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1.xml" ContentType="application/vnd.openxmlformats-officedocument.spreadsheetml.chart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2.xml" ContentType="application/vnd.ms-office.chartstyle+xml"/>
  <Override PartName="/xl/charts/colors2.xml" ContentType="application/vnd.ms-office.chartcolorsty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126"/>
  <workbookPr showInkAnnotation="0" codeName="ThisWorkbook" defaultThemeVersion="124226"/>
  <mc:AlternateContent xmlns:mc="http://schemas.openxmlformats.org/markup-compatibility/2006">
    <mc:Choice Requires="x15">
      <x15ac:absPath xmlns:x15ac="http://schemas.microsoft.com/office/spreadsheetml/2010/11/ac" url="C:\Users\gene_\Google Drive\Coaching\Performance in Running\Training Gene Beveridge\2019-02-09 Tarawera 50km\"/>
    </mc:Choice>
  </mc:AlternateContent>
  <xr:revisionPtr revIDLastSave="0" documentId="13_ncr:1_{8AEEB444-FAF4-4832-AEEE-301B4552F3D4}" xr6:coauthVersionLast="40" xr6:coauthVersionMax="40" xr10:uidLastSave="{00000000-0000-0000-0000-000000000000}"/>
  <bookViews>
    <workbookView xWindow="0" yWindow="0" windowWidth="13680" windowHeight="8865" tabRatio="818" xr2:uid="{00000000-000D-0000-FFFF-FFFF00000000}"/>
  </bookViews>
  <sheets>
    <sheet name="Profile" sheetId="6" r:id="rId1"/>
    <sheet name="Controls" sheetId="17" state="hidden" r:id="rId2"/>
    <sheet name="Elements" sheetId="7" state="hidden" r:id="rId3"/>
    <sheet name="Nutrition" sheetId="28" state="hidden" r:id="rId4"/>
    <sheet name="Intervals" sheetId="14" state="hidden" r:id="rId5"/>
    <sheet name="Strategies" sheetId="15" state="hidden" r:id="rId6"/>
    <sheet name="Sports" sheetId="25" state="hidden" r:id="rId7"/>
    <sheet name="Plans" sheetId="24" state="hidden" r:id="rId8"/>
    <sheet name="Athletes" sheetId="23" state="hidden" r:id="rId9"/>
    <sheet name="Sessions" sheetId="11" state="hidden" r:id="rId10"/>
    <sheet name="Session References" sheetId="20" state="hidden" r:id="rId11"/>
    <sheet name="Program Planner" sheetId="10" state="hidden" r:id="rId12"/>
    <sheet name="Program Planner TT" sheetId="22" state="hidden" r:id="rId13"/>
    <sheet name="Form Tracker" sheetId="18" state="hidden" r:id="rId14"/>
    <sheet name="Program Summary" sheetId="16" r:id="rId15"/>
    <sheet name="Program Summary TT" sheetId="21" state="hidden" r:id="rId16"/>
    <sheet name="Form Tracker Chart" sheetId="27" state="hidden" r:id="rId17"/>
    <sheet name="Program Full" sheetId="8" r:id="rId18"/>
    <sheet name="TT Export" sheetId="26" state="hidden" r:id="rId19"/>
  </sheets>
  <definedNames>
    <definedName name="athlete_calibration_HR">Athletes!$C$51</definedName>
    <definedName name="athlete_calibration_pace">Athletes!$C$52</definedName>
    <definedName name="athlete_calibration_VDOT">Athletes!$C$53</definedName>
    <definedName name="athlete_duration_maximum">Athletes!$C$50</definedName>
    <definedName name="athlete_duration_maximum_hhmm">Athletes!$C$49</definedName>
    <definedName name="athlete_fuelling">Athletes!$C$61</definedName>
    <definedName name="athlete_gender">Athletes!$C$36</definedName>
    <definedName name="athlete_HR_max_bike">Athletes!$C$38</definedName>
    <definedName name="athlete_HR_max_run">Athletes!$C$37</definedName>
    <definedName name="athlete_HR_rest">Athletes!$C$39</definedName>
    <definedName name="athlete_index">Athletes!$C$34</definedName>
    <definedName name="athlete_name">Athletes!$C$33</definedName>
    <definedName name="athlete_nutrition">Athletes!$C$58</definedName>
    <definedName name="athlete_nutrition_during">Athletes!$C$57</definedName>
    <definedName name="athlete_plan_name">Athletes!$C$54</definedName>
    <definedName name="athlete_progression_maximum">Athletes!$C$48</definedName>
    <definedName name="athlete_recovery_rate">Athletes!$C$59</definedName>
    <definedName name="athlete_sport">Athletes!$C$35</definedName>
    <definedName name="athlete_starting_duration">Athletes!$C$42</definedName>
    <definedName name="athlete_starting_duration_hhmm">Athletes!$C$43</definedName>
    <definedName name="athlete_starting_load">Athletes!$C$44</definedName>
    <definedName name="athlete_starting_progression_rate">Athletes!$C$47</definedName>
    <definedName name="athlete_taper_rate">Athletes!$C$55</definedName>
    <definedName name="athlete_test_distance">Athletes!$C$40</definedName>
    <definedName name="athlete_test_time_hhmm">Athletes!$C$41</definedName>
    <definedName name="athlete_VDOT">Athletes!$C$46</definedName>
    <definedName name="athlete_VO2max">Athletes!$C$45</definedName>
    <definedName name="athlete_WUWD_duration">Athletes!$C$56</definedName>
    <definedName name="athletes_calibration_HR">Athletes!$C$20:$CX$20</definedName>
    <definedName name="athletes_calibration_pace">Athletes!$C$21:$CX$21</definedName>
    <definedName name="athletes_calibration_VDOT">Athletes!$C$22:$CX$22</definedName>
    <definedName name="athletes_data">Athletes!$C$4:$CX$31</definedName>
    <definedName name="athletes_data_default">Athletes!$C$4:$C$31</definedName>
    <definedName name="athletes_duration_maximum">Athletes!$C$19:$CX$19</definedName>
    <definedName name="athletes_duration_maximum_hhmm">Athletes!$C$18:$CX$18</definedName>
    <definedName name="athletes_fuelling">Athletes!$C$26:$CX$26</definedName>
    <definedName name="athletes_gender">Athletes!$C$5:$CX$5</definedName>
    <definedName name="athletes_HR_max">Athletes!$C$6:$CX$6</definedName>
    <definedName name="athletes_HR_rest">Athletes!$C$8:$CX$8</definedName>
    <definedName name="athletes_index">Athletes!$C$3:$CX$3</definedName>
    <definedName name="athletes_lookup">Athletes!$C$2:$CX$3</definedName>
    <definedName name="athletes_name">Athletes!$C$2:$CX$2</definedName>
    <definedName name="athletes_plan_name">Athletes!$C$23:$CX$23</definedName>
    <definedName name="athletes_progression_factor">Athletes!$C$15:$J$15</definedName>
    <definedName name="athletes_progression_maximum">Athletes!$C$17:$CX$17</definedName>
    <definedName name="athletes_sport">Athletes!$C$4:$CX$4</definedName>
    <definedName name="athletes_starting_duration">Athletes!$C$11:$CX$11</definedName>
    <definedName name="athletes_starting_duration_hhmm">Athletes!$C$12:$CX$12</definedName>
    <definedName name="athletes_starting_load">Athletes!$C$13:$CX$13</definedName>
    <definedName name="athletes_starting_progression">Athletes!$C$16:$CX$16</definedName>
    <definedName name="athletes_taper_rate">Athletes!$C$24:$CX$24</definedName>
    <definedName name="athletes_test_distance">Athletes!$C$9:$CX$9</definedName>
    <definedName name="athletes_test_time_hhmm">Athletes!$C$10:$CX$10</definedName>
    <definedName name="athletes_VDOT">Athletes!$C$15:$CX$15</definedName>
    <definedName name="athletes_VO2max">Athletes!$C$14:$CX$14</definedName>
    <definedName name="athletes_WUWU_duration">Athletes!$C$25:$CX$25</definedName>
    <definedName name="controls_sports_cycling_focus">Controls!$AE$21</definedName>
    <definedName name="controls_sports_running_focus">Controls!$AE$20</definedName>
    <definedName name="controls_sports_swimming_focus">Controls!$AE$22</definedName>
    <definedName name="display_athlete_name">Profile!$D$20</definedName>
    <definedName name="display_difficulty">'Program Planner'!$D$399:$AA$399</definedName>
    <definedName name="display_duration">'Program Planner'!$D$400:$AA$400</definedName>
    <definedName name="display_full_template">'Program Full'!$D$3:$H$57</definedName>
    <definedName name="display_full_template_partial">'Program Full'!$D$5:$G$30</definedName>
    <definedName name="display_intervals_breakdown">'Program Planner'!$D$357:$AA$370</definedName>
    <definedName name="display_intervals_name">'Program Planner'!$D$343:$AA$356</definedName>
    <definedName name="display_nutrition_description">'Program Planner'!$D$385:$AA$398</definedName>
    <definedName name="display_nutrition_summary">'Program Planner'!$D$371:$AA$384</definedName>
    <definedName name="display_part">'Program Summary TT'!$D$7:$D$48</definedName>
    <definedName name="display_plan_event">Profile!$D$21</definedName>
    <definedName name="display_program_summary">'Program Summary'!$D$7:$AA$20</definedName>
    <definedName name="display_progression_relative">'Program Planner'!$G$399:$AA$399</definedName>
    <definedName name="display_strategy">'Program Planner'!$D$4:$AA$4</definedName>
    <definedName name="display_summary_trainingtilt">'Program Summary TT'!$E$7:$AB$48</definedName>
    <definedName name="display_test_time">Profile!$D$29</definedName>
    <definedName name="display_VDOT">Profile!#REF!</definedName>
    <definedName name="display_VDOT_VO2max">Profile!#REF!</definedName>
    <definedName name="display_week">'Program Planner'!$D$2:$AA$2</definedName>
    <definedName name="display_week_beginning">'Program Planner'!$D$1:$AA$1</definedName>
    <definedName name="display_weeks_to_goal">'Program Planner'!$D$3:$AA$3</definedName>
    <definedName name="duration_drills">'Program Planner'!$D$32:$AA$32</definedName>
    <definedName name="duration_drills_constant">Controls!$AF$17</definedName>
    <definedName name="duration_drills_max">Controls!$AE$17</definedName>
    <definedName name="duration_drills_portion">Controls!$AD$17</definedName>
    <definedName name="duration_easy">'Program Planner'!$D$21:$AA$21</definedName>
    <definedName name="duration_easy_constant">Controls!$AF$6</definedName>
    <definedName name="duration_easy_max">Controls!$AE$6</definedName>
    <definedName name="duration_easy_portion">Controls!$AD$6</definedName>
    <definedName name="duration_fartlek">'Program Planner'!$D$29:$AA$29</definedName>
    <definedName name="duration_fartlek_constant">Controls!$AF$14</definedName>
    <definedName name="duration_fartlek_max">Controls!$AE$14</definedName>
    <definedName name="duration_fartlek_portion">Controls!$AD$14</definedName>
    <definedName name="duration_filler1">'Program Planner'!$D$35:$AA$35</definedName>
    <definedName name="duration_filler2">'Program Planner'!$D$36:$AA$36</definedName>
    <definedName name="duration_hilltempo">'Program Planner'!$D$28:$AA$28</definedName>
    <definedName name="duration_hilltempo_constant">Controls!$AF$13</definedName>
    <definedName name="duration_hilltempo_max">Controls!$AE$13</definedName>
    <definedName name="duration_hilltempo_portion">Controls!$AD$13</definedName>
    <definedName name="duration_intervals">'Program Planner'!$D$30:$AA$30</definedName>
    <definedName name="duration_intervals_constant">Controls!$AF$15</definedName>
    <definedName name="duration_intervals_max">Controls!$AE$15</definedName>
    <definedName name="duration_intervals_portion">Controls!$AD$15</definedName>
    <definedName name="duration_long">'Program Planner'!$D$24:$AA$24</definedName>
    <definedName name="duration_long_constant">Controls!$AF$9</definedName>
    <definedName name="duration_long_cycle">'Program Planner'!$D$25:$AA$25</definedName>
    <definedName name="duration_long_cycle_constant">Controls!$AF$10</definedName>
    <definedName name="duration_long_cycle_max">Controls!$AE$10</definedName>
    <definedName name="duration_long_cycle_portion">Controls!$AD$10</definedName>
    <definedName name="duration_long_max">Controls!$AE$9</definedName>
    <definedName name="duration_long_portion">Controls!$AD$9</definedName>
    <definedName name="duration_maint">'Program Planner'!$D$34:$AA$34</definedName>
    <definedName name="duration_maint_constant">Controls!$AF$19</definedName>
    <definedName name="duration_maint_max">Controls!$AE$19</definedName>
    <definedName name="duration_maint_portion">Controls!$AD$19</definedName>
    <definedName name="duration_recovery">'Program Planner'!$D$20:$AA$20</definedName>
    <definedName name="duration_recovery_constant">Controls!$AF$5</definedName>
    <definedName name="duration_recovery_max">Controls!$AE$5</definedName>
    <definedName name="duration_recovery_portion">Controls!$AD$5</definedName>
    <definedName name="duration_reps">'Program Planner'!$D$31:$AA$31</definedName>
    <definedName name="duration_reps_constant">Controls!$AF$16</definedName>
    <definedName name="duration_reps_max">Controls!$AE$16</definedName>
    <definedName name="duration_reps_portion">Controls!$AD$16</definedName>
    <definedName name="duration_rest">'Program Planner'!$D$19:$AA$19</definedName>
    <definedName name="duration_steady">'Program Planner'!$D$22:$AA$22</definedName>
    <definedName name="duration_steady_constant">Controls!$AF$7</definedName>
    <definedName name="duration_steady_cycle">'Program Planner'!$D$23:$AA$23</definedName>
    <definedName name="duration_steady_cycle_constant">Controls!$AF$8</definedName>
    <definedName name="duration_steady_cycle_max">Controls!$AE$8</definedName>
    <definedName name="duration_steady_cycle_portion">Controls!$AD$8</definedName>
    <definedName name="duration_steady_max">Controls!$AE$7</definedName>
    <definedName name="duration_steady_portion">Controls!$AD$7</definedName>
    <definedName name="duration_strength">'Program Planner'!$D$33:$AA$33</definedName>
    <definedName name="duration_strength_constant">Controls!$AF$18</definedName>
    <definedName name="duration_strength_max">Controls!$AE$18</definedName>
    <definedName name="duration_strength_portion">Controls!$AD$18</definedName>
    <definedName name="duration_subthreshold">'Program Planner'!$D$26:$AA$26</definedName>
    <definedName name="duration_subthreshold_constant">Controls!$AF$11</definedName>
    <definedName name="duration_subthreshold_max">Controls!$AE$11</definedName>
    <definedName name="duration_subthreshold_portion">Controls!$AD$11</definedName>
    <definedName name="duration_tempo">'Program Planner'!$D$27:$AA$27</definedName>
    <definedName name="duration_tempo_constant">Controls!$AF$12</definedName>
    <definedName name="duration_tempo_max">Controls!$AE$12</definedName>
    <definedName name="duration_tempo_portion">Controls!$AD$12</definedName>
    <definedName name="element_aim_drills">Elements!$O$6</definedName>
    <definedName name="element_aim_fartlek">Elements!$L$6</definedName>
    <definedName name="element_aim_hilltempo">Elements!$K$6</definedName>
    <definedName name="element_aim_intervals">Elements!$M$6</definedName>
    <definedName name="element_aim_long">Elements!$H$6</definedName>
    <definedName name="element_aim_maintenance">Elements!$Q$6</definedName>
    <definedName name="element_aim_recovery">Elements!$E$6</definedName>
    <definedName name="element_aim_reps">Elements!$N$6</definedName>
    <definedName name="element_aim_rest">Elements!$D$6</definedName>
    <definedName name="element_aim_steady">Elements!$G$6</definedName>
    <definedName name="element_aim_strength">Elements!$P$6</definedName>
    <definedName name="element_aim_subthreshold">Elements!$I$6</definedName>
    <definedName name="element_aim_tempo">Elements!$J$6</definedName>
    <definedName name="element_athlete_FTP">Elements!$M$25</definedName>
    <definedName name="element_description_drills">Elements!$Q$7</definedName>
    <definedName name="element_description_fartlek">Elements!$N$7</definedName>
    <definedName name="element_description_hilltempo">Elements!$M$7</definedName>
    <definedName name="element_description_intervals">Elements!$O$7</definedName>
    <definedName name="element_description_long">Elements!$H$7</definedName>
    <definedName name="element_description_maintenance">Elements!$S$7</definedName>
    <definedName name="element_description_recovery">Elements!$E$7</definedName>
    <definedName name="element_description_reps">Elements!$P$7</definedName>
    <definedName name="element_description_rest">Elements!$D$7</definedName>
    <definedName name="element_description_steady">Elements!$G$7</definedName>
    <definedName name="element_description_strength">Elements!$R$7</definedName>
    <definedName name="element_description_subthreshold">Elements!$K$7</definedName>
    <definedName name="element_description_tempo">Elements!$L$7</definedName>
    <definedName name="element_HR_percent">Elements!$D$12:$AA$14</definedName>
    <definedName name="element_HR_percent_easy">Elements!$F$13</definedName>
    <definedName name="element_HR_percent_recovery">Elements!$E$13</definedName>
    <definedName name="elements_aim">Elements!$D$6:$AA$6</definedName>
    <definedName name="elements_alldata">Elements!$D$2:$AA$54</definedName>
    <definedName name="elements_cIF">Elements!$D$49:$AA$51</definedName>
    <definedName name="elements_cTSS_HR">Elements!$D$52:$AA$54</definedName>
    <definedName name="elements_description">Elements!$D$7:$AA$7</definedName>
    <definedName name="elements_duration_code">Elements!$D$4:$AA$4</definedName>
    <definedName name="elements_HR_absolute">Elements!$D$15:$AA$17</definedName>
    <definedName name="elements_HR_reserve">Elements!$D$18:$AA$20</definedName>
    <definedName name="elements_index">Elements!$D$3:$AA$3</definedName>
    <definedName name="elements_limits">Elements!$D$11:$AA$11</definedName>
    <definedName name="elements_load">Elements!$D$30:$AA$32</definedName>
    <definedName name="elements_name">Elements!$D$2:$AA$2</definedName>
    <definedName name="elements_pace">Elements!$D$27:$AA$29</definedName>
    <definedName name="elements_pace_easy">Elements!$F$28</definedName>
    <definedName name="elements_pace_intervals">Elements!$P$28</definedName>
    <definedName name="elements_pace_recovery">Elements!$E$28</definedName>
    <definedName name="elements_pace_reps">Elements!$Q$28</definedName>
    <definedName name="elements_pace_steady">Elements!$H$28</definedName>
    <definedName name="elements_pace_subthreshold">Elements!$L$28</definedName>
    <definedName name="elements_pace_tempo">Elements!$M$28</definedName>
    <definedName name="elements_physiology">Elements!$D$8:$AA$8</definedName>
    <definedName name="elements_recoveries">Elements!$D$10:$AA$10</definedName>
    <definedName name="elements_rIF">Elements!$D$43:$AA$45</definedName>
    <definedName name="elements_rTSS">Elements!$D$46:$AA$48</definedName>
    <definedName name="elements_summary_description">Elements!$D$5:$AA$5</definedName>
    <definedName name="elements_TRIMP">Elements!$D$40:$AA$42</definedName>
    <definedName name="elements_VDOT_G_points">Elements!$D$34:$AA$36</definedName>
    <definedName name="elements_VDOT_percent">Elements!$D$21:$AA$23</definedName>
    <definedName name="elements_VDOTpoints">Elements!$D$37:$AA$39</definedName>
    <definedName name="elements_VO2_percent">Elements!$D$24:$AA$26</definedName>
    <definedName name="elements_WUWD">Elements!$D$9:$AA$9</definedName>
    <definedName name="evaluation_duration_error">'Program Planner'!$D$185:$AA$185</definedName>
    <definedName name="evaluation_duration_filler">'Program Planner'!$D$207:$AA$207</definedName>
    <definedName name="evaluation_duration_progression_rate">'Program Planner'!$D$184:$AA$184</definedName>
    <definedName name="evaluation_duration_total">'Program Planner'!$D$183:$AA$183</definedName>
    <definedName name="evaluation_filler_count">'Program Planner'!$D$206:$AA$206</definedName>
    <definedName name="evaluation_filler1_count">'Program Planner'!$D$204:$AA$204</definedName>
    <definedName name="evaluation_filler2_count">'Program Planner'!$D$205:$AA$205</definedName>
    <definedName name="evaluation_load">'Program Planner'!$D$186:$AA$199</definedName>
    <definedName name="evaluation_load_error">'Program Planner'!$D$203:$AA$203</definedName>
    <definedName name="evaluation_load_progression_rate">'Program Planner'!$D$201:$AA$201</definedName>
    <definedName name="evaluation_load_progression_relative">'Program Planner'!$D$202:$AA$202</definedName>
    <definedName name="evaluation_load_total">'Program Planner'!$D$200:$AA$200</definedName>
    <definedName name="fatigue_coefficient_sum">Controls!$BV$6</definedName>
    <definedName name="fatigue_coefficients">Controls!$BV$9:$BV$22</definedName>
    <definedName name="fatigue_coefficients_constant">Controls!$BS$9:$BS$22</definedName>
    <definedName name="fatigue_coefficients_constant_factor">Controls!$BS$8</definedName>
    <definedName name="fatigue_coefficients_constant_sum">Controls!$BS$23</definedName>
    <definedName name="fatigue_coefficients_exponential">Controls!$BU$9:$BU$22</definedName>
    <definedName name="fatigue_coefficients_exponential_factor">Controls!$BU$8</definedName>
    <definedName name="fatigue_coefficients_exponential_sum">Controls!$BU$23</definedName>
    <definedName name="fatigue_coefficients_linear">Controls!$BT$9:$BT$22</definedName>
    <definedName name="fatigue_coefficients_linear_factor">Controls!$BT$8</definedName>
    <definedName name="fatigue_coefficients_linear_sum">Controls!$BT$24</definedName>
    <definedName name="fatigue_coefficients_sum">Controls!$BV$6</definedName>
    <definedName name="fatigue_days">Controls!$BR$9:$BR$22</definedName>
    <definedName name="fatigue_days_max">Controls!$BV$4</definedName>
    <definedName name="fatigue_halflife">Controls!$BV$5</definedName>
    <definedName name="fatigue_method">Controls!$BV$3</definedName>
    <definedName name="fatigue_method_options">Controls!$BS$7:$BU$7</definedName>
    <definedName name="final_adjusted_session_durations">'Program Planner'!$D$208:$AA$221</definedName>
    <definedName name="final_duration_effort">'Program Planner'!$D$264:$AA$277</definedName>
    <definedName name="final_duration_element_primary">'Program Planner TT'!#REF!</definedName>
    <definedName name="final_duration_element_secondary">'Program Planner TT'!#REF!</definedName>
    <definedName name="final_duration_element_tertiary">'Program Planner TT'!#REF!</definedName>
    <definedName name="final_duration_element_trainingtilt">'Program Planner TT'!$D$91:$AA$132</definedName>
    <definedName name="final_duration_error">'Program Planner'!$D$342:$AA$342</definedName>
    <definedName name="final_duration_filler">'Program Planner'!$D$320:$AA$320</definedName>
    <definedName name="final_duration_primary">'Program Planner'!$D$222:$AA$235</definedName>
    <definedName name="final_duration_secondary">'Program Planner'!$D$236:$AA$249</definedName>
    <definedName name="final_duration_session">'Program Planner'!$D$306:$AA$319</definedName>
    <definedName name="final_duration_tertiary">'Program Planner'!$D$250:$AA$263</definedName>
    <definedName name="final_duration_total">'Program Planner'!$D$321:$AA$321</definedName>
    <definedName name="final_duration_TT_WD">'Program Planner TT'!$D$49:$AA$90</definedName>
    <definedName name="final_duration_TT_WU">'Program Planner TT'!$D$7:$AA$48</definedName>
    <definedName name="final_duration_WD">'Program Planner'!$D$292:$AA$305</definedName>
    <definedName name="final_duration_WU">'Program Planner'!$D$278:$AA$291</definedName>
    <definedName name="final_load">'Program Planner'!$D$325:$AA$338</definedName>
    <definedName name="final_load_error">'Program Planner'!$D$342:$AA$342</definedName>
    <definedName name="final_load_progression_relative">'Program Planner'!$D$341:$AA$341</definedName>
    <definedName name="final_load_total">'Program Planner'!$D$339:$AA$339</definedName>
    <definedName name="final_program_summary">'Program Planner'!$D$401:$AA$414</definedName>
    <definedName name="fitness_coefficient_sum">Controls!$CB$6</definedName>
    <definedName name="fitness_coefficients">Controls!$CB$9:$CB$22</definedName>
    <definedName name="fitness_coefficients_constant">Controls!$BY$9:$BY$22</definedName>
    <definedName name="fitness_coefficients_constant_factor">Controls!$BY$8</definedName>
    <definedName name="fitness_coefficients_constant_sum">Controls!$BY$23</definedName>
    <definedName name="fitness_coefficients_exponential">Controls!$CA$9:$CA$22</definedName>
    <definedName name="fitness_coefficients_exponential_factor">Controls!$CA$8</definedName>
    <definedName name="fitness_coefficients_exponential_sum">Controls!$CA$23</definedName>
    <definedName name="fitness_coefficients_linear">Controls!$BZ$9:$BZ$22</definedName>
    <definedName name="fitness_coefficients_linear_factor">Controls!$BZ$8</definedName>
    <definedName name="fitness_coefficients_linear_sum">Controls!$BZ$23</definedName>
    <definedName name="fitness_halflife">Controls!$CB$5</definedName>
    <definedName name="fitness_method">Controls!$CB$3</definedName>
    <definedName name="fitness_method_options">Controls!$BY$7:$CA$7</definedName>
    <definedName name="fitness_weeks">Controls!$BX$9:$BX$22</definedName>
    <definedName name="fitness_weeks_max">Controls!$CB$4</definedName>
    <definedName name="fuelling_options_during">Nutrition!$E$4:$E$12</definedName>
    <definedName name="fuelling_options_info">Nutrition!#REF!</definedName>
    <definedName name="fuelling_options_post">Nutrition!$F$4:$F$12</definedName>
    <definedName name="fuelling_options_pre">Nutrition!$D$4:$D$12</definedName>
    <definedName name="fuellings_index">Nutrition!$D$15:$R$15</definedName>
    <definedName name="fuellings_name">Nutrition!$D$14:$R$14</definedName>
    <definedName name="hilltempo_split_12min">Intervals!$E$21:$L$24</definedName>
    <definedName name="hilltempo_split_6min">Intervals!$E$17:$L$20</definedName>
    <definedName name="interval_trackO2_max">Intervals!$E$90:$L$96</definedName>
    <definedName name="intervals_121_r2min">Intervals!$E$84:$L$85</definedName>
    <definedName name="intervals_1500m_r3min">Intervals!$E$68:$L$71</definedName>
    <definedName name="intervals_1500m_r90sec">Intervals!$E$72:$L$75</definedName>
    <definedName name="intervals_1km_r1min">Intervals!$E$62:$L$67</definedName>
    <definedName name="intervals_1km_r2min">Intervals!$E$56:$L$61</definedName>
    <definedName name="intervals_2km_r3min">Intervals!$E$76:$L$79</definedName>
    <definedName name="intervals_2km_r90sec">Intervals!$E$80:$L$83</definedName>
    <definedName name="intervals_500m_r1min">Intervals!$E$32:$L$43</definedName>
    <definedName name="intervals_500m_r30sec">Intervals!$E$44:$L$55</definedName>
    <definedName name="intervals_array">Intervals!$E$4:$CZ$4</definedName>
    <definedName name="intervals_fartleks">Intervals!$B$25:$L$28</definedName>
    <definedName name="intervals_index">Intervals!$E$3:$CZ$3</definedName>
    <definedName name="intervals_intensity_description">Intervals!$G$25:$G$153</definedName>
    <definedName name="intervals_intensity_distance">Intervals!$I$25:$I$153</definedName>
    <definedName name="intervals_intervals">Intervals!$B$29:$L$96</definedName>
    <definedName name="intervals_moneghetti">Intervals!$E$29:$L$31</definedName>
    <definedName name="intervals_name">Intervals!$E$2:$CZ$2</definedName>
    <definedName name="intervals_pyramid">Intervals!$E$86:$L$89</definedName>
    <definedName name="intervals_recoveries_duration">Intervals!$K$25:$K$153</definedName>
    <definedName name="intervals_reps">Intervals!$B$97:$L$153</definedName>
    <definedName name="intervals_tempos">Intervals!$B$9:$L$24</definedName>
    <definedName name="intervals_type">Intervals!$C$25:$C$153</definedName>
    <definedName name="intervals_variants">Intervals!$E$5:$CZ$5</definedName>
    <definedName name="intervlas_recoveries_description">Intervals!$J$25:$J$153</definedName>
    <definedName name="load_calculator">Controls!$CD$3</definedName>
    <definedName name="load_drills">Elements!$R$31</definedName>
    <definedName name="load_easy">Elements!$F$31</definedName>
    <definedName name="load_fartlek">Elements!$O$31</definedName>
    <definedName name="load_filler">Elements!$G$31</definedName>
    <definedName name="load_hilltempo">Elements!$N$31</definedName>
    <definedName name="load_intervals">Elements!$P$31</definedName>
    <definedName name="load_long">Elements!$J$31</definedName>
    <definedName name="load_maintenance">Elements!$T$31</definedName>
    <definedName name="load_recovery">Elements!$E$31</definedName>
    <definedName name="load_reps">Elements!$Q$31</definedName>
    <definedName name="load_steady">Elements!$H$31</definedName>
    <definedName name="load_strength">Elements!$S$31</definedName>
    <definedName name="load_subthreshold">Elements!$L$31</definedName>
    <definedName name="load_tempo">Elements!$M$31</definedName>
    <definedName name="load_WUWD">Elements!$E$31</definedName>
    <definedName name="nutrition_aim">Nutrition!$D$26:$R$26</definedName>
    <definedName name="nutrition_description">Nutrition!$D$27:$R$27</definedName>
    <definedName name="nutrition_physiology">Nutrition!$D$28:$R$28</definedName>
    <definedName name="nutrition_quantity_code">Nutrition!$D$16:$R$16</definedName>
    <definedName name="nutrition_summary_description">Nutrition!$D$17:$R$17</definedName>
    <definedName name="plan_array">Plans!$E$12</definedName>
    <definedName name="plan_duration">'Program Planner'!$D$15:$AA$15</definedName>
    <definedName name="plan_duration_all">'Program Planner'!$D$85:$AA$168</definedName>
    <definedName name="plan_duration_hhmm">'Program Planner'!$D$16:$AA$16</definedName>
    <definedName name="plan_duration_maximum">Athletes!$C$18:$J$18</definedName>
    <definedName name="plan_duration_primary">'Program Planner'!$D$85:$AA$98</definedName>
    <definedName name="plan_duration_recoveries">'Program Planner'!$D$155:$AA$168</definedName>
    <definedName name="plan_duration_secondary">'Program Planner'!$D$99:$AA$112</definedName>
    <definedName name="plan_duration_start">'Program Planner'!$D$15</definedName>
    <definedName name="plan_duration_tertiary">'Program Planner'!$D$113:$AA$126</definedName>
    <definedName name="plan_duration_WD">'Program Planner'!$D$141:$AA$154</definedName>
    <definedName name="plan_duration_WU">'Program Planner'!$D$127:$AA$140</definedName>
    <definedName name="plan_event">Plans!$E$16</definedName>
    <definedName name="plan_finish_date">Plans!$E$15</definedName>
    <definedName name="plan_index">Plans!$E$11</definedName>
    <definedName name="plan_intervals_counter">'Program Planner'!$D$57:$AA$70</definedName>
    <definedName name="plan_load">'Program Planner'!$D$18:$AA$18</definedName>
    <definedName name="plan_name">Plans!$E$10</definedName>
    <definedName name="plan_nutrition_counter">'Program Planner'!$D$71:$AA$84</definedName>
    <definedName name="plan_progression_rate">'Program Planner'!$D$14:$AA$14</definedName>
    <definedName name="plan_progression_rate_aggressive">'Program Planner'!$D$12:$AA$12</definedName>
    <definedName name="plan_progression_rate_conservative">'Program Planner'!$D$11:$AA$11</definedName>
    <definedName name="plan_progression_rate_maintain">'Program Planner'!$D$10:$AA$10</definedName>
    <definedName name="plan_progression_rate_overload">'Program Planner'!$D$13:$AA$13</definedName>
    <definedName name="plan_progression_rate_recover">'Program Planner'!$D$8:$AA$8</definedName>
    <definedName name="plan_progression_rate_taper">'Program Planner'!$D$9:$AA$9</definedName>
    <definedName name="plan_session_allocation">'Program Planner'!$D$43:$AA$56</definedName>
    <definedName name="plan_start_date">Plans!$E$14</definedName>
    <definedName name="plan_strategy">'Program Planner'!$D$5:$AA$5</definedName>
    <definedName name="plans">Plans!$E$2:$CZ$7</definedName>
    <definedName name="plans_array">Plans!$E$4:$CZ$4</definedName>
    <definedName name="plans_event">Plans!$E$8:$CZ$8</definedName>
    <definedName name="plans_finish_date">Plans!$E$7:$CZ$7</definedName>
    <definedName name="plans_index">Plans!$E$3:$CZ$3</definedName>
    <definedName name="plans_name">Plans!$E$2:$CZ$2</definedName>
    <definedName name="plans_start_date">Plans!$E$6:$CZ$6</definedName>
    <definedName name="plans_week">Plans!$E$18:$AB$18</definedName>
    <definedName name="plans_week_beginning">Plans!$E$19:$AB$19</definedName>
    <definedName name="_xlnm.Print_Area" localSheetId="17">'Program Full'!$B$2:$AK$1346</definedName>
    <definedName name="_xlnm.Print_Area" localSheetId="14">'Program Summary'!$A$1:$AA$20</definedName>
    <definedName name="_xlnm.Print_Area" localSheetId="15">'Program Summary TT'!$A$1:$AB$48</definedName>
    <definedName name="_xlnm.Print_Titles" localSheetId="17">'Program Full'!$2:$2</definedName>
    <definedName name="_xlnm.Print_Titles" localSheetId="14">'Program Summary'!$A:$C,'Program Summary'!$1:$6</definedName>
    <definedName name="_xlnm.Print_Titles" localSheetId="15">'Program Summary TT'!$A:$D,'Program Summary TT'!$1:$6</definedName>
    <definedName name="progression_rate_blind">'Program Planner'!$D$6:$AA$6</definedName>
    <definedName name="quantity_carbs">'Program Planner'!$D$40:$AA$40</definedName>
    <definedName name="quantity_during">'Program Planner'!$D$38:$AA$38</definedName>
    <definedName name="quantity_fat">'Program Planner'!$D$41:$AA$41</definedName>
    <definedName name="quantity_post">'Program Planner'!$D$39:$AA$39</definedName>
    <definedName name="quantity_pre">'Program Planner'!$D$37:$AA$37</definedName>
    <definedName name="quantity_protein">'Program Planner'!$D$42:$AA$42</definedName>
    <definedName name="reference_index">'Session References'!$B$2:$B$301</definedName>
    <definedName name="reps_complete_progression_hills">Intervals!$E$114:$L$125</definedName>
    <definedName name="reps_complete_progression_sprints">Intervals!$E$141:$L$152</definedName>
    <definedName name="reps_extensive_hills">Intervals!$E$104:$L$108</definedName>
    <definedName name="reps_intensive_hills">Intervals!$E$99:$L$103</definedName>
    <definedName name="reps_intensive_sprints">Intervals!$E$126:$L$130</definedName>
    <definedName name="reps_lactic_hills">Intervals!$E$109:$L$113</definedName>
    <definedName name="reps_lactic_sprints">Intervals!$E$136:$L$140</definedName>
    <definedName name="reps_ladder_800">Intervals!$E$97:$L$98</definedName>
    <definedName name="reps_tabata">Intervals!$E$153:$L$153</definedName>
    <definedName name="sessions_aim">Sessions!$C$63:$KP$63</definedName>
    <definedName name="sessions_aim_nutrition">Sessions!$C$62:$KP$62</definedName>
    <definedName name="sessions_aim_primary">Sessions!$C$59:$KP$59</definedName>
    <definedName name="sessions_aim_secondary">Sessions!$C$60:$KP$60</definedName>
    <definedName name="sessions_aim_tertiary">Sessions!$C$61:$KP$61</definedName>
    <definedName name="sessions_aims">Sessions!$C$59:$KP$61</definedName>
    <definedName name="sessions_category">Sessions!$C$1:$KP$1</definedName>
    <definedName name="sessions_description">Sessions!$C$74:$KP$74</definedName>
    <definedName name="sessions_description_nutrition">Sessions!$C$73:$KP$73</definedName>
    <definedName name="sessions_description_primary">Sessions!$C$70:$KP$70</definedName>
    <definedName name="sessions_description_secondary">Sessions!$C$71:$KP$71</definedName>
    <definedName name="sessions_description_tertiary">Sessions!$C$72:$KP$72</definedName>
    <definedName name="sessions_descriptions">Sessions!$C$70:$KP$72</definedName>
    <definedName name="sessions_duration_custom">Sessions!$C$11:$KP$13</definedName>
    <definedName name="sessions_duration_custom_primary">Sessions!$C$11:$KP$11</definedName>
    <definedName name="sessions_duration_custom_secondary">Sessions!$C$12:$KP$12</definedName>
    <definedName name="sessions_duration_custom_tertiary">Sessions!$C$13:$KP$13</definedName>
    <definedName name="sessions_duration_primary">Sessions!$C$32:$KP$32</definedName>
    <definedName name="sessions_duration_secondary">Sessions!$C$33:$KP$33</definedName>
    <definedName name="sessions_duration_tertiary">Sessions!$C$34:$KP$34</definedName>
    <definedName name="sessions_element_index_primary">Sessions!$C$28:$KP$28</definedName>
    <definedName name="sessions_element_index_secondary">Sessions!$C$29:$KP$29</definedName>
    <definedName name="sessions_element_index_tertiary">Sessions!$C$30:$KP$30</definedName>
    <definedName name="sessions_element_primary">Sessions!$C$8:$KP$8</definedName>
    <definedName name="sessions_element_secondary">Sessions!$C$9:$KP$9</definedName>
    <definedName name="sessions_element_tertiary">Sessions!$C$10:$KP$10</definedName>
    <definedName name="sessions_elements">Sessions!$C$8:$KP$10</definedName>
    <definedName name="sessions_elements_code">Sessions!$C$32:$KP$34</definedName>
    <definedName name="sessions_elements_index">Sessions!$C$28:$KP$30</definedName>
    <definedName name="sessions_HR">Sessions!$C$50:$KP$52</definedName>
    <definedName name="sessions_HR_primary">Sessions!$C$50:$KP$50</definedName>
    <definedName name="sessions_HR_range">Sessions!$C$53:$KP$55</definedName>
    <definedName name="sessions_HR_range_primary">Sessions!$C$53:$KP$53</definedName>
    <definedName name="sessions_HR_range_secondary">Sessions!$C$54:$KP$54</definedName>
    <definedName name="sessions_HR_range_tertiary">Sessions!$C$55:$KP$55</definedName>
    <definedName name="sessions_HR_secondary">Sessions!$C$51:$KP$51</definedName>
    <definedName name="sessions_HR_tertiary">Sessions!$C$52:$KP$52</definedName>
    <definedName name="sessions_index">Sessions!$C$2:$KP$2</definedName>
    <definedName name="sessions_intervals_code">Sessions!$C$38:$KP$40</definedName>
    <definedName name="sessions_intervals_code_primary">Sessions!$C$38:$KP$38</definedName>
    <definedName name="sessions_intervals_code_secondary">Sessions!$C$39:$KP$39</definedName>
    <definedName name="sessions_intervals_code_tertiary">Sessions!$C$40:$KP$40</definedName>
    <definedName name="sessions_intervals_counter">Sessions!$C$41:$KP$41</definedName>
    <definedName name="sessions_intervals_index">Sessions!$C$35:$KP$37</definedName>
    <definedName name="sessions_intervals_selection">Sessions!$C$14:$KP$16</definedName>
    <definedName name="sessions_load">Sessions!$C$47:$KP$49</definedName>
    <definedName name="sessions_load_primary">Sessions!$C$47:$KP$47</definedName>
    <definedName name="sessions_load_secondary">Sessions!$C$48:$KP$48</definedName>
    <definedName name="sessions_load_tertiary">Sessions!$C$49:$KP$49</definedName>
    <definedName name="sessions_name">Sessions!$C$3:$KP$3</definedName>
    <definedName name="sessions_nutrition">Sessions!$C$17:$KP$17</definedName>
    <definedName name="sessions_nutrition_counter">Sessions!$C$42:$KP$42</definedName>
    <definedName name="sessions_nutrition_index">Sessions!$C$31:$KP$31</definedName>
    <definedName name="sessions_pace">Sessions!$C$56:$KP$58</definedName>
    <definedName name="sessions_pace_primary">Sessions!$C$56:$KP$56</definedName>
    <definedName name="sessions_pace_secondary">Sessions!$C$57:$KP$57</definedName>
    <definedName name="sessions_pace_tertiary">Sessions!$C$58:$KP$58</definedName>
    <definedName name="sessions_recoveries">Sessions!$C$46:$KP$46</definedName>
    <definedName name="sessions_sport">Sessions!$C$18:$KP$20</definedName>
    <definedName name="sessions_sport_group">Sessions!$C$4:$KP$4</definedName>
    <definedName name="sessions_sport_primary">Sessions!$C$18:$KP$18</definedName>
    <definedName name="sessions_sport_secondary">Sessions!$C$19:$KP$19</definedName>
    <definedName name="sessions_sport_selection">Sessions!$C$5:$KP$7</definedName>
    <definedName name="sessions_sport_tertiary">Sessions!$C$20:$KP$20</definedName>
    <definedName name="sessions_sport_TT_type">Sessions!$C$21:$KP$23</definedName>
    <definedName name="sessions_summaries">Sessions!$C$64:$KP$66</definedName>
    <definedName name="sessions_summary">Sessions!$C$68:$KP$68</definedName>
    <definedName name="sessions_summary_nutrition">Sessions!$C$67:$KP$67</definedName>
    <definedName name="sessions_summary_primary">Sessions!$C$64:$KP$64</definedName>
    <definedName name="sessions_summary_secondary">Sessions!$C$65:$KP$65</definedName>
    <definedName name="sessions_summary_tertiary">Sessions!$C$66:$KP$66</definedName>
    <definedName name="sessions_symbol">Sessions!$C$24:$KP$26</definedName>
    <definedName name="sessions_symbol_nutrition">Sessions!$C$27:$KP$27</definedName>
    <definedName name="sessions_symbol_primary">Sessions!$C$24:$KP$24</definedName>
    <definedName name="sessions_symbol_secondary">Sessions!$C$25:$KP$25</definedName>
    <definedName name="sessions_symbol_tertiary">Sessions!$C$26:$KP$26</definedName>
    <definedName name="sessions_TT_description_nutrition">Sessions!$C$83:$KP$83</definedName>
    <definedName name="sessions_TT_description_primary">Sessions!$C$80:$KP$80</definedName>
    <definedName name="sessions_TT_description_secondary">Sessions!$C$81:$KP$81</definedName>
    <definedName name="sessions_TT_description_tertiary">Sessions!$C$82:$KP$82</definedName>
    <definedName name="sessions_TT_descriptions">Sessions!$C$80:$KP$82</definedName>
    <definedName name="sessions_TT_summary">Sessions!$C$75:$KP$77</definedName>
    <definedName name="sessions_TT_summary_nutrition">Sessions!$C$78:$KP$78</definedName>
    <definedName name="sessions_TT_summary_primary">Sessions!$C$75:$KP$75</definedName>
    <definedName name="sessions_TT_summary_secondary">Sessions!$C$76:$KP$76</definedName>
    <definedName name="sessions_TT_summary_tertiary">Sessions!$C$77:$KP$77</definedName>
    <definedName name="sessions_WUWD">Sessions!$C$43:$KP$44</definedName>
    <definedName name="sessions_WUWD_primary">Sessions!$C$43:$KP$43</definedName>
    <definedName name="sessions_WUWD_secondary">Sessions!$C$44:$KP$44</definedName>
    <definedName name="sessions_WUWD_tertiary">Sessions!$C$45:$KP$45</definedName>
    <definedName name="specialisation">Controls!$B$3</definedName>
    <definedName name="specialisation_option_1">Controls!$F$3</definedName>
    <definedName name="specialisation_option_1_array">Controls!$F$5:$H$22</definedName>
    <definedName name="specialisation_option_2">Controls!$I$3</definedName>
    <definedName name="specialisation_option_2_array">Controls!$I$5:$K$22</definedName>
    <definedName name="specialisation_option_3">Controls!$L$3</definedName>
    <definedName name="specialisation_option_3_array">Controls!$L$5:$N$22</definedName>
    <definedName name="specialisation_option_4">Controls!$O$3</definedName>
    <definedName name="specialisation_option_4_array">Controls!$O$5:$Q$22</definedName>
    <definedName name="specialisation_option_5">Controls!$R$3</definedName>
    <definedName name="specialisation_option_5_array">Controls!$R$5:$T$22</definedName>
    <definedName name="specialisation_option_6">Controls!$U$3</definedName>
    <definedName name="specialisation_option_6_array">Controls!$U$5:$W$22</definedName>
    <definedName name="specialisation_option_7">Controls!$X$3</definedName>
    <definedName name="specialisation_option_7_array">Controls!$X$5:$Z$22</definedName>
    <definedName name="specialisation_option_8">Controls!$AA$3</definedName>
    <definedName name="specialisation_option_8_array">Controls!$AA$5:$AC$22</definedName>
    <definedName name="specialisation_option_selection_array">Controls!$AD$5:$AF$22</definedName>
    <definedName name="specialisations">Controls!$B$4:$B$11</definedName>
    <definedName name="sports">Sports!$D$2:$W$8</definedName>
    <definedName name="sports_crosstraining_name">Sports!$O$2:$Q$2</definedName>
    <definedName name="sports_cycling_name">Sports!$I$2:$K$2</definedName>
    <definedName name="sports_group">Sports!$D$4:$W$4</definedName>
    <definedName name="sports_name">Sports!$D$2:$W$2</definedName>
    <definedName name="sports_other_name">Sports!$S$2:$U$2</definedName>
    <definedName name="sports_running_name">Sports!$D$2:$H$2</definedName>
    <definedName name="sports_swimming_name">Sports!$L$2:$N$2</definedName>
    <definedName name="sports_symbol">Sports!$D$5:$W$5</definedName>
    <definedName name="sports_TT_type">Sports!$D$6:$W$6</definedName>
    <definedName name="starting_progression_rate">Athletes!$C$15:$J$15</definedName>
    <definedName name="strategies">Strategies!$C$2:$P$8</definedName>
    <definedName name="strategies_aim">Strategies!$C$5:$P$5</definedName>
    <definedName name="strategies_array">Plans!$E$5:$CZ$5</definedName>
    <definedName name="strategies_description">Strategies!$C$6:$P$6</definedName>
    <definedName name="strategies_name">Strategies!$C$2:$P$2</definedName>
    <definedName name="strategies_progression">Strategies!$C$8:$P$8</definedName>
    <definedName name="strategy_array">Plans!$E$13</definedName>
    <definedName name="tempo_split_12min">Intervals!$E$13:$L$16</definedName>
    <definedName name="tempo_split_6min">Intervals!$E$9:$L$12</definedName>
    <definedName name="tracker_days">'Form Tracker'!$C$1:$FN$1</definedName>
    <definedName name="tracker_fatigue_accumulative">'Form Tracker'!$C$7:$FN$7</definedName>
    <definedName name="tracker_fatigue_normalised">'Form Tracker'!$C$8:$FN$8</definedName>
    <definedName name="tracker_finish_date">'Form Tracker'!$FN$1</definedName>
    <definedName name="tracker_fitness_accumulative">'Form Tracker'!$C$9:$FN$9</definedName>
    <definedName name="tracker_fitness_normalised">'Form Tracker'!$C$10:$FN$10</definedName>
    <definedName name="tracker_form">'Form Tracker'!$C$11:$FN$11</definedName>
    <definedName name="tracker_load_afternoon">'Form Tracker'!$C$5:$FN$5</definedName>
    <definedName name="tracker_load_morning">'Form Tracker'!$C$4:$FN$4</definedName>
    <definedName name="tracker_start_date">'Form Tracker'!$C$1</definedName>
    <definedName name="tracker_week">'Form Tracker'!$C$3:$FN$3</definedName>
    <definedName name="tracker_weekday">'Form Tracker'!$C$2:$FN$2</definedName>
    <definedName name="TT_export_aim">'TT Export'!$G$2:$G$1009</definedName>
    <definedName name="TT_export_description">'TT Export'!$E$2:$E$1009</definedName>
    <definedName name="TT_export_name">'TT Export'!$I$2:$I$1009</definedName>
    <definedName name="TT_export_part">'TT Export'!$C$2:$C$1009</definedName>
    <definedName name="TT_export_slot_normal">'TT Export'!$B$2:$B$1009</definedName>
    <definedName name="TT_export_slot_TT">'TT Export'!$D$2:$D$1009</definedName>
    <definedName name="TT_export_TT_description">'TT Export'!$F$2:$F$1009</definedName>
    <definedName name="TT_export_week">'TT Export'!$A$2:$A$1009</definedName>
    <definedName name="TT_intervals">'TT Export'!$H$2:$H$1009</definedName>
  </definedNames>
  <calcPr calcId="181029"/>
</workbook>
</file>

<file path=xl/calcChain.xml><?xml version="1.0" encoding="utf-8"?>
<calcChain xmlns="http://schemas.openxmlformats.org/spreadsheetml/2006/main">
  <c r="D13" i="10" l="1"/>
  <c r="D10" i="10" l="1"/>
  <c r="H11" i="23" l="1"/>
  <c r="D11" i="23" l="1"/>
  <c r="D60" i="8" l="1"/>
  <c r="I60" i="8"/>
  <c r="N60" i="8"/>
  <c r="S60" i="8"/>
  <c r="X60" i="8"/>
  <c r="AC60" i="8"/>
  <c r="AH60" i="8"/>
  <c r="D87" i="8"/>
  <c r="I87" i="8"/>
  <c r="N87" i="8"/>
  <c r="S87" i="8"/>
  <c r="X87" i="8"/>
  <c r="AC87" i="8"/>
  <c r="AH87" i="8"/>
  <c r="D116" i="8"/>
  <c r="I116" i="8"/>
  <c r="N116" i="8"/>
  <c r="S116" i="8"/>
  <c r="X116" i="8"/>
  <c r="AC116" i="8"/>
  <c r="AH116" i="8"/>
  <c r="D143" i="8"/>
  <c r="I143" i="8"/>
  <c r="N143" i="8"/>
  <c r="S143" i="8"/>
  <c r="X143" i="8"/>
  <c r="AC143" i="8"/>
  <c r="AH143" i="8"/>
  <c r="D172" i="8"/>
  <c r="I172" i="8"/>
  <c r="N172" i="8"/>
  <c r="S172" i="8"/>
  <c r="X172" i="8"/>
  <c r="AC172" i="8"/>
  <c r="AH172" i="8"/>
  <c r="D199" i="8"/>
  <c r="I199" i="8"/>
  <c r="N199" i="8"/>
  <c r="S199" i="8"/>
  <c r="X199" i="8"/>
  <c r="AC199" i="8"/>
  <c r="AH199" i="8"/>
  <c r="D228" i="8"/>
  <c r="I228" i="8"/>
  <c r="N228" i="8"/>
  <c r="S228" i="8"/>
  <c r="X228" i="8"/>
  <c r="AC228" i="8"/>
  <c r="AH228" i="8"/>
  <c r="D255" i="8"/>
  <c r="I255" i="8"/>
  <c r="N255" i="8"/>
  <c r="S255" i="8"/>
  <c r="X255" i="8"/>
  <c r="AC255" i="8"/>
  <c r="AH255" i="8"/>
  <c r="D284" i="8"/>
  <c r="I284" i="8"/>
  <c r="N284" i="8"/>
  <c r="S284" i="8"/>
  <c r="X284" i="8"/>
  <c r="AC284" i="8"/>
  <c r="AH284" i="8"/>
  <c r="D311" i="8"/>
  <c r="I311" i="8"/>
  <c r="N311" i="8"/>
  <c r="S311" i="8"/>
  <c r="X311" i="8"/>
  <c r="AC311" i="8"/>
  <c r="AH311" i="8"/>
  <c r="D340" i="8"/>
  <c r="I340" i="8"/>
  <c r="N340" i="8"/>
  <c r="S340" i="8"/>
  <c r="X340" i="8"/>
  <c r="AC340" i="8"/>
  <c r="AH340" i="8"/>
  <c r="D367" i="8"/>
  <c r="I367" i="8"/>
  <c r="N367" i="8"/>
  <c r="S367" i="8"/>
  <c r="X367" i="8"/>
  <c r="AC367" i="8"/>
  <c r="AH367" i="8"/>
  <c r="D396" i="8"/>
  <c r="I396" i="8"/>
  <c r="N396" i="8"/>
  <c r="S396" i="8"/>
  <c r="X396" i="8"/>
  <c r="AC396" i="8"/>
  <c r="AH396" i="8"/>
  <c r="D423" i="8"/>
  <c r="I423" i="8"/>
  <c r="N423" i="8"/>
  <c r="S423" i="8"/>
  <c r="X423" i="8"/>
  <c r="AC423" i="8"/>
  <c r="AH423" i="8"/>
  <c r="D452" i="8"/>
  <c r="I452" i="8"/>
  <c r="N452" i="8"/>
  <c r="S452" i="8"/>
  <c r="X452" i="8"/>
  <c r="AC452" i="8"/>
  <c r="AH452" i="8"/>
  <c r="D479" i="8"/>
  <c r="I479" i="8"/>
  <c r="N479" i="8"/>
  <c r="S479" i="8"/>
  <c r="X479" i="8"/>
  <c r="AC479" i="8"/>
  <c r="AH479" i="8"/>
  <c r="D508" i="8"/>
  <c r="I508" i="8"/>
  <c r="N508" i="8"/>
  <c r="S508" i="8"/>
  <c r="X508" i="8"/>
  <c r="AC508" i="8"/>
  <c r="AH508" i="8"/>
  <c r="D535" i="8"/>
  <c r="I535" i="8"/>
  <c r="N535" i="8"/>
  <c r="S535" i="8"/>
  <c r="X535" i="8"/>
  <c r="AC535" i="8"/>
  <c r="AH535" i="8"/>
  <c r="D564" i="8"/>
  <c r="I564" i="8"/>
  <c r="N564" i="8"/>
  <c r="S564" i="8"/>
  <c r="X564" i="8"/>
  <c r="AC564" i="8"/>
  <c r="AH564" i="8"/>
  <c r="D591" i="8"/>
  <c r="I591" i="8"/>
  <c r="N591" i="8"/>
  <c r="S591" i="8"/>
  <c r="X591" i="8"/>
  <c r="AC591" i="8"/>
  <c r="AH591" i="8"/>
  <c r="D620" i="8"/>
  <c r="I620" i="8"/>
  <c r="N620" i="8"/>
  <c r="S620" i="8"/>
  <c r="X620" i="8"/>
  <c r="AC620" i="8"/>
  <c r="AH620" i="8"/>
  <c r="D647" i="8"/>
  <c r="I647" i="8"/>
  <c r="N647" i="8"/>
  <c r="S647" i="8"/>
  <c r="X647" i="8"/>
  <c r="AC647" i="8"/>
  <c r="AH647" i="8"/>
  <c r="D676" i="8"/>
  <c r="I676" i="8"/>
  <c r="N676" i="8"/>
  <c r="S676" i="8"/>
  <c r="X676" i="8"/>
  <c r="AC676" i="8"/>
  <c r="AH676" i="8"/>
  <c r="D703" i="8"/>
  <c r="I703" i="8"/>
  <c r="N703" i="8"/>
  <c r="S703" i="8"/>
  <c r="X703" i="8"/>
  <c r="AC703" i="8"/>
  <c r="AH703" i="8"/>
  <c r="D732" i="8"/>
  <c r="I732" i="8"/>
  <c r="N732" i="8"/>
  <c r="S732" i="8"/>
  <c r="X732" i="8"/>
  <c r="AC732" i="8"/>
  <c r="AH732" i="8"/>
  <c r="D759" i="8"/>
  <c r="I759" i="8"/>
  <c r="N759" i="8"/>
  <c r="S759" i="8"/>
  <c r="X759" i="8"/>
  <c r="AC759" i="8"/>
  <c r="AH759" i="8"/>
  <c r="D788" i="8"/>
  <c r="I788" i="8"/>
  <c r="N788" i="8"/>
  <c r="S788" i="8"/>
  <c r="X788" i="8"/>
  <c r="AC788" i="8"/>
  <c r="AH788" i="8"/>
  <c r="D815" i="8"/>
  <c r="I815" i="8"/>
  <c r="N815" i="8"/>
  <c r="S815" i="8"/>
  <c r="X815" i="8"/>
  <c r="AC815" i="8"/>
  <c r="AH815" i="8"/>
  <c r="D844" i="8"/>
  <c r="I844" i="8"/>
  <c r="N844" i="8"/>
  <c r="S844" i="8"/>
  <c r="X844" i="8"/>
  <c r="AC844" i="8"/>
  <c r="AH844" i="8"/>
  <c r="D871" i="8"/>
  <c r="I871" i="8"/>
  <c r="N871" i="8"/>
  <c r="S871" i="8"/>
  <c r="X871" i="8"/>
  <c r="AC871" i="8"/>
  <c r="AH871" i="8"/>
  <c r="D900" i="8"/>
  <c r="I900" i="8"/>
  <c r="N900" i="8"/>
  <c r="S900" i="8"/>
  <c r="X900" i="8"/>
  <c r="AC900" i="8"/>
  <c r="AH900" i="8"/>
  <c r="D927" i="8"/>
  <c r="I927" i="8"/>
  <c r="N927" i="8"/>
  <c r="S927" i="8"/>
  <c r="X927" i="8"/>
  <c r="AC927" i="8"/>
  <c r="AH927" i="8"/>
  <c r="D956" i="8"/>
  <c r="I956" i="8"/>
  <c r="N956" i="8"/>
  <c r="S956" i="8"/>
  <c r="X956" i="8"/>
  <c r="AC956" i="8"/>
  <c r="AH956" i="8"/>
  <c r="D983" i="8"/>
  <c r="I983" i="8"/>
  <c r="N983" i="8"/>
  <c r="S983" i="8"/>
  <c r="X983" i="8"/>
  <c r="AC983" i="8"/>
  <c r="AH983" i="8"/>
  <c r="D1012" i="8"/>
  <c r="I1012" i="8"/>
  <c r="N1012" i="8"/>
  <c r="S1012" i="8"/>
  <c r="X1012" i="8"/>
  <c r="AC1012" i="8"/>
  <c r="AH1012" i="8"/>
  <c r="D1039" i="8"/>
  <c r="I1039" i="8"/>
  <c r="N1039" i="8"/>
  <c r="S1039" i="8"/>
  <c r="X1039" i="8"/>
  <c r="AC1039" i="8"/>
  <c r="AH1039" i="8"/>
  <c r="D1068" i="8"/>
  <c r="I1068" i="8"/>
  <c r="N1068" i="8"/>
  <c r="S1068" i="8"/>
  <c r="X1068" i="8"/>
  <c r="AC1068" i="8"/>
  <c r="AH1068" i="8"/>
  <c r="D1095" i="8"/>
  <c r="I1095" i="8"/>
  <c r="N1095" i="8"/>
  <c r="S1095" i="8"/>
  <c r="X1095" i="8"/>
  <c r="AC1095" i="8"/>
  <c r="AH1095" i="8"/>
  <c r="D1124" i="8"/>
  <c r="I1124" i="8"/>
  <c r="N1124" i="8"/>
  <c r="S1124" i="8"/>
  <c r="X1124" i="8"/>
  <c r="AC1124" i="8"/>
  <c r="AH1124" i="8"/>
  <c r="D1151" i="8"/>
  <c r="I1151" i="8"/>
  <c r="N1151" i="8"/>
  <c r="S1151" i="8"/>
  <c r="X1151" i="8"/>
  <c r="AC1151" i="8"/>
  <c r="AH1151" i="8"/>
  <c r="D1180" i="8"/>
  <c r="I1180" i="8"/>
  <c r="N1180" i="8"/>
  <c r="S1180" i="8"/>
  <c r="X1180" i="8"/>
  <c r="AC1180" i="8"/>
  <c r="AH1180" i="8"/>
  <c r="D1207" i="8"/>
  <c r="I1207" i="8"/>
  <c r="N1207" i="8"/>
  <c r="S1207" i="8"/>
  <c r="X1207" i="8"/>
  <c r="AC1207" i="8"/>
  <c r="AH1207" i="8"/>
  <c r="D1236" i="8"/>
  <c r="I1236" i="8"/>
  <c r="N1236" i="8"/>
  <c r="S1236" i="8"/>
  <c r="X1236" i="8"/>
  <c r="AC1236" i="8"/>
  <c r="AH1236" i="8"/>
  <c r="D1263" i="8"/>
  <c r="I1263" i="8"/>
  <c r="N1263" i="8"/>
  <c r="S1263" i="8"/>
  <c r="X1263" i="8"/>
  <c r="AC1263" i="8"/>
  <c r="AH1263" i="8"/>
  <c r="D1292" i="8"/>
  <c r="I1292" i="8"/>
  <c r="N1292" i="8"/>
  <c r="S1292" i="8"/>
  <c r="X1292" i="8"/>
  <c r="AC1292" i="8"/>
  <c r="AH1292" i="8"/>
  <c r="D1319" i="8"/>
  <c r="I1319" i="8"/>
  <c r="N1319" i="8"/>
  <c r="S1319" i="8"/>
  <c r="X1319" i="8"/>
  <c r="AC1319" i="8"/>
  <c r="AH1319" i="8"/>
  <c r="AH31" i="8"/>
  <c r="AH4" i="8"/>
  <c r="AC31" i="8"/>
  <c r="AC4" i="8"/>
  <c r="X31" i="8"/>
  <c r="X4" i="8"/>
  <c r="S31" i="8"/>
  <c r="S4" i="8"/>
  <c r="N31" i="8"/>
  <c r="N4" i="8"/>
  <c r="I31" i="8"/>
  <c r="I4" i="8"/>
  <c r="C27" i="11" a="1"/>
  <c r="C27" i="11" s="1"/>
  <c r="JV27" i="11" l="1"/>
  <c r="HR27" i="11"/>
  <c r="FV27" i="11"/>
  <c r="DZ27" i="11"/>
  <c r="CD27" i="11"/>
  <c r="Z27" i="11"/>
  <c r="KC27" i="11"/>
  <c r="IO27" i="11"/>
  <c r="GS27" i="11"/>
  <c r="FE27" i="11"/>
  <c r="DQ27" i="11"/>
  <c r="AW27" i="11"/>
  <c r="JT27" i="11"/>
  <c r="DX27" i="11"/>
  <c r="H27" i="11"/>
  <c r="KL27" i="11"/>
  <c r="IP27" i="11"/>
  <c r="GT27" i="11"/>
  <c r="FF27" i="11"/>
  <c r="DR27" i="11"/>
  <c r="CL27" i="11"/>
  <c r="AX27" i="11"/>
  <c r="JM27" i="11"/>
  <c r="HI27" i="11"/>
  <c r="FM27" i="11"/>
  <c r="DY27" i="11"/>
  <c r="BU27" i="11"/>
  <c r="I27" i="11"/>
  <c r="JD27" i="11"/>
  <c r="IF27" i="11"/>
  <c r="GZ27" i="11"/>
  <c r="FT27" i="11"/>
  <c r="EF27" i="11"/>
  <c r="CR27" i="11"/>
  <c r="AV27" i="11"/>
  <c r="HO27" i="11"/>
  <c r="GA27" i="11"/>
  <c r="FK27" i="11"/>
  <c r="FC27" i="11"/>
  <c r="EM27" i="11"/>
  <c r="EE27" i="11"/>
  <c r="DW27" i="11"/>
  <c r="DO27" i="11"/>
  <c r="DG27" i="11"/>
  <c r="CY27" i="11"/>
  <c r="CQ27" i="11"/>
  <c r="CI27" i="11"/>
  <c r="CA27" i="11"/>
  <c r="BS27" i="11"/>
  <c r="BK27" i="11"/>
  <c r="BC27" i="11"/>
  <c r="AU27" i="11"/>
  <c r="AM27" i="11"/>
  <c r="AE27" i="11"/>
  <c r="W27" i="11"/>
  <c r="O27" i="11"/>
  <c r="G27" i="11"/>
  <c r="IX27" i="11"/>
  <c r="HB27" i="11"/>
  <c r="EX27" i="11"/>
  <c r="BV27" i="11"/>
  <c r="AH27" i="11"/>
  <c r="KK27" i="11"/>
  <c r="HY27" i="11"/>
  <c r="GC27" i="11"/>
  <c r="EG27" i="11"/>
  <c r="CS27" i="11"/>
  <c r="BM27" i="11"/>
  <c r="Q27" i="11"/>
  <c r="JL27" i="11"/>
  <c r="HH27" i="11"/>
  <c r="FD27" i="11"/>
  <c r="CZ27" i="11"/>
  <c r="P27" i="11"/>
  <c r="JS27" i="11"/>
  <c r="JC27" i="11"/>
  <c r="HW27" i="11"/>
  <c r="GQ27" i="11"/>
  <c r="FS27" i="11"/>
  <c r="EU27" i="11"/>
  <c r="KP27" i="11"/>
  <c r="KH27" i="11"/>
  <c r="JZ27" i="11"/>
  <c r="JR27" i="11"/>
  <c r="JJ27" i="11"/>
  <c r="JB27" i="11"/>
  <c r="IT27" i="11"/>
  <c r="IL27" i="11"/>
  <c r="ID27" i="11"/>
  <c r="HV27" i="11"/>
  <c r="HN27" i="11"/>
  <c r="HF27" i="11"/>
  <c r="GX27" i="11"/>
  <c r="GP27" i="11"/>
  <c r="GH27" i="11"/>
  <c r="FZ27" i="11"/>
  <c r="FR27" i="11"/>
  <c r="FJ27" i="11"/>
  <c r="FB27" i="11"/>
  <c r="ET27" i="11"/>
  <c r="EL27" i="11"/>
  <c r="ED27" i="11"/>
  <c r="DV27" i="11"/>
  <c r="DN27" i="11"/>
  <c r="DF27" i="11"/>
  <c r="CX27" i="11"/>
  <c r="CP27" i="11"/>
  <c r="CH27" i="11"/>
  <c r="BZ27" i="11"/>
  <c r="BR27" i="11"/>
  <c r="BJ27" i="11"/>
  <c r="BB27" i="11"/>
  <c r="AT27" i="11"/>
  <c r="AL27" i="11"/>
  <c r="AD27" i="11"/>
  <c r="V27" i="11"/>
  <c r="N27" i="11"/>
  <c r="F27" i="11"/>
  <c r="JF27" i="11"/>
  <c r="HJ27" i="11"/>
  <c r="FN27" i="11"/>
  <c r="DJ27" i="11"/>
  <c r="AP27" i="11"/>
  <c r="JE27" i="11"/>
  <c r="HA27" i="11"/>
  <c r="EW27" i="11"/>
  <c r="CK27" i="11"/>
  <c r="Y27" i="11"/>
  <c r="IV27" i="11"/>
  <c r="HP27" i="11"/>
  <c r="GB27" i="11"/>
  <c r="EV27" i="11"/>
  <c r="DH27" i="11"/>
  <c r="CB27" i="11"/>
  <c r="BD27" i="11"/>
  <c r="AN27" i="11"/>
  <c r="KA27" i="11"/>
  <c r="IM27" i="11"/>
  <c r="JQ27" i="11"/>
  <c r="IC27" i="11"/>
  <c r="GW27" i="11"/>
  <c r="FQ27" i="11"/>
  <c r="ES27" i="11"/>
  <c r="EC27" i="11"/>
  <c r="DE27" i="11"/>
  <c r="CW27" i="11"/>
  <c r="CG27" i="11"/>
  <c r="BY27" i="11"/>
  <c r="BI27" i="11"/>
  <c r="AS27" i="11"/>
  <c r="AK27" i="11"/>
  <c r="AC27" i="11"/>
  <c r="U27" i="11"/>
  <c r="M27" i="11"/>
  <c r="E27" i="11"/>
  <c r="KD27" i="11"/>
  <c r="HZ27" i="11"/>
  <c r="GD27" i="11"/>
  <c r="EH27" i="11"/>
  <c r="DB27" i="11"/>
  <c r="BN27" i="11"/>
  <c r="R27" i="11"/>
  <c r="IW27" i="11"/>
  <c r="HQ27" i="11"/>
  <c r="FU27" i="11"/>
  <c r="DI27" i="11"/>
  <c r="AO27" i="11"/>
  <c r="KB27" i="11"/>
  <c r="IN27" i="11"/>
  <c r="GR27" i="11"/>
  <c r="FL27" i="11"/>
  <c r="DP27" i="11"/>
  <c r="BT27" i="11"/>
  <c r="X27" i="11"/>
  <c r="KI27" i="11"/>
  <c r="JK27" i="11"/>
  <c r="IE27" i="11"/>
  <c r="GY27" i="11"/>
  <c r="KO27" i="11"/>
  <c r="JY27" i="11"/>
  <c r="JA27" i="11"/>
  <c r="IK27" i="11"/>
  <c r="HM27" i="11"/>
  <c r="GO27" i="11"/>
  <c r="FY27" i="11"/>
  <c r="FI27" i="11"/>
  <c r="FA27" i="11"/>
  <c r="EK27" i="11"/>
  <c r="DM27" i="11"/>
  <c r="BQ27" i="11"/>
  <c r="KN27" i="11"/>
  <c r="KF27" i="11"/>
  <c r="JX27" i="11"/>
  <c r="JP27" i="11"/>
  <c r="JH27" i="11"/>
  <c r="IZ27" i="11"/>
  <c r="IR27" i="11"/>
  <c r="IJ27" i="11"/>
  <c r="IB27" i="11"/>
  <c r="HT27" i="11"/>
  <c r="HL27" i="11"/>
  <c r="HD27" i="11"/>
  <c r="GV27" i="11"/>
  <c r="GN27" i="11"/>
  <c r="GF27" i="11"/>
  <c r="FX27" i="11"/>
  <c r="FP27" i="11"/>
  <c r="FH27" i="11"/>
  <c r="EZ27" i="11"/>
  <c r="ER27" i="11"/>
  <c r="EJ27" i="11"/>
  <c r="EB27" i="11"/>
  <c r="DT27" i="11"/>
  <c r="DL27" i="11"/>
  <c r="DD27" i="11"/>
  <c r="CV27" i="11"/>
  <c r="CN27" i="11"/>
  <c r="CF27" i="11"/>
  <c r="BX27" i="11"/>
  <c r="BP27" i="11"/>
  <c r="BH27" i="11"/>
  <c r="AZ27" i="11"/>
  <c r="AR27" i="11"/>
  <c r="AJ27" i="11"/>
  <c r="AB27" i="11"/>
  <c r="T27" i="11"/>
  <c r="L27" i="11"/>
  <c r="D27" i="11"/>
  <c r="JN27" i="11"/>
  <c r="IH27" i="11"/>
  <c r="GL27" i="11"/>
  <c r="EP27" i="11"/>
  <c r="CT27" i="11"/>
  <c r="BF27" i="11"/>
  <c r="J27" i="11"/>
  <c r="JU27" i="11"/>
  <c r="IG27" i="11"/>
  <c r="GK27" i="11"/>
  <c r="EO27" i="11"/>
  <c r="DA27" i="11"/>
  <c r="CC27" i="11"/>
  <c r="BE27" i="11"/>
  <c r="AG27" i="11"/>
  <c r="KJ27" i="11"/>
  <c r="HX27" i="11"/>
  <c r="GJ27" i="11"/>
  <c r="EN27" i="11"/>
  <c r="CJ27" i="11"/>
  <c r="BL27" i="11"/>
  <c r="AF27" i="11"/>
  <c r="IU27" i="11"/>
  <c r="HG27" i="11"/>
  <c r="GI27" i="11"/>
  <c r="KG27" i="11"/>
  <c r="JI27" i="11"/>
  <c r="IS27" i="11"/>
  <c r="HU27" i="11"/>
  <c r="HE27" i="11"/>
  <c r="GG27" i="11"/>
  <c r="DU27" i="11"/>
  <c r="CO27" i="11"/>
  <c r="BA27" i="11"/>
  <c r="KM27" i="11"/>
  <c r="KE27" i="11"/>
  <c r="JW27" i="11"/>
  <c r="JO27" i="11"/>
  <c r="JG27" i="11"/>
  <c r="IY27" i="11"/>
  <c r="IQ27" i="11"/>
  <c r="II27" i="11"/>
  <c r="IA27" i="11"/>
  <c r="HS27" i="11"/>
  <c r="HK27" i="11"/>
  <c r="HC27" i="11"/>
  <c r="GU27" i="11"/>
  <c r="GM27" i="11"/>
  <c r="GE27" i="11"/>
  <c r="FW27" i="11"/>
  <c r="FO27" i="11"/>
  <c r="FG27" i="11"/>
  <c r="EY27" i="11"/>
  <c r="EQ27" i="11"/>
  <c r="EI27" i="11"/>
  <c r="EA27" i="11"/>
  <c r="DS27" i="11"/>
  <c r="DK27" i="11"/>
  <c r="DC27" i="11"/>
  <c r="CU27" i="11"/>
  <c r="CM27" i="11"/>
  <c r="CE27" i="11"/>
  <c r="BW27" i="11"/>
  <c r="BO27" i="11"/>
  <c r="BG27" i="11"/>
  <c r="AY27" i="11"/>
  <c r="AQ27" i="11"/>
  <c r="AI27" i="11"/>
  <c r="AA27" i="11"/>
  <c r="S27" i="11"/>
  <c r="K27" i="11"/>
  <c r="D39" i="10" a="1"/>
  <c r="D39" i="10" s="1"/>
  <c r="D37" i="10" a="1"/>
  <c r="E37" i="10" s="1"/>
  <c r="D37" i="10"/>
  <c r="H37" i="10"/>
  <c r="L37" i="10"/>
  <c r="P37" i="10"/>
  <c r="T37" i="10"/>
  <c r="X37" i="10"/>
  <c r="C42" i="11" a="1"/>
  <c r="I42" i="11" s="1"/>
  <c r="B35" i="23" a="1"/>
  <c r="B37" i="23" s="1"/>
  <c r="C31" i="11" a="1"/>
  <c r="C31" i="11" s="1"/>
  <c r="CA9" i="17" a="1"/>
  <c r="CA22" i="17" s="1"/>
  <c r="CA9" i="17"/>
  <c r="BZ9" i="17" a="1"/>
  <c r="BZ21" i="17" s="1"/>
  <c r="BY9" i="17" a="1"/>
  <c r="BY14" i="17" s="1"/>
  <c r="BY9" i="17"/>
  <c r="CA16" i="17"/>
  <c r="CA13" i="17"/>
  <c r="CA20" i="17"/>
  <c r="CA11" i="17"/>
  <c r="CA15" i="17"/>
  <c r="CA10" i="17"/>
  <c r="CA17" i="17"/>
  <c r="BZ22" i="17"/>
  <c r="BZ19" i="17"/>
  <c r="BZ18" i="17"/>
  <c r="BZ14" i="17"/>
  <c r="BY13" i="17"/>
  <c r="BY20" i="17"/>
  <c r="BY11" i="17"/>
  <c r="BY10" i="17"/>
  <c r="BY16" i="17"/>
  <c r="BY15" i="17"/>
  <c r="BY21" i="17"/>
  <c r="BY12" i="17"/>
  <c r="BY19" i="17"/>
  <c r="F137" i="14"/>
  <c r="F150" i="14" s="1"/>
  <c r="F138" i="14"/>
  <c r="F151" i="14" s="1"/>
  <c r="F139" i="14"/>
  <c r="F152" i="14" s="1"/>
  <c r="F140" i="14"/>
  <c r="F136" i="14"/>
  <c r="F149" i="14" s="1"/>
  <c r="F132" i="14"/>
  <c r="F146" i="14" s="1"/>
  <c r="F133" i="14"/>
  <c r="F147" i="14" s="1"/>
  <c r="F134" i="14"/>
  <c r="F148" i="14" s="1"/>
  <c r="F135" i="14"/>
  <c r="F131" i="14"/>
  <c r="F145" i="14" s="1"/>
  <c r="F127" i="14"/>
  <c r="F142" i="14" s="1"/>
  <c r="F128" i="14"/>
  <c r="F143" i="14" s="1"/>
  <c r="F129" i="14"/>
  <c r="F144" i="14" s="1"/>
  <c r="F130" i="14"/>
  <c r="F126" i="14"/>
  <c r="F141" i="14" s="1"/>
  <c r="F109" i="14"/>
  <c r="F122" i="14" s="1"/>
  <c r="F107" i="14"/>
  <c r="F121" i="14" s="1"/>
  <c r="F101" i="14"/>
  <c r="F116" i="14" s="1"/>
  <c r="F110" i="14"/>
  <c r="F123" i="14" s="1"/>
  <c r="F111" i="14"/>
  <c r="F124" i="14" s="1"/>
  <c r="F112" i="14"/>
  <c r="F125" i="14" s="1"/>
  <c r="F113" i="14"/>
  <c r="F105" i="14"/>
  <c r="F119" i="14" s="1"/>
  <c r="F106" i="14"/>
  <c r="F120" i="14" s="1"/>
  <c r="F108" i="14"/>
  <c r="F104" i="14"/>
  <c r="F118" i="14" s="1"/>
  <c r="F100" i="14"/>
  <c r="F115" i="14"/>
  <c r="F102" i="14"/>
  <c r="F117" i="14" s="1"/>
  <c r="F103" i="14"/>
  <c r="F99" i="14"/>
  <c r="F114" i="14" s="1"/>
  <c r="F91" i="14"/>
  <c r="F92" i="14"/>
  <c r="F93" i="14"/>
  <c r="F94" i="14"/>
  <c r="F95" i="14"/>
  <c r="F96" i="14"/>
  <c r="F90" i="14"/>
  <c r="D4" i="8"/>
  <c r="D31" i="8"/>
  <c r="BT9" i="17" a="1"/>
  <c r="BT17" i="17"/>
  <c r="BU9" i="17" a="1"/>
  <c r="BU10" i="17" s="1"/>
  <c r="BS9" i="17" a="1"/>
  <c r="BS15" i="17" s="1"/>
  <c r="CX11" i="23"/>
  <c r="CB23" i="17" a="1"/>
  <c r="CB23" i="17" s="1"/>
  <c r="C41" i="11" a="1"/>
  <c r="CL41" i="11" s="1"/>
  <c r="X14" i="7"/>
  <c r="X13" i="7"/>
  <c r="X12" i="7"/>
  <c r="AA13" i="7"/>
  <c r="AA14" i="7"/>
  <c r="AA12" i="7"/>
  <c r="K8" i="7"/>
  <c r="I8" i="7"/>
  <c r="I7" i="7"/>
  <c r="I6" i="7"/>
  <c r="K6" i="7"/>
  <c r="K7" i="7"/>
  <c r="I11" i="23"/>
  <c r="L11" i="23"/>
  <c r="K11" i="23"/>
  <c r="J11" i="23"/>
  <c r="CG3" i="17" a="1"/>
  <c r="CU3" i="17" s="1"/>
  <c r="I23" i="23"/>
  <c r="J23" i="23"/>
  <c r="K23" i="23"/>
  <c r="L23" i="23"/>
  <c r="M23" i="23"/>
  <c r="N23" i="23"/>
  <c r="E11" i="23"/>
  <c r="D20" i="6"/>
  <c r="W5" i="7"/>
  <c r="W6" i="7"/>
  <c r="W7" i="7"/>
  <c r="W8" i="7"/>
  <c r="W9" i="7"/>
  <c r="W10" i="7"/>
  <c r="W11" i="7"/>
  <c r="W12" i="7"/>
  <c r="W13" i="7"/>
  <c r="W14" i="7"/>
  <c r="L154" i="14"/>
  <c r="K154" i="14"/>
  <c r="I154" i="14"/>
  <c r="E3" i="14"/>
  <c r="F3" i="14" s="1"/>
  <c r="G3" i="14" s="1"/>
  <c r="H3" i="14"/>
  <c r="I3" i="14" s="1"/>
  <c r="J3" i="14" s="1"/>
  <c r="K3" i="14" s="1"/>
  <c r="L3" i="14" s="1"/>
  <c r="M3" i="14" s="1"/>
  <c r="N3" i="14" s="1"/>
  <c r="O3" i="14" s="1"/>
  <c r="P3" i="14" s="1"/>
  <c r="Q3" i="14" s="1"/>
  <c r="R3" i="14" s="1"/>
  <c r="S3" i="14" s="1"/>
  <c r="T3" i="14" s="1"/>
  <c r="U3" i="14" s="1"/>
  <c r="V3" i="14" s="1"/>
  <c r="W3" i="14" s="1"/>
  <c r="X3" i="14" s="1"/>
  <c r="Y3" i="14" s="1"/>
  <c r="Z3" i="14" s="1"/>
  <c r="AA3" i="14" s="1"/>
  <c r="AB3" i="14" s="1"/>
  <c r="AC3" i="14" s="1"/>
  <c r="AD3" i="14" s="1"/>
  <c r="AE3" i="14" s="1"/>
  <c r="AF3" i="14" s="1"/>
  <c r="AG3" i="14" s="1"/>
  <c r="AH3" i="14" s="1"/>
  <c r="AI3" i="14" s="1"/>
  <c r="AJ3" i="14" s="1"/>
  <c r="AK3" i="14" s="1"/>
  <c r="AL3" i="14" s="1"/>
  <c r="AM3" i="14" s="1"/>
  <c r="AN3" i="14" s="1"/>
  <c r="AO3" i="14" s="1"/>
  <c r="AP3" i="14" s="1"/>
  <c r="AQ3" i="14" s="1"/>
  <c r="AR3" i="14" s="1"/>
  <c r="AS3" i="14" s="1"/>
  <c r="AT3" i="14" s="1"/>
  <c r="AU3" i="14" s="1"/>
  <c r="AV3" i="14" s="1"/>
  <c r="AW3" i="14" s="1"/>
  <c r="AX3" i="14" s="1"/>
  <c r="AY3" i="14" s="1"/>
  <c r="AZ3" i="14" s="1"/>
  <c r="BA3" i="14" s="1"/>
  <c r="BB3" i="14" s="1"/>
  <c r="BC3" i="14" s="1"/>
  <c r="BD3" i="14" s="1"/>
  <c r="BE3" i="14" s="1"/>
  <c r="BF3" i="14" s="1"/>
  <c r="BG3" i="14" s="1"/>
  <c r="BH3" i="14" s="1"/>
  <c r="BI3" i="14" s="1"/>
  <c r="BJ3" i="14" s="1"/>
  <c r="BK3" i="14" s="1"/>
  <c r="BL3" i="14" s="1"/>
  <c r="BM3" i="14" s="1"/>
  <c r="BN3" i="14" s="1"/>
  <c r="BO3" i="14" s="1"/>
  <c r="BP3" i="14" s="1"/>
  <c r="BQ3" i="14" s="1"/>
  <c r="BR3" i="14" s="1"/>
  <c r="BS3" i="14" s="1"/>
  <c r="BT3" i="14" s="1"/>
  <c r="BU3" i="14" s="1"/>
  <c r="BV3" i="14" s="1"/>
  <c r="BW3" i="14" s="1"/>
  <c r="BX3" i="14" s="1"/>
  <c r="BY3" i="14" s="1"/>
  <c r="BZ3" i="14" s="1"/>
  <c r="CA3" i="14" s="1"/>
  <c r="CB3" i="14" s="1"/>
  <c r="CC3" i="14" s="1"/>
  <c r="CD3" i="14" s="1"/>
  <c r="CE3" i="14" s="1"/>
  <c r="CF3" i="14" s="1"/>
  <c r="CG3" i="14" s="1"/>
  <c r="CH3" i="14" s="1"/>
  <c r="CI3" i="14" s="1"/>
  <c r="CJ3" i="14" s="1"/>
  <c r="CK3" i="14" s="1"/>
  <c r="CL3" i="14" s="1"/>
  <c r="CM3" i="14" s="1"/>
  <c r="CN3" i="14" s="1"/>
  <c r="CO3" i="14" s="1"/>
  <c r="CP3" i="14" s="1"/>
  <c r="CQ3" i="14" s="1"/>
  <c r="CR3" i="14" s="1"/>
  <c r="CS3" i="14" s="1"/>
  <c r="CT3" i="14" s="1"/>
  <c r="CU3" i="14" s="1"/>
  <c r="CV3" i="14" s="1"/>
  <c r="CW3" i="14" s="1"/>
  <c r="CX3" i="14" s="1"/>
  <c r="CY3" i="14" s="1"/>
  <c r="CZ3" i="14" s="1"/>
  <c r="D3" i="23"/>
  <c r="E3" i="23" s="1"/>
  <c r="F3" i="23" s="1"/>
  <c r="G3" i="23" s="1"/>
  <c r="H3" i="23" s="1"/>
  <c r="I3" i="23" s="1"/>
  <c r="J3" i="23" s="1"/>
  <c r="K3" i="23" s="1"/>
  <c r="L3" i="23" s="1"/>
  <c r="M3" i="23" s="1"/>
  <c r="N3" i="23" s="1"/>
  <c r="O3" i="23" s="1"/>
  <c r="P3" i="23" s="1"/>
  <c r="D3" i="7"/>
  <c r="E3" i="7" s="1"/>
  <c r="F3" i="7" s="1"/>
  <c r="G3" i="7" s="1"/>
  <c r="H3" i="7" s="1"/>
  <c r="I3" i="7" s="1"/>
  <c r="J3" i="7" s="1"/>
  <c r="K3" i="7" s="1"/>
  <c r="L3" i="7" s="1"/>
  <c r="M3" i="7" s="1"/>
  <c r="N3" i="7" s="1"/>
  <c r="O3" i="7" s="1"/>
  <c r="P3" i="7" s="1"/>
  <c r="Q3" i="7" s="1"/>
  <c r="R3" i="7" s="1"/>
  <c r="S3" i="7" s="1"/>
  <c r="T3" i="7" s="1"/>
  <c r="U3" i="7" s="1"/>
  <c r="V3" i="7" s="1"/>
  <c r="W3" i="7" s="1"/>
  <c r="X3" i="7" s="1"/>
  <c r="Y3" i="7" s="1"/>
  <c r="Z3" i="7" s="1"/>
  <c r="AA3" i="7" s="1"/>
  <c r="BB3" i="11"/>
  <c r="BA3" i="11"/>
  <c r="AZ3" i="11"/>
  <c r="AY3" i="11"/>
  <c r="AX3" i="11"/>
  <c r="AW3" i="11"/>
  <c r="AV3" i="11"/>
  <c r="AU3" i="11"/>
  <c r="AT3" i="11"/>
  <c r="AS3" i="11"/>
  <c r="AR3" i="11"/>
  <c r="AQ3" i="11"/>
  <c r="BM3" i="11"/>
  <c r="BN3" i="11"/>
  <c r="BO3" i="11"/>
  <c r="BP3" i="11"/>
  <c r="BQ3" i="11"/>
  <c r="BR3" i="11"/>
  <c r="BL3" i="11"/>
  <c r="BS3" i="11"/>
  <c r="BK3" i="11"/>
  <c r="F2" i="14"/>
  <c r="G2" i="14"/>
  <c r="H2" i="14"/>
  <c r="I2" i="14"/>
  <c r="J2" i="14"/>
  <c r="K2" i="14"/>
  <c r="L2" i="14"/>
  <c r="M2" i="14"/>
  <c r="N2" i="14"/>
  <c r="O2" i="14"/>
  <c r="P2" i="14"/>
  <c r="Q2" i="14"/>
  <c r="R2" i="14"/>
  <c r="S2" i="14"/>
  <c r="T2" i="14"/>
  <c r="U2" i="14"/>
  <c r="V2" i="14"/>
  <c r="W2" i="14"/>
  <c r="X2" i="14"/>
  <c r="Y2" i="14"/>
  <c r="Z2" i="14"/>
  <c r="AA2" i="14"/>
  <c r="AB2" i="14"/>
  <c r="AC2" i="14"/>
  <c r="AD2" i="14"/>
  <c r="AE2" i="14"/>
  <c r="AF2" i="14"/>
  <c r="AG2" i="14"/>
  <c r="AH2" i="14"/>
  <c r="AI2" i="14"/>
  <c r="AJ2" i="14"/>
  <c r="AK2" i="14"/>
  <c r="AL2" i="14"/>
  <c r="AM2" i="14"/>
  <c r="AN2" i="14"/>
  <c r="AO2" i="14"/>
  <c r="AP2" i="14"/>
  <c r="AQ2" i="14"/>
  <c r="AR2" i="14"/>
  <c r="AS2" i="14"/>
  <c r="AT2" i="14"/>
  <c r="AU2" i="14"/>
  <c r="AV2" i="14"/>
  <c r="AW2" i="14"/>
  <c r="AX2" i="14"/>
  <c r="AY2" i="14"/>
  <c r="AZ2" i="14"/>
  <c r="BA2" i="14"/>
  <c r="BB2" i="14"/>
  <c r="BC2" i="14"/>
  <c r="BD2" i="14"/>
  <c r="BE2" i="14"/>
  <c r="BF2" i="14"/>
  <c r="BG2" i="14"/>
  <c r="BH2" i="14"/>
  <c r="BI2" i="14"/>
  <c r="BJ2" i="14"/>
  <c r="BK2" i="14"/>
  <c r="BL2" i="14"/>
  <c r="BM2" i="14"/>
  <c r="BN2" i="14"/>
  <c r="BO2" i="14"/>
  <c r="BP2" i="14"/>
  <c r="BQ2" i="14"/>
  <c r="BR2" i="14"/>
  <c r="BS2" i="14"/>
  <c r="BT2" i="14"/>
  <c r="BU2" i="14"/>
  <c r="BV2" i="14"/>
  <c r="BW2" i="14"/>
  <c r="BX2" i="14"/>
  <c r="BY2" i="14"/>
  <c r="BZ2" i="14"/>
  <c r="CA2" i="14"/>
  <c r="CB2" i="14"/>
  <c r="CC2" i="14"/>
  <c r="CD2" i="14"/>
  <c r="CE2" i="14"/>
  <c r="CF2" i="14"/>
  <c r="CG2" i="14"/>
  <c r="CH2" i="14"/>
  <c r="CI2" i="14"/>
  <c r="CJ2" i="14"/>
  <c r="CK2" i="14"/>
  <c r="CL2" i="14"/>
  <c r="CM2" i="14"/>
  <c r="CN2" i="14"/>
  <c r="CO2" i="14"/>
  <c r="CP2" i="14"/>
  <c r="CQ2" i="14"/>
  <c r="CR2" i="14"/>
  <c r="CS2" i="14"/>
  <c r="CT2" i="14"/>
  <c r="CU2" i="14"/>
  <c r="CV2" i="14"/>
  <c r="CW2" i="14"/>
  <c r="CX2" i="14"/>
  <c r="CY2" i="14"/>
  <c r="CZ2" i="14"/>
  <c r="F4" i="14"/>
  <c r="G4" i="14"/>
  <c r="H4" i="14"/>
  <c r="I4" i="14"/>
  <c r="J4" i="14"/>
  <c r="K4" i="14"/>
  <c r="L4" i="14"/>
  <c r="M4" i="14"/>
  <c r="N4" i="14"/>
  <c r="O4" i="14"/>
  <c r="P4" i="14"/>
  <c r="Q4" i="14"/>
  <c r="R4" i="14"/>
  <c r="S4" i="14"/>
  <c r="T4" i="14"/>
  <c r="U4" i="14"/>
  <c r="V4" i="14"/>
  <c r="W4" i="14"/>
  <c r="X4" i="14"/>
  <c r="Y4" i="14"/>
  <c r="Z4" i="14"/>
  <c r="AA4" i="14"/>
  <c r="AB4" i="14"/>
  <c r="AC4" i="14"/>
  <c r="AD4" i="14"/>
  <c r="AE4" i="14"/>
  <c r="AF4" i="14"/>
  <c r="AG4" i="14"/>
  <c r="AH4" i="14"/>
  <c r="AI4" i="14"/>
  <c r="AJ4" i="14"/>
  <c r="AK4" i="14"/>
  <c r="AL4" i="14"/>
  <c r="AM4" i="14"/>
  <c r="AN4" i="14"/>
  <c r="AO4" i="14"/>
  <c r="AP4" i="14"/>
  <c r="AQ4" i="14"/>
  <c r="AR4" i="14"/>
  <c r="AS4" i="14"/>
  <c r="AT4" i="14"/>
  <c r="AU4" i="14"/>
  <c r="AV4" i="14"/>
  <c r="AW4" i="14"/>
  <c r="AX4" i="14"/>
  <c r="AY4" i="14"/>
  <c r="AZ4" i="14"/>
  <c r="BA4" i="14"/>
  <c r="BB4" i="14"/>
  <c r="BC4" i="14"/>
  <c r="BD4" i="14"/>
  <c r="BE4" i="14"/>
  <c r="BF4" i="14"/>
  <c r="BG4" i="14"/>
  <c r="BH4" i="14"/>
  <c r="BI4" i="14"/>
  <c r="BJ4" i="14"/>
  <c r="BK4" i="14"/>
  <c r="BL4" i="14"/>
  <c r="BM4" i="14"/>
  <c r="BN4" i="14"/>
  <c r="BO4" i="14"/>
  <c r="BP4" i="14"/>
  <c r="BQ4" i="14"/>
  <c r="BR4" i="14"/>
  <c r="BS4" i="14"/>
  <c r="BT4" i="14"/>
  <c r="BU4" i="14"/>
  <c r="BV4" i="14"/>
  <c r="BW4" i="14"/>
  <c r="BX4" i="14"/>
  <c r="BY4" i="14"/>
  <c r="BZ4" i="14"/>
  <c r="CA4" i="14"/>
  <c r="CB4" i="14"/>
  <c r="CC4" i="14"/>
  <c r="CD4" i="14"/>
  <c r="CE4" i="14"/>
  <c r="CF4" i="14"/>
  <c r="CG4" i="14"/>
  <c r="CH4" i="14"/>
  <c r="CI4" i="14"/>
  <c r="CJ4" i="14"/>
  <c r="CK4" i="14"/>
  <c r="CL4" i="14"/>
  <c r="CM4" i="14"/>
  <c r="CN4" i="14"/>
  <c r="CO4" i="14"/>
  <c r="CP4" i="14"/>
  <c r="CQ4" i="14"/>
  <c r="CR4" i="14"/>
  <c r="CS4" i="14"/>
  <c r="CT4" i="14"/>
  <c r="CU4" i="14"/>
  <c r="CV4" i="14"/>
  <c r="CW4" i="14"/>
  <c r="CX4" i="14"/>
  <c r="CY4" i="14"/>
  <c r="CZ4" i="14"/>
  <c r="E4" i="14"/>
  <c r="E2" i="14"/>
  <c r="C35" i="11" s="1" a="1"/>
  <c r="FM37" i="11" s="1"/>
  <c r="I83" i="14"/>
  <c r="I82" i="14"/>
  <c r="I81" i="14"/>
  <c r="I80" i="14"/>
  <c r="L83" i="14"/>
  <c r="K83" i="14"/>
  <c r="L82" i="14"/>
  <c r="K82" i="14"/>
  <c r="L81" i="14"/>
  <c r="K81" i="14"/>
  <c r="L80" i="14"/>
  <c r="K80" i="14"/>
  <c r="K79" i="14"/>
  <c r="K78" i="14"/>
  <c r="K77" i="14"/>
  <c r="K76" i="14"/>
  <c r="K74" i="14"/>
  <c r="K75" i="14"/>
  <c r="K73" i="14"/>
  <c r="K69" i="14"/>
  <c r="K68" i="14"/>
  <c r="K67" i="14"/>
  <c r="K66" i="14"/>
  <c r="K65" i="14"/>
  <c r="K64" i="14"/>
  <c r="K63" i="14"/>
  <c r="L67" i="14"/>
  <c r="I67" i="14"/>
  <c r="L66" i="14"/>
  <c r="I66" i="14"/>
  <c r="L65" i="14"/>
  <c r="I65" i="14"/>
  <c r="L64" i="14"/>
  <c r="I64" i="14"/>
  <c r="L63" i="14"/>
  <c r="I63" i="14"/>
  <c r="L62" i="14"/>
  <c r="I62" i="14"/>
  <c r="L32" i="14"/>
  <c r="K16" i="14"/>
  <c r="K15" i="14"/>
  <c r="K14" i="14"/>
  <c r="K13" i="14"/>
  <c r="K12" i="14"/>
  <c r="K11" i="14"/>
  <c r="K10" i="14"/>
  <c r="K9" i="14"/>
  <c r="L55" i="14"/>
  <c r="I55" i="14"/>
  <c r="L54" i="14"/>
  <c r="I54" i="14"/>
  <c r="L53" i="14"/>
  <c r="I53" i="14"/>
  <c r="L52" i="14"/>
  <c r="I52" i="14"/>
  <c r="L51" i="14"/>
  <c r="I51" i="14"/>
  <c r="L50" i="14"/>
  <c r="I50" i="14"/>
  <c r="L49" i="14"/>
  <c r="I49" i="14"/>
  <c r="L48" i="14"/>
  <c r="I48" i="14"/>
  <c r="L47" i="14"/>
  <c r="I47" i="14"/>
  <c r="L46" i="14"/>
  <c r="I46" i="14"/>
  <c r="L45" i="14"/>
  <c r="I45" i="14"/>
  <c r="L44" i="14"/>
  <c r="I44" i="14"/>
  <c r="H16" i="14"/>
  <c r="E16" i="14" s="1"/>
  <c r="H15" i="14"/>
  <c r="E15" i="14"/>
  <c r="H14" i="14"/>
  <c r="E14" i="14" s="1"/>
  <c r="H13" i="14"/>
  <c r="E13" i="14" s="1"/>
  <c r="L16" i="14"/>
  <c r="L15" i="14"/>
  <c r="L14" i="14"/>
  <c r="L13" i="14"/>
  <c r="L18" i="14"/>
  <c r="L19" i="14"/>
  <c r="L20" i="14"/>
  <c r="L21" i="14"/>
  <c r="L22" i="14"/>
  <c r="L23" i="14"/>
  <c r="L24" i="14"/>
  <c r="L17" i="14"/>
  <c r="H21" i="14"/>
  <c r="E21" i="14"/>
  <c r="L9" i="14"/>
  <c r="L10" i="14"/>
  <c r="L11" i="14"/>
  <c r="L12" i="14"/>
  <c r="C28" i="11" a="1"/>
  <c r="L30" i="11" s="1"/>
  <c r="B2" i="20" a="1"/>
  <c r="B148" i="20" s="1"/>
  <c r="B1590" i="24"/>
  <c r="B1606" i="24"/>
  <c r="B118" i="24"/>
  <c r="B134" i="24"/>
  <c r="B150" i="24"/>
  <c r="B166" i="24"/>
  <c r="B182" i="24"/>
  <c r="B198" i="24"/>
  <c r="B214" i="24"/>
  <c r="B230" i="24"/>
  <c r="B246" i="24"/>
  <c r="B262" i="24"/>
  <c r="B278" i="24"/>
  <c r="B294" i="24"/>
  <c r="B310" i="24"/>
  <c r="B326" i="24"/>
  <c r="B342" i="24"/>
  <c r="B358" i="24"/>
  <c r="B374" i="24"/>
  <c r="B390" i="24"/>
  <c r="B406" i="24"/>
  <c r="B422" i="24"/>
  <c r="B438" i="24"/>
  <c r="B454" i="24"/>
  <c r="B470" i="24"/>
  <c r="B486" i="24"/>
  <c r="B502" i="24"/>
  <c r="B518" i="24"/>
  <c r="B534" i="24"/>
  <c r="B550" i="24"/>
  <c r="B566" i="24"/>
  <c r="B582" i="24"/>
  <c r="B598" i="24"/>
  <c r="B614" i="24"/>
  <c r="B630" i="24"/>
  <c r="B646" i="24"/>
  <c r="B662" i="24"/>
  <c r="B678" i="24"/>
  <c r="B694" i="24"/>
  <c r="B710" i="24"/>
  <c r="B726" i="24"/>
  <c r="B742" i="24"/>
  <c r="B758" i="24"/>
  <c r="B774" i="24"/>
  <c r="B790" i="24"/>
  <c r="B806" i="24"/>
  <c r="B822" i="24"/>
  <c r="B838" i="24"/>
  <c r="B854" i="24"/>
  <c r="B870" i="24"/>
  <c r="B886" i="24"/>
  <c r="B902" i="24"/>
  <c r="B918" i="24"/>
  <c r="B934" i="24"/>
  <c r="B950" i="24"/>
  <c r="B966" i="24"/>
  <c r="B982" i="24"/>
  <c r="B998" i="24"/>
  <c r="B1014" i="24"/>
  <c r="B1030" i="24"/>
  <c r="B1046" i="24"/>
  <c r="B1062" i="24"/>
  <c r="B1078" i="24"/>
  <c r="B1094" i="24"/>
  <c r="B1110" i="24"/>
  <c r="B1126" i="24"/>
  <c r="B1142" i="24"/>
  <c r="B1158" i="24"/>
  <c r="B1174" i="24"/>
  <c r="B1190" i="24"/>
  <c r="B1206" i="24"/>
  <c r="B1222" i="24"/>
  <c r="B1238" i="24"/>
  <c r="B1254" i="24"/>
  <c r="B1270" i="24"/>
  <c r="B1286" i="24"/>
  <c r="B1302" i="24"/>
  <c r="B1318" i="24"/>
  <c r="B1334" i="24"/>
  <c r="B1350" i="24"/>
  <c r="B1366" i="24"/>
  <c r="B1382" i="24"/>
  <c r="B1398" i="24"/>
  <c r="B1414" i="24"/>
  <c r="B1430" i="24"/>
  <c r="B1446" i="24"/>
  <c r="B1462" i="24"/>
  <c r="B1478" i="24"/>
  <c r="B1494" i="24"/>
  <c r="B1510" i="24"/>
  <c r="B1526" i="24"/>
  <c r="B1542" i="24"/>
  <c r="B1558" i="24"/>
  <c r="B1574" i="24"/>
  <c r="B102" i="24"/>
  <c r="B86" i="24"/>
  <c r="B70" i="24"/>
  <c r="B54" i="24"/>
  <c r="B38" i="24"/>
  <c r="B22" i="24"/>
  <c r="F11" i="23"/>
  <c r="C15" i="23" a="1"/>
  <c r="C15" i="23" s="1"/>
  <c r="BA3" i="17"/>
  <c r="BB3" i="17"/>
  <c r="BC3" i="17"/>
  <c r="BD3" i="17" s="1"/>
  <c r="BE3" i="17" s="1"/>
  <c r="BF3" i="17" s="1"/>
  <c r="BG3" i="17"/>
  <c r="BH3" i="17" s="1"/>
  <c r="BI3" i="17" s="1"/>
  <c r="BJ3" i="17" s="1"/>
  <c r="BK3" i="17" s="1"/>
  <c r="BL3" i="17" s="1"/>
  <c r="BM3" i="17" s="1"/>
  <c r="BN3" i="17" s="1"/>
  <c r="BO3" i="17" s="1"/>
  <c r="BP3" i="17" s="1"/>
  <c r="AZ5" i="17"/>
  <c r="E5" i="24" a="1"/>
  <c r="BO5" i="24" s="1"/>
  <c r="E4" i="24" a="1"/>
  <c r="AK4" i="24" s="1"/>
  <c r="AV4" i="17"/>
  <c r="AU4" i="17"/>
  <c r="AT4" i="17"/>
  <c r="AS4" i="17"/>
  <c r="AR4" i="17"/>
  <c r="AQ4" i="17"/>
  <c r="AP4" i="17"/>
  <c r="AO4" i="17"/>
  <c r="AN4" i="17"/>
  <c r="AM4" i="17"/>
  <c r="AL4" i="17"/>
  <c r="AK4" i="17"/>
  <c r="AJ4" i="17"/>
  <c r="AG22" i="17"/>
  <c r="AG21" i="17"/>
  <c r="AG20" i="17"/>
  <c r="B11" i="17"/>
  <c r="B10" i="17"/>
  <c r="B9" i="17"/>
  <c r="B8" i="17"/>
  <c r="B7" i="17"/>
  <c r="B6" i="17"/>
  <c r="B5" i="17"/>
  <c r="B4" i="17"/>
  <c r="K85" i="14"/>
  <c r="I85" i="14"/>
  <c r="L85" i="14"/>
  <c r="I79" i="14"/>
  <c r="I78" i="14"/>
  <c r="I77" i="14"/>
  <c r="I76" i="14"/>
  <c r="L79" i="14"/>
  <c r="L78" i="14"/>
  <c r="L77" i="14"/>
  <c r="L76" i="14"/>
  <c r="L75" i="14"/>
  <c r="I75" i="14"/>
  <c r="L74" i="14"/>
  <c r="I74" i="14"/>
  <c r="L73" i="14"/>
  <c r="I73" i="14"/>
  <c r="L72" i="14"/>
  <c r="K72" i="14"/>
  <c r="I72" i="14"/>
  <c r="K84" i="14"/>
  <c r="K71" i="14"/>
  <c r="K70" i="14"/>
  <c r="I71" i="14"/>
  <c r="I70" i="14"/>
  <c r="I69" i="14"/>
  <c r="L69" i="14"/>
  <c r="L70" i="14"/>
  <c r="L71" i="14"/>
  <c r="I68" i="14"/>
  <c r="L68" i="14"/>
  <c r="L152" i="14"/>
  <c r="K152" i="14"/>
  <c r="H152" i="14"/>
  <c r="L151" i="14"/>
  <c r="K151" i="14"/>
  <c r="H151" i="14"/>
  <c r="L150" i="14"/>
  <c r="K150" i="14"/>
  <c r="H150" i="14"/>
  <c r="L149" i="14"/>
  <c r="K149" i="14"/>
  <c r="H149" i="14"/>
  <c r="L148" i="14"/>
  <c r="K148" i="14"/>
  <c r="H148" i="14"/>
  <c r="L147" i="14"/>
  <c r="K147" i="14"/>
  <c r="H147" i="14"/>
  <c r="L146" i="14"/>
  <c r="K146" i="14"/>
  <c r="H146" i="14"/>
  <c r="L145" i="14"/>
  <c r="K145" i="14"/>
  <c r="H145" i="14"/>
  <c r="L144" i="14"/>
  <c r="K144" i="14"/>
  <c r="H144" i="14"/>
  <c r="L143" i="14"/>
  <c r="K143" i="14"/>
  <c r="H143" i="14"/>
  <c r="L142" i="14"/>
  <c r="K142" i="14"/>
  <c r="H142" i="14"/>
  <c r="L141" i="14"/>
  <c r="K141" i="14"/>
  <c r="H141" i="14"/>
  <c r="L140" i="14"/>
  <c r="K140" i="14"/>
  <c r="H140" i="14"/>
  <c r="L139" i="14"/>
  <c r="K139" i="14"/>
  <c r="H139" i="14"/>
  <c r="L138" i="14"/>
  <c r="K138" i="14"/>
  <c r="H138" i="14"/>
  <c r="L137" i="14"/>
  <c r="K137" i="14"/>
  <c r="H137" i="14"/>
  <c r="L136" i="14"/>
  <c r="K136" i="14"/>
  <c r="H136" i="14"/>
  <c r="L135" i="14"/>
  <c r="K135" i="14"/>
  <c r="H135" i="14"/>
  <c r="L134" i="14"/>
  <c r="K134" i="14"/>
  <c r="H134" i="14"/>
  <c r="L133" i="14"/>
  <c r="K133" i="14"/>
  <c r="H133" i="14"/>
  <c r="L132" i="14"/>
  <c r="K132" i="14"/>
  <c r="H132" i="14"/>
  <c r="L131" i="14"/>
  <c r="K131" i="14"/>
  <c r="H131" i="14"/>
  <c r="L130" i="14"/>
  <c r="K130" i="14"/>
  <c r="H130" i="14"/>
  <c r="L129" i="14"/>
  <c r="K129" i="14"/>
  <c r="H129" i="14"/>
  <c r="L128" i="14"/>
  <c r="K128" i="14"/>
  <c r="H128" i="14"/>
  <c r="L127" i="14"/>
  <c r="K127" i="14"/>
  <c r="H127" i="14"/>
  <c r="L126" i="14"/>
  <c r="K126" i="14"/>
  <c r="H126" i="14"/>
  <c r="K117" i="14"/>
  <c r="K116" i="14"/>
  <c r="K115" i="14"/>
  <c r="K114" i="14"/>
  <c r="K112" i="14"/>
  <c r="K111" i="14"/>
  <c r="K110" i="14"/>
  <c r="K109" i="14"/>
  <c r="K108" i="14"/>
  <c r="K107" i="14"/>
  <c r="K106" i="14"/>
  <c r="K105" i="14"/>
  <c r="K104" i="14"/>
  <c r="K103" i="14"/>
  <c r="K102" i="14"/>
  <c r="K101" i="14"/>
  <c r="K100" i="14"/>
  <c r="K99" i="14"/>
  <c r="K113" i="14"/>
  <c r="H113" i="14"/>
  <c r="L112" i="14"/>
  <c r="H112" i="14"/>
  <c r="H108" i="14"/>
  <c r="L107" i="14"/>
  <c r="H107" i="14"/>
  <c r="H103" i="14"/>
  <c r="L102" i="14"/>
  <c r="H102" i="14"/>
  <c r="L90" i="14"/>
  <c r="L91" i="14"/>
  <c r="L92" i="14"/>
  <c r="L93" i="14"/>
  <c r="L94" i="14"/>
  <c r="L95" i="14"/>
  <c r="L96" i="14"/>
  <c r="K96" i="14"/>
  <c r="K95" i="14"/>
  <c r="K94" i="14"/>
  <c r="K93" i="14"/>
  <c r="K92" i="14"/>
  <c r="K91" i="14"/>
  <c r="K90" i="14"/>
  <c r="I96" i="14"/>
  <c r="I95" i="14"/>
  <c r="I94" i="14"/>
  <c r="I93" i="14"/>
  <c r="I92" i="14"/>
  <c r="I91" i="14"/>
  <c r="I90" i="14"/>
  <c r="L86" i="14"/>
  <c r="I86" i="14"/>
  <c r="L89" i="14"/>
  <c r="I89" i="14"/>
  <c r="L87" i="14"/>
  <c r="I87" i="14"/>
  <c r="L88" i="14"/>
  <c r="I88" i="14"/>
  <c r="L125" i="14"/>
  <c r="K125" i="14"/>
  <c r="H125" i="14"/>
  <c r="L124" i="14"/>
  <c r="K124" i="14"/>
  <c r="H124" i="14"/>
  <c r="L123" i="14"/>
  <c r="K123" i="14"/>
  <c r="H123" i="14"/>
  <c r="L122" i="14"/>
  <c r="K122" i="14"/>
  <c r="H122" i="14"/>
  <c r="L121" i="14"/>
  <c r="K121" i="14"/>
  <c r="H121" i="14"/>
  <c r="L120" i="14"/>
  <c r="K120" i="14"/>
  <c r="H120" i="14"/>
  <c r="L119" i="14"/>
  <c r="K119" i="14"/>
  <c r="H119" i="14"/>
  <c r="L118" i="14"/>
  <c r="K118" i="14"/>
  <c r="H118" i="14"/>
  <c r="L117" i="14"/>
  <c r="H117" i="14"/>
  <c r="L116" i="14"/>
  <c r="H116" i="14"/>
  <c r="L115" i="14"/>
  <c r="H115" i="14"/>
  <c r="L114" i="14"/>
  <c r="H114" i="14"/>
  <c r="I84" i="14"/>
  <c r="H31" i="14"/>
  <c r="E31" i="14"/>
  <c r="H30" i="14"/>
  <c r="E30" i="14" s="1"/>
  <c r="K61" i="14"/>
  <c r="K60" i="14"/>
  <c r="K59" i="14"/>
  <c r="K58" i="14"/>
  <c r="K57" i="14"/>
  <c r="K29" i="14"/>
  <c r="L153" i="14"/>
  <c r="L113" i="14"/>
  <c r="L111" i="14"/>
  <c r="L110" i="14"/>
  <c r="L109" i="14"/>
  <c r="L108" i="14"/>
  <c r="L106" i="14"/>
  <c r="L105" i="14"/>
  <c r="L104" i="14"/>
  <c r="L103" i="14"/>
  <c r="L101" i="14"/>
  <c r="L100" i="14"/>
  <c r="L99" i="14"/>
  <c r="L98" i="14"/>
  <c r="L97" i="14"/>
  <c r="L84" i="14"/>
  <c r="L33" i="14"/>
  <c r="L34" i="14"/>
  <c r="L35" i="14"/>
  <c r="L36" i="14"/>
  <c r="L37" i="14"/>
  <c r="L38" i="14"/>
  <c r="L39" i="14"/>
  <c r="L40" i="14"/>
  <c r="L41" i="14"/>
  <c r="L42" i="14"/>
  <c r="L43" i="14"/>
  <c r="L57" i="14"/>
  <c r="L58" i="14"/>
  <c r="L59" i="14"/>
  <c r="L60" i="14"/>
  <c r="L61" i="14"/>
  <c r="L56" i="14"/>
  <c r="L30" i="14"/>
  <c r="L31" i="14"/>
  <c r="L29" i="14"/>
  <c r="L28" i="14"/>
  <c r="L27" i="14"/>
  <c r="L26" i="14"/>
  <c r="L25" i="14"/>
  <c r="H24" i="14"/>
  <c r="E24" i="14" s="1"/>
  <c r="H23" i="14"/>
  <c r="E23" i="14" s="1"/>
  <c r="H22" i="14"/>
  <c r="E22" i="14"/>
  <c r="I32" i="14"/>
  <c r="I33" i="14"/>
  <c r="I34" i="14"/>
  <c r="I36" i="14"/>
  <c r="I35" i="14"/>
  <c r="I57" i="14"/>
  <c r="I56" i="14"/>
  <c r="H20" i="14"/>
  <c r="E20" i="14" s="1"/>
  <c r="H19" i="14"/>
  <c r="E19" i="14"/>
  <c r="H18" i="14"/>
  <c r="E18" i="14" s="1"/>
  <c r="H17" i="14"/>
  <c r="E17" i="14"/>
  <c r="H12" i="14"/>
  <c r="E12" i="14" s="1"/>
  <c r="H10" i="14"/>
  <c r="E10" i="14"/>
  <c r="H9" i="14"/>
  <c r="E9" i="14" s="1"/>
  <c r="H11" i="14"/>
  <c r="E11" i="14"/>
  <c r="E29" i="14"/>
  <c r="K153" i="14"/>
  <c r="H153" i="14"/>
  <c r="E153" i="14"/>
  <c r="H111" i="14"/>
  <c r="H110" i="14"/>
  <c r="H109" i="14"/>
  <c r="H106" i="14"/>
  <c r="H105" i="14"/>
  <c r="H104" i="14"/>
  <c r="H101" i="14"/>
  <c r="H100" i="14"/>
  <c r="H99" i="14"/>
  <c r="I98" i="14"/>
  <c r="K98" i="14" s="1"/>
  <c r="I97" i="14"/>
  <c r="K97" i="14" s="1"/>
  <c r="I43" i="14"/>
  <c r="I42" i="14"/>
  <c r="I41" i="14"/>
  <c r="I40" i="14"/>
  <c r="I39" i="14"/>
  <c r="I38" i="14"/>
  <c r="I37" i="14"/>
  <c r="I61" i="14"/>
  <c r="I60" i="14"/>
  <c r="I59" i="14"/>
  <c r="I58" i="14"/>
  <c r="BF4" i="24"/>
  <c r="BP4" i="24"/>
  <c r="CX4" i="24"/>
  <c r="K30" i="14"/>
  <c r="BK4" i="24"/>
  <c r="CA4" i="24"/>
  <c r="N4" i="24"/>
  <c r="CV4" i="24"/>
  <c r="AQ4" i="24"/>
  <c r="AN4" i="24"/>
  <c r="Y4" i="24"/>
  <c r="CQ4" i="24"/>
  <c r="BM4" i="24"/>
  <c r="CG4" i="24"/>
  <c r="B146" i="20"/>
  <c r="CE4" i="24"/>
  <c r="BB4" i="24"/>
  <c r="AH4" i="24"/>
  <c r="AY4" i="24"/>
  <c r="CN4" i="24"/>
  <c r="J4" i="24"/>
  <c r="K4" i="24"/>
  <c r="BY4" i="24"/>
  <c r="BJ4" i="24"/>
  <c r="K31" i="14"/>
  <c r="B100" i="20"/>
  <c r="BG4" i="24"/>
  <c r="CM4" i="24"/>
  <c r="AB4" i="24"/>
  <c r="BR4" i="24"/>
  <c r="CJ4" i="24"/>
  <c r="AD4" i="24"/>
  <c r="AF4" i="24"/>
  <c r="CW4" i="24"/>
  <c r="DD3" i="17"/>
  <c r="AG4" i="24"/>
  <c r="BX4" i="24"/>
  <c r="CO4" i="24"/>
  <c r="AJ4" i="24"/>
  <c r="BQ4" i="24"/>
  <c r="BA4" i="24"/>
  <c r="CU4" i="24"/>
  <c r="CC4" i="24"/>
  <c r="M4" i="24"/>
  <c r="AO4" i="24"/>
  <c r="CF4" i="24"/>
  <c r="BV4" i="24"/>
  <c r="BS4" i="24"/>
  <c r="CY4" i="24"/>
  <c r="AR4" i="24"/>
  <c r="CH4" i="24"/>
  <c r="CZ4" i="24"/>
  <c r="AT4" i="24"/>
  <c r="U4" i="24"/>
  <c r="CS3" i="17"/>
  <c r="BS11" i="17"/>
  <c r="BT13" i="17"/>
  <c r="BS10" i="17"/>
  <c r="BT12" i="17"/>
  <c r="BS13" i="17"/>
  <c r="BU17" i="17"/>
  <c r="BT11" i="17"/>
  <c r="B228" i="20"/>
  <c r="B206" i="20"/>
  <c r="B48" i="20"/>
  <c r="B37" i="20"/>
  <c r="B292" i="20"/>
  <c r="B69" i="20"/>
  <c r="B131" i="20"/>
  <c r="B282" i="20"/>
  <c r="B78" i="20"/>
  <c r="B127" i="20"/>
  <c r="B178" i="20"/>
  <c r="B263" i="20"/>
  <c r="B86" i="20"/>
  <c r="B230" i="20"/>
  <c r="B125" i="20"/>
  <c r="B199" i="20"/>
  <c r="B97" i="20"/>
  <c r="B182" i="20"/>
  <c r="B98" i="20"/>
  <c r="B183" i="20"/>
  <c r="B138" i="20"/>
  <c r="B181" i="20"/>
  <c r="B252" i="20"/>
  <c r="B284" i="20"/>
  <c r="B271" i="20"/>
  <c r="B187" i="20"/>
  <c r="B192" i="20"/>
  <c r="B224" i="20"/>
  <c r="B19" i="20"/>
  <c r="B62" i="20"/>
  <c r="B149" i="20"/>
  <c r="B234" i="20"/>
  <c r="B40" i="20"/>
  <c r="B72" i="20"/>
  <c r="B119" i="20"/>
  <c r="B162" i="20"/>
  <c r="B243" i="20"/>
  <c r="B31" i="20"/>
  <c r="B38" i="20"/>
  <c r="B251" i="20"/>
  <c r="CZ3" i="17"/>
  <c r="CQ3" i="17"/>
  <c r="CP3" i="17"/>
  <c r="DC3" i="17"/>
  <c r="CO3" i="17"/>
  <c r="CX3" i="17"/>
  <c r="CI3" i="17"/>
  <c r="DA3" i="17"/>
  <c r="BU13" i="17"/>
  <c r="BT18" i="17"/>
  <c r="BT20" i="17"/>
  <c r="BT10" i="17"/>
  <c r="BU14" i="17"/>
  <c r="BT19" i="17"/>
  <c r="BT21" i="17"/>
  <c r="BU22" i="17"/>
  <c r="BT16" i="17"/>
  <c r="BT14" i="17"/>
  <c r="BU15" i="17"/>
  <c r="BT22" i="17"/>
  <c r="BU16" i="17"/>
  <c r="BT9" i="17"/>
  <c r="BT23" i="17" s="1"/>
  <c r="BT15" i="17"/>
  <c r="BU9" i="17"/>
  <c r="B73" i="20" l="1"/>
  <c r="B275" i="20"/>
  <c r="B64" i="20"/>
  <c r="B227" i="20"/>
  <c r="B70" i="20"/>
  <c r="B184" i="20"/>
  <c r="B26" i="20"/>
  <c r="B180" i="20"/>
  <c r="B15" i="20"/>
  <c r="B236" i="20"/>
  <c r="B276" i="20"/>
  <c r="B87" i="20"/>
  <c r="B170" i="20"/>
  <c r="B135" i="20"/>
  <c r="B8" i="20"/>
  <c r="B145" i="20"/>
  <c r="B245" i="20"/>
  <c r="B264" i="20"/>
  <c r="B209" i="20"/>
  <c r="B151" i="20"/>
  <c r="B179" i="20"/>
  <c r="B202" i="20"/>
  <c r="B30" i="20"/>
  <c r="B200" i="20"/>
  <c r="B289" i="20"/>
  <c r="B233" i="20"/>
  <c r="B66" i="20"/>
  <c r="B32" i="20"/>
  <c r="B185" i="20"/>
  <c r="B246" i="20"/>
  <c r="B137" i="20"/>
  <c r="B152" i="20"/>
  <c r="B169" i="20"/>
  <c r="B132" i="20"/>
  <c r="B249" i="20"/>
  <c r="B65" i="20"/>
  <c r="B24" i="20"/>
  <c r="B108" i="20"/>
  <c r="B260" i="20"/>
  <c r="B250" i="20"/>
  <c r="B4" i="20"/>
  <c r="B82" i="20"/>
  <c r="B25" i="20"/>
  <c r="B57" i="20"/>
  <c r="B130" i="20"/>
  <c r="B133" i="20"/>
  <c r="B175" i="20"/>
  <c r="B43" i="20"/>
  <c r="B281" i="20"/>
  <c r="B244" i="20"/>
  <c r="B165" i="20"/>
  <c r="B215" i="20"/>
  <c r="B118" i="20"/>
  <c r="B103" i="20"/>
  <c r="B54" i="20"/>
  <c r="B156" i="20"/>
  <c r="B157" i="20"/>
  <c r="B297" i="20"/>
  <c r="B11" i="20"/>
  <c r="B68" i="20"/>
  <c r="B93" i="20"/>
  <c r="B142" i="20"/>
  <c r="B207" i="20"/>
  <c r="B36" i="20"/>
  <c r="B300" i="20"/>
  <c r="B35" i="20"/>
  <c r="B143" i="20"/>
  <c r="B150" i="20"/>
  <c r="B240" i="20"/>
  <c r="B41" i="20"/>
  <c r="B85" i="20"/>
  <c r="B273" i="20"/>
  <c r="B248" i="20"/>
  <c r="B226" i="20"/>
  <c r="B222" i="20"/>
  <c r="B266" i="20"/>
  <c r="B219" i="20"/>
  <c r="B189" i="20"/>
  <c r="B186" i="20"/>
  <c r="B155" i="20"/>
  <c r="B96" i="20"/>
  <c r="B288" i="20"/>
  <c r="B194" i="20"/>
  <c r="B105" i="20"/>
  <c r="B63" i="20"/>
  <c r="B277" i="20"/>
  <c r="B198" i="20"/>
  <c r="B136" i="20"/>
  <c r="B296" i="20"/>
  <c r="B205" i="20"/>
  <c r="B158" i="20"/>
  <c r="B74" i="20"/>
  <c r="B287" i="20"/>
  <c r="B214" i="20"/>
  <c r="B126" i="20"/>
  <c r="B28" i="20"/>
  <c r="B295" i="20"/>
  <c r="B225" i="20"/>
  <c r="B174" i="20"/>
  <c r="B195" i="20"/>
  <c r="B238" i="20"/>
  <c r="B29" i="20"/>
  <c r="B122" i="20"/>
  <c r="B212" i="20"/>
  <c r="B253" i="20"/>
  <c r="B81" i="20"/>
  <c r="B291" i="20"/>
  <c r="B10" i="20"/>
  <c r="B123" i="20"/>
  <c r="B203" i="20"/>
  <c r="B90" i="20"/>
  <c r="B241" i="20"/>
  <c r="B88" i="20"/>
  <c r="B196" i="20"/>
  <c r="B101" i="20"/>
  <c r="B61" i="20"/>
  <c r="B298" i="20"/>
  <c r="B51" i="20"/>
  <c r="B27" i="20"/>
  <c r="B83" i="20"/>
  <c r="B171" i="20"/>
  <c r="B208" i="20"/>
  <c r="B9" i="20"/>
  <c r="B53" i="20"/>
  <c r="B59" i="20"/>
  <c r="B164" i="20"/>
  <c r="B167" i="20"/>
  <c r="B217" i="20"/>
  <c r="B33" i="20"/>
  <c r="B80" i="20"/>
  <c r="B50" i="20"/>
  <c r="B163" i="20"/>
  <c r="B218" i="20"/>
  <c r="B44" i="20"/>
  <c r="B55" i="20"/>
  <c r="B99" i="20"/>
  <c r="B154" i="20"/>
  <c r="B120" i="20"/>
  <c r="B280" i="20"/>
  <c r="B269" i="20"/>
  <c r="B95" i="20"/>
  <c r="B91" i="20"/>
  <c r="B177" i="20"/>
  <c r="B274" i="20"/>
  <c r="B229" i="20"/>
  <c r="B278" i="20"/>
  <c r="B160" i="20"/>
  <c r="B23" i="20"/>
  <c r="B237" i="20"/>
  <c r="B190" i="20"/>
  <c r="B106" i="20"/>
  <c r="B102" i="20"/>
  <c r="B299" i="20"/>
  <c r="B168" i="20"/>
  <c r="B34" i="20"/>
  <c r="B290" i="20"/>
  <c r="B201" i="20"/>
  <c r="B117" i="20"/>
  <c r="B161" i="20"/>
  <c r="B134" i="20"/>
  <c r="B18" i="20"/>
  <c r="B56" i="20"/>
  <c r="B13" i="20"/>
  <c r="B52" i="20"/>
  <c r="B172" i="20"/>
  <c r="B20" i="20"/>
  <c r="B67" i="20"/>
  <c r="B193" i="20"/>
  <c r="B58" i="20"/>
  <c r="B124" i="20"/>
  <c r="CF5" i="24"/>
  <c r="M5" i="24"/>
  <c r="CL5" i="24"/>
  <c r="BI5" i="24"/>
  <c r="AO5" i="24"/>
  <c r="AS5" i="24"/>
  <c r="CX5" i="24"/>
  <c r="CI5" i="24"/>
  <c r="AP5" i="24"/>
  <c r="R5" i="24"/>
  <c r="AR5" i="24"/>
  <c r="CO5" i="24"/>
  <c r="BX5" i="24"/>
  <c r="F5" i="24"/>
  <c r="CB5" i="24"/>
  <c r="BA5" i="24"/>
  <c r="O5" i="24"/>
  <c r="T5" i="24"/>
  <c r="AC5" i="24"/>
  <c r="P5" i="24"/>
  <c r="BL5" i="24"/>
  <c r="CW5" i="24"/>
  <c r="AB5" i="24"/>
  <c r="CS5" i="24"/>
  <c r="AZ5" i="24"/>
  <c r="AV5" i="24"/>
  <c r="BD5" i="24"/>
  <c r="CT5" i="24"/>
  <c r="BZ5" i="24"/>
  <c r="CP5" i="24"/>
  <c r="BW5" i="24"/>
  <c r="I5" i="24"/>
  <c r="CQ5" i="24"/>
  <c r="AD5" i="24"/>
  <c r="AG5" i="24"/>
  <c r="CH5" i="24"/>
  <c r="AH5" i="24"/>
  <c r="CD5" i="24"/>
  <c r="X5" i="24"/>
  <c r="Z5" i="24"/>
  <c r="AW5" i="24"/>
  <c r="V5" i="24"/>
  <c r="E5" i="24"/>
  <c r="AU5" i="24"/>
  <c r="AY5" i="24"/>
  <c r="BC5" i="24"/>
  <c r="CN5" i="24"/>
  <c r="CE5" i="24"/>
  <c r="G5" i="24"/>
  <c r="AM5" i="24"/>
  <c r="Y5" i="24"/>
  <c r="W5" i="24"/>
  <c r="AK5" i="24"/>
  <c r="AN5" i="24"/>
  <c r="W4" i="24"/>
  <c r="BW4" i="24"/>
  <c r="X4" i="24"/>
  <c r="CP4" i="24"/>
  <c r="F4" i="24"/>
  <c r="BI4" i="24"/>
  <c r="AM4" i="24"/>
  <c r="CL4" i="24"/>
  <c r="CT4" i="24"/>
  <c r="AL4" i="24"/>
  <c r="BO4" i="24"/>
  <c r="AX4" i="24"/>
  <c r="AV4" i="24"/>
  <c r="AS4" i="24"/>
  <c r="AA4" i="24"/>
  <c r="P4" i="24"/>
  <c r="CS4" i="24"/>
  <c r="BE4" i="24"/>
  <c r="AP4" i="24"/>
  <c r="AE4" i="24"/>
  <c r="AZ4" i="24"/>
  <c r="AU4" i="24"/>
  <c r="BH4" i="24"/>
  <c r="CB4" i="24"/>
  <c r="AC4" i="24"/>
  <c r="O4" i="24"/>
  <c r="Q4" i="24"/>
  <c r="CD4" i="24"/>
  <c r="CR4" i="24"/>
  <c r="CK4" i="24"/>
  <c r="R4" i="24"/>
  <c r="BD4" i="24"/>
  <c r="AI4" i="24"/>
  <c r="BZ4" i="24"/>
  <c r="G4" i="24"/>
  <c r="BU4" i="24"/>
  <c r="H4" i="24"/>
  <c r="L4" i="24"/>
  <c r="BC4" i="24"/>
  <c r="BT4" i="24"/>
  <c r="T4" i="24"/>
  <c r="BN4" i="24"/>
  <c r="BL4" i="24"/>
  <c r="E4" i="24"/>
  <c r="CI4" i="24"/>
  <c r="Z4" i="24"/>
  <c r="AW4" i="24"/>
  <c r="S4" i="24"/>
  <c r="V4" i="24"/>
  <c r="I4" i="24"/>
  <c r="CW3" i="17"/>
  <c r="CY3" i="17"/>
  <c r="BS22" i="17"/>
  <c r="BS19" i="17"/>
  <c r="BS9" i="17"/>
  <c r="BS23" i="17" s="1"/>
  <c r="BU12" i="17"/>
  <c r="BU19" i="17"/>
  <c r="BU11" i="17"/>
  <c r="BU23" i="17" s="1"/>
  <c r="BU18" i="17"/>
  <c r="BS17" i="17"/>
  <c r="BU21" i="17"/>
  <c r="BU20" i="17"/>
  <c r="CA18" i="17"/>
  <c r="CA19" i="17"/>
  <c r="CA21" i="17"/>
  <c r="BS18" i="17"/>
  <c r="BS12" i="17"/>
  <c r="BS16" i="17"/>
  <c r="BS14" i="17"/>
  <c r="BS21" i="17"/>
  <c r="BS20" i="17"/>
  <c r="BY17" i="17"/>
  <c r="BY22" i="17"/>
  <c r="BY18" i="17"/>
  <c r="BY23" i="17" s="1"/>
  <c r="CA14" i="17"/>
  <c r="CA23" i="17" s="1"/>
  <c r="CA12" i="17"/>
  <c r="Y39" i="10"/>
  <c r="S39" i="10"/>
  <c r="N39" i="10"/>
  <c r="I39" i="10"/>
  <c r="W39" i="10"/>
  <c r="R39" i="10"/>
  <c r="G39" i="10"/>
  <c r="Z37" i="10"/>
  <c r="V37" i="10"/>
  <c r="R37" i="10"/>
  <c r="N37" i="10"/>
  <c r="J37" i="10"/>
  <c r="F37" i="10"/>
  <c r="AA39" i="10"/>
  <c r="V39" i="10"/>
  <c r="Q39" i="10"/>
  <c r="K39" i="10"/>
  <c r="F39" i="10"/>
  <c r="AA37" i="10"/>
  <c r="W37" i="10"/>
  <c r="S37" i="10"/>
  <c r="O37" i="10"/>
  <c r="K37" i="10"/>
  <c r="G37" i="10"/>
  <c r="M39" i="10"/>
  <c r="Y37" i="10"/>
  <c r="U37" i="10"/>
  <c r="Q37" i="10"/>
  <c r="M37" i="10"/>
  <c r="I37" i="10"/>
  <c r="Z39" i="10"/>
  <c r="U39" i="10"/>
  <c r="O39" i="10"/>
  <c r="J39" i="10"/>
  <c r="E39" i="10"/>
  <c r="CM3" i="17"/>
  <c r="DB3" i="17"/>
  <c r="CL3" i="17"/>
  <c r="CN3" i="17"/>
  <c r="CG3" i="17"/>
  <c r="CT3" i="17"/>
  <c r="CJ3" i="17"/>
  <c r="CV3" i="17"/>
  <c r="C12" i="23" a="1"/>
  <c r="CK12" i="23" s="1"/>
  <c r="CR3" i="17"/>
  <c r="CK3" i="17"/>
  <c r="CH3" i="17"/>
  <c r="N5" i="24"/>
  <c r="CU5" i="24"/>
  <c r="CC5" i="24"/>
  <c r="K5" i="24"/>
  <c r="BQ5" i="24"/>
  <c r="BB5" i="24"/>
  <c r="H5" i="24"/>
  <c r="BE5" i="24"/>
  <c r="BG5" i="24"/>
  <c r="Q5" i="24"/>
  <c r="AA5" i="24"/>
  <c r="AI5" i="24"/>
  <c r="BH5" i="24"/>
  <c r="CV5" i="24"/>
  <c r="BN5" i="24"/>
  <c r="U5" i="24"/>
  <c r="AE5" i="24"/>
  <c r="AL5" i="24"/>
  <c r="BY5" i="24"/>
  <c r="BP5" i="24"/>
  <c r="AF5" i="24"/>
  <c r="BU5" i="24"/>
  <c r="CA5" i="24"/>
  <c r="CK5" i="24"/>
  <c r="BR5" i="24"/>
  <c r="CY5" i="24"/>
  <c r="AJ5" i="24"/>
  <c r="AQ5" i="24"/>
  <c r="BF5" i="24"/>
  <c r="BM5" i="24"/>
  <c r="BS5" i="24"/>
  <c r="CZ5" i="24"/>
  <c r="BV5" i="24"/>
  <c r="CR5" i="24"/>
  <c r="AT5" i="24"/>
  <c r="CM5" i="24"/>
  <c r="CG5" i="24"/>
  <c r="S5" i="24"/>
  <c r="J5" i="24"/>
  <c r="BK5" i="24"/>
  <c r="L5" i="24"/>
  <c r="BJ5" i="24"/>
  <c r="BT5" i="24"/>
  <c r="AX5" i="24"/>
  <c r="CJ5" i="24"/>
  <c r="D24" i="7" a="1"/>
  <c r="BZ12" i="17"/>
  <c r="B111" i="20"/>
  <c r="B16" i="20"/>
  <c r="B3" i="20"/>
  <c r="B116" i="20"/>
  <c r="B188" i="20"/>
  <c r="B17" i="20"/>
  <c r="B153" i="20"/>
  <c r="B268" i="20"/>
  <c r="B22" i="20"/>
  <c r="B259" i="20"/>
  <c r="B92" i="20"/>
  <c r="B301" i="20"/>
  <c r="B255" i="20"/>
  <c r="B140" i="20"/>
  <c r="B46" i="20"/>
  <c r="B107" i="20"/>
  <c r="B144" i="20"/>
  <c r="B283" i="20"/>
  <c r="B113" i="20"/>
  <c r="B159" i="20"/>
  <c r="B286" i="20"/>
  <c r="B115" i="20"/>
  <c r="B247" i="20"/>
  <c r="B77" i="20"/>
  <c r="B232" i="20"/>
  <c r="B104" i="20"/>
  <c r="B49" i="20"/>
  <c r="B75" i="20"/>
  <c r="B191" i="20"/>
  <c r="B21" i="20"/>
  <c r="B147" i="20"/>
  <c r="B279" i="20"/>
  <c r="B109" i="20"/>
  <c r="B256" i="20"/>
  <c r="B128" i="20"/>
  <c r="B235" i="20"/>
  <c r="B267" i="20"/>
  <c r="B270" i="20"/>
  <c r="B231" i="20"/>
  <c r="B220" i="20"/>
  <c r="B166" i="20"/>
  <c r="B223" i="20"/>
  <c r="B265" i="20"/>
  <c r="B94" i="20"/>
  <c r="B141" i="20"/>
  <c r="B216" i="20"/>
  <c r="B262" i="20"/>
  <c r="B239" i="20"/>
  <c r="B254" i="20"/>
  <c r="B285" i="20"/>
  <c r="B2" i="20"/>
  <c r="B84" i="20"/>
  <c r="B139" i="20"/>
  <c r="B79" i="20"/>
  <c r="B89" i="20"/>
  <c r="B114" i="20"/>
  <c r="B176" i="20"/>
  <c r="B257" i="20"/>
  <c r="B293" i="20"/>
  <c r="B5" i="20"/>
  <c r="B14" i="20"/>
  <c r="B39" i="20"/>
  <c r="B112" i="20"/>
  <c r="B6" i="20"/>
  <c r="B197" i="20"/>
  <c r="B211" i="20"/>
  <c r="B242" i="20"/>
  <c r="B272" i="20"/>
  <c r="B60" i="20"/>
  <c r="B213" i="20"/>
  <c r="B258" i="20"/>
  <c r="B76" i="20"/>
  <c r="B42" i="20"/>
  <c r="B71" i="20"/>
  <c r="B294" i="20"/>
  <c r="B210" i="20"/>
  <c r="B129" i="20"/>
  <c r="B121" i="20"/>
  <c r="B12" i="20"/>
  <c r="B7" i="20"/>
  <c r="B221" i="20"/>
  <c r="B173" i="20"/>
  <c r="B110" i="20"/>
  <c r="B204" i="20"/>
  <c r="B261" i="20"/>
  <c r="B47" i="20"/>
  <c r="D37" i="7" a="1"/>
  <c r="B45" i="20"/>
  <c r="BZ9" i="17"/>
  <c r="BZ15" i="17"/>
  <c r="BZ13" i="17"/>
  <c r="BZ10" i="17"/>
  <c r="BZ17" i="17"/>
  <c r="BZ11" i="17"/>
  <c r="BZ20" i="17"/>
  <c r="BZ16" i="17"/>
  <c r="X39" i="10"/>
  <c r="T39" i="10"/>
  <c r="P39" i="10"/>
  <c r="L39" i="10"/>
  <c r="H39" i="10"/>
  <c r="C34" i="23"/>
  <c r="Q3" i="23"/>
  <c r="R3" i="23" s="1"/>
  <c r="S3" i="23" s="1"/>
  <c r="T3" i="23" s="1"/>
  <c r="U3" i="23" s="1"/>
  <c r="V3" i="23" s="1"/>
  <c r="W3" i="23" s="1"/>
  <c r="X3" i="23" s="1"/>
  <c r="Y3" i="23" s="1"/>
  <c r="Z3" i="23" s="1"/>
  <c r="AA3" i="23" s="1"/>
  <c r="AB3" i="23" s="1"/>
  <c r="AC3" i="23" s="1"/>
  <c r="AD3" i="23" s="1"/>
  <c r="AE3" i="23" s="1"/>
  <c r="AF3" i="23" s="1"/>
  <c r="AG3" i="23" s="1"/>
  <c r="AH3" i="23" s="1"/>
  <c r="AI3" i="23" s="1"/>
  <c r="AJ3" i="23" s="1"/>
  <c r="AK3" i="23" s="1"/>
  <c r="AL3" i="23" s="1"/>
  <c r="AM3" i="23" s="1"/>
  <c r="AN3" i="23" s="1"/>
  <c r="AO3" i="23" s="1"/>
  <c r="AP3" i="23" s="1"/>
  <c r="AQ3" i="23" s="1"/>
  <c r="AR3" i="23" s="1"/>
  <c r="AS3" i="23" s="1"/>
  <c r="AT3" i="23" s="1"/>
  <c r="AU3" i="23" s="1"/>
  <c r="AV3" i="23" s="1"/>
  <c r="AW3" i="23" s="1"/>
  <c r="AX3" i="23" s="1"/>
  <c r="AY3" i="23" s="1"/>
  <c r="AZ3" i="23" s="1"/>
  <c r="BA3" i="23" s="1"/>
  <c r="BB3" i="23" s="1"/>
  <c r="BC3" i="23" s="1"/>
  <c r="BD3" i="23" s="1"/>
  <c r="BE3" i="23" s="1"/>
  <c r="BF3" i="23" s="1"/>
  <c r="BG3" i="23" s="1"/>
  <c r="BH3" i="23" s="1"/>
  <c r="BI3" i="23" s="1"/>
  <c r="BJ3" i="23" s="1"/>
  <c r="BK3" i="23" s="1"/>
  <c r="BL3" i="23" s="1"/>
  <c r="BM3" i="23" s="1"/>
  <c r="BN3" i="23" s="1"/>
  <c r="BO3" i="23" s="1"/>
  <c r="BP3" i="23" s="1"/>
  <c r="BQ3" i="23" s="1"/>
  <c r="BR3" i="23" s="1"/>
  <c r="BS3" i="23" s="1"/>
  <c r="BT3" i="23" s="1"/>
  <c r="BU3" i="23" s="1"/>
  <c r="BV3" i="23" s="1"/>
  <c r="BW3" i="23" s="1"/>
  <c r="BX3" i="23" s="1"/>
  <c r="BY3" i="23" s="1"/>
  <c r="BZ3" i="23" s="1"/>
  <c r="CA3" i="23" s="1"/>
  <c r="CB3" i="23" s="1"/>
  <c r="CC3" i="23" s="1"/>
  <c r="CD3" i="23" s="1"/>
  <c r="CE3" i="23" s="1"/>
  <c r="CF3" i="23" s="1"/>
  <c r="CG3" i="23" s="1"/>
  <c r="CH3" i="23" s="1"/>
  <c r="CI3" i="23" s="1"/>
  <c r="CJ3" i="23" s="1"/>
  <c r="CK3" i="23" s="1"/>
  <c r="CL3" i="23" s="1"/>
  <c r="CM3" i="23" s="1"/>
  <c r="CN3" i="23" s="1"/>
  <c r="CO3" i="23" s="1"/>
  <c r="CP3" i="23" s="1"/>
  <c r="CQ3" i="23" s="1"/>
  <c r="CR3" i="23" s="1"/>
  <c r="CS3" i="23" s="1"/>
  <c r="CT3" i="23" s="1"/>
  <c r="CU3" i="23" s="1"/>
  <c r="CV3" i="23" s="1"/>
  <c r="CW3" i="23" s="1"/>
  <c r="CX3" i="23" s="1"/>
  <c r="B42" i="23"/>
  <c r="Y15" i="23"/>
  <c r="BQ15" i="23"/>
  <c r="BE15" i="23"/>
  <c r="BX15" i="23"/>
  <c r="BG15" i="23"/>
  <c r="AM15" i="23"/>
  <c r="V15" i="23"/>
  <c r="CB15" i="23"/>
  <c r="AJ15" i="23"/>
  <c r="BT15" i="23"/>
  <c r="AI15" i="23"/>
  <c r="BS15" i="23"/>
  <c r="AO15" i="23"/>
  <c r="BJ15" i="23"/>
  <c r="AS15" i="23"/>
  <c r="CT15" i="23"/>
  <c r="S15" i="23"/>
  <c r="AC15" i="23"/>
  <c r="AF15" i="23"/>
  <c r="BH15" i="23"/>
  <c r="BW15" i="23"/>
  <c r="CW15" i="23"/>
  <c r="CH15" i="23"/>
  <c r="CE15" i="23"/>
  <c r="AP15" i="23"/>
  <c r="BK15" i="23"/>
  <c r="AA15" i="23"/>
  <c r="BD15" i="23"/>
  <c r="F15" i="23"/>
  <c r="BO15" i="23"/>
  <c r="AK15" i="23"/>
  <c r="BF15" i="23"/>
  <c r="CI15" i="23"/>
  <c r="CN15" i="23"/>
  <c r="CX15" i="23"/>
  <c r="AE15" i="23"/>
  <c r="AG15" i="23"/>
  <c r="CU15" i="23"/>
  <c r="E15" i="23"/>
  <c r="BP15" i="23"/>
  <c r="I15" i="23"/>
  <c r="L15" i="23"/>
  <c r="CS15" i="23"/>
  <c r="BA15" i="23"/>
  <c r="AT15" i="23"/>
  <c r="R15" i="23"/>
  <c r="AR15" i="23"/>
  <c r="P15" i="23"/>
  <c r="BB15" i="23"/>
  <c r="G15" i="23"/>
  <c r="X15" i="23"/>
  <c r="AB15" i="23"/>
  <c r="Z15" i="23"/>
  <c r="AU15" i="23"/>
  <c r="AD15" i="23"/>
  <c r="BL15" i="23"/>
  <c r="T15" i="23"/>
  <c r="M15" i="23"/>
  <c r="AW15" i="23"/>
  <c r="BV15" i="23"/>
  <c r="BN15" i="23"/>
  <c r="Q15" i="23"/>
  <c r="BI15" i="23"/>
  <c r="CL15" i="23"/>
  <c r="CG15" i="23"/>
  <c r="CP15" i="23"/>
  <c r="AY15" i="23"/>
  <c r="AX15" i="23"/>
  <c r="CD15" i="23"/>
  <c r="H15" i="23"/>
  <c r="CA15" i="23"/>
  <c r="BR15" i="23"/>
  <c r="U15" i="23"/>
  <c r="D15" i="23"/>
  <c r="AQ15" i="23"/>
  <c r="N15" i="23"/>
  <c r="CR15" i="23"/>
  <c r="AZ15" i="23"/>
  <c r="CJ15" i="23"/>
  <c r="K15" i="23"/>
  <c r="CC15" i="23"/>
  <c r="CK15" i="23"/>
  <c r="AN15" i="23"/>
  <c r="CV15" i="23"/>
  <c r="O15" i="23"/>
  <c r="CM15" i="23"/>
  <c r="CO15" i="23"/>
  <c r="BZ15" i="23"/>
  <c r="BY15" i="23"/>
  <c r="AH15" i="23"/>
  <c r="BC15" i="23"/>
  <c r="AL15" i="23"/>
  <c r="AV15" i="23"/>
  <c r="BM15" i="23"/>
  <c r="J15" i="23"/>
  <c r="CF15" i="23"/>
  <c r="W15" i="23"/>
  <c r="BU15" i="23"/>
  <c r="CQ15" i="23"/>
  <c r="FE41" i="11"/>
  <c r="AK41" i="11"/>
  <c r="AH41" i="11"/>
  <c r="AS41" i="11"/>
  <c r="CU41" i="11"/>
  <c r="IS41" i="11"/>
  <c r="JW41" i="11"/>
  <c r="CY41" i="11"/>
  <c r="IC41" i="11"/>
  <c r="CV41" i="11"/>
  <c r="JF41" i="11"/>
  <c r="GK41" i="11"/>
  <c r="CS41" i="11"/>
  <c r="FN41" i="11"/>
  <c r="IG41" i="11"/>
  <c r="DZ41" i="11"/>
  <c r="AI41" i="11"/>
  <c r="FY41" i="11"/>
  <c r="HK41" i="11"/>
  <c r="FQ41" i="11"/>
  <c r="BR41" i="11"/>
  <c r="AJ41" i="11"/>
  <c r="G41" i="11"/>
  <c r="ES41" i="11"/>
  <c r="JD41" i="11"/>
  <c r="FR41" i="11"/>
  <c r="CK41" i="11"/>
  <c r="KP41" i="11"/>
  <c r="FB41" i="11"/>
  <c r="JJ41" i="11"/>
  <c r="J41" i="11"/>
  <c r="P41" i="11"/>
  <c r="AC41" i="11"/>
  <c r="L41" i="11"/>
  <c r="CM41" i="11"/>
  <c r="HP41" i="11"/>
  <c r="U41" i="11"/>
  <c r="BM41" i="11"/>
  <c r="GF41" i="11"/>
  <c r="AN41" i="11"/>
  <c r="FW41" i="11"/>
  <c r="BN41" i="11"/>
  <c r="IQ41" i="11"/>
  <c r="KN41" i="11"/>
  <c r="BD41" i="11"/>
  <c r="GR41" i="11"/>
  <c r="Q41" i="11"/>
  <c r="JP41" i="11"/>
  <c r="HY41" i="11"/>
  <c r="CT41" i="11"/>
  <c r="AA41" i="11"/>
  <c r="R41" i="11"/>
  <c r="GW41" i="11"/>
  <c r="BQ41" i="11"/>
  <c r="BO41" i="11"/>
  <c r="Y41" i="11"/>
  <c r="EF41" i="11"/>
  <c r="HU41" i="11"/>
  <c r="IF41" i="11"/>
  <c r="JA41" i="11"/>
  <c r="HD41" i="11"/>
  <c r="KE41" i="11"/>
  <c r="EW41" i="11"/>
  <c r="DW41" i="11"/>
  <c r="DG41" i="11"/>
  <c r="EM41" i="11"/>
  <c r="EH41" i="11"/>
  <c r="CB41" i="11"/>
  <c r="CA41" i="11"/>
  <c r="HH41" i="11"/>
  <c r="AT41" i="11"/>
  <c r="EC41" i="11"/>
  <c r="JR41" i="11"/>
  <c r="BC41" i="11"/>
  <c r="JE41" i="11"/>
  <c r="JY41" i="11"/>
  <c r="EK41" i="11"/>
  <c r="KG41" i="11"/>
  <c r="DF41" i="11"/>
  <c r="CP41" i="11"/>
  <c r="CD41" i="11"/>
  <c r="DB41" i="11"/>
  <c r="EV41" i="11"/>
  <c r="KB41" i="11"/>
  <c r="DK41" i="11"/>
  <c r="GQ41" i="11"/>
  <c r="KC41" i="11"/>
  <c r="BT41" i="11"/>
  <c r="FI41" i="11"/>
  <c r="FL41" i="11"/>
  <c r="GG41" i="11"/>
  <c r="ER41" i="11"/>
  <c r="HS41" i="11"/>
  <c r="CC41" i="11"/>
  <c r="JZ41" i="11"/>
  <c r="ED41" i="11"/>
  <c r="IL41" i="11"/>
  <c r="KK41" i="11"/>
  <c r="KL41" i="11"/>
  <c r="D41" i="11"/>
  <c r="ID41" i="11"/>
  <c r="JG41" i="11"/>
  <c r="BI41" i="11"/>
  <c r="HL41" i="11"/>
  <c r="HM41" i="11"/>
  <c r="BE41" i="11"/>
  <c r="AD41" i="11"/>
  <c r="JC41" i="11"/>
  <c r="HZ41" i="11"/>
  <c r="GX41" i="11"/>
  <c r="HQ41" i="11"/>
  <c r="H41" i="11"/>
  <c r="CW41" i="11"/>
  <c r="GL41" i="11"/>
  <c r="CR41" i="11"/>
  <c r="DM41" i="11"/>
  <c r="CF41" i="11"/>
  <c r="FG41" i="11"/>
  <c r="I41" i="11"/>
  <c r="CH41" i="11"/>
  <c r="JH41" i="11"/>
  <c r="BZ41" i="11"/>
  <c r="HI41" i="11"/>
  <c r="AP41" i="11"/>
  <c r="Z41" i="11"/>
  <c r="F41" i="11"/>
  <c r="C41" i="11"/>
  <c r="FH41" i="11"/>
  <c r="BA41" i="11"/>
  <c r="GJ41" i="11"/>
  <c r="N41" i="11"/>
  <c r="EA41" i="11"/>
  <c r="IM41" i="11"/>
  <c r="DJ41" i="11"/>
  <c r="X41" i="11"/>
  <c r="T41" i="11"/>
  <c r="HX41" i="11"/>
  <c r="GV41" i="11"/>
  <c r="EO41" i="11"/>
  <c r="DO41" i="11"/>
  <c r="BF41" i="11"/>
  <c r="DC41" i="11"/>
  <c r="EZ41" i="11"/>
  <c r="FS41" i="11"/>
  <c r="EX41" i="11"/>
  <c r="EP41" i="11"/>
  <c r="FD41" i="11"/>
  <c r="EJ41" i="11"/>
  <c r="BU41" i="11"/>
  <c r="CE41" i="11"/>
  <c r="GB41" i="11"/>
  <c r="HR41" i="11"/>
  <c r="AG41" i="11"/>
  <c r="AE41" i="11"/>
  <c r="GA41" i="11"/>
  <c r="FM41" i="11"/>
  <c r="EU41" i="11"/>
  <c r="EE41" i="11"/>
  <c r="FK41" i="11"/>
  <c r="FF41" i="11"/>
  <c r="CJ41" i="11"/>
  <c r="DE41" i="11"/>
  <c r="BX41" i="11"/>
  <c r="EY41" i="11"/>
  <c r="KJ41" i="11"/>
  <c r="CO41" i="11"/>
  <c r="S41" i="11"/>
  <c r="IR41" i="11"/>
  <c r="DH41" i="11"/>
  <c r="II41" i="11"/>
  <c r="KH41" i="11"/>
  <c r="HB41" i="11"/>
  <c r="GR35" i="11"/>
  <c r="ES37" i="11"/>
  <c r="DI37" i="11"/>
  <c r="BH36" i="11"/>
  <c r="KF35" i="11"/>
  <c r="EN37" i="11"/>
  <c r="EH37" i="11"/>
  <c r="EE35" i="11"/>
  <c r="N36" i="11"/>
  <c r="O36" i="11"/>
  <c r="GS35" i="11"/>
  <c r="AX37" i="11"/>
  <c r="HG35" i="11"/>
  <c r="DF35" i="11"/>
  <c r="FW37" i="11"/>
  <c r="GQ36" i="11"/>
  <c r="IK37" i="11"/>
  <c r="FI35" i="11"/>
  <c r="EO35" i="11"/>
  <c r="AQ37" i="11"/>
  <c r="GS37" i="11"/>
  <c r="HV35" i="11"/>
  <c r="IN37" i="11"/>
  <c r="KN35" i="11"/>
  <c r="BZ37" i="11"/>
  <c r="AU35" i="11"/>
  <c r="DY35" i="11"/>
  <c r="DY36" i="11"/>
  <c r="DY37" i="11"/>
  <c r="HE37" i="11"/>
  <c r="IQ35" i="11"/>
  <c r="BQ37" i="11"/>
  <c r="DL35" i="11"/>
  <c r="D37" i="11"/>
  <c r="FG37" i="11"/>
  <c r="FJ36" i="11"/>
  <c r="KA36" i="11"/>
  <c r="KF37" i="11"/>
  <c r="AD36" i="11"/>
  <c r="BM37" i="11"/>
  <c r="HR35" i="11"/>
  <c r="HP35" i="11"/>
  <c r="AV37" i="11"/>
  <c r="T36" i="11"/>
  <c r="JK35" i="11"/>
  <c r="KK36" i="11"/>
  <c r="JF37" i="11"/>
  <c r="CO37" i="11"/>
  <c r="GL35" i="11"/>
  <c r="BV36" i="11"/>
  <c r="GR36" i="11"/>
  <c r="AG37" i="11"/>
  <c r="IA37" i="11"/>
  <c r="HI36" i="11"/>
  <c r="HH37" i="11"/>
  <c r="JK37" i="11"/>
  <c r="CJ35" i="11"/>
  <c r="HF36" i="11"/>
  <c r="J35" i="11"/>
  <c r="ET37" i="11"/>
  <c r="BT37" i="11"/>
  <c r="DT36" i="11"/>
  <c r="CG37" i="11"/>
  <c r="AE36" i="11"/>
  <c r="GJ37" i="11"/>
  <c r="X37" i="11"/>
  <c r="BR35" i="11"/>
  <c r="AP35" i="11"/>
  <c r="FB36" i="11"/>
  <c r="HC35" i="11"/>
  <c r="AZ35" i="11"/>
  <c r="IO36" i="11"/>
  <c r="L35" i="11"/>
  <c r="EU36" i="11"/>
  <c r="DP35" i="11"/>
  <c r="JO37" i="11"/>
  <c r="JD35" i="11"/>
  <c r="EH35" i="11"/>
  <c r="FN35" i="11"/>
  <c r="N37" i="11"/>
  <c r="DG35" i="11"/>
  <c r="GM35" i="11"/>
  <c r="GC36" i="11"/>
  <c r="ES36" i="11"/>
  <c r="EQ37" i="11"/>
  <c r="J37" i="11"/>
  <c r="AY37" i="11"/>
  <c r="GQ35" i="11"/>
  <c r="DV35" i="11"/>
  <c r="GH36" i="11"/>
  <c r="IZ36" i="11"/>
  <c r="AE37" i="11"/>
  <c r="GP37" i="11"/>
  <c r="DH35" i="11"/>
  <c r="M35" i="11"/>
  <c r="IX36" i="11"/>
  <c r="FD35" i="11"/>
  <c r="BE36" i="11"/>
  <c r="JF35" i="11"/>
  <c r="P37" i="11"/>
  <c r="IV36" i="11"/>
  <c r="II36" i="11"/>
  <c r="CB35" i="11"/>
  <c r="EF36" i="11"/>
  <c r="GE37" i="11"/>
  <c r="AP37" i="11"/>
  <c r="CU36" i="11"/>
  <c r="IG35" i="11"/>
  <c r="CC37" i="11"/>
  <c r="HA37" i="11"/>
  <c r="EI36" i="11"/>
  <c r="DH36" i="11"/>
  <c r="GN37" i="11"/>
  <c r="IB37" i="11"/>
  <c r="AZ37" i="11"/>
  <c r="HL37" i="11"/>
  <c r="AJ36" i="11"/>
  <c r="K35" i="11"/>
  <c r="FX35" i="11"/>
  <c r="BC37" i="11"/>
  <c r="HJ35" i="11"/>
  <c r="IF35" i="11"/>
  <c r="DE36" i="11"/>
  <c r="KI35" i="11"/>
  <c r="AD35" i="11"/>
  <c r="BH35" i="11"/>
  <c r="DO37" i="11"/>
  <c r="JI35" i="11"/>
  <c r="JF36" i="11"/>
  <c r="DS36" i="11"/>
  <c r="FL37" i="11"/>
  <c r="BK36" i="11"/>
  <c r="Y36" i="11"/>
  <c r="BT36" i="11"/>
  <c r="DH37" i="11"/>
  <c r="HZ35" i="11"/>
  <c r="IH36" i="11"/>
  <c r="EF35" i="11"/>
  <c r="L37" i="11"/>
  <c r="FN37" i="11"/>
  <c r="P36" i="11"/>
  <c r="EN36" i="11"/>
  <c r="GO36" i="11"/>
  <c r="EU35" i="11"/>
  <c r="GO35" i="11"/>
  <c r="BW35" i="11"/>
  <c r="IQ37" i="11"/>
  <c r="GX35" i="11"/>
  <c r="HI35" i="11"/>
  <c r="AE35" i="11"/>
  <c r="GY36" i="11"/>
  <c r="JS36" i="11"/>
  <c r="HS37" i="11"/>
  <c r="ES35" i="11"/>
  <c r="KB35" i="11"/>
  <c r="EJ36" i="11"/>
  <c r="AS36" i="11"/>
  <c r="FT37" i="11"/>
  <c r="AJ35" i="11"/>
  <c r="KD35" i="11"/>
  <c r="AF36" i="11"/>
  <c r="AA36" i="11"/>
  <c r="IU35" i="11"/>
  <c r="AM36" i="11"/>
  <c r="IU37" i="11"/>
  <c r="DC35" i="11"/>
  <c r="KB36" i="11"/>
  <c r="IN36" i="11"/>
  <c r="GZ35" i="11"/>
  <c r="JX37" i="11"/>
  <c r="H36" i="11"/>
  <c r="AB37" i="11"/>
  <c r="KG37" i="11"/>
  <c r="JT35" i="11"/>
  <c r="CY37" i="11"/>
  <c r="JW35" i="11"/>
  <c r="AK35" i="11"/>
  <c r="JK36" i="11"/>
  <c r="IF37" i="11"/>
  <c r="HC37" i="11"/>
  <c r="GK37" i="11"/>
  <c r="DT37" i="11"/>
  <c r="KN37" i="11"/>
  <c r="JG35" i="11"/>
  <c r="IA35" i="11"/>
  <c r="BN36" i="11"/>
  <c r="BI35" i="11"/>
  <c r="D35" i="11"/>
  <c r="JM37" i="11"/>
  <c r="IE35" i="11"/>
  <c r="FC36" i="11"/>
  <c r="AF37" i="11"/>
  <c r="EZ36" i="11"/>
  <c r="ET36" i="11"/>
  <c r="IW37" i="11"/>
  <c r="EG35" i="11"/>
  <c r="FZ35" i="11"/>
  <c r="S37" i="11"/>
  <c r="KP37" i="11"/>
  <c r="CZ35" i="11"/>
  <c r="DK37" i="11"/>
  <c r="JV35" i="11"/>
  <c r="IR37" i="11"/>
  <c r="BG37" i="11"/>
  <c r="CK36" i="11"/>
  <c r="BC35" i="11"/>
  <c r="BI37" i="11"/>
  <c r="DR37" i="11"/>
  <c r="FD36" i="11"/>
  <c r="GW37" i="11"/>
  <c r="AH36" i="11"/>
  <c r="IG37" i="11"/>
  <c r="FY36" i="11"/>
  <c r="FE36" i="11"/>
  <c r="KH37" i="11"/>
  <c r="JH37" i="11"/>
  <c r="KJ36" i="11"/>
  <c r="EE36" i="11"/>
  <c r="EZ35" i="11"/>
  <c r="R37" i="11"/>
  <c r="BW36" i="11"/>
  <c r="ER36" i="11"/>
  <c r="JR36" i="11"/>
  <c r="HH35" i="11"/>
  <c r="EB36" i="11"/>
  <c r="BF36" i="11"/>
  <c r="EX35" i="11"/>
  <c r="BD36" i="11"/>
  <c r="EU37" i="11"/>
  <c r="HL36" i="11"/>
  <c r="EA36" i="11"/>
  <c r="DO35" i="11"/>
  <c r="DQ37" i="11"/>
  <c r="U35" i="11"/>
  <c r="DU37" i="11"/>
  <c r="FU36" i="11"/>
  <c r="K37" i="11"/>
  <c r="GY35" i="11"/>
  <c r="FL35" i="11"/>
  <c r="CT35" i="11"/>
  <c r="CN36" i="11"/>
  <c r="IT36" i="11"/>
  <c r="FN36" i="11"/>
  <c r="KA35" i="11"/>
  <c r="FC35" i="11"/>
  <c r="FK35" i="11"/>
  <c r="DL36" i="11"/>
  <c r="HJ36" i="11"/>
  <c r="IC35" i="11"/>
  <c r="BL36" i="11"/>
  <c r="KM37" i="11"/>
  <c r="FT36" i="11"/>
  <c r="HO37" i="11"/>
  <c r="GL36" i="11"/>
  <c r="IT35" i="11"/>
  <c r="CE37" i="11"/>
  <c r="GY37" i="11"/>
  <c r="BI36" i="11"/>
  <c r="GM36" i="11"/>
  <c r="HR37" i="11"/>
  <c r="BQ35" i="11"/>
  <c r="EW35" i="11"/>
  <c r="EZ37" i="11"/>
  <c r="AS35" i="11"/>
  <c r="JZ36" i="11"/>
  <c r="JQ37" i="11"/>
  <c r="IA36" i="11"/>
  <c r="GN35" i="11"/>
  <c r="JD36" i="11"/>
  <c r="BD35" i="11"/>
  <c r="DM37" i="11"/>
  <c r="FI37" i="11"/>
  <c r="GR37" i="11"/>
  <c r="CE36" i="11"/>
  <c r="CR35" i="11"/>
  <c r="CI36" i="11"/>
  <c r="HX37" i="11"/>
  <c r="JZ35" i="11"/>
  <c r="KE37" i="11"/>
  <c r="AC35" i="11"/>
  <c r="IV37" i="11"/>
  <c r="CO35" i="11"/>
  <c r="GA37" i="11"/>
  <c r="JS37" i="11"/>
  <c r="I36" i="11"/>
  <c r="BF35" i="11"/>
  <c r="AW36" i="11"/>
  <c r="DV36" i="11"/>
  <c r="JM35" i="11"/>
  <c r="JH36" i="11"/>
  <c r="GH37" i="11"/>
  <c r="X35" i="11"/>
  <c r="KJ35" i="11"/>
  <c r="CD36" i="11"/>
  <c r="JN36" i="11"/>
  <c r="DV37" i="11"/>
  <c r="JY37" i="11"/>
  <c r="Z37" i="11"/>
  <c r="FP35" i="11"/>
  <c r="JX35" i="11"/>
  <c r="DF37" i="11"/>
  <c r="DK35" i="11"/>
  <c r="GU37" i="11"/>
  <c r="EQ35" i="11"/>
  <c r="FS37" i="11"/>
  <c r="JI37" i="11"/>
  <c r="EC36" i="11"/>
  <c r="HF35" i="11"/>
  <c r="CG36" i="11"/>
  <c r="EK37" i="11"/>
  <c r="BA36" i="11"/>
  <c r="AM37" i="11"/>
  <c r="DD37" i="11"/>
  <c r="IK36" i="11"/>
  <c r="FE35" i="11"/>
  <c r="CI37" i="11"/>
  <c r="DB37" i="11"/>
  <c r="HP36" i="11"/>
  <c r="II37" i="11"/>
  <c r="DB35" i="11"/>
  <c r="M37" i="11"/>
  <c r="CP35" i="11"/>
  <c r="AD37" i="11"/>
  <c r="JA37" i="11"/>
  <c r="IJ37" i="11"/>
  <c r="IX37" i="11"/>
  <c r="AN37" i="11"/>
  <c r="AK37" i="11"/>
  <c r="FM35" i="11"/>
  <c r="GF35" i="11"/>
  <c r="CQ36" i="11"/>
  <c r="EC37" i="11"/>
  <c r="DZ35" i="11"/>
  <c r="J36" i="11"/>
  <c r="IQ36" i="11"/>
  <c r="HS36" i="11"/>
  <c r="X36" i="11"/>
  <c r="CB37" i="11"/>
  <c r="EV36" i="11"/>
  <c r="CJ36" i="11"/>
  <c r="JL37" i="11"/>
  <c r="BF37" i="11"/>
  <c r="C35" i="11"/>
  <c r="DN36" i="11"/>
  <c r="DA35" i="11"/>
  <c r="HT37" i="11"/>
  <c r="IS37" i="11"/>
  <c r="CL37" i="11"/>
  <c r="CD35" i="11"/>
  <c r="GP35" i="11"/>
  <c r="GJ36" i="11"/>
  <c r="HG37" i="11"/>
  <c r="EX37" i="11"/>
  <c r="BV35" i="11"/>
  <c r="DA37" i="11"/>
  <c r="EP36" i="11"/>
  <c r="O35" i="11"/>
  <c r="AL37" i="11"/>
  <c r="KE35" i="11"/>
  <c r="BB36" i="11"/>
  <c r="BD37" i="11"/>
  <c r="IO35" i="11"/>
  <c r="JC37" i="11"/>
  <c r="JO36" i="11"/>
  <c r="FJ35" i="11"/>
  <c r="GW35" i="11"/>
  <c r="CL35" i="11"/>
  <c r="CP36" i="11"/>
  <c r="EV35" i="11"/>
  <c r="FA35" i="11"/>
  <c r="IH37" i="11"/>
  <c r="AX36" i="11"/>
  <c r="CY36" i="11"/>
  <c r="HP37" i="11"/>
  <c r="AC36" i="11"/>
  <c r="CW35" i="11"/>
  <c r="R36" i="11"/>
  <c r="KC37" i="11"/>
  <c r="GB37" i="11"/>
  <c r="M36" i="11"/>
  <c r="BE37" i="11"/>
  <c r="KD37" i="11"/>
  <c r="CI35" i="11"/>
  <c r="GM37" i="11"/>
  <c r="KO37" i="11"/>
  <c r="FB37" i="11"/>
  <c r="IY37" i="11"/>
  <c r="DC36" i="11"/>
  <c r="GV37" i="11"/>
  <c r="HE36" i="11"/>
  <c r="FK37" i="11"/>
  <c r="AI36" i="11"/>
  <c r="EQ36" i="11"/>
  <c r="CW36" i="11"/>
  <c r="BA37" i="11"/>
  <c r="JJ36" i="11"/>
  <c r="GB35" i="11"/>
  <c r="HB35" i="11"/>
  <c r="FO37" i="11"/>
  <c r="DR35" i="11"/>
  <c r="JU36" i="11"/>
  <c r="Z35" i="11"/>
  <c r="G37" i="11"/>
  <c r="KL36" i="11"/>
  <c r="KL37" i="11"/>
  <c r="IR36" i="11"/>
  <c r="IZ35" i="11"/>
  <c r="GU36" i="11"/>
  <c r="BL35" i="11"/>
  <c r="IM37" i="11"/>
  <c r="FA36" i="11"/>
  <c r="DK36" i="11"/>
  <c r="EI37" i="11"/>
  <c r="FZ36" i="11"/>
  <c r="HY37" i="11"/>
  <c r="FW36" i="11"/>
  <c r="DE37" i="11"/>
  <c r="FR37" i="11"/>
  <c r="BJ35" i="11"/>
  <c r="IX35" i="11"/>
  <c r="Q37" i="11"/>
  <c r="JI36" i="11"/>
  <c r="KA37" i="11"/>
  <c r="AV35" i="11"/>
  <c r="GO37" i="11"/>
  <c r="GD37" i="11"/>
  <c r="KC35" i="11"/>
  <c r="IL36" i="11"/>
  <c r="D36" i="11"/>
  <c r="DM36" i="11"/>
  <c r="FU37" i="11"/>
  <c r="HJ37" i="11"/>
  <c r="CL36" i="11"/>
  <c r="AR36" i="11"/>
  <c r="AQ36" i="11"/>
  <c r="GD35" i="11"/>
  <c r="JV37" i="11"/>
  <c r="BR37" i="11"/>
  <c r="FQ36" i="11"/>
  <c r="JX36" i="11"/>
  <c r="DM35" i="11"/>
  <c r="AG35" i="11"/>
  <c r="BJ37" i="11"/>
  <c r="JF28" i="11"/>
  <c r="EO28" i="11"/>
  <c r="ID28" i="11"/>
  <c r="EK30" i="11"/>
  <c r="CP28" i="11"/>
  <c r="GK29" i="11"/>
  <c r="DR29" i="11"/>
  <c r="IR30" i="11"/>
  <c r="BO29" i="11"/>
  <c r="IX30" i="11"/>
  <c r="DC28" i="11"/>
  <c r="BS30" i="11"/>
  <c r="BT30" i="11"/>
  <c r="CE28" i="11"/>
  <c r="HK30" i="11"/>
  <c r="FX29" i="11"/>
  <c r="JT30" i="11"/>
  <c r="Z29" i="11"/>
  <c r="EQ30" i="11"/>
  <c r="FL29" i="11"/>
  <c r="JJ29" i="11"/>
  <c r="HQ28" i="11"/>
  <c r="GC28" i="11"/>
  <c r="GN29" i="11"/>
  <c r="DC30" i="11"/>
  <c r="AO29" i="11"/>
  <c r="GL29" i="11"/>
  <c r="DF28" i="11"/>
  <c r="CB29" i="11"/>
  <c r="HJ28" i="11"/>
  <c r="FK30" i="11"/>
  <c r="HF28" i="11"/>
  <c r="FS29" i="11"/>
  <c r="BN30" i="11"/>
  <c r="ED30" i="11"/>
  <c r="JL30" i="11"/>
  <c r="DL30" i="11"/>
  <c r="IX28" i="11"/>
  <c r="DJ29" i="11"/>
  <c r="AN30" i="11"/>
  <c r="AI29" i="11"/>
  <c r="IG28" i="11"/>
  <c r="IV28" i="11"/>
  <c r="FF30" i="11"/>
  <c r="AX29" i="11"/>
  <c r="AO30" i="11"/>
  <c r="GG29" i="11"/>
  <c r="JQ29" i="11"/>
  <c r="CH28" i="11"/>
  <c r="HJ29" i="11"/>
  <c r="AY29" i="11"/>
  <c r="CX29" i="11"/>
  <c r="IT28" i="11"/>
  <c r="JK30" i="11"/>
  <c r="HE28" i="11"/>
  <c r="IO28" i="11"/>
  <c r="CH30" i="11"/>
  <c r="EN28" i="11"/>
  <c r="KL28" i="11"/>
  <c r="BK29" i="11"/>
  <c r="II30" i="11"/>
  <c r="BM28" i="11"/>
  <c r="HG29" i="11"/>
  <c r="BD28" i="11"/>
  <c r="IU30" i="11"/>
  <c r="IY28" i="11"/>
  <c r="BC29" i="11"/>
  <c r="ER28" i="11"/>
  <c r="DW30" i="11"/>
  <c r="CA28" i="11"/>
  <c r="AH28" i="11"/>
  <c r="DU28" i="11"/>
  <c r="JJ28" i="11"/>
  <c r="HM28" i="11"/>
  <c r="FX28" i="11"/>
  <c r="E29" i="11"/>
  <c r="GL28" i="11"/>
  <c r="JQ28" i="11"/>
  <c r="JW30" i="11"/>
  <c r="HW28" i="11"/>
  <c r="CP30" i="11"/>
  <c r="EM28" i="11"/>
  <c r="CV29" i="11"/>
  <c r="HZ29" i="11"/>
  <c r="ET28" i="11"/>
  <c r="GD29" i="11"/>
  <c r="EL28" i="11"/>
  <c r="HP29" i="11"/>
  <c r="EH28" i="11"/>
  <c r="AV29" i="11"/>
  <c r="CE29" i="11"/>
  <c r="HV29" i="11"/>
  <c r="BU29" i="11"/>
  <c r="BA28" i="11"/>
  <c r="BX29" i="11"/>
  <c r="KK28" i="11"/>
  <c r="KO29" i="11"/>
  <c r="JV29" i="11"/>
  <c r="IO30" i="11"/>
  <c r="CU29" i="11"/>
  <c r="BU30" i="11"/>
  <c r="FN29" i="11"/>
  <c r="CW30" i="11"/>
  <c r="BS29" i="11"/>
  <c r="GB29" i="11"/>
  <c r="DY29" i="11"/>
  <c r="BT28" i="11"/>
  <c r="DF30" i="11"/>
  <c r="JN30" i="11"/>
  <c r="HR29" i="11"/>
  <c r="FG29" i="11"/>
  <c r="CI28" i="11"/>
  <c r="EO30" i="11"/>
  <c r="FN28" i="11"/>
  <c r="JB28" i="11"/>
  <c r="DB29" i="11"/>
  <c r="JA28" i="11"/>
  <c r="EN29" i="11"/>
  <c r="FJ28" i="11"/>
  <c r="BA29" i="11"/>
  <c r="KA30" i="11"/>
  <c r="FH28" i="11"/>
  <c r="HC29" i="11"/>
  <c r="JZ29" i="11"/>
  <c r="IS30" i="11"/>
  <c r="CJ29" i="11"/>
  <c r="DN29" i="11"/>
  <c r="GH29" i="11"/>
  <c r="KH28" i="11"/>
  <c r="N28" i="11"/>
  <c r="FI28" i="11"/>
  <c r="IQ29" i="11"/>
  <c r="Q30" i="11"/>
  <c r="BQ29" i="11"/>
  <c r="IP30" i="11"/>
  <c r="DB30" i="11"/>
  <c r="EX29" i="11"/>
  <c r="HZ30" i="11"/>
  <c r="BQ30" i="11"/>
  <c r="EN30" i="11"/>
  <c r="BR28" i="11"/>
  <c r="BP30" i="11"/>
  <c r="DG28" i="11"/>
  <c r="JX28" i="11"/>
  <c r="Y28" i="11"/>
  <c r="BL29" i="11"/>
  <c r="HS30" i="11"/>
  <c r="IP28" i="11"/>
  <c r="KF30" i="11"/>
  <c r="FP28" i="11"/>
  <c r="HQ29" i="11"/>
  <c r="BH28" i="11"/>
  <c r="AE30" i="11"/>
  <c r="HF30" i="11"/>
  <c r="KJ30" i="11"/>
  <c r="AH29" i="11"/>
  <c r="G30" i="11"/>
  <c r="GR29" i="11"/>
  <c r="IG30" i="11"/>
  <c r="FU30" i="11"/>
  <c r="CQ30" i="11"/>
  <c r="EK28" i="11"/>
  <c r="JV30" i="11"/>
  <c r="EX30" i="11"/>
  <c r="AC29" i="11"/>
  <c r="HH29" i="11"/>
  <c r="FN30" i="11"/>
  <c r="DM29" i="11"/>
  <c r="IR29" i="11"/>
  <c r="HI29" i="11"/>
  <c r="AY28" i="11"/>
  <c r="F29" i="11"/>
  <c r="O28" i="11"/>
  <c r="FQ28" i="11"/>
  <c r="EU30" i="11"/>
  <c r="AS30" i="11"/>
  <c r="JT29" i="11"/>
  <c r="JD28" i="11"/>
  <c r="BK28" i="11"/>
  <c r="GZ30" i="11"/>
  <c r="HN28" i="11"/>
  <c r="HS28" i="11"/>
  <c r="HT29" i="11"/>
  <c r="BD30" i="11"/>
  <c r="HH28" i="11"/>
  <c r="FO28" i="11"/>
  <c r="I28" i="11"/>
  <c r="ID29" i="11"/>
  <c r="GE29" i="11"/>
  <c r="DT28" i="11"/>
  <c r="BG30" i="11"/>
  <c r="DC29" i="11"/>
  <c r="BB29" i="11"/>
  <c r="I30" i="11"/>
  <c r="FE30" i="11"/>
  <c r="ES30" i="11"/>
  <c r="CY29" i="11"/>
  <c r="GR28" i="11"/>
  <c r="FM30" i="11"/>
  <c r="DV29" i="11"/>
  <c r="GE30" i="11"/>
  <c r="BZ28" i="11"/>
  <c r="KM29" i="11"/>
  <c r="JN28" i="11"/>
  <c r="KC30" i="11"/>
  <c r="JS29" i="11"/>
  <c r="AF28" i="11"/>
  <c r="GZ29" i="11"/>
  <c r="GT28" i="11"/>
  <c r="IZ30" i="11"/>
  <c r="DU29" i="11"/>
  <c r="CO29" i="11"/>
  <c r="R29" i="11"/>
  <c r="BM30" i="11"/>
  <c r="JM28" i="11"/>
  <c r="DA29" i="11"/>
  <c r="FQ29" i="11"/>
  <c r="FG30" i="11"/>
  <c r="BM29" i="11"/>
  <c r="DL28" i="11"/>
  <c r="T29" i="11"/>
  <c r="JE30" i="11"/>
  <c r="EO29" i="11"/>
  <c r="IM30" i="11"/>
  <c r="IL29" i="11"/>
  <c r="JI28" i="11"/>
  <c r="CO28" i="11"/>
  <c r="KG28" i="11"/>
  <c r="CE30" i="11"/>
  <c r="FJ29" i="11"/>
  <c r="CT29" i="11"/>
  <c r="CJ28" i="11"/>
  <c r="KN28" i="11"/>
  <c r="CM30" i="11"/>
  <c r="FP29" i="11"/>
  <c r="DP29" i="11"/>
  <c r="FL28" i="11"/>
  <c r="FY28" i="11"/>
  <c r="JY29" i="11"/>
  <c r="AR29" i="11"/>
  <c r="GD28" i="11"/>
  <c r="FB29" i="11"/>
  <c r="JH30" i="11"/>
  <c r="GJ29" i="11"/>
  <c r="EZ28" i="11"/>
  <c r="IH30" i="11"/>
  <c r="CD29" i="11"/>
  <c r="CM29" i="11"/>
  <c r="HU30" i="11"/>
  <c r="EU28" i="11"/>
  <c r="IA29" i="11"/>
  <c r="HM29" i="11"/>
  <c r="Z30" i="11"/>
  <c r="DR30" i="11"/>
  <c r="GV30" i="11"/>
  <c r="Q28" i="11"/>
  <c r="DW28" i="11"/>
  <c r="JC30" i="11"/>
  <c r="KE28" i="11"/>
  <c r="JR29" i="11"/>
  <c r="KA29" i="11"/>
  <c r="EV29" i="11"/>
  <c r="JD29" i="11"/>
  <c r="Q29" i="11"/>
  <c r="JI29" i="11"/>
  <c r="FZ28" i="11"/>
  <c r="HP28" i="11"/>
  <c r="EW30" i="11"/>
  <c r="AG29" i="11"/>
  <c r="DS30" i="11"/>
  <c r="KN30" i="11"/>
  <c r="BA30" i="11"/>
  <c r="AB29" i="11"/>
  <c r="AC28" i="11"/>
  <c r="BR29" i="11"/>
  <c r="KB30" i="11"/>
  <c r="JR30" i="11"/>
  <c r="GY29" i="11"/>
  <c r="EX28" i="11"/>
  <c r="BV29" i="11"/>
  <c r="GZ28" i="11"/>
  <c r="HL28" i="11"/>
  <c r="M30" i="11"/>
  <c r="CC29" i="11"/>
  <c r="DY28" i="11"/>
  <c r="GS29" i="11"/>
  <c r="CW28" i="11"/>
  <c r="FU28" i="11"/>
  <c r="IP29" i="11"/>
  <c r="EG28" i="11"/>
  <c r="BT29" i="11"/>
  <c r="KC28" i="11"/>
  <c r="AX30" i="11"/>
  <c r="IZ28" i="11"/>
  <c r="BJ29" i="11"/>
  <c r="FF29" i="11"/>
  <c r="FA30" i="11"/>
  <c r="BH29" i="11"/>
  <c r="GT30" i="11"/>
  <c r="FW29" i="11"/>
  <c r="FM28" i="11"/>
  <c r="C28" i="11"/>
  <c r="CL29" i="11"/>
  <c r="GP30" i="11"/>
  <c r="V30" i="11"/>
  <c r="BP29" i="11"/>
  <c r="HN29" i="11"/>
  <c r="CR29" i="11"/>
  <c r="GW30" i="11"/>
  <c r="AC30" i="11"/>
  <c r="BZ29" i="11"/>
  <c r="CD28" i="11"/>
  <c r="H29" i="11"/>
  <c r="CT30" i="11"/>
  <c r="FU29" i="11"/>
  <c r="DZ29" i="11"/>
  <c r="FF28" i="11"/>
  <c r="GJ28" i="11"/>
  <c r="KE29" i="11"/>
  <c r="AW29" i="11"/>
  <c r="GN28" i="11"/>
  <c r="BF28" i="11"/>
  <c r="GH28" i="11"/>
  <c r="CI29" i="11"/>
  <c r="II28" i="11"/>
  <c r="KO28" i="11"/>
  <c r="DB28" i="11"/>
  <c r="D30" i="11"/>
  <c r="HW29" i="11"/>
  <c r="U30" i="11"/>
  <c r="IB30" i="11"/>
  <c r="N30" i="11"/>
  <c r="S29" i="11"/>
  <c r="BL28" i="11"/>
  <c r="AZ30" i="11"/>
  <c r="GM29" i="11"/>
  <c r="FK28" i="11"/>
  <c r="CX30" i="11"/>
  <c r="ER29" i="11"/>
  <c r="KJ29" i="11"/>
  <c r="HD28" i="11"/>
  <c r="BB30" i="11"/>
  <c r="DN28" i="11"/>
  <c r="HW30" i="11"/>
  <c r="GW28" i="11"/>
  <c r="FW30" i="11"/>
  <c r="CG28" i="11"/>
  <c r="E30" i="11"/>
  <c r="JT28" i="11"/>
  <c r="FR30" i="11"/>
  <c r="JK29" i="11"/>
  <c r="C30" i="11"/>
  <c r="IE30" i="11"/>
  <c r="FO29" i="11"/>
  <c r="CL28" i="11"/>
  <c r="GO29" i="11"/>
  <c r="KF28" i="11"/>
  <c r="CZ28" i="11"/>
  <c r="JR28" i="11"/>
  <c r="BR30" i="11"/>
  <c r="EJ29" i="11"/>
  <c r="BD29" i="11"/>
  <c r="FM29" i="11"/>
  <c r="EL29" i="11"/>
  <c r="CC28" i="11"/>
  <c r="GV29" i="11"/>
  <c r="U28" i="11"/>
  <c r="JH28" i="11"/>
  <c r="BU28" i="11"/>
  <c r="KG29" i="11"/>
  <c r="GK28" i="11"/>
  <c r="EP29" i="11"/>
  <c r="BY29" i="11"/>
  <c r="CU30" i="11"/>
  <c r="I29" i="11"/>
  <c r="FC30" i="11"/>
  <c r="EQ29" i="11"/>
  <c r="DH28" i="11"/>
  <c r="R30" i="11"/>
  <c r="EC29" i="11"/>
  <c r="JI30" i="11"/>
  <c r="DJ30" i="11"/>
  <c r="GC29" i="11"/>
  <c r="AM30" i="11"/>
  <c r="EH29" i="11"/>
  <c r="JO30" i="11"/>
  <c r="DY30" i="11"/>
  <c r="AR28" i="11"/>
  <c r="AN28" i="11"/>
  <c r="BF29" i="11"/>
  <c r="EY30" i="11"/>
  <c r="IX29" i="11"/>
  <c r="HZ28" i="11"/>
  <c r="DP28" i="11"/>
  <c r="IW28" i="11"/>
  <c r="AW30" i="11"/>
  <c r="DT29" i="11"/>
  <c r="D29" i="11"/>
  <c r="HB29" i="11"/>
  <c r="JL28" i="11"/>
  <c r="CR30" i="11"/>
  <c r="GB28" i="11"/>
  <c r="S28" i="11"/>
  <c r="JS28" i="11"/>
  <c r="EY29" i="11"/>
  <c r="AJ30" i="11"/>
  <c r="H30" i="11"/>
  <c r="HS29" i="11"/>
  <c r="DS28" i="11"/>
  <c r="JF29" i="11"/>
  <c r="AF29" i="11"/>
  <c r="L28" i="11"/>
  <c r="DW29" i="11"/>
  <c r="CF30" i="11"/>
  <c r="CT28" i="11"/>
  <c r="GQ28" i="11"/>
  <c r="JB30" i="11"/>
  <c r="GF30" i="11"/>
  <c r="CF28" i="11"/>
  <c r="KD30" i="11"/>
  <c r="AV28" i="11"/>
  <c r="KI30" i="11"/>
  <c r="EP28" i="11"/>
  <c r="IC30" i="11"/>
  <c r="AB28" i="11"/>
  <c r="IW29" i="11"/>
  <c r="HX28" i="11"/>
  <c r="HA28" i="11"/>
  <c r="GK30" i="11"/>
  <c r="IY29" i="11"/>
  <c r="CK30" i="11"/>
  <c r="GI30" i="11"/>
  <c r="EE29" i="11"/>
  <c r="Z28" i="11"/>
  <c r="S30" i="11"/>
  <c r="CZ29" i="11"/>
  <c r="BI28" i="11"/>
  <c r="AJ29" i="11"/>
  <c r="DV30" i="11"/>
  <c r="HF29" i="11"/>
  <c r="GW29" i="11"/>
  <c r="AZ29" i="11"/>
  <c r="BE29" i="11"/>
  <c r="JU30" i="11"/>
  <c r="FE29" i="11"/>
  <c r="JD30" i="11"/>
  <c r="GX29" i="11"/>
  <c r="FB28" i="11"/>
  <c r="IC29" i="11"/>
  <c r="DD28" i="11"/>
  <c r="BI29" i="11"/>
  <c r="JP28" i="11"/>
  <c r="AQ30" i="11"/>
  <c r="IR28" i="11"/>
  <c r="DM30" i="11"/>
  <c r="DK29" i="11"/>
  <c r="BB28" i="11"/>
  <c r="GM30" i="11"/>
  <c r="FT29" i="11"/>
  <c r="CB28" i="11"/>
  <c r="GQ30" i="11"/>
  <c r="Y29" i="11"/>
  <c r="HI30" i="11"/>
  <c r="FY29" i="11"/>
  <c r="DR28" i="11"/>
  <c r="GX30" i="11"/>
  <c r="AN29" i="11"/>
  <c r="HY29" i="11"/>
  <c r="CW29" i="11"/>
  <c r="HC30" i="11"/>
  <c r="AI30" i="11"/>
  <c r="CK29" i="11"/>
  <c r="BY28" i="11"/>
  <c r="N29" i="11"/>
  <c r="DA30" i="11"/>
  <c r="FZ29" i="11"/>
  <c r="EK29" i="11"/>
  <c r="EC30" i="11"/>
  <c r="AK30" i="11"/>
  <c r="CA29" i="11"/>
  <c r="KJ28" i="11"/>
  <c r="AL30" i="11"/>
  <c r="HX29" i="11"/>
  <c r="IN29" i="11"/>
  <c r="GD30" i="11"/>
  <c r="FT30" i="11"/>
  <c r="BJ30" i="11"/>
  <c r="AI28" i="11"/>
  <c r="HA30" i="11"/>
  <c r="X30" i="11"/>
  <c r="DV28" i="11"/>
  <c r="EI28" i="11"/>
  <c r="DX28" i="11"/>
  <c r="AT29" i="11"/>
  <c r="HO29" i="11"/>
  <c r="JC29" i="11"/>
  <c r="KP29" i="11"/>
  <c r="BF30" i="11"/>
  <c r="AK28" i="11"/>
  <c r="BW30" i="11"/>
  <c r="GO30" i="11"/>
  <c r="EI29" i="11"/>
  <c r="AG28" i="11"/>
  <c r="F30" i="11"/>
  <c r="J29" i="11"/>
  <c r="DZ30" i="11"/>
  <c r="ED28" i="11"/>
  <c r="AU30" i="11"/>
  <c r="V29" i="11"/>
  <c r="V28" i="11"/>
  <c r="CH29" i="11"/>
  <c r="EP30" i="11"/>
  <c r="FI29" i="11"/>
  <c r="AZ28" i="11"/>
  <c r="GC30" i="11"/>
  <c r="JV28" i="11"/>
  <c r="FV29" i="11"/>
  <c r="DE29" i="11"/>
  <c r="DQ30" i="11"/>
  <c r="AD29" i="11"/>
  <c r="DL29" i="11"/>
  <c r="HI28" i="11"/>
  <c r="HM30" i="11"/>
  <c r="DD29" i="11"/>
  <c r="HT28" i="11"/>
  <c r="DF29" i="11"/>
  <c r="AL28" i="11"/>
  <c r="GF29" i="11"/>
  <c r="KE30" i="11"/>
  <c r="KC29" i="11"/>
  <c r="L29" i="11"/>
  <c r="EF28" i="11"/>
  <c r="IB28" i="11"/>
  <c r="AA30" i="11"/>
  <c r="CN29" i="11"/>
  <c r="HY28" i="11"/>
  <c r="CP29" i="11"/>
  <c r="IJ28" i="11"/>
  <c r="AH30" i="11"/>
  <c r="CS29" i="11"/>
  <c r="IL28" i="11"/>
  <c r="EG29" i="11"/>
  <c r="CK28" i="11"/>
  <c r="HU29" i="11"/>
  <c r="IK28" i="11"/>
  <c r="KK30" i="11"/>
  <c r="FD28" i="11"/>
  <c r="CD30" i="11"/>
  <c r="ES29" i="11"/>
  <c r="JY30" i="11"/>
  <c r="EL30" i="11"/>
  <c r="GF28" i="11"/>
  <c r="BE30" i="11"/>
  <c r="CX28" i="11"/>
  <c r="EE30" i="11"/>
  <c r="IL30" i="11"/>
  <c r="II29" i="11"/>
  <c r="BV28" i="11"/>
  <c r="X29" i="11"/>
  <c r="AX28" i="11"/>
  <c r="BV30" i="11"/>
  <c r="ES28" i="11"/>
  <c r="P29" i="11"/>
  <c r="DQ29" i="11"/>
  <c r="FV30" i="11"/>
  <c r="HD29" i="11"/>
  <c r="GA30" i="11"/>
  <c r="HU28" i="11"/>
  <c r="EM30" i="11"/>
  <c r="CS28" i="11"/>
  <c r="ID30" i="11"/>
  <c r="DK30" i="11"/>
  <c r="EU29" i="11"/>
  <c r="HL30" i="11"/>
  <c r="IN30" i="11"/>
  <c r="DM28" i="11"/>
  <c r="CQ28" i="11"/>
  <c r="GE28" i="11"/>
  <c r="HP30" i="11"/>
  <c r="JE29" i="11"/>
  <c r="IE29" i="11"/>
  <c r="DI29" i="11"/>
  <c r="BI30" i="11"/>
  <c r="AK29" i="11"/>
  <c r="AS28" i="11"/>
  <c r="HV28" i="11"/>
  <c r="FV28" i="11"/>
  <c r="IK30" i="11"/>
  <c r="J28" i="11"/>
  <c r="ET29" i="11"/>
  <c r="FA29" i="11"/>
  <c r="IA30" i="11"/>
  <c r="FH29" i="11"/>
  <c r="IU29" i="11"/>
  <c r="DZ28" i="11"/>
  <c r="R28" i="11"/>
  <c r="FE28" i="11"/>
  <c r="KD29" i="11"/>
  <c r="HE30" i="11"/>
  <c r="X28" i="11"/>
  <c r="KF29" i="11"/>
  <c r="CA30" i="11"/>
  <c r="EY28" i="11"/>
  <c r="FB30" i="11"/>
  <c r="JH29" i="11"/>
  <c r="BJ28" i="11"/>
  <c r="IW36" i="11"/>
  <c r="GG35" i="11"/>
  <c r="AB35" i="11"/>
  <c r="GX37" i="11"/>
  <c r="EJ35" i="11"/>
  <c r="HX36" i="11"/>
  <c r="CX37" i="11"/>
  <c r="HW37" i="11"/>
  <c r="GK36" i="11"/>
  <c r="FY37" i="11"/>
  <c r="C36" i="11"/>
  <c r="AW35" i="11"/>
  <c r="FV37" i="11"/>
  <c r="CA35" i="11"/>
  <c r="E35" i="11"/>
  <c r="AT37" i="11"/>
  <c r="FH35" i="11"/>
  <c r="CJ37" i="11"/>
  <c r="IL35" i="11"/>
  <c r="BH37" i="11"/>
  <c r="JS35" i="11"/>
  <c r="CK35" i="11"/>
  <c r="HK36" i="11"/>
  <c r="IM35" i="11"/>
  <c r="IM36" i="11"/>
  <c r="GC37" i="11"/>
  <c r="FZ37" i="11"/>
  <c r="IW35" i="11"/>
  <c r="AH37" i="11"/>
  <c r="JN37" i="11"/>
  <c r="W35" i="11"/>
  <c r="GA35" i="11"/>
  <c r="GA36" i="11"/>
  <c r="JV36" i="11"/>
  <c r="JC36" i="11"/>
  <c r="EY37" i="11"/>
  <c r="GG37" i="11"/>
  <c r="BQ36" i="11"/>
  <c r="AN35" i="11"/>
  <c r="EO36" i="11"/>
  <c r="BK35" i="11"/>
  <c r="BS36" i="11"/>
  <c r="Y35" i="11"/>
  <c r="GK35" i="11"/>
  <c r="E37" i="11"/>
  <c r="EE37" i="11"/>
  <c r="KK37" i="11"/>
  <c r="BU37" i="11"/>
  <c r="DS35" i="11"/>
  <c r="FH37" i="11"/>
  <c r="JT37" i="11"/>
  <c r="IJ36" i="11"/>
  <c r="GG36" i="11"/>
  <c r="P35" i="11"/>
  <c r="CH36" i="11"/>
  <c r="BK37" i="11"/>
  <c r="FJ37" i="11"/>
  <c r="HN35" i="11"/>
  <c r="HD35" i="11"/>
  <c r="KO35" i="11"/>
  <c r="DG36" i="11"/>
  <c r="HV36" i="11"/>
  <c r="FV36" i="11"/>
  <c r="IG36" i="11"/>
  <c r="HT35" i="11"/>
  <c r="BY35" i="11"/>
  <c r="KM36" i="11"/>
  <c r="AQ35" i="11"/>
  <c r="IV35" i="11"/>
  <c r="JA36" i="11"/>
  <c r="BA35" i="11"/>
  <c r="G36" i="11"/>
  <c r="JY36" i="11"/>
  <c r="EN35" i="11"/>
  <c r="FQ35" i="11"/>
  <c r="JE35" i="11"/>
  <c r="BP36" i="11"/>
  <c r="JB36" i="11"/>
  <c r="EH36" i="11"/>
  <c r="KN36" i="11"/>
  <c r="BZ35" i="11"/>
  <c r="KI37" i="11"/>
  <c r="GH35" i="11"/>
  <c r="EP35" i="11"/>
  <c r="HD36" i="11"/>
  <c r="EM36" i="11"/>
  <c r="KK35" i="11"/>
  <c r="IP35" i="11"/>
  <c r="AN36" i="11"/>
  <c r="EW36" i="11"/>
  <c r="GP36" i="11"/>
  <c r="HN36" i="11"/>
  <c r="IZ37" i="11"/>
  <c r="JW36" i="11"/>
  <c r="S35" i="11"/>
  <c r="ET35" i="11"/>
  <c r="GI36" i="11"/>
  <c r="FU35" i="11"/>
  <c r="JU35" i="11"/>
  <c r="GJ35" i="11"/>
  <c r="FW35" i="11"/>
  <c r="IC37" i="11"/>
  <c r="EB37" i="11"/>
  <c r="KP36" i="11"/>
  <c r="E36" i="11"/>
  <c r="CH37" i="11"/>
  <c r="BN37" i="11"/>
  <c r="BJ36" i="11"/>
  <c r="IN35" i="11"/>
  <c r="JB37" i="11"/>
  <c r="DN37" i="11"/>
  <c r="HL35" i="11"/>
  <c r="IF36" i="11"/>
  <c r="DI35" i="11"/>
  <c r="JG37" i="11"/>
  <c r="FS35" i="11"/>
  <c r="S36" i="11"/>
  <c r="HF37" i="11"/>
  <c r="HS35" i="11"/>
  <c r="ED37" i="11"/>
  <c r="AC37" i="11"/>
  <c r="FE37" i="11"/>
  <c r="AO35" i="11"/>
  <c r="FC37" i="11"/>
  <c r="GU35" i="11"/>
  <c r="FH36" i="11"/>
  <c r="AH35" i="11"/>
  <c r="HZ37" i="11"/>
  <c r="HQ35" i="11"/>
  <c r="CC36" i="11"/>
  <c r="DX37" i="11"/>
  <c r="EF37" i="11"/>
  <c r="V36" i="11"/>
  <c r="Q35" i="11"/>
  <c r="BT35" i="11"/>
  <c r="DW37" i="11"/>
  <c r="CZ36" i="11"/>
  <c r="GE36" i="11"/>
  <c r="FA37" i="11"/>
  <c r="AU36" i="11"/>
  <c r="GB36" i="11"/>
  <c r="DN35" i="11"/>
  <c r="GQ37" i="11"/>
  <c r="AW37" i="11"/>
  <c r="DP37" i="11"/>
  <c r="JA35" i="11"/>
  <c r="DU35" i="11"/>
  <c r="GE35" i="11"/>
  <c r="FP36" i="11"/>
  <c r="N35" i="11"/>
  <c r="Y37" i="11"/>
  <c r="GV35" i="11"/>
  <c r="BV37" i="11"/>
  <c r="JH35" i="11"/>
  <c r="HH36" i="11"/>
  <c r="AT36" i="11"/>
  <c r="HA36" i="11"/>
  <c r="AV36" i="11"/>
  <c r="FP37" i="11"/>
  <c r="W37" i="11"/>
  <c r="CW37" i="11"/>
  <c r="ER35" i="11"/>
  <c r="BP35" i="11"/>
  <c r="EY35" i="11"/>
  <c r="HW36" i="11"/>
  <c r="CG35" i="11"/>
  <c r="HT36" i="11"/>
  <c r="AF35" i="11"/>
  <c r="AZ36" i="11"/>
  <c r="BE35" i="11"/>
  <c r="GW36" i="11"/>
  <c r="HM37" i="11"/>
  <c r="BX37" i="11"/>
  <c r="EJ37" i="11"/>
  <c r="BO36" i="11"/>
  <c r="FY35" i="11"/>
  <c r="HK35" i="11"/>
  <c r="DO36" i="11"/>
  <c r="BX36" i="11"/>
  <c r="KC36" i="11"/>
  <c r="CD37" i="11"/>
  <c r="BB35" i="11"/>
  <c r="EO37" i="11"/>
  <c r="EA35" i="11"/>
  <c r="JO35" i="11"/>
  <c r="BS35" i="11"/>
  <c r="K36" i="11"/>
  <c r="JN35" i="11"/>
  <c r="EW37" i="11"/>
  <c r="DP36" i="11"/>
  <c r="CE35" i="11"/>
  <c r="HB37" i="11"/>
  <c r="EX36" i="11"/>
  <c r="DX35" i="11"/>
  <c r="IB36" i="11"/>
  <c r="FM36" i="11"/>
  <c r="IE37" i="11"/>
  <c r="IK35" i="11"/>
  <c r="FQ37" i="11"/>
  <c r="EG36" i="11"/>
  <c r="BM35" i="11"/>
  <c r="DD36" i="11"/>
  <c r="AO36" i="11"/>
  <c r="CQ35" i="11"/>
  <c r="H37" i="11"/>
  <c r="HQ37" i="11"/>
  <c r="GN36" i="11"/>
  <c r="FD37" i="11"/>
  <c r="CV37" i="11"/>
  <c r="DL37" i="11"/>
  <c r="EI35" i="11"/>
  <c r="CA37" i="11"/>
  <c r="KJ37" i="11"/>
  <c r="KO36" i="11"/>
  <c r="JP36" i="11"/>
  <c r="BU35" i="11"/>
  <c r="AK36" i="11"/>
  <c r="JQ36" i="11"/>
  <c r="II35" i="11"/>
  <c r="EK35" i="11"/>
  <c r="DE35" i="11"/>
  <c r="AI37" i="11"/>
  <c r="H35" i="11"/>
  <c r="Z36" i="11"/>
  <c r="JP35" i="11"/>
  <c r="CS37" i="11"/>
  <c r="GZ36" i="11"/>
  <c r="AR37" i="11"/>
  <c r="HM36" i="11"/>
  <c r="CC35" i="11"/>
  <c r="BG35" i="11"/>
  <c r="HM35" i="11"/>
  <c r="HU36" i="11"/>
  <c r="EB35" i="11"/>
  <c r="JC35" i="11"/>
  <c r="GT37" i="11"/>
  <c r="AR35" i="11"/>
  <c r="DB36" i="11"/>
  <c r="HN37" i="11"/>
  <c r="JU37" i="11"/>
  <c r="BN35" i="11"/>
  <c r="BS37" i="11"/>
  <c r="FO36" i="11"/>
  <c r="AA37" i="11"/>
  <c r="JE37" i="11"/>
  <c r="DT35" i="11"/>
  <c r="AA35" i="11"/>
  <c r="KL35" i="11"/>
  <c r="KG36" i="11"/>
  <c r="V35" i="11"/>
  <c r="JR37" i="11"/>
  <c r="GI37" i="11"/>
  <c r="CT36" i="11"/>
  <c r="IP36" i="11"/>
  <c r="DS37" i="11"/>
  <c r="IY36" i="11"/>
  <c r="BL37" i="11"/>
  <c r="JM36" i="11"/>
  <c r="AL35" i="11"/>
  <c r="CM35" i="11"/>
  <c r="EL35" i="11"/>
  <c r="CA36" i="11"/>
  <c r="HQ36" i="11"/>
  <c r="G35" i="11"/>
  <c r="HX35" i="11"/>
  <c r="HD37" i="11"/>
  <c r="C37" i="11"/>
  <c r="CY35" i="11"/>
  <c r="IT37" i="11"/>
  <c r="ID36" i="11"/>
  <c r="HG36" i="11"/>
  <c r="F36" i="11"/>
  <c r="CF37" i="11"/>
  <c r="HY35" i="11"/>
  <c r="U36" i="11"/>
  <c r="CF36" i="11"/>
  <c r="DA36" i="11"/>
  <c r="F35" i="11"/>
  <c r="FK36" i="11"/>
  <c r="CV36" i="11"/>
  <c r="AY35" i="11"/>
  <c r="BO37" i="11"/>
  <c r="AU37" i="11"/>
  <c r="FR36" i="11"/>
  <c r="ED35" i="11"/>
  <c r="AL36" i="11"/>
  <c r="GL37" i="11"/>
  <c r="DW35" i="11"/>
  <c r="KG35" i="11"/>
  <c r="AY36" i="11"/>
  <c r="CN37" i="11"/>
  <c r="FV35" i="11"/>
  <c r="GT36" i="11"/>
  <c r="W36" i="11"/>
  <c r="FS36" i="11"/>
  <c r="AS37" i="11"/>
  <c r="DW36" i="11"/>
  <c r="GZ37" i="11"/>
  <c r="CB36" i="11"/>
  <c r="JL35" i="11"/>
  <c r="KF36" i="11"/>
  <c r="KH36" i="11"/>
  <c r="EC35" i="11"/>
  <c r="V37" i="11"/>
  <c r="HU37" i="11"/>
  <c r="JD37" i="11"/>
  <c r="FL36" i="11"/>
  <c r="ID35" i="11"/>
  <c r="FR35" i="11"/>
  <c r="FF37" i="11"/>
  <c r="KE36" i="11"/>
  <c r="BG36" i="11"/>
  <c r="IS36" i="11"/>
  <c r="EG37" i="11"/>
  <c r="IR35" i="11"/>
  <c r="EA37" i="11"/>
  <c r="FX36" i="11"/>
  <c r="T35" i="11"/>
  <c r="BB37" i="11"/>
  <c r="Q36" i="11"/>
  <c r="KM35" i="11"/>
  <c r="IS35" i="11"/>
  <c r="AT35" i="11"/>
  <c r="BO35" i="11"/>
  <c r="FG35" i="11"/>
  <c r="HK37" i="11"/>
  <c r="IU36" i="11"/>
  <c r="L36" i="11"/>
  <c r="HC36" i="11"/>
  <c r="CQ37" i="11"/>
  <c r="KH35" i="11"/>
  <c r="BW37" i="11"/>
  <c r="HY36" i="11"/>
  <c r="FT35" i="11"/>
  <c r="CT37" i="11"/>
  <c r="AB36" i="11"/>
  <c r="CR37" i="11"/>
  <c r="IL37" i="11"/>
  <c r="CU35" i="11"/>
  <c r="U37" i="11"/>
  <c r="CO36" i="11"/>
  <c r="JT36" i="11"/>
  <c r="FX37" i="11"/>
  <c r="HA35" i="11"/>
  <c r="GF37" i="11"/>
  <c r="DQ36" i="11"/>
  <c r="HI37" i="11"/>
  <c r="EL36" i="11"/>
  <c r="FF36" i="11"/>
  <c r="GF36" i="11"/>
  <c r="BU36" i="11"/>
  <c r="EM37" i="11"/>
  <c r="BY36" i="11"/>
  <c r="DF36" i="11"/>
  <c r="CV35" i="11"/>
  <c r="JQ35" i="11"/>
  <c r="KP35" i="11"/>
  <c r="HE35" i="11"/>
  <c r="O37" i="11"/>
  <c r="DG37" i="11"/>
  <c r="DR36" i="11"/>
  <c r="T37" i="11"/>
  <c r="DZ36" i="11"/>
  <c r="BX35" i="11"/>
  <c r="CS36" i="11"/>
  <c r="ID37" i="11"/>
  <c r="HB36" i="11"/>
  <c r="JP37" i="11"/>
  <c r="DJ37" i="11"/>
  <c r="HR36" i="11"/>
  <c r="GX36" i="11"/>
  <c r="JR35" i="11"/>
  <c r="DZ37" i="11"/>
  <c r="KB37" i="11"/>
  <c r="BY37" i="11"/>
  <c r="JE36" i="11"/>
  <c r="DI36" i="11"/>
  <c r="CS35" i="11"/>
  <c r="BC36" i="11"/>
  <c r="DQ35" i="11"/>
  <c r="DJ36" i="11"/>
  <c r="IY35" i="11"/>
  <c r="DC37" i="11"/>
  <c r="JW37" i="11"/>
  <c r="HU35" i="11"/>
  <c r="KI36" i="11"/>
  <c r="IP37" i="11"/>
  <c r="CH35" i="11"/>
  <c r="AI35" i="11"/>
  <c r="CM37" i="11"/>
  <c r="CU37" i="11"/>
  <c r="IJ35" i="11"/>
  <c r="CX35" i="11"/>
  <c r="GC35" i="11"/>
  <c r="JJ35" i="11"/>
  <c r="DX36" i="11"/>
  <c r="CF35" i="11"/>
  <c r="DU36" i="11"/>
  <c r="JG36" i="11"/>
  <c r="CX36" i="11"/>
  <c r="EK36" i="11"/>
  <c r="CK37" i="11"/>
  <c r="FG36" i="11"/>
  <c r="HW35" i="11"/>
  <c r="HV37" i="11"/>
  <c r="FO35" i="11"/>
  <c r="GV36" i="11"/>
  <c r="AX35" i="11"/>
  <c r="JL36" i="11"/>
  <c r="CN35" i="11"/>
  <c r="CZ37" i="11"/>
  <c r="CM36" i="11"/>
  <c r="I35" i="11"/>
  <c r="CR36" i="11"/>
  <c r="IE36" i="11"/>
  <c r="ED36" i="11"/>
  <c r="F37" i="11"/>
  <c r="ER37" i="11"/>
  <c r="FF35" i="11"/>
  <c r="GI35" i="11"/>
  <c r="EP37" i="11"/>
  <c r="AO37" i="11"/>
  <c r="AM35" i="11"/>
  <c r="JB35" i="11"/>
  <c r="FI36" i="11"/>
  <c r="FB35" i="11"/>
  <c r="EY36" i="11"/>
  <c r="I37" i="11"/>
  <c r="BR36" i="11"/>
  <c r="IC36" i="11"/>
  <c r="AJ37" i="11"/>
  <c r="EV37" i="11"/>
  <c r="JJ37" i="11"/>
  <c r="EM35" i="11"/>
  <c r="IH35" i="11"/>
  <c r="BM36" i="11"/>
  <c r="JY35" i="11"/>
  <c r="BP37" i="11"/>
  <c r="GS36" i="11"/>
  <c r="R35" i="11"/>
  <c r="HO36" i="11"/>
  <c r="IB35" i="11"/>
  <c r="GT35" i="11"/>
  <c r="DJ35" i="11"/>
  <c r="HO35" i="11"/>
  <c r="HZ36" i="11"/>
  <c r="IO37" i="11"/>
  <c r="CP37" i="11"/>
  <c r="GD36" i="11"/>
  <c r="DD35" i="11"/>
  <c r="BZ36" i="11"/>
  <c r="AP36" i="11"/>
  <c r="AG36" i="11"/>
  <c r="JZ37" i="11"/>
  <c r="EL37" i="11"/>
  <c r="KD36" i="11"/>
  <c r="HR42" i="11"/>
  <c r="FV42" i="11"/>
  <c r="EP42" i="11"/>
  <c r="DZ42" i="11"/>
  <c r="CI42" i="11"/>
  <c r="BC42" i="11"/>
  <c r="IX42" i="11"/>
  <c r="AX42" i="11"/>
  <c r="HG42" i="11"/>
  <c r="IH42" i="11"/>
  <c r="EU42" i="11"/>
  <c r="BN42" i="11"/>
  <c r="KD42" i="11"/>
  <c r="HB42" i="11"/>
  <c r="DO42" i="11"/>
  <c r="AH42" i="11"/>
  <c r="JS42" i="11"/>
  <c r="GL42" i="11"/>
  <c r="DJ42" i="11"/>
  <c r="W42" i="11"/>
  <c r="JN42" i="11"/>
  <c r="GA42" i="11"/>
  <c r="CT42" i="11"/>
  <c r="R42" i="11"/>
  <c r="IM42" i="11"/>
  <c r="FF42" i="11"/>
  <c r="CD42" i="11"/>
  <c r="JV42" i="11"/>
  <c r="IP42" i="11"/>
  <c r="HJ42" i="11"/>
  <c r="GD42" i="11"/>
  <c r="EX42" i="11"/>
  <c r="DR42" i="11"/>
  <c r="CL42" i="11"/>
  <c r="BF42" i="11"/>
  <c r="Z42" i="11"/>
  <c r="JK42" i="11"/>
  <c r="IE42" i="11"/>
  <c r="GY42" i="11"/>
  <c r="FS42" i="11"/>
  <c r="EM42" i="11"/>
  <c r="DG42" i="11"/>
  <c r="CA42" i="11"/>
  <c r="AU42" i="11"/>
  <c r="O42" i="11"/>
  <c r="KL42" i="11"/>
  <c r="JF42" i="11"/>
  <c r="HZ42" i="11"/>
  <c r="GT42" i="11"/>
  <c r="FN42" i="11"/>
  <c r="EH42" i="11"/>
  <c r="DB42" i="11"/>
  <c r="BV42" i="11"/>
  <c r="AP42" i="11"/>
  <c r="J42" i="11"/>
  <c r="KI42" i="11"/>
  <c r="JC42" i="11"/>
  <c r="HW42" i="11"/>
  <c r="GQ42" i="11"/>
  <c r="FK42" i="11"/>
  <c r="EE42" i="11"/>
  <c r="CY42" i="11"/>
  <c r="BS42" i="11"/>
  <c r="AM42" i="11"/>
  <c r="G42" i="11"/>
  <c r="KA42" i="11"/>
  <c r="IU42" i="11"/>
  <c r="HO42" i="11"/>
  <c r="GI42" i="11"/>
  <c r="FC42" i="11"/>
  <c r="DW42" i="11"/>
  <c r="CQ42" i="11"/>
  <c r="BK42" i="11"/>
  <c r="AE42" i="11"/>
  <c r="KJ42" i="11"/>
  <c r="KB42" i="11"/>
  <c r="JT42" i="11"/>
  <c r="JL42" i="11"/>
  <c r="JD42" i="11"/>
  <c r="IV42" i="11"/>
  <c r="IN42" i="11"/>
  <c r="IF42" i="11"/>
  <c r="HX42" i="11"/>
  <c r="HP42" i="11"/>
  <c r="HH42" i="11"/>
  <c r="GZ42" i="11"/>
  <c r="GR42" i="11"/>
  <c r="GJ42" i="11"/>
  <c r="GB42" i="11"/>
  <c r="FT42" i="11"/>
  <c r="FL42" i="11"/>
  <c r="FD42" i="11"/>
  <c r="EV42" i="11"/>
  <c r="EN42" i="11"/>
  <c r="EF42" i="11"/>
  <c r="DX42" i="11"/>
  <c r="DP42" i="11"/>
  <c r="DH42" i="11"/>
  <c r="CZ42" i="11"/>
  <c r="CR42" i="11"/>
  <c r="CJ42" i="11"/>
  <c r="CB42" i="11"/>
  <c r="BT42" i="11"/>
  <c r="BL42" i="11"/>
  <c r="BD42" i="11"/>
  <c r="AV42" i="11"/>
  <c r="AN42" i="11"/>
  <c r="AF42" i="11"/>
  <c r="X42" i="11"/>
  <c r="P42" i="11"/>
  <c r="H42" i="11"/>
  <c r="KP42" i="11"/>
  <c r="KH42" i="11"/>
  <c r="JZ42" i="11"/>
  <c r="JR42" i="11"/>
  <c r="JJ42" i="11"/>
  <c r="JB42" i="11"/>
  <c r="IT42" i="11"/>
  <c r="IL42" i="11"/>
  <c r="ID42" i="11"/>
  <c r="HV42" i="11"/>
  <c r="HN42" i="11"/>
  <c r="HF42" i="11"/>
  <c r="GX42" i="11"/>
  <c r="GP42" i="11"/>
  <c r="GH42" i="11"/>
  <c r="FZ42" i="11"/>
  <c r="FR42" i="11"/>
  <c r="FJ42" i="11"/>
  <c r="FB42" i="11"/>
  <c r="ET42" i="11"/>
  <c r="EL42" i="11"/>
  <c r="ED42" i="11"/>
  <c r="DV42" i="11"/>
  <c r="DN42" i="11"/>
  <c r="DF42" i="11"/>
  <c r="CX42" i="11"/>
  <c r="CP42" i="11"/>
  <c r="CH42" i="11"/>
  <c r="BZ42" i="11"/>
  <c r="BR42" i="11"/>
  <c r="BJ42" i="11"/>
  <c r="BB42" i="11"/>
  <c r="AT42" i="11"/>
  <c r="AL42" i="11"/>
  <c r="AD42" i="11"/>
  <c r="V42" i="11"/>
  <c r="N42" i="11"/>
  <c r="F42" i="11"/>
  <c r="KO42" i="11"/>
  <c r="KG42" i="11"/>
  <c r="JY42" i="11"/>
  <c r="JQ42" i="11"/>
  <c r="JI42" i="11"/>
  <c r="JA42" i="11"/>
  <c r="IS42" i="11"/>
  <c r="IK42" i="11"/>
  <c r="IC42" i="11"/>
  <c r="HU42" i="11"/>
  <c r="HM42" i="11"/>
  <c r="HE42" i="11"/>
  <c r="GW42" i="11"/>
  <c r="GO42" i="11"/>
  <c r="GG42" i="11"/>
  <c r="FY42" i="11"/>
  <c r="FQ42" i="11"/>
  <c r="FI42" i="11"/>
  <c r="FA42" i="11"/>
  <c r="ES42" i="11"/>
  <c r="EK42" i="11"/>
  <c r="EC42" i="11"/>
  <c r="DU42" i="11"/>
  <c r="DM42" i="11"/>
  <c r="DE42" i="11"/>
  <c r="CW42" i="11"/>
  <c r="CO42" i="11"/>
  <c r="CG42" i="11"/>
  <c r="BY42" i="11"/>
  <c r="BQ42" i="11"/>
  <c r="BI42" i="11"/>
  <c r="BA42" i="11"/>
  <c r="AS42" i="11"/>
  <c r="AK42" i="11"/>
  <c r="AC42" i="11"/>
  <c r="U42" i="11"/>
  <c r="M42" i="11"/>
  <c r="E42" i="11"/>
  <c r="KN42" i="11"/>
  <c r="KF42" i="11"/>
  <c r="JX42" i="11"/>
  <c r="JP42" i="11"/>
  <c r="JH42" i="11"/>
  <c r="IZ42" i="11"/>
  <c r="IR42" i="11"/>
  <c r="IJ42" i="11"/>
  <c r="IB42" i="11"/>
  <c r="HT42" i="11"/>
  <c r="HL42" i="11"/>
  <c r="HD42" i="11"/>
  <c r="GV42" i="11"/>
  <c r="GN42" i="11"/>
  <c r="GF42" i="11"/>
  <c r="FX42" i="11"/>
  <c r="FP42" i="11"/>
  <c r="FH42" i="11"/>
  <c r="EZ42" i="11"/>
  <c r="ER42" i="11"/>
  <c r="EJ42" i="11"/>
  <c r="EB42" i="11"/>
  <c r="DT42" i="11"/>
  <c r="DL42" i="11"/>
  <c r="DD42" i="11"/>
  <c r="CV42" i="11"/>
  <c r="CN42" i="11"/>
  <c r="CF42" i="11"/>
  <c r="BX42" i="11"/>
  <c r="BP42" i="11"/>
  <c r="BH42" i="11"/>
  <c r="AZ42" i="11"/>
  <c r="AR42" i="11"/>
  <c r="AJ42" i="11"/>
  <c r="AB42" i="11"/>
  <c r="T42" i="11"/>
  <c r="L42" i="11"/>
  <c r="D42" i="11"/>
  <c r="KM42" i="11"/>
  <c r="KE42" i="11"/>
  <c r="JW42" i="11"/>
  <c r="JO42" i="11"/>
  <c r="JG42" i="11"/>
  <c r="IY42" i="11"/>
  <c r="IQ42" i="11"/>
  <c r="II42" i="11"/>
  <c r="IA42" i="11"/>
  <c r="HS42" i="11"/>
  <c r="HK42" i="11"/>
  <c r="HC42" i="11"/>
  <c r="GU42" i="11"/>
  <c r="GM42" i="11"/>
  <c r="GE42" i="11"/>
  <c r="FW42" i="11"/>
  <c r="FO42" i="11"/>
  <c r="FG42" i="11"/>
  <c r="EY42" i="11"/>
  <c r="EQ42" i="11"/>
  <c r="EI42" i="11"/>
  <c r="EA42" i="11"/>
  <c r="DS42" i="11"/>
  <c r="DK42" i="11"/>
  <c r="DC42" i="11"/>
  <c r="CU42" i="11"/>
  <c r="CM42" i="11"/>
  <c r="CE42" i="11"/>
  <c r="BW42" i="11"/>
  <c r="BO42" i="11"/>
  <c r="BG42" i="11"/>
  <c r="AY42" i="11"/>
  <c r="AQ42" i="11"/>
  <c r="AI42" i="11"/>
  <c r="AA42" i="11"/>
  <c r="S42" i="11"/>
  <c r="K42" i="11"/>
  <c r="C42" i="11"/>
  <c r="KK42" i="11"/>
  <c r="KC42" i="11"/>
  <c r="JU42" i="11"/>
  <c r="JM42" i="11"/>
  <c r="JE42" i="11"/>
  <c r="IW42" i="11"/>
  <c r="IO42" i="11"/>
  <c r="IG42" i="11"/>
  <c r="HY42" i="11"/>
  <c r="HQ42" i="11"/>
  <c r="HI42" i="11"/>
  <c r="HA42" i="11"/>
  <c r="GS42" i="11"/>
  <c r="GK42" i="11"/>
  <c r="GC42" i="11"/>
  <c r="FU42" i="11"/>
  <c r="FM42" i="11"/>
  <c r="FE42" i="11"/>
  <c r="EW42" i="11"/>
  <c r="EO42" i="11"/>
  <c r="EG42" i="11"/>
  <c r="DY42" i="11"/>
  <c r="DQ42" i="11"/>
  <c r="DI42" i="11"/>
  <c r="DA42" i="11"/>
  <c r="CS42" i="11"/>
  <c r="CK42" i="11"/>
  <c r="CC42" i="11"/>
  <c r="BU42" i="11"/>
  <c r="BM42" i="11"/>
  <c r="BE42" i="11"/>
  <c r="AW42" i="11"/>
  <c r="AO42" i="11"/>
  <c r="AG42" i="11"/>
  <c r="Y42" i="11"/>
  <c r="Q42" i="11"/>
  <c r="B35" i="23"/>
  <c r="B59" i="23"/>
  <c r="B58" i="23"/>
  <c r="B51" i="23"/>
  <c r="B50" i="23"/>
  <c r="B43" i="23"/>
  <c r="B60" i="23"/>
  <c r="B52" i="23"/>
  <c r="B44" i="23"/>
  <c r="B36" i="23"/>
  <c r="B57" i="23"/>
  <c r="B49" i="23"/>
  <c r="B41" i="23"/>
  <c r="B56" i="23"/>
  <c r="B48" i="23"/>
  <c r="B40" i="23"/>
  <c r="B55" i="23"/>
  <c r="B47" i="23"/>
  <c r="B39" i="23"/>
  <c r="B62" i="23"/>
  <c r="B54" i="23"/>
  <c r="B46" i="23"/>
  <c r="B38" i="23"/>
  <c r="B61" i="23"/>
  <c r="B53" i="23"/>
  <c r="B45" i="23"/>
  <c r="JB41" i="11"/>
  <c r="CX41" i="11"/>
  <c r="HV41" i="11"/>
  <c r="IF28" i="11"/>
  <c r="KL29" i="11"/>
  <c r="AO28" i="11"/>
  <c r="EM29" i="11"/>
  <c r="GY30" i="11"/>
  <c r="BO30" i="11"/>
  <c r="IK29" i="11"/>
  <c r="EN41" i="11"/>
  <c r="FA41" i="11"/>
  <c r="DT41" i="11"/>
  <c r="GU41" i="11"/>
  <c r="ET30" i="11"/>
  <c r="EW28" i="11"/>
  <c r="IH28" i="11"/>
  <c r="JG29" i="11"/>
  <c r="AP28" i="11"/>
  <c r="HN30" i="11"/>
  <c r="IW41" i="11"/>
  <c r="HJ41" i="11"/>
  <c r="IP41" i="11"/>
  <c r="GT41" i="11"/>
  <c r="AY41" i="11"/>
  <c r="DY41" i="11"/>
  <c r="AR41" i="11"/>
  <c r="GH30" i="11"/>
  <c r="CQ29" i="11"/>
  <c r="FZ30" i="11"/>
  <c r="EZ30" i="11"/>
  <c r="AE29" i="11"/>
  <c r="BW28" i="11"/>
  <c r="IT41" i="11"/>
  <c r="CO30" i="11"/>
  <c r="IN28" i="11"/>
  <c r="AW28" i="11"/>
  <c r="HH30" i="11"/>
  <c r="IZ29" i="11"/>
  <c r="EE28" i="11"/>
  <c r="HE41" i="11"/>
  <c r="M29" i="11"/>
  <c r="HR28" i="11"/>
  <c r="FS30" i="11"/>
  <c r="JU29" i="11"/>
  <c r="T30" i="11"/>
  <c r="GM28" i="11"/>
  <c r="FT41" i="11"/>
  <c r="FZ41" i="11"/>
  <c r="DH29" i="11"/>
  <c r="GQ29" i="11"/>
  <c r="KM30" i="11"/>
  <c r="DH30" i="11"/>
  <c r="KA28" i="11"/>
  <c r="AE28" i="11"/>
  <c r="IO41" i="11"/>
  <c r="DL41" i="11"/>
  <c r="FR28" i="11"/>
  <c r="BG29" i="11"/>
  <c r="IW30" i="11"/>
  <c r="FP30" i="11"/>
  <c r="H28" i="11"/>
  <c r="CM28" i="11"/>
  <c r="HJ30" i="11"/>
  <c r="HX30" i="11"/>
  <c r="JP29" i="11"/>
  <c r="HO30" i="11"/>
  <c r="HT30" i="11"/>
  <c r="JL29" i="11"/>
  <c r="BY41" i="11"/>
  <c r="KO41" i="11"/>
  <c r="KN29" i="11"/>
  <c r="EZ29" i="11"/>
  <c r="GY28" i="11"/>
  <c r="JT41" i="11"/>
  <c r="DQ28" i="11"/>
  <c r="DP41" i="11"/>
  <c r="GG30" i="11"/>
  <c r="CZ41" i="11"/>
  <c r="Y30" i="11"/>
  <c r="IJ41" i="11"/>
  <c r="BL30" i="11"/>
  <c r="KP30" i="11"/>
  <c r="BJ41" i="11"/>
  <c r="IZ41" i="11"/>
  <c r="BB41" i="11"/>
  <c r="AD28" i="11"/>
  <c r="FD29" i="11"/>
  <c r="DA28" i="11"/>
  <c r="GA29" i="11"/>
  <c r="IT30" i="11"/>
  <c r="JO29" i="11"/>
  <c r="DR41" i="11"/>
  <c r="BL41" i="11"/>
  <c r="CG41" i="11"/>
  <c r="BH41" i="11"/>
  <c r="EI41" i="11"/>
  <c r="HA29" i="11"/>
  <c r="CY30" i="11"/>
  <c r="KD28" i="11"/>
  <c r="O30" i="11"/>
  <c r="CV28" i="11"/>
  <c r="FJ30" i="11"/>
  <c r="GC41" i="11"/>
  <c r="HO41" i="11"/>
  <c r="GY41" i="11"/>
  <c r="HG41" i="11"/>
  <c r="IN41" i="11"/>
  <c r="BS41" i="11"/>
  <c r="GT29" i="11"/>
  <c r="FK29" i="11"/>
  <c r="K30" i="11"/>
  <c r="DT30" i="11"/>
  <c r="KM28" i="11"/>
  <c r="AQ28" i="11"/>
  <c r="AX41" i="11"/>
  <c r="FX41" i="11"/>
  <c r="KB28" i="11"/>
  <c r="AQ29" i="11"/>
  <c r="JS30" i="11"/>
  <c r="GB30" i="11"/>
  <c r="T28" i="11"/>
  <c r="CY28" i="11"/>
  <c r="E41" i="11"/>
  <c r="BN29" i="11"/>
  <c r="EC28" i="11"/>
  <c r="JF30" i="11"/>
  <c r="IJ30" i="11"/>
  <c r="KB29" i="11"/>
  <c r="FG28" i="11"/>
  <c r="IH41" i="11"/>
  <c r="IA41" i="11"/>
  <c r="AT28" i="11"/>
  <c r="JW29" i="11"/>
  <c r="GS30" i="11"/>
  <c r="CB30" i="11"/>
  <c r="IU28" i="11"/>
  <c r="AW41" i="11"/>
  <c r="FV41" i="11"/>
  <c r="BC30" i="11"/>
  <c r="EA29" i="11"/>
  <c r="CS30" i="11"/>
  <c r="EJ30" i="11"/>
  <c r="O29" i="11"/>
  <c r="BG28" i="11"/>
  <c r="KH30" i="11"/>
  <c r="GR30" i="11"/>
  <c r="IJ29" i="11"/>
  <c r="KL30" i="11"/>
  <c r="GN30" i="11"/>
  <c r="IF29" i="11"/>
  <c r="FC41" i="11"/>
  <c r="CN41" i="11"/>
  <c r="C29" i="11"/>
  <c r="FA28" i="11"/>
  <c r="DK28" i="11"/>
  <c r="DU41" i="11"/>
  <c r="GJ30" i="11"/>
  <c r="IU41" i="11"/>
  <c r="FD30" i="11"/>
  <c r="HW41" i="11"/>
  <c r="DX30" i="11"/>
  <c r="FO41" i="11"/>
  <c r="K29" i="11"/>
  <c r="GS41" i="11"/>
  <c r="AD30" i="11"/>
  <c r="IK41" i="11"/>
  <c r="GN41" i="11"/>
  <c r="JO41" i="11"/>
  <c r="GX28" i="11"/>
  <c r="AP29" i="11"/>
  <c r="FT28" i="11"/>
  <c r="HK29" i="11"/>
  <c r="JZ30" i="11"/>
  <c r="JQ30" i="11"/>
  <c r="JU41" i="11"/>
  <c r="JN41" i="11"/>
  <c r="M41" i="11"/>
  <c r="KD41" i="11"/>
  <c r="BW41" i="11"/>
  <c r="KP28" i="11"/>
  <c r="BN28" i="11"/>
  <c r="AL29" i="11"/>
  <c r="BK30" i="11"/>
  <c r="JX30" i="11"/>
  <c r="DE30" i="11"/>
  <c r="DI41" i="11"/>
  <c r="AM41" i="11"/>
  <c r="HN41" i="11"/>
  <c r="O41" i="11"/>
  <c r="AV41" i="11"/>
  <c r="KM41" i="11"/>
  <c r="JE28" i="11"/>
  <c r="IG29" i="11"/>
  <c r="IQ30" i="11"/>
  <c r="CN30" i="11"/>
  <c r="JG28" i="11"/>
  <c r="K28" i="11"/>
  <c r="DQ41" i="11"/>
  <c r="AB41" i="11"/>
  <c r="DI30" i="11"/>
  <c r="DO29" i="11"/>
  <c r="EA30" i="11"/>
  <c r="EV30" i="11"/>
  <c r="AA29" i="11"/>
  <c r="BS28" i="11"/>
  <c r="GH41" i="11"/>
  <c r="BZ30" i="11"/>
  <c r="IS28" i="11"/>
  <c r="BE28" i="11"/>
  <c r="HD30" i="11"/>
  <c r="IV29" i="11"/>
  <c r="EA28" i="11"/>
  <c r="HF41" i="11"/>
  <c r="BG41" i="11"/>
  <c r="DE28" i="11"/>
  <c r="CG30" i="11"/>
  <c r="CI30" i="11"/>
  <c r="AV30" i="11"/>
  <c r="HO28" i="11"/>
  <c r="DX41" i="11"/>
  <c r="FJ41" i="11"/>
  <c r="CG29" i="11"/>
  <c r="GU29" i="11"/>
  <c r="KG30" i="11"/>
  <c r="DD30" i="11"/>
  <c r="JW28" i="11"/>
  <c r="AA28" i="11"/>
  <c r="IY30" i="11"/>
  <c r="HB30" i="11"/>
  <c r="FL30" i="11"/>
  <c r="HY30" i="11"/>
  <c r="GU30" i="11"/>
  <c r="FH30" i="11"/>
  <c r="BV41" i="11"/>
  <c r="IB41" i="11"/>
  <c r="GP29" i="11"/>
  <c r="HC28" i="11"/>
  <c r="GV28" i="11"/>
  <c r="W28" i="11"/>
  <c r="IE41" i="11"/>
  <c r="IB29" i="11"/>
  <c r="DN41" i="11"/>
  <c r="D28" i="11"/>
  <c r="JX41" i="11"/>
  <c r="AL41" i="11"/>
  <c r="AM29" i="11"/>
  <c r="BP28" i="11"/>
  <c r="IE28" i="11"/>
  <c r="DV41" i="11"/>
  <c r="AF30" i="11"/>
  <c r="IS29" i="11"/>
  <c r="EB41" i="11"/>
  <c r="HC41" i="11"/>
  <c r="FO30" i="11"/>
  <c r="GS28" i="11"/>
  <c r="IC28" i="11"/>
  <c r="JB29" i="11"/>
  <c r="AJ28" i="11"/>
  <c r="HV30" i="11"/>
  <c r="HA41" i="11"/>
  <c r="KI41" i="11"/>
  <c r="JS41" i="11"/>
  <c r="KA41" i="11"/>
  <c r="K41" i="11"/>
  <c r="KO30" i="11"/>
  <c r="EV28" i="11"/>
  <c r="BW29" i="11"/>
  <c r="DG30" i="11"/>
  <c r="HQ30" i="11"/>
  <c r="AY30" i="11"/>
  <c r="AO41" i="11"/>
  <c r="ET41" i="11"/>
  <c r="KF41" i="11"/>
  <c r="EL41" i="11"/>
  <c r="BK41" i="11"/>
  <c r="DS41" i="11"/>
  <c r="F28" i="11"/>
  <c r="AP30" i="11"/>
  <c r="EG30" i="11"/>
  <c r="BH30" i="11"/>
  <c r="IA28" i="11"/>
  <c r="GZ41" i="11"/>
  <c r="AU41" i="11"/>
  <c r="DX29" i="11"/>
  <c r="GI29" i="11"/>
  <c r="IM29" i="11"/>
  <c r="DP30" i="11"/>
  <c r="KI28" i="11"/>
  <c r="AM28" i="11"/>
  <c r="JM41" i="11"/>
  <c r="FP41" i="11"/>
  <c r="JU28" i="11"/>
  <c r="AU29" i="11"/>
  <c r="JM30" i="11"/>
  <c r="FX30" i="11"/>
  <c r="P28" i="11"/>
  <c r="CU28" i="11"/>
  <c r="GO41" i="11"/>
  <c r="EF29" i="11"/>
  <c r="E28" i="11"/>
  <c r="FY30" i="11"/>
  <c r="JN29" i="11"/>
  <c r="P30" i="11"/>
  <c r="GI28" i="11"/>
  <c r="GD41" i="11"/>
  <c r="GM41" i="11"/>
  <c r="M28" i="11"/>
  <c r="KH29" i="11"/>
  <c r="GL30" i="11"/>
  <c r="BX30" i="11"/>
  <c r="IQ28" i="11"/>
  <c r="IO29" i="11"/>
  <c r="AT30" i="11"/>
  <c r="EF30" i="11"/>
  <c r="IH29" i="11"/>
  <c r="AG30" i="11"/>
  <c r="EB30" i="11"/>
  <c r="FU41" i="11"/>
  <c r="AZ41" i="11"/>
  <c r="IT29" i="11"/>
  <c r="DO28" i="11"/>
  <c r="FC29" i="11"/>
  <c r="GE41" i="11"/>
  <c r="FR29" i="11"/>
  <c r="JO28" i="11"/>
  <c r="JK41" i="11"/>
  <c r="EW29" i="11"/>
  <c r="JK28" i="11"/>
  <c r="U29" i="11"/>
  <c r="EB29" i="11"/>
  <c r="IM28" i="11"/>
  <c r="JZ28" i="11"/>
  <c r="EQ28" i="11"/>
  <c r="DD41" i="11"/>
  <c r="G29" i="11"/>
  <c r="BP41" i="11"/>
  <c r="EQ41" i="11"/>
  <c r="HL29" i="11"/>
  <c r="DU30" i="11"/>
  <c r="JY28" i="11"/>
  <c r="J30" i="11"/>
  <c r="CN28" i="11"/>
  <c r="FQ30" i="11"/>
  <c r="EG41" i="11"/>
  <c r="CI41" i="11"/>
  <c r="W41" i="11"/>
  <c r="CQ41" i="11"/>
  <c r="GP28" i="11"/>
  <c r="DO30" i="11"/>
  <c r="HB28" i="11"/>
  <c r="DG29" i="11"/>
  <c r="FI30" i="11"/>
  <c r="EI30" i="11"/>
  <c r="KI29" i="11"/>
  <c r="IV41" i="11"/>
  <c r="JQ41" i="11"/>
  <c r="HT41" i="11"/>
  <c r="V41" i="11"/>
  <c r="JI41" i="11"/>
  <c r="CF29" i="11"/>
  <c r="GG28" i="11"/>
  <c r="EH30" i="11"/>
  <c r="W30" i="11"/>
  <c r="AB30" i="11"/>
  <c r="GU28" i="11"/>
  <c r="AF41" i="11"/>
  <c r="IY41" i="11"/>
  <c r="EB28" i="11"/>
  <c r="JM29" i="11"/>
  <c r="HG30" i="11"/>
  <c r="CJ30" i="11"/>
  <c r="JC28" i="11"/>
  <c r="G28" i="11"/>
  <c r="DA41" i="11"/>
  <c r="IX41" i="11"/>
  <c r="BY30" i="11"/>
  <c r="DS29" i="11"/>
  <c r="DN30" i="11"/>
  <c r="ER30" i="11"/>
  <c r="W29" i="11"/>
  <c r="BO28" i="11"/>
  <c r="JV41" i="11"/>
  <c r="AS29" i="11"/>
  <c r="EJ28" i="11"/>
  <c r="JJ30" i="11"/>
  <c r="IF30" i="11"/>
  <c r="JX29" i="11"/>
  <c r="FC28" i="11"/>
  <c r="GP41" i="11"/>
  <c r="AQ41" i="11"/>
  <c r="DJ28" i="11"/>
  <c r="CL30" i="11"/>
  <c r="CC30" i="11"/>
  <c r="AR30" i="11"/>
  <c r="HK28" i="11"/>
  <c r="KK29" i="11"/>
  <c r="JG30" i="11"/>
  <c r="CZ30" i="11"/>
  <c r="JA29" i="11"/>
  <c r="JA30" i="11"/>
  <c r="CV30" i="11"/>
  <c r="JL41" i="11"/>
  <c r="GI41" i="11"/>
  <c r="GO28" i="11"/>
  <c r="AU28" i="11"/>
  <c r="DI28" i="11"/>
  <c r="IV30" i="11"/>
  <c r="ED29" i="11"/>
  <c r="GA28" i="11"/>
  <c r="CR28" i="11"/>
  <c r="HR30" i="11"/>
  <c r="FW28" i="11"/>
  <c r="BQ28" i="11"/>
  <c r="HE29" i="11"/>
  <c r="FS28" i="11"/>
  <c r="BX28" i="11"/>
  <c r="BC28" i="11"/>
  <c r="JP30" i="11"/>
  <c r="HG28" i="11"/>
  <c r="IX31" i="11"/>
  <c r="GL31" i="11"/>
  <c r="DZ31" i="11"/>
  <c r="BN31" i="11"/>
  <c r="IH31" i="11"/>
  <c r="FV31" i="11"/>
  <c r="DJ31" i="11"/>
  <c r="AX31" i="11"/>
  <c r="KD31" i="11"/>
  <c r="HR31" i="11"/>
  <c r="FF31" i="11"/>
  <c r="CT31" i="11"/>
  <c r="AH31" i="11"/>
  <c r="JN31" i="11"/>
  <c r="HB31" i="11"/>
  <c r="EP31" i="11"/>
  <c r="CD31" i="11"/>
  <c r="R31" i="11"/>
  <c r="KP31" i="11"/>
  <c r="JZ31" i="11"/>
  <c r="JJ31" i="11"/>
  <c r="IT31" i="11"/>
  <c r="ID31" i="11"/>
  <c r="HN31" i="11"/>
  <c r="GX31" i="11"/>
  <c r="GH31" i="11"/>
  <c r="FR31" i="11"/>
  <c r="FB31" i="11"/>
  <c r="EL31" i="11"/>
  <c r="DV31" i="11"/>
  <c r="DF31" i="11"/>
  <c r="CP31" i="11"/>
  <c r="BZ31" i="11"/>
  <c r="BJ31" i="11"/>
  <c r="AT31" i="11"/>
  <c r="AD31" i="11"/>
  <c r="N31" i="11"/>
  <c r="KL31" i="11"/>
  <c r="JV31" i="11"/>
  <c r="JF31" i="11"/>
  <c r="IP31" i="11"/>
  <c r="HZ31" i="11"/>
  <c r="HJ31" i="11"/>
  <c r="GT31" i="11"/>
  <c r="GD31" i="11"/>
  <c r="FN31" i="11"/>
  <c r="EX31" i="11"/>
  <c r="EH31" i="11"/>
  <c r="DR31" i="11"/>
  <c r="DB31" i="11"/>
  <c r="CL31" i="11"/>
  <c r="BV31" i="11"/>
  <c r="BF31" i="11"/>
  <c r="AP31" i="11"/>
  <c r="Z31" i="11"/>
  <c r="J31" i="11"/>
  <c r="KH31" i="11"/>
  <c r="JR31" i="11"/>
  <c r="JB31" i="11"/>
  <c r="IL31" i="11"/>
  <c r="HV31" i="11"/>
  <c r="HF31" i="11"/>
  <c r="GP31" i="11"/>
  <c r="FZ31" i="11"/>
  <c r="FJ31" i="11"/>
  <c r="ET31" i="11"/>
  <c r="ED31" i="11"/>
  <c r="DN31" i="11"/>
  <c r="CX31" i="11"/>
  <c r="CH31" i="11"/>
  <c r="BR31" i="11"/>
  <c r="BB31" i="11"/>
  <c r="AL31" i="11"/>
  <c r="V31" i="11"/>
  <c r="F31" i="11"/>
  <c r="KO31" i="11"/>
  <c r="KK31" i="11"/>
  <c r="KG31" i="11"/>
  <c r="KC31" i="11"/>
  <c r="JY31" i="11"/>
  <c r="JU31" i="11"/>
  <c r="JQ31" i="11"/>
  <c r="JM31" i="11"/>
  <c r="JI31" i="11"/>
  <c r="JE31" i="11"/>
  <c r="JA31" i="11"/>
  <c r="IW31" i="11"/>
  <c r="IS31" i="11"/>
  <c r="IO31" i="11"/>
  <c r="IK31" i="11"/>
  <c r="IG31" i="11"/>
  <c r="IC31" i="11"/>
  <c r="HY31" i="11"/>
  <c r="HU31" i="11"/>
  <c r="HQ31" i="11"/>
  <c r="HM31" i="11"/>
  <c r="HI31" i="11"/>
  <c r="HE31" i="11"/>
  <c r="HA31" i="11"/>
  <c r="GW31" i="11"/>
  <c r="GS31" i="11"/>
  <c r="GO31" i="11"/>
  <c r="GK31" i="11"/>
  <c r="GG31" i="11"/>
  <c r="GC31" i="11"/>
  <c r="FY31" i="11"/>
  <c r="FU31" i="11"/>
  <c r="FQ31" i="11"/>
  <c r="FM31" i="11"/>
  <c r="FI31" i="11"/>
  <c r="FE31" i="11"/>
  <c r="FA31" i="11"/>
  <c r="EW31" i="11"/>
  <c r="ES31" i="11"/>
  <c r="EO31" i="11"/>
  <c r="EK31" i="11"/>
  <c r="EG31" i="11"/>
  <c r="EC31" i="11"/>
  <c r="DY31" i="11"/>
  <c r="DU31" i="11"/>
  <c r="DQ31" i="11"/>
  <c r="DM31" i="11"/>
  <c r="DI31" i="11"/>
  <c r="DE31" i="11"/>
  <c r="DA31" i="11"/>
  <c r="CW31" i="11"/>
  <c r="CS31" i="11"/>
  <c r="CO31" i="11"/>
  <c r="CK31" i="11"/>
  <c r="CG31" i="11"/>
  <c r="CC31" i="11"/>
  <c r="BY31" i="11"/>
  <c r="BU31" i="11"/>
  <c r="BQ31" i="11"/>
  <c r="BM31" i="11"/>
  <c r="BI31" i="11"/>
  <c r="BE31" i="11"/>
  <c r="BA31" i="11"/>
  <c r="AW31" i="11"/>
  <c r="AS31" i="11"/>
  <c r="AO31" i="11"/>
  <c r="AK31" i="11"/>
  <c r="AG31" i="11"/>
  <c r="AC31" i="11"/>
  <c r="Y31" i="11"/>
  <c r="U31" i="11"/>
  <c r="Q31" i="11"/>
  <c r="M31" i="11"/>
  <c r="I31" i="11"/>
  <c r="E31" i="11"/>
  <c r="KN31" i="11"/>
  <c r="KJ31" i="11"/>
  <c r="KF31" i="11"/>
  <c r="KB31" i="11"/>
  <c r="JX31" i="11"/>
  <c r="JT31" i="11"/>
  <c r="JP31" i="11"/>
  <c r="JL31" i="11"/>
  <c r="JH31" i="11"/>
  <c r="JD31" i="11"/>
  <c r="IZ31" i="11"/>
  <c r="IV31" i="11"/>
  <c r="IR31" i="11"/>
  <c r="IN31" i="11"/>
  <c r="IJ31" i="11"/>
  <c r="IF31" i="11"/>
  <c r="IB31" i="11"/>
  <c r="HX31" i="11"/>
  <c r="HT31" i="11"/>
  <c r="HP31" i="11"/>
  <c r="HL31" i="11"/>
  <c r="HH31" i="11"/>
  <c r="HD31" i="11"/>
  <c r="GZ31" i="11"/>
  <c r="GV31" i="11"/>
  <c r="GR31" i="11"/>
  <c r="GN31" i="11"/>
  <c r="GJ31" i="11"/>
  <c r="GF31" i="11"/>
  <c r="GB31" i="11"/>
  <c r="FX31" i="11"/>
  <c r="FT31" i="11"/>
  <c r="FP31" i="11"/>
  <c r="FL31" i="11"/>
  <c r="FH31" i="11"/>
  <c r="FD31" i="11"/>
  <c r="EZ31" i="11"/>
  <c r="EV31" i="11"/>
  <c r="ER31" i="11"/>
  <c r="EN31" i="11"/>
  <c r="EJ31" i="11"/>
  <c r="EF31" i="11"/>
  <c r="EB31" i="11"/>
  <c r="DX31" i="11"/>
  <c r="DT31" i="11"/>
  <c r="DP31" i="11"/>
  <c r="DL31" i="11"/>
  <c r="DH31" i="11"/>
  <c r="DD31" i="11"/>
  <c r="CZ31" i="11"/>
  <c r="CV31" i="11"/>
  <c r="CR31" i="11"/>
  <c r="CN31" i="11"/>
  <c r="CJ31" i="11"/>
  <c r="CF31" i="11"/>
  <c r="CB31" i="11"/>
  <c r="BX31" i="11"/>
  <c r="BT31" i="11"/>
  <c r="BP31" i="11"/>
  <c r="BL31" i="11"/>
  <c r="BH31" i="11"/>
  <c r="BD31" i="11"/>
  <c r="AZ31" i="11"/>
  <c r="AV31" i="11"/>
  <c r="AR31" i="11"/>
  <c r="AN31" i="11"/>
  <c r="AJ31" i="11"/>
  <c r="AF31" i="11"/>
  <c r="AB31" i="11"/>
  <c r="X31" i="11"/>
  <c r="T31" i="11"/>
  <c r="P31" i="11"/>
  <c r="L31" i="11"/>
  <c r="H31" i="11"/>
  <c r="D31" i="11"/>
  <c r="KM31" i="11"/>
  <c r="KI31" i="11"/>
  <c r="KE31" i="11"/>
  <c r="KA31" i="11"/>
  <c r="JW31" i="11"/>
  <c r="JS31" i="11"/>
  <c r="JO31" i="11"/>
  <c r="JK31" i="11"/>
  <c r="JG31" i="11"/>
  <c r="JC31" i="11"/>
  <c r="IY31" i="11"/>
  <c r="IU31" i="11"/>
  <c r="IQ31" i="11"/>
  <c r="IM31" i="11"/>
  <c r="II31" i="11"/>
  <c r="IE31" i="11"/>
  <c r="IA31" i="11"/>
  <c r="HW31" i="11"/>
  <c r="HS31" i="11"/>
  <c r="HO31" i="11"/>
  <c r="HK31" i="11"/>
  <c r="HG31" i="11"/>
  <c r="HC31" i="11"/>
  <c r="GY31" i="11"/>
  <c r="GU31" i="11"/>
  <c r="GQ31" i="11"/>
  <c r="GM31" i="11"/>
  <c r="GI31" i="11"/>
  <c r="GE31" i="11"/>
  <c r="GA31" i="11"/>
  <c r="FW31" i="11"/>
  <c r="FS31" i="11"/>
  <c r="FO31" i="11"/>
  <c r="FK31" i="11"/>
  <c r="FG31" i="11"/>
  <c r="FC31" i="11"/>
  <c r="EY31" i="11"/>
  <c r="EU31" i="11"/>
  <c r="EQ31" i="11"/>
  <c r="EM31" i="11"/>
  <c r="EI31" i="11"/>
  <c r="EE31" i="11"/>
  <c r="EA31" i="11"/>
  <c r="DW31" i="11"/>
  <c r="DS31" i="11"/>
  <c r="DO31" i="11"/>
  <c r="DK31" i="11"/>
  <c r="DG31" i="11"/>
  <c r="DC31" i="11"/>
  <c r="CY31" i="11"/>
  <c r="CU31" i="11"/>
  <c r="CQ31" i="11"/>
  <c r="CM31" i="11"/>
  <c r="CI31" i="11"/>
  <c r="CE31" i="11"/>
  <c r="CA31" i="11"/>
  <c r="BW31" i="11"/>
  <c r="BS31" i="11"/>
  <c r="BO31" i="11"/>
  <c r="BK31" i="11"/>
  <c r="BG31" i="11"/>
  <c r="BC31" i="11"/>
  <c r="AY31" i="11"/>
  <c r="AU31" i="11"/>
  <c r="AQ31" i="11"/>
  <c r="AM31" i="11"/>
  <c r="AI31" i="11"/>
  <c r="AE31" i="11"/>
  <c r="AA31" i="11"/>
  <c r="W31" i="11"/>
  <c r="S31" i="11"/>
  <c r="O31" i="11"/>
  <c r="K31" i="11"/>
  <c r="G31" i="11"/>
  <c r="C2" i="20" l="1" a="1"/>
  <c r="C12" i="20" s="1"/>
  <c r="D2" i="20" a="1"/>
  <c r="D110" i="20" s="1"/>
  <c r="BV9" i="17" a="1"/>
  <c r="BV9" i="17" s="1"/>
  <c r="AA12" i="23"/>
  <c r="CD12" i="23"/>
  <c r="BV12" i="23"/>
  <c r="H12" i="23"/>
  <c r="AJ12" i="23"/>
  <c r="AZ12" i="23"/>
  <c r="BD12" i="23"/>
  <c r="CG12" i="23"/>
  <c r="AV12" i="23"/>
  <c r="CV12" i="23"/>
  <c r="AF12" i="23"/>
  <c r="BZ12" i="23"/>
  <c r="AE12" i="23"/>
  <c r="BA12" i="23"/>
  <c r="AX12" i="23"/>
  <c r="AN12" i="23"/>
  <c r="C12" i="23"/>
  <c r="S12" i="23"/>
  <c r="J12" i="23"/>
  <c r="J18" i="23" s="1"/>
  <c r="CW12" i="23"/>
  <c r="BN12" i="23"/>
  <c r="F12" i="23"/>
  <c r="CC12" i="23"/>
  <c r="BK12" i="23"/>
  <c r="CT12" i="23"/>
  <c r="BR12" i="23"/>
  <c r="CX12" i="23"/>
  <c r="BF12" i="23"/>
  <c r="AT12" i="23"/>
  <c r="AB12" i="23"/>
  <c r="CA12" i="23"/>
  <c r="BJ12" i="23"/>
  <c r="BT12" i="23"/>
  <c r="I12" i="23"/>
  <c r="I18" i="23" s="1"/>
  <c r="O12" i="23"/>
  <c r="BP12" i="23"/>
  <c r="CQ12" i="23"/>
  <c r="CP12" i="23"/>
  <c r="CB12" i="23"/>
  <c r="AY12" i="23"/>
  <c r="K12" i="23"/>
  <c r="K18" i="23" s="1"/>
  <c r="CE12" i="23"/>
  <c r="AC12" i="23"/>
  <c r="AM12" i="23"/>
  <c r="CO12" i="23"/>
  <c r="BB12" i="23"/>
  <c r="BH12" i="23"/>
  <c r="T12" i="23"/>
  <c r="AH12" i="23"/>
  <c r="AR12" i="23"/>
  <c r="L12" i="23"/>
  <c r="L18" i="23" s="1"/>
  <c r="W12" i="23"/>
  <c r="E12" i="23"/>
  <c r="CM12" i="23"/>
  <c r="CS12" i="23"/>
  <c r="BY12" i="23"/>
  <c r="CU12" i="23"/>
  <c r="G12" i="23"/>
  <c r="CF12" i="23"/>
  <c r="BO12" i="23"/>
  <c r="AP12" i="23"/>
  <c r="R12" i="23"/>
  <c r="N12" i="23"/>
  <c r="N18" i="23" s="1"/>
  <c r="BE12" i="23"/>
  <c r="BU12" i="23"/>
  <c r="Y12" i="23"/>
  <c r="V12" i="23"/>
  <c r="CN12" i="23"/>
  <c r="AK12" i="23"/>
  <c r="P12" i="23"/>
  <c r="CJ12" i="23"/>
  <c r="CR12" i="23"/>
  <c r="AQ12" i="23"/>
  <c r="BC12" i="23"/>
  <c r="CI12" i="23"/>
  <c r="AS12" i="23"/>
  <c r="AI12" i="23"/>
  <c r="AW12" i="23"/>
  <c r="AD12" i="23"/>
  <c r="CL12" i="23"/>
  <c r="BG12" i="23"/>
  <c r="BS12" i="23"/>
  <c r="Q12" i="23"/>
  <c r="BW12" i="23"/>
  <c r="AG12" i="23"/>
  <c r="CH12" i="23"/>
  <c r="BL12" i="23"/>
  <c r="AO12" i="23"/>
  <c r="AL12" i="23"/>
  <c r="BQ12" i="23"/>
  <c r="BI12" i="23"/>
  <c r="U12" i="23"/>
  <c r="Z12" i="23"/>
  <c r="AU12" i="23"/>
  <c r="BM12" i="23"/>
  <c r="BX12" i="23"/>
  <c r="D12" i="23"/>
  <c r="M12" i="23"/>
  <c r="M18" i="23" s="1"/>
  <c r="X12" i="23"/>
  <c r="I24" i="7"/>
  <c r="U24" i="7"/>
  <c r="K26" i="7"/>
  <c r="F24" i="7"/>
  <c r="S24" i="7"/>
  <c r="Y24" i="7"/>
  <c r="J25" i="7"/>
  <c r="Q24" i="7"/>
  <c r="G24" i="7"/>
  <c r="AA25" i="7"/>
  <c r="N25" i="7"/>
  <c r="Z26" i="7"/>
  <c r="H24" i="7"/>
  <c r="M26" i="7"/>
  <c r="W26" i="7"/>
  <c r="X25" i="7"/>
  <c r="V26" i="7"/>
  <c r="T24" i="7"/>
  <c r="P26" i="7"/>
  <c r="O25" i="7"/>
  <c r="AA24" i="7"/>
  <c r="J24" i="7"/>
  <c r="H26" i="7"/>
  <c r="D26" i="7"/>
  <c r="U26" i="7"/>
  <c r="T26" i="7"/>
  <c r="N26" i="7"/>
  <c r="X26" i="7"/>
  <c r="K25" i="7"/>
  <c r="K24" i="7"/>
  <c r="Q26" i="7"/>
  <c r="L26" i="7"/>
  <c r="M25" i="7"/>
  <c r="D25" i="7"/>
  <c r="R24" i="7"/>
  <c r="M24" i="7"/>
  <c r="V25" i="7"/>
  <c r="P25" i="7"/>
  <c r="W25" i="7"/>
  <c r="L24" i="7"/>
  <c r="G25" i="7"/>
  <c r="O24" i="7"/>
  <c r="V24" i="7"/>
  <c r="D24" i="7"/>
  <c r="S26" i="7"/>
  <c r="S25" i="7"/>
  <c r="F25" i="7"/>
  <c r="N24" i="7"/>
  <c r="X24" i="7"/>
  <c r="W24" i="7"/>
  <c r="H25" i="7"/>
  <c r="O26" i="7"/>
  <c r="T25" i="7"/>
  <c r="J26" i="7"/>
  <c r="E25" i="7"/>
  <c r="L25" i="7"/>
  <c r="E24" i="7"/>
  <c r="I26" i="7"/>
  <c r="P24" i="7"/>
  <c r="Y26" i="7"/>
  <c r="R26" i="7"/>
  <c r="Y25" i="7"/>
  <c r="I25" i="7"/>
  <c r="Z24" i="7"/>
  <c r="Z25" i="7"/>
  <c r="AA26" i="7"/>
  <c r="Q25" i="7"/>
  <c r="E26" i="7"/>
  <c r="R25" i="7"/>
  <c r="U25" i="7"/>
  <c r="G26" i="7"/>
  <c r="F26" i="7"/>
  <c r="J38" i="7"/>
  <c r="T39" i="7"/>
  <c r="R38" i="7"/>
  <c r="J39" i="7"/>
  <c r="K37" i="7"/>
  <c r="D39" i="7"/>
  <c r="N38" i="7"/>
  <c r="D38" i="7"/>
  <c r="R39" i="7"/>
  <c r="M39" i="7"/>
  <c r="E38" i="7"/>
  <c r="L38" i="7"/>
  <c r="O37" i="7"/>
  <c r="Q39" i="7"/>
  <c r="E37" i="7"/>
  <c r="K38" i="7"/>
  <c r="E39" i="7"/>
  <c r="F39" i="7"/>
  <c r="G39" i="7"/>
  <c r="O39" i="7"/>
  <c r="AA39" i="7"/>
  <c r="N39" i="7"/>
  <c r="N37" i="7"/>
  <c r="G38" i="7"/>
  <c r="M38" i="7"/>
  <c r="Z37" i="7"/>
  <c r="H38" i="7"/>
  <c r="L37" i="7"/>
  <c r="S39" i="7"/>
  <c r="F38" i="7"/>
  <c r="V37" i="7"/>
  <c r="U37" i="7"/>
  <c r="S37" i="7"/>
  <c r="K39" i="7"/>
  <c r="H37" i="7"/>
  <c r="Y38" i="7"/>
  <c r="W39" i="7"/>
  <c r="L39" i="7"/>
  <c r="I37" i="7"/>
  <c r="AA37" i="7"/>
  <c r="W37" i="7"/>
  <c r="I39" i="7"/>
  <c r="X37" i="7"/>
  <c r="X39" i="7"/>
  <c r="D37" i="7"/>
  <c r="AA38" i="7"/>
  <c r="M37" i="7"/>
  <c r="P39" i="7"/>
  <c r="Q38" i="7"/>
  <c r="Q37" i="7"/>
  <c r="F37" i="7"/>
  <c r="Z38" i="7"/>
  <c r="P37" i="7"/>
  <c r="V38" i="7"/>
  <c r="H39" i="7"/>
  <c r="R37" i="7"/>
  <c r="Y37" i="7"/>
  <c r="Z39" i="7"/>
  <c r="S38" i="7"/>
  <c r="U39" i="7"/>
  <c r="T38" i="7"/>
  <c r="X38" i="7"/>
  <c r="V39" i="7"/>
  <c r="U38" i="7"/>
  <c r="Y39" i="7"/>
  <c r="P38" i="7"/>
  <c r="I38" i="7"/>
  <c r="T37" i="7"/>
  <c r="W38" i="7"/>
  <c r="J37" i="7"/>
  <c r="G37" i="7"/>
  <c r="O38" i="7"/>
  <c r="BZ23" i="17"/>
  <c r="CB9" i="17" a="1"/>
  <c r="C73" i="11" a="1"/>
  <c r="BV22" i="17"/>
  <c r="BV18" i="17"/>
  <c r="BV13" i="17"/>
  <c r="BV21" i="17"/>
  <c r="BV20" i="17"/>
  <c r="BV15" i="17"/>
  <c r="E2" i="20" a="1"/>
  <c r="C38" i="11" a="1"/>
  <c r="CP39" i="11" s="1"/>
  <c r="C46" i="11" a="1"/>
  <c r="C70" i="11" a="1"/>
  <c r="C59" i="11" a="1"/>
  <c r="C32" i="11" a="1"/>
  <c r="C43" i="11" a="1"/>
  <c r="C67" i="11" a="1"/>
  <c r="C62" i="11" a="1"/>
  <c r="C268" i="20" l="1"/>
  <c r="C84" i="20"/>
  <c r="C188" i="20"/>
  <c r="C166" i="20"/>
  <c r="C221" i="20"/>
  <c r="C21" i="20"/>
  <c r="C39" i="20"/>
  <c r="C153" i="20"/>
  <c r="D267" i="20"/>
  <c r="C301" i="20"/>
  <c r="C76" i="20"/>
  <c r="C22" i="20"/>
  <c r="C141" i="20"/>
  <c r="C26" i="20"/>
  <c r="C256" i="20"/>
  <c r="C211" i="20"/>
  <c r="C92" i="20"/>
  <c r="C267" i="20"/>
  <c r="C75" i="20"/>
  <c r="C204" i="20"/>
  <c r="C286" i="20"/>
  <c r="C197" i="20"/>
  <c r="C140" i="20"/>
  <c r="C216" i="20"/>
  <c r="C121" i="20"/>
  <c r="C49" i="20"/>
  <c r="C261" i="20"/>
  <c r="C242" i="20"/>
  <c r="C279" i="20"/>
  <c r="C45" i="20"/>
  <c r="C232" i="20"/>
  <c r="C60" i="20"/>
  <c r="C283" i="20"/>
  <c r="C285" i="20"/>
  <c r="C173" i="20"/>
  <c r="C147" i="20"/>
  <c r="D226" i="20"/>
  <c r="D57" i="20"/>
  <c r="D256" i="20"/>
  <c r="D234" i="20"/>
  <c r="D150" i="20"/>
  <c r="D20" i="20"/>
  <c r="D55" i="20"/>
  <c r="D15" i="20"/>
  <c r="D28" i="20"/>
  <c r="D241" i="20"/>
  <c r="D149" i="20"/>
  <c r="D238" i="20"/>
  <c r="D139" i="20"/>
  <c r="D31" i="20"/>
  <c r="D296" i="20"/>
  <c r="D220" i="20"/>
  <c r="D46" i="20"/>
  <c r="D245" i="20"/>
  <c r="D47" i="20"/>
  <c r="D284" i="20"/>
  <c r="D99" i="20"/>
  <c r="D252" i="20"/>
  <c r="D5" i="20"/>
  <c r="D297" i="20"/>
  <c r="D152" i="20"/>
  <c r="D292" i="20"/>
  <c r="D29" i="20"/>
  <c r="D146" i="20"/>
  <c r="D143" i="20"/>
  <c r="D108" i="20"/>
  <c r="D178" i="20"/>
  <c r="D102" i="20"/>
  <c r="D246" i="20"/>
  <c r="D84" i="20"/>
  <c r="D169" i="20"/>
  <c r="D235" i="20"/>
  <c r="D41" i="20"/>
  <c r="D155" i="20"/>
  <c r="D138" i="20"/>
  <c r="D159" i="20"/>
  <c r="D79" i="20"/>
  <c r="D265" i="20"/>
  <c r="D7" i="20"/>
  <c r="D181" i="20"/>
  <c r="D43" i="20"/>
  <c r="D24" i="20"/>
  <c r="D105" i="20"/>
  <c r="D125" i="20"/>
  <c r="D73" i="20"/>
  <c r="D162" i="20"/>
  <c r="D113" i="20"/>
  <c r="D168" i="20"/>
  <c r="D95" i="20"/>
  <c r="D282" i="20"/>
  <c r="D114" i="20"/>
  <c r="D3" i="20"/>
  <c r="D272" i="20"/>
  <c r="D288" i="20"/>
  <c r="D219" i="20"/>
  <c r="D274" i="20"/>
  <c r="D82" i="20"/>
  <c r="D276" i="20"/>
  <c r="D230" i="20"/>
  <c r="D204" i="20"/>
  <c r="D244" i="20"/>
  <c r="D40" i="20"/>
  <c r="D134" i="20"/>
  <c r="D126" i="20"/>
  <c r="D76" i="20"/>
  <c r="D291" i="20"/>
  <c r="D229" i="20"/>
  <c r="D222" i="20"/>
  <c r="D18" i="20"/>
  <c r="D172" i="20"/>
  <c r="D124" i="20"/>
  <c r="D54" i="20"/>
  <c r="D48" i="20"/>
  <c r="D132" i="20"/>
  <c r="D32" i="20"/>
  <c r="D189" i="20"/>
  <c r="D151" i="20"/>
  <c r="D185" i="20"/>
  <c r="D121" i="20"/>
  <c r="D201" i="20"/>
  <c r="D67" i="20"/>
  <c r="D148" i="20"/>
  <c r="D103" i="20"/>
  <c r="D60" i="20"/>
  <c r="D286" i="20"/>
  <c r="D115" i="20"/>
  <c r="D266" i="20"/>
  <c r="D167" i="20"/>
  <c r="D129" i="20"/>
  <c r="D298" i="20"/>
  <c r="D71" i="20"/>
  <c r="D25" i="20"/>
  <c r="D9" i="20"/>
  <c r="D198" i="20"/>
  <c r="D237" i="20"/>
  <c r="D141" i="20"/>
  <c r="D208" i="20"/>
  <c r="D170" i="20"/>
  <c r="D175" i="20"/>
  <c r="D195" i="20"/>
  <c r="D92" i="20"/>
  <c r="D45" i="20"/>
  <c r="D209" i="20"/>
  <c r="D232" i="20"/>
  <c r="D187" i="20"/>
  <c r="D211" i="20"/>
  <c r="D53" i="20"/>
  <c r="D218" i="20"/>
  <c r="D111" i="20"/>
  <c r="D268" i="20"/>
  <c r="D42" i="20"/>
  <c r="D106" i="20"/>
  <c r="D224" i="20"/>
  <c r="D206" i="20"/>
  <c r="D75" i="20"/>
  <c r="D91" i="20"/>
  <c r="D247" i="20"/>
  <c r="D38" i="20"/>
  <c r="D264" i="20"/>
  <c r="D56" i="20"/>
  <c r="D30" i="20"/>
  <c r="D27" i="20"/>
  <c r="D118" i="20"/>
  <c r="D19" i="20"/>
  <c r="D68" i="20"/>
  <c r="D202" i="20"/>
  <c r="D254" i="20"/>
  <c r="D144" i="20"/>
  <c r="D217" i="20"/>
  <c r="D171" i="20"/>
  <c r="D100" i="20"/>
  <c r="D193" i="20"/>
  <c r="D52" i="20"/>
  <c r="D183" i="20"/>
  <c r="D160" i="20"/>
  <c r="D21" i="20"/>
  <c r="D137" i="20"/>
  <c r="D58" i="20"/>
  <c r="D83" i="20"/>
  <c r="D2" i="20"/>
  <c r="D36" i="20"/>
  <c r="D236" i="20"/>
  <c r="D225" i="20"/>
  <c r="D13" i="20"/>
  <c r="D270" i="20"/>
  <c r="D119" i="20"/>
  <c r="D161" i="20"/>
  <c r="D280" i="20"/>
  <c r="D50" i="20"/>
  <c r="D213" i="20"/>
  <c r="D182" i="20"/>
  <c r="D153" i="20"/>
  <c r="D263" i="20"/>
  <c r="D248" i="20"/>
  <c r="D77" i="20"/>
  <c r="D227" i="20"/>
  <c r="D62" i="20"/>
  <c r="D197" i="20"/>
  <c r="D221" i="20"/>
  <c r="D37" i="20"/>
  <c r="D127" i="20"/>
  <c r="D44" i="20"/>
  <c r="D66" i="20"/>
  <c r="D216" i="20"/>
  <c r="D200" i="20"/>
  <c r="D87" i="20"/>
  <c r="D299" i="20"/>
  <c r="D133" i="20"/>
  <c r="D26" i="20"/>
  <c r="D164" i="20"/>
  <c r="D35" i="20"/>
  <c r="D78" i="20"/>
  <c r="D63" i="20"/>
  <c r="D257" i="20"/>
  <c r="D186" i="20"/>
  <c r="D10" i="20"/>
  <c r="D4" i="20"/>
  <c r="D23" i="20"/>
  <c r="D157" i="20"/>
  <c r="D104" i="20"/>
  <c r="D80" i="20"/>
  <c r="D277" i="20"/>
  <c r="D196" i="20"/>
  <c r="D260" i="20"/>
  <c r="D131" i="20"/>
  <c r="D290" i="20"/>
  <c r="D179" i="20"/>
  <c r="D98" i="20"/>
  <c r="D51" i="20"/>
  <c r="D11" i="20"/>
  <c r="D72" i="20"/>
  <c r="D190" i="20"/>
  <c r="D223" i="20"/>
  <c r="D17" i="20"/>
  <c r="D163" i="20"/>
  <c r="D231" i="20"/>
  <c r="D293" i="20"/>
  <c r="D122" i="20"/>
  <c r="D130" i="20"/>
  <c r="D69" i="20"/>
  <c r="D287" i="20"/>
  <c r="D93" i="20"/>
  <c r="D199" i="20"/>
  <c r="D6" i="20"/>
  <c r="D166" i="20"/>
  <c r="D239" i="20"/>
  <c r="D269" i="20"/>
  <c r="D207" i="20"/>
  <c r="D88" i="20"/>
  <c r="D205" i="20"/>
  <c r="D203" i="20"/>
  <c r="D259" i="20"/>
  <c r="D117" i="20"/>
  <c r="D240" i="20"/>
  <c r="D300" i="20"/>
  <c r="D156" i="20"/>
  <c r="D96" i="20"/>
  <c r="D86" i="20"/>
  <c r="D70" i="20"/>
  <c r="D85" i="20"/>
  <c r="D273" i="20"/>
  <c r="D285" i="20"/>
  <c r="D289" i="20"/>
  <c r="D215" i="20"/>
  <c r="D116" i="20"/>
  <c r="D140" i="20"/>
  <c r="D34" i="20"/>
  <c r="D120" i="20"/>
  <c r="D112" i="20"/>
  <c r="D81" i="20"/>
  <c r="D154" i="20"/>
  <c r="D109" i="20"/>
  <c r="D191" i="20"/>
  <c r="D210" i="20"/>
  <c r="D59" i="20"/>
  <c r="D255" i="20"/>
  <c r="D49" i="20"/>
  <c r="D184" i="20"/>
  <c r="D212" i="20"/>
  <c r="D14" i="20"/>
  <c r="D192" i="20"/>
  <c r="D65" i="20"/>
  <c r="D90" i="20"/>
  <c r="D61" i="20"/>
  <c r="D142" i="20"/>
  <c r="D94" i="20"/>
  <c r="D147" i="20"/>
  <c r="D8" i="20"/>
  <c r="D158" i="20"/>
  <c r="D250" i="20"/>
  <c r="D233" i="20"/>
  <c r="D301" i="20"/>
  <c r="D251" i="20"/>
  <c r="D281" i="20"/>
  <c r="D253" i="20"/>
  <c r="D101" i="20"/>
  <c r="D214" i="20"/>
  <c r="D243" i="20"/>
  <c r="D278" i="20"/>
  <c r="D249" i="20"/>
  <c r="D188" i="20"/>
  <c r="D165" i="20"/>
  <c r="D262" i="20"/>
  <c r="D136" i="20"/>
  <c r="D145" i="20"/>
  <c r="D279" i="20"/>
  <c r="D180" i="20"/>
  <c r="D174" i="20"/>
  <c r="D228" i="20"/>
  <c r="D283" i="20"/>
  <c r="D107" i="20"/>
  <c r="D295" i="20"/>
  <c r="D16" i="20"/>
  <c r="D128" i="20"/>
  <c r="D177" i="20"/>
  <c r="D22" i="20"/>
  <c r="D33" i="20"/>
  <c r="D194" i="20"/>
  <c r="D74" i="20"/>
  <c r="D275" i="20"/>
  <c r="D123" i="20"/>
  <c r="D97" i="20"/>
  <c r="D64" i="20"/>
  <c r="D173" i="20"/>
  <c r="D135" i="20"/>
  <c r="D271" i="20"/>
  <c r="C293" i="20"/>
  <c r="D39" i="20"/>
  <c r="D261" i="20"/>
  <c r="D12" i="20"/>
  <c r="D242" i="20"/>
  <c r="C194" i="20"/>
  <c r="C32" i="20"/>
  <c r="C226" i="20"/>
  <c r="C122" i="20"/>
  <c r="C126" i="20"/>
  <c r="C103" i="20"/>
  <c r="C142" i="20"/>
  <c r="C58" i="20"/>
  <c r="C201" i="20"/>
  <c r="C222" i="20"/>
  <c r="C34" i="20"/>
  <c r="C209" i="20"/>
  <c r="C82" i="20"/>
  <c r="C195" i="20"/>
  <c r="C59" i="20"/>
  <c r="C200" i="20"/>
  <c r="C198" i="20"/>
  <c r="C50" i="20"/>
  <c r="C266" i="20"/>
  <c r="C152" i="20"/>
  <c r="C288" i="20"/>
  <c r="C207" i="20"/>
  <c r="C196" i="20"/>
  <c r="C54" i="20"/>
  <c r="C51" i="20"/>
  <c r="C271" i="20"/>
  <c r="C169" i="20"/>
  <c r="C175" i="20"/>
  <c r="C27" i="20"/>
  <c r="C260" i="20"/>
  <c r="C106" i="20"/>
  <c r="C87" i="20"/>
  <c r="C18" i="20"/>
  <c r="C174" i="20"/>
  <c r="C20" i="20"/>
  <c r="C64" i="20"/>
  <c r="C97" i="20"/>
  <c r="C233" i="20"/>
  <c r="C184" i="20"/>
  <c r="C171" i="20"/>
  <c r="C117" i="20"/>
  <c r="C299" i="20"/>
  <c r="C8" i="20"/>
  <c r="C298" i="20"/>
  <c r="C72" i="20"/>
  <c r="C48" i="20"/>
  <c r="C274" i="20"/>
  <c r="C300" i="20"/>
  <c r="C25" i="20"/>
  <c r="C241" i="20"/>
  <c r="C35" i="20"/>
  <c r="C237" i="20"/>
  <c r="C67" i="20"/>
  <c r="C28" i="20"/>
  <c r="C167" i="20"/>
  <c r="C68" i="20"/>
  <c r="C70" i="20"/>
  <c r="C295" i="20"/>
  <c r="C208" i="20"/>
  <c r="C57" i="20"/>
  <c r="C19" i="20"/>
  <c r="C143" i="20"/>
  <c r="C161" i="20"/>
  <c r="C292" i="20"/>
  <c r="C99" i="20"/>
  <c r="C278" i="20"/>
  <c r="C13" i="20"/>
  <c r="C172" i="20"/>
  <c r="C252" i="20"/>
  <c r="C102" i="20"/>
  <c r="C225" i="20"/>
  <c r="C215" i="20"/>
  <c r="C240" i="20"/>
  <c r="C183" i="20"/>
  <c r="C113" i="20"/>
  <c r="C38" i="20"/>
  <c r="C296" i="20"/>
  <c r="C281" i="20"/>
  <c r="C29" i="20"/>
  <c r="C218" i="20"/>
  <c r="C269" i="20"/>
  <c r="C251" i="20"/>
  <c r="C249" i="20"/>
  <c r="C137" i="20"/>
  <c r="C181" i="20"/>
  <c r="C148" i="20"/>
  <c r="C65" i="20"/>
  <c r="C253" i="20"/>
  <c r="C289" i="20"/>
  <c r="C55" i="20"/>
  <c r="C83" i="20"/>
  <c r="C73" i="20"/>
  <c r="C282" i="20"/>
  <c r="C101" i="20"/>
  <c r="C124" i="20"/>
  <c r="C108" i="20"/>
  <c r="C96" i="20"/>
  <c r="C123" i="20"/>
  <c r="C155" i="20"/>
  <c r="C119" i="20"/>
  <c r="C114" i="20"/>
  <c r="C81" i="20"/>
  <c r="C177" i="20"/>
  <c r="C133" i="20"/>
  <c r="C262" i="20"/>
  <c r="C138" i="20"/>
  <c r="C52" i="20"/>
  <c r="C163" i="20"/>
  <c r="C277" i="20"/>
  <c r="C202" i="20"/>
  <c r="C199" i="20"/>
  <c r="C136" i="20"/>
  <c r="C91" i="20"/>
  <c r="C160" i="20"/>
  <c r="C250" i="20"/>
  <c r="C264" i="20"/>
  <c r="C297" i="20"/>
  <c r="C37" i="20"/>
  <c r="C105" i="20"/>
  <c r="C131" i="20"/>
  <c r="C263" i="20"/>
  <c r="C287" i="20"/>
  <c r="C36" i="20"/>
  <c r="C170" i="20"/>
  <c r="C280" i="20"/>
  <c r="C190" i="20"/>
  <c r="C23" i="20"/>
  <c r="C9" i="20"/>
  <c r="C244" i="20"/>
  <c r="C212" i="20"/>
  <c r="C134" i="20"/>
  <c r="C236" i="20"/>
  <c r="C44" i="20"/>
  <c r="C245" i="20"/>
  <c r="C187" i="20"/>
  <c r="C186" i="20"/>
  <c r="C219" i="20"/>
  <c r="C10" i="20"/>
  <c r="C192" i="20"/>
  <c r="C56" i="20"/>
  <c r="C227" i="20"/>
  <c r="C203" i="20"/>
  <c r="C164" i="20"/>
  <c r="C157" i="20"/>
  <c r="C130" i="20"/>
  <c r="C30" i="20"/>
  <c r="C265" i="20"/>
  <c r="C69" i="20"/>
  <c r="C248" i="20"/>
  <c r="C158" i="20"/>
  <c r="C135" i="20"/>
  <c r="C228" i="20"/>
  <c r="C100" i="20"/>
  <c r="C88" i="20"/>
  <c r="C205" i="20"/>
  <c r="C62" i="20"/>
  <c r="C33" i="20"/>
  <c r="C178" i="20"/>
  <c r="C230" i="20"/>
  <c r="C61" i="20"/>
  <c r="C273" i="20"/>
  <c r="C291" i="20"/>
  <c r="C162" i="20"/>
  <c r="C86" i="20"/>
  <c r="C90" i="20"/>
  <c r="C146" i="20"/>
  <c r="C31" i="20"/>
  <c r="C98" i="20"/>
  <c r="C125" i="20"/>
  <c r="C179" i="20"/>
  <c r="C154" i="20"/>
  <c r="C16" i="20"/>
  <c r="C243" i="20"/>
  <c r="C40" i="20"/>
  <c r="C150" i="20"/>
  <c r="C80" i="20"/>
  <c r="C182" i="20"/>
  <c r="C185" i="20"/>
  <c r="C220" i="20"/>
  <c r="C132" i="20"/>
  <c r="C217" i="20"/>
  <c r="C4" i="20"/>
  <c r="C229" i="20"/>
  <c r="C120" i="20"/>
  <c r="C206" i="20"/>
  <c r="C118" i="20"/>
  <c r="C165" i="20"/>
  <c r="C246" i="20"/>
  <c r="C93" i="20"/>
  <c r="C224" i="20"/>
  <c r="C5" i="20"/>
  <c r="C239" i="20"/>
  <c r="C272" i="20"/>
  <c r="C214" i="20"/>
  <c r="C156" i="20"/>
  <c r="C14" i="20"/>
  <c r="C127" i="20"/>
  <c r="C41" i="20"/>
  <c r="C116" i="20"/>
  <c r="C63" i="20"/>
  <c r="C238" i="20"/>
  <c r="C85" i="20"/>
  <c r="C168" i="20"/>
  <c r="C189" i="20"/>
  <c r="C43" i="20"/>
  <c r="C74" i="20"/>
  <c r="C149" i="20"/>
  <c r="C77" i="20"/>
  <c r="C290" i="20"/>
  <c r="C78" i="20"/>
  <c r="C145" i="20"/>
  <c r="C6" i="20"/>
  <c r="C11" i="20"/>
  <c r="C234" i="20"/>
  <c r="C95" i="20"/>
  <c r="C53" i="20"/>
  <c r="C276" i="20"/>
  <c r="C193" i="20"/>
  <c r="C66" i="20"/>
  <c r="C284" i="20"/>
  <c r="C112" i="20"/>
  <c r="C110" i="20"/>
  <c r="D89" i="20"/>
  <c r="D176" i="20"/>
  <c r="D294" i="20"/>
  <c r="C15" i="20"/>
  <c r="C107" i="20"/>
  <c r="C235" i="20"/>
  <c r="C210" i="20"/>
  <c r="C275" i="20"/>
  <c r="C255" i="20"/>
  <c r="C191" i="20"/>
  <c r="C254" i="20"/>
  <c r="C42" i="20"/>
  <c r="C17" i="20"/>
  <c r="C115" i="20"/>
  <c r="C270" i="20"/>
  <c r="C79" i="20"/>
  <c r="C213" i="20"/>
  <c r="C47" i="20"/>
  <c r="C46" i="20"/>
  <c r="C128" i="20"/>
  <c r="C2" i="20"/>
  <c r="D258" i="20"/>
  <c r="C180" i="20"/>
  <c r="C176" i="20"/>
  <c r="C258" i="20"/>
  <c r="C24" i="20"/>
  <c r="C159" i="20"/>
  <c r="C94" i="20"/>
  <c r="C7" i="20"/>
  <c r="C111" i="20"/>
  <c r="C144" i="20"/>
  <c r="C109" i="20"/>
  <c r="C139" i="20"/>
  <c r="C129" i="20"/>
  <c r="C259" i="20"/>
  <c r="C104" i="20"/>
  <c r="C223" i="20"/>
  <c r="C257" i="20"/>
  <c r="C71" i="20"/>
  <c r="C3" i="20"/>
  <c r="C247" i="20"/>
  <c r="C231" i="20"/>
  <c r="C89" i="20"/>
  <c r="C294" i="20"/>
  <c r="C151" i="20"/>
  <c r="BV19" i="17"/>
  <c r="BV17" i="17"/>
  <c r="BV11" i="17"/>
  <c r="BV12" i="17"/>
  <c r="BV14" i="17"/>
  <c r="BV16" i="17"/>
  <c r="BV10" i="17"/>
  <c r="BV23" i="17" s="1"/>
  <c r="C19" i="23" a="1"/>
  <c r="BS19" i="23" s="1"/>
  <c r="E223" i="20"/>
  <c r="E243" i="20"/>
  <c r="E2" i="20"/>
  <c r="E187" i="20"/>
  <c r="E112" i="20"/>
  <c r="E24" i="20"/>
  <c r="E244" i="20"/>
  <c r="E33" i="20"/>
  <c r="E121" i="20"/>
  <c r="E281" i="20"/>
  <c r="E60" i="20"/>
  <c r="E50" i="20"/>
  <c r="E269" i="20"/>
  <c r="E230" i="20"/>
  <c r="E170" i="20"/>
  <c r="E214" i="20"/>
  <c r="E109" i="20"/>
  <c r="E151" i="20"/>
  <c r="E146" i="20"/>
  <c r="E222" i="20"/>
  <c r="E213" i="20"/>
  <c r="E58" i="20"/>
  <c r="E236" i="20"/>
  <c r="E161" i="20"/>
  <c r="E19" i="20"/>
  <c r="E61" i="20"/>
  <c r="E299" i="20"/>
  <c r="E76" i="20"/>
  <c r="E48" i="20"/>
  <c r="E92" i="20"/>
  <c r="E176" i="20"/>
  <c r="E22" i="20"/>
  <c r="E204" i="20"/>
  <c r="E207" i="20"/>
  <c r="E12" i="20"/>
  <c r="E94" i="20"/>
  <c r="E63" i="20"/>
  <c r="E144" i="20"/>
  <c r="E111" i="20"/>
  <c r="E298" i="20"/>
  <c r="E17" i="20"/>
  <c r="E95" i="20"/>
  <c r="E69" i="20"/>
  <c r="E70" i="20"/>
  <c r="E46" i="20"/>
  <c r="E240" i="20"/>
  <c r="E272" i="20"/>
  <c r="E91" i="20"/>
  <c r="E110" i="20"/>
  <c r="E27" i="20"/>
  <c r="E67" i="20"/>
  <c r="E29" i="20"/>
  <c r="E239" i="20"/>
  <c r="E104" i="20"/>
  <c r="E34" i="20"/>
  <c r="E7" i="20"/>
  <c r="E268" i="20"/>
  <c r="E208" i="20"/>
  <c r="E254" i="20"/>
  <c r="E106" i="20"/>
  <c r="E168" i="20"/>
  <c r="E41" i="20"/>
  <c r="E157" i="20"/>
  <c r="E237" i="20"/>
  <c r="E300" i="20"/>
  <c r="E256" i="20"/>
  <c r="E89" i="20"/>
  <c r="E234" i="20"/>
  <c r="E211" i="20"/>
  <c r="E148" i="20"/>
  <c r="E296" i="20"/>
  <c r="E212" i="20"/>
  <c r="E185" i="20"/>
  <c r="E181" i="20"/>
  <c r="E62" i="20"/>
  <c r="E149" i="20"/>
  <c r="E182" i="20"/>
  <c r="E267" i="20"/>
  <c r="E282" i="20"/>
  <c r="E56" i="20"/>
  <c r="E47" i="20"/>
  <c r="E165" i="20"/>
  <c r="E43" i="20"/>
  <c r="E124" i="20"/>
  <c r="E45" i="20"/>
  <c r="E137" i="20"/>
  <c r="E219" i="20"/>
  <c r="E145" i="20"/>
  <c r="E9" i="20"/>
  <c r="E260" i="20"/>
  <c r="E227" i="20"/>
  <c r="E18" i="20"/>
  <c r="E241" i="20"/>
  <c r="E23" i="20"/>
  <c r="E82" i="20"/>
  <c r="E98" i="20"/>
  <c r="E20" i="20"/>
  <c r="E150" i="20"/>
  <c r="E100" i="20"/>
  <c r="E225" i="20"/>
  <c r="E64" i="20"/>
  <c r="E253" i="20"/>
  <c r="E108" i="20"/>
  <c r="E44" i="20"/>
  <c r="E246" i="20"/>
  <c r="E200" i="20"/>
  <c r="E183" i="20"/>
  <c r="E163" i="20"/>
  <c r="E250" i="20"/>
  <c r="E10" i="20"/>
  <c r="E26" i="20"/>
  <c r="E271" i="20"/>
  <c r="E87" i="20"/>
  <c r="E35" i="20"/>
  <c r="E74" i="20"/>
  <c r="E103" i="20"/>
  <c r="E263" i="20"/>
  <c r="E138" i="20"/>
  <c r="E154" i="20"/>
  <c r="E261" i="20"/>
  <c r="E216" i="20"/>
  <c r="E228" i="20"/>
  <c r="E199" i="20"/>
  <c r="E166" i="20"/>
  <c r="E188" i="20"/>
  <c r="E130" i="20"/>
  <c r="E78" i="20"/>
  <c r="E52" i="20"/>
  <c r="E175" i="20"/>
  <c r="E31" i="20"/>
  <c r="E79" i="20"/>
  <c r="E186" i="20"/>
  <c r="E66" i="20"/>
  <c r="E117" i="20"/>
  <c r="E102" i="20"/>
  <c r="E221" i="20"/>
  <c r="E270" i="20"/>
  <c r="E107" i="20"/>
  <c r="E233" i="20"/>
  <c r="E15" i="20"/>
  <c r="E140" i="20"/>
  <c r="E122" i="20"/>
  <c r="E173" i="20"/>
  <c r="E126" i="20"/>
  <c r="E277" i="20"/>
  <c r="E155" i="20"/>
  <c r="E285" i="20"/>
  <c r="E196" i="20"/>
  <c r="E177" i="20"/>
  <c r="E171" i="20"/>
  <c r="E143" i="20"/>
  <c r="E114" i="20"/>
  <c r="E276" i="20"/>
  <c r="E235" i="20"/>
  <c r="E293" i="20"/>
  <c r="E25" i="20"/>
  <c r="E6" i="20"/>
  <c r="E120" i="20"/>
  <c r="E164" i="20"/>
  <c r="E242" i="20"/>
  <c r="E172" i="20"/>
  <c r="E220" i="20"/>
  <c r="E247" i="20"/>
  <c r="E156" i="20"/>
  <c r="E135" i="20"/>
  <c r="E295" i="20"/>
  <c r="E201" i="20"/>
  <c r="E71" i="20"/>
  <c r="E259" i="20"/>
  <c r="E159" i="20"/>
  <c r="E215" i="20"/>
  <c r="E85" i="20"/>
  <c r="E37" i="20"/>
  <c r="E28" i="20"/>
  <c r="E195" i="20"/>
  <c r="E49" i="20"/>
  <c r="E118" i="20"/>
  <c r="E280" i="20"/>
  <c r="E198" i="20"/>
  <c r="E178" i="20"/>
  <c r="E232" i="20"/>
  <c r="E294" i="20"/>
  <c r="E153" i="20"/>
  <c r="E129" i="20"/>
  <c r="E83" i="20"/>
  <c r="E101" i="20"/>
  <c r="E113" i="20"/>
  <c r="E297" i="20"/>
  <c r="E226" i="20"/>
  <c r="E128" i="20"/>
  <c r="E180" i="20"/>
  <c r="E119" i="20"/>
  <c r="E75" i="20"/>
  <c r="E80" i="20"/>
  <c r="E191" i="20"/>
  <c r="E249" i="20"/>
  <c r="E174" i="20"/>
  <c r="E11" i="20"/>
  <c r="E245" i="20"/>
  <c r="E238" i="20"/>
  <c r="E229" i="20"/>
  <c r="E167" i="20"/>
  <c r="E116" i="20"/>
  <c r="E179" i="20"/>
  <c r="E3" i="20"/>
  <c r="E162" i="20"/>
  <c r="E169" i="20"/>
  <c r="E68" i="20"/>
  <c r="E96" i="20"/>
  <c r="E14" i="20"/>
  <c r="E265" i="20"/>
  <c r="E202" i="20"/>
  <c r="E290" i="20"/>
  <c r="E283" i="20"/>
  <c r="E266" i="20"/>
  <c r="E288" i="20"/>
  <c r="E273" i="20"/>
  <c r="E292" i="20"/>
  <c r="E93" i="20"/>
  <c r="E84" i="20"/>
  <c r="E190" i="20"/>
  <c r="E16" i="20"/>
  <c r="E53" i="20"/>
  <c r="E193" i="20"/>
  <c r="E147" i="20"/>
  <c r="E258" i="20"/>
  <c r="E251" i="20"/>
  <c r="E36" i="20"/>
  <c r="E99" i="20"/>
  <c r="E90" i="20"/>
  <c r="E194" i="20"/>
  <c r="E57" i="20"/>
  <c r="E125" i="20"/>
  <c r="E4" i="20"/>
  <c r="E218" i="20"/>
  <c r="E81" i="20"/>
  <c r="E123" i="20"/>
  <c r="E192" i="20"/>
  <c r="E184" i="20"/>
  <c r="E97" i="20"/>
  <c r="E142" i="20"/>
  <c r="E132" i="20"/>
  <c r="E38" i="20"/>
  <c r="E141" i="20"/>
  <c r="E115" i="20"/>
  <c r="E291" i="20"/>
  <c r="E131" i="20"/>
  <c r="E30" i="20"/>
  <c r="E262" i="20"/>
  <c r="E73" i="20"/>
  <c r="E197" i="20"/>
  <c r="E105" i="20"/>
  <c r="E224" i="20"/>
  <c r="E217" i="20"/>
  <c r="E189" i="20"/>
  <c r="E32" i="20"/>
  <c r="E255" i="20"/>
  <c r="E55" i="20"/>
  <c r="E136" i="20"/>
  <c r="E133" i="20"/>
  <c r="E203" i="20"/>
  <c r="E231" i="20"/>
  <c r="E252" i="20"/>
  <c r="E160" i="20"/>
  <c r="E287" i="20"/>
  <c r="E21" i="20"/>
  <c r="E274" i="20"/>
  <c r="E134" i="20"/>
  <c r="E40" i="20"/>
  <c r="E39" i="20"/>
  <c r="E8" i="20"/>
  <c r="E77" i="20"/>
  <c r="E139" i="20"/>
  <c r="E88" i="20"/>
  <c r="E301" i="20"/>
  <c r="E127" i="20"/>
  <c r="E51" i="20"/>
  <c r="E205" i="20"/>
  <c r="E72" i="20"/>
  <c r="E264" i="20"/>
  <c r="E257" i="20"/>
  <c r="E210" i="20"/>
  <c r="E279" i="20"/>
  <c r="E152" i="20"/>
  <c r="E13" i="20"/>
  <c r="E275" i="20"/>
  <c r="E54" i="20"/>
  <c r="E278" i="20"/>
  <c r="E286" i="20"/>
  <c r="E284" i="20"/>
  <c r="E59" i="20"/>
  <c r="E5" i="20"/>
  <c r="E209" i="20"/>
  <c r="E42" i="20"/>
  <c r="E158" i="20"/>
  <c r="E289" i="20"/>
  <c r="E248" i="20"/>
  <c r="E65" i="20"/>
  <c r="E206" i="20"/>
  <c r="E86" i="20"/>
  <c r="CB10" i="17"/>
  <c r="CB21" i="17"/>
  <c r="CB19" i="17"/>
  <c r="CB22" i="17"/>
  <c r="CB9" i="17"/>
  <c r="CB16" i="17"/>
  <c r="CB18" i="17"/>
  <c r="CB14" i="17"/>
  <c r="CB15" i="17"/>
  <c r="CB20" i="17"/>
  <c r="CB13" i="17"/>
  <c r="CB17" i="17"/>
  <c r="CB12" i="17"/>
  <c r="CB11" i="17"/>
  <c r="CG5" i="17" a="1"/>
  <c r="D49" i="7" a="1"/>
  <c r="H73" i="11"/>
  <c r="E73" i="11"/>
  <c r="M73" i="11"/>
  <c r="U73" i="11"/>
  <c r="AC73" i="11"/>
  <c r="AK73" i="11"/>
  <c r="AS73" i="11"/>
  <c r="BA73" i="11"/>
  <c r="BI73" i="11"/>
  <c r="BQ73" i="11"/>
  <c r="BY73" i="11"/>
  <c r="CG73" i="11"/>
  <c r="CN73" i="11"/>
  <c r="CU73" i="11"/>
  <c r="CY73" i="11"/>
  <c r="DF73" i="11"/>
  <c r="DM73" i="11"/>
  <c r="DT73" i="11"/>
  <c r="EA73" i="11"/>
  <c r="EE73" i="11"/>
  <c r="EL73" i="11"/>
  <c r="ES73" i="11"/>
  <c r="EZ73" i="11"/>
  <c r="FG73" i="11"/>
  <c r="FK73" i="11"/>
  <c r="FR73" i="11"/>
  <c r="FY73" i="11"/>
  <c r="GF73" i="11"/>
  <c r="GM73" i="11"/>
  <c r="GQ73" i="11"/>
  <c r="GX73" i="11"/>
  <c r="HE73" i="11"/>
  <c r="HL73" i="11"/>
  <c r="HS73" i="11"/>
  <c r="HW73" i="11"/>
  <c r="ID73" i="11"/>
  <c r="IK73" i="11"/>
  <c r="IR73" i="11"/>
  <c r="IY73" i="11"/>
  <c r="JC73" i="11"/>
  <c r="JJ73" i="11"/>
  <c r="JQ73" i="11"/>
  <c r="JX73" i="11"/>
  <c r="KE73" i="11"/>
  <c r="KI73" i="11"/>
  <c r="KP73" i="11"/>
  <c r="F73" i="11"/>
  <c r="N73" i="11"/>
  <c r="V73" i="11"/>
  <c r="AD73" i="11"/>
  <c r="AL73" i="11"/>
  <c r="AT73" i="11"/>
  <c r="BB73" i="11"/>
  <c r="BJ73" i="11"/>
  <c r="BR73" i="11"/>
  <c r="BZ73" i="11"/>
  <c r="CH73" i="11"/>
  <c r="CO73" i="11"/>
  <c r="CV73" i="11"/>
  <c r="DC73" i="11"/>
  <c r="DG73" i="11"/>
  <c r="DN73" i="11"/>
  <c r="DU73" i="11"/>
  <c r="EB73" i="11"/>
  <c r="EI73" i="11"/>
  <c r="EM73" i="11"/>
  <c r="ET73" i="11"/>
  <c r="FA73" i="11"/>
  <c r="FH73" i="11"/>
  <c r="FO73" i="11"/>
  <c r="FS73" i="11"/>
  <c r="FZ73" i="11"/>
  <c r="GG73" i="11"/>
  <c r="GN73" i="11"/>
  <c r="GU73" i="11"/>
  <c r="GY73" i="11"/>
  <c r="HF73" i="11"/>
  <c r="HM73" i="11"/>
  <c r="HT73" i="11"/>
  <c r="IA73" i="11"/>
  <c r="IE73" i="11"/>
  <c r="IL73" i="11"/>
  <c r="IS73" i="11"/>
  <c r="IZ73" i="11"/>
  <c r="JG73" i="11"/>
  <c r="JK73" i="11"/>
  <c r="G73" i="11"/>
  <c r="W73" i="11"/>
  <c r="AM73" i="11"/>
  <c r="BC73" i="11"/>
  <c r="BS73" i="11"/>
  <c r="CI73" i="11"/>
  <c r="CW73" i="11"/>
  <c r="DK73" i="11"/>
  <c r="DV73" i="11"/>
  <c r="EJ73" i="11"/>
  <c r="EU73" i="11"/>
  <c r="FI73" i="11"/>
  <c r="FW73" i="11"/>
  <c r="GH73" i="11"/>
  <c r="GV73" i="11"/>
  <c r="HG73" i="11"/>
  <c r="HU73" i="11"/>
  <c r="II73" i="11"/>
  <c r="IT73" i="11"/>
  <c r="JH73" i="11"/>
  <c r="JR73" i="11"/>
  <c r="JZ73" i="11"/>
  <c r="KH73" i="11"/>
  <c r="L73" i="11"/>
  <c r="AB73" i="11"/>
  <c r="AR73" i="11"/>
  <c r="BH73" i="11"/>
  <c r="BX73" i="11"/>
  <c r="CM73" i="11"/>
  <c r="CX73" i="11"/>
  <c r="DL73" i="11"/>
  <c r="DW73" i="11"/>
  <c r="EK73" i="11"/>
  <c r="EY73" i="11"/>
  <c r="FJ73" i="11"/>
  <c r="FX73" i="11"/>
  <c r="GI73" i="11"/>
  <c r="GW73" i="11"/>
  <c r="HK73" i="11"/>
  <c r="HV73" i="11"/>
  <c r="IJ73" i="11"/>
  <c r="IU73" i="11"/>
  <c r="JI73" i="11"/>
  <c r="JS73" i="11"/>
  <c r="KA73" i="11"/>
  <c r="KM73" i="11"/>
  <c r="O73" i="11"/>
  <c r="AE73" i="11"/>
  <c r="AU73" i="11"/>
  <c r="BK73" i="11"/>
  <c r="CA73" i="11"/>
  <c r="CP73" i="11"/>
  <c r="DD73" i="11"/>
  <c r="DO73" i="11"/>
  <c r="EC73" i="11"/>
  <c r="EQ73" i="11"/>
  <c r="FB73" i="11"/>
  <c r="FP73" i="11"/>
  <c r="GA73" i="11"/>
  <c r="GO73" i="11"/>
  <c r="HC73" i="11"/>
  <c r="HN73" i="11"/>
  <c r="IB73" i="11"/>
  <c r="IM73" i="11"/>
  <c r="JA73" i="11"/>
  <c r="JO73" i="11"/>
  <c r="JW73" i="11"/>
  <c r="KF73" i="11"/>
  <c r="KN73" i="11"/>
  <c r="D73" i="11"/>
  <c r="T73" i="11"/>
  <c r="AJ73" i="11"/>
  <c r="AZ73" i="11"/>
  <c r="BP73" i="11"/>
  <c r="CF73" i="11"/>
  <c r="CQ73" i="11"/>
  <c r="DE73" i="11"/>
  <c r="DS73" i="11"/>
  <c r="ED73" i="11"/>
  <c r="ER73" i="11"/>
  <c r="FC73" i="11"/>
  <c r="FQ73" i="11"/>
  <c r="GE73" i="11"/>
  <c r="GP73" i="11"/>
  <c r="HD73" i="11"/>
  <c r="HO73" i="11"/>
  <c r="IC73" i="11"/>
  <c r="IQ73" i="11"/>
  <c r="JB73" i="11"/>
  <c r="JP73" i="11"/>
  <c r="JY73" i="11"/>
  <c r="KG73" i="11"/>
  <c r="KO73" i="11"/>
  <c r="KK73" i="11"/>
  <c r="JE73" i="11"/>
  <c r="HY73" i="11"/>
  <c r="GS73" i="11"/>
  <c r="FM73" i="11"/>
  <c r="EG73" i="11"/>
  <c r="DA73" i="11"/>
  <c r="BU73" i="11"/>
  <c r="AO73" i="11"/>
  <c r="I73" i="11"/>
  <c r="BG73" i="11"/>
  <c r="AA73" i="11"/>
  <c r="KL73" i="11"/>
  <c r="JF73" i="11"/>
  <c r="HZ73" i="11"/>
  <c r="GT73" i="11"/>
  <c r="FN73" i="11"/>
  <c r="EH73" i="11"/>
  <c r="DB73" i="11"/>
  <c r="BV73" i="11"/>
  <c r="AP73" i="11"/>
  <c r="J73" i="11"/>
  <c r="JL73" i="11"/>
  <c r="IF73" i="11"/>
  <c r="GZ73" i="11"/>
  <c r="FT73" i="11"/>
  <c r="EN73" i="11"/>
  <c r="DH73" i="11"/>
  <c r="CB73" i="11"/>
  <c r="AV73" i="11"/>
  <c r="P73" i="11"/>
  <c r="KC73" i="11"/>
  <c r="IW73" i="11"/>
  <c r="HQ73" i="11"/>
  <c r="GK73" i="11"/>
  <c r="FE73" i="11"/>
  <c r="DY73" i="11"/>
  <c r="CS73" i="11"/>
  <c r="BM73" i="11"/>
  <c r="AG73" i="11"/>
  <c r="CE73" i="11"/>
  <c r="AY73" i="11"/>
  <c r="S73" i="11"/>
  <c r="KD73" i="11"/>
  <c r="IX73" i="11"/>
  <c r="HR73" i="11"/>
  <c r="GL73" i="11"/>
  <c r="FF73" i="11"/>
  <c r="DZ73" i="11"/>
  <c r="CT73" i="11"/>
  <c r="BN73" i="11"/>
  <c r="AH73" i="11"/>
  <c r="KJ73" i="11"/>
  <c r="JD73" i="11"/>
  <c r="HX73" i="11"/>
  <c r="GR73" i="11"/>
  <c r="FL73" i="11"/>
  <c r="EF73" i="11"/>
  <c r="CZ73" i="11"/>
  <c r="BT73" i="11"/>
  <c r="AN73" i="11"/>
  <c r="JU73" i="11"/>
  <c r="HI73" i="11"/>
  <c r="EW73" i="11"/>
  <c r="CK73" i="11"/>
  <c r="Y73" i="11"/>
  <c r="AQ73" i="11"/>
  <c r="JV73" i="11"/>
  <c r="HJ73" i="11"/>
  <c r="EX73" i="11"/>
  <c r="CL73" i="11"/>
  <c r="Z73" i="11"/>
  <c r="IV73" i="11"/>
  <c r="GJ73" i="11"/>
  <c r="DX73" i="11"/>
  <c r="BL73" i="11"/>
  <c r="JM73" i="11"/>
  <c r="HA73" i="11"/>
  <c r="EO73" i="11"/>
  <c r="CC73" i="11"/>
  <c r="Q73" i="11"/>
  <c r="AI73" i="11"/>
  <c r="JN73" i="11"/>
  <c r="HB73" i="11"/>
  <c r="EP73" i="11"/>
  <c r="CD73" i="11"/>
  <c r="R73" i="11"/>
  <c r="IN73" i="11"/>
  <c r="GB73" i="11"/>
  <c r="DP73" i="11"/>
  <c r="BD73" i="11"/>
  <c r="IO73" i="11"/>
  <c r="DQ73" i="11"/>
  <c r="BW73" i="11"/>
  <c r="IP73" i="11"/>
  <c r="DR73" i="11"/>
  <c r="KB73" i="11"/>
  <c r="FD73" i="11"/>
  <c r="AF73" i="11"/>
  <c r="GC73" i="11"/>
  <c r="BE73" i="11"/>
  <c r="K73" i="11"/>
  <c r="GD73" i="11"/>
  <c r="BF73" i="11"/>
  <c r="HP73" i="11"/>
  <c r="CR73" i="11"/>
  <c r="FU73" i="11"/>
  <c r="AW73" i="11"/>
  <c r="C73" i="11"/>
  <c r="FV73" i="11"/>
  <c r="AX73" i="11"/>
  <c r="HH73" i="11"/>
  <c r="CJ73" i="11"/>
  <c r="IG73" i="11"/>
  <c r="DI73" i="11"/>
  <c r="BO73" i="11"/>
  <c r="IH73" i="11"/>
  <c r="DJ73" i="11"/>
  <c r="JT73" i="11"/>
  <c r="EV73" i="11"/>
  <c r="X73" i="11"/>
  <c r="DG4" i="17" a="1"/>
  <c r="JH39" i="11"/>
  <c r="HQ39" i="11"/>
  <c r="EG40" i="11"/>
  <c r="DP40" i="11"/>
  <c r="E38" i="11"/>
  <c r="G38" i="11"/>
  <c r="DM38" i="11"/>
  <c r="JC39" i="11"/>
  <c r="KE38" i="11"/>
  <c r="JP40" i="11"/>
  <c r="HQ40" i="11"/>
  <c r="O38" i="11"/>
  <c r="DP39" i="11"/>
  <c r="BC39" i="11"/>
  <c r="HB38" i="11"/>
  <c r="CX39" i="11"/>
  <c r="BH40" i="11"/>
  <c r="FV38" i="11"/>
  <c r="EC38" i="11"/>
  <c r="HO40" i="11"/>
  <c r="HJ38" i="11"/>
  <c r="FM40" i="11"/>
  <c r="IT38" i="11"/>
  <c r="ES40" i="11"/>
  <c r="CC40" i="11"/>
  <c r="JK39" i="11"/>
  <c r="GR38" i="11"/>
  <c r="Z39" i="11"/>
  <c r="JQ40" i="11"/>
  <c r="BT38" i="11"/>
  <c r="AR38" i="11"/>
  <c r="HS40" i="11"/>
  <c r="DK38" i="11"/>
  <c r="EK39" i="11"/>
  <c r="GF38" i="11"/>
  <c r="KA38" i="11"/>
  <c r="AE39" i="11"/>
  <c r="Y40" i="11"/>
  <c r="IB38" i="11"/>
  <c r="DU38" i="11"/>
  <c r="CF39" i="11"/>
  <c r="DO40" i="11"/>
  <c r="JO40" i="11"/>
  <c r="I39" i="11"/>
  <c r="JH38" i="11"/>
  <c r="BI39" i="11"/>
  <c r="CR38" i="11"/>
  <c r="FB39" i="11"/>
  <c r="KL38" i="11"/>
  <c r="GM40" i="11"/>
  <c r="FY40" i="11"/>
  <c r="DB40" i="11"/>
  <c r="EU40" i="11"/>
  <c r="L38" i="11"/>
  <c r="GP39" i="11"/>
  <c r="EC40" i="11"/>
  <c r="HM39" i="11"/>
  <c r="JI40" i="11"/>
  <c r="GK38" i="11"/>
  <c r="EW40" i="11"/>
  <c r="KC40" i="11"/>
  <c r="EM40" i="11"/>
  <c r="CR40" i="11"/>
  <c r="FE39" i="11"/>
  <c r="FF38" i="11"/>
  <c r="BO39" i="11"/>
  <c r="FE40" i="11"/>
  <c r="R38" i="11"/>
  <c r="BL38" i="11"/>
  <c r="AB39" i="11"/>
  <c r="CH38" i="11"/>
  <c r="BF40" i="11"/>
  <c r="ET40" i="11"/>
  <c r="HT39" i="11"/>
  <c r="KF39" i="11"/>
  <c r="HB40" i="11"/>
  <c r="CZ39" i="11"/>
  <c r="CN38" i="11"/>
  <c r="FL38" i="11"/>
  <c r="BV40" i="11"/>
  <c r="KA39" i="11"/>
  <c r="BS39" i="11"/>
  <c r="CL38" i="11"/>
  <c r="T39" i="11"/>
  <c r="DG38" i="11"/>
  <c r="BD40" i="11"/>
  <c r="AA38" i="11"/>
  <c r="HZ39" i="11"/>
  <c r="CT38" i="11"/>
  <c r="FZ38" i="11"/>
  <c r="GG40" i="11"/>
  <c r="CB38" i="11"/>
  <c r="DS39" i="11"/>
  <c r="HA40" i="11"/>
  <c r="W40" i="11"/>
  <c r="JN40" i="11"/>
  <c r="AC39" i="11"/>
  <c r="DU39" i="11"/>
  <c r="JT40" i="11"/>
  <c r="AF40" i="11"/>
  <c r="GX39" i="11"/>
  <c r="EE38" i="11"/>
  <c r="HZ38" i="11"/>
  <c r="DN39" i="11"/>
  <c r="GQ40" i="11"/>
  <c r="EF40" i="11"/>
  <c r="HM38" i="11"/>
  <c r="JM38" i="11"/>
  <c r="KJ39" i="11"/>
  <c r="FG38" i="11"/>
  <c r="KG38" i="11"/>
  <c r="JE39" i="11"/>
  <c r="GL39" i="11"/>
  <c r="FH40" i="11"/>
  <c r="HT38" i="11"/>
  <c r="JL40" i="11"/>
  <c r="JE40" i="11"/>
  <c r="ID38" i="11"/>
  <c r="EG39" i="11"/>
  <c r="FJ39" i="11"/>
  <c r="P39" i="11"/>
  <c r="CT39" i="11"/>
  <c r="ID40" i="11"/>
  <c r="HF39" i="11"/>
  <c r="IN38" i="11"/>
  <c r="EM39" i="11"/>
  <c r="DO38" i="11"/>
  <c r="II39" i="11"/>
  <c r="FT40" i="11"/>
  <c r="CS40" i="11"/>
  <c r="CY39" i="11"/>
  <c r="GS38" i="11"/>
  <c r="AZ38" i="11"/>
  <c r="JY40" i="11"/>
  <c r="EP38" i="11"/>
  <c r="AD38" i="11"/>
  <c r="BR38" i="11"/>
  <c r="H40" i="11"/>
  <c r="IR39" i="11"/>
  <c r="AY40" i="11"/>
  <c r="KF40" i="11"/>
  <c r="IN40" i="11"/>
  <c r="GE39" i="11"/>
  <c r="DM40" i="11"/>
  <c r="FM39" i="11"/>
  <c r="KP38" i="11"/>
  <c r="DE39" i="11"/>
  <c r="BJ38" i="11"/>
  <c r="EB38" i="11"/>
  <c r="JN39" i="11"/>
  <c r="K39" i="11"/>
  <c r="EO40" i="11"/>
  <c r="S38" i="11"/>
  <c r="CU40" i="11"/>
  <c r="JV39" i="11"/>
  <c r="K38" i="11"/>
  <c r="CD38" i="11"/>
  <c r="JS40" i="11"/>
  <c r="FT38" i="11"/>
  <c r="CO39" i="11"/>
  <c r="EY40" i="11"/>
  <c r="IG39" i="11"/>
  <c r="U40" i="11"/>
  <c r="BN39" i="11"/>
  <c r="CB40" i="11"/>
  <c r="FU38" i="11"/>
  <c r="HJ40" i="11"/>
  <c r="CM38" i="11"/>
  <c r="AZ40" i="11"/>
  <c r="JD39" i="11"/>
  <c r="HP38" i="11"/>
  <c r="JZ40" i="11"/>
  <c r="IG40" i="11"/>
  <c r="BW40" i="11"/>
  <c r="DZ40" i="11"/>
  <c r="EA38" i="11"/>
  <c r="CQ40" i="11"/>
  <c r="EF39" i="11"/>
  <c r="GR39" i="11"/>
  <c r="HL38" i="11"/>
  <c r="FI40" i="11"/>
  <c r="IX40" i="11"/>
  <c r="BA39" i="11"/>
  <c r="FS39" i="11"/>
  <c r="IM40" i="11"/>
  <c r="BN38" i="11"/>
  <c r="AA39" i="11"/>
  <c r="FP40" i="11"/>
  <c r="HE40" i="11"/>
  <c r="DB38" i="11"/>
  <c r="AI40" i="11"/>
  <c r="DJ39" i="11"/>
  <c r="BK38" i="11"/>
  <c r="KP40" i="11"/>
  <c r="AK38" i="11"/>
  <c r="CJ40" i="11"/>
  <c r="IC38" i="11"/>
  <c r="DR39" i="11"/>
  <c r="HK39" i="11"/>
  <c r="IN39" i="11"/>
  <c r="U38" i="11"/>
  <c r="EM38" i="11"/>
  <c r="FR39" i="11"/>
  <c r="FK38" i="11"/>
  <c r="KC39" i="11"/>
  <c r="BM38" i="11"/>
  <c r="BC40" i="11"/>
  <c r="IW40" i="11"/>
  <c r="GD39" i="11"/>
  <c r="HH38" i="11"/>
  <c r="KN39" i="11"/>
  <c r="EL38" i="11"/>
  <c r="BX38" i="11"/>
  <c r="CG38" i="11"/>
  <c r="H38" i="11"/>
  <c r="DZ39" i="11"/>
  <c r="BZ40" i="11"/>
  <c r="EZ39" i="11"/>
  <c r="EX39" i="11"/>
  <c r="FM38" i="11"/>
  <c r="EP39" i="11"/>
  <c r="GO38" i="11"/>
  <c r="HI40" i="11"/>
  <c r="BL40" i="11"/>
  <c r="Z38" i="11"/>
  <c r="D39" i="11"/>
  <c r="IQ39" i="11"/>
  <c r="DY40" i="11"/>
  <c r="DN40" i="11"/>
  <c r="AL39" i="11"/>
  <c r="CI38" i="11"/>
  <c r="HH40" i="11"/>
  <c r="IQ38" i="11"/>
  <c r="KD40" i="11"/>
  <c r="AR39" i="11"/>
  <c r="CP38" i="11"/>
  <c r="EZ40" i="11"/>
  <c r="DS38" i="11"/>
  <c r="AQ39" i="11"/>
  <c r="AO40" i="11"/>
  <c r="KL40" i="11"/>
  <c r="FK40" i="11"/>
  <c r="KI39" i="11"/>
  <c r="CX38" i="11"/>
  <c r="IO40" i="11"/>
  <c r="EA40" i="11"/>
  <c r="HV39" i="11"/>
  <c r="IH38" i="11"/>
  <c r="CQ38" i="11"/>
  <c r="DY38" i="11"/>
  <c r="DQ39" i="11"/>
  <c r="DV40" i="11"/>
  <c r="KH40" i="11"/>
  <c r="FH39" i="11"/>
  <c r="KJ40" i="11"/>
  <c r="DL39" i="11"/>
  <c r="FP39" i="11"/>
  <c r="JA38" i="11"/>
  <c r="IZ38" i="11"/>
  <c r="BU40" i="11"/>
  <c r="CU38" i="11"/>
  <c r="EF38" i="11"/>
  <c r="FN38" i="11"/>
  <c r="BK40" i="11"/>
  <c r="CJ39" i="11"/>
  <c r="BM40" i="11"/>
  <c r="JA40" i="11"/>
  <c r="DE40" i="11"/>
  <c r="HO38" i="11"/>
  <c r="IM39" i="11"/>
  <c r="GU38" i="11"/>
  <c r="GX40" i="11"/>
  <c r="AF39" i="11"/>
  <c r="FW38" i="11"/>
  <c r="JM39" i="11"/>
  <c r="FB38" i="11"/>
  <c r="JL38" i="11"/>
  <c r="BW39" i="11"/>
  <c r="AW39" i="11"/>
  <c r="KD38" i="11"/>
  <c r="KE39" i="11"/>
  <c r="BU38" i="11"/>
  <c r="KI40" i="11"/>
  <c r="AH38" i="11"/>
  <c r="FD40" i="11"/>
  <c r="IQ40" i="11"/>
  <c r="BE38" i="11"/>
  <c r="IJ39" i="11"/>
  <c r="AQ38" i="11"/>
  <c r="CD39" i="11"/>
  <c r="EU39" i="11"/>
  <c r="EV38" i="11"/>
  <c r="HN39" i="11"/>
  <c r="AR40" i="11"/>
  <c r="AN39" i="11"/>
  <c r="FU40" i="11"/>
  <c r="JD38" i="11"/>
  <c r="AW40" i="11"/>
  <c r="FW39" i="11"/>
  <c r="AN40" i="11"/>
  <c r="JI39" i="11"/>
  <c r="IE39" i="11"/>
  <c r="W38" i="11"/>
  <c r="GM38" i="11"/>
  <c r="BY40" i="11"/>
  <c r="JE38" i="11"/>
  <c r="AM38" i="11"/>
  <c r="CM40" i="11"/>
  <c r="DY39" i="11"/>
  <c r="BZ39" i="11"/>
  <c r="HG39" i="11"/>
  <c r="CI39" i="11"/>
  <c r="FY38" i="11"/>
  <c r="AZ39" i="11"/>
  <c r="IK40" i="11"/>
  <c r="DQ38" i="11"/>
  <c r="CI40" i="11"/>
  <c r="KD39" i="11"/>
  <c r="DS40" i="11"/>
  <c r="CP40" i="11"/>
  <c r="KJ38" i="11"/>
  <c r="KH39" i="11"/>
  <c r="BC38" i="11"/>
  <c r="AI39" i="11"/>
  <c r="BQ40" i="11"/>
  <c r="HX40" i="11"/>
  <c r="IR40" i="11"/>
  <c r="ED39" i="11"/>
  <c r="AG40" i="11"/>
  <c r="FF40" i="11"/>
  <c r="HA39" i="11"/>
  <c r="GW39" i="11"/>
  <c r="AE40" i="11"/>
  <c r="GC38" i="11"/>
  <c r="IC40" i="11"/>
  <c r="FH38" i="11"/>
  <c r="FQ40" i="11"/>
  <c r="DX40" i="11"/>
  <c r="JD40" i="11"/>
  <c r="EO38" i="11"/>
  <c r="EL39" i="11"/>
  <c r="HK38" i="11"/>
  <c r="DF39" i="11"/>
  <c r="DT40" i="11"/>
  <c r="JF39" i="11"/>
  <c r="AD39" i="11"/>
  <c r="ES38" i="11"/>
  <c r="GC40" i="11"/>
  <c r="IB40" i="11"/>
  <c r="ID39" i="11"/>
  <c r="JJ38" i="11"/>
  <c r="KN38" i="11"/>
  <c r="CX40" i="11"/>
  <c r="KA40" i="11"/>
  <c r="Y39" i="11"/>
  <c r="AG39" i="11"/>
  <c r="FI39" i="11"/>
  <c r="R39" i="11"/>
  <c r="V39" i="11"/>
  <c r="CG39" i="11"/>
  <c r="AH40" i="11"/>
  <c r="BK39" i="11"/>
  <c r="FC38" i="11"/>
  <c r="CE38" i="11"/>
  <c r="FT39" i="11"/>
  <c r="GF40" i="11"/>
  <c r="BG39" i="11"/>
  <c r="EY39" i="11"/>
  <c r="EQ40" i="11"/>
  <c r="CV38" i="11"/>
  <c r="AS38" i="11"/>
  <c r="T38" i="11"/>
  <c r="FN40" i="11"/>
  <c r="GP40" i="11"/>
  <c r="DD39" i="11"/>
  <c r="HH39" i="11"/>
  <c r="JP38" i="11"/>
  <c r="IC39" i="11"/>
  <c r="BG40" i="11"/>
  <c r="EI38" i="11"/>
  <c r="DV39" i="11"/>
  <c r="FK39" i="11"/>
  <c r="JW39" i="11"/>
  <c r="ER39" i="11"/>
  <c r="IO39" i="11"/>
  <c r="FD39" i="11"/>
  <c r="CV39" i="11"/>
  <c r="HG38" i="11"/>
  <c r="IL38" i="11"/>
  <c r="GC39" i="11"/>
  <c r="EC39" i="11"/>
  <c r="N40" i="11"/>
  <c r="KP39" i="11"/>
  <c r="M40" i="11"/>
  <c r="BJ40" i="11"/>
  <c r="JI38" i="11"/>
  <c r="BJ39" i="11"/>
  <c r="KM40" i="11"/>
  <c r="ES39" i="11"/>
  <c r="GL40" i="11"/>
  <c r="GB38" i="11"/>
  <c r="FA38" i="11"/>
  <c r="EN40" i="11"/>
  <c r="BX39" i="11"/>
  <c r="IR38" i="11"/>
  <c r="DH39" i="11"/>
  <c r="HT40" i="11"/>
  <c r="IB39" i="11"/>
  <c r="EJ38" i="11"/>
  <c r="DA40" i="11"/>
  <c r="EB40" i="11"/>
  <c r="JL39" i="11"/>
  <c r="IF38" i="11"/>
  <c r="IY39" i="11"/>
  <c r="CJ38" i="11"/>
  <c r="DK39" i="11"/>
  <c r="AU38" i="11"/>
  <c r="K40" i="11"/>
  <c r="AF38" i="11"/>
  <c r="JH40" i="11"/>
  <c r="CW39" i="11"/>
  <c r="HY38" i="11"/>
  <c r="JN38" i="11"/>
  <c r="CU39" i="11"/>
  <c r="M38" i="11"/>
  <c r="CN39" i="11"/>
  <c r="FA39" i="11"/>
  <c r="DR40" i="11"/>
  <c r="FX38" i="11"/>
  <c r="DW39" i="11"/>
  <c r="AT39" i="11"/>
  <c r="JO39" i="11"/>
  <c r="IA38" i="11"/>
  <c r="JQ38" i="11"/>
  <c r="F38" i="11"/>
  <c r="IJ40" i="11"/>
  <c r="BN40" i="11"/>
  <c r="CE40" i="11"/>
  <c r="JR38" i="11"/>
  <c r="GS39" i="11"/>
  <c r="FC40" i="11"/>
  <c r="O39" i="11"/>
  <c r="DK40" i="11"/>
  <c r="EG38" i="11"/>
  <c r="G39" i="11"/>
  <c r="KO40" i="11"/>
  <c r="HI38" i="11"/>
  <c r="AX38" i="11"/>
  <c r="GF39" i="11"/>
  <c r="Q38" i="11"/>
  <c r="BV38" i="11"/>
  <c r="GH38" i="11"/>
  <c r="JX38" i="11"/>
  <c r="JJ40" i="11"/>
  <c r="GI39" i="11"/>
  <c r="BR39" i="11"/>
  <c r="GE38" i="11"/>
  <c r="II38" i="11"/>
  <c r="EA39" i="11"/>
  <c r="EH40" i="11"/>
  <c r="CH39" i="11"/>
  <c r="JF38" i="11"/>
  <c r="GY38" i="11"/>
  <c r="IF40" i="11"/>
  <c r="HD39" i="11"/>
  <c r="AN38" i="11"/>
  <c r="JB39" i="11"/>
  <c r="JS39" i="11"/>
  <c r="GZ40" i="11"/>
  <c r="J38" i="11"/>
  <c r="CL40" i="11"/>
  <c r="IT40" i="11"/>
  <c r="IS40" i="11"/>
  <c r="FE38" i="11"/>
  <c r="HX39" i="11"/>
  <c r="EL40" i="11"/>
  <c r="AC40" i="11"/>
  <c r="HE38" i="11"/>
  <c r="HZ40" i="11"/>
  <c r="GN39" i="11"/>
  <c r="FS40" i="11"/>
  <c r="BB39" i="11"/>
  <c r="CK38" i="11"/>
  <c r="DC39" i="11"/>
  <c r="JC38" i="11"/>
  <c r="AV40" i="11"/>
  <c r="J40" i="11"/>
  <c r="GY39" i="11"/>
  <c r="GA40" i="11"/>
  <c r="IE38" i="11"/>
  <c r="C40" i="11"/>
  <c r="GJ39" i="11"/>
  <c r="JO38" i="11"/>
  <c r="BE39" i="11"/>
  <c r="GW40" i="11"/>
  <c r="KB38" i="11"/>
  <c r="EK40" i="11"/>
  <c r="Z40" i="11"/>
  <c r="DU40" i="11"/>
  <c r="HR39" i="11"/>
  <c r="HN40" i="11"/>
  <c r="JG38" i="11"/>
  <c r="CB39" i="11"/>
  <c r="GZ39" i="11"/>
  <c r="EE39" i="11"/>
  <c r="E40" i="11"/>
  <c r="IL39" i="11"/>
  <c r="HD38" i="11"/>
  <c r="EN38" i="11"/>
  <c r="GJ38" i="11"/>
  <c r="DX39" i="11"/>
  <c r="GS40" i="11"/>
  <c r="BR40" i="11"/>
  <c r="P40" i="11"/>
  <c r="CV40" i="11"/>
  <c r="CY40" i="11"/>
  <c r="BO38" i="11"/>
  <c r="T40" i="11"/>
  <c r="GQ39" i="11"/>
  <c r="JX40" i="11"/>
  <c r="BQ38" i="11"/>
  <c r="DL38" i="11"/>
  <c r="BT39" i="11"/>
  <c r="HO39" i="11"/>
  <c r="BP38" i="11"/>
  <c r="FL39" i="11"/>
  <c r="FX39" i="11"/>
  <c r="IW39" i="11"/>
  <c r="GV39" i="11"/>
  <c r="JP39" i="11"/>
  <c r="AB38" i="11"/>
  <c r="EO39" i="11"/>
  <c r="EX38" i="11"/>
  <c r="BU39" i="11"/>
  <c r="FO39" i="11"/>
  <c r="HG40" i="11"/>
  <c r="X39" i="11"/>
  <c r="GV38" i="11"/>
  <c r="BM39" i="11"/>
  <c r="BW38" i="11"/>
  <c r="HV40" i="11"/>
  <c r="CY38" i="11"/>
  <c r="AB40" i="11"/>
  <c r="DA38" i="11"/>
  <c r="DF38" i="11"/>
  <c r="BQ39" i="11"/>
  <c r="CW38" i="11"/>
  <c r="IS38" i="11"/>
  <c r="GI38" i="11"/>
  <c r="ER38" i="11"/>
  <c r="D40" i="11"/>
  <c r="AC38" i="11"/>
  <c r="HU40" i="11"/>
  <c r="AX39" i="11"/>
  <c r="AD40" i="11"/>
  <c r="BF38" i="11"/>
  <c r="GN38" i="11"/>
  <c r="EE40" i="11"/>
  <c r="CS39" i="11"/>
  <c r="AH39" i="11"/>
  <c r="F40" i="11"/>
  <c r="BY38" i="11"/>
  <c r="BD39" i="11"/>
  <c r="EJ40" i="11"/>
  <c r="AK39" i="11"/>
  <c r="HN38" i="11"/>
  <c r="CZ38" i="11"/>
  <c r="I40" i="11"/>
  <c r="GA38" i="11"/>
  <c r="IJ38" i="11"/>
  <c r="CW40" i="11"/>
  <c r="CE39" i="11"/>
  <c r="EN39" i="11"/>
  <c r="CQ39" i="11"/>
  <c r="HJ39" i="11"/>
  <c r="DC40" i="11"/>
  <c r="EQ39" i="11"/>
  <c r="JG39" i="11"/>
  <c r="C39" i="11"/>
  <c r="HW39" i="11"/>
  <c r="C38" i="11"/>
  <c r="KE40" i="11"/>
  <c r="X40" i="11"/>
  <c r="AJ40" i="11"/>
  <c r="FQ39" i="11"/>
  <c r="DG39" i="11"/>
  <c r="IU39" i="11"/>
  <c r="GB40" i="11"/>
  <c r="IY40" i="11"/>
  <c r="L40" i="11"/>
  <c r="CM39" i="11"/>
  <c r="GX38" i="11"/>
  <c r="HC38" i="11"/>
  <c r="HY39" i="11"/>
  <c r="R40" i="11"/>
  <c r="BX40" i="11"/>
  <c r="IZ39" i="11"/>
  <c r="HX38" i="11"/>
  <c r="S40" i="11"/>
  <c r="S39" i="11"/>
  <c r="FX40" i="11"/>
  <c r="KO39" i="11"/>
  <c r="HW40" i="11"/>
  <c r="CF38" i="11"/>
  <c r="AM39" i="11"/>
  <c r="FN39" i="11"/>
  <c r="JU39" i="11"/>
  <c r="GV40" i="11"/>
  <c r="HE39" i="11"/>
  <c r="HU38" i="11"/>
  <c r="FJ38" i="11"/>
  <c r="BT40" i="11"/>
  <c r="I38" i="11"/>
  <c r="KM38" i="11"/>
  <c r="FI38" i="11"/>
  <c r="FO38" i="11"/>
  <c r="CK40" i="11"/>
  <c r="JU38" i="11"/>
  <c r="AP38" i="11"/>
  <c r="IW38" i="11"/>
  <c r="GD40" i="11"/>
  <c r="P38" i="11"/>
  <c r="GL38" i="11"/>
  <c r="GO40" i="11"/>
  <c r="G40" i="11"/>
  <c r="JZ39" i="11"/>
  <c r="DJ40" i="11"/>
  <c r="JR40" i="11"/>
  <c r="EW39" i="11"/>
  <c r="IM38" i="11"/>
  <c r="Q39" i="11"/>
  <c r="CF40" i="11"/>
  <c r="GU40" i="11"/>
  <c r="HK40" i="11"/>
  <c r="BO40" i="11"/>
  <c r="ET38" i="11"/>
  <c r="EI40" i="11"/>
  <c r="DB39" i="11"/>
  <c r="EW38" i="11"/>
  <c r="JA39" i="11"/>
  <c r="IU38" i="11"/>
  <c r="FL40" i="11"/>
  <c r="GT39" i="11"/>
  <c r="IV38" i="11"/>
  <c r="HW38" i="11"/>
  <c r="BL39" i="11"/>
  <c r="AJ39" i="11"/>
  <c r="FS38" i="11"/>
  <c r="F39" i="11"/>
  <c r="JJ39" i="11"/>
  <c r="DC38" i="11"/>
  <c r="FR38" i="11"/>
  <c r="DN38" i="11"/>
  <c r="DH38" i="11"/>
  <c r="O40" i="11"/>
  <c r="JV40" i="11"/>
  <c r="AS40" i="11"/>
  <c r="HF38" i="11"/>
  <c r="DD38" i="11"/>
  <c r="U39" i="11"/>
  <c r="IK38" i="11"/>
  <c r="FG39" i="11"/>
  <c r="AL38" i="11"/>
  <c r="IV39" i="11"/>
  <c r="BB38" i="11"/>
  <c r="JK40" i="11"/>
  <c r="BA40" i="11"/>
  <c r="DX38" i="11"/>
  <c r="BZ38" i="11"/>
  <c r="BP40" i="11"/>
  <c r="AK40" i="11"/>
  <c r="HL39" i="11"/>
  <c r="W39" i="11"/>
  <c r="GT38" i="11"/>
  <c r="HI39" i="11"/>
  <c r="DJ38" i="11"/>
  <c r="ER40" i="11"/>
  <c r="IF39" i="11"/>
  <c r="DI39" i="11"/>
  <c r="HS39" i="11"/>
  <c r="HQ38" i="11"/>
  <c r="IG38" i="11"/>
  <c r="CZ40" i="11"/>
  <c r="AQ40" i="11"/>
  <c r="IA39" i="11"/>
  <c r="IP38" i="11"/>
  <c r="IT39" i="11"/>
  <c r="DZ38" i="11"/>
  <c r="HD40" i="11"/>
  <c r="GY40" i="11"/>
  <c r="DH40" i="11"/>
  <c r="EY38" i="11"/>
  <c r="ED38" i="11"/>
  <c r="GR40" i="11"/>
  <c r="IA40" i="11"/>
  <c r="JW40" i="11"/>
  <c r="EU38" i="11"/>
  <c r="IZ40" i="11"/>
  <c r="EH39" i="11"/>
  <c r="CA38" i="11"/>
  <c r="AT40" i="11"/>
  <c r="FV39" i="11"/>
  <c r="DF40" i="11"/>
  <c r="EV39" i="11"/>
  <c r="HR38" i="11"/>
  <c r="FC39" i="11"/>
  <c r="EP40" i="11"/>
  <c r="HA38" i="11"/>
  <c r="CA40" i="11"/>
  <c r="KG40" i="11"/>
  <c r="IP40" i="11"/>
  <c r="JC40" i="11"/>
  <c r="V38" i="11"/>
  <c r="GM39" i="11"/>
  <c r="JG40" i="11"/>
  <c r="BY39" i="11"/>
  <c r="IL40" i="11"/>
  <c r="CC38" i="11"/>
  <c r="DT38" i="11"/>
  <c r="EX40" i="11"/>
  <c r="CC39" i="11"/>
  <c r="IX38" i="11"/>
  <c r="EB39" i="11"/>
  <c r="JR39" i="11"/>
  <c r="AU40" i="11"/>
  <c r="ED40" i="11"/>
  <c r="AP39" i="11"/>
  <c r="IV40" i="11"/>
  <c r="N39" i="11"/>
  <c r="KG39" i="11"/>
  <c r="FQ38" i="11"/>
  <c r="BI40" i="11"/>
  <c r="CN40" i="11"/>
  <c r="AP40" i="11"/>
  <c r="GE40" i="11"/>
  <c r="JT38" i="11"/>
  <c r="GW38" i="11"/>
  <c r="KO38" i="11"/>
  <c r="DW38" i="11"/>
  <c r="CL39" i="11"/>
  <c r="FP38" i="11"/>
  <c r="GB39" i="11"/>
  <c r="AG38" i="11"/>
  <c r="KB39" i="11"/>
  <c r="EQ38" i="11"/>
  <c r="IO38" i="11"/>
  <c r="EZ38" i="11"/>
  <c r="X38" i="11"/>
  <c r="DP38" i="11"/>
  <c r="IY38" i="11"/>
  <c r="AW38" i="11"/>
  <c r="IS39" i="11"/>
  <c r="GZ38" i="11"/>
  <c r="FR40" i="11"/>
  <c r="GH40" i="11"/>
  <c r="D38" i="11"/>
  <c r="GA39" i="11"/>
  <c r="BH39" i="11"/>
  <c r="DR38" i="11"/>
  <c r="H39" i="11"/>
  <c r="JB38" i="11"/>
  <c r="AI38" i="11"/>
  <c r="E39" i="11"/>
  <c r="GP38" i="11"/>
  <c r="AT38" i="11"/>
  <c r="JT39" i="11"/>
  <c r="EV40" i="11"/>
  <c r="HC39" i="11"/>
  <c r="IE40" i="11"/>
  <c r="DT39" i="11"/>
  <c r="EH38" i="11"/>
  <c r="AS39" i="11"/>
  <c r="HV38" i="11"/>
  <c r="BS38" i="11"/>
  <c r="DW40" i="11"/>
  <c r="GJ40" i="11"/>
  <c r="FO40" i="11"/>
  <c r="JW38" i="11"/>
  <c r="BV39" i="11"/>
  <c r="V40" i="11"/>
  <c r="HY40" i="11"/>
  <c r="AE38" i="11"/>
  <c r="AO38" i="11"/>
  <c r="DL40" i="11"/>
  <c r="FA40" i="11"/>
  <c r="GK39" i="11"/>
  <c r="DI40" i="11"/>
  <c r="GO39" i="11"/>
  <c r="AJ38" i="11"/>
  <c r="BF39" i="11"/>
  <c r="CA39" i="11"/>
  <c r="GG39" i="11"/>
  <c r="CH40" i="11"/>
  <c r="FB40" i="11"/>
  <c r="DO39" i="11"/>
  <c r="AO39" i="11"/>
  <c r="GQ38" i="11"/>
  <c r="BD38" i="11"/>
  <c r="GN40" i="11"/>
  <c r="KK39" i="11"/>
  <c r="KN40" i="11"/>
  <c r="JM40" i="11"/>
  <c r="FD38" i="11"/>
  <c r="AX40" i="11"/>
  <c r="HS38" i="11"/>
  <c r="AU39" i="11"/>
  <c r="KC38" i="11"/>
  <c r="L39" i="11"/>
  <c r="KB40" i="11"/>
  <c r="EK38" i="11"/>
  <c r="JK38" i="11"/>
  <c r="IH39" i="11"/>
  <c r="GT40" i="11"/>
  <c r="KL39" i="11"/>
  <c r="GU39" i="11"/>
  <c r="Q40" i="11"/>
  <c r="EI39" i="11"/>
  <c r="HB39" i="11"/>
  <c r="DG40" i="11"/>
  <c r="HU39" i="11"/>
  <c r="M39" i="11"/>
  <c r="CO40" i="11"/>
  <c r="FZ39" i="11"/>
  <c r="BE40" i="11"/>
  <c r="IH40" i="11"/>
  <c r="JB40" i="11"/>
  <c r="CS38" i="11"/>
  <c r="II40" i="11"/>
  <c r="CG40" i="11"/>
  <c r="HL40" i="11"/>
  <c r="GG38" i="11"/>
  <c r="FZ40" i="11"/>
  <c r="DA39" i="11"/>
  <c r="DQ40" i="11"/>
  <c r="EJ39" i="11"/>
  <c r="KM39" i="11"/>
  <c r="HP39" i="11"/>
  <c r="IX39" i="11"/>
  <c r="CD40" i="11"/>
  <c r="CT40" i="11"/>
  <c r="AM40" i="11"/>
  <c r="BH38" i="11"/>
  <c r="AL40" i="11"/>
  <c r="CK39" i="11"/>
  <c r="Y38" i="11"/>
  <c r="FF39" i="11"/>
  <c r="FV40" i="11"/>
  <c r="JX39" i="11"/>
  <c r="FW40" i="11"/>
  <c r="DE38" i="11"/>
  <c r="N38" i="11"/>
  <c r="DD40" i="11"/>
  <c r="FY39" i="11"/>
  <c r="JZ38" i="11"/>
  <c r="AY39" i="11"/>
  <c r="DM39" i="11"/>
  <c r="BA38" i="11"/>
  <c r="GH39" i="11"/>
  <c r="JU40" i="11"/>
  <c r="IK39" i="11"/>
  <c r="BS40" i="11"/>
  <c r="HR40" i="11"/>
  <c r="HF40" i="11"/>
  <c r="FG40" i="11"/>
  <c r="AY38" i="11"/>
  <c r="IU40" i="11"/>
  <c r="BI38" i="11"/>
  <c r="HP40" i="11"/>
  <c r="HC40" i="11"/>
  <c r="FU39" i="11"/>
  <c r="JS38" i="11"/>
  <c r="ET39" i="11"/>
  <c r="AA40" i="11"/>
  <c r="J39" i="11"/>
  <c r="CR39" i="11"/>
  <c r="JQ39" i="11"/>
  <c r="JF40" i="11"/>
  <c r="CO38" i="11"/>
  <c r="KK40" i="11"/>
  <c r="BG38" i="11"/>
  <c r="DI38" i="11"/>
  <c r="IP39" i="11"/>
  <c r="AV38" i="11"/>
  <c r="BB40" i="11"/>
  <c r="HM40" i="11"/>
  <c r="BP39" i="11"/>
  <c r="KI38" i="11"/>
  <c r="JY39" i="11"/>
  <c r="JV38" i="11"/>
  <c r="FJ40" i="11"/>
  <c r="KK38" i="11"/>
  <c r="JY38" i="11"/>
  <c r="KF38" i="11"/>
  <c r="GD38" i="11"/>
  <c r="DV38" i="11"/>
  <c r="KH38" i="11"/>
  <c r="GI40" i="11"/>
  <c r="GK40" i="11"/>
  <c r="AV39" i="11"/>
  <c r="CW43" i="11"/>
  <c r="S43" i="11"/>
  <c r="BU43" i="11"/>
  <c r="AC44" i="11"/>
  <c r="AS43" i="11"/>
  <c r="EC43" i="11"/>
  <c r="BJ43" i="11"/>
  <c r="DA43" i="11"/>
  <c r="X43" i="11"/>
  <c r="BY43" i="11"/>
  <c r="AG44" i="11"/>
  <c r="AN43" i="11"/>
  <c r="DH44" i="11"/>
  <c r="AA44" i="11"/>
  <c r="KA44" i="11"/>
  <c r="JV43" i="11"/>
  <c r="BV44" i="11"/>
  <c r="EC45" i="11"/>
  <c r="F45" i="11"/>
  <c r="BJ45" i="11"/>
  <c r="FQ45" i="11"/>
  <c r="DZ45" i="11"/>
  <c r="IV45" i="11"/>
  <c r="HI44" i="11"/>
  <c r="HQ43" i="11"/>
  <c r="L44" i="11"/>
  <c r="GV43" i="11"/>
  <c r="GM44" i="11"/>
  <c r="AJ43" i="11"/>
  <c r="EI43" i="11"/>
  <c r="J45" i="11"/>
  <c r="KL45" i="11"/>
  <c r="JE44" i="11"/>
  <c r="EB44" i="11"/>
  <c r="HU44" i="11"/>
  <c r="DN45" i="11"/>
  <c r="BR45" i="11"/>
  <c r="CG43" i="11"/>
  <c r="FL43" i="11"/>
  <c r="CD43" i="11"/>
  <c r="CY44" i="11"/>
  <c r="BG45" i="11"/>
  <c r="EK44" i="11"/>
  <c r="GF44" i="11"/>
  <c r="GX45" i="11"/>
  <c r="FI43" i="11"/>
  <c r="CZ43" i="11"/>
  <c r="EG43" i="11"/>
  <c r="BO43" i="11"/>
  <c r="DE43" i="11"/>
  <c r="GO43" i="11"/>
  <c r="EQ43" i="11"/>
  <c r="FM43" i="11"/>
  <c r="DF43" i="11"/>
  <c r="EK43" i="11"/>
  <c r="BM43" i="11"/>
  <c r="FB43" i="11"/>
  <c r="BS43" i="11"/>
  <c r="CQ44" i="11"/>
  <c r="AY45" i="11"/>
  <c r="DU44" i="11"/>
  <c r="FU44" i="11"/>
  <c r="GP45" i="11"/>
  <c r="GP43" i="11"/>
  <c r="IR45" i="11"/>
  <c r="DW43" i="11"/>
  <c r="HI45" i="11"/>
  <c r="GT43" i="11"/>
  <c r="FW45" i="11"/>
  <c r="AK44" i="11"/>
  <c r="CF44" i="11"/>
  <c r="KD43" i="11"/>
  <c r="IY44" i="11"/>
  <c r="GY43" i="11"/>
  <c r="J44" i="11"/>
  <c r="CR45" i="11"/>
  <c r="JI44" i="11"/>
  <c r="HP44" i="11"/>
  <c r="CO45" i="11"/>
  <c r="CC45" i="11"/>
  <c r="HE45" i="11"/>
  <c r="IW45" i="11"/>
  <c r="GC43" i="11"/>
  <c r="JO43" i="11"/>
  <c r="FK43" i="11"/>
  <c r="FK44" i="11"/>
  <c r="DS45" i="11"/>
  <c r="BL43" i="11"/>
  <c r="JM44" i="11"/>
  <c r="JJ45" i="11"/>
  <c r="HU43" i="11"/>
  <c r="GH43" i="11"/>
  <c r="GS43" i="11"/>
  <c r="EV43" i="11"/>
  <c r="FQ43" i="11"/>
  <c r="DQ43" i="11"/>
  <c r="HC43" i="11"/>
  <c r="DJ43" i="11"/>
  <c r="DW44" i="11"/>
  <c r="CE45" i="11"/>
  <c r="FQ44" i="11"/>
  <c r="HL44" i="11"/>
  <c r="HV45" i="11"/>
  <c r="BJ44" i="11"/>
  <c r="CX43" i="11"/>
  <c r="KL43" i="11"/>
  <c r="IZ45" i="11"/>
  <c r="BM44" i="11"/>
  <c r="IS45" i="11"/>
  <c r="AT43" i="11"/>
  <c r="DL44" i="11"/>
  <c r="AF44" i="11"/>
  <c r="KE44" i="11"/>
  <c r="KF43" i="11"/>
  <c r="CD44" i="11"/>
  <c r="EH45" i="11"/>
  <c r="L45" i="11"/>
  <c r="BY45" i="11"/>
  <c r="GB45" i="11"/>
  <c r="EG45" i="11"/>
  <c r="JA45" i="11"/>
  <c r="ID44" i="11"/>
  <c r="IG43" i="11"/>
  <c r="R44" i="11"/>
  <c r="HB43" i="11"/>
  <c r="GQ44" i="11"/>
  <c r="AU43" i="11"/>
  <c r="ET43" i="11"/>
  <c r="P45" i="11"/>
  <c r="KP45" i="11"/>
  <c r="HX43" i="11"/>
  <c r="M43" i="11"/>
  <c r="JQ43" i="11"/>
  <c r="EZ43" i="11"/>
  <c r="IU44" i="11"/>
  <c r="DX43" i="11"/>
  <c r="FJ45" i="11"/>
  <c r="BB45" i="11"/>
  <c r="EC44" i="11"/>
  <c r="GZ45" i="11"/>
  <c r="CC43" i="11"/>
  <c r="AZ44" i="11"/>
  <c r="EA44" i="11"/>
  <c r="BQ44" i="11"/>
  <c r="JH44" i="11"/>
  <c r="HK43" i="11"/>
  <c r="IO44" i="11"/>
  <c r="JE45" i="11"/>
  <c r="CH45" i="11"/>
  <c r="DK43" i="11"/>
  <c r="KI43" i="11"/>
  <c r="CM45" i="11"/>
  <c r="CL44" i="11"/>
  <c r="HR44" i="11"/>
  <c r="EY45" i="11"/>
  <c r="JJ44" i="11"/>
  <c r="Y45" i="11"/>
  <c r="FT45" i="11"/>
  <c r="I43" i="11"/>
  <c r="GW43" i="11"/>
  <c r="U44" i="11"/>
  <c r="GQ43" i="11"/>
  <c r="S45" i="11"/>
  <c r="HF43" i="11"/>
  <c r="JB45" i="11"/>
  <c r="GJ44" i="11"/>
  <c r="HJ44" i="11"/>
  <c r="J43" i="11"/>
  <c r="DU43" i="11"/>
  <c r="AH43" i="11"/>
  <c r="FG44" i="11"/>
  <c r="EF44" i="11"/>
  <c r="BA45" i="11"/>
  <c r="BZ44" i="11"/>
  <c r="JT45" i="11"/>
  <c r="AT45" i="11"/>
  <c r="GG45" i="11"/>
  <c r="HN43" i="11"/>
  <c r="AL44" i="11"/>
  <c r="EB43" i="11"/>
  <c r="EO44" i="11"/>
  <c r="JN44" i="11"/>
  <c r="IK44" i="11"/>
  <c r="DD45" i="11"/>
  <c r="CJ45" i="11"/>
  <c r="HK45" i="11"/>
  <c r="JH45" i="11"/>
  <c r="GG43" i="11"/>
  <c r="JT43" i="11"/>
  <c r="FP43" i="11"/>
  <c r="AK43" i="11"/>
  <c r="HY43" i="11"/>
  <c r="JI43" i="11"/>
  <c r="JD43" i="11"/>
  <c r="JX43" i="11"/>
  <c r="Z43" i="11"/>
  <c r="ED44" i="11"/>
  <c r="HH44" i="11"/>
  <c r="JL43" i="11"/>
  <c r="BU45" i="11"/>
  <c r="BD45" i="11"/>
  <c r="JU43" i="11"/>
  <c r="DO43" i="11"/>
  <c r="W45" i="11"/>
  <c r="BB43" i="11"/>
  <c r="GT45" i="11"/>
  <c r="CS45" i="11"/>
  <c r="S44" i="11"/>
  <c r="AZ43" i="11"/>
  <c r="AC43" i="11"/>
  <c r="CJ44" i="11"/>
  <c r="EE44" i="11"/>
  <c r="C44" i="11"/>
  <c r="BF45" i="11"/>
  <c r="BR43" i="11"/>
  <c r="GF45" i="11"/>
  <c r="KE45" i="11"/>
  <c r="GC45" i="11"/>
  <c r="BV43" i="11"/>
  <c r="CV45" i="11"/>
  <c r="KC43" i="11"/>
  <c r="BH44" i="11"/>
  <c r="IX43" i="11"/>
  <c r="IA44" i="11"/>
  <c r="EM43" i="11"/>
  <c r="IL43" i="11"/>
  <c r="BL45" i="11"/>
  <c r="HX44" i="11"/>
  <c r="HP45" i="11"/>
  <c r="KF44" i="11"/>
  <c r="AH45" i="11"/>
  <c r="FY45" i="11"/>
  <c r="GK45" i="11"/>
  <c r="IW43" i="11"/>
  <c r="HW43" i="11"/>
  <c r="CL43" i="11"/>
  <c r="AK45" i="11"/>
  <c r="AC45" i="11"/>
  <c r="JV44" i="11"/>
  <c r="EJ45" i="11"/>
  <c r="IY43" i="11"/>
  <c r="EY44" i="11"/>
  <c r="AF43" i="11"/>
  <c r="IX45" i="11"/>
  <c r="IQ43" i="11"/>
  <c r="KK45" i="11"/>
  <c r="BQ43" i="11"/>
  <c r="JE43" i="11"/>
  <c r="KO43" i="11"/>
  <c r="G44" i="11"/>
  <c r="BK44" i="11"/>
  <c r="DG43" i="11"/>
  <c r="JB44" i="11"/>
  <c r="JD44" i="11"/>
  <c r="DN44" i="11"/>
  <c r="FS45" i="11"/>
  <c r="FE45" i="11"/>
  <c r="CU43" i="11"/>
  <c r="FF43" i="11"/>
  <c r="BC45" i="11"/>
  <c r="HP43" i="11"/>
  <c r="HZ45" i="11"/>
  <c r="FU45" i="11"/>
  <c r="EN44" i="11"/>
  <c r="HO43" i="11"/>
  <c r="DY43" i="11"/>
  <c r="DP44" i="11"/>
  <c r="HW44" i="11"/>
  <c r="BY44" i="11"/>
  <c r="CW45" i="11"/>
  <c r="IF43" i="11"/>
  <c r="JM45" i="11"/>
  <c r="FN43" i="11"/>
  <c r="HT45" i="11"/>
  <c r="JA43" i="11"/>
  <c r="KK43" i="11"/>
  <c r="U43" i="11"/>
  <c r="AV44" i="11"/>
  <c r="FC44" i="11"/>
  <c r="GN43" i="11"/>
  <c r="E45" i="11"/>
  <c r="AA43" i="11"/>
  <c r="HT44" i="11"/>
  <c r="KK44" i="11"/>
  <c r="IM45" i="11"/>
  <c r="FG43" i="11"/>
  <c r="IM43" i="11"/>
  <c r="CI45" i="11"/>
  <c r="EJ44" i="11"/>
  <c r="JF45" i="11"/>
  <c r="JC45" i="11"/>
  <c r="N45" i="11"/>
  <c r="CC44" i="11"/>
  <c r="JY43" i="11"/>
  <c r="AM43" i="11"/>
  <c r="JC44" i="11"/>
  <c r="GB44" i="11"/>
  <c r="EL45" i="11"/>
  <c r="CP44" i="11"/>
  <c r="EN43" i="11"/>
  <c r="AN44" i="11"/>
  <c r="JK45" i="11"/>
  <c r="CS44" i="11"/>
  <c r="JO45" i="11"/>
  <c r="BD43" i="11"/>
  <c r="DT44" i="11"/>
  <c r="AQ44" i="11"/>
  <c r="Y44" i="11"/>
  <c r="ID43" i="11"/>
  <c r="HM43" i="11"/>
  <c r="AB43" i="11"/>
  <c r="HO44" i="11"/>
  <c r="AQ43" i="11"/>
  <c r="CL45" i="11"/>
  <c r="IT44" i="11"/>
  <c r="JI45" i="11"/>
  <c r="FI45" i="11"/>
  <c r="Y43" i="11"/>
  <c r="JJ43" i="11"/>
  <c r="CU44" i="11"/>
  <c r="DR43" i="11"/>
  <c r="HQ44" i="11"/>
  <c r="AV43" i="11"/>
  <c r="KH43" i="11"/>
  <c r="HO45" i="11"/>
  <c r="FP45" i="11"/>
  <c r="AY43" i="11"/>
  <c r="IR43" i="11"/>
  <c r="AA45" i="11"/>
  <c r="T44" i="11"/>
  <c r="ID45" i="11"/>
  <c r="JP44" i="11"/>
  <c r="EL44" i="11"/>
  <c r="IF44" i="11"/>
  <c r="DU45" i="11"/>
  <c r="CF45" i="11"/>
  <c r="CK43" i="11"/>
  <c r="FR43" i="11"/>
  <c r="CI43" i="11"/>
  <c r="DC44" i="11"/>
  <c r="BK45" i="11"/>
  <c r="EP44" i="11"/>
  <c r="GK44" i="11"/>
  <c r="HB45" i="11"/>
  <c r="JB43" i="11"/>
  <c r="JX45" i="11"/>
  <c r="GI43" i="11"/>
  <c r="HY45" i="11"/>
  <c r="JF43" i="11"/>
  <c r="HC45" i="11"/>
  <c r="AM44" i="11"/>
  <c r="HG44" i="11"/>
  <c r="GJ43" i="11"/>
  <c r="GW44" i="11"/>
  <c r="GN44" i="11"/>
  <c r="ES45" i="11"/>
  <c r="FE43" i="11"/>
  <c r="EU43" i="11"/>
  <c r="DG45" i="11"/>
  <c r="IW44" i="11"/>
  <c r="FB44" i="11"/>
  <c r="DQ44" i="11"/>
  <c r="GM43" i="11"/>
  <c r="BI44" i="11"/>
  <c r="DF45" i="11"/>
  <c r="DO45" i="11"/>
  <c r="FX45" i="11"/>
  <c r="KI44" i="11"/>
  <c r="O44" i="11"/>
  <c r="GA45" i="11"/>
  <c r="HS43" i="11"/>
  <c r="EI44" i="11"/>
  <c r="BF43" i="11"/>
  <c r="CT44" i="11"/>
  <c r="IH45" i="11"/>
  <c r="JZ44" i="11"/>
  <c r="GW45" i="11"/>
  <c r="JP45" i="11"/>
  <c r="CT45" i="11"/>
  <c r="EF43" i="11"/>
  <c r="JS44" i="11"/>
  <c r="IR44" i="11"/>
  <c r="HW45" i="11"/>
  <c r="IK45" i="11"/>
  <c r="EL43" i="11"/>
  <c r="JW44" i="11"/>
  <c r="AP45" i="11"/>
  <c r="IG45" i="11"/>
  <c r="IQ45" i="11"/>
  <c r="E44" i="11"/>
  <c r="JC43" i="11"/>
  <c r="EX43" i="11"/>
  <c r="BQ45" i="11"/>
  <c r="KG45" i="11"/>
  <c r="AS45" i="11"/>
  <c r="GV45" i="11"/>
  <c r="KE43" i="11"/>
  <c r="FW44" i="11"/>
  <c r="CR43" i="11"/>
  <c r="JV45" i="11"/>
  <c r="BR44" i="11"/>
  <c r="CD45" i="11"/>
  <c r="DI43" i="11"/>
  <c r="CY43" i="11"/>
  <c r="BW45" i="11"/>
  <c r="HA44" i="11"/>
  <c r="Z44" i="11"/>
  <c r="IU43" i="11"/>
  <c r="AD44" i="11"/>
  <c r="Q44" i="11"/>
  <c r="JS43" i="11"/>
  <c r="GD43" i="11"/>
  <c r="CG45" i="11"/>
  <c r="FN44" i="11"/>
  <c r="BN45" i="11"/>
  <c r="IB45" i="11"/>
  <c r="II43" i="11"/>
  <c r="EM44" i="11"/>
  <c r="IS44" i="11"/>
  <c r="IL45" i="11"/>
  <c r="GE43" i="11"/>
  <c r="JU45" i="11"/>
  <c r="KJ45" i="11"/>
  <c r="JO44" i="11"/>
  <c r="FE44" i="11"/>
  <c r="EG44" i="11"/>
  <c r="DE45" i="11"/>
  <c r="EQ45" i="11"/>
  <c r="GZ43" i="11"/>
  <c r="IC43" i="11"/>
  <c r="KM43" i="11"/>
  <c r="GT44" i="11"/>
  <c r="FV44" i="11"/>
  <c r="FO45" i="11"/>
  <c r="HJ43" i="11"/>
  <c r="GM45" i="11"/>
  <c r="IZ44" i="11"/>
  <c r="W44" i="11"/>
  <c r="FO44" i="11"/>
  <c r="HT43" i="11"/>
  <c r="ET44" i="11"/>
  <c r="JN45" i="11"/>
  <c r="JF44" i="11"/>
  <c r="FU43" i="11"/>
  <c r="AV45" i="11"/>
  <c r="BT45" i="11"/>
  <c r="FZ44" i="11"/>
  <c r="HE44" i="11"/>
  <c r="IA43" i="11"/>
  <c r="EX44" i="11"/>
  <c r="GR45" i="11"/>
  <c r="CN44" i="11"/>
  <c r="GU44" i="11"/>
  <c r="N44" i="11"/>
  <c r="IB44" i="11"/>
  <c r="DZ44" i="11"/>
  <c r="DA45" i="11"/>
  <c r="BE44" i="11"/>
  <c r="EB45" i="11"/>
  <c r="JU44" i="11"/>
  <c r="CZ44" i="11"/>
  <c r="DC45" i="11"/>
  <c r="GH45" i="11"/>
  <c r="EV45" i="11"/>
  <c r="FD44" i="11"/>
  <c r="DD44" i="11"/>
  <c r="CV43" i="11"/>
  <c r="GL45" i="11"/>
  <c r="FG45" i="11"/>
  <c r="FY44" i="11"/>
  <c r="FW43" i="11"/>
  <c r="DG44" i="11"/>
  <c r="EV44" i="11"/>
  <c r="HF45" i="11"/>
  <c r="KI45" i="11"/>
  <c r="IE45" i="11"/>
  <c r="HM45" i="11"/>
  <c r="L43" i="11"/>
  <c r="G45" i="11"/>
  <c r="DJ44" i="11"/>
  <c r="AL45" i="11"/>
  <c r="HX45" i="11"/>
  <c r="JW45" i="11"/>
  <c r="M44" i="11"/>
  <c r="JN43" i="11"/>
  <c r="FS43" i="11"/>
  <c r="CB45" i="11"/>
  <c r="DX44" i="11"/>
  <c r="BH45" i="11"/>
  <c r="HQ45" i="11"/>
  <c r="GX43" i="11"/>
  <c r="DS44" i="11"/>
  <c r="FL44" i="11"/>
  <c r="HR45" i="11"/>
  <c r="CB43" i="11"/>
  <c r="IU45" i="11"/>
  <c r="II45" i="11"/>
  <c r="CR44" i="11"/>
  <c r="JK44" i="11"/>
  <c r="AP44" i="11"/>
  <c r="JY44" i="11"/>
  <c r="EF45" i="11"/>
  <c r="IA45" i="11"/>
  <c r="HC44" i="11"/>
  <c r="KD44" i="11"/>
  <c r="BK43" i="11"/>
  <c r="ES44" i="11"/>
  <c r="EA43" i="11"/>
  <c r="DV45" i="11"/>
  <c r="JL44" i="11"/>
  <c r="CB44" i="11"/>
  <c r="FM44" i="11"/>
  <c r="HH43" i="11"/>
  <c r="HM44" i="11"/>
  <c r="AO44" i="11"/>
  <c r="FR45" i="11"/>
  <c r="BI45" i="11"/>
  <c r="EO43" i="11"/>
  <c r="DZ43" i="11"/>
  <c r="KM44" i="11"/>
  <c r="GR44" i="11"/>
  <c r="U45" i="11"/>
  <c r="V45" i="11"/>
  <c r="FJ43" i="11"/>
  <c r="IP44" i="11"/>
  <c r="JL45" i="11"/>
  <c r="JY45" i="11"/>
  <c r="EP43" i="11"/>
  <c r="DE44" i="11"/>
  <c r="KJ44" i="11"/>
  <c r="DA44" i="11"/>
  <c r="FA45" i="11"/>
  <c r="IB43" i="11"/>
  <c r="DM44" i="11"/>
  <c r="KO44" i="11"/>
  <c r="KG44" i="11"/>
  <c r="FR44" i="11"/>
  <c r="BL44" i="11"/>
  <c r="IE44" i="11"/>
  <c r="IV43" i="11"/>
  <c r="IC44" i="11"/>
  <c r="M45" i="11"/>
  <c r="GE45" i="11"/>
  <c r="HA43" i="11"/>
  <c r="GA43" i="11"/>
  <c r="EE45" i="11"/>
  <c r="KC44" i="11"/>
  <c r="HN44" i="11"/>
  <c r="GD44" i="11"/>
  <c r="KL44" i="11"/>
  <c r="GR43" i="11"/>
  <c r="DO44" i="11"/>
  <c r="FF44" i="11"/>
  <c r="HN45" i="11"/>
  <c r="BG43" i="11"/>
  <c r="IO45" i="11"/>
  <c r="IC45" i="11"/>
  <c r="BX44" i="11"/>
  <c r="IQ44" i="11"/>
  <c r="KB43" i="11"/>
  <c r="IX44" i="11"/>
  <c r="BM45" i="11"/>
  <c r="GU45" i="11"/>
  <c r="ES43" i="11"/>
  <c r="EE43" i="11"/>
  <c r="CU45" i="11"/>
  <c r="IG44" i="11"/>
  <c r="DV44" i="11"/>
  <c r="BU44" i="11"/>
  <c r="EH44" i="11"/>
  <c r="GL44" i="11"/>
  <c r="IF45" i="11"/>
  <c r="EW43" i="11"/>
  <c r="K44" i="11"/>
  <c r="CW44" i="11"/>
  <c r="KO45" i="11"/>
  <c r="EQ44" i="11"/>
  <c r="KG43" i="11"/>
  <c r="GI44" i="11"/>
  <c r="BZ45" i="11"/>
  <c r="BO44" i="11"/>
  <c r="DS43" i="11"/>
  <c r="DT43" i="11"/>
  <c r="GH44" i="11"/>
  <c r="IJ43" i="11"/>
  <c r="C43" i="11"/>
  <c r="KN43" i="11"/>
  <c r="CQ45" i="11"/>
  <c r="FD43" i="11"/>
  <c r="EP45" i="11"/>
  <c r="DF44" i="11"/>
  <c r="EW44" i="11"/>
  <c r="ER45" i="11"/>
  <c r="DI44" i="11"/>
  <c r="FA43" i="11"/>
  <c r="CI44" i="11"/>
  <c r="BF44" i="11"/>
  <c r="ER44" i="11"/>
  <c r="GY45" i="11"/>
  <c r="JM43" i="11"/>
  <c r="CM44" i="11"/>
  <c r="BN44" i="11"/>
  <c r="AJ45" i="11"/>
  <c r="HD45" i="11"/>
  <c r="CO43" i="11"/>
  <c r="CN43" i="11"/>
  <c r="BO45" i="11"/>
  <c r="GP44" i="11"/>
  <c r="JW43" i="11"/>
  <c r="HD43" i="11"/>
  <c r="KA43" i="11"/>
  <c r="BZ43" i="11"/>
  <c r="AY44" i="11"/>
  <c r="AI44" i="11"/>
  <c r="EX45" i="11"/>
  <c r="ED45" i="11"/>
  <c r="FC45" i="11"/>
  <c r="X45" i="11"/>
  <c r="BT44" i="11"/>
  <c r="IM44" i="11"/>
  <c r="JR43" i="11"/>
  <c r="IN44" i="11"/>
  <c r="AX45" i="11"/>
  <c r="GO45" i="11"/>
  <c r="DM43" i="11"/>
  <c r="DD43" i="11"/>
  <c r="CA45" i="11"/>
  <c r="HF44" i="11"/>
  <c r="AT44" i="11"/>
  <c r="JP43" i="11"/>
  <c r="AW44" i="11"/>
  <c r="H43" i="11"/>
  <c r="F44" i="11"/>
  <c r="IE43" i="11"/>
  <c r="DH45" i="11"/>
  <c r="KB44" i="11"/>
  <c r="CX45" i="11"/>
  <c r="KC45" i="11"/>
  <c r="EN45" i="11"/>
  <c r="BC43" i="11"/>
  <c r="CY45" i="11"/>
  <c r="DM45" i="11"/>
  <c r="HL45" i="11"/>
  <c r="IP45" i="11"/>
  <c r="KA45" i="11"/>
  <c r="D45" i="11"/>
  <c r="BD44" i="11"/>
  <c r="AG43" i="11"/>
  <c r="DW45" i="11"/>
  <c r="CM43" i="11"/>
  <c r="GI45" i="11"/>
  <c r="AD43" i="11"/>
  <c r="FJ44" i="11"/>
  <c r="KF45" i="11"/>
  <c r="HK44" i="11"/>
  <c r="AW45" i="11"/>
  <c r="GK43" i="11"/>
  <c r="EA45" i="11"/>
  <c r="HD44" i="11"/>
  <c r="JQ44" i="11"/>
  <c r="DK44" i="11"/>
  <c r="HJ45" i="11"/>
  <c r="IJ45" i="11"/>
  <c r="R43" i="11"/>
  <c r="DR44" i="11"/>
  <c r="IN45" i="11"/>
  <c r="HI43" i="11"/>
  <c r="O43" i="11"/>
  <c r="IJ44" i="11"/>
  <c r="AN45" i="11"/>
  <c r="CA44" i="11"/>
  <c r="FZ45" i="11"/>
  <c r="GN45" i="11"/>
  <c r="CV44" i="11"/>
  <c r="IL44" i="11"/>
  <c r="GS45" i="11"/>
  <c r="E43" i="11"/>
  <c r="FY43" i="11"/>
  <c r="BS44" i="11"/>
  <c r="IK43" i="11"/>
  <c r="CG44" i="11"/>
  <c r="GS44" i="11"/>
  <c r="BP45" i="11"/>
  <c r="IT43" i="11"/>
  <c r="DR45" i="11"/>
  <c r="FC43" i="11"/>
  <c r="AU45" i="11"/>
  <c r="GX44" i="11"/>
  <c r="BT43" i="11"/>
  <c r="X44" i="11"/>
  <c r="DP45" i="11"/>
  <c r="KP44" i="11"/>
  <c r="II44" i="11"/>
  <c r="IH44" i="11"/>
  <c r="GJ45" i="11"/>
  <c r="GF43" i="11"/>
  <c r="KH44" i="11"/>
  <c r="GO44" i="11"/>
  <c r="CJ43" i="11"/>
  <c r="BA44" i="11"/>
  <c r="EZ45" i="11"/>
  <c r="BE45" i="11"/>
  <c r="GY44" i="11"/>
  <c r="GG44" i="11"/>
  <c r="EI45" i="11"/>
  <c r="AX44" i="11"/>
  <c r="CK44" i="11"/>
  <c r="CA43" i="11"/>
  <c r="AO43" i="11"/>
  <c r="BX43" i="11"/>
  <c r="HV44" i="11"/>
  <c r="DP43" i="11"/>
  <c r="BW43" i="11"/>
  <c r="GQ45" i="11"/>
  <c r="HU45" i="11"/>
  <c r="BH43" i="11"/>
  <c r="IT45" i="11"/>
  <c r="AL43" i="11"/>
  <c r="JK43" i="11"/>
  <c r="DB43" i="11"/>
  <c r="JZ43" i="11"/>
  <c r="CH43" i="11"/>
  <c r="BB44" i="11"/>
  <c r="CS43" i="11"/>
  <c r="BS45" i="11"/>
  <c r="D44" i="11"/>
  <c r="H44" i="11"/>
  <c r="BC44" i="11"/>
  <c r="FB45" i="11"/>
  <c r="FH45" i="11"/>
  <c r="KP43" i="11"/>
  <c r="DN43" i="11"/>
  <c r="CX44" i="11"/>
  <c r="AW43" i="11"/>
  <c r="AI45" i="11"/>
  <c r="DH43" i="11"/>
  <c r="DL43" i="11"/>
  <c r="EK45" i="11"/>
  <c r="N43" i="11"/>
  <c r="K43" i="11"/>
  <c r="CP43" i="11"/>
  <c r="HS44" i="11"/>
  <c r="Q45" i="11"/>
  <c r="AR43" i="11"/>
  <c r="AE44" i="11"/>
  <c r="AJ44" i="11"/>
  <c r="CQ43" i="11"/>
  <c r="P44" i="11"/>
  <c r="EY43" i="11"/>
  <c r="BI43" i="11"/>
  <c r="GU43" i="11"/>
  <c r="DT45" i="11"/>
  <c r="G43" i="11"/>
  <c r="DB44" i="11"/>
  <c r="HH45" i="11"/>
  <c r="I44" i="11"/>
  <c r="FH43" i="11"/>
  <c r="AE43" i="11"/>
  <c r="HG45" i="11"/>
  <c r="GA44" i="11"/>
  <c r="JZ45" i="11"/>
  <c r="CK45" i="11"/>
  <c r="W43" i="11"/>
  <c r="DY44" i="11"/>
  <c r="IY45" i="11"/>
  <c r="IO43" i="11"/>
  <c r="BP43" i="11"/>
  <c r="H45" i="11"/>
  <c r="DI45" i="11"/>
  <c r="BA43" i="11"/>
  <c r="IP43" i="11"/>
  <c r="AF45" i="11"/>
  <c r="IH43" i="11"/>
  <c r="FN45" i="11"/>
  <c r="CN45" i="11"/>
  <c r="HG43" i="11"/>
  <c r="JR44" i="11"/>
  <c r="DQ45" i="11"/>
  <c r="IV44" i="11"/>
  <c r="EU44" i="11"/>
  <c r="AD45" i="11"/>
  <c r="AI43" i="11"/>
  <c r="FP44" i="11"/>
  <c r="FD45" i="11"/>
  <c r="FV43" i="11"/>
  <c r="JX44" i="11"/>
  <c r="FT44" i="11"/>
  <c r="GB43" i="11"/>
  <c r="FA44" i="11"/>
  <c r="P43" i="11"/>
  <c r="HS45" i="11"/>
  <c r="K45" i="11"/>
  <c r="AR45" i="11"/>
  <c r="KB45" i="11"/>
  <c r="GL43" i="11"/>
  <c r="KN44" i="11"/>
  <c r="GZ44" i="11"/>
  <c r="DV43" i="11"/>
  <c r="CO44" i="11"/>
  <c r="HA45" i="11"/>
  <c r="DY45" i="11"/>
  <c r="AM45" i="11"/>
  <c r="I45" i="11"/>
  <c r="IN43" i="11"/>
  <c r="DK45" i="11"/>
  <c r="FX44" i="11"/>
  <c r="EM45" i="11"/>
  <c r="BW44" i="11"/>
  <c r="DB45" i="11"/>
  <c r="T43" i="11"/>
  <c r="JS45" i="11"/>
  <c r="AQ45" i="11"/>
  <c r="HV43" i="11"/>
  <c r="AR44" i="11"/>
  <c r="DX45" i="11"/>
  <c r="FX43" i="11"/>
  <c r="AU44" i="11"/>
  <c r="ET45" i="11"/>
  <c r="EW45" i="11"/>
  <c r="BP44" i="11"/>
  <c r="JG43" i="11"/>
  <c r="AG45" i="11"/>
  <c r="HE43" i="11"/>
  <c r="D43" i="11"/>
  <c r="HY44" i="11"/>
  <c r="T45" i="11"/>
  <c r="BG44" i="11"/>
  <c r="FF45" i="11"/>
  <c r="FM45" i="11"/>
  <c r="AB44" i="11"/>
  <c r="FO43" i="11"/>
  <c r="FH44" i="11"/>
  <c r="AH44" i="11"/>
  <c r="ED43" i="11"/>
  <c r="KN45" i="11"/>
  <c r="HR43" i="11"/>
  <c r="JG45" i="11"/>
  <c r="DJ45" i="11"/>
  <c r="HB44" i="11"/>
  <c r="BX45" i="11"/>
  <c r="CE43" i="11"/>
  <c r="GE44" i="11"/>
  <c r="EZ44" i="11"/>
  <c r="CE44" i="11"/>
  <c r="HZ44" i="11"/>
  <c r="BE43" i="11"/>
  <c r="FT43" i="11"/>
  <c r="JQ45" i="11"/>
  <c r="KJ43" i="11"/>
  <c r="O45" i="11"/>
  <c r="Z45" i="11"/>
  <c r="GD45" i="11"/>
  <c r="JG44" i="11"/>
  <c r="IZ43" i="11"/>
  <c r="EU45" i="11"/>
  <c r="CT43" i="11"/>
  <c r="AS44" i="11"/>
  <c r="KD45" i="11"/>
  <c r="AP43" i="11"/>
  <c r="IS43" i="11"/>
  <c r="AE45" i="11"/>
  <c r="V43" i="11"/>
  <c r="FL45" i="11"/>
  <c r="JH43" i="11"/>
  <c r="DC43" i="11"/>
  <c r="F43" i="11"/>
  <c r="JA44" i="11"/>
  <c r="R45" i="11"/>
  <c r="KH45" i="11"/>
  <c r="FV45" i="11"/>
  <c r="CF43" i="11"/>
  <c r="FS44" i="11"/>
  <c r="GV44" i="11"/>
  <c r="EO45" i="11"/>
  <c r="CZ45" i="11"/>
  <c r="FZ43" i="11"/>
  <c r="FK45" i="11"/>
  <c r="JT44" i="11"/>
  <c r="DL45" i="11"/>
  <c r="C45" i="11"/>
  <c r="BV45" i="11"/>
  <c r="CH44" i="11"/>
  <c r="KM45" i="11"/>
  <c r="GC44" i="11"/>
  <c r="JD45" i="11"/>
  <c r="CP45" i="11"/>
  <c r="V44" i="11"/>
  <c r="AB45" i="11"/>
  <c r="AZ45" i="11"/>
  <c r="Q43" i="11"/>
  <c r="HL43" i="11"/>
  <c r="EJ43" i="11"/>
  <c r="ER43" i="11"/>
  <c r="FI44" i="11"/>
  <c r="BN43" i="11"/>
  <c r="JR45" i="11"/>
  <c r="HZ43" i="11"/>
  <c r="AO45" i="11"/>
  <c r="EH43" i="11"/>
  <c r="AX43" i="11"/>
  <c r="BF32" i="11"/>
  <c r="JX32" i="11"/>
  <c r="AZ32" i="11"/>
  <c r="AT32" i="11"/>
  <c r="IU33" i="11"/>
  <c r="HC34" i="11"/>
  <c r="GY33" i="11"/>
  <c r="FN34" i="11"/>
  <c r="U32" i="11"/>
  <c r="IL32" i="11"/>
  <c r="HR33" i="11"/>
  <c r="EO33" i="11"/>
  <c r="HP33" i="11"/>
  <c r="AB32" i="11"/>
  <c r="BJ33" i="11"/>
  <c r="GG32" i="11"/>
  <c r="HN32" i="11"/>
  <c r="S34" i="11"/>
  <c r="DV32" i="11"/>
  <c r="JR33" i="11"/>
  <c r="HZ34" i="11"/>
  <c r="DB32" i="11"/>
  <c r="AF33" i="11"/>
  <c r="EH32" i="11"/>
  <c r="FA32" i="11"/>
  <c r="KE33" i="11"/>
  <c r="DI32" i="11"/>
  <c r="DV33" i="11"/>
  <c r="KP32" i="11"/>
  <c r="BO33" i="11"/>
  <c r="CE34" i="11"/>
  <c r="JQ32" i="11"/>
  <c r="AP34" i="11"/>
  <c r="KL34" i="11"/>
  <c r="BX32" i="11"/>
  <c r="CT33" i="11"/>
  <c r="IS32" i="11"/>
  <c r="H33" i="11"/>
  <c r="GP32" i="11"/>
  <c r="GH33" i="11"/>
  <c r="CS33" i="11"/>
  <c r="FT33" i="11"/>
  <c r="EQ34" i="11"/>
  <c r="DC33" i="11"/>
  <c r="DB34" i="11"/>
  <c r="L33" i="11"/>
  <c r="FE32" i="11"/>
  <c r="FF33" i="11"/>
  <c r="BH33" i="11"/>
  <c r="EA33" i="11"/>
  <c r="P32" i="11"/>
  <c r="HN33" i="11"/>
  <c r="HK33" i="11"/>
  <c r="FH33" i="11"/>
  <c r="EB33" i="11"/>
  <c r="GL33" i="11"/>
  <c r="FY33" i="11"/>
  <c r="HG34" i="11"/>
  <c r="HD33" i="11"/>
  <c r="FR34" i="11"/>
  <c r="Z32" i="11"/>
  <c r="IR32" i="11"/>
  <c r="HV33" i="11"/>
  <c r="EU33" i="11"/>
  <c r="HU33" i="11"/>
  <c r="GE34" i="11"/>
  <c r="FS33" i="11"/>
  <c r="EP34" i="11"/>
  <c r="FD33" i="11"/>
  <c r="FP32" i="11"/>
  <c r="FN33" i="11"/>
  <c r="BS33" i="11"/>
  <c r="EN33" i="11"/>
  <c r="DW34" i="11"/>
  <c r="BT33" i="11"/>
  <c r="CH34" i="11"/>
  <c r="HH32" i="11"/>
  <c r="BB32" i="11"/>
  <c r="CD33" i="11"/>
  <c r="HP32" i="11"/>
  <c r="JJ32" i="11"/>
  <c r="AM34" i="11"/>
  <c r="FQ32" i="11"/>
  <c r="KL33" i="11"/>
  <c r="IT34" i="11"/>
  <c r="CL32" i="11"/>
  <c r="P33" i="11"/>
  <c r="DL32" i="11"/>
  <c r="DX32" i="11"/>
  <c r="JS33" i="11"/>
  <c r="IA34" i="11"/>
  <c r="ID33" i="11"/>
  <c r="GL34" i="11"/>
  <c r="ET32" i="11"/>
  <c r="DG34" i="11"/>
  <c r="H34" i="11"/>
  <c r="EY33" i="11"/>
  <c r="AG33" i="11"/>
  <c r="GN34" i="11"/>
  <c r="EZ34" i="11"/>
  <c r="CE32" i="11"/>
  <c r="AT33" i="11"/>
  <c r="BT32" i="11"/>
  <c r="CB34" i="11"/>
  <c r="IO33" i="11"/>
  <c r="IS33" i="11"/>
  <c r="X32" i="11"/>
  <c r="JP32" i="11"/>
  <c r="JC32" i="11"/>
  <c r="GD33" i="11"/>
  <c r="CV33" i="11"/>
  <c r="EV34" i="11"/>
  <c r="U34" i="11"/>
  <c r="CS34" i="11"/>
  <c r="JT33" i="11"/>
  <c r="BU34" i="11"/>
  <c r="DO32" i="11"/>
  <c r="HI32" i="11"/>
  <c r="KH33" i="11"/>
  <c r="HP34" i="11"/>
  <c r="CO34" i="11"/>
  <c r="IG34" i="11"/>
  <c r="IY34" i="11"/>
  <c r="AE33" i="11"/>
  <c r="S33" i="11"/>
  <c r="ID32" i="11"/>
  <c r="F34" i="11"/>
  <c r="HX34" i="11"/>
  <c r="CW34" i="11"/>
  <c r="IR34" i="11"/>
  <c r="JT34" i="11"/>
  <c r="O33" i="11"/>
  <c r="C33" i="11"/>
  <c r="JN32" i="11"/>
  <c r="Z34" i="11"/>
  <c r="IF34" i="11"/>
  <c r="DE34" i="11"/>
  <c r="JC34" i="11"/>
  <c r="KO34" i="11"/>
  <c r="KM32" i="11"/>
  <c r="KA32" i="11"/>
  <c r="KJ32" i="11"/>
  <c r="AL34" i="11"/>
  <c r="IK34" i="11"/>
  <c r="DM34" i="11"/>
  <c r="JM34" i="11"/>
  <c r="BP32" i="11"/>
  <c r="JW32" i="11"/>
  <c r="JK32" i="11"/>
  <c r="FK33" i="11"/>
  <c r="EJ34" i="11"/>
  <c r="FF32" i="11"/>
  <c r="KG33" i="11"/>
  <c r="IM34" i="11"/>
  <c r="EI33" i="11"/>
  <c r="DT34" i="11"/>
  <c r="DR32" i="11"/>
  <c r="CW32" i="11"/>
  <c r="EB32" i="11"/>
  <c r="KA33" i="11"/>
  <c r="IL33" i="11"/>
  <c r="BL32" i="11"/>
  <c r="BJ32" i="11"/>
  <c r="IY33" i="11"/>
  <c r="AC32" i="11"/>
  <c r="IP33" i="11"/>
  <c r="GX34" i="11"/>
  <c r="BQ32" i="11"/>
  <c r="KH32" i="11"/>
  <c r="BU32" i="11"/>
  <c r="BY32" i="11"/>
  <c r="JC33" i="11"/>
  <c r="HK34" i="11"/>
  <c r="HI33" i="11"/>
  <c r="FV34" i="11"/>
  <c r="IJ33" i="11"/>
  <c r="HF32" i="11"/>
  <c r="GT33" i="11"/>
  <c r="DI33" i="11"/>
  <c r="GJ33" i="11"/>
  <c r="FC34" i="11"/>
  <c r="DX33" i="11"/>
  <c r="DN34" i="11"/>
  <c r="BI33" i="11"/>
  <c r="CS32" i="11"/>
  <c r="DJ33" i="11"/>
  <c r="JU32" i="11"/>
  <c r="AS33" i="11"/>
  <c r="BS34" i="11"/>
  <c r="IO32" i="11"/>
  <c r="AD34" i="11"/>
  <c r="JZ34" i="11"/>
  <c r="Q32" i="11"/>
  <c r="BB33" i="11"/>
  <c r="FR32" i="11"/>
  <c r="GW32" i="11"/>
  <c r="K34" i="11"/>
  <c r="CV32" i="11"/>
  <c r="JJ33" i="11"/>
  <c r="HR34" i="11"/>
  <c r="U33" i="11"/>
  <c r="IE34" i="11"/>
  <c r="BT34" i="11"/>
  <c r="IG33" i="11"/>
  <c r="IC33" i="11"/>
  <c r="KJ34" i="11"/>
  <c r="GR32" i="11"/>
  <c r="JS32" i="11"/>
  <c r="FR33" i="11"/>
  <c r="CA33" i="11"/>
  <c r="EN34" i="11"/>
  <c r="M34" i="11"/>
  <c r="CC34" i="11"/>
  <c r="IN33" i="11"/>
  <c r="AO34" i="11"/>
  <c r="EE32" i="11"/>
  <c r="FY32" i="11"/>
  <c r="JN33" i="11"/>
  <c r="HH34" i="11"/>
  <c r="CG34" i="11"/>
  <c r="HQ34" i="11"/>
  <c r="IB34" i="11"/>
  <c r="KN34" i="11"/>
  <c r="AI33" i="11"/>
  <c r="DO33" i="11"/>
  <c r="DR34" i="11"/>
  <c r="JL34" i="11"/>
  <c r="FA34" i="11"/>
  <c r="ES32" i="11"/>
  <c r="EC33" i="11"/>
  <c r="GU32" i="11"/>
  <c r="GI32" i="11"/>
  <c r="EE33" i="11"/>
  <c r="ED34" i="11"/>
  <c r="JQ34" i="11"/>
  <c r="FI34" i="11"/>
  <c r="GD32" i="11"/>
  <c r="GB33" i="11"/>
  <c r="GE32" i="11"/>
  <c r="FS32" i="11"/>
  <c r="FE33" i="11"/>
  <c r="EX34" i="11"/>
  <c r="JW34" i="11"/>
  <c r="FQ34" i="11"/>
  <c r="HR32" i="11"/>
  <c r="HS33" i="11"/>
  <c r="FO32" i="11"/>
  <c r="FC32" i="11"/>
  <c r="AH32" i="11"/>
  <c r="FJ34" i="11"/>
  <c r="KB34" i="11"/>
  <c r="FY34" i="11"/>
  <c r="JD32" i="11"/>
  <c r="JA33" i="11"/>
  <c r="EY32" i="11"/>
  <c r="EM32" i="11"/>
  <c r="JQ33" i="11"/>
  <c r="HY34" i="11"/>
  <c r="JG32" i="11"/>
  <c r="EI32" i="11"/>
  <c r="K32" i="11"/>
  <c r="HS32" i="11"/>
  <c r="CU32" i="11"/>
  <c r="KI32" i="11"/>
  <c r="BR32" i="11"/>
  <c r="IK32" i="11"/>
  <c r="AY34" i="11"/>
  <c r="J34" i="11"/>
  <c r="AG32" i="11"/>
  <c r="GN32" i="11"/>
  <c r="W34" i="11"/>
  <c r="EF32" i="11"/>
  <c r="JV33" i="11"/>
  <c r="ID34" i="11"/>
  <c r="DH32" i="11"/>
  <c r="AK33" i="11"/>
  <c r="EP32" i="11"/>
  <c r="FI32" i="11"/>
  <c r="KI33" i="11"/>
  <c r="AS32" i="11"/>
  <c r="IT33" i="11"/>
  <c r="HB34" i="11"/>
  <c r="AF32" i="11"/>
  <c r="IW32" i="11"/>
  <c r="HZ33" i="11"/>
  <c r="EZ33" i="11"/>
  <c r="IA33" i="11"/>
  <c r="GI34" i="11"/>
  <c r="FX33" i="11"/>
  <c r="ET34" i="11"/>
  <c r="FP33" i="11"/>
  <c r="EJ32" i="11"/>
  <c r="EP33" i="11"/>
  <c r="AL33" i="11"/>
  <c r="CW33" i="11"/>
  <c r="CY34" i="11"/>
  <c r="Y33" i="11"/>
  <c r="BJ34" i="11"/>
  <c r="CO32" i="11"/>
  <c r="BH32" i="11"/>
  <c r="CH33" i="11"/>
  <c r="HX32" i="11"/>
  <c r="JT32" i="11"/>
  <c r="AQ34" i="11"/>
  <c r="GB32" i="11"/>
  <c r="KP33" i="11"/>
  <c r="IX34" i="11"/>
  <c r="EX33" i="11"/>
  <c r="AQ33" i="11"/>
  <c r="EF34" i="11"/>
  <c r="E34" i="11"/>
  <c r="BM34" i="11"/>
  <c r="HA33" i="11"/>
  <c r="I34" i="11"/>
  <c r="EU32" i="11"/>
  <c r="FD32" i="11"/>
  <c r="JB33" i="11"/>
  <c r="GZ34" i="11"/>
  <c r="BY34" i="11"/>
  <c r="HA34" i="11"/>
  <c r="GV34" i="11"/>
  <c r="JS34" i="11"/>
  <c r="G32" i="11"/>
  <c r="CN33" i="11"/>
  <c r="CX34" i="11"/>
  <c r="JG34" i="11"/>
  <c r="ES34" i="11"/>
  <c r="DE32" i="11"/>
  <c r="BY33" i="11"/>
  <c r="HK32" i="11"/>
  <c r="GY32" i="11"/>
  <c r="JA32" i="11"/>
  <c r="IP34" i="11"/>
  <c r="CD32" i="11"/>
  <c r="HM34" i="11"/>
  <c r="DU33" i="11"/>
  <c r="DQ34" i="11"/>
  <c r="BW32" i="11"/>
  <c r="BK32" i="11"/>
  <c r="KD32" i="11"/>
  <c r="JB34" i="11"/>
  <c r="DF32" i="11"/>
  <c r="HU34" i="11"/>
  <c r="EW33" i="11"/>
  <c r="EW34" i="11"/>
  <c r="BG32" i="11"/>
  <c r="AU32" i="11"/>
  <c r="AJ33" i="11"/>
  <c r="JV34" i="11"/>
  <c r="EC32" i="11"/>
  <c r="IC34" i="11"/>
  <c r="FU33" i="11"/>
  <c r="GC34" i="11"/>
  <c r="AQ32" i="11"/>
  <c r="AE32" i="11"/>
  <c r="BG33" i="11"/>
  <c r="KH34" i="11"/>
  <c r="EV32" i="11"/>
  <c r="IJ34" i="11"/>
  <c r="GQ33" i="11"/>
  <c r="HI34" i="11"/>
  <c r="AA32" i="11"/>
  <c r="O32" i="11"/>
  <c r="FK32" i="11"/>
  <c r="AM32" i="11"/>
  <c r="IU32" i="11"/>
  <c r="DW32" i="11"/>
  <c r="CB32" i="11"/>
  <c r="ED32" i="11"/>
  <c r="E33" i="11"/>
  <c r="EZ32" i="11"/>
  <c r="BC33" i="11"/>
  <c r="DK34" i="11"/>
  <c r="BV34" i="11"/>
  <c r="DN32" i="11"/>
  <c r="I33" i="11"/>
  <c r="BC34" i="11"/>
  <c r="HD32" i="11"/>
  <c r="N34" i="11"/>
  <c r="JJ34" i="11"/>
  <c r="AL32" i="11"/>
  <c r="BR33" i="11"/>
  <c r="GT32" i="11"/>
  <c r="IH32" i="11"/>
  <c r="AA34" i="11"/>
  <c r="EN32" i="11"/>
  <c r="JZ33" i="11"/>
  <c r="IH34" i="11"/>
  <c r="BV32" i="11"/>
  <c r="KN32" i="11"/>
  <c r="CF32" i="11"/>
  <c r="CK32" i="11"/>
  <c r="JG33" i="11"/>
  <c r="HO34" i="11"/>
  <c r="HO33" i="11"/>
  <c r="FZ34" i="11"/>
  <c r="IR33" i="11"/>
  <c r="FZ32" i="11"/>
  <c r="FV33" i="11"/>
  <c r="CC33" i="11"/>
  <c r="FC33" i="11"/>
  <c r="EE34" i="11"/>
  <c r="CG33" i="11"/>
  <c r="CP34" i="11"/>
  <c r="IT32" i="11"/>
  <c r="CX32" i="11"/>
  <c r="DN33" i="11"/>
  <c r="KB32" i="11"/>
  <c r="AZ33" i="11"/>
  <c r="BW34" i="11"/>
  <c r="IX32" i="11"/>
  <c r="AH34" i="11"/>
  <c r="KD34" i="11"/>
  <c r="DU32" i="11"/>
  <c r="IH33" i="11"/>
  <c r="GR34" i="11"/>
  <c r="BQ34" i="11"/>
  <c r="GK34" i="11"/>
  <c r="FP34" i="11"/>
  <c r="IW34" i="11"/>
  <c r="W32" i="11"/>
  <c r="BX33" i="11"/>
  <c r="CL34" i="11"/>
  <c r="JA34" i="11"/>
  <c r="EK34" i="11"/>
  <c r="AX32" i="11"/>
  <c r="M33" i="11"/>
  <c r="IA32" i="11"/>
  <c r="HO32" i="11"/>
  <c r="HE32" i="11"/>
  <c r="HV34" i="11"/>
  <c r="BD32" i="11"/>
  <c r="HE34" i="11"/>
  <c r="CR33" i="11"/>
  <c r="CK34" i="11"/>
  <c r="CM32" i="11"/>
  <c r="CA32" i="11"/>
  <c r="GO33" i="11"/>
  <c r="BW33" i="11"/>
  <c r="IN32" i="11"/>
  <c r="JK34" i="11"/>
  <c r="KB33" i="11"/>
  <c r="FM32" i="11"/>
  <c r="KE32" i="11"/>
  <c r="J32" i="11"/>
  <c r="HE33" i="11"/>
  <c r="DM33" i="11"/>
  <c r="JE32" i="11"/>
  <c r="JP34" i="11"/>
  <c r="D34" i="11"/>
  <c r="IJ32" i="11"/>
  <c r="JO32" i="11"/>
  <c r="AK32" i="11"/>
  <c r="IE33" i="11"/>
  <c r="GA33" i="11"/>
  <c r="JY32" i="11"/>
  <c r="JU34" i="11"/>
  <c r="T34" i="11"/>
  <c r="T33" i="11"/>
  <c r="IY32" i="11"/>
  <c r="BA32" i="11"/>
  <c r="IQ33" i="11"/>
  <c r="GV33" i="11"/>
  <c r="D33" i="11"/>
  <c r="KA34" i="11"/>
  <c r="AJ34" i="11"/>
  <c r="CE33" i="11"/>
  <c r="II32" i="11"/>
  <c r="EL33" i="11"/>
  <c r="CP32" i="11"/>
  <c r="AD33" i="11"/>
  <c r="CZ32" i="11"/>
  <c r="CQ33" i="11"/>
  <c r="JK33" i="11"/>
  <c r="CU34" i="11"/>
  <c r="HS34" i="11"/>
  <c r="IG32" i="11"/>
  <c r="EJ33" i="11"/>
  <c r="FW34" i="11"/>
  <c r="EH34" i="11"/>
  <c r="GV32" i="11"/>
  <c r="CY33" i="11"/>
  <c r="CI34" i="11"/>
  <c r="JZ32" i="11"/>
  <c r="AT34" i="11"/>
  <c r="KP34" i="11"/>
  <c r="CC32" i="11"/>
  <c r="CX33" i="11"/>
  <c r="IZ32" i="11"/>
  <c r="R33" i="11"/>
  <c r="BG34" i="11"/>
  <c r="HM32" i="11"/>
  <c r="R34" i="11"/>
  <c r="JN34" i="11"/>
  <c r="DM32" i="11"/>
  <c r="AP33" i="11"/>
  <c r="EW32" i="11"/>
  <c r="FT32" i="11"/>
  <c r="KM33" i="11"/>
  <c r="BE32" i="11"/>
  <c r="IX33" i="11"/>
  <c r="HF34" i="11"/>
  <c r="C32" i="11"/>
  <c r="HQ32" i="11"/>
  <c r="HB33" i="11"/>
  <c r="DT33" i="11"/>
  <c r="GU33" i="11"/>
  <c r="FK34" i="11"/>
  <c r="EM33" i="11"/>
  <c r="DV34" i="11"/>
  <c r="CK33" i="11"/>
  <c r="EO32" i="11"/>
  <c r="ET33" i="11"/>
  <c r="AR33" i="11"/>
  <c r="DE33" i="11"/>
  <c r="DC34" i="11"/>
  <c r="AH33" i="11"/>
  <c r="Z33" i="11"/>
  <c r="ER32" i="11"/>
  <c r="N32" i="11"/>
  <c r="GT34" i="11"/>
  <c r="KC32" i="11"/>
  <c r="BI32" i="11"/>
  <c r="DO34" i="11"/>
  <c r="BE33" i="11"/>
  <c r="BZ34" i="11"/>
  <c r="FV32" i="11"/>
  <c r="DT32" i="11"/>
  <c r="ED33" i="11"/>
  <c r="Q33" i="11"/>
  <c r="CB33" i="11"/>
  <c r="CM34" i="11"/>
  <c r="KK32" i="11"/>
  <c r="AX34" i="11"/>
  <c r="H32" i="11"/>
  <c r="AR32" i="11"/>
  <c r="BV33" i="11"/>
  <c r="HB32" i="11"/>
  <c r="IP32" i="11"/>
  <c r="AE34" i="11"/>
  <c r="EX32" i="11"/>
  <c r="KD33" i="11"/>
  <c r="IL34" i="11"/>
  <c r="AP32" i="11"/>
  <c r="JH32" i="11"/>
  <c r="T32" i="11"/>
  <c r="D32" i="11"/>
  <c r="II33" i="11"/>
  <c r="GQ34" i="11"/>
  <c r="GI33" i="11"/>
  <c r="FB34" i="11"/>
  <c r="GK33" i="11"/>
  <c r="GF32" i="11"/>
  <c r="FZ33" i="11"/>
  <c r="CI33" i="11"/>
  <c r="FI33" i="11"/>
  <c r="EI34" i="11"/>
  <c r="CO33" i="11"/>
  <c r="CT34" i="11"/>
  <c r="JL32" i="11"/>
  <c r="EG32" i="11"/>
  <c r="GP34" i="11"/>
  <c r="KM34" i="11"/>
  <c r="GO34" i="11"/>
  <c r="AN33" i="11"/>
  <c r="Y34" i="11"/>
  <c r="DS32" i="11"/>
  <c r="DG32" i="11"/>
  <c r="EV33" i="11"/>
  <c r="HZ32" i="11"/>
  <c r="GZ32" i="11"/>
  <c r="IZ34" i="11"/>
  <c r="IV33" i="11"/>
  <c r="KC34" i="11"/>
  <c r="W33" i="11"/>
  <c r="V32" i="11"/>
  <c r="O34" i="11"/>
  <c r="IZ33" i="11"/>
  <c r="BQ33" i="11"/>
  <c r="CT32" i="11"/>
  <c r="CV34" i="11"/>
  <c r="JD33" i="11"/>
  <c r="FW32" i="11"/>
  <c r="HL32" i="11"/>
  <c r="FG34" i="11"/>
  <c r="AF34" i="11"/>
  <c r="GG33" i="11"/>
  <c r="DP33" i="11"/>
  <c r="II34" i="11"/>
  <c r="IN34" i="11"/>
  <c r="AI32" i="11"/>
  <c r="IB32" i="11"/>
  <c r="FS34" i="11"/>
  <c r="AN34" i="11"/>
  <c r="GR33" i="11"/>
  <c r="ER33" i="11"/>
  <c r="IS34" i="11"/>
  <c r="JI34" i="11"/>
  <c r="S32" i="11"/>
  <c r="JB32" i="11"/>
  <c r="GM34" i="11"/>
  <c r="AV34" i="11"/>
  <c r="HC33" i="11"/>
  <c r="FQ33" i="11"/>
  <c r="JD34" i="11"/>
  <c r="KE34" i="11"/>
  <c r="AA33" i="11"/>
  <c r="JR32" i="11"/>
  <c r="GY34" i="11"/>
  <c r="BD34" i="11"/>
  <c r="HM33" i="11"/>
  <c r="GM33" i="11"/>
  <c r="JO34" i="11"/>
  <c r="M32" i="11"/>
  <c r="K33" i="11"/>
  <c r="DX34" i="11"/>
  <c r="GJ34" i="11"/>
  <c r="IQ34" i="11"/>
  <c r="KG34" i="11"/>
  <c r="FN32" i="11"/>
  <c r="V33" i="11"/>
  <c r="EK33" i="11"/>
  <c r="HX33" i="11"/>
  <c r="GS32" i="11"/>
  <c r="EU34" i="11"/>
  <c r="FJ32" i="11"/>
  <c r="DS34" i="11"/>
  <c r="CH32" i="11"/>
  <c r="BK34" i="11"/>
  <c r="CG32" i="11"/>
  <c r="JO33" i="11"/>
  <c r="E32" i="11"/>
  <c r="GZ33" i="11"/>
  <c r="FF34" i="11"/>
  <c r="EK32" i="11"/>
  <c r="KI34" i="11"/>
  <c r="HC32" i="11"/>
  <c r="IB33" i="11"/>
  <c r="BP33" i="11"/>
  <c r="BO32" i="11"/>
  <c r="X34" i="11"/>
  <c r="JL33" i="11"/>
  <c r="IM32" i="11"/>
  <c r="CR34" i="11"/>
  <c r="DL34" i="11"/>
  <c r="CY32" i="11"/>
  <c r="CZ34" i="11"/>
  <c r="EB34" i="11"/>
  <c r="CI32" i="11"/>
  <c r="DH34" i="11"/>
  <c r="ER34" i="11"/>
  <c r="BS32" i="11"/>
  <c r="DP34" i="11"/>
  <c r="FH34" i="11"/>
  <c r="BC32" i="11"/>
  <c r="DU34" i="11"/>
  <c r="HG33" i="11"/>
  <c r="JY34" i="11"/>
  <c r="AY33" i="11"/>
  <c r="GA34" i="11"/>
  <c r="HA32" i="11"/>
  <c r="EY34" i="11"/>
  <c r="DY32" i="11"/>
  <c r="CQ34" i="11"/>
  <c r="L32" i="11"/>
  <c r="G34" i="11"/>
  <c r="AV32" i="11"/>
  <c r="IM33" i="11"/>
  <c r="DQ32" i="11"/>
  <c r="HQ33" i="11"/>
  <c r="IF33" i="11"/>
  <c r="IE32" i="11"/>
  <c r="P34" i="11"/>
  <c r="CF34" i="11"/>
  <c r="CQ32" i="11"/>
  <c r="CJ34" i="11"/>
  <c r="HT34" i="11"/>
  <c r="AW32" i="11"/>
  <c r="FD34" i="11"/>
  <c r="GX32" i="11"/>
  <c r="BM32" i="11"/>
  <c r="FL34" i="11"/>
  <c r="JV32" i="11"/>
  <c r="CN32" i="11"/>
  <c r="FT34" i="11"/>
  <c r="BA33" i="11"/>
  <c r="DD32" i="11"/>
  <c r="GB34" i="11"/>
  <c r="DG33" i="11"/>
  <c r="N33" i="11"/>
  <c r="JX34" i="11"/>
  <c r="KF34" i="11"/>
  <c r="JF34" i="11"/>
  <c r="DK33" i="11"/>
  <c r="FJ33" i="11"/>
  <c r="BL33" i="11"/>
  <c r="DB33" i="11"/>
  <c r="HU32" i="11"/>
  <c r="J33" i="11"/>
  <c r="HW34" i="11"/>
  <c r="HV32" i="11"/>
  <c r="FO34" i="11"/>
  <c r="CZ33" i="11"/>
  <c r="IV34" i="11"/>
  <c r="BP34" i="11"/>
  <c r="F32" i="11"/>
  <c r="Y32" i="11"/>
  <c r="HD34" i="11"/>
  <c r="GK32" i="11"/>
  <c r="HT32" i="11"/>
  <c r="DZ32" i="11"/>
  <c r="BZ33" i="11"/>
  <c r="CF33" i="11"/>
  <c r="L34" i="11"/>
  <c r="CL33" i="11"/>
  <c r="CU33" i="11"/>
  <c r="AR34" i="11"/>
  <c r="DF33" i="11"/>
  <c r="DH33" i="11"/>
  <c r="BX34" i="11"/>
  <c r="DR33" i="11"/>
  <c r="DW33" i="11"/>
  <c r="DD34" i="11"/>
  <c r="KK33" i="11"/>
  <c r="GD34" i="11"/>
  <c r="AZ34" i="11"/>
  <c r="FB32" i="11"/>
  <c r="FM33" i="11"/>
  <c r="GP33" i="11"/>
  <c r="DQ33" i="11"/>
  <c r="EH33" i="11"/>
  <c r="F33" i="11"/>
  <c r="AX33" i="11"/>
  <c r="CJ32" i="11"/>
  <c r="JM32" i="11"/>
  <c r="GU34" i="11"/>
  <c r="CR32" i="11"/>
  <c r="GH32" i="11"/>
  <c r="IC32" i="11"/>
  <c r="FU32" i="11"/>
  <c r="BD33" i="11"/>
  <c r="BE34" i="11"/>
  <c r="BF33" i="11"/>
  <c r="FW33" i="11"/>
  <c r="BZ32" i="11"/>
  <c r="GX33" i="11"/>
  <c r="JE33" i="11"/>
  <c r="KJ33" i="11"/>
  <c r="HJ33" i="11"/>
  <c r="JM33" i="11"/>
  <c r="AB34" i="11"/>
  <c r="I32" i="11"/>
  <c r="JU33" i="11"/>
  <c r="BH34" i="11"/>
  <c r="AO32" i="11"/>
  <c r="KC33" i="11"/>
  <c r="CN34" i="11"/>
  <c r="AW34" i="11"/>
  <c r="GG34" i="11"/>
  <c r="KN33" i="11"/>
  <c r="CP33" i="11"/>
  <c r="BN33" i="11"/>
  <c r="DF34" i="11"/>
  <c r="BM33" i="11"/>
  <c r="CD34" i="11"/>
  <c r="JF32" i="11"/>
  <c r="V34" i="11"/>
  <c r="DA32" i="11"/>
  <c r="HY33" i="11"/>
  <c r="HF33" i="11"/>
  <c r="ES33" i="11"/>
  <c r="AW33" i="11"/>
  <c r="AO33" i="11"/>
  <c r="JH34" i="11"/>
  <c r="GC32" i="11"/>
  <c r="FL33" i="11"/>
  <c r="HW33" i="11"/>
  <c r="FO33" i="11"/>
  <c r="IW33" i="11"/>
  <c r="HL34" i="11"/>
  <c r="AI34" i="11"/>
  <c r="AC34" i="11"/>
  <c r="DA33" i="11"/>
  <c r="AU34" i="11"/>
  <c r="AK34" i="11"/>
  <c r="FG33" i="11"/>
  <c r="BO34" i="11"/>
  <c r="AS34" i="11"/>
  <c r="GW33" i="11"/>
  <c r="CA34" i="11"/>
  <c r="BA34" i="11"/>
  <c r="IK33" i="11"/>
  <c r="HT33" i="11"/>
  <c r="KO32" i="11"/>
  <c r="KG32" i="11"/>
  <c r="FB33" i="11"/>
  <c r="DZ33" i="11"/>
  <c r="EL34" i="11"/>
  <c r="DD33" i="11"/>
  <c r="DJ34" i="11"/>
  <c r="X33" i="11"/>
  <c r="BB34" i="11"/>
  <c r="FL32" i="11"/>
  <c r="JF33" i="11"/>
  <c r="AD32" i="11"/>
  <c r="GN33" i="11"/>
  <c r="DL33" i="11"/>
  <c r="EC34" i="11"/>
  <c r="GF33" i="11"/>
  <c r="C34" i="11"/>
  <c r="GW34" i="11"/>
  <c r="GF34" i="11"/>
  <c r="EM34" i="11"/>
  <c r="JE34" i="11"/>
  <c r="AV33" i="11"/>
  <c r="FH32" i="11"/>
  <c r="EL32" i="11"/>
  <c r="DA34" i="11"/>
  <c r="GJ32" i="11"/>
  <c r="FX32" i="11"/>
  <c r="EG34" i="11"/>
  <c r="IF32" i="11"/>
  <c r="HJ32" i="11"/>
  <c r="FM34" i="11"/>
  <c r="JI32" i="11"/>
  <c r="IV32" i="11"/>
  <c r="GS34" i="11"/>
  <c r="BI34" i="11"/>
  <c r="BN32" i="11"/>
  <c r="FX34" i="11"/>
  <c r="DS33" i="11"/>
  <c r="BU33" i="11"/>
  <c r="EQ33" i="11"/>
  <c r="GE33" i="11"/>
  <c r="AU33" i="11"/>
  <c r="CJ33" i="11"/>
  <c r="AJ32" i="11"/>
  <c r="GL32" i="11"/>
  <c r="HN34" i="11"/>
  <c r="R32" i="11"/>
  <c r="DZ34" i="11"/>
  <c r="BR34" i="11"/>
  <c r="KK34" i="11"/>
  <c r="AM33" i="11"/>
  <c r="HJ34" i="11"/>
  <c r="BK33" i="11"/>
  <c r="GM32" i="11"/>
  <c r="KF32" i="11"/>
  <c r="JI33" i="11"/>
  <c r="AY32" i="11"/>
  <c r="JH33" i="11"/>
  <c r="DI34" i="11"/>
  <c r="HW32" i="11"/>
  <c r="JP33" i="11"/>
  <c r="DY34" i="11"/>
  <c r="HG32" i="11"/>
  <c r="JX33" i="11"/>
  <c r="EO34" i="11"/>
  <c r="GQ32" i="11"/>
  <c r="KF33" i="11"/>
  <c r="FE34" i="11"/>
  <c r="GA32" i="11"/>
  <c r="BF34" i="11"/>
  <c r="HL33" i="11"/>
  <c r="HH33" i="11"/>
  <c r="KL32" i="11"/>
  <c r="GH34" i="11"/>
  <c r="DC32" i="11"/>
  <c r="KO33" i="11"/>
  <c r="FU34" i="11"/>
  <c r="HY32" i="11"/>
  <c r="DY33" i="11"/>
  <c r="DJ32" i="11"/>
  <c r="EQ32" i="11"/>
  <c r="IO34" i="11"/>
  <c r="AC33" i="11"/>
  <c r="BN34" i="11"/>
  <c r="CM33" i="11"/>
  <c r="GC33" i="11"/>
  <c r="BL34" i="11"/>
  <c r="EG33" i="11"/>
  <c r="JW33" i="11"/>
  <c r="G33" i="11"/>
  <c r="Q34" i="11"/>
  <c r="GO32" i="11"/>
  <c r="IU34" i="11"/>
  <c r="EF33" i="11"/>
  <c r="EA32" i="11"/>
  <c r="AB33" i="11"/>
  <c r="IQ32" i="11"/>
  <c r="JY33" i="11"/>
  <c r="GS33" i="11"/>
  <c r="DP32" i="11"/>
  <c r="AN32" i="11"/>
  <c r="FA33" i="11"/>
  <c r="DK32" i="11"/>
  <c r="JR34" i="11"/>
  <c r="EA34" i="11"/>
  <c r="FG32" i="11"/>
  <c r="AG34" i="11"/>
  <c r="IQ60" i="11"/>
  <c r="HS61" i="11"/>
  <c r="BW60" i="11"/>
  <c r="HF60" i="11"/>
  <c r="IP61" i="11"/>
  <c r="EY60" i="11"/>
  <c r="ID60" i="11"/>
  <c r="CZ61" i="11"/>
  <c r="FX61" i="11"/>
  <c r="FS61" i="11"/>
  <c r="CI61" i="11"/>
  <c r="FR61" i="11"/>
  <c r="IJ60" i="11"/>
  <c r="AP61" i="11"/>
  <c r="IB61" i="11"/>
  <c r="CC59" i="11"/>
  <c r="KA59" i="11"/>
  <c r="FP61" i="11"/>
  <c r="BS61" i="11"/>
  <c r="EE59" i="11"/>
  <c r="EU61" i="11"/>
  <c r="AX61" i="11"/>
  <c r="FD60" i="11"/>
  <c r="ER61" i="11"/>
  <c r="BP61" i="11"/>
  <c r="HL60" i="11"/>
  <c r="DW61" i="11"/>
  <c r="CH61" i="11"/>
  <c r="FN59" i="11"/>
  <c r="GY60" i="11"/>
  <c r="FW61" i="11"/>
  <c r="CG59" i="11"/>
  <c r="FX60" i="11"/>
  <c r="GZ60" i="11"/>
  <c r="FO60" i="11"/>
  <c r="AU60" i="11"/>
  <c r="BR59" i="11"/>
  <c r="GY61" i="11"/>
  <c r="AY60" i="11"/>
  <c r="HH60" i="11"/>
  <c r="S61" i="11"/>
  <c r="DB61" i="11"/>
  <c r="EB61" i="11"/>
  <c r="BN61" i="11"/>
  <c r="AQ60" i="11"/>
  <c r="AJ61" i="11"/>
  <c r="EA60" i="11"/>
  <c r="GR60" i="11"/>
  <c r="KH60" i="11"/>
  <c r="DA60" i="11"/>
  <c r="FW60" i="11"/>
  <c r="GJ60" i="11"/>
  <c r="BF61" i="11"/>
  <c r="CQ59" i="11"/>
  <c r="S60" i="11"/>
  <c r="Z60" i="11"/>
  <c r="I60" i="11"/>
  <c r="AI61" i="11"/>
  <c r="IW61" i="11"/>
  <c r="GU60" i="11"/>
  <c r="GJ61" i="11"/>
  <c r="IM59" i="11"/>
  <c r="JM61" i="11"/>
  <c r="CP61" i="11"/>
  <c r="AS59" i="11"/>
  <c r="FC60" i="11"/>
  <c r="ED60" i="11"/>
  <c r="EA61" i="11"/>
  <c r="K60" i="11"/>
  <c r="IE61" i="11"/>
  <c r="FH61" i="11"/>
  <c r="GT59" i="11"/>
  <c r="GM60" i="11"/>
  <c r="HZ60" i="11"/>
  <c r="N61" i="11"/>
  <c r="IA61" i="11"/>
  <c r="JW59" i="11"/>
  <c r="BU60" i="11"/>
  <c r="HF61" i="11"/>
  <c r="IK59" i="11"/>
  <c r="II61" i="11"/>
  <c r="DS59" i="11"/>
  <c r="GQ61" i="11"/>
  <c r="IP60" i="11"/>
  <c r="AU61" i="11"/>
  <c r="KB60" i="11"/>
  <c r="HV59" i="11"/>
  <c r="CP60" i="11"/>
  <c r="GN60" i="11"/>
  <c r="V61" i="11"/>
  <c r="DX60" i="11"/>
  <c r="CJ61" i="11"/>
  <c r="KL61" i="11"/>
  <c r="FO61" i="11"/>
  <c r="HA59" i="11"/>
  <c r="DF61" i="11"/>
  <c r="H61" i="11"/>
  <c r="G59" i="11"/>
  <c r="EH60" i="11"/>
  <c r="O60" i="11"/>
  <c r="GK59" i="11"/>
  <c r="JM59" i="11"/>
  <c r="EX61" i="11"/>
  <c r="DV61" i="11"/>
  <c r="GL60" i="11"/>
  <c r="KE61" i="11"/>
  <c r="CE61" i="11"/>
  <c r="FP60" i="11"/>
  <c r="JO61" i="11"/>
  <c r="T61" i="11"/>
  <c r="AR61" i="11"/>
  <c r="AB61" i="11"/>
  <c r="JZ61" i="11"/>
  <c r="JG60" i="11"/>
  <c r="JW60" i="11"/>
  <c r="GQ60" i="11"/>
  <c r="BT61" i="11"/>
  <c r="JJ61" i="11"/>
  <c r="KB61" i="11"/>
  <c r="GL59" i="11"/>
  <c r="AI60" i="11"/>
  <c r="KL60" i="11"/>
  <c r="IC59" i="11"/>
  <c r="DZ60" i="11"/>
  <c r="AT61" i="11"/>
  <c r="JY61" i="11"/>
  <c r="EX60" i="11"/>
  <c r="JS60" i="11"/>
  <c r="BO61" i="11"/>
  <c r="KH61" i="11"/>
  <c r="EM61" i="11"/>
  <c r="DX61" i="11"/>
  <c r="ED59" i="11"/>
  <c r="EY59" i="11"/>
  <c r="IJ61" i="11"/>
  <c r="JC60" i="11"/>
  <c r="JV60" i="11"/>
  <c r="CF61" i="11"/>
  <c r="IH60" i="11"/>
  <c r="HD61" i="11"/>
  <c r="DC61" i="11"/>
  <c r="GY59" i="11"/>
  <c r="GR61" i="11"/>
  <c r="CH59" i="11"/>
  <c r="FV61" i="11"/>
  <c r="DZ61" i="11"/>
  <c r="DC59" i="11"/>
  <c r="HT60" i="11"/>
  <c r="GQ59" i="11"/>
  <c r="IE60" i="11"/>
  <c r="BV60" i="11"/>
  <c r="V60" i="11"/>
  <c r="X61" i="11"/>
  <c r="CL61" i="11"/>
  <c r="IA60" i="11"/>
  <c r="IF61" i="11"/>
  <c r="IN61" i="11"/>
  <c r="FC59" i="11"/>
  <c r="DG60" i="11"/>
  <c r="JK60" i="11"/>
  <c r="IG59" i="11"/>
  <c r="KF61" i="11"/>
  <c r="GW59" i="11"/>
  <c r="AX59" i="11"/>
  <c r="CH60" i="11"/>
  <c r="F61" i="11"/>
  <c r="GI60" i="11"/>
  <c r="GD60" i="11"/>
  <c r="FD61" i="11"/>
  <c r="EG60" i="11"/>
  <c r="JV59" i="11"/>
  <c r="I59" i="11"/>
  <c r="JU61" i="11"/>
  <c r="AZ60" i="11"/>
  <c r="BX59" i="11"/>
  <c r="DY59" i="11"/>
  <c r="JP60" i="11"/>
  <c r="L61" i="11"/>
  <c r="JN59" i="11"/>
  <c r="BH60" i="11"/>
  <c r="IB59" i="11"/>
  <c r="ES61" i="11"/>
  <c r="GX59" i="11"/>
  <c r="JC59" i="11"/>
  <c r="HN60" i="11"/>
  <c r="DP59" i="11"/>
  <c r="FH60" i="11"/>
  <c r="BW59" i="11"/>
  <c r="BO59" i="11"/>
  <c r="DT59" i="11"/>
  <c r="AK61" i="11"/>
  <c r="BE59" i="11"/>
  <c r="EH61" i="11"/>
  <c r="IU61" i="11"/>
  <c r="H59" i="11"/>
  <c r="KF60" i="11"/>
  <c r="BD60" i="11"/>
  <c r="FL59" i="11"/>
  <c r="HF59" i="11"/>
  <c r="HQ60" i="11"/>
  <c r="JL59" i="11"/>
  <c r="GC61" i="11"/>
  <c r="FJ60" i="11"/>
  <c r="CQ60" i="11"/>
  <c r="CK60" i="11"/>
  <c r="HY59" i="11"/>
  <c r="FK60" i="11"/>
  <c r="GU61" i="11"/>
  <c r="DY60" i="11"/>
  <c r="FT59" i="11"/>
  <c r="CK61" i="11"/>
  <c r="FE61" i="11"/>
  <c r="CX61" i="11"/>
  <c r="CR61" i="11"/>
  <c r="CE59" i="11"/>
  <c r="KN61" i="11"/>
  <c r="BC61" i="11"/>
  <c r="JA59" i="11"/>
  <c r="AR59" i="11"/>
  <c r="JQ60" i="11"/>
  <c r="IC60" i="11"/>
  <c r="BC60" i="11"/>
  <c r="JJ59" i="11"/>
  <c r="IL61" i="11"/>
  <c r="IK61" i="11"/>
  <c r="EP60" i="11"/>
  <c r="JS61" i="11"/>
  <c r="DY61" i="11"/>
  <c r="IO60" i="11"/>
  <c r="BQ59" i="11"/>
  <c r="KP61" i="11"/>
  <c r="KC60" i="11"/>
  <c r="CU61" i="11"/>
  <c r="EZ59" i="11"/>
  <c r="DF60" i="11"/>
  <c r="GF61" i="11"/>
  <c r="BT60" i="11"/>
  <c r="AC61" i="11"/>
  <c r="CA59" i="11"/>
  <c r="HP60" i="11"/>
  <c r="IY60" i="11"/>
  <c r="GT61" i="11"/>
  <c r="ID61" i="11"/>
  <c r="IV61" i="11"/>
  <c r="IS61" i="11"/>
  <c r="DI60" i="11"/>
  <c r="IH61" i="11"/>
  <c r="JY59" i="11"/>
  <c r="IA59" i="11"/>
  <c r="M59" i="11"/>
  <c r="BR61" i="11"/>
  <c r="AE61" i="11"/>
  <c r="BL61" i="11"/>
  <c r="DZ59" i="11"/>
  <c r="DK61" i="11"/>
  <c r="J59" i="11"/>
  <c r="EE61" i="11"/>
  <c r="HZ61" i="11"/>
  <c r="BF60" i="11"/>
  <c r="CG60" i="11"/>
  <c r="EE60" i="11"/>
  <c r="JX61" i="11"/>
  <c r="JT61" i="11"/>
  <c r="AB59" i="11"/>
  <c r="JE60" i="11"/>
  <c r="JY60" i="11"/>
  <c r="FW59" i="11"/>
  <c r="BR60" i="11"/>
  <c r="CS59" i="11"/>
  <c r="C59" i="11"/>
  <c r="ER60" i="11"/>
  <c r="EM60" i="11"/>
  <c r="BW61" i="11"/>
  <c r="EW60" i="11"/>
  <c r="AL60" i="11"/>
  <c r="AD59" i="11"/>
  <c r="BD61" i="11"/>
  <c r="BP60" i="11"/>
  <c r="DL59" i="11"/>
  <c r="CM59" i="11"/>
  <c r="IP59" i="11"/>
  <c r="HS60" i="11"/>
  <c r="C60" i="11"/>
  <c r="CN60" i="11"/>
  <c r="IR59" i="11"/>
  <c r="FI61" i="11"/>
  <c r="HS59" i="11"/>
  <c r="JW61" i="11"/>
  <c r="U60" i="11"/>
  <c r="GM61" i="11"/>
  <c r="BK60" i="11"/>
  <c r="CY59" i="11"/>
  <c r="DF59" i="11"/>
  <c r="EJ59" i="11"/>
  <c r="BA61" i="11"/>
  <c r="BZ59" i="11"/>
  <c r="CA60" i="11"/>
  <c r="FG61" i="11"/>
  <c r="AN59" i="11"/>
  <c r="GE60" i="11"/>
  <c r="CJ60" i="11"/>
  <c r="HX59" i="11"/>
  <c r="P59" i="11"/>
  <c r="IW60" i="11"/>
  <c r="D60" i="11"/>
  <c r="HI61" i="11"/>
  <c r="DP61" i="11"/>
  <c r="AK60" i="11"/>
  <c r="AA60" i="11"/>
  <c r="IT59" i="11"/>
  <c r="HO59" i="11"/>
  <c r="DN61" i="11"/>
  <c r="EO60" i="11"/>
  <c r="GJ59" i="11"/>
  <c r="DA61" i="11"/>
  <c r="GK61" i="11"/>
  <c r="GD61" i="11"/>
  <c r="IK60" i="11"/>
  <c r="DA59" i="11"/>
  <c r="BL59" i="11"/>
  <c r="IW59" i="11"/>
  <c r="CP59" i="11"/>
  <c r="BG59" i="11"/>
  <c r="L59" i="11"/>
  <c r="DQ61" i="11"/>
  <c r="FH59" i="11"/>
  <c r="HX60" i="11"/>
  <c r="BJ60" i="11"/>
  <c r="DH60" i="11"/>
  <c r="GA61" i="11"/>
  <c r="FR59" i="11"/>
  <c r="BK59" i="11"/>
  <c r="JE59" i="11"/>
  <c r="GR59" i="11"/>
  <c r="AP59" i="11"/>
  <c r="EU60" i="11"/>
  <c r="HJ61" i="11"/>
  <c r="AE59" i="11"/>
  <c r="ET61" i="11"/>
  <c r="HD60" i="11"/>
  <c r="F59" i="11"/>
  <c r="ED61" i="11"/>
  <c r="HL61" i="11"/>
  <c r="AT60" i="11"/>
  <c r="JL60" i="11"/>
  <c r="JS59" i="11"/>
  <c r="FQ59" i="11"/>
  <c r="JK59" i="11"/>
  <c r="HK61" i="11"/>
  <c r="EO59" i="11"/>
  <c r="JT60" i="11"/>
  <c r="JD60" i="11"/>
  <c r="JR61" i="11"/>
  <c r="DB60" i="11"/>
  <c r="JP61" i="11"/>
  <c r="FJ59" i="11"/>
  <c r="IT60" i="11"/>
  <c r="IN60" i="11"/>
  <c r="FX59" i="11"/>
  <c r="CO61" i="11"/>
  <c r="IG61" i="11"/>
  <c r="AV60" i="11"/>
  <c r="EQ60" i="11"/>
  <c r="Y60" i="11"/>
  <c r="AR60" i="11"/>
  <c r="IR61" i="11"/>
  <c r="IM61" i="11"/>
  <c r="AV59" i="11"/>
  <c r="JU60" i="11"/>
  <c r="Q61" i="11"/>
  <c r="GS59" i="11"/>
  <c r="HU59" i="11"/>
  <c r="DU59" i="11"/>
  <c r="AT59" i="11"/>
  <c r="CU60" i="11"/>
  <c r="CM60" i="11"/>
  <c r="KD60" i="11"/>
  <c r="FM60" i="11"/>
  <c r="CD60" i="11"/>
  <c r="AY59" i="11"/>
  <c r="AZ61" i="11"/>
  <c r="CF60" i="11"/>
  <c r="EV59" i="11"/>
  <c r="HN61" i="11"/>
  <c r="FC61" i="11"/>
  <c r="EL60" i="11"/>
  <c r="AE60" i="11"/>
  <c r="DT60" i="11"/>
  <c r="JH59" i="11"/>
  <c r="FY61" i="11"/>
  <c r="IO59" i="11"/>
  <c r="DS61" i="11"/>
  <c r="EY61" i="11"/>
  <c r="C61" i="11"/>
  <c r="BN59" i="11"/>
  <c r="FE59" i="11"/>
  <c r="GM59" i="11"/>
  <c r="FP59" i="11"/>
  <c r="CG61" i="11"/>
  <c r="DQ59" i="11"/>
  <c r="EU59" i="11"/>
  <c r="CT59" i="11"/>
  <c r="BD59" i="11"/>
  <c r="BJ61" i="11"/>
  <c r="CZ60" i="11"/>
  <c r="JD59" i="11"/>
  <c r="AJ59" i="11"/>
  <c r="JM60" i="11"/>
  <c r="T60" i="11"/>
  <c r="JV61" i="11"/>
  <c r="JE61" i="11"/>
  <c r="FS60" i="11"/>
  <c r="KA60" i="11"/>
  <c r="CX60" i="11"/>
  <c r="HO60" i="11"/>
  <c r="CQ61" i="11"/>
  <c r="GX61" i="11"/>
  <c r="DH61" i="11"/>
  <c r="FN61" i="11"/>
  <c r="W61" i="11"/>
  <c r="JI59" i="11"/>
  <c r="D61" i="11"/>
  <c r="IX59" i="11"/>
  <c r="AV61" i="11"/>
  <c r="BZ61" i="11"/>
  <c r="DR59" i="11"/>
  <c r="CE60" i="11"/>
  <c r="GT60" i="11"/>
  <c r="HG61" i="11"/>
  <c r="DJ61" i="11"/>
  <c r="EN60" i="11"/>
  <c r="BV59" i="11"/>
  <c r="BM59" i="11"/>
  <c r="H60" i="11"/>
  <c r="HM61" i="11"/>
  <c r="DQ60" i="11"/>
  <c r="CL59" i="11"/>
  <c r="HB60" i="11"/>
  <c r="FY60" i="11"/>
  <c r="J60" i="11"/>
  <c r="HC60" i="11"/>
  <c r="GX60" i="11"/>
  <c r="GN59" i="11"/>
  <c r="DE61" i="11"/>
  <c r="CW60" i="11"/>
  <c r="BL60" i="11"/>
  <c r="AO60" i="11"/>
  <c r="AX60" i="11"/>
  <c r="BX60" i="11"/>
  <c r="HB61" i="11"/>
  <c r="GV61" i="11"/>
  <c r="BP59" i="11"/>
  <c r="KK60" i="11"/>
  <c r="AW61" i="11"/>
  <c r="HN59" i="11"/>
  <c r="BY59" i="11"/>
  <c r="EX59" i="11"/>
  <c r="CK59" i="11"/>
  <c r="AP60" i="11"/>
  <c r="AG60" i="11"/>
  <c r="GV60" i="11"/>
  <c r="GC60" i="11"/>
  <c r="DU60" i="11"/>
  <c r="BU59" i="11"/>
  <c r="EF61" i="11"/>
  <c r="CV60" i="11"/>
  <c r="GB59" i="11"/>
  <c r="CV61" i="11"/>
  <c r="GN61" i="11"/>
  <c r="FV59" i="11"/>
  <c r="BY60" i="11"/>
  <c r="DG59" i="11"/>
  <c r="KN59" i="11"/>
  <c r="HE61" i="11"/>
  <c r="KE59" i="11"/>
  <c r="BO60" i="11"/>
  <c r="JX60" i="11"/>
  <c r="BV61" i="11"/>
  <c r="JD61" i="11"/>
  <c r="GG59" i="11"/>
  <c r="ID59" i="11"/>
  <c r="GF59" i="11"/>
  <c r="CW61" i="11"/>
  <c r="EL59" i="11"/>
  <c r="HW61" i="11"/>
  <c r="GE61" i="11"/>
  <c r="HR61" i="11"/>
  <c r="FQ60" i="11"/>
  <c r="EP61" i="11"/>
  <c r="KG60" i="11"/>
  <c r="DM60" i="11"/>
  <c r="HE59" i="11"/>
  <c r="JB59" i="11"/>
  <c r="AF61" i="11"/>
  <c r="HQ61" i="11"/>
  <c r="BY61" i="11"/>
  <c r="KI59" i="11"/>
  <c r="IJ59" i="11"/>
  <c r="IQ61" i="11"/>
  <c r="DM61" i="11"/>
  <c r="KF59" i="11"/>
  <c r="KO61" i="11"/>
  <c r="EK59" i="11"/>
  <c r="GS61" i="11"/>
  <c r="AN61" i="11"/>
  <c r="GH61" i="11"/>
  <c r="JL61" i="11"/>
  <c r="HJ60" i="11"/>
  <c r="DO59" i="11"/>
  <c r="EB60" i="11"/>
  <c r="HM59" i="11"/>
  <c r="J61" i="11"/>
  <c r="BA60" i="11"/>
  <c r="FB60" i="11"/>
  <c r="GP59" i="11"/>
  <c r="JR60" i="11"/>
  <c r="GA59" i="11"/>
  <c r="GP60" i="11"/>
  <c r="FV60" i="11"/>
  <c r="IL60" i="11"/>
  <c r="AQ61" i="11"/>
  <c r="CO59" i="11"/>
  <c r="DR61" i="11"/>
  <c r="FR60" i="11"/>
  <c r="II60" i="11"/>
  <c r="GI61" i="11"/>
  <c r="P61" i="11"/>
  <c r="K61" i="11"/>
  <c r="DV59" i="11"/>
  <c r="JO60" i="11"/>
  <c r="GB60" i="11"/>
  <c r="Q60" i="11"/>
  <c r="CF59" i="11"/>
  <c r="I61" i="11"/>
  <c r="KO60" i="11"/>
  <c r="KM61" i="11"/>
  <c r="KI61" i="11"/>
  <c r="X60" i="11"/>
  <c r="IC61" i="11"/>
  <c r="KH59" i="11"/>
  <c r="DN59" i="11"/>
  <c r="DS60" i="11"/>
  <c r="GO60" i="11"/>
  <c r="BI60" i="11"/>
  <c r="FL60" i="11"/>
  <c r="FG60" i="11"/>
  <c r="HD59" i="11"/>
  <c r="DU61" i="11"/>
  <c r="JB61" i="11"/>
  <c r="CB60" i="11"/>
  <c r="GE59" i="11"/>
  <c r="BS60" i="11"/>
  <c r="DD60" i="11"/>
  <c r="FK61" i="11"/>
  <c r="FF61" i="11"/>
  <c r="CN59" i="11"/>
  <c r="M61" i="11"/>
  <c r="CC61" i="11"/>
  <c r="II59" i="11"/>
  <c r="JH61" i="11"/>
  <c r="FZ59" i="11"/>
  <c r="EA59" i="11"/>
  <c r="GI59" i="11"/>
  <c r="FY59" i="11"/>
  <c r="KD59" i="11"/>
  <c r="HI60" i="11"/>
  <c r="GG60" i="11"/>
  <c r="DK59" i="11"/>
  <c r="KL59" i="11"/>
  <c r="K59" i="11"/>
  <c r="IN59" i="11"/>
  <c r="HV60" i="11"/>
  <c r="Z61" i="11"/>
  <c r="AA59" i="11"/>
  <c r="CT60" i="11"/>
  <c r="FK59" i="11"/>
  <c r="P60" i="11"/>
  <c r="HU61" i="11"/>
  <c r="M60" i="11"/>
  <c r="BS59" i="11"/>
  <c r="BM60" i="11"/>
  <c r="JX59" i="11"/>
  <c r="CI59" i="11"/>
  <c r="HQ59" i="11"/>
  <c r="AF59" i="11"/>
  <c r="HC59" i="11"/>
  <c r="FD59" i="11"/>
  <c r="AC59" i="11"/>
  <c r="FB59" i="11"/>
  <c r="BE60" i="11"/>
  <c r="KJ59" i="11"/>
  <c r="IO61" i="11"/>
  <c r="EC59" i="11"/>
  <c r="CU59" i="11"/>
  <c r="BH61" i="11"/>
  <c r="DW59" i="11"/>
  <c r="HJ59" i="11"/>
  <c r="GW61" i="11"/>
  <c r="IX61" i="11"/>
  <c r="HH61" i="11"/>
  <c r="DD61" i="11"/>
  <c r="IU60" i="11"/>
  <c r="FO59" i="11"/>
  <c r="FF59" i="11"/>
  <c r="HO61" i="11"/>
  <c r="KD61" i="11"/>
  <c r="BA59" i="11"/>
  <c r="IY61" i="11"/>
  <c r="BF59" i="11"/>
  <c r="EL61" i="11"/>
  <c r="FT60" i="11"/>
  <c r="U59" i="11"/>
  <c r="IH59" i="11"/>
  <c r="V59" i="11"/>
  <c r="HZ59" i="11"/>
  <c r="GP61" i="11"/>
  <c r="DM59" i="11"/>
  <c r="JK61" i="11"/>
  <c r="BB60" i="11"/>
  <c r="BZ60" i="11"/>
  <c r="GD59" i="11"/>
  <c r="FU59" i="11"/>
  <c r="KK59" i="11"/>
  <c r="AZ59" i="11"/>
  <c r="IM60" i="11"/>
  <c r="FU60" i="11"/>
  <c r="HP59" i="11"/>
  <c r="EG61" i="11"/>
  <c r="DK60" i="11"/>
  <c r="JN60" i="11"/>
  <c r="JH60" i="11"/>
  <c r="EQ59" i="11"/>
  <c r="CS60" i="11"/>
  <c r="CL60" i="11"/>
  <c r="AS60" i="11"/>
  <c r="DD59" i="11"/>
  <c r="Y61" i="11"/>
  <c r="AG61" i="11"/>
  <c r="JG61" i="11"/>
  <c r="JC61" i="11"/>
  <c r="AN60" i="11"/>
  <c r="IZ60" i="11"/>
  <c r="EM59" i="11"/>
  <c r="EP59" i="11"/>
  <c r="KM59" i="11"/>
  <c r="HE60" i="11"/>
  <c r="CY60" i="11"/>
  <c r="DV60" i="11"/>
  <c r="DN60" i="11"/>
  <c r="HT59" i="11"/>
  <c r="EK61" i="11"/>
  <c r="HX61" i="11"/>
  <c r="CR60" i="11"/>
  <c r="AK59" i="11"/>
  <c r="CO60" i="11"/>
  <c r="Z59" i="11"/>
  <c r="CD61" i="11"/>
  <c r="BX61" i="11"/>
  <c r="EB59" i="11"/>
  <c r="AS61" i="11"/>
  <c r="EO61" i="11"/>
  <c r="JZ59" i="11"/>
  <c r="CY61" i="11"/>
  <c r="IE59" i="11"/>
  <c r="HI59" i="11"/>
  <c r="DJ59" i="11"/>
  <c r="DB59" i="11"/>
  <c r="EH59" i="11"/>
  <c r="HY60" i="11"/>
  <c r="HM60" i="11"/>
  <c r="EG59" i="11"/>
  <c r="O61" i="11"/>
  <c r="AM59" i="11"/>
  <c r="JT59" i="11"/>
  <c r="FZ61" i="11"/>
  <c r="GU59" i="11"/>
  <c r="BG61" i="11"/>
  <c r="JJ60" i="11"/>
  <c r="JI60" i="11"/>
  <c r="GS60" i="11"/>
  <c r="DL60" i="11"/>
  <c r="IQ59" i="11"/>
  <c r="FE60" i="11"/>
  <c r="KJ60" i="11"/>
  <c r="HA61" i="11"/>
  <c r="KP59" i="11"/>
  <c r="FA61" i="11"/>
  <c r="DJ60" i="11"/>
  <c r="DT61" i="11"/>
  <c r="KI60" i="11"/>
  <c r="GV59" i="11"/>
  <c r="BI59" i="11"/>
  <c r="JQ59" i="11"/>
  <c r="IT61" i="11"/>
  <c r="FA59" i="11"/>
  <c r="HT61" i="11"/>
  <c r="JQ61" i="11"/>
  <c r="IX60" i="11"/>
  <c r="F60" i="11"/>
  <c r="N60" i="11"/>
  <c r="EI60" i="11"/>
  <c r="KK61" i="11"/>
  <c r="EF60" i="11"/>
  <c r="DR60" i="11"/>
  <c r="KP60" i="11"/>
  <c r="JZ60" i="11"/>
  <c r="JF61" i="11"/>
  <c r="JA61" i="11"/>
  <c r="JR59" i="11"/>
  <c r="EZ60" i="11"/>
  <c r="IV60" i="11"/>
  <c r="AQ59" i="11"/>
  <c r="FT61" i="11"/>
  <c r="CC60" i="11"/>
  <c r="EQ61" i="11"/>
  <c r="CT61" i="11"/>
  <c r="IL59" i="11"/>
  <c r="W60" i="11"/>
  <c r="HL59" i="11"/>
  <c r="EC61" i="11"/>
  <c r="GC59" i="11"/>
  <c r="GH60" i="11"/>
  <c r="CN61" i="11"/>
  <c r="CZ59" i="11"/>
  <c r="IF60" i="11"/>
  <c r="AU59" i="11"/>
  <c r="Y59" i="11"/>
  <c r="CV59" i="11"/>
  <c r="U61" i="11"/>
  <c r="AI59" i="11"/>
  <c r="KG61" i="11"/>
  <c r="EV60" i="11"/>
  <c r="AH59" i="11"/>
  <c r="W59" i="11"/>
  <c r="AM60" i="11"/>
  <c r="EF59" i="11"/>
  <c r="BG60" i="11"/>
  <c r="HA60" i="11"/>
  <c r="IV59" i="11"/>
  <c r="FM61" i="11"/>
  <c r="GB61" i="11"/>
  <c r="GF60" i="11"/>
  <c r="GA60" i="11"/>
  <c r="GH59" i="11"/>
  <c r="GZ61" i="11"/>
  <c r="CX59" i="11"/>
  <c r="CI60" i="11"/>
  <c r="EN59" i="11"/>
  <c r="BE61" i="11"/>
  <c r="CS61" i="11"/>
  <c r="EN61" i="11"/>
  <c r="EI61" i="11"/>
  <c r="BJ59" i="11"/>
  <c r="E60" i="11"/>
  <c r="EJ61" i="11"/>
  <c r="HW59" i="11"/>
  <c r="T59" i="11"/>
  <c r="JA60" i="11"/>
  <c r="GW60" i="11"/>
  <c r="HR59" i="11"/>
  <c r="HG59" i="11"/>
  <c r="JP59" i="11"/>
  <c r="GG61" i="11"/>
  <c r="DG61" i="11"/>
  <c r="AG59" i="11"/>
  <c r="CB61" i="11"/>
  <c r="ES60" i="11"/>
  <c r="GO59" i="11"/>
  <c r="AO59" i="11"/>
  <c r="O59" i="11"/>
  <c r="BB61" i="11"/>
  <c r="KC59" i="11"/>
  <c r="JF59" i="11"/>
  <c r="FA60" i="11"/>
  <c r="HH59" i="11"/>
  <c r="JO59" i="11"/>
  <c r="GZ59" i="11"/>
  <c r="KE60" i="11"/>
  <c r="AC60" i="11"/>
  <c r="BQ60" i="11"/>
  <c r="FZ60" i="11"/>
  <c r="CD59" i="11"/>
  <c r="DI61" i="11"/>
  <c r="X59" i="11"/>
  <c r="DO61" i="11"/>
  <c r="HG60" i="11"/>
  <c r="KA61" i="11"/>
  <c r="EZ61" i="11"/>
  <c r="IZ61" i="11"/>
  <c r="EV61" i="11"/>
  <c r="IF59" i="11"/>
  <c r="BN60" i="11"/>
  <c r="KJ61" i="11"/>
  <c r="FQ61" i="11"/>
  <c r="ER59" i="11"/>
  <c r="AY61" i="11"/>
  <c r="AH60" i="11"/>
  <c r="IS60" i="11"/>
  <c r="HK59" i="11"/>
  <c r="KB59" i="11"/>
  <c r="AW60" i="11"/>
  <c r="KC61" i="11"/>
  <c r="CJ59" i="11"/>
  <c r="GL61" i="11"/>
  <c r="EW61" i="11"/>
  <c r="DX59" i="11"/>
  <c r="FS59" i="11"/>
  <c r="KM60" i="11"/>
  <c r="BI61" i="11"/>
  <c r="AD60" i="11"/>
  <c r="FL61" i="11"/>
  <c r="FN60" i="11"/>
  <c r="EW59" i="11"/>
  <c r="FG59" i="11"/>
  <c r="BK61" i="11"/>
  <c r="JB60" i="11"/>
  <c r="JN61" i="11"/>
  <c r="DE59" i="11"/>
  <c r="CA61" i="11"/>
  <c r="AO61" i="11"/>
  <c r="ES59" i="11"/>
  <c r="E59" i="11"/>
  <c r="FU61" i="11"/>
  <c r="BB59" i="11"/>
  <c r="EJ60" i="11"/>
  <c r="L60" i="11"/>
  <c r="BQ61" i="11"/>
  <c r="HB59" i="11"/>
  <c r="HK60" i="11"/>
  <c r="FI59" i="11"/>
  <c r="JI61" i="11"/>
  <c r="R59" i="11"/>
  <c r="CW59" i="11"/>
  <c r="HW60" i="11"/>
  <c r="BM61" i="11"/>
  <c r="HU60" i="11"/>
  <c r="FJ61" i="11"/>
  <c r="G60" i="11"/>
  <c r="GO61" i="11"/>
  <c r="AL61" i="11"/>
  <c r="BT59" i="11"/>
  <c r="DW60" i="11"/>
  <c r="FI60" i="11"/>
  <c r="AD61" i="11"/>
  <c r="CM61" i="11"/>
  <c r="AA61" i="11"/>
  <c r="AB60" i="11"/>
  <c r="R60" i="11"/>
  <c r="HR60" i="11"/>
  <c r="HV61" i="11"/>
  <c r="EK60" i="11"/>
  <c r="EC60" i="11"/>
  <c r="R61" i="11"/>
  <c r="IR60" i="11"/>
  <c r="DE60" i="11"/>
  <c r="DP60" i="11"/>
  <c r="JU59" i="11"/>
  <c r="IG60" i="11"/>
  <c r="KN60" i="11"/>
  <c r="G61" i="11"/>
  <c r="HC61" i="11"/>
  <c r="CB59" i="11"/>
  <c r="CR59" i="11"/>
  <c r="FM59" i="11"/>
  <c r="HP61" i="11"/>
  <c r="KO59" i="11"/>
  <c r="EI59" i="11"/>
  <c r="JG59" i="11"/>
  <c r="DC60" i="11"/>
  <c r="BU61" i="11"/>
  <c r="BH59" i="11"/>
  <c r="DH59" i="11"/>
  <c r="ET60" i="11"/>
  <c r="AW59" i="11"/>
  <c r="BC59" i="11"/>
  <c r="N59" i="11"/>
  <c r="GK60" i="11"/>
  <c r="IU59" i="11"/>
  <c r="JF60" i="11"/>
  <c r="IZ59" i="11"/>
  <c r="AH61" i="11"/>
  <c r="IY59" i="11"/>
  <c r="AF60" i="11"/>
  <c r="D59" i="11"/>
  <c r="Q59" i="11"/>
  <c r="IS59" i="11"/>
  <c r="E61" i="11"/>
  <c r="AL59" i="11"/>
  <c r="FF60" i="11"/>
  <c r="AJ60" i="11"/>
  <c r="DI59" i="11"/>
  <c r="ET59" i="11"/>
  <c r="S59" i="11"/>
  <c r="KG59" i="11"/>
  <c r="DL61" i="11"/>
  <c r="AM61" i="11"/>
  <c r="FB61" i="11"/>
  <c r="HY61" i="11"/>
  <c r="IB60" i="11"/>
  <c r="DO60" i="11"/>
  <c r="CO72" i="11"/>
  <c r="GS72" i="11"/>
  <c r="FH71" i="11"/>
  <c r="DY72" i="11"/>
  <c r="CB70" i="11"/>
  <c r="GE71" i="11"/>
  <c r="DF72" i="11"/>
  <c r="GY70" i="11"/>
  <c r="DS72" i="11"/>
  <c r="K71" i="11"/>
  <c r="JC72" i="11"/>
  <c r="IB72" i="11"/>
  <c r="CY71" i="11"/>
  <c r="DU72" i="11"/>
  <c r="DO71" i="11"/>
  <c r="AR70" i="11"/>
  <c r="BD72" i="11"/>
  <c r="EC72" i="11"/>
  <c r="BB71" i="11"/>
  <c r="N71" i="11"/>
  <c r="C72" i="11"/>
  <c r="JW70" i="11"/>
  <c r="GP72" i="11"/>
  <c r="IK70" i="11"/>
  <c r="EW72" i="11"/>
  <c r="BO71" i="11"/>
  <c r="BM70" i="11"/>
  <c r="HM71" i="11"/>
  <c r="DH72" i="11"/>
  <c r="BR71" i="11"/>
  <c r="FF71" i="11"/>
  <c r="AI72" i="11"/>
  <c r="O71" i="11"/>
  <c r="EZ72" i="11"/>
  <c r="BN70" i="11"/>
  <c r="I70" i="11"/>
  <c r="I71" i="11"/>
  <c r="CH70" i="11"/>
  <c r="D71" i="11"/>
  <c r="CL72" i="11"/>
  <c r="CH71" i="11"/>
  <c r="JP71" i="11"/>
  <c r="BO72" i="11"/>
  <c r="L70" i="11"/>
  <c r="AZ72" i="11"/>
  <c r="HT72" i="11"/>
  <c r="JB72" i="11"/>
  <c r="FQ70" i="11"/>
  <c r="DY70" i="11"/>
  <c r="GN72" i="11"/>
  <c r="AV72" i="11"/>
  <c r="DN71" i="11"/>
  <c r="KC72" i="11"/>
  <c r="EA72" i="11"/>
  <c r="CS70" i="11"/>
  <c r="CR70" i="11"/>
  <c r="AH72" i="11"/>
  <c r="AN72" i="11"/>
  <c r="HZ71" i="11"/>
  <c r="W71" i="11"/>
  <c r="IE72" i="11"/>
  <c r="GO72" i="11"/>
  <c r="KH70" i="11"/>
  <c r="FR71" i="11"/>
  <c r="GY71" i="11"/>
  <c r="GE70" i="11"/>
  <c r="BM72" i="11"/>
  <c r="GB71" i="11"/>
  <c r="KG70" i="11"/>
  <c r="BN71" i="11"/>
  <c r="FE70" i="11"/>
  <c r="IJ72" i="11"/>
  <c r="HA72" i="11"/>
  <c r="E72" i="11"/>
  <c r="IQ70" i="11"/>
  <c r="CI72" i="11"/>
  <c r="HS71" i="11"/>
  <c r="BR70" i="11"/>
  <c r="HE72" i="11"/>
  <c r="GC70" i="11"/>
  <c r="BS72" i="11"/>
  <c r="AA71" i="11"/>
  <c r="DJ72" i="11"/>
  <c r="AK70" i="11"/>
  <c r="AP71" i="11"/>
  <c r="HU72" i="11"/>
  <c r="JE72" i="11"/>
  <c r="JJ72" i="11"/>
  <c r="DU70" i="11"/>
  <c r="JE70" i="11"/>
  <c r="CU70" i="11"/>
  <c r="O72" i="11"/>
  <c r="GX71" i="11"/>
  <c r="AI71" i="11"/>
  <c r="IQ72" i="11"/>
  <c r="E71" i="11"/>
  <c r="HQ71" i="11"/>
  <c r="EV71" i="11"/>
  <c r="JN71" i="11"/>
  <c r="EL72" i="11"/>
  <c r="JK72" i="11"/>
  <c r="HF70" i="11"/>
  <c r="KF72" i="11"/>
  <c r="JB71" i="11"/>
  <c r="CV70" i="11"/>
  <c r="EH71" i="11"/>
  <c r="ID72" i="11"/>
  <c r="JH70" i="11"/>
  <c r="CM71" i="11"/>
  <c r="GZ71" i="11"/>
  <c r="DA72" i="11"/>
  <c r="IU72" i="11"/>
  <c r="IB70" i="11"/>
  <c r="GV72" i="11"/>
  <c r="IG71" i="11"/>
  <c r="DX70" i="11"/>
  <c r="AQ71" i="11"/>
  <c r="JZ71" i="11"/>
  <c r="J71" i="11"/>
  <c r="R71" i="11"/>
  <c r="DP71" i="11"/>
  <c r="BN72" i="11"/>
  <c r="HZ72" i="11"/>
  <c r="IW70" i="11"/>
  <c r="BU72" i="11"/>
  <c r="HL71" i="11"/>
  <c r="FA70" i="11"/>
  <c r="GZ70" i="11"/>
  <c r="DZ70" i="11"/>
  <c r="AX71" i="11"/>
  <c r="EC70" i="11"/>
  <c r="CF70" i="11"/>
  <c r="KF71" i="11"/>
  <c r="GJ72" i="11"/>
  <c r="KN70" i="11"/>
  <c r="BA71" i="11"/>
  <c r="FU71" i="11"/>
  <c r="HE70" i="11"/>
  <c r="KM72" i="11"/>
  <c r="FD71" i="11"/>
  <c r="DJ71" i="11"/>
  <c r="KP71" i="11"/>
  <c r="FU72" i="11"/>
  <c r="IC72" i="11"/>
  <c r="DA70" i="11"/>
  <c r="ET70" i="11"/>
  <c r="BR72" i="11"/>
  <c r="Z72" i="11"/>
  <c r="N70" i="11"/>
  <c r="GF72" i="11"/>
  <c r="FG72" i="11"/>
  <c r="EJ70" i="11"/>
  <c r="JX72" i="11"/>
  <c r="BQ72" i="11"/>
  <c r="HK70" i="11"/>
  <c r="W72" i="11"/>
  <c r="FG71" i="11"/>
  <c r="JC70" i="11"/>
  <c r="HI72" i="11"/>
  <c r="GI70" i="11"/>
  <c r="JD70" i="11"/>
  <c r="AG72" i="11"/>
  <c r="EF71" i="11"/>
  <c r="CG71" i="11"/>
  <c r="AI70" i="11"/>
  <c r="GE72" i="11"/>
  <c r="EW70" i="11"/>
  <c r="II72" i="11"/>
  <c r="IR71" i="11"/>
  <c r="IJ71" i="11"/>
  <c r="KM71" i="11"/>
  <c r="JB70" i="11"/>
  <c r="IC70" i="11"/>
  <c r="HI70" i="11"/>
  <c r="FM71" i="11"/>
  <c r="FR72" i="11"/>
  <c r="HS70" i="11"/>
  <c r="EM72" i="11"/>
  <c r="BD70" i="11"/>
  <c r="FJ70" i="11"/>
  <c r="JY72" i="11"/>
  <c r="IV70" i="11"/>
  <c r="IZ72" i="11"/>
  <c r="EH70" i="11"/>
  <c r="FZ72" i="11"/>
  <c r="GT71" i="11"/>
  <c r="DB72" i="11"/>
  <c r="BV71" i="11"/>
  <c r="M72" i="11"/>
  <c r="CB71" i="11"/>
  <c r="AB71" i="11"/>
  <c r="EN72" i="11"/>
  <c r="GW72" i="11"/>
  <c r="GR72" i="11"/>
  <c r="GG70" i="11"/>
  <c r="DI72" i="11"/>
  <c r="JA70" i="11"/>
  <c r="CG72" i="11"/>
  <c r="CL71" i="11"/>
  <c r="FX71" i="11"/>
  <c r="AY71" i="11"/>
  <c r="AZ71" i="11"/>
  <c r="CW72" i="11"/>
  <c r="IK71" i="11"/>
  <c r="EG72" i="11"/>
  <c r="ID70" i="11"/>
  <c r="AS72" i="11"/>
  <c r="JQ72" i="11"/>
  <c r="BL72" i="11"/>
  <c r="DB71" i="11"/>
  <c r="GN70" i="11"/>
  <c r="Q71" i="11"/>
  <c r="BU71" i="11"/>
  <c r="BF72" i="11"/>
  <c r="P70" i="11"/>
  <c r="F72" i="11"/>
  <c r="AN71" i="11"/>
  <c r="HB71" i="11"/>
  <c r="AX72" i="11"/>
  <c r="U72" i="11"/>
  <c r="U70" i="11"/>
  <c r="AS71" i="11"/>
  <c r="IF70" i="11"/>
  <c r="DL71" i="11"/>
  <c r="JM71" i="11"/>
  <c r="BY70" i="11"/>
  <c r="DG71" i="11"/>
  <c r="AT70" i="11"/>
  <c r="IO72" i="11"/>
  <c r="KB72" i="11"/>
  <c r="FN72" i="11"/>
  <c r="U71" i="11"/>
  <c r="KL72" i="11"/>
  <c r="EZ71" i="11"/>
  <c r="IH70" i="11"/>
  <c r="JG72" i="11"/>
  <c r="IS72" i="11"/>
  <c r="AJ70" i="11"/>
  <c r="V71" i="11"/>
  <c r="EM70" i="11"/>
  <c r="GX70" i="11"/>
  <c r="J70" i="11"/>
  <c r="CD70" i="11"/>
  <c r="FW72" i="11"/>
  <c r="AN70" i="11"/>
  <c r="AP70" i="11"/>
  <c r="AM72" i="11"/>
  <c r="GQ70" i="11"/>
  <c r="EP72" i="11"/>
  <c r="HU70" i="11"/>
  <c r="JR70" i="11"/>
  <c r="BU70" i="11"/>
  <c r="KH72" i="11"/>
  <c r="CW70" i="11"/>
  <c r="HW70" i="11"/>
  <c r="JN72" i="11"/>
  <c r="IV72" i="11"/>
  <c r="GS71" i="11"/>
  <c r="IL72" i="11"/>
  <c r="DX72" i="11"/>
  <c r="GC72" i="11"/>
  <c r="DV70" i="11"/>
  <c r="HH71" i="11"/>
  <c r="DT72" i="11"/>
  <c r="FP72" i="11"/>
  <c r="GH72" i="11"/>
  <c r="DK70" i="11"/>
  <c r="IS70" i="11"/>
  <c r="GF70" i="11"/>
  <c r="F70" i="11"/>
  <c r="KJ72" i="11"/>
  <c r="FA72" i="11"/>
  <c r="ER70" i="11"/>
  <c r="IY70" i="11"/>
  <c r="JM72" i="11"/>
  <c r="GQ71" i="11"/>
  <c r="BZ71" i="11"/>
  <c r="GO70" i="11"/>
  <c r="HM72" i="11"/>
  <c r="DT71" i="11"/>
  <c r="GJ70" i="11"/>
  <c r="CC71" i="11"/>
  <c r="AQ72" i="11"/>
  <c r="DA71" i="11"/>
  <c r="HJ70" i="11"/>
  <c r="DP70" i="11"/>
  <c r="D72" i="11"/>
  <c r="EI71" i="11"/>
  <c r="HJ72" i="11"/>
  <c r="GU72" i="11"/>
  <c r="Y72" i="11"/>
  <c r="AS70" i="11"/>
  <c r="AD70" i="11"/>
  <c r="BI72" i="11"/>
  <c r="EY71" i="11"/>
  <c r="GT70" i="11"/>
  <c r="HK72" i="11"/>
  <c r="EJ72" i="11"/>
  <c r="JL72" i="11"/>
  <c r="CK72" i="11"/>
  <c r="BS70" i="11"/>
  <c r="BJ71" i="11"/>
  <c r="FP70" i="11"/>
  <c r="KI72" i="11"/>
  <c r="IK72" i="11"/>
  <c r="BE72" i="11"/>
  <c r="GP71" i="11"/>
  <c r="IA70" i="11"/>
  <c r="KG71" i="11"/>
  <c r="FF70" i="11"/>
  <c r="H72" i="11"/>
  <c r="KM70" i="11"/>
  <c r="EI70" i="11"/>
  <c r="HC72" i="11"/>
  <c r="EK71" i="11"/>
  <c r="DR70" i="11"/>
  <c r="CT70" i="11"/>
  <c r="EA71" i="11"/>
  <c r="FV70" i="11"/>
  <c r="KK70" i="11"/>
  <c r="L71" i="11"/>
  <c r="O70" i="11"/>
  <c r="CO70" i="11"/>
  <c r="HU71" i="11"/>
  <c r="IM72" i="11"/>
  <c r="HO71" i="11"/>
  <c r="BA70" i="11"/>
  <c r="CC70" i="11"/>
  <c r="JF71" i="11"/>
  <c r="KB70" i="11"/>
  <c r="DH71" i="11"/>
  <c r="JP72" i="11"/>
  <c r="BX70" i="11"/>
  <c r="Y71" i="11"/>
  <c r="BP72" i="11"/>
  <c r="CK71" i="11"/>
  <c r="AB70" i="11"/>
  <c r="CJ70" i="11"/>
  <c r="CS72" i="11"/>
  <c r="IW71" i="11"/>
  <c r="AG71" i="11"/>
  <c r="CA70" i="11"/>
  <c r="GD72" i="11"/>
  <c r="FM70" i="11"/>
  <c r="HD72" i="11"/>
  <c r="FA71" i="11"/>
  <c r="II70" i="11"/>
  <c r="FL72" i="11"/>
  <c r="GA71" i="11"/>
  <c r="AT71" i="11"/>
  <c r="BS71" i="11"/>
  <c r="JF72" i="11"/>
  <c r="HT71" i="11"/>
  <c r="FH70" i="11"/>
  <c r="DZ71" i="11"/>
  <c r="AA72" i="11"/>
  <c r="BK71" i="11"/>
  <c r="GJ71" i="11"/>
  <c r="KO70" i="11"/>
  <c r="GH71" i="11"/>
  <c r="CV71" i="11"/>
  <c r="IY72" i="11"/>
  <c r="FO72" i="11"/>
  <c r="CJ71" i="11"/>
  <c r="IZ71" i="11"/>
  <c r="N72" i="11"/>
  <c r="KO71" i="11"/>
  <c r="JG71" i="11"/>
  <c r="AE70" i="11"/>
  <c r="DF70" i="11"/>
  <c r="FB70" i="11"/>
  <c r="GL71" i="11"/>
  <c r="JE71" i="11"/>
  <c r="KN71" i="11"/>
  <c r="JW71" i="11"/>
  <c r="AU70" i="11"/>
  <c r="DV72" i="11"/>
  <c r="T70" i="11"/>
  <c r="IJ70" i="11"/>
  <c r="GA70" i="11"/>
  <c r="KA71" i="11"/>
  <c r="S72" i="11"/>
  <c r="FO71" i="11"/>
  <c r="IN72" i="11"/>
  <c r="K70" i="11"/>
  <c r="JF70" i="11"/>
  <c r="JK70" i="11"/>
  <c r="DQ70" i="11"/>
  <c r="DJ70" i="11"/>
  <c r="ES72" i="11"/>
  <c r="JH71" i="11"/>
  <c r="HZ70" i="11"/>
  <c r="CT71" i="11"/>
  <c r="CB72" i="11"/>
  <c r="JZ70" i="11"/>
  <c r="FI70" i="11"/>
  <c r="CD71" i="11"/>
  <c r="IG72" i="11"/>
  <c r="GA72" i="11"/>
  <c r="CF71" i="11"/>
  <c r="BY72" i="11"/>
  <c r="IR70" i="11"/>
  <c r="II71" i="11"/>
  <c r="DS71" i="11"/>
  <c r="BD71" i="11"/>
  <c r="AT72" i="11"/>
  <c r="BC71" i="11"/>
  <c r="AC70" i="11"/>
  <c r="GN71" i="11"/>
  <c r="HH70" i="11"/>
  <c r="EE72" i="11"/>
  <c r="CW71" i="11"/>
  <c r="GZ72" i="11"/>
  <c r="CC72" i="11"/>
  <c r="AM71" i="11"/>
  <c r="AM70" i="11"/>
  <c r="JT70" i="11"/>
  <c r="ER71" i="11"/>
  <c r="FX72" i="11"/>
  <c r="BT71" i="11"/>
  <c r="ER72" i="11"/>
  <c r="AK71" i="11"/>
  <c r="EO71" i="11"/>
  <c r="FY71" i="11"/>
  <c r="AH70" i="11"/>
  <c r="AB72" i="11"/>
  <c r="EF70" i="11"/>
  <c r="FL71" i="11"/>
  <c r="K72" i="11"/>
  <c r="M71" i="11"/>
  <c r="IX71" i="11"/>
  <c r="BX71" i="11"/>
  <c r="EC71" i="11"/>
  <c r="CA71" i="11"/>
  <c r="JO72" i="11"/>
  <c r="EY72" i="11"/>
  <c r="GS70" i="11"/>
  <c r="CT72" i="11"/>
  <c r="DL72" i="11"/>
  <c r="EV72" i="11"/>
  <c r="IA71" i="11"/>
  <c r="M70" i="11"/>
  <c r="HY72" i="11"/>
  <c r="CZ71" i="11"/>
  <c r="GD70" i="11"/>
  <c r="BP70" i="11"/>
  <c r="ET71" i="11"/>
  <c r="CQ72" i="11"/>
  <c r="FC70" i="11"/>
  <c r="BZ72" i="11"/>
  <c r="BA72" i="11"/>
  <c r="BY71" i="11"/>
  <c r="Y70" i="11"/>
  <c r="DY71" i="11"/>
  <c r="DG72" i="11"/>
  <c r="FS70" i="11"/>
  <c r="HV71" i="11"/>
  <c r="J72" i="11"/>
  <c r="HX70" i="11"/>
  <c r="CU72" i="11"/>
  <c r="JA72" i="11"/>
  <c r="FB72" i="11"/>
  <c r="HX71" i="11"/>
  <c r="JI71" i="11"/>
  <c r="IL70" i="11"/>
  <c r="FD70" i="11"/>
  <c r="ED70" i="11"/>
  <c r="EU72" i="11"/>
  <c r="EQ72" i="11"/>
  <c r="CE70" i="11"/>
  <c r="FZ70" i="11"/>
  <c r="HG72" i="11"/>
  <c r="BC72" i="11"/>
  <c r="CP71" i="11"/>
  <c r="DN72" i="11"/>
  <c r="EO70" i="11"/>
  <c r="HC71" i="11"/>
  <c r="KH71" i="11"/>
  <c r="FV72" i="11"/>
  <c r="HB72" i="11"/>
  <c r="FP71" i="11"/>
  <c r="HW71" i="11"/>
  <c r="GQ72" i="11"/>
  <c r="JY70" i="11"/>
  <c r="JW72" i="11"/>
  <c r="DZ72" i="11"/>
  <c r="HQ72" i="11"/>
  <c r="FW71" i="11"/>
  <c r="KO72" i="11"/>
  <c r="IU71" i="11"/>
  <c r="AG70" i="11"/>
  <c r="AV70" i="11"/>
  <c r="CS71" i="11"/>
  <c r="AU71" i="11"/>
  <c r="FT72" i="11"/>
  <c r="EE70" i="11"/>
  <c r="FN70" i="11"/>
  <c r="BX72" i="11"/>
  <c r="AJ72" i="11"/>
  <c r="V70" i="11"/>
  <c r="HR72" i="11"/>
  <c r="BT70" i="11"/>
  <c r="BC70" i="11"/>
  <c r="X72" i="11"/>
  <c r="EL71" i="11"/>
  <c r="BH71" i="11"/>
  <c r="BE71" i="11"/>
  <c r="KE72" i="11"/>
  <c r="EI72" i="11"/>
  <c r="D70" i="11"/>
  <c r="FH72" i="11"/>
  <c r="FJ72" i="11"/>
  <c r="HH72" i="11"/>
  <c r="HK71" i="11"/>
  <c r="AZ70" i="11"/>
  <c r="DI71" i="11"/>
  <c r="GD71" i="11"/>
  <c r="BI71" i="11"/>
  <c r="IN70" i="11"/>
  <c r="GK71" i="11"/>
  <c r="BK72" i="11"/>
  <c r="DW70" i="11"/>
  <c r="HY70" i="11"/>
  <c r="EH72" i="11"/>
  <c r="KD71" i="11"/>
  <c r="BQ71" i="11"/>
  <c r="GL70" i="11"/>
  <c r="HO72" i="11"/>
  <c r="KA70" i="11"/>
  <c r="DE70" i="11"/>
  <c r="IP70" i="11"/>
  <c r="R72" i="11"/>
  <c r="DC71" i="11"/>
  <c r="EX70" i="11"/>
  <c r="FL70" i="11"/>
  <c r="C71" i="11"/>
  <c r="AF70" i="11"/>
  <c r="FR70" i="11"/>
  <c r="DD70" i="11"/>
  <c r="G72" i="11"/>
  <c r="CL70" i="11"/>
  <c r="IP71" i="11"/>
  <c r="BB72" i="11"/>
  <c r="AF72" i="11"/>
  <c r="AK72" i="11"/>
  <c r="AC72" i="11"/>
  <c r="EF72" i="11"/>
  <c r="JD71" i="11"/>
  <c r="IP72" i="11"/>
  <c r="IS71" i="11"/>
  <c r="BP71" i="11"/>
  <c r="EK70" i="11"/>
  <c r="GK72" i="11"/>
  <c r="FN71" i="11"/>
  <c r="JR71" i="11"/>
  <c r="EU71" i="11"/>
  <c r="FK72" i="11"/>
  <c r="BE70" i="11"/>
  <c r="E70" i="11"/>
  <c r="JU70" i="11"/>
  <c r="KE70" i="11"/>
  <c r="IT72" i="11"/>
  <c r="CN72" i="11"/>
  <c r="KG72" i="11"/>
  <c r="BQ70" i="11"/>
  <c r="F71" i="11"/>
  <c r="JX70" i="11"/>
  <c r="BG71" i="11"/>
  <c r="P71" i="11"/>
  <c r="BT72" i="11"/>
  <c r="Z71" i="11"/>
  <c r="JS71" i="11"/>
  <c r="AD72" i="11"/>
  <c r="KL71" i="11"/>
  <c r="FY70" i="11"/>
  <c r="KD70" i="11"/>
  <c r="P72" i="11"/>
  <c r="Z70" i="11"/>
  <c r="GR71" i="11"/>
  <c r="JU72" i="11"/>
  <c r="GK70" i="11"/>
  <c r="EV70" i="11"/>
  <c r="KL70" i="11"/>
  <c r="JK71" i="11"/>
  <c r="HL72" i="11"/>
  <c r="GX72" i="11"/>
  <c r="JH72" i="11"/>
  <c r="GU71" i="11"/>
  <c r="CK70" i="11"/>
  <c r="DD72" i="11"/>
  <c r="JL71" i="11"/>
  <c r="DX71" i="11"/>
  <c r="AL71" i="11"/>
  <c r="HF71" i="11"/>
  <c r="AU72" i="11"/>
  <c r="DG70" i="11"/>
  <c r="AD71" i="11"/>
  <c r="FY72" i="11"/>
  <c r="HY71" i="11"/>
  <c r="JP70" i="11"/>
  <c r="JI70" i="11"/>
  <c r="GI72" i="11"/>
  <c r="IU70" i="11"/>
  <c r="IZ70" i="11"/>
  <c r="CI71" i="11"/>
  <c r="JR72" i="11"/>
  <c r="L72" i="11"/>
  <c r="AY70" i="11"/>
  <c r="KJ70" i="11"/>
  <c r="CX70" i="11"/>
  <c r="HG70" i="11"/>
  <c r="EY70" i="11"/>
  <c r="IW72" i="11"/>
  <c r="HI71" i="11"/>
  <c r="BO70" i="11"/>
  <c r="DL70" i="11"/>
  <c r="DT70" i="11"/>
  <c r="IM70" i="11"/>
  <c r="EQ71" i="11"/>
  <c r="DQ71" i="11"/>
  <c r="DQ72" i="11"/>
  <c r="EG70" i="11"/>
  <c r="HV72" i="11"/>
  <c r="DC72" i="11"/>
  <c r="FO70" i="11"/>
  <c r="FK70" i="11"/>
  <c r="JL70" i="11"/>
  <c r="CR72" i="11"/>
  <c r="FD72" i="11"/>
  <c r="IG70" i="11"/>
  <c r="ED71" i="11"/>
  <c r="CY72" i="11"/>
  <c r="EZ70" i="11"/>
  <c r="FV71" i="11"/>
  <c r="CU71" i="11"/>
  <c r="HC70" i="11"/>
  <c r="EP71" i="11"/>
  <c r="IT70" i="11"/>
  <c r="EO72" i="11"/>
  <c r="HN70" i="11"/>
  <c r="JA71" i="11"/>
  <c r="HM70" i="11"/>
  <c r="GB70" i="11"/>
  <c r="JS72" i="11"/>
  <c r="HP71" i="11"/>
  <c r="GP70" i="11"/>
  <c r="BK70" i="11"/>
  <c r="AY72" i="11"/>
  <c r="FI72" i="11"/>
  <c r="IE71" i="11"/>
  <c r="JT71" i="11"/>
  <c r="GU70" i="11"/>
  <c r="IR72" i="11"/>
  <c r="AC71" i="11"/>
  <c r="BL70" i="11"/>
  <c r="DS70" i="11"/>
  <c r="CD72" i="11"/>
  <c r="HQ70" i="11"/>
  <c r="KJ71" i="11"/>
  <c r="DD71" i="11"/>
  <c r="FT71" i="11"/>
  <c r="AE72" i="11"/>
  <c r="CI70" i="11"/>
  <c r="HR71" i="11"/>
  <c r="IE70" i="11"/>
  <c r="IX72" i="11"/>
  <c r="EQ70" i="11"/>
  <c r="EU70" i="11"/>
  <c r="CV72" i="11"/>
  <c r="CH72" i="11"/>
  <c r="IC71" i="11"/>
  <c r="BJ70" i="11"/>
  <c r="JC71" i="11"/>
  <c r="JZ72" i="11"/>
  <c r="CY70" i="11"/>
  <c r="DK72" i="11"/>
  <c r="BB70" i="11"/>
  <c r="FQ72" i="11"/>
  <c r="EX71" i="11"/>
  <c r="BZ70" i="11"/>
  <c r="DN70" i="11"/>
  <c r="HB70" i="11"/>
  <c r="BI70" i="11"/>
  <c r="G70" i="11"/>
  <c r="CR71" i="11"/>
  <c r="JN70" i="11"/>
  <c r="JY71" i="11"/>
  <c r="DO72" i="11"/>
  <c r="FB71" i="11"/>
  <c r="FK71" i="11"/>
  <c r="CZ72" i="11"/>
  <c r="FC72" i="11"/>
  <c r="HP72" i="11"/>
  <c r="BH72" i="11"/>
  <c r="AL70" i="11"/>
  <c r="FE72" i="11"/>
  <c r="JO70" i="11"/>
  <c r="CN70" i="11"/>
  <c r="JT72" i="11"/>
  <c r="IX70" i="11"/>
  <c r="CF72" i="11"/>
  <c r="GM70" i="11"/>
  <c r="CM72" i="11"/>
  <c r="CX71" i="11"/>
  <c r="DE72" i="11"/>
  <c r="GG71" i="11"/>
  <c r="T71" i="11"/>
  <c r="S71" i="11"/>
  <c r="BV72" i="11"/>
  <c r="DW72" i="11"/>
  <c r="GL72" i="11"/>
  <c r="JV71" i="11"/>
  <c r="GV70" i="11"/>
  <c r="W70" i="11"/>
  <c r="AO71" i="11"/>
  <c r="DP72" i="11"/>
  <c r="BM71" i="11"/>
  <c r="DR71" i="11"/>
  <c r="AV71" i="11"/>
  <c r="KA72" i="11"/>
  <c r="KI71" i="11"/>
  <c r="DE71" i="11"/>
  <c r="EK72" i="11"/>
  <c r="FZ71" i="11"/>
  <c r="H71" i="11"/>
  <c r="HA70" i="11"/>
  <c r="CP72" i="11"/>
  <c r="ID71" i="11"/>
  <c r="DF71" i="11"/>
  <c r="EN70" i="11"/>
  <c r="JM70" i="11"/>
  <c r="HF72" i="11"/>
  <c r="AX70" i="11"/>
  <c r="IO71" i="11"/>
  <c r="BF71" i="11"/>
  <c r="DH70" i="11"/>
  <c r="FT70" i="11"/>
  <c r="CQ70" i="11"/>
  <c r="AA70" i="11"/>
  <c r="C70" i="11"/>
  <c r="AJ71" i="11"/>
  <c r="CJ72" i="11"/>
  <c r="DU71" i="11"/>
  <c r="CM70" i="11"/>
  <c r="CP70" i="11"/>
  <c r="IM71" i="11"/>
  <c r="JU71" i="11"/>
  <c r="JQ70" i="11"/>
  <c r="EL70" i="11"/>
  <c r="KP70" i="11"/>
  <c r="DM70" i="11"/>
  <c r="CE72" i="11"/>
  <c r="BW70" i="11"/>
  <c r="IA72" i="11"/>
  <c r="KI70" i="11"/>
  <c r="GF71" i="11"/>
  <c r="JG70" i="11"/>
  <c r="EG71" i="11"/>
  <c r="DK71" i="11"/>
  <c r="GT72" i="11"/>
  <c r="AQ70" i="11"/>
  <c r="HW72" i="11"/>
  <c r="KK72" i="11"/>
  <c r="JJ71" i="11"/>
  <c r="JI72" i="11"/>
  <c r="DB70" i="11"/>
  <c r="HS72" i="11"/>
  <c r="GO71" i="11"/>
  <c r="HO70" i="11"/>
  <c r="GW71" i="11"/>
  <c r="EA70" i="11"/>
  <c r="DO70" i="11"/>
  <c r="IT71" i="11"/>
  <c r="HN72" i="11"/>
  <c r="ET72" i="11"/>
  <c r="FW70" i="11"/>
  <c r="BW72" i="11"/>
  <c r="GC71" i="11"/>
  <c r="KK71" i="11"/>
  <c r="GG72" i="11"/>
  <c r="DM72" i="11"/>
  <c r="AL72" i="11"/>
  <c r="CN71" i="11"/>
  <c r="AF71" i="11"/>
  <c r="FQ71" i="11"/>
  <c r="HT70" i="11"/>
  <c r="GR70" i="11"/>
  <c r="DI70" i="11"/>
  <c r="IF72" i="11"/>
  <c r="AE71" i="11"/>
  <c r="V72" i="11"/>
  <c r="EP70" i="11"/>
  <c r="KC70" i="11"/>
  <c r="GW70" i="11"/>
  <c r="AR72" i="11"/>
  <c r="AH71" i="11"/>
  <c r="FX70" i="11"/>
  <c r="IB71" i="11"/>
  <c r="Q70" i="11"/>
  <c r="EB72" i="11"/>
  <c r="FS72" i="11"/>
  <c r="AW70" i="11"/>
  <c r="HN71" i="11"/>
  <c r="BH70" i="11"/>
  <c r="JD72" i="11"/>
  <c r="G71" i="11"/>
  <c r="FU70" i="11"/>
  <c r="EB71" i="11"/>
  <c r="I72" i="11"/>
  <c r="R70" i="11"/>
  <c r="DC70" i="11"/>
  <c r="JS70" i="11"/>
  <c r="IQ71" i="11"/>
  <c r="KE71" i="11"/>
  <c r="AW72" i="11"/>
  <c r="DM71" i="11"/>
  <c r="KB71" i="11"/>
  <c r="DW71" i="11"/>
  <c r="EM71" i="11"/>
  <c r="KF70" i="11"/>
  <c r="IN71" i="11"/>
  <c r="AP72" i="11"/>
  <c r="FC71" i="11"/>
  <c r="IY71" i="11"/>
  <c r="CZ70" i="11"/>
  <c r="JX71" i="11"/>
  <c r="BF70" i="11"/>
  <c r="AO70" i="11"/>
  <c r="CO71" i="11"/>
  <c r="HR70" i="11"/>
  <c r="AW71" i="11"/>
  <c r="BG70" i="11"/>
  <c r="S70" i="11"/>
  <c r="HG71" i="11"/>
  <c r="IV71" i="11"/>
  <c r="IF71" i="11"/>
  <c r="FS71" i="11"/>
  <c r="JV72" i="11"/>
  <c r="EE71" i="11"/>
  <c r="KN72" i="11"/>
  <c r="DR72" i="11"/>
  <c r="H70" i="11"/>
  <c r="FF72" i="11"/>
  <c r="BV70" i="11"/>
  <c r="EN71" i="11"/>
  <c r="JV70" i="11"/>
  <c r="HD70" i="11"/>
  <c r="FM72" i="11"/>
  <c r="X70" i="11"/>
  <c r="JQ71" i="11"/>
  <c r="KC71" i="11"/>
  <c r="CQ71" i="11"/>
  <c r="X71" i="11"/>
  <c r="GB72" i="11"/>
  <c r="EJ71" i="11"/>
  <c r="HL70" i="11"/>
  <c r="IL71" i="11"/>
  <c r="GV71" i="11"/>
  <c r="JO71" i="11"/>
  <c r="HX72" i="11"/>
  <c r="EW71" i="11"/>
  <c r="CX72" i="11"/>
  <c r="KP72" i="11"/>
  <c r="EB70" i="11"/>
  <c r="FI71" i="11"/>
  <c r="EX72" i="11"/>
  <c r="HV70" i="11"/>
  <c r="BG72" i="11"/>
  <c r="JJ70" i="11"/>
  <c r="GY72" i="11"/>
  <c r="Q72" i="11"/>
  <c r="AR71" i="11"/>
  <c r="IO70" i="11"/>
  <c r="HE71" i="11"/>
  <c r="FJ71" i="11"/>
  <c r="GM71" i="11"/>
  <c r="HA71" i="11"/>
  <c r="ED72" i="11"/>
  <c r="IH72" i="11"/>
  <c r="DV71" i="11"/>
  <c r="KD72" i="11"/>
  <c r="ES70" i="11"/>
  <c r="ES71" i="11"/>
  <c r="HJ71" i="11"/>
  <c r="CA72" i="11"/>
  <c r="GM72" i="11"/>
  <c r="FG70" i="11"/>
  <c r="BW71" i="11"/>
  <c r="IH71" i="11"/>
  <c r="BL71" i="11"/>
  <c r="BJ72" i="11"/>
  <c r="FE71" i="11"/>
  <c r="AO72" i="11"/>
  <c r="CE71" i="11"/>
  <c r="T72" i="11"/>
  <c r="HP70" i="11"/>
  <c r="CG70" i="11"/>
  <c r="GH70" i="11"/>
  <c r="HD71" i="11"/>
  <c r="GI71" i="11"/>
  <c r="JR46" i="11"/>
  <c r="DP46" i="11"/>
  <c r="DX46" i="11"/>
  <c r="EJ46" i="11"/>
  <c r="FH46" i="11"/>
  <c r="KG46" i="11"/>
  <c r="JV46" i="11"/>
  <c r="JF46" i="11"/>
  <c r="HZ46" i="11"/>
  <c r="BW46" i="11"/>
  <c r="HI46" i="11"/>
  <c r="GX46" i="11"/>
  <c r="GH46" i="11"/>
  <c r="FB46" i="11"/>
  <c r="DC46" i="11"/>
  <c r="EK46" i="11"/>
  <c r="DZ46" i="11"/>
  <c r="DJ46" i="11"/>
  <c r="CD46" i="11"/>
  <c r="CX46" i="11"/>
  <c r="IN46" i="11"/>
  <c r="IV46" i="11"/>
  <c r="JX46" i="11"/>
  <c r="KF46" i="11"/>
  <c r="DR46" i="11"/>
  <c r="DG46" i="11"/>
  <c r="CQ46" i="11"/>
  <c r="BK46" i="11"/>
  <c r="DS46" i="11"/>
  <c r="AT46" i="11"/>
  <c r="AE46" i="11"/>
  <c r="G46" i="11"/>
  <c r="JN46" i="11"/>
  <c r="DI46" i="11"/>
  <c r="AN46" i="11"/>
  <c r="AV46" i="11"/>
  <c r="BH46" i="11"/>
  <c r="CF46" i="11"/>
  <c r="GP46" i="11"/>
  <c r="AC46" i="11"/>
  <c r="AK46" i="11"/>
  <c r="AA46" i="11"/>
  <c r="FE46" i="11"/>
  <c r="EA46" i="11"/>
  <c r="DQ46" i="11"/>
  <c r="DA46" i="11"/>
  <c r="BU46" i="11"/>
  <c r="JJ46" i="11"/>
  <c r="FR46" i="11"/>
  <c r="FZ46" i="11"/>
  <c r="AY46" i="11"/>
  <c r="JC46" i="11"/>
  <c r="EM46" i="11"/>
  <c r="EC46" i="11"/>
  <c r="DM46" i="11"/>
  <c r="CG46" i="11"/>
  <c r="CM46" i="11"/>
  <c r="BO46" i="11"/>
  <c r="BE46" i="11"/>
  <c r="AM46" i="11"/>
  <c r="KI46" i="11"/>
  <c r="CC46" i="11"/>
  <c r="X46" i="11"/>
  <c r="AF46" i="11"/>
  <c r="AR46" i="11"/>
  <c r="BP46" i="11"/>
  <c r="KH46" i="11"/>
  <c r="KJ46" i="11"/>
  <c r="E46" i="11"/>
  <c r="AG46" i="11"/>
  <c r="AO46" i="11"/>
  <c r="IY46" i="11"/>
  <c r="IO46" i="11"/>
  <c r="HY46" i="11"/>
  <c r="GS46" i="11"/>
  <c r="KC46" i="11"/>
  <c r="GA46" i="11"/>
  <c r="FQ46" i="11"/>
  <c r="FA46" i="11"/>
  <c r="DU46" i="11"/>
  <c r="HA46" i="11"/>
  <c r="EV46" i="11"/>
  <c r="FD46" i="11"/>
  <c r="FP46" i="11"/>
  <c r="GN46" i="11"/>
  <c r="IP46" i="11"/>
  <c r="IE46" i="11"/>
  <c r="HO46" i="11"/>
  <c r="GI46" i="11"/>
  <c r="BM46" i="11"/>
  <c r="CK46" i="11"/>
  <c r="BZ46" i="11"/>
  <c r="BJ46" i="11"/>
  <c r="W46" i="11"/>
  <c r="KM46" i="11"/>
  <c r="H46" i="11"/>
  <c r="P46" i="11"/>
  <c r="AB46" i="11"/>
  <c r="AZ46" i="11"/>
  <c r="IA46" i="11"/>
  <c r="JT46" i="11"/>
  <c r="KB46" i="11"/>
  <c r="Q46" i="11"/>
  <c r="Y46" i="11"/>
  <c r="CA46" i="11"/>
  <c r="BQ46" i="11"/>
  <c r="BA46" i="11"/>
  <c r="J46" i="11"/>
  <c r="JM46" i="11"/>
  <c r="AD46" i="11"/>
  <c r="N46" i="11"/>
  <c r="L46" i="11"/>
  <c r="AJ46" i="11"/>
  <c r="FO46" i="11"/>
  <c r="JD46" i="11"/>
  <c r="JL46" i="11"/>
  <c r="KN46" i="11"/>
  <c r="I46" i="11"/>
  <c r="CW46" i="11"/>
  <c r="CL46" i="11"/>
  <c r="BV46" i="11"/>
  <c r="AP46" i="11"/>
  <c r="ET46" i="11"/>
  <c r="O46" i="11"/>
  <c r="KO46" i="11"/>
  <c r="JY46" i="11"/>
  <c r="IS46" i="11"/>
  <c r="GK46" i="11"/>
  <c r="BT46" i="11"/>
  <c r="CB46" i="11"/>
  <c r="CN46" i="11"/>
  <c r="DL46" i="11"/>
  <c r="GD46" i="11"/>
  <c r="FS46" i="11"/>
  <c r="FC46" i="11"/>
  <c r="DW46" i="11"/>
  <c r="JU46" i="11"/>
  <c r="DN46" i="11"/>
  <c r="DK46" i="11"/>
  <c r="CE46" i="11"/>
  <c r="JS46" i="11"/>
  <c r="GW46" i="11"/>
  <c r="ED46" i="11"/>
  <c r="FX46" i="11"/>
  <c r="HE46" i="11"/>
  <c r="FM46" i="11"/>
  <c r="GY46" i="11"/>
  <c r="EL46" i="11"/>
  <c r="BS46" i="11"/>
  <c r="HQ46" i="11"/>
  <c r="CJ46" i="11"/>
  <c r="AQ46" i="11"/>
  <c r="GG46" i="11"/>
  <c r="DT46" i="11"/>
  <c r="GV46" i="11"/>
  <c r="JP46" i="11"/>
  <c r="HL46" i="11"/>
  <c r="JQ46" i="11"/>
  <c r="CO46" i="11"/>
  <c r="EH46" i="11"/>
  <c r="EY46" i="11"/>
  <c r="C46" i="11"/>
  <c r="ID46" i="11"/>
  <c r="BR46" i="11"/>
  <c r="CY46" i="11"/>
  <c r="GF46" i="11"/>
  <c r="AH46" i="11"/>
  <c r="IX46" i="11"/>
  <c r="IB46" i="11"/>
  <c r="HF46" i="11"/>
  <c r="HH46" i="11"/>
  <c r="JO46" i="11"/>
  <c r="D46" i="11"/>
  <c r="HN46" i="11"/>
  <c r="HT46" i="11"/>
  <c r="FU46" i="11"/>
  <c r="IL46" i="11"/>
  <c r="FK46" i="11"/>
  <c r="FN46" i="11"/>
  <c r="V46" i="11"/>
  <c r="CV46" i="11"/>
  <c r="GL46" i="11"/>
  <c r="EF46" i="11"/>
  <c r="JK46" i="11"/>
  <c r="CS46" i="11"/>
  <c r="EG46" i="11"/>
  <c r="EW46" i="11"/>
  <c r="CI46" i="11"/>
  <c r="ES46" i="11"/>
  <c r="HK46" i="11"/>
  <c r="BG46" i="11"/>
  <c r="HM46" i="11"/>
  <c r="EB46" i="11"/>
  <c r="ER46" i="11"/>
  <c r="JW46" i="11"/>
  <c r="DY46" i="11"/>
  <c r="AW46" i="11"/>
  <c r="EO46" i="11"/>
  <c r="BI46" i="11"/>
  <c r="DB46" i="11"/>
  <c r="BF46" i="11"/>
  <c r="KA46" i="11"/>
  <c r="HS46" i="11"/>
  <c r="FF46" i="11"/>
  <c r="JB46" i="11"/>
  <c r="HD46" i="11"/>
  <c r="JI46" i="11"/>
  <c r="GZ46" i="11"/>
  <c r="JE46" i="11"/>
  <c r="HV46" i="11"/>
  <c r="KE46" i="11"/>
  <c r="AX46" i="11"/>
  <c r="IZ46" i="11"/>
  <c r="CH46" i="11"/>
  <c r="DF46" i="11"/>
  <c r="KD46" i="11"/>
  <c r="HR46" i="11"/>
  <c r="HU46" i="11"/>
  <c r="IG46" i="11"/>
  <c r="T46" i="11"/>
  <c r="BD46" i="11"/>
  <c r="FV46" i="11"/>
  <c r="EN46" i="11"/>
  <c r="JA46" i="11"/>
  <c r="GM46" i="11"/>
  <c r="EI46" i="11"/>
  <c r="CT46" i="11"/>
  <c r="FY46" i="11"/>
  <c r="CP46" i="11"/>
  <c r="IW46" i="11"/>
  <c r="IC46" i="11"/>
  <c r="DD46" i="11"/>
  <c r="IQ46" i="11"/>
  <c r="GB46" i="11"/>
  <c r="HX46" i="11"/>
  <c r="M46" i="11"/>
  <c r="AI46" i="11"/>
  <c r="DO46" i="11"/>
  <c r="FI46" i="11"/>
  <c r="BL46" i="11"/>
  <c r="AU46" i="11"/>
  <c r="IU46" i="11"/>
  <c r="HC46" i="11"/>
  <c r="EU46" i="11"/>
  <c r="FL46" i="11"/>
  <c r="GU46" i="11"/>
  <c r="GR46" i="11"/>
  <c r="KK46" i="11"/>
  <c r="HB46" i="11"/>
  <c r="KP46" i="11"/>
  <c r="BN46" i="11"/>
  <c r="IR46" i="11"/>
  <c r="CZ46" i="11"/>
  <c r="FG46" i="11"/>
  <c r="CU46" i="11"/>
  <c r="U46" i="11"/>
  <c r="HG46" i="11"/>
  <c r="HJ46" i="11"/>
  <c r="BC46" i="11"/>
  <c r="Z46" i="11"/>
  <c r="S46" i="11"/>
  <c r="F46" i="11"/>
  <c r="FW46" i="11"/>
  <c r="EE46" i="11"/>
  <c r="FT46" i="11"/>
  <c r="FJ46" i="11"/>
  <c r="R46" i="11"/>
  <c r="IH46" i="11"/>
  <c r="IJ46" i="11"/>
  <c r="BY46" i="11"/>
  <c r="HP46" i="11"/>
  <c r="II46" i="11"/>
  <c r="IT46" i="11"/>
  <c r="EQ46" i="11"/>
  <c r="JH46" i="11"/>
  <c r="HW46" i="11"/>
  <c r="GQ46" i="11"/>
  <c r="GT46" i="11"/>
  <c r="AS46" i="11"/>
  <c r="JZ46" i="11"/>
  <c r="GC46" i="11"/>
  <c r="DH46" i="11"/>
  <c r="GE46" i="11"/>
  <c r="GJ46" i="11"/>
  <c r="GO46" i="11"/>
  <c r="IF46" i="11"/>
  <c r="DV46" i="11"/>
  <c r="BB46" i="11"/>
  <c r="JG46" i="11"/>
  <c r="AL46" i="11"/>
  <c r="K46" i="11"/>
  <c r="EP46" i="11"/>
  <c r="IM46" i="11"/>
  <c r="DE46" i="11"/>
  <c r="EZ46" i="11"/>
  <c r="CR46" i="11"/>
  <c r="EX46" i="11"/>
  <c r="IK46" i="11"/>
  <c r="KL46" i="11"/>
  <c r="BX46" i="11"/>
  <c r="C62" i="11"/>
  <c r="G62" i="11"/>
  <c r="K62" i="11"/>
  <c r="O62" i="11"/>
  <c r="S62" i="11"/>
  <c r="W62" i="11"/>
  <c r="D62" i="11"/>
  <c r="H62" i="11"/>
  <c r="L62" i="11"/>
  <c r="P62" i="11"/>
  <c r="T62" i="11"/>
  <c r="X62" i="11"/>
  <c r="AB62" i="11"/>
  <c r="E62" i="11"/>
  <c r="I62" i="11"/>
  <c r="M62" i="11"/>
  <c r="Q62" i="11"/>
  <c r="U62" i="11"/>
  <c r="Y62" i="11"/>
  <c r="AC62" i="11"/>
  <c r="AG62" i="11"/>
  <c r="AK62" i="11"/>
  <c r="AO62" i="11"/>
  <c r="F62" i="11"/>
  <c r="V62" i="11"/>
  <c r="AE62" i="11"/>
  <c r="AJ62" i="11"/>
  <c r="AP62" i="11"/>
  <c r="AT62" i="11"/>
  <c r="AX62" i="11"/>
  <c r="BB62" i="11"/>
  <c r="BF62" i="11"/>
  <c r="BJ62" i="11"/>
  <c r="BN62" i="11"/>
  <c r="BR62" i="11"/>
  <c r="BV62" i="11"/>
  <c r="BZ62" i="11"/>
  <c r="CD62" i="11"/>
  <c r="CH62" i="11"/>
  <c r="CL62" i="11"/>
  <c r="CP62" i="11"/>
  <c r="CT62" i="11"/>
  <c r="CX62" i="11"/>
  <c r="DB62" i="11"/>
  <c r="DF62" i="11"/>
  <c r="DJ62" i="11"/>
  <c r="DN62" i="11"/>
  <c r="DR62" i="11"/>
  <c r="DV62" i="11"/>
  <c r="DZ62" i="11"/>
  <c r="ED62" i="11"/>
  <c r="EH62" i="11"/>
  <c r="EL62" i="11"/>
  <c r="EP62" i="11"/>
  <c r="ET62" i="11"/>
  <c r="EX62" i="11"/>
  <c r="FB62" i="11"/>
  <c r="FF62" i="11"/>
  <c r="FJ62" i="11"/>
  <c r="FN62" i="11"/>
  <c r="FR62" i="11"/>
  <c r="FV62" i="11"/>
  <c r="FZ62" i="11"/>
  <c r="GD62" i="11"/>
  <c r="GH62" i="11"/>
  <c r="GL62" i="11"/>
  <c r="GP62" i="11"/>
  <c r="GT62" i="11"/>
  <c r="GX62" i="11"/>
  <c r="HB62" i="11"/>
  <c r="HF62" i="11"/>
  <c r="HJ62" i="11"/>
  <c r="HN62" i="11"/>
  <c r="HR62" i="11"/>
  <c r="HV62" i="11"/>
  <c r="HZ62" i="11"/>
  <c r="ID62" i="11"/>
  <c r="IH62" i="11"/>
  <c r="IL62" i="11"/>
  <c r="IP62" i="11"/>
  <c r="IT62" i="11"/>
  <c r="IX62" i="11"/>
  <c r="JB62" i="11"/>
  <c r="JF62" i="11"/>
  <c r="JJ62" i="11"/>
  <c r="JN62" i="11"/>
  <c r="JR62" i="11"/>
  <c r="JV62" i="11"/>
  <c r="JZ62" i="11"/>
  <c r="KD62" i="11"/>
  <c r="KH62" i="11"/>
  <c r="KL62" i="11"/>
  <c r="KP62" i="11"/>
  <c r="J62" i="11"/>
  <c r="Z62" i="11"/>
  <c r="AF62" i="11"/>
  <c r="AL62" i="11"/>
  <c r="AQ62" i="11"/>
  <c r="AU62" i="11"/>
  <c r="AY62" i="11"/>
  <c r="BC62" i="11"/>
  <c r="BG62" i="11"/>
  <c r="BK62" i="11"/>
  <c r="BO62" i="11"/>
  <c r="BS62" i="11"/>
  <c r="BW62" i="11"/>
  <c r="CA62" i="11"/>
  <c r="CE62" i="11"/>
  <c r="CI62" i="11"/>
  <c r="CM62" i="11"/>
  <c r="CQ62" i="11"/>
  <c r="CU62" i="11"/>
  <c r="CY62" i="11"/>
  <c r="DC62" i="11"/>
  <c r="DG62" i="11"/>
  <c r="DK62" i="11"/>
  <c r="DO62" i="11"/>
  <c r="DS62" i="11"/>
  <c r="DW62" i="11"/>
  <c r="EA62" i="11"/>
  <c r="EE62" i="11"/>
  <c r="EI62" i="11"/>
  <c r="EM62" i="11"/>
  <c r="EQ62" i="11"/>
  <c r="EU62" i="11"/>
  <c r="EY62" i="11"/>
  <c r="FC62" i="11"/>
  <c r="FG62" i="11"/>
  <c r="FK62" i="11"/>
  <c r="FO62" i="11"/>
  <c r="FS62" i="11"/>
  <c r="FW62" i="11"/>
  <c r="GA62" i="11"/>
  <c r="GE62" i="11"/>
  <c r="GI62" i="11"/>
  <c r="GM62" i="11"/>
  <c r="GQ62" i="11"/>
  <c r="GU62" i="11"/>
  <c r="GY62" i="11"/>
  <c r="HC62" i="11"/>
  <c r="HG62" i="11"/>
  <c r="HK62" i="11"/>
  <c r="HO62" i="11"/>
  <c r="HS62" i="11"/>
  <c r="HW62" i="11"/>
  <c r="IA62" i="11"/>
  <c r="IE62" i="11"/>
  <c r="II62" i="11"/>
  <c r="IM62" i="11"/>
  <c r="IQ62" i="11"/>
  <c r="IU62" i="11"/>
  <c r="IY62" i="11"/>
  <c r="JC62" i="11"/>
  <c r="JG62" i="11"/>
  <c r="JK62" i="11"/>
  <c r="JO62" i="11"/>
  <c r="JS62" i="11"/>
  <c r="JW62" i="11"/>
  <c r="KA62" i="11"/>
  <c r="KE62" i="11"/>
  <c r="KI62" i="11"/>
  <c r="KM62" i="11"/>
  <c r="N62" i="11"/>
  <c r="AA62" i="11"/>
  <c r="AH62" i="11"/>
  <c r="AM62" i="11"/>
  <c r="AR62" i="11"/>
  <c r="AV62" i="11"/>
  <c r="AZ62" i="11"/>
  <c r="BD62" i="11"/>
  <c r="BH62" i="11"/>
  <c r="BL62" i="11"/>
  <c r="BP62" i="11"/>
  <c r="BT62" i="11"/>
  <c r="BX62" i="11"/>
  <c r="CB62" i="11"/>
  <c r="CF62" i="11"/>
  <c r="CJ62" i="11"/>
  <c r="CN62" i="11"/>
  <c r="CR62" i="11"/>
  <c r="CV62" i="11"/>
  <c r="CZ62" i="11"/>
  <c r="DD62" i="11"/>
  <c r="DH62" i="11"/>
  <c r="DL62" i="11"/>
  <c r="DP62" i="11"/>
  <c r="DT62" i="11"/>
  <c r="DX62" i="11"/>
  <c r="EB62" i="11"/>
  <c r="EF62" i="11"/>
  <c r="EJ62" i="11"/>
  <c r="EN62" i="11"/>
  <c r="ER62" i="11"/>
  <c r="EV62" i="11"/>
  <c r="EZ62" i="11"/>
  <c r="FD62" i="11"/>
  <c r="FH62" i="11"/>
  <c r="FL62" i="11"/>
  <c r="FP62" i="11"/>
  <c r="FT62" i="11"/>
  <c r="FX62" i="11"/>
  <c r="GB62" i="11"/>
  <c r="GF62" i="11"/>
  <c r="GJ62" i="11"/>
  <c r="GN62" i="11"/>
  <c r="GR62" i="11"/>
  <c r="GV62" i="11"/>
  <c r="GZ62" i="11"/>
  <c r="HD62" i="11"/>
  <c r="HH62" i="11"/>
  <c r="HL62" i="11"/>
  <c r="HP62" i="11"/>
  <c r="HT62" i="11"/>
  <c r="HX62" i="11"/>
  <c r="IB62" i="11"/>
  <c r="IF62" i="11"/>
  <c r="IJ62" i="11"/>
  <c r="IN62" i="11"/>
  <c r="IR62" i="11"/>
  <c r="IV62" i="11"/>
  <c r="IZ62" i="11"/>
  <c r="JD62" i="11"/>
  <c r="JH62" i="11"/>
  <c r="JL62" i="11"/>
  <c r="JP62" i="11"/>
  <c r="JT62" i="11"/>
  <c r="JX62" i="11"/>
  <c r="KB62" i="11"/>
  <c r="KF62" i="11"/>
  <c r="KJ62" i="11"/>
  <c r="KN62" i="11"/>
  <c r="R62" i="11"/>
  <c r="AS62" i="11"/>
  <c r="BI62" i="11"/>
  <c r="BY62" i="11"/>
  <c r="CO62" i="11"/>
  <c r="DE62" i="11"/>
  <c r="DU62" i="11"/>
  <c r="EK62" i="11"/>
  <c r="FA62" i="11"/>
  <c r="FQ62" i="11"/>
  <c r="GG62" i="11"/>
  <c r="GW62" i="11"/>
  <c r="HM62" i="11"/>
  <c r="IC62" i="11"/>
  <c r="IS62" i="11"/>
  <c r="JI62" i="11"/>
  <c r="JY62" i="11"/>
  <c r="KO62" i="11"/>
  <c r="AD62" i="11"/>
  <c r="AW62" i="11"/>
  <c r="BM62" i="11"/>
  <c r="CC62" i="11"/>
  <c r="CS62" i="11"/>
  <c r="DI62" i="11"/>
  <c r="DY62" i="11"/>
  <c r="EO62" i="11"/>
  <c r="FE62" i="11"/>
  <c r="FU62" i="11"/>
  <c r="GK62" i="11"/>
  <c r="HA62" i="11"/>
  <c r="HQ62" i="11"/>
  <c r="IG62" i="11"/>
  <c r="IW62" i="11"/>
  <c r="JM62" i="11"/>
  <c r="KC62" i="11"/>
  <c r="AI62" i="11"/>
  <c r="BQ62" i="11"/>
  <c r="CW62" i="11"/>
  <c r="EC62" i="11"/>
  <c r="FI62" i="11"/>
  <c r="GO62" i="11"/>
  <c r="HU62" i="11"/>
  <c r="JA62" i="11"/>
  <c r="KG62" i="11"/>
  <c r="AN62" i="11"/>
  <c r="BU62" i="11"/>
  <c r="DA62" i="11"/>
  <c r="EG62" i="11"/>
  <c r="FM62" i="11"/>
  <c r="GS62" i="11"/>
  <c r="HY62" i="11"/>
  <c r="JE62" i="11"/>
  <c r="KK62" i="11"/>
  <c r="BA62" i="11"/>
  <c r="CG62" i="11"/>
  <c r="DM62" i="11"/>
  <c r="ES62" i="11"/>
  <c r="FY62" i="11"/>
  <c r="HE62" i="11"/>
  <c r="IK62" i="11"/>
  <c r="JQ62" i="11"/>
  <c r="BE62" i="11"/>
  <c r="CK62" i="11"/>
  <c r="DQ62" i="11"/>
  <c r="EW62" i="11"/>
  <c r="GC62" i="11"/>
  <c r="HI62" i="11"/>
  <c r="IO62" i="11"/>
  <c r="JU62" i="11"/>
  <c r="D67" i="11"/>
  <c r="G67" i="11"/>
  <c r="K67" i="11"/>
  <c r="O67" i="11"/>
  <c r="S67" i="11"/>
  <c r="W67" i="11"/>
  <c r="AA67" i="11"/>
  <c r="AE67" i="11"/>
  <c r="AI67" i="11"/>
  <c r="AM67" i="11"/>
  <c r="AQ67" i="11"/>
  <c r="AU67" i="11"/>
  <c r="AY67" i="11"/>
  <c r="BC67" i="11"/>
  <c r="BG67" i="11"/>
  <c r="BK67" i="11"/>
  <c r="BO67" i="11"/>
  <c r="BS67" i="11"/>
  <c r="BW67" i="11"/>
  <c r="CA67" i="11"/>
  <c r="CE67" i="11"/>
  <c r="CI67" i="11"/>
  <c r="CM67" i="11"/>
  <c r="CQ67" i="11"/>
  <c r="CU67" i="11"/>
  <c r="CY67" i="11"/>
  <c r="DC67" i="11"/>
  <c r="DG67" i="11"/>
  <c r="DK67" i="11"/>
  <c r="DO67" i="11"/>
  <c r="DS67" i="11"/>
  <c r="DW67" i="11"/>
  <c r="EA67" i="11"/>
  <c r="EE67" i="11"/>
  <c r="EI67" i="11"/>
  <c r="EM67" i="11"/>
  <c r="EQ67" i="11"/>
  <c r="EU67" i="11"/>
  <c r="EY67" i="11"/>
  <c r="FC67" i="11"/>
  <c r="FG67" i="11"/>
  <c r="FK67" i="11"/>
  <c r="FO67" i="11"/>
  <c r="FS67" i="11"/>
  <c r="FW67" i="11"/>
  <c r="GA67" i="11"/>
  <c r="GE67" i="11"/>
  <c r="GI67" i="11"/>
  <c r="GM67" i="11"/>
  <c r="GQ67" i="11"/>
  <c r="GU67" i="11"/>
  <c r="GY67" i="11"/>
  <c r="HC67" i="11"/>
  <c r="HG67" i="11"/>
  <c r="HK67" i="11"/>
  <c r="HO67" i="11"/>
  <c r="HS67" i="11"/>
  <c r="HW67" i="11"/>
  <c r="IA67" i="11"/>
  <c r="IE67" i="11"/>
  <c r="II67" i="11"/>
  <c r="IM67" i="11"/>
  <c r="IQ67" i="11"/>
  <c r="IU67" i="11"/>
  <c r="IY67" i="11"/>
  <c r="JC67" i="11"/>
  <c r="JG67" i="11"/>
  <c r="JK67" i="11"/>
  <c r="JO67" i="11"/>
  <c r="JS67" i="11"/>
  <c r="JW67" i="11"/>
  <c r="KA67" i="11"/>
  <c r="KE67" i="11"/>
  <c r="KI67" i="11"/>
  <c r="KM67" i="11"/>
  <c r="C67" i="11"/>
  <c r="H67" i="11"/>
  <c r="L67" i="11"/>
  <c r="P67" i="11"/>
  <c r="T67" i="11"/>
  <c r="X67" i="11"/>
  <c r="AB67" i="11"/>
  <c r="AF67" i="11"/>
  <c r="AJ67" i="11"/>
  <c r="AN67" i="11"/>
  <c r="AR67" i="11"/>
  <c r="AV67" i="11"/>
  <c r="AZ67" i="11"/>
  <c r="BD67" i="11"/>
  <c r="BH67" i="11"/>
  <c r="BL67" i="11"/>
  <c r="BP67" i="11"/>
  <c r="BT67" i="11"/>
  <c r="BX67" i="11"/>
  <c r="CB67" i="11"/>
  <c r="CF67" i="11"/>
  <c r="CJ67" i="11"/>
  <c r="CN67" i="11"/>
  <c r="CR67" i="11"/>
  <c r="CV67" i="11"/>
  <c r="CZ67" i="11"/>
  <c r="DD67" i="11"/>
  <c r="DH67" i="11"/>
  <c r="DL67" i="11"/>
  <c r="DP67" i="11"/>
  <c r="DT67" i="11"/>
  <c r="DX67" i="11"/>
  <c r="EB67" i="11"/>
  <c r="EF67" i="11"/>
  <c r="EJ67" i="11"/>
  <c r="EN67" i="11"/>
  <c r="ER67" i="11"/>
  <c r="EV67" i="11"/>
  <c r="EZ67" i="11"/>
  <c r="FD67" i="11"/>
  <c r="FH67" i="11"/>
  <c r="FL67" i="11"/>
  <c r="FP67" i="11"/>
  <c r="FT67" i="11"/>
  <c r="FX67" i="11"/>
  <c r="GB67" i="11"/>
  <c r="GF67" i="11"/>
  <c r="GJ67" i="11"/>
  <c r="GN67" i="11"/>
  <c r="GR67" i="11"/>
  <c r="GV67" i="11"/>
  <c r="GZ67" i="11"/>
  <c r="HD67" i="11"/>
  <c r="HH67" i="11"/>
  <c r="HL67" i="11"/>
  <c r="HP67" i="11"/>
  <c r="HT67" i="11"/>
  <c r="HX67" i="11"/>
  <c r="IB67" i="11"/>
  <c r="IF67" i="11"/>
  <c r="IJ67" i="11"/>
  <c r="IN67" i="11"/>
  <c r="IR67" i="11"/>
  <c r="IV67" i="11"/>
  <c r="IZ67" i="11"/>
  <c r="JD67" i="11"/>
  <c r="JH67" i="11"/>
  <c r="JL67" i="11"/>
  <c r="JP67" i="11"/>
  <c r="JT67" i="11"/>
  <c r="JX67" i="11"/>
  <c r="KB67" i="11"/>
  <c r="KF67" i="11"/>
  <c r="KJ67" i="11"/>
  <c r="KN67" i="11"/>
  <c r="E67" i="11"/>
  <c r="I67" i="11"/>
  <c r="M67" i="11"/>
  <c r="Q67" i="11"/>
  <c r="U67" i="11"/>
  <c r="Y67" i="11"/>
  <c r="AC67" i="11"/>
  <c r="AG67" i="11"/>
  <c r="AK67" i="11"/>
  <c r="AO67" i="11"/>
  <c r="AS67" i="11"/>
  <c r="AW67" i="11"/>
  <c r="BA67" i="11"/>
  <c r="BE67" i="11"/>
  <c r="BI67" i="11"/>
  <c r="BM67" i="11"/>
  <c r="BQ67" i="11"/>
  <c r="BU67" i="11"/>
  <c r="BY67" i="11"/>
  <c r="CC67" i="11"/>
  <c r="CG67" i="11"/>
  <c r="CK67" i="11"/>
  <c r="CO67" i="11"/>
  <c r="CS67" i="11"/>
  <c r="CW67" i="11"/>
  <c r="DA67" i="11"/>
  <c r="DE67" i="11"/>
  <c r="DI67" i="11"/>
  <c r="DM67" i="11"/>
  <c r="DQ67" i="11"/>
  <c r="DU67" i="11"/>
  <c r="DY67" i="11"/>
  <c r="EC67" i="11"/>
  <c r="EG67" i="11"/>
  <c r="EK67" i="11"/>
  <c r="EO67" i="11"/>
  <c r="ES67" i="11"/>
  <c r="EW67" i="11"/>
  <c r="FA67" i="11"/>
  <c r="FE67" i="11"/>
  <c r="FI67" i="11"/>
  <c r="FM67" i="11"/>
  <c r="FQ67" i="11"/>
  <c r="FU67" i="11"/>
  <c r="FY67" i="11"/>
  <c r="GC67" i="11"/>
  <c r="GG67" i="11"/>
  <c r="GK67" i="11"/>
  <c r="GO67" i="11"/>
  <c r="GS67" i="11"/>
  <c r="GW67" i="11"/>
  <c r="HA67" i="11"/>
  <c r="HE67" i="11"/>
  <c r="HI67" i="11"/>
  <c r="HM67" i="11"/>
  <c r="HQ67" i="11"/>
  <c r="HU67" i="11"/>
  <c r="HY67" i="11"/>
  <c r="IC67" i="11"/>
  <c r="IG67" i="11"/>
  <c r="IK67" i="11"/>
  <c r="IO67" i="11"/>
  <c r="IS67" i="11"/>
  <c r="IW67" i="11"/>
  <c r="JA67" i="11"/>
  <c r="JE67" i="11"/>
  <c r="JI67" i="11"/>
  <c r="JM67" i="11"/>
  <c r="JQ67" i="11"/>
  <c r="JU67" i="11"/>
  <c r="JY67" i="11"/>
  <c r="KC67" i="11"/>
  <c r="KG67" i="11"/>
  <c r="KK67" i="11"/>
  <c r="KO67" i="11"/>
  <c r="F67" i="11"/>
  <c r="J67" i="11"/>
  <c r="N67" i="11"/>
  <c r="R67" i="11"/>
  <c r="V67" i="11"/>
  <c r="Z67" i="11"/>
  <c r="AD67" i="11"/>
  <c r="AH67" i="11"/>
  <c r="AL67" i="11"/>
  <c r="AP67" i="11"/>
  <c r="AT67" i="11"/>
  <c r="BB67" i="11"/>
  <c r="BR67" i="11"/>
  <c r="CH67" i="11"/>
  <c r="CX67" i="11"/>
  <c r="DN67" i="11"/>
  <c r="ED67" i="11"/>
  <c r="ET67" i="11"/>
  <c r="FJ67" i="11"/>
  <c r="FZ67" i="11"/>
  <c r="GP67" i="11"/>
  <c r="HF67" i="11"/>
  <c r="HV67" i="11"/>
  <c r="IL67" i="11"/>
  <c r="JB67" i="11"/>
  <c r="JR67" i="11"/>
  <c r="KH67" i="11"/>
  <c r="BZ67" i="11"/>
  <c r="DF67" i="11"/>
  <c r="EL67" i="11"/>
  <c r="FB67" i="11"/>
  <c r="GX67" i="11"/>
  <c r="HN67" i="11"/>
  <c r="IT67" i="11"/>
  <c r="JJ67" i="11"/>
  <c r="KP67" i="11"/>
  <c r="BN67" i="11"/>
  <c r="CD67" i="11"/>
  <c r="DJ67" i="11"/>
  <c r="EP67" i="11"/>
  <c r="FV67" i="11"/>
  <c r="HB67" i="11"/>
  <c r="IH67" i="11"/>
  <c r="JN67" i="11"/>
  <c r="BF67" i="11"/>
  <c r="BV67" i="11"/>
  <c r="CL67" i="11"/>
  <c r="DB67" i="11"/>
  <c r="DR67" i="11"/>
  <c r="EH67" i="11"/>
  <c r="EX67" i="11"/>
  <c r="FN67" i="11"/>
  <c r="GD67" i="11"/>
  <c r="GT67" i="11"/>
  <c r="HJ67" i="11"/>
  <c r="HZ67" i="11"/>
  <c r="IP67" i="11"/>
  <c r="JF67" i="11"/>
  <c r="JV67" i="11"/>
  <c r="KL67" i="11"/>
  <c r="BJ67" i="11"/>
  <c r="CP67" i="11"/>
  <c r="DV67" i="11"/>
  <c r="GH67" i="11"/>
  <c r="ID67" i="11"/>
  <c r="JZ67" i="11"/>
  <c r="AX67" i="11"/>
  <c r="CT67" i="11"/>
  <c r="DZ67" i="11"/>
  <c r="FF67" i="11"/>
  <c r="GL67" i="11"/>
  <c r="HR67" i="11"/>
  <c r="IX67" i="11"/>
  <c r="KD67" i="11"/>
  <c r="FR67" i="11"/>
  <c r="CF19" i="23" l="1"/>
  <c r="S19" i="23"/>
  <c r="BM19" i="23"/>
  <c r="K19" i="23"/>
  <c r="BV6" i="17"/>
  <c r="AN19" i="23"/>
  <c r="BN19" i="23"/>
  <c r="Q19" i="23"/>
  <c r="BX19" i="23"/>
  <c r="AP19" i="23"/>
  <c r="CC19" i="23"/>
  <c r="AS19" i="23"/>
  <c r="BE19" i="23"/>
  <c r="AK19" i="23"/>
  <c r="CW19" i="23"/>
  <c r="AO19" i="23"/>
  <c r="CQ19" i="23"/>
  <c r="P19" i="23"/>
  <c r="AQ19" i="23"/>
  <c r="AI19" i="23"/>
  <c r="I19" i="23"/>
  <c r="M19" i="23"/>
  <c r="AD19" i="23"/>
  <c r="BR19" i="23"/>
  <c r="L19" i="23"/>
  <c r="R19" i="23"/>
  <c r="X19" i="23"/>
  <c r="CB19" i="23"/>
  <c r="BW19" i="23"/>
  <c r="BT19" i="23"/>
  <c r="CI19" i="23"/>
  <c r="BG19" i="23"/>
  <c r="D19" i="23"/>
  <c r="CM19" i="23"/>
  <c r="AZ19" i="23"/>
  <c r="CJ19" i="23"/>
  <c r="AJ19" i="23"/>
  <c r="BP19" i="23"/>
  <c r="CN19" i="23"/>
  <c r="AM19" i="23"/>
  <c r="AG19" i="23"/>
  <c r="G19" i="23"/>
  <c r="CO19" i="23"/>
  <c r="CK19" i="23"/>
  <c r="CU19" i="23"/>
  <c r="J19" i="23"/>
  <c r="CL19" i="23"/>
  <c r="AE19" i="23"/>
  <c r="AA19" i="23"/>
  <c r="BK19" i="23"/>
  <c r="F19" i="23"/>
  <c r="AH19" i="23"/>
  <c r="CD19" i="23"/>
  <c r="AR19" i="23"/>
  <c r="BQ19" i="23"/>
  <c r="N19" i="23"/>
  <c r="CS19" i="23"/>
  <c r="BF19" i="23"/>
  <c r="CX19" i="23"/>
  <c r="BV19" i="23"/>
  <c r="O19" i="23"/>
  <c r="Y19" i="23"/>
  <c r="CA19" i="23"/>
  <c r="AT19" i="23"/>
  <c r="BA19" i="23"/>
  <c r="CT19" i="23"/>
  <c r="BJ19" i="23"/>
  <c r="U19" i="23"/>
  <c r="AW19" i="23"/>
  <c r="Z19" i="23"/>
  <c r="BH19" i="23"/>
  <c r="CG19" i="23"/>
  <c r="CR19" i="23"/>
  <c r="AV19" i="23"/>
  <c r="W19" i="23"/>
  <c r="BO19" i="23"/>
  <c r="AC19" i="23"/>
  <c r="BL19" i="23"/>
  <c r="BD19" i="23"/>
  <c r="BC19" i="23"/>
  <c r="BB19" i="23"/>
  <c r="BY19" i="23"/>
  <c r="AB19" i="23"/>
  <c r="C19" i="23"/>
  <c r="CE19" i="23"/>
  <c r="CP19" i="23"/>
  <c r="E19" i="23"/>
  <c r="T19" i="23"/>
  <c r="AU19" i="23"/>
  <c r="CV19" i="23"/>
  <c r="BZ19" i="23"/>
  <c r="AY19" i="23"/>
  <c r="V19" i="23"/>
  <c r="AL19" i="23"/>
  <c r="AX19" i="23"/>
  <c r="CH19" i="23"/>
  <c r="H19" i="23"/>
  <c r="AF19" i="23"/>
  <c r="BU19" i="23"/>
  <c r="BI19" i="23"/>
  <c r="DB5" i="17"/>
  <c r="CS5" i="17"/>
  <c r="CJ5" i="17"/>
  <c r="CW5" i="17"/>
  <c r="DA5" i="17"/>
  <c r="CP5" i="17"/>
  <c r="CL5" i="17"/>
  <c r="CQ5" i="17"/>
  <c r="CI5" i="17"/>
  <c r="CH5" i="17"/>
  <c r="CZ5" i="17"/>
  <c r="DC5" i="17"/>
  <c r="CX5" i="17"/>
  <c r="CR5" i="17"/>
  <c r="CU5" i="17"/>
  <c r="CT5" i="17"/>
  <c r="CN5" i="17"/>
  <c r="CM5" i="17"/>
  <c r="CK5" i="17"/>
  <c r="CY5" i="17"/>
  <c r="DD5" i="17"/>
  <c r="CV5" i="17"/>
  <c r="CG5" i="17"/>
  <c r="CO5" i="17"/>
  <c r="DI4" i="17"/>
  <c r="DZ4" i="17"/>
  <c r="EC4" i="17"/>
  <c r="DX4" i="17"/>
  <c r="EB4" i="17"/>
  <c r="EA4" i="17"/>
  <c r="DK4" i="17"/>
  <c r="DV4" i="17"/>
  <c r="DG4" i="17"/>
  <c r="DU4" i="17"/>
  <c r="DM4" i="17"/>
  <c r="DN4" i="17"/>
  <c r="DJ4" i="17"/>
  <c r="DO4" i="17"/>
  <c r="DS4" i="17"/>
  <c r="DT4" i="17"/>
  <c r="DW4" i="17"/>
  <c r="DR4" i="17"/>
  <c r="DQ4" i="17"/>
  <c r="ED4" i="17"/>
  <c r="DL4" i="17"/>
  <c r="DP4" i="17"/>
  <c r="DH4" i="17"/>
  <c r="DY4" i="17"/>
  <c r="L49" i="7"/>
  <c r="G49" i="7"/>
  <c r="X51" i="7"/>
  <c r="L50" i="7"/>
  <c r="H51" i="7"/>
  <c r="G50" i="7"/>
  <c r="X50" i="7"/>
  <c r="O49" i="7"/>
  <c r="Y51" i="7"/>
  <c r="E50" i="7"/>
  <c r="AA49" i="7"/>
  <c r="Z50" i="7"/>
  <c r="S50" i="7"/>
  <c r="S51" i="7"/>
  <c r="U51" i="7"/>
  <c r="U50" i="7"/>
  <c r="R50" i="7"/>
  <c r="AA51" i="7"/>
  <c r="P50" i="7"/>
  <c r="M50" i="7"/>
  <c r="P49" i="7"/>
  <c r="Y49" i="7"/>
  <c r="N49" i="7"/>
  <c r="I51" i="7"/>
  <c r="E51" i="7"/>
  <c r="D49" i="7"/>
  <c r="P51" i="7"/>
  <c r="E49" i="7"/>
  <c r="S49" i="7"/>
  <c r="D51" i="7"/>
  <c r="W49" i="7"/>
  <c r="R51" i="7"/>
  <c r="K51" i="7"/>
  <c r="T49" i="7"/>
  <c r="D50" i="7"/>
  <c r="G51" i="7"/>
  <c r="Q51" i="7"/>
  <c r="L51" i="7"/>
  <c r="Q49" i="7"/>
  <c r="R49" i="7"/>
  <c r="K50" i="7"/>
  <c r="O51" i="7"/>
  <c r="J49" i="7"/>
  <c r="K49" i="7"/>
  <c r="N51" i="7"/>
  <c r="O50" i="7"/>
  <c r="U49" i="7"/>
  <c r="W51" i="7"/>
  <c r="Z51" i="7"/>
  <c r="I49" i="7"/>
  <c r="F49" i="7"/>
  <c r="V49" i="7"/>
  <c r="H49" i="7"/>
  <c r="V50" i="7"/>
  <c r="J51" i="7"/>
  <c r="F51" i="7"/>
  <c r="X49" i="7"/>
  <c r="Y50" i="7"/>
  <c r="I50" i="7"/>
  <c r="W50" i="7"/>
  <c r="T50" i="7"/>
  <c r="J50" i="7"/>
  <c r="V51" i="7"/>
  <c r="Q50" i="7"/>
  <c r="Z49" i="7"/>
  <c r="N50" i="7"/>
  <c r="F50" i="7"/>
  <c r="M51" i="7"/>
  <c r="T51" i="7"/>
  <c r="H50" i="7"/>
  <c r="AA50" i="7"/>
  <c r="M49" i="7"/>
  <c r="CB6" i="17"/>
  <c r="C16" i="23" a="1"/>
  <c r="C74" i="11" a="1"/>
  <c r="C63" i="11" a="1"/>
  <c r="D52" i="7" l="1" a="1"/>
  <c r="AM16" i="23"/>
  <c r="CN16" i="23"/>
  <c r="BN16" i="23"/>
  <c r="CP16" i="23"/>
  <c r="U16" i="23"/>
  <c r="CL16" i="23"/>
  <c r="BJ16" i="23"/>
  <c r="CH16" i="23"/>
  <c r="BV16" i="23"/>
  <c r="BO16" i="23"/>
  <c r="H16" i="23"/>
  <c r="CC16" i="23"/>
  <c r="BE16" i="23"/>
  <c r="AB16" i="23"/>
  <c r="CR16" i="23"/>
  <c r="BK16" i="23"/>
  <c r="AZ16" i="23"/>
  <c r="BQ16" i="23"/>
  <c r="BD16" i="23"/>
  <c r="AO16" i="23"/>
  <c r="BG16" i="23"/>
  <c r="X16" i="23"/>
  <c r="CO16" i="23"/>
  <c r="BC16" i="23"/>
  <c r="Y16" i="23"/>
  <c r="P16" i="23"/>
  <c r="W16" i="23"/>
  <c r="BH16" i="23"/>
  <c r="I16" i="23"/>
  <c r="AP16" i="23"/>
  <c r="BP16" i="23"/>
  <c r="BF16" i="23"/>
  <c r="AF16" i="23"/>
  <c r="AD16" i="23"/>
  <c r="BL16" i="23"/>
  <c r="CW16" i="23"/>
  <c r="AV16" i="23"/>
  <c r="AH16" i="23"/>
  <c r="AY16" i="23"/>
  <c r="CJ16" i="23"/>
  <c r="R16" i="23"/>
  <c r="BR16" i="23"/>
  <c r="E16" i="23"/>
  <c r="AK16" i="23"/>
  <c r="CI16" i="23"/>
  <c r="BB16" i="23"/>
  <c r="AX16" i="23"/>
  <c r="AA16" i="23"/>
  <c r="CM16" i="23"/>
  <c r="BS16" i="23"/>
  <c r="Z16" i="23"/>
  <c r="Q16" i="23"/>
  <c r="CG16" i="23"/>
  <c r="AW16" i="23"/>
  <c r="CE16" i="23"/>
  <c r="G16" i="23"/>
  <c r="M16" i="23"/>
  <c r="CT16" i="23"/>
  <c r="BI16" i="23"/>
  <c r="BY16" i="23"/>
  <c r="C16" i="23"/>
  <c r="CX16" i="23"/>
  <c r="CB16" i="23"/>
  <c r="BW16" i="23"/>
  <c r="AN16" i="23"/>
  <c r="AJ16" i="23"/>
  <c r="K16" i="23"/>
  <c r="CV16" i="23"/>
  <c r="AU16" i="23"/>
  <c r="S16" i="23"/>
  <c r="CD16" i="23"/>
  <c r="BZ16" i="23"/>
  <c r="AG16" i="23"/>
  <c r="AL16" i="23"/>
  <c r="N16" i="23"/>
  <c r="BX16" i="23"/>
  <c r="AI16" i="23"/>
  <c r="CK16" i="23"/>
  <c r="CU16" i="23"/>
  <c r="O16" i="23"/>
  <c r="CF16" i="23"/>
  <c r="BU16" i="23"/>
  <c r="AS16" i="23"/>
  <c r="AQ16" i="23"/>
  <c r="AT16" i="23"/>
  <c r="BA16" i="23"/>
  <c r="CA16" i="23"/>
  <c r="AR16" i="23"/>
  <c r="AC16" i="23"/>
  <c r="CQ16" i="23"/>
  <c r="D16" i="23"/>
  <c r="T16" i="23"/>
  <c r="F16" i="23"/>
  <c r="AE16" i="23"/>
  <c r="BM16" i="23"/>
  <c r="J16" i="23"/>
  <c r="L16" i="23"/>
  <c r="CS16" i="23"/>
  <c r="V16" i="23"/>
  <c r="BT16" i="23"/>
  <c r="IH63" i="11"/>
  <c r="EW63" i="11"/>
  <c r="GZ63" i="11"/>
  <c r="FT63" i="11"/>
  <c r="DN63" i="11"/>
  <c r="O63" i="11"/>
  <c r="P63" i="11"/>
  <c r="AH63" i="11"/>
  <c r="CL63" i="11"/>
  <c r="IP63" i="11"/>
  <c r="BM63" i="11"/>
  <c r="AS63" i="11"/>
  <c r="FX63" i="11"/>
  <c r="BT63" i="11"/>
  <c r="Q63" i="11"/>
  <c r="BS63" i="11"/>
  <c r="L63" i="11"/>
  <c r="GV63" i="11"/>
  <c r="AU63" i="11"/>
  <c r="AJ63" i="11"/>
  <c r="HX63" i="11"/>
  <c r="BA63" i="11"/>
  <c r="CU63" i="11"/>
  <c r="D63" i="11"/>
  <c r="JN63" i="11"/>
  <c r="BF63" i="11"/>
  <c r="JH63" i="11"/>
  <c r="JW63" i="11"/>
  <c r="EU63" i="11"/>
  <c r="ES63" i="11"/>
  <c r="KL63" i="11"/>
  <c r="GL63" i="11"/>
  <c r="CW63" i="11"/>
  <c r="DX63" i="11"/>
  <c r="FJ63" i="11"/>
  <c r="HT63" i="11"/>
  <c r="FQ63" i="11"/>
  <c r="DC63" i="11"/>
  <c r="JG63" i="11"/>
  <c r="CX63" i="11"/>
  <c r="BP63" i="11"/>
  <c r="JJ63" i="11"/>
  <c r="HE63" i="11"/>
  <c r="GG63" i="11"/>
  <c r="EH63" i="11"/>
  <c r="CM63" i="11"/>
  <c r="FY63" i="11"/>
  <c r="ID63" i="11"/>
  <c r="IB63" i="11"/>
  <c r="DP63" i="11"/>
  <c r="FC63" i="11"/>
  <c r="IT63" i="11"/>
  <c r="HL63" i="11"/>
  <c r="W63" i="11"/>
  <c r="FH63" i="11"/>
  <c r="JQ63" i="11"/>
  <c r="HM63" i="11"/>
  <c r="J63" i="11"/>
  <c r="HP63" i="11"/>
  <c r="BE63" i="11"/>
  <c r="HG63" i="11"/>
  <c r="JV63" i="11"/>
  <c r="JF63" i="11"/>
  <c r="X63" i="11"/>
  <c r="FG63" i="11"/>
  <c r="KA63" i="11"/>
  <c r="DJ63" i="11"/>
  <c r="AM63" i="11"/>
  <c r="EJ63" i="11"/>
  <c r="GE63" i="11"/>
  <c r="HC63" i="11"/>
  <c r="DK63" i="11"/>
  <c r="FB63" i="11"/>
  <c r="HH63" i="11"/>
  <c r="HI63" i="11"/>
  <c r="DG63" i="11"/>
  <c r="HZ63" i="11"/>
  <c r="BG63" i="11"/>
  <c r="CC63" i="11"/>
  <c r="EO63" i="11"/>
  <c r="KE63" i="11"/>
  <c r="JO63" i="11"/>
  <c r="T63" i="11"/>
  <c r="R63" i="11"/>
  <c r="GR63" i="11"/>
  <c r="EA63" i="11"/>
  <c r="EN63" i="11"/>
  <c r="BC63" i="11"/>
  <c r="FZ63" i="11"/>
  <c r="BL63" i="11"/>
  <c r="EI63" i="11"/>
  <c r="AV63" i="11"/>
  <c r="JM63" i="11"/>
  <c r="HS63" i="11"/>
  <c r="AN63" i="11"/>
  <c r="DM63" i="11"/>
  <c r="S63" i="11"/>
  <c r="BI63" i="11"/>
  <c r="CZ63" i="11"/>
  <c r="FI63" i="11"/>
  <c r="BX63" i="11"/>
  <c r="Y63" i="11"/>
  <c r="JS63" i="11"/>
  <c r="EB63" i="11"/>
  <c r="DB63" i="11"/>
  <c r="JE63" i="11"/>
  <c r="GS63" i="11"/>
  <c r="GI63" i="11"/>
  <c r="FV63" i="11"/>
  <c r="CV63" i="11"/>
  <c r="GW63" i="11"/>
  <c r="GU63" i="11"/>
  <c r="FR63" i="11"/>
  <c r="DY63" i="11"/>
  <c r="JK63" i="11"/>
  <c r="CP63" i="11"/>
  <c r="CD63" i="11"/>
  <c r="KN63" i="11"/>
  <c r="JC63" i="11"/>
  <c r="JA63" i="11"/>
  <c r="CT63" i="11"/>
  <c r="CQ63" i="11"/>
  <c r="CK63" i="11"/>
  <c r="BR63" i="11"/>
  <c r="HJ63" i="11"/>
  <c r="EL63" i="11"/>
  <c r="GK63" i="11"/>
  <c r="FA63" i="11"/>
  <c r="HD63" i="11"/>
  <c r="FL63" i="11"/>
  <c r="EV63" i="11"/>
  <c r="HW63" i="11"/>
  <c r="IX63" i="11"/>
  <c r="IR63" i="11"/>
  <c r="KF63" i="11"/>
  <c r="DO63" i="11"/>
  <c r="CR63" i="11"/>
  <c r="F63" i="11"/>
  <c r="AW63" i="11"/>
  <c r="AC63" i="11"/>
  <c r="AL63" i="11"/>
  <c r="U63" i="11"/>
  <c r="Z63" i="11"/>
  <c r="BU63" i="11"/>
  <c r="IG63" i="11"/>
  <c r="HY63" i="11"/>
  <c r="FN63" i="11"/>
  <c r="C63" i="11"/>
  <c r="JR63" i="11"/>
  <c r="GY63" i="11"/>
  <c r="HB63" i="11"/>
  <c r="EE63" i="11"/>
  <c r="KD63" i="11"/>
  <c r="BK63" i="11"/>
  <c r="I63" i="11"/>
  <c r="EZ63" i="11"/>
  <c r="BQ63" i="11"/>
  <c r="DR63" i="11"/>
  <c r="EX63" i="11"/>
  <c r="JI63" i="11"/>
  <c r="GJ63" i="11"/>
  <c r="BW63" i="11"/>
  <c r="EG63" i="11"/>
  <c r="GC63" i="11"/>
  <c r="CJ63" i="11"/>
  <c r="FW63" i="11"/>
  <c r="EM63" i="11"/>
  <c r="DA63" i="11"/>
  <c r="BH63" i="11"/>
  <c r="E63" i="11"/>
  <c r="G63" i="11"/>
  <c r="IJ63" i="11"/>
  <c r="BN63" i="11"/>
  <c r="HA63" i="11"/>
  <c r="EQ63" i="11"/>
  <c r="DQ63" i="11"/>
  <c r="EC63" i="11"/>
  <c r="IM63" i="11"/>
  <c r="V63" i="11"/>
  <c r="JX63" i="11"/>
  <c r="KC63" i="11"/>
  <c r="BY63" i="11"/>
  <c r="JD63" i="11"/>
  <c r="FK63" i="11"/>
  <c r="FF63" i="11"/>
  <c r="IQ63" i="11"/>
  <c r="IZ63" i="11"/>
  <c r="IW63" i="11"/>
  <c r="GT63" i="11"/>
  <c r="AT63" i="11"/>
  <c r="IC63" i="11"/>
  <c r="BV63" i="11"/>
  <c r="FO63" i="11"/>
  <c r="GP63" i="11"/>
  <c r="DF63" i="11"/>
  <c r="IK63" i="11"/>
  <c r="CS63" i="11"/>
  <c r="CO63" i="11"/>
  <c r="BJ63" i="11"/>
  <c r="KJ63" i="11"/>
  <c r="AR63" i="11"/>
  <c r="CY63" i="11"/>
  <c r="HF63" i="11"/>
  <c r="IL63" i="11"/>
  <c r="FD63" i="11"/>
  <c r="HK63" i="11"/>
  <c r="ED63" i="11"/>
  <c r="IF63" i="11"/>
  <c r="KO63" i="11"/>
  <c r="IA63" i="11"/>
  <c r="DT63" i="11"/>
  <c r="AD63" i="11"/>
  <c r="DU63" i="11"/>
  <c r="AA63" i="11"/>
  <c r="IO63" i="11"/>
  <c r="II63" i="11"/>
  <c r="JP63" i="11"/>
  <c r="ET63" i="11"/>
  <c r="GA63" i="11"/>
  <c r="IV63" i="11"/>
  <c r="KH63" i="11"/>
  <c r="GX63" i="11"/>
  <c r="IU63" i="11"/>
  <c r="AX63" i="11"/>
  <c r="GQ63" i="11"/>
  <c r="HR63" i="11"/>
  <c r="AB63" i="11"/>
  <c r="CH63" i="11"/>
  <c r="IN63" i="11"/>
  <c r="FS63" i="11"/>
  <c r="GH63" i="11"/>
  <c r="EP63" i="11"/>
  <c r="JU63" i="11"/>
  <c r="CB63" i="11"/>
  <c r="FU63" i="11"/>
  <c r="IS63" i="11"/>
  <c r="KB63" i="11"/>
  <c r="EY63" i="11"/>
  <c r="JB63" i="11"/>
  <c r="GN63" i="11"/>
  <c r="JT63" i="11"/>
  <c r="CE63" i="11"/>
  <c r="HO63" i="11"/>
  <c r="DV63" i="11"/>
  <c r="AF63" i="11"/>
  <c r="DH63" i="11"/>
  <c r="KK63" i="11"/>
  <c r="BB63" i="11"/>
  <c r="KM63" i="11"/>
  <c r="KG63" i="11"/>
  <c r="H63" i="11"/>
  <c r="CF63" i="11"/>
  <c r="GM63" i="11"/>
  <c r="AI63" i="11"/>
  <c r="DW63" i="11"/>
  <c r="N63" i="11"/>
  <c r="BZ63" i="11"/>
  <c r="EK63" i="11"/>
  <c r="EF63" i="11"/>
  <c r="KI63" i="11"/>
  <c r="GB63" i="11"/>
  <c r="HN63" i="11"/>
  <c r="GO63" i="11"/>
  <c r="DD63" i="11"/>
  <c r="DE63" i="11"/>
  <c r="AK63" i="11"/>
  <c r="JZ63" i="11"/>
  <c r="DI63" i="11"/>
  <c r="AY63" i="11"/>
  <c r="AZ63" i="11"/>
  <c r="AE63" i="11"/>
  <c r="FP63" i="11"/>
  <c r="AG63" i="11"/>
  <c r="CA63" i="11"/>
  <c r="AQ63" i="11"/>
  <c r="CN63" i="11"/>
  <c r="KP63" i="11"/>
  <c r="M63" i="11"/>
  <c r="AO63" i="11"/>
  <c r="HQ63" i="11"/>
  <c r="GD63" i="11"/>
  <c r="AP63" i="11"/>
  <c r="ER63" i="11"/>
  <c r="GF63" i="11"/>
  <c r="DZ63" i="11"/>
  <c r="JY63" i="11"/>
  <c r="HV63" i="11"/>
  <c r="K63" i="11"/>
  <c r="CI63" i="11"/>
  <c r="IE63" i="11"/>
  <c r="DS63" i="11"/>
  <c r="FE63" i="11"/>
  <c r="IY63" i="11"/>
  <c r="JL63" i="11"/>
  <c r="DL63" i="11"/>
  <c r="HU63" i="11"/>
  <c r="CG63" i="11"/>
  <c r="FM63" i="11"/>
  <c r="BO63" i="11"/>
  <c r="BD63" i="11"/>
  <c r="BO74" i="11"/>
  <c r="FU74" i="11"/>
  <c r="KC74" i="11"/>
  <c r="JJ74" i="11"/>
  <c r="KA74" i="11"/>
  <c r="JP74" i="11"/>
  <c r="DJ74" i="11"/>
  <c r="Y74" i="11"/>
  <c r="GW74" i="11"/>
  <c r="GP74" i="11"/>
  <c r="AR74" i="11"/>
  <c r="EP74" i="11"/>
  <c r="CP74" i="11"/>
  <c r="GE74" i="11"/>
  <c r="HN74" i="11"/>
  <c r="JU74" i="11"/>
  <c r="IC74" i="11"/>
  <c r="EQ74" i="11"/>
  <c r="BU74" i="11"/>
  <c r="T74" i="11"/>
  <c r="BM74" i="11"/>
  <c r="I74" i="11"/>
  <c r="DX74" i="11"/>
  <c r="W74" i="11"/>
  <c r="JT74" i="11"/>
  <c r="GA74" i="11"/>
  <c r="IK74" i="11"/>
  <c r="FS74" i="11"/>
  <c r="CC74" i="11"/>
  <c r="BK74" i="11"/>
  <c r="DP74" i="11"/>
  <c r="BH74" i="11"/>
  <c r="BZ74" i="11"/>
  <c r="DO74" i="11"/>
  <c r="FD74" i="11"/>
  <c r="FL74" i="11"/>
  <c r="HE74" i="11"/>
  <c r="JD74" i="11"/>
  <c r="Z74" i="11"/>
  <c r="DE74" i="11"/>
  <c r="GN74" i="11"/>
  <c r="DM74" i="11"/>
  <c r="HM74" i="11"/>
  <c r="KM74" i="11"/>
  <c r="DW74" i="11"/>
  <c r="JQ74" i="11"/>
  <c r="CI74" i="11"/>
  <c r="FK74" i="11"/>
  <c r="AM74" i="11"/>
  <c r="JX74" i="11"/>
  <c r="JH74" i="11"/>
  <c r="EJ74" i="11"/>
  <c r="DL74" i="11"/>
  <c r="AP74" i="11"/>
  <c r="IW74" i="11"/>
  <c r="BF74" i="11"/>
  <c r="EF74" i="11"/>
  <c r="EW74" i="11"/>
  <c r="KD74" i="11"/>
  <c r="HL74" i="11"/>
  <c r="EV74" i="11"/>
  <c r="CS74" i="11"/>
  <c r="R74" i="11"/>
  <c r="GJ74" i="11"/>
  <c r="M74" i="11"/>
  <c r="EE74" i="11"/>
  <c r="KB74" i="11"/>
  <c r="HG74" i="11"/>
  <c r="GD74" i="11"/>
  <c r="HX74" i="11"/>
  <c r="AZ74" i="11"/>
  <c r="IZ74" i="11"/>
  <c r="AC74" i="11"/>
  <c r="AQ74" i="11"/>
  <c r="GI74" i="11"/>
  <c r="FC74" i="11"/>
  <c r="CG74" i="11"/>
  <c r="DY74" i="11"/>
  <c r="DR74" i="11"/>
  <c r="J74" i="11"/>
  <c r="HB74" i="11"/>
  <c r="FZ74" i="11"/>
  <c r="BP74" i="11"/>
  <c r="JS74" i="11"/>
  <c r="HO74" i="11"/>
  <c r="IP74" i="11"/>
  <c r="GX74" i="11"/>
  <c r="EY74" i="11"/>
  <c r="JM74" i="11"/>
  <c r="FO74" i="11"/>
  <c r="HI74" i="11"/>
  <c r="BY74" i="11"/>
  <c r="JW74" i="11"/>
  <c r="ID74" i="11"/>
  <c r="BT74" i="11"/>
  <c r="IS74" i="11"/>
  <c r="S74" i="11"/>
  <c r="IU74" i="11"/>
  <c r="N74" i="11"/>
  <c r="AE74" i="11"/>
  <c r="JN74" i="11"/>
  <c r="EX74" i="11"/>
  <c r="AB74" i="11"/>
  <c r="CY74" i="11"/>
  <c r="G74" i="11"/>
  <c r="KK74" i="11"/>
  <c r="CK74" i="11"/>
  <c r="JR74" i="11"/>
  <c r="DQ74" i="11"/>
  <c r="FB74" i="11"/>
  <c r="EU74" i="11"/>
  <c r="EO74" i="11"/>
  <c r="HF74" i="11"/>
  <c r="AN74" i="11"/>
  <c r="HY74" i="11"/>
  <c r="FT74" i="11"/>
  <c r="KH74" i="11"/>
  <c r="DN74" i="11"/>
  <c r="BN74" i="11"/>
  <c r="FG74" i="11"/>
  <c r="GR74" i="11"/>
  <c r="GS74" i="11"/>
  <c r="KO74" i="11"/>
  <c r="DH74" i="11"/>
  <c r="BI74" i="11"/>
  <c r="CO74" i="11"/>
  <c r="AY74" i="11"/>
  <c r="FN74" i="11"/>
  <c r="U74" i="11"/>
  <c r="CR74" i="11"/>
  <c r="HQ74" i="11"/>
  <c r="IG74" i="11"/>
  <c r="BD74" i="11"/>
  <c r="AH74" i="11"/>
  <c r="GC74" i="11"/>
  <c r="EZ74" i="11"/>
  <c r="EN74" i="11"/>
  <c r="CT74" i="11"/>
  <c r="CD74" i="11"/>
  <c r="AK74" i="11"/>
  <c r="HJ74" i="11"/>
  <c r="Q74" i="11"/>
  <c r="CF74" i="11"/>
  <c r="ET74" i="11"/>
  <c r="CJ74" i="11"/>
  <c r="DC74" i="11"/>
  <c r="F74" i="11"/>
  <c r="IN74" i="11"/>
  <c r="AF74" i="11"/>
  <c r="JE74" i="11"/>
  <c r="DD74" i="11"/>
  <c r="BS74" i="11"/>
  <c r="BQ74" i="11"/>
  <c r="BG74" i="11"/>
  <c r="DF74" i="11"/>
  <c r="KP74" i="11"/>
  <c r="JC74" i="11"/>
  <c r="HR74" i="11"/>
  <c r="CZ74" i="11"/>
  <c r="CQ74" i="11"/>
  <c r="IO74" i="11"/>
  <c r="V74" i="11"/>
  <c r="FH74" i="11"/>
  <c r="JA74" i="11"/>
  <c r="IR74" i="11"/>
  <c r="HP74" i="11"/>
  <c r="DG74" i="11"/>
  <c r="HD74" i="11"/>
  <c r="KG74" i="11"/>
  <c r="CA74" i="11"/>
  <c r="FJ74" i="11"/>
  <c r="P74" i="11"/>
  <c r="BB74" i="11"/>
  <c r="IH74" i="11"/>
  <c r="II74" i="11"/>
  <c r="FQ74" i="11"/>
  <c r="BE74" i="11"/>
  <c r="IA74" i="11"/>
  <c r="DA74" i="11"/>
  <c r="GZ74" i="11"/>
  <c r="KL74" i="11"/>
  <c r="IB74" i="11"/>
  <c r="GY74" i="11"/>
  <c r="JO74" i="11"/>
  <c r="EH74" i="11"/>
  <c r="GK74" i="11"/>
  <c r="BL74" i="11"/>
  <c r="EB74" i="11"/>
  <c r="KI74" i="11"/>
  <c r="JG74" i="11"/>
  <c r="K74" i="11"/>
  <c r="IX74" i="11"/>
  <c r="FX74" i="11"/>
  <c r="HT74" i="11"/>
  <c r="GB74" i="11"/>
  <c r="BJ74" i="11"/>
  <c r="AL74" i="11"/>
  <c r="EL74" i="11"/>
  <c r="BA74" i="11"/>
  <c r="EK74" i="11"/>
  <c r="HK74" i="11"/>
  <c r="CX74" i="11"/>
  <c r="FR74" i="11"/>
  <c r="DS74" i="11"/>
  <c r="HV74" i="11"/>
  <c r="EG74" i="11"/>
  <c r="CU74" i="11"/>
  <c r="DV74" i="11"/>
  <c r="IY74" i="11"/>
  <c r="DZ74" i="11"/>
  <c r="DU74" i="11"/>
  <c r="BC74" i="11"/>
  <c r="HA74" i="11"/>
  <c r="H74" i="11"/>
  <c r="CN74" i="11"/>
  <c r="AA74" i="11"/>
  <c r="AX74" i="11"/>
  <c r="CM74" i="11"/>
  <c r="EA74" i="11"/>
  <c r="AV74" i="11"/>
  <c r="FM74" i="11"/>
  <c r="E74" i="11"/>
  <c r="CB74" i="11"/>
  <c r="GO74" i="11"/>
  <c r="FP74" i="11"/>
  <c r="KJ74" i="11"/>
  <c r="ED74" i="11"/>
  <c r="BW74" i="11"/>
  <c r="EI74" i="11"/>
  <c r="BX74" i="11"/>
  <c r="BV74" i="11"/>
  <c r="AO74" i="11"/>
  <c r="JV74" i="11"/>
  <c r="EM74" i="11"/>
  <c r="FY74" i="11"/>
  <c r="HW74" i="11"/>
  <c r="GU74" i="11"/>
  <c r="CL74" i="11"/>
  <c r="KN74" i="11"/>
  <c r="JF74" i="11"/>
  <c r="JK74" i="11"/>
  <c r="HS74" i="11"/>
  <c r="GT74" i="11"/>
  <c r="AW74" i="11"/>
  <c r="KE74" i="11"/>
  <c r="HZ74" i="11"/>
  <c r="EC74" i="11"/>
  <c r="CV74" i="11"/>
  <c r="GF74" i="11"/>
  <c r="AU74" i="11"/>
  <c r="IT74" i="11"/>
  <c r="AT74" i="11"/>
  <c r="JZ74" i="11"/>
  <c r="AS74" i="11"/>
  <c r="FI74" i="11"/>
  <c r="IV74" i="11"/>
  <c r="HU74" i="11"/>
  <c r="IQ74" i="11"/>
  <c r="AI74" i="11"/>
  <c r="AJ74" i="11"/>
  <c r="KF74" i="11"/>
  <c r="IJ74" i="11"/>
  <c r="HH74" i="11"/>
  <c r="FA74" i="11"/>
  <c r="O74" i="11"/>
  <c r="CW74" i="11"/>
  <c r="DB74" i="11"/>
  <c r="FV74" i="11"/>
  <c r="L74" i="11"/>
  <c r="IM74" i="11"/>
  <c r="IL74" i="11"/>
  <c r="IF74" i="11"/>
  <c r="C74" i="11"/>
  <c r="ER74" i="11"/>
  <c r="GQ74" i="11"/>
  <c r="GL74" i="11"/>
  <c r="GM74" i="11"/>
  <c r="FW74" i="11"/>
  <c r="ES74" i="11"/>
  <c r="DT74" i="11"/>
  <c r="FF74" i="11"/>
  <c r="JL74" i="11"/>
  <c r="AD74" i="11"/>
  <c r="DK74" i="11"/>
  <c r="FE74" i="11"/>
  <c r="GH74" i="11"/>
  <c r="AG74" i="11"/>
  <c r="HC74" i="11"/>
  <c r="DI74" i="11"/>
  <c r="X74" i="11"/>
  <c r="JB74" i="11"/>
  <c r="CE74" i="11"/>
  <c r="BR74" i="11"/>
  <c r="CH74" i="11"/>
  <c r="IE74" i="11"/>
  <c r="GV74" i="11"/>
  <c r="GG74" i="11"/>
  <c r="D74" i="11"/>
  <c r="JI74" i="11"/>
  <c r="JY74" i="11"/>
  <c r="K54" i="7" l="1"/>
  <c r="N52" i="7"/>
  <c r="L53" i="7"/>
  <c r="Z53" i="7"/>
  <c r="E53" i="7"/>
  <c r="H53" i="7"/>
  <c r="F54" i="7"/>
  <c r="U53" i="7"/>
  <c r="E54" i="7"/>
  <c r="V52" i="7"/>
  <c r="R52" i="7"/>
  <c r="I52" i="7"/>
  <c r="Y54" i="7"/>
  <c r="U52" i="7"/>
  <c r="Q53" i="7"/>
  <c r="E52" i="7"/>
  <c r="K52" i="7"/>
  <c r="AA53" i="7"/>
  <c r="W53" i="7"/>
  <c r="O53" i="7"/>
  <c r="M54" i="7"/>
  <c r="S52" i="7"/>
  <c r="D54" i="7"/>
  <c r="D53" i="7"/>
  <c r="CG8" i="17" s="1" a="1"/>
  <c r="R54" i="7"/>
  <c r="G52" i="7"/>
  <c r="W54" i="7"/>
  <c r="O52" i="7"/>
  <c r="R53" i="7"/>
  <c r="P54" i="7"/>
  <c r="T54" i="7"/>
  <c r="N54" i="7"/>
  <c r="P53" i="7"/>
  <c r="P52" i="7"/>
  <c r="W52" i="7"/>
  <c r="D52" i="7"/>
  <c r="DG7" i="17" s="1" a="1"/>
  <c r="F52" i="7"/>
  <c r="M52" i="7"/>
  <c r="F53" i="7"/>
  <c r="L54" i="7"/>
  <c r="J52" i="7"/>
  <c r="O54" i="7"/>
  <c r="J53" i="7"/>
  <c r="I53" i="7"/>
  <c r="V54" i="7"/>
  <c r="U54" i="7"/>
  <c r="T52" i="7"/>
  <c r="AA54" i="7"/>
  <c r="X53" i="7"/>
  <c r="G53" i="7"/>
  <c r="M53" i="7"/>
  <c r="H54" i="7"/>
  <c r="S53" i="7"/>
  <c r="Y52" i="7"/>
  <c r="X54" i="7"/>
  <c r="N53" i="7"/>
  <c r="Z52" i="7"/>
  <c r="AA52" i="7"/>
  <c r="S54" i="7"/>
  <c r="J54" i="7"/>
  <c r="T53" i="7"/>
  <c r="L52" i="7"/>
  <c r="X52" i="7"/>
  <c r="H52" i="7"/>
  <c r="I54" i="7"/>
  <c r="K53" i="7"/>
  <c r="V53" i="7"/>
  <c r="Q52" i="7"/>
  <c r="Q54" i="7"/>
  <c r="G54" i="7"/>
  <c r="Z54" i="7"/>
  <c r="Y53" i="7"/>
  <c r="DP7" i="17" l="1"/>
  <c r="DQ7" i="17"/>
  <c r="EC7" i="17"/>
  <c r="ED7" i="17"/>
  <c r="DY7" i="17"/>
  <c r="DX7" i="17"/>
  <c r="DL7" i="17"/>
  <c r="DK7" i="17"/>
  <c r="DG7" i="17"/>
  <c r="DW7" i="17"/>
  <c r="DS7" i="17"/>
  <c r="DV7" i="17"/>
  <c r="DI7" i="17"/>
  <c r="DT7" i="17"/>
  <c r="DR7" i="17"/>
  <c r="DJ7" i="17"/>
  <c r="DU7" i="17"/>
  <c r="DZ7" i="17"/>
  <c r="DO7" i="17"/>
  <c r="DM7" i="17"/>
  <c r="EB7" i="17"/>
  <c r="DN7" i="17"/>
  <c r="DH7" i="17"/>
  <c r="EA7" i="17"/>
  <c r="CK8" i="17"/>
  <c r="CJ8" i="17"/>
  <c r="CN8" i="17"/>
  <c r="CH8" i="17"/>
  <c r="DB8" i="17"/>
  <c r="CQ8" i="17"/>
  <c r="CO8" i="17"/>
  <c r="CI8" i="17"/>
  <c r="CZ8" i="17"/>
  <c r="CR8" i="17"/>
  <c r="CW8" i="17"/>
  <c r="CU8" i="17"/>
  <c r="CG8" i="17"/>
  <c r="CP8" i="17"/>
  <c r="DC8" i="17"/>
  <c r="CL8" i="17"/>
  <c r="CM8" i="17"/>
  <c r="CX8" i="17"/>
  <c r="CV8" i="17"/>
  <c r="DA8" i="17"/>
  <c r="DD8" i="17"/>
  <c r="CT8" i="17"/>
  <c r="CS8" i="17"/>
  <c r="CY8" i="17"/>
  <c r="BB4" i="17" a="1"/>
  <c r="BC4" i="17" a="1"/>
  <c r="BD4" i="17" a="1"/>
  <c r="BE4" i="17" a="1"/>
  <c r="BF4" i="17" a="1"/>
  <c r="BG4" i="17" a="1"/>
  <c r="BH4" i="17" a="1"/>
  <c r="BI4" i="17" a="1"/>
  <c r="BJ4" i="17" a="1"/>
  <c r="BK4" i="17" a="1"/>
  <c r="BL4" i="17" a="1"/>
  <c r="BM4" i="17" a="1"/>
  <c r="BN4" i="17" a="1"/>
  <c r="BO4" i="17" a="1"/>
  <c r="BP4" i="17" a="1"/>
  <c r="C2" i="18" a="1"/>
  <c r="C3" i="18" a="1"/>
  <c r="I2" i="26" a="1"/>
  <c r="M2" i="26" a="1"/>
  <c r="O2" i="26" a="1"/>
  <c r="K2" i="26" a="1"/>
  <c r="C6" i="18" l="1" a="1"/>
  <c r="C8" i="18" l="1" a="1"/>
  <c r="C11" i="18" l="1" a="1"/>
  <c r="C10" i="18" l="1" a="1"/>
  <c r="C22" i="23" a="1"/>
  <c r="H22" i="23" l="1"/>
  <c r="C22" i="23"/>
  <c r="CE22" i="23"/>
  <c r="BS22" i="23"/>
  <c r="CD22" i="23"/>
  <c r="V22" i="23"/>
  <c r="Y22" i="23"/>
  <c r="BX22" i="23"/>
  <c r="M22" i="23"/>
  <c r="BW22" i="23"/>
  <c r="BM22" i="23"/>
  <c r="BN22" i="23"/>
  <c r="W22" i="23"/>
  <c r="AN22" i="23"/>
  <c r="CK22" i="23"/>
  <c r="BT22" i="23"/>
  <c r="CW22" i="23"/>
  <c r="AM22" i="23"/>
  <c r="AR22" i="23"/>
  <c r="J22" i="23"/>
  <c r="K22" i="23"/>
  <c r="AG22" i="23"/>
  <c r="CA22" i="23"/>
  <c r="CG22" i="23"/>
  <c r="AD22" i="23"/>
  <c r="BP22" i="23"/>
  <c r="D22" i="23"/>
  <c r="AT22" i="23"/>
  <c r="BE22" i="23"/>
  <c r="CS22" i="23"/>
  <c r="BC22" i="23"/>
  <c r="T22" i="23"/>
  <c r="AV22" i="23"/>
  <c r="AZ22" i="23"/>
  <c r="CN22" i="23"/>
  <c r="L22" i="23"/>
  <c r="AK22" i="23"/>
  <c r="CF22" i="23"/>
  <c r="P22" i="23"/>
  <c r="CI22" i="23"/>
  <c r="I22" i="23"/>
  <c r="AA22" i="23"/>
  <c r="AL22" i="23"/>
  <c r="AW22" i="23"/>
  <c r="BA22" i="23"/>
  <c r="CQ22" i="23"/>
  <c r="R22" i="23"/>
  <c r="BI22" i="23"/>
  <c r="BU22" i="23"/>
  <c r="CT22" i="23"/>
  <c r="CL22" i="23"/>
  <c r="CM22" i="23"/>
  <c r="AY22" i="23"/>
  <c r="AF22" i="23"/>
  <c r="BJ22" i="23"/>
  <c r="CX22" i="23"/>
  <c r="BL22" i="23"/>
  <c r="AQ22" i="23"/>
  <c r="Q22" i="23"/>
  <c r="CC22" i="23"/>
  <c r="AO22" i="23"/>
  <c r="AP22" i="23"/>
  <c r="AE22" i="23"/>
  <c r="BR22" i="23"/>
  <c r="G22" i="23"/>
  <c r="BB22" i="23"/>
  <c r="CO22" i="23"/>
  <c r="BQ22" i="23"/>
  <c r="N22" i="23"/>
  <c r="CB22" i="23"/>
  <c r="CR22" i="23"/>
  <c r="U22" i="23"/>
  <c r="BY22" i="23"/>
  <c r="X22" i="23"/>
  <c r="AS22" i="23"/>
  <c r="Z22" i="23"/>
  <c r="AI22" i="23"/>
  <c r="CH22" i="23"/>
  <c r="CV22" i="23"/>
  <c r="AU22" i="23"/>
  <c r="BH22" i="23"/>
  <c r="BK22" i="23"/>
  <c r="CP22" i="23"/>
  <c r="AB22" i="23"/>
  <c r="AC22" i="23"/>
  <c r="S22" i="23"/>
  <c r="CU22" i="23"/>
  <c r="BO22" i="23"/>
  <c r="O22" i="23"/>
  <c r="CJ22" i="23"/>
  <c r="BV22" i="23"/>
  <c r="BF22" i="23"/>
  <c r="F22" i="23"/>
  <c r="BD22" i="23"/>
  <c r="AX22" i="23"/>
  <c r="E22" i="23"/>
  <c r="AH22" i="23"/>
  <c r="BZ22" i="23"/>
  <c r="AJ22" i="23"/>
  <c r="BG22" i="23"/>
  <c r="D4" i="10" l="1" a="1"/>
  <c r="D14" i="10" a="1"/>
  <c r="D91" i="22" l="1" a="1"/>
  <c r="D204" i="10" a="1"/>
  <c r="D205" i="10" a="1"/>
  <c r="D49" i="22" a="1"/>
  <c r="D7" i="22" a="1"/>
  <c r="D99" i="10" a="1"/>
  <c r="D85" i="10" a="1"/>
  <c r="D113" i="10" a="1"/>
  <c r="D357" i="10" l="1" a="1"/>
  <c r="D155" i="10" a="1"/>
  <c r="H2" i="26" a="1"/>
  <c r="D343" i="10" l="1" a="1"/>
  <c r="E7" i="21" l="1" a="1"/>
  <c r="Q2" i="26" l="1" a="1"/>
  <c r="J2" i="26" a="1"/>
  <c r="C7" i="18" l="1" a="1"/>
  <c r="E2" i="26" l="1" a="1"/>
  <c r="D18" i="10" a="1"/>
  <c r="D186" i="10" l="1" a="1"/>
  <c r="D169" i="10" l="1" a="1"/>
  <c r="D278" i="10" a="1"/>
  <c r="D12" i="10" l="1" a="1"/>
  <c r="D401" i="10" l="1" a="1"/>
  <c r="D4" i="16" l="1" a="1"/>
  <c r="D21" i="10" a="1"/>
  <c r="F2" i="26" a="1"/>
  <c r="G2" i="26" a="1"/>
  <c r="L2" i="26" a="1"/>
  <c r="D203" i="10" a="1"/>
  <c r="D185" i="10" a="1"/>
  <c r="D325" i="10" a="1"/>
  <c r="D264" i="10" a="1"/>
  <c r="D127" i="10" l="1" a="1"/>
  <c r="D22" i="10" a="1"/>
  <c r="D24" i="10" a="1"/>
  <c r="D27" i="10" a="1"/>
  <c r="D25" i="10" a="1"/>
  <c r="D28" i="10" a="1"/>
  <c r="D16" i="10" a="1"/>
  <c r="D29" i="10" a="1"/>
  <c r="D26" i="10" a="1"/>
  <c r="D23" i="10" a="1"/>
  <c r="D7" i="16" l="1" a="1"/>
  <c r="C35" i="23" a="1"/>
  <c r="C54" i="23"/>
  <c r="E11" i="24"/>
  <c r="E14" i="24"/>
  <c r="J3" i="8"/>
  <c r="AD3" i="8"/>
  <c r="E3" i="8"/>
  <c r="T3" i="8"/>
  <c r="O3" i="8"/>
  <c r="Y3" i="8"/>
  <c r="AI3" i="8"/>
  <c r="C59" i="23"/>
  <c r="C35" i="23"/>
  <c r="AD5" i="17" a="1"/>
  <c r="AD6" i="17"/>
  <c r="C57" i="23"/>
  <c r="E12" i="24"/>
  <c r="D43" i="10" a="1"/>
  <c r="S46" i="10"/>
  <c r="H642" i="26" s="1"/>
  <c r="C56" i="23"/>
  <c r="X52" i="10"/>
  <c r="H871" i="26" s="1"/>
  <c r="X164" i="10"/>
  <c r="H870" i="26"/>
  <c r="O53" i="10"/>
  <c r="H495" i="26" s="1"/>
  <c r="O137" i="10"/>
  <c r="T52" i="10"/>
  <c r="H702" i="26" s="1"/>
  <c r="Z52" i="10"/>
  <c r="H954" i="26" s="1"/>
  <c r="H955" i="26"/>
  <c r="P53" i="10"/>
  <c r="H537" i="26" s="1"/>
  <c r="H538" i="26"/>
  <c r="U49" i="10"/>
  <c r="H736" i="26" s="1"/>
  <c r="Q46" i="10"/>
  <c r="H558" i="26" s="1"/>
  <c r="V46" i="10"/>
  <c r="V130" i="10" s="1"/>
  <c r="AF15" i="17"/>
  <c r="AD15" i="17"/>
  <c r="K44" i="10"/>
  <c r="H300" i="26" s="1"/>
  <c r="Z53" i="10"/>
  <c r="H958" i="26" s="1"/>
  <c r="Q52" i="10"/>
  <c r="H577" i="26" s="1"/>
  <c r="H576" i="26"/>
  <c r="Q164" i="10"/>
  <c r="X49" i="10"/>
  <c r="X161" i="10" s="1"/>
  <c r="N54" i="10"/>
  <c r="N166" i="10" s="1"/>
  <c r="K52" i="10"/>
  <c r="H325" i="26" s="1"/>
  <c r="H324" i="26"/>
  <c r="L46" i="10"/>
  <c r="H349" i="26" s="1"/>
  <c r="L43" i="10"/>
  <c r="L155" i="10" s="1"/>
  <c r="R55" i="10"/>
  <c r="R167" i="10" s="1"/>
  <c r="R139" i="10"/>
  <c r="K54" i="10"/>
  <c r="H329" i="26" s="1"/>
  <c r="I48" i="10"/>
  <c r="H228" i="26" s="1"/>
  <c r="Y51" i="10"/>
  <c r="H909" i="26" s="1"/>
  <c r="F45" i="10"/>
  <c r="F157" i="10" s="1"/>
  <c r="E47" i="10"/>
  <c r="H56" i="26" s="1"/>
  <c r="H57" i="26"/>
  <c r="H58" i="26"/>
  <c r="E159" i="10"/>
  <c r="E131" i="10"/>
  <c r="Q55" i="10"/>
  <c r="H586" i="26" s="1"/>
  <c r="Q139" i="10"/>
  <c r="E44" i="10"/>
  <c r="E156" i="10" s="1"/>
  <c r="E43" i="10"/>
  <c r="H44" i="26" s="1"/>
  <c r="R43" i="10"/>
  <c r="H590" i="26" s="1"/>
  <c r="U53" i="10"/>
  <c r="H747" i="26" s="1"/>
  <c r="E55" i="10"/>
  <c r="H81" i="26" s="1"/>
  <c r="G54" i="10"/>
  <c r="H163" i="26" s="1"/>
  <c r="Y54" i="10"/>
  <c r="Y166" i="10" s="1"/>
  <c r="S56" i="10"/>
  <c r="H672" i="26" s="1"/>
  <c r="L55" i="10"/>
  <c r="L167" i="10" s="1"/>
  <c r="G46" i="10"/>
  <c r="H138" i="26" s="1"/>
  <c r="R47" i="10"/>
  <c r="H604" i="26" s="1"/>
  <c r="AA49" i="10"/>
  <c r="H988" i="26" s="1"/>
  <c r="Z49" i="10"/>
  <c r="H945" i="26" s="1"/>
  <c r="Z161" i="10"/>
  <c r="Z133" i="10"/>
  <c r="I53" i="10"/>
  <c r="H243" i="26" s="1"/>
  <c r="J50" i="10"/>
  <c r="J162" i="10" s="1"/>
  <c r="X46" i="10"/>
  <c r="H853" i="26" s="1"/>
  <c r="I43" i="10"/>
  <c r="I155" i="10" s="1"/>
  <c r="H213" i="26"/>
  <c r="Q47" i="10"/>
  <c r="H560" i="26" s="1"/>
  <c r="V47" i="10"/>
  <c r="H772" i="26" s="1"/>
  <c r="I56" i="10"/>
  <c r="H252" i="26" s="1"/>
  <c r="I168" i="10"/>
  <c r="AA55" i="10"/>
  <c r="H1004" i="26" s="1"/>
  <c r="X54" i="10"/>
  <c r="H877" i="26" s="1"/>
  <c r="X138" i="10"/>
  <c r="N55" i="10"/>
  <c r="H459" i="26" s="1"/>
  <c r="H460" i="26"/>
  <c r="N167" i="10"/>
  <c r="M54" i="10"/>
  <c r="H415" i="26" s="1"/>
  <c r="H46" i="10"/>
  <c r="H179" i="26" s="1"/>
  <c r="H181" i="26"/>
  <c r="E52" i="10"/>
  <c r="H71" i="26" s="1"/>
  <c r="X53" i="10"/>
  <c r="H874" i="26" s="1"/>
  <c r="O51" i="10"/>
  <c r="O163" i="10" s="1"/>
  <c r="H489" i="26"/>
  <c r="R45" i="10"/>
  <c r="K43" i="10"/>
  <c r="K155" i="10" s="1"/>
  <c r="M55" i="10"/>
  <c r="H417" i="26" s="1"/>
  <c r="P43" i="10"/>
  <c r="H509" i="26" s="1"/>
  <c r="S45" i="10"/>
  <c r="S157" i="10" s="1"/>
  <c r="V56" i="10"/>
  <c r="V168" i="10" s="1"/>
  <c r="L53" i="10"/>
  <c r="L165" i="10" s="1"/>
  <c r="T53" i="10"/>
  <c r="H704" i="26" s="1"/>
  <c r="W43" i="10"/>
  <c r="W155" i="10" s="1"/>
  <c r="H802" i="26"/>
  <c r="W127" i="10"/>
  <c r="AA51" i="10"/>
  <c r="H994" i="26" s="1"/>
  <c r="T47" i="10"/>
  <c r="H688" i="26" s="1"/>
  <c r="E48" i="10"/>
  <c r="E160" i="10" s="1"/>
  <c r="P52" i="10"/>
  <c r="P164" i="10" s="1"/>
  <c r="U47" i="10"/>
  <c r="U159" i="10" s="1"/>
  <c r="N53" i="10"/>
  <c r="N165" i="10" s="1"/>
  <c r="U50" i="10"/>
  <c r="H738" i="26" s="1"/>
  <c r="Z47" i="10"/>
  <c r="H939" i="26" s="1"/>
  <c r="N46" i="10"/>
  <c r="N130" i="10" s="1"/>
  <c r="S49" i="10"/>
  <c r="H651" i="26" s="1"/>
  <c r="P48" i="10"/>
  <c r="H522" i="26" s="1"/>
  <c r="M46" i="10"/>
  <c r="H391" i="26" s="1"/>
  <c r="V43" i="10"/>
  <c r="V155" i="10" s="1"/>
  <c r="R44" i="10"/>
  <c r="H594" i="26" s="1"/>
  <c r="R52" i="10"/>
  <c r="H620" i="26" s="1"/>
  <c r="S52" i="10"/>
  <c r="H661" i="26" s="1"/>
  <c r="G53" i="10"/>
  <c r="H160" i="26" s="1"/>
  <c r="D54" i="10"/>
  <c r="H37" i="26" s="1"/>
  <c r="AA43" i="10"/>
  <c r="H968" i="26" s="1"/>
  <c r="M52" i="10"/>
  <c r="H410" i="26" s="1"/>
  <c r="G56" i="10"/>
  <c r="G168" i="10" s="1"/>
  <c r="G45" i="10"/>
  <c r="H134" i="26" s="1"/>
  <c r="H52" i="10"/>
  <c r="H197" i="26" s="1"/>
  <c r="H53" i="10"/>
  <c r="H202" i="26" s="1"/>
  <c r="S48" i="10"/>
  <c r="H649" i="26" s="1"/>
  <c r="Z55" i="10"/>
  <c r="Z167" i="10" s="1"/>
  <c r="G48" i="10"/>
  <c r="H145" i="26" s="1"/>
  <c r="V48" i="10"/>
  <c r="H776" i="26" s="1"/>
  <c r="D50" i="10"/>
  <c r="H23" i="26" s="1"/>
  <c r="G44" i="10"/>
  <c r="H133" i="26" s="1"/>
  <c r="O48" i="10"/>
  <c r="H481" i="26" s="1"/>
  <c r="I44" i="10"/>
  <c r="H216" i="26" s="1"/>
  <c r="O55" i="10"/>
  <c r="H501" i="26" s="1"/>
  <c r="Q49" i="10"/>
  <c r="Q161" i="10" s="1"/>
  <c r="AA53" i="10"/>
  <c r="H1000" i="26" s="1"/>
  <c r="E56" i="10"/>
  <c r="E168" i="10" s="1"/>
  <c r="U54" i="10"/>
  <c r="U166" i="10" s="1"/>
  <c r="E51" i="10"/>
  <c r="H69" i="26" s="1"/>
  <c r="D46" i="10"/>
  <c r="H12" i="26" s="1"/>
  <c r="F52" i="10"/>
  <c r="F164" i="10" s="1"/>
  <c r="V53" i="10"/>
  <c r="H788" i="26" s="1"/>
  <c r="T46" i="10"/>
  <c r="T158" i="10" s="1"/>
  <c r="F50" i="10"/>
  <c r="F162" i="10" s="1"/>
  <c r="M51" i="10"/>
  <c r="H404" i="26" s="1"/>
  <c r="G49" i="10"/>
  <c r="H146" i="26" s="1"/>
  <c r="V44" i="10"/>
  <c r="H763" i="26" s="1"/>
  <c r="M44" i="10"/>
  <c r="H385" i="26" s="1"/>
  <c r="O54" i="10"/>
  <c r="H497" i="26" s="1"/>
  <c r="Y50" i="10"/>
  <c r="H906" i="26" s="1"/>
  <c r="S53" i="10"/>
  <c r="H663" i="26" s="1"/>
  <c r="U45" i="10"/>
  <c r="U157" i="10" s="1"/>
  <c r="U129" i="10"/>
  <c r="K47" i="10"/>
  <c r="K159" i="10" s="1"/>
  <c r="Y49" i="10"/>
  <c r="H903" i="26" s="1"/>
  <c r="N49" i="10"/>
  <c r="H442" i="26" s="1"/>
  <c r="N47" i="10"/>
  <c r="N159" i="10" s="1"/>
  <c r="I55" i="10"/>
  <c r="H250" i="26" s="1"/>
  <c r="W55" i="10"/>
  <c r="H838" i="26" s="1"/>
  <c r="Q51" i="10"/>
  <c r="H574" i="26" s="1"/>
  <c r="M43" i="10"/>
  <c r="H380" i="26" s="1"/>
  <c r="W54" i="10"/>
  <c r="H833" i="26" s="1"/>
  <c r="R54" i="10"/>
  <c r="H625" i="26" s="1"/>
  <c r="F49" i="10"/>
  <c r="F161" i="10" s="1"/>
  <c r="O44" i="10"/>
  <c r="H468" i="26" s="1"/>
  <c r="F44" i="10"/>
  <c r="H90" i="26" s="1"/>
  <c r="D47" i="10"/>
  <c r="H16" i="26" s="1"/>
  <c r="H49" i="10"/>
  <c r="H188" i="26" s="1"/>
  <c r="D53" i="10"/>
  <c r="D165" i="10" s="1"/>
  <c r="D56" i="10"/>
  <c r="H42" i="26" s="1"/>
  <c r="Z48" i="10"/>
  <c r="Z160" i="10" s="1"/>
  <c r="F48" i="10"/>
  <c r="H101" i="26" s="1"/>
  <c r="T44" i="10"/>
  <c r="H679" i="26" s="1"/>
  <c r="P54" i="10"/>
  <c r="C1" i="18" a="1"/>
  <c r="DW1" i="18"/>
  <c r="C1" i="18"/>
  <c r="DW3" i="18"/>
  <c r="DW2" i="18"/>
  <c r="I1" i="18"/>
  <c r="I3" i="18"/>
  <c r="I2" i="18"/>
  <c r="EH1" i="18"/>
  <c r="EH3" i="18"/>
  <c r="EH2" i="18"/>
  <c r="DE1" i="18"/>
  <c r="DE3" i="18"/>
  <c r="DE2" i="18"/>
  <c r="O50" i="10"/>
  <c r="H487" i="26" s="1"/>
  <c r="DX1" i="18"/>
  <c r="DX3" i="18"/>
  <c r="DX2" i="18"/>
  <c r="E1" i="18"/>
  <c r="E3" i="18"/>
  <c r="E2" i="18"/>
  <c r="AT1" i="18"/>
  <c r="AT2" i="18"/>
  <c r="AT3" i="18"/>
  <c r="AR1" i="18"/>
  <c r="AR2" i="18"/>
  <c r="AR3" i="18"/>
  <c r="EJ1" i="18"/>
  <c r="EJ3" i="18"/>
  <c r="EJ2" i="18"/>
  <c r="FF1" i="18"/>
  <c r="FF2" i="18"/>
  <c r="FF3" i="18"/>
  <c r="CI1" i="18"/>
  <c r="CI2" i="18"/>
  <c r="CI3" i="18"/>
  <c r="BR1" i="18"/>
  <c r="BR3" i="18"/>
  <c r="BR2" i="18"/>
  <c r="CU1" i="18"/>
  <c r="CU3" i="18"/>
  <c r="CU2" i="18"/>
  <c r="W1" i="18"/>
  <c r="W3" i="18"/>
  <c r="W2" i="18"/>
  <c r="FI1" i="18"/>
  <c r="FI3" i="18"/>
  <c r="FI2" i="18"/>
  <c r="ET1" i="18"/>
  <c r="ET2" i="18"/>
  <c r="ET3" i="18"/>
  <c r="AC1" i="18"/>
  <c r="AC3" i="18"/>
  <c r="AC2" i="18"/>
  <c r="CM1" i="18"/>
  <c r="CM3" i="18"/>
  <c r="CM2" i="18"/>
  <c r="BX1" i="18"/>
  <c r="BX2" i="18"/>
  <c r="BX3" i="18"/>
  <c r="ED1" i="18"/>
  <c r="ED3" i="18"/>
  <c r="ED2" i="18"/>
  <c r="EF1" i="18"/>
  <c r="EF2" i="18"/>
  <c r="EF3" i="18"/>
  <c r="CG1" i="18"/>
  <c r="CG3" i="18"/>
  <c r="CG2" i="18"/>
  <c r="CS1" i="18"/>
  <c r="CS2" i="18"/>
  <c r="CS3" i="18"/>
  <c r="FH1" i="18"/>
  <c r="FH2" i="18"/>
  <c r="FH3" i="18"/>
  <c r="DI1" i="18"/>
  <c r="DI2" i="18"/>
  <c r="DI3" i="18"/>
  <c r="DV1" i="18"/>
  <c r="DV3" i="18"/>
  <c r="DV2" i="18"/>
  <c r="CQ1" i="18"/>
  <c r="CQ2" i="18"/>
  <c r="CQ3" i="18"/>
  <c r="EG1" i="18"/>
  <c r="EG3" i="18"/>
  <c r="EG2" i="18"/>
  <c r="CZ1" i="18"/>
  <c r="CZ2" i="18"/>
  <c r="CZ3" i="18"/>
  <c r="L1" i="18"/>
  <c r="L3" i="18"/>
  <c r="L2" i="18"/>
  <c r="FC1" i="18"/>
  <c r="FC2" i="18"/>
  <c r="FC3" i="18"/>
  <c r="BS1" i="18"/>
  <c r="BS2" i="18"/>
  <c r="BS3" i="18"/>
  <c r="AO1" i="18"/>
  <c r="AO2" i="18"/>
  <c r="AO3" i="18"/>
  <c r="U52" i="10"/>
  <c r="W45" i="10"/>
  <c r="W157" i="10" s="1"/>
  <c r="AA47" i="10"/>
  <c r="AA159" i="10" s="1"/>
  <c r="Q53" i="10"/>
  <c r="Q165" i="10" s="1"/>
  <c r="Q137" i="10"/>
  <c r="AA45" i="10"/>
  <c r="H975" i="26" s="1"/>
  <c r="W47" i="10"/>
  <c r="H813" i="26" s="1"/>
  <c r="V49" i="10"/>
  <c r="V161" i="10" s="1"/>
  <c r="J48" i="10"/>
  <c r="J132" i="10" s="1"/>
  <c r="EP1" i="18"/>
  <c r="EP2" i="18"/>
  <c r="EP3" i="18"/>
  <c r="DJ1" i="18"/>
  <c r="DJ2" i="18"/>
  <c r="DJ3" i="18"/>
  <c r="BK1" i="18"/>
  <c r="BK2" i="18"/>
  <c r="BK3" i="18"/>
  <c r="B1" i="18"/>
  <c r="C2" i="18"/>
  <c r="C3" i="18"/>
  <c r="EO1" i="18"/>
  <c r="EO3" i="18"/>
  <c r="BW1" i="18"/>
  <c r="BW3" i="18"/>
  <c r="BW2" i="18"/>
  <c r="DR1" i="18"/>
  <c r="DR3" i="18"/>
  <c r="DR2" i="18"/>
  <c r="BG1" i="18"/>
  <c r="BG2" i="18"/>
  <c r="BG3" i="18"/>
  <c r="CB1" i="18"/>
  <c r="CB3" i="18"/>
  <c r="CB2" i="18"/>
  <c r="CR1" i="18"/>
  <c r="CR3" i="18"/>
  <c r="CR2" i="18"/>
  <c r="BM1" i="18"/>
  <c r="BM2" i="18"/>
  <c r="BM3" i="18"/>
  <c r="EA1" i="18"/>
  <c r="EA2" i="18"/>
  <c r="EA3" i="18"/>
  <c r="M1" i="18"/>
  <c r="M2" i="18"/>
  <c r="M3" i="18"/>
  <c r="BB1" i="18"/>
  <c r="BB3" i="18"/>
  <c r="BB2" i="18"/>
  <c r="BY1" i="18"/>
  <c r="BY3" i="18"/>
  <c r="BY2" i="18"/>
  <c r="EV1" i="18"/>
  <c r="EV3" i="18"/>
  <c r="EV2" i="18"/>
  <c r="EY1" i="18"/>
  <c r="EY3" i="18"/>
  <c r="EY2" i="18"/>
  <c r="EN1" i="18"/>
  <c r="EN3" i="18"/>
  <c r="EN2" i="18"/>
  <c r="CJ1" i="18"/>
  <c r="CJ2" i="18"/>
  <c r="CJ3" i="18"/>
  <c r="FE1" i="18"/>
  <c r="FE3" i="18"/>
  <c r="FE2" i="18"/>
  <c r="BA1" i="18"/>
  <c r="BA3" i="18"/>
  <c r="BA2" i="18"/>
  <c r="D1" i="18"/>
  <c r="D3" i="18"/>
  <c r="D2" i="18"/>
  <c r="AH1" i="18"/>
  <c r="AH3" i="18"/>
  <c r="AH2" i="18"/>
  <c r="DN1" i="18"/>
  <c r="DN3" i="18"/>
  <c r="DN2" i="18"/>
  <c r="DB1" i="18"/>
  <c r="DB3" i="18"/>
  <c r="DB2" i="18"/>
  <c r="FL1" i="18"/>
  <c r="FL3" i="18"/>
  <c r="FL2" i="18"/>
  <c r="EX1" i="18"/>
  <c r="EX3" i="18"/>
  <c r="EX2" i="18"/>
  <c r="AM1" i="18"/>
  <c r="AM3" i="18"/>
  <c r="AM2" i="18"/>
  <c r="CV1" i="18"/>
  <c r="CV2" i="18"/>
  <c r="CV3" i="18"/>
  <c r="AL1" i="18"/>
  <c r="AL3" i="18"/>
  <c r="AL2" i="18"/>
  <c r="BV1" i="18"/>
  <c r="BV3" i="18"/>
  <c r="BV2" i="18"/>
  <c r="FA1" i="18"/>
  <c r="FA3" i="18"/>
  <c r="FA2" i="18"/>
  <c r="T56" i="10"/>
  <c r="H714" i="26" s="1"/>
  <c r="P51" i="10"/>
  <c r="H531" i="26" s="1"/>
  <c r="S43" i="10"/>
  <c r="H635" i="26" s="1"/>
  <c r="H632" i="26"/>
  <c r="R48" i="10"/>
  <c r="H607" i="26" s="1"/>
  <c r="V51" i="10"/>
  <c r="H783" i="26" s="1"/>
  <c r="X50" i="10"/>
  <c r="H863" i="26" s="1"/>
  <c r="Y52" i="10"/>
  <c r="Y136" i="10" s="1"/>
  <c r="W49" i="10"/>
  <c r="H820" i="26" s="1"/>
  <c r="X44" i="10"/>
  <c r="H848" i="26" s="1"/>
  <c r="K51" i="10"/>
  <c r="H321" i="26" s="1"/>
  <c r="J44" i="10"/>
  <c r="J156" i="10" s="1"/>
  <c r="X43" i="10"/>
  <c r="X155" i="10" s="1"/>
  <c r="H844" i="26"/>
  <c r="O56" i="10"/>
  <c r="H503" i="26" s="1"/>
  <c r="I47" i="10"/>
  <c r="H224" i="26" s="1"/>
  <c r="L49" i="10"/>
  <c r="H358" i="26" s="1"/>
  <c r="J55" i="10"/>
  <c r="H291" i="26" s="1"/>
  <c r="X51" i="10"/>
  <c r="H868" i="26" s="1"/>
  <c r="H43" i="10"/>
  <c r="H172" i="26" s="1"/>
  <c r="W46" i="10"/>
  <c r="H812" i="26" s="1"/>
  <c r="F43" i="10"/>
  <c r="H87" i="26" s="1"/>
  <c r="S54" i="10"/>
  <c r="S166" i="10" s="1"/>
  <c r="H55" i="10"/>
  <c r="H167" i="10" s="1"/>
  <c r="D44" i="10"/>
  <c r="H7" i="26" s="1"/>
  <c r="Y45" i="10"/>
  <c r="H891" i="26" s="1"/>
  <c r="Z51" i="10"/>
  <c r="H953" i="26" s="1"/>
  <c r="E49" i="10"/>
  <c r="H64" i="26" s="1"/>
  <c r="K45" i="10"/>
  <c r="H304" i="26" s="1"/>
  <c r="Q45" i="10"/>
  <c r="H555" i="26" s="1"/>
  <c r="K56" i="10"/>
  <c r="H336" i="26" s="1"/>
  <c r="AA48" i="10"/>
  <c r="H985" i="26" s="1"/>
  <c r="L52" i="10"/>
  <c r="H368" i="26" s="1"/>
  <c r="G55" i="10"/>
  <c r="H164" i="26" s="1"/>
  <c r="AA56" i="10"/>
  <c r="H1008" i="26" s="1"/>
  <c r="F46" i="10"/>
  <c r="H96" i="26" s="1"/>
  <c r="J56" i="10"/>
  <c r="H294" i="26" s="1"/>
  <c r="T49" i="10"/>
  <c r="H693" i="26" s="1"/>
  <c r="T161" i="10"/>
  <c r="I54" i="10"/>
  <c r="H245" i="26" s="1"/>
  <c r="S51" i="10"/>
  <c r="S163" i="10" s="1"/>
  <c r="S135" i="10"/>
  <c r="G52" i="10"/>
  <c r="G164" i="10" s="1"/>
  <c r="Y56" i="10"/>
  <c r="Y168" i="10" s="1"/>
  <c r="I49" i="10"/>
  <c r="H230" i="26" s="1"/>
  <c r="V50" i="10"/>
  <c r="H781" i="26" s="1"/>
  <c r="P47" i="10"/>
  <c r="H519" i="26" s="1"/>
  <c r="W44" i="10"/>
  <c r="H805" i="26" s="1"/>
  <c r="K53" i="10"/>
  <c r="K165" i="10" s="1"/>
  <c r="V52" i="10"/>
  <c r="V164" i="10" s="1"/>
  <c r="M56" i="10"/>
  <c r="H421" i="26" s="1"/>
  <c r="L50" i="10"/>
  <c r="L134" i="10" s="1"/>
  <c r="U44" i="10"/>
  <c r="H721" i="26" s="1"/>
  <c r="O46" i="10"/>
  <c r="H475" i="26" s="1"/>
  <c r="U56" i="10"/>
  <c r="H756" i="26" s="1"/>
  <c r="H755" i="26"/>
  <c r="L47" i="10"/>
  <c r="L159" i="10" s="1"/>
  <c r="E45" i="10"/>
  <c r="H51" i="26" s="1"/>
  <c r="H50" i="26"/>
  <c r="Z56" i="10"/>
  <c r="Z168" i="10" s="1"/>
  <c r="Z50" i="10"/>
  <c r="H949" i="26" s="1"/>
  <c r="E50" i="10"/>
  <c r="E162" i="10" s="1"/>
  <c r="Y48" i="10"/>
  <c r="Y160" i="10" s="1"/>
  <c r="D52" i="10"/>
  <c r="H31" i="26" s="1"/>
  <c r="Y43" i="10"/>
  <c r="H886" i="26" s="1"/>
  <c r="H56" i="10"/>
  <c r="H209" i="26" s="1"/>
  <c r="N45" i="10"/>
  <c r="H429" i="26" s="1"/>
  <c r="D48" i="10"/>
  <c r="H17" i="26" s="1"/>
  <c r="J52" i="10"/>
  <c r="H282" i="26" s="1"/>
  <c r="G43" i="10"/>
  <c r="H128" i="26" s="1"/>
  <c r="G47" i="10"/>
  <c r="G159" i="10" s="1"/>
  <c r="Q43" i="10"/>
  <c r="H551" i="26" s="1"/>
  <c r="J49" i="10"/>
  <c r="H47" i="10"/>
  <c r="L51" i="10"/>
  <c r="H364" i="26" s="1"/>
  <c r="D51" i="10"/>
  <c r="H28" i="26" s="1"/>
  <c r="AA44" i="10"/>
  <c r="J47" i="10"/>
  <c r="O49" i="10"/>
  <c r="H484" i="26" s="1"/>
  <c r="Q56" i="10"/>
  <c r="H588" i="26" s="1"/>
  <c r="X55" i="10"/>
  <c r="H880" i="26" s="1"/>
  <c r="X167" i="10"/>
  <c r="S44" i="10"/>
  <c r="H637" i="26" s="1"/>
  <c r="K55" i="10"/>
  <c r="H333" i="26" s="1"/>
  <c r="I45" i="10"/>
  <c r="H220" i="26" s="1"/>
  <c r="J54" i="10"/>
  <c r="H289" i="26" s="1"/>
  <c r="H287" i="26"/>
  <c r="M48" i="10"/>
  <c r="H396" i="26" s="1"/>
  <c r="N48" i="10"/>
  <c r="N160" i="10" s="1"/>
  <c r="H437" i="26"/>
  <c r="N44" i="10"/>
  <c r="H428" i="26" s="1"/>
  <c r="Z46" i="10"/>
  <c r="Z158" i="10" s="1"/>
  <c r="Y47" i="10"/>
  <c r="H897" i="26" s="1"/>
  <c r="Y131" i="10"/>
  <c r="G50" i="10"/>
  <c r="H151" i="26" s="1"/>
  <c r="I50" i="10"/>
  <c r="R53" i="10"/>
  <c r="R165" i="10" s="1"/>
  <c r="L56" i="10"/>
  <c r="I52" i="10"/>
  <c r="H241" i="26" s="1"/>
  <c r="N51" i="10"/>
  <c r="Z54" i="10"/>
  <c r="H959" i="26" s="1"/>
  <c r="H961" i="26"/>
  <c r="O43" i="10"/>
  <c r="O155" i="10" s="1"/>
  <c r="L54" i="10"/>
  <c r="H373" i="26" s="1"/>
  <c r="Q44" i="10"/>
  <c r="H554" i="26" s="1"/>
  <c r="W53" i="10"/>
  <c r="H830" i="26" s="1"/>
  <c r="H832" i="26"/>
  <c r="M47" i="10"/>
  <c r="H392" i="26" s="1"/>
  <c r="AA52" i="10"/>
  <c r="AA136" i="10" s="1"/>
  <c r="S55" i="10"/>
  <c r="H669" i="26" s="1"/>
  <c r="AA54" i="10"/>
  <c r="H1003" i="26" s="1"/>
  <c r="N56" i="10"/>
  <c r="H462" i="26" s="1"/>
  <c r="H51" i="10"/>
  <c r="H195" i="26" s="1"/>
  <c r="W50" i="10"/>
  <c r="H822" i="26" s="1"/>
  <c r="U51" i="10"/>
  <c r="H740" i="26" s="1"/>
  <c r="D49" i="10"/>
  <c r="H22" i="26" s="1"/>
  <c r="T48" i="10"/>
  <c r="H689" i="26" s="1"/>
  <c r="O52" i="10"/>
  <c r="H494" i="26" s="1"/>
  <c r="H54" i="10"/>
  <c r="H205" i="26" s="1"/>
  <c r="E53" i="10"/>
  <c r="H74" i="26" s="1"/>
  <c r="Z44" i="10"/>
  <c r="H932" i="26" s="1"/>
  <c r="W51" i="10"/>
  <c r="H824" i="26" s="1"/>
  <c r="K46" i="10"/>
  <c r="H307" i="26" s="1"/>
  <c r="H50" i="10"/>
  <c r="H191" i="26" s="1"/>
  <c r="H193" i="26"/>
  <c r="L48" i="10"/>
  <c r="L160" i="10" s="1"/>
  <c r="N50" i="10"/>
  <c r="H444" i="26" s="1"/>
  <c r="H445" i="26"/>
  <c r="R49" i="10"/>
  <c r="R161" i="10" s="1"/>
  <c r="M50" i="10"/>
  <c r="H401" i="26" s="1"/>
  <c r="J46" i="10"/>
  <c r="H264" i="26" s="1"/>
  <c r="X47" i="10"/>
  <c r="H856" i="26" s="1"/>
  <c r="X45" i="10"/>
  <c r="H849" i="26" s="1"/>
  <c r="V45" i="10"/>
  <c r="V129" i="10" s="1"/>
  <c r="H766" i="26"/>
  <c r="R51" i="10"/>
  <c r="H614" i="26" s="1"/>
  <c r="Y55" i="10"/>
  <c r="H920" i="26" s="1"/>
  <c r="P55" i="10"/>
  <c r="H543" i="26" s="1"/>
  <c r="H542" i="26"/>
  <c r="AA46" i="10"/>
  <c r="AA158" i="10" s="1"/>
  <c r="M53" i="10"/>
  <c r="M165" i="10" s="1"/>
  <c r="X56" i="10"/>
  <c r="H881" i="26" s="1"/>
  <c r="U43" i="10"/>
  <c r="U155" i="10" s="1"/>
  <c r="Y46" i="10"/>
  <c r="H896" i="26" s="1"/>
  <c r="H44" i="10"/>
  <c r="H175" i="26" s="1"/>
  <c r="U55" i="10"/>
  <c r="H752" i="26" s="1"/>
  <c r="H753" i="26"/>
  <c r="D55" i="10"/>
  <c r="H38" i="26" s="1"/>
  <c r="X48" i="10"/>
  <c r="H857" i="26" s="1"/>
  <c r="Y53" i="10"/>
  <c r="H914" i="26" s="1"/>
  <c r="Q54" i="10"/>
  <c r="H582" i="26" s="1"/>
  <c r="M49" i="10"/>
  <c r="H399" i="26" s="1"/>
  <c r="N52" i="10"/>
  <c r="H451" i="26" s="1"/>
  <c r="F54" i="10"/>
  <c r="H120" i="26" s="1"/>
  <c r="Y44" i="10"/>
  <c r="H887" i="26" s="1"/>
  <c r="F47" i="10"/>
  <c r="H98" i="26" s="1"/>
  <c r="T55" i="10"/>
  <c r="H712" i="26" s="1"/>
  <c r="T167" i="10"/>
  <c r="R56" i="10"/>
  <c r="H629" i="26" s="1"/>
  <c r="M45" i="10"/>
  <c r="H387" i="26" s="1"/>
  <c r="P44" i="10"/>
  <c r="H510" i="26" s="1"/>
  <c r="V54" i="10"/>
  <c r="V166" i="10" s="1"/>
  <c r="P49" i="10"/>
  <c r="H526" i="26" s="1"/>
  <c r="U48" i="10"/>
  <c r="H731" i="26" s="1"/>
  <c r="H734" i="26"/>
  <c r="H45" i="10"/>
  <c r="H176" i="26" s="1"/>
  <c r="P56" i="10"/>
  <c r="H545" i="26" s="1"/>
  <c r="U46" i="10"/>
  <c r="H727" i="26" s="1"/>
  <c r="L45" i="10"/>
  <c r="H346" i="26" s="1"/>
  <c r="T43" i="10"/>
  <c r="H676" i="26" s="1"/>
  <c r="J51" i="10"/>
  <c r="J163" i="10" s="1"/>
  <c r="L44" i="10"/>
  <c r="H343" i="26" s="1"/>
  <c r="H342" i="26"/>
  <c r="K49" i="10"/>
  <c r="H315" i="26" s="1"/>
  <c r="G51" i="10"/>
  <c r="G163" i="10" s="1"/>
  <c r="H154" i="26"/>
  <c r="G135" i="10"/>
  <c r="AA50" i="10"/>
  <c r="H989" i="26" s="1"/>
  <c r="V55" i="10"/>
  <c r="H795" i="26" s="1"/>
  <c r="F53" i="10"/>
  <c r="H118" i="26" s="1"/>
  <c r="F137" i="10"/>
  <c r="W48" i="10"/>
  <c r="H815" i="26" s="1"/>
  <c r="W56" i="10"/>
  <c r="H841" i="26" s="1"/>
  <c r="H839" i="26"/>
  <c r="F55" i="10"/>
  <c r="H124" i="26" s="1"/>
  <c r="T51" i="10"/>
  <c r="H699" i="26" s="1"/>
  <c r="W52" i="10"/>
  <c r="H829" i="26" s="1"/>
  <c r="W164" i="10"/>
  <c r="J45" i="10"/>
  <c r="H260" i="26" s="1"/>
  <c r="J53" i="10"/>
  <c r="J165" i="10" s="1"/>
  <c r="N43" i="10"/>
  <c r="H424" i="26" s="1"/>
  <c r="Z45" i="10"/>
  <c r="H934" i="26" s="1"/>
  <c r="P50" i="10"/>
  <c r="H528" i="26" s="1"/>
  <c r="S50" i="10"/>
  <c r="H655" i="26" s="1"/>
  <c r="AA1" i="18"/>
  <c r="AA3" i="18"/>
  <c r="AA2" i="18"/>
  <c r="O1" i="18"/>
  <c r="O3" i="18"/>
  <c r="O2" i="18"/>
  <c r="AY1" i="18"/>
  <c r="AY2" i="18"/>
  <c r="AY3" i="18"/>
  <c r="EB1" i="18"/>
  <c r="EB3" i="18"/>
  <c r="EB2" i="18"/>
  <c r="AJ1" i="18"/>
  <c r="AJ3" i="18"/>
  <c r="AJ2" i="18"/>
  <c r="CY1" i="18"/>
  <c r="CY3" i="18"/>
  <c r="CY2" i="18"/>
  <c r="CC1" i="18"/>
  <c r="CC3" i="18"/>
  <c r="CC2" i="18"/>
  <c r="BF1" i="18"/>
  <c r="BF2" i="18"/>
  <c r="BF3" i="18"/>
  <c r="BE1" i="18"/>
  <c r="BE2" i="18"/>
  <c r="BE3" i="18"/>
  <c r="DU1" i="18"/>
  <c r="DU2" i="18"/>
  <c r="DU3" i="18"/>
  <c r="BH1" i="18"/>
  <c r="BH3" i="18"/>
  <c r="BH2" i="18"/>
  <c r="EW1" i="18"/>
  <c r="EW2" i="18"/>
  <c r="EW3" i="18"/>
  <c r="N1" i="18"/>
  <c r="N2" i="18"/>
  <c r="N3" i="18"/>
  <c r="BP1" i="18"/>
  <c r="BP2" i="18"/>
  <c r="BP3" i="18"/>
  <c r="U1" i="18"/>
  <c r="U2" i="18"/>
  <c r="U3" i="18"/>
  <c r="AS1" i="18"/>
  <c r="AS2" i="18"/>
  <c r="AS3" i="18"/>
  <c r="AW1" i="18"/>
  <c r="AW3" i="18"/>
  <c r="AW2" i="18"/>
  <c r="CD1" i="18"/>
  <c r="CD2" i="18"/>
  <c r="CD3" i="18"/>
  <c r="AI1" i="18"/>
  <c r="AI3" i="18"/>
  <c r="AI2" i="18"/>
  <c r="Z1" i="18"/>
  <c r="Z3" i="18"/>
  <c r="Z2" i="18"/>
  <c r="BJ1" i="18"/>
  <c r="BJ3" i="18"/>
  <c r="BJ2" i="18"/>
  <c r="K1" i="18"/>
  <c r="K3" i="18"/>
  <c r="K2" i="18"/>
  <c r="FJ1" i="18"/>
  <c r="FJ2" i="18"/>
  <c r="FJ3" i="18"/>
  <c r="AV1" i="18"/>
  <c r="AV3" i="18"/>
  <c r="AV2" i="18"/>
  <c r="CH1" i="18"/>
  <c r="CH3" i="18"/>
  <c r="CH2" i="18"/>
  <c r="AD1" i="18"/>
  <c r="AD3" i="18"/>
  <c r="AD2" i="18"/>
  <c r="S1" i="18"/>
  <c r="S3" i="18"/>
  <c r="S2" i="18"/>
  <c r="DF1" i="18"/>
  <c r="DF3" i="18"/>
  <c r="DF2" i="18"/>
  <c r="EQ1" i="18"/>
  <c r="EQ3" i="18"/>
  <c r="EQ2" i="18"/>
  <c r="R1" i="18"/>
  <c r="R3" i="18"/>
  <c r="R2" i="18"/>
  <c r="BO1" i="18"/>
  <c r="BO2" i="18"/>
  <c r="BO3" i="18"/>
  <c r="CA1" i="18"/>
  <c r="CA2" i="18"/>
  <c r="CA3" i="18"/>
  <c r="EZ1" i="18"/>
  <c r="EZ2" i="18"/>
  <c r="EZ3" i="18"/>
  <c r="P1" i="18"/>
  <c r="P3" i="18"/>
  <c r="P2" i="18"/>
  <c r="CO1" i="18"/>
  <c r="CO2" i="18"/>
  <c r="CO3" i="18"/>
  <c r="DD1" i="18"/>
  <c r="DD2" i="18"/>
  <c r="DD3" i="18"/>
  <c r="AU1" i="18"/>
  <c r="AU3" i="18"/>
  <c r="AU2" i="18"/>
  <c r="X1" i="18"/>
  <c r="X3" i="18"/>
  <c r="X2" i="18"/>
  <c r="DK1" i="18"/>
  <c r="DK2" i="18"/>
  <c r="DK3" i="18"/>
  <c r="EE1" i="18"/>
  <c r="EE3" i="18"/>
  <c r="EE2" i="18"/>
  <c r="DL1" i="18"/>
  <c r="DL3" i="18"/>
  <c r="DL2" i="18"/>
  <c r="CK1" i="18"/>
  <c r="CK3" i="18"/>
  <c r="CK2" i="18"/>
  <c r="EI1" i="18"/>
  <c r="EI3" i="18"/>
  <c r="EI2" i="18"/>
  <c r="EK1" i="18"/>
  <c r="EK3" i="18"/>
  <c r="EK2" i="18"/>
  <c r="EL1" i="18"/>
  <c r="EL2" i="18"/>
  <c r="EL3" i="18"/>
  <c r="BU1" i="18"/>
  <c r="BU2" i="18"/>
  <c r="BU3" i="18"/>
  <c r="AB1" i="18"/>
  <c r="AB3" i="18"/>
  <c r="AB2" i="18"/>
  <c r="AZ1" i="18"/>
  <c r="AZ2" i="18"/>
  <c r="AZ3" i="18"/>
  <c r="CF1" i="18"/>
  <c r="CF3" i="18"/>
  <c r="CF2" i="18"/>
  <c r="T1" i="18"/>
  <c r="T3" i="18"/>
  <c r="T2" i="18"/>
  <c r="G1" i="18"/>
  <c r="G3" i="18"/>
  <c r="G2" i="18"/>
  <c r="DM1" i="18"/>
  <c r="DM3" i="18"/>
  <c r="DM2" i="18"/>
  <c r="ER1" i="18"/>
  <c r="ER2" i="18"/>
  <c r="ER3" i="18"/>
  <c r="H1" i="18"/>
  <c r="H2" i="18"/>
  <c r="H3" i="18"/>
  <c r="CN1" i="18"/>
  <c r="CN3" i="18"/>
  <c r="CN2" i="18"/>
  <c r="BI1" i="18"/>
  <c r="BI3" i="18"/>
  <c r="BI2" i="18"/>
  <c r="FG1" i="18"/>
  <c r="FG3" i="18"/>
  <c r="FG2" i="18"/>
  <c r="CW1" i="18"/>
  <c r="CW3" i="18"/>
  <c r="CW2" i="18"/>
  <c r="CT1" i="18"/>
  <c r="CT3" i="18"/>
  <c r="CT2" i="18"/>
  <c r="AP1" i="18"/>
  <c r="AP3" i="18"/>
  <c r="AP2" i="18"/>
  <c r="DQ1" i="18"/>
  <c r="DQ3" i="18"/>
  <c r="DQ2" i="18"/>
  <c r="FD1" i="18"/>
  <c r="FD3" i="18"/>
  <c r="FD2" i="18"/>
  <c r="DA1" i="18"/>
  <c r="DA3" i="18"/>
  <c r="DA2" i="18"/>
  <c r="Q1" i="18"/>
  <c r="Q3" i="18"/>
  <c r="Q2" i="18"/>
  <c r="Y1" i="18"/>
  <c r="Y3" i="18"/>
  <c r="Y2" i="18"/>
  <c r="AN1" i="18"/>
  <c r="AN3" i="18"/>
  <c r="AN2" i="18"/>
  <c r="EO2" i="18"/>
  <c r="FM1" i="18"/>
  <c r="FM3" i="18"/>
  <c r="FM2" i="18"/>
  <c r="J43" i="10"/>
  <c r="J155" i="10" s="1"/>
  <c r="AA899" i="8"/>
  <c r="AA339" i="8"/>
  <c r="AA451" i="8"/>
  <c r="AA59" i="8"/>
  <c r="AA675" i="8"/>
  <c r="AA115" i="8"/>
  <c r="AA1123" i="8"/>
  <c r="AA507" i="8"/>
  <c r="AA395" i="8"/>
  <c r="AA1235" i="8"/>
  <c r="AA1067" i="8"/>
  <c r="AA1291" i="8"/>
  <c r="AA1179" i="8"/>
  <c r="AA1011" i="8"/>
  <c r="AA171" i="8"/>
  <c r="AA283" i="8"/>
  <c r="AA3" i="8"/>
  <c r="AA563" i="8"/>
  <c r="AA843" i="8"/>
  <c r="AA731" i="8"/>
  <c r="AA619" i="8"/>
  <c r="AA955" i="8"/>
  <c r="AA227" i="8"/>
  <c r="AA787" i="8"/>
  <c r="L1235" i="8"/>
  <c r="L227" i="8"/>
  <c r="L171" i="8"/>
  <c r="L731" i="8"/>
  <c r="L3" i="8"/>
  <c r="L339" i="8"/>
  <c r="L395" i="8"/>
  <c r="L1011" i="8"/>
  <c r="L843" i="8"/>
  <c r="L563" i="8"/>
  <c r="L451" i="8"/>
  <c r="L1179" i="8"/>
  <c r="L1291" i="8"/>
  <c r="L1067" i="8"/>
  <c r="L59" i="8"/>
  <c r="L955" i="8"/>
  <c r="L899" i="8"/>
  <c r="L619" i="8"/>
  <c r="L787" i="8"/>
  <c r="L675" i="8"/>
  <c r="L507" i="8"/>
  <c r="L1123" i="8"/>
  <c r="L283" i="8"/>
  <c r="L115" i="8"/>
  <c r="V507" i="8"/>
  <c r="V339" i="8"/>
  <c r="V843" i="8"/>
  <c r="V619" i="8"/>
  <c r="V563" i="8"/>
  <c r="V787" i="8"/>
  <c r="V115" i="8"/>
  <c r="V675" i="8"/>
  <c r="V1235" i="8"/>
  <c r="V451" i="8"/>
  <c r="V899" i="8"/>
  <c r="V3" i="8"/>
  <c r="V395" i="8"/>
  <c r="V283" i="8"/>
  <c r="V59" i="8"/>
  <c r="V1123" i="8"/>
  <c r="V955" i="8"/>
  <c r="V1291" i="8"/>
  <c r="V1067" i="8"/>
  <c r="V1011" i="8"/>
  <c r="V731" i="8"/>
  <c r="V171" i="8"/>
  <c r="V227" i="8"/>
  <c r="V1179" i="8"/>
  <c r="AF843" i="8"/>
  <c r="AF395" i="8"/>
  <c r="AF731" i="8"/>
  <c r="AF1235" i="8"/>
  <c r="AF283" i="8"/>
  <c r="AF227" i="8"/>
  <c r="AF563" i="8"/>
  <c r="AF1067" i="8"/>
  <c r="AF675" i="8"/>
  <c r="AF115" i="8"/>
  <c r="AF339" i="8"/>
  <c r="AF451" i="8"/>
  <c r="AF3" i="8"/>
  <c r="AF955" i="8"/>
  <c r="AF507" i="8"/>
  <c r="AF787" i="8"/>
  <c r="AF171" i="8"/>
  <c r="AF1123" i="8"/>
  <c r="AF1179" i="8"/>
  <c r="AF1291" i="8"/>
  <c r="AF899" i="8"/>
  <c r="AF1011" i="8"/>
  <c r="AF619" i="8"/>
  <c r="AF59" i="8"/>
  <c r="AK899" i="8"/>
  <c r="AK563" i="8"/>
  <c r="AK843" i="8"/>
  <c r="AK675" i="8"/>
  <c r="AK171" i="8"/>
  <c r="AK619" i="8"/>
  <c r="AK1011" i="8"/>
  <c r="AK1179" i="8"/>
  <c r="AK3" i="8"/>
  <c r="AK339" i="8"/>
  <c r="AK507" i="8"/>
  <c r="AK59" i="8"/>
  <c r="AK1067" i="8"/>
  <c r="AK227" i="8"/>
  <c r="AK955" i="8"/>
  <c r="AK283" i="8"/>
  <c r="AK451" i="8"/>
  <c r="AK1291" i="8"/>
  <c r="AK1123" i="8"/>
  <c r="AK787" i="8"/>
  <c r="AK395" i="8"/>
  <c r="AK731" i="8"/>
  <c r="AK1235" i="8"/>
  <c r="AK115" i="8"/>
  <c r="DG1" i="18"/>
  <c r="DG3" i="18"/>
  <c r="DG2" i="18"/>
  <c r="EU1" i="18"/>
  <c r="EU3" i="18"/>
  <c r="EU2" i="18"/>
  <c r="G1179" i="8"/>
  <c r="G563" i="8"/>
  <c r="G1291" i="8"/>
  <c r="G115" i="8"/>
  <c r="G227" i="8"/>
  <c r="G899" i="8"/>
  <c r="G451" i="8"/>
  <c r="G283" i="8"/>
  <c r="G1067" i="8"/>
  <c r="G731" i="8"/>
  <c r="G843" i="8"/>
  <c r="G395" i="8"/>
  <c r="G507" i="8"/>
  <c r="G787" i="8"/>
  <c r="G1235" i="8"/>
  <c r="G955" i="8"/>
  <c r="G3" i="8"/>
  <c r="G171" i="8"/>
  <c r="G59" i="8"/>
  <c r="G1123" i="8"/>
  <c r="G1011" i="8"/>
  <c r="G675" i="8"/>
  <c r="G339" i="8"/>
  <c r="G619" i="8"/>
  <c r="Q787" i="8"/>
  <c r="Q899" i="8"/>
  <c r="Q675" i="8"/>
  <c r="Q1291" i="8"/>
  <c r="Q1067" i="8"/>
  <c r="Q59" i="8"/>
  <c r="Q1123" i="8"/>
  <c r="Q955" i="8"/>
  <c r="Q3" i="8"/>
  <c r="Q1179" i="8"/>
  <c r="Q283" i="8"/>
  <c r="Q1235" i="8"/>
  <c r="Q731" i="8"/>
  <c r="Q395" i="8"/>
  <c r="Q507" i="8"/>
  <c r="Q843" i="8"/>
  <c r="Q1011" i="8"/>
  <c r="Q171" i="8"/>
  <c r="Q451" i="8"/>
  <c r="Q339" i="8"/>
  <c r="Q563" i="8"/>
  <c r="Q115" i="8"/>
  <c r="Q227" i="8"/>
  <c r="Q619" i="8"/>
  <c r="FB1" i="18"/>
  <c r="FB3" i="18"/>
  <c r="FB2" i="18"/>
  <c r="DH1" i="18"/>
  <c r="DH3" i="18"/>
  <c r="DH2" i="18"/>
  <c r="T50" i="10"/>
  <c r="T162" i="10"/>
  <c r="P161" i="10" l="1"/>
  <c r="H398" i="26"/>
  <c r="H192" i="26"/>
  <c r="Z166" i="10"/>
  <c r="H239" i="26"/>
  <c r="H878" i="26"/>
  <c r="D163" i="10"/>
  <c r="R132" i="10"/>
  <c r="H530" i="26"/>
  <c r="W139" i="10"/>
  <c r="H386" i="26"/>
  <c r="V160" i="10"/>
  <c r="H488" i="26"/>
  <c r="H876" i="26"/>
  <c r="H768" i="26"/>
  <c r="Q130" i="10"/>
  <c r="E128" i="10"/>
  <c r="Z164" i="10"/>
  <c r="H525" i="26"/>
  <c r="X139" i="10"/>
  <c r="D135" i="10"/>
  <c r="H256" i="26"/>
  <c r="H654" i="26"/>
  <c r="Z157" i="10"/>
  <c r="K161" i="10"/>
  <c r="J135" i="10"/>
  <c r="P128" i="10"/>
  <c r="H100" i="26"/>
  <c r="H450" i="26"/>
  <c r="H860" i="26"/>
  <c r="H39" i="26"/>
  <c r="H128" i="10"/>
  <c r="H21" i="26"/>
  <c r="R137" i="10"/>
  <c r="K139" i="10"/>
  <c r="H483" i="26"/>
  <c r="H901" i="26"/>
  <c r="AA132" i="10"/>
  <c r="H809" i="26"/>
  <c r="J167" i="10"/>
  <c r="AA157" i="10"/>
  <c r="F133" i="10"/>
  <c r="S165" i="10"/>
  <c r="D162" i="10"/>
  <c r="H432" i="26"/>
  <c r="Z159" i="10"/>
  <c r="U131" i="10"/>
  <c r="T127" i="10"/>
  <c r="H858" i="26"/>
  <c r="D139" i="10"/>
  <c r="H895" i="26"/>
  <c r="X140" i="10"/>
  <c r="H979" i="26"/>
  <c r="Y140" i="10"/>
  <c r="H905" i="26"/>
  <c r="H24" i="26"/>
  <c r="Z131" i="10"/>
  <c r="H995" i="26"/>
  <c r="H130" i="10"/>
  <c r="M138" i="10"/>
  <c r="H458" i="26"/>
  <c r="H251" i="26"/>
  <c r="I127" i="10"/>
  <c r="H946" i="26"/>
  <c r="E127" i="10"/>
  <c r="H49" i="26"/>
  <c r="K138" i="10"/>
  <c r="N138" i="10"/>
  <c r="H578" i="26"/>
  <c r="H735" i="26"/>
  <c r="P165" i="10"/>
  <c r="X136" i="10"/>
  <c r="Z129" i="10"/>
  <c r="W160" i="10"/>
  <c r="H674" i="26"/>
  <c r="P133" i="10"/>
  <c r="R168" i="10"/>
  <c r="F131" i="10"/>
  <c r="X160" i="10"/>
  <c r="D167" i="10"/>
  <c r="Y158" i="10"/>
  <c r="X168" i="10"/>
  <c r="H978" i="26"/>
  <c r="H608" i="26"/>
  <c r="K158" i="10"/>
  <c r="E137" i="10"/>
  <c r="H1001" i="26"/>
  <c r="M159" i="10"/>
  <c r="Q156" i="10"/>
  <c r="Z138" i="10"/>
  <c r="G162" i="10"/>
  <c r="Z130" i="10"/>
  <c r="L163" i="10"/>
  <c r="H948" i="26"/>
  <c r="V134" i="10"/>
  <c r="H925" i="26"/>
  <c r="H189" i="26"/>
  <c r="S137" i="10"/>
  <c r="H907" i="26"/>
  <c r="O160" i="10"/>
  <c r="H25" i="26"/>
  <c r="H201" i="26"/>
  <c r="H940" i="26"/>
  <c r="H61" i="26"/>
  <c r="P127" i="10"/>
  <c r="H872" i="26"/>
  <c r="H158" i="10"/>
  <c r="H1006" i="26"/>
  <c r="H215" i="26"/>
  <c r="H602" i="26"/>
  <c r="H746" i="26"/>
  <c r="E155" i="10"/>
  <c r="H455" i="26"/>
  <c r="U161" i="10"/>
  <c r="H817" i="26"/>
  <c r="H711" i="26"/>
  <c r="H76" i="26"/>
  <c r="H439" i="26"/>
  <c r="W158" i="10"/>
  <c r="H171" i="26"/>
  <c r="I131" i="10"/>
  <c r="W133" i="10"/>
  <c r="H508" i="26"/>
  <c r="H48" i="26"/>
  <c r="H330" i="26"/>
  <c r="H627" i="26"/>
  <c r="L127" i="10"/>
  <c r="L130" i="10"/>
  <c r="K128" i="10"/>
  <c r="H710" i="26"/>
  <c r="J130" i="10"/>
  <c r="H75" i="26"/>
  <c r="H438" i="26"/>
  <c r="H879" i="26"/>
  <c r="H806" i="26"/>
  <c r="G139" i="10"/>
  <c r="W130" i="10"/>
  <c r="H811" i="26"/>
  <c r="H155" i="10"/>
  <c r="I159" i="10"/>
  <c r="H845" i="26"/>
  <c r="W161" i="10"/>
  <c r="H106" i="26"/>
  <c r="H723" i="26"/>
  <c r="H664" i="26"/>
  <c r="O132" i="10"/>
  <c r="H992" i="26"/>
  <c r="P155" i="10"/>
  <c r="H491" i="26"/>
  <c r="H180" i="26"/>
  <c r="N139" i="10"/>
  <c r="I140" i="10"/>
  <c r="H214" i="26"/>
  <c r="S168" i="10"/>
  <c r="H80" i="26"/>
  <c r="H593" i="26"/>
  <c r="H47" i="26"/>
  <c r="H229" i="26"/>
  <c r="H331" i="26"/>
  <c r="H626" i="26"/>
  <c r="H338" i="26"/>
  <c r="L158" i="10"/>
  <c r="K156" i="10"/>
  <c r="U133" i="10"/>
  <c r="P137" i="10"/>
  <c r="Z136" i="10"/>
  <c r="T136" i="10"/>
  <c r="T135" i="10"/>
  <c r="H818" i="26"/>
  <c r="H152" i="26"/>
  <c r="N127" i="10"/>
  <c r="W136" i="10"/>
  <c r="T163" i="10"/>
  <c r="H816" i="26"/>
  <c r="H153" i="26"/>
  <c r="L129" i="10"/>
  <c r="H524" i="26"/>
  <c r="V138" i="10"/>
  <c r="M157" i="10"/>
  <c r="T139" i="10"/>
  <c r="M137" i="10"/>
  <c r="R135" i="10"/>
  <c r="X129" i="10"/>
  <c r="H263" i="26"/>
  <c r="H134" i="10"/>
  <c r="H305" i="26"/>
  <c r="E165" i="10"/>
  <c r="U163" i="10"/>
  <c r="W137" i="10"/>
  <c r="H960" i="26"/>
  <c r="H149" i="26"/>
  <c r="N132" i="10"/>
  <c r="H363" i="26"/>
  <c r="H67" i="26"/>
  <c r="H966" i="26"/>
  <c r="H350" i="26"/>
  <c r="O130" i="10"/>
  <c r="H803" i="26"/>
  <c r="F130" i="10"/>
  <c r="H165" i="26"/>
  <c r="H810" i="26"/>
  <c r="H170" i="26"/>
  <c r="H226" i="26"/>
  <c r="H819" i="26"/>
  <c r="H782" i="26"/>
  <c r="H133" i="10"/>
  <c r="H436" i="26"/>
  <c r="H311" i="26"/>
  <c r="H498" i="26"/>
  <c r="H480" i="26"/>
  <c r="H775" i="26"/>
  <c r="H409" i="26"/>
  <c r="P136" i="10"/>
  <c r="H687" i="26"/>
  <c r="H705" i="26"/>
  <c r="H507" i="26"/>
  <c r="AA139" i="10"/>
  <c r="H562" i="26"/>
  <c r="H276" i="26"/>
  <c r="H987" i="26"/>
  <c r="H137" i="26"/>
  <c r="F129" i="10"/>
  <c r="H628" i="26"/>
  <c r="H341" i="26"/>
  <c r="H348" i="26"/>
  <c r="H957" i="26"/>
  <c r="H796" i="26"/>
  <c r="AA162" i="10"/>
  <c r="H279" i="26"/>
  <c r="H675" i="26"/>
  <c r="H177" i="26"/>
  <c r="H793" i="26"/>
  <c r="R140" i="10"/>
  <c r="H40" i="26"/>
  <c r="U139" i="10"/>
  <c r="H883" i="26"/>
  <c r="Y139" i="10"/>
  <c r="H265" i="26"/>
  <c r="H402" i="26"/>
  <c r="H353" i="26"/>
  <c r="H742" i="26"/>
  <c r="AA138" i="10"/>
  <c r="L138" i="10"/>
  <c r="I164" i="10"/>
  <c r="H240" i="26"/>
  <c r="H936" i="26"/>
  <c r="O161" i="10"/>
  <c r="H482" i="26"/>
  <c r="O133" i="10"/>
  <c r="H529" i="26"/>
  <c r="H262" i="26"/>
  <c r="H123" i="26"/>
  <c r="H794" i="26"/>
  <c r="H991" i="26"/>
  <c r="K133" i="10"/>
  <c r="H278" i="26"/>
  <c r="T155" i="10"/>
  <c r="H157" i="10"/>
  <c r="H791" i="26"/>
  <c r="H389" i="26"/>
  <c r="H631" i="26"/>
  <c r="H890" i="26"/>
  <c r="U127" i="10"/>
  <c r="H882" i="26"/>
  <c r="H544" i="26"/>
  <c r="H922" i="26"/>
  <c r="J158" i="10"/>
  <c r="M162" i="10"/>
  <c r="N134" i="10"/>
  <c r="W135" i="10"/>
  <c r="AA164" i="10"/>
  <c r="H393" i="26"/>
  <c r="H394" i="26"/>
  <c r="L166" i="10"/>
  <c r="H288" i="26"/>
  <c r="J166" i="10"/>
  <c r="J138" i="10"/>
  <c r="H334" i="26"/>
  <c r="K167" i="10"/>
  <c r="H332" i="26"/>
  <c r="H267" i="26"/>
  <c r="J159" i="10"/>
  <c r="H268" i="26"/>
  <c r="H266" i="26"/>
  <c r="H938" i="26"/>
  <c r="H935" i="26"/>
  <c r="H272" i="26"/>
  <c r="H273" i="26"/>
  <c r="H360" i="26"/>
  <c r="L162" i="10"/>
  <c r="H359" i="26"/>
  <c r="H361" i="26"/>
  <c r="AA134" i="10"/>
  <c r="H280" i="26"/>
  <c r="H792" i="26"/>
  <c r="H20" i="26"/>
  <c r="D161" i="10"/>
  <c r="H743" i="26"/>
  <c r="H741" i="26"/>
  <c r="U135" i="10"/>
  <c r="H1002" i="26"/>
  <c r="AA166" i="10"/>
  <c r="H552" i="26"/>
  <c r="H553" i="26"/>
  <c r="H937" i="26"/>
  <c r="H26" i="26"/>
  <c r="H786" i="26"/>
  <c r="H328" i="26"/>
  <c r="H804" i="26"/>
  <c r="H779" i="26"/>
  <c r="H924" i="26"/>
  <c r="T133" i="10"/>
  <c r="F158" i="10"/>
  <c r="G167" i="10"/>
  <c r="H950" i="26"/>
  <c r="D128" i="10"/>
  <c r="S138" i="10"/>
  <c r="J139" i="10"/>
  <c r="H290" i="26"/>
  <c r="H505" i="26"/>
  <c r="H912" i="26"/>
  <c r="W131" i="10"/>
  <c r="H579" i="26"/>
  <c r="H981" i="26"/>
  <c r="H678" i="26"/>
  <c r="H941" i="26"/>
  <c r="H41" i="26"/>
  <c r="D159" i="10"/>
  <c r="H91" i="26"/>
  <c r="H624" i="26"/>
  <c r="H834" i="26"/>
  <c r="H836" i="26"/>
  <c r="N131" i="10"/>
  <c r="H435" i="26"/>
  <c r="V128" i="10"/>
  <c r="H407" i="26"/>
  <c r="H109" i="26"/>
  <c r="H790" i="26"/>
  <c r="H13" i="26"/>
  <c r="H751" i="26"/>
  <c r="AA165" i="10"/>
  <c r="H500" i="26"/>
  <c r="H132" i="26"/>
  <c r="G132" i="10"/>
  <c r="H199" i="26"/>
  <c r="H390" i="26"/>
  <c r="H523" i="26"/>
  <c r="H739" i="26"/>
  <c r="E132" i="10"/>
  <c r="H59" i="26"/>
  <c r="H369" i="26"/>
  <c r="M139" i="10"/>
  <c r="E164" i="10"/>
  <c r="H875" i="26"/>
  <c r="H242" i="26"/>
  <c r="H139" i="26"/>
  <c r="H673" i="26"/>
  <c r="H93" i="26"/>
  <c r="Y135" i="10"/>
  <c r="I132" i="10"/>
  <c r="H301" i="26"/>
  <c r="O165" i="10"/>
  <c r="H92" i="26"/>
  <c r="H908" i="26"/>
  <c r="I160" i="10"/>
  <c r="H27" i="26"/>
  <c r="H474" i="26"/>
  <c r="H326" i="26"/>
  <c r="W128" i="10"/>
  <c r="W156" i="10"/>
  <c r="V162" i="10"/>
  <c r="H923" i="26"/>
  <c r="H694" i="26"/>
  <c r="H95" i="26"/>
  <c r="H166" i="26"/>
  <c r="Y129" i="10"/>
  <c r="H206" i="26"/>
  <c r="H86" i="26"/>
  <c r="H292" i="26"/>
  <c r="H842" i="26"/>
  <c r="H320" i="26"/>
  <c r="R160" i="10"/>
  <c r="AA129" i="10"/>
  <c r="H580" i="26"/>
  <c r="AA131" i="10"/>
  <c r="H103" i="26"/>
  <c r="D140" i="10"/>
  <c r="H32" i="26"/>
  <c r="H161" i="10"/>
  <c r="F128" i="10"/>
  <c r="H469" i="26"/>
  <c r="H105" i="26"/>
  <c r="W138" i="10"/>
  <c r="H381" i="26"/>
  <c r="W167" i="10"/>
  <c r="I167" i="10"/>
  <c r="H434" i="26"/>
  <c r="H441" i="26"/>
  <c r="H310" i="26"/>
  <c r="H384" i="26"/>
  <c r="F134" i="10"/>
  <c r="H686" i="26"/>
  <c r="H114" i="26"/>
  <c r="E163" i="10"/>
  <c r="H85" i="26"/>
  <c r="H567" i="26"/>
  <c r="H479" i="26"/>
  <c r="D134" i="10"/>
  <c r="H773" i="26"/>
  <c r="P132" i="10"/>
  <c r="S161" i="10"/>
  <c r="H534" i="26"/>
  <c r="H60" i="26"/>
  <c r="T131" i="10"/>
  <c r="AA163" i="10"/>
  <c r="H800" i="26"/>
  <c r="H506" i="26"/>
  <c r="H490" i="26"/>
  <c r="X166" i="10"/>
  <c r="AA167" i="10"/>
  <c r="H253" i="26"/>
  <c r="Q159" i="10"/>
  <c r="H212" i="26"/>
  <c r="H275" i="26"/>
  <c r="H917" i="26"/>
  <c r="H94" i="26"/>
  <c r="Y163" i="10"/>
  <c r="X133" i="10"/>
  <c r="V136" i="10"/>
  <c r="H327" i="26"/>
  <c r="H780" i="26"/>
  <c r="H97" i="26"/>
  <c r="Z163" i="10"/>
  <c r="H504" i="26"/>
  <c r="H982" i="26"/>
  <c r="T128" i="10"/>
  <c r="H43" i="26"/>
  <c r="H89" i="26"/>
  <c r="W166" i="10"/>
  <c r="H837" i="26"/>
  <c r="H406" i="26"/>
  <c r="H107" i="26"/>
  <c r="H136" i="10"/>
  <c r="M130" i="10"/>
  <c r="H521" i="26"/>
  <c r="U134" i="10"/>
  <c r="L137" i="10"/>
  <c r="E136" i="10"/>
  <c r="H933" i="26"/>
  <c r="H425" i="26"/>
  <c r="H261" i="26"/>
  <c r="H828" i="26"/>
  <c r="H701" i="26"/>
  <c r="W132" i="10"/>
  <c r="H116" i="26"/>
  <c r="V139" i="10"/>
  <c r="V167" i="10"/>
  <c r="H990" i="26"/>
  <c r="H314" i="26"/>
  <c r="H344" i="26"/>
  <c r="L157" i="10"/>
  <c r="U130" i="10"/>
  <c r="H546" i="26"/>
  <c r="U160" i="10"/>
  <c r="H512" i="26"/>
  <c r="M129" i="10"/>
  <c r="H388" i="26"/>
  <c r="H630" i="26"/>
  <c r="F159" i="10"/>
  <c r="H888" i="26"/>
  <c r="H452" i="26"/>
  <c r="H916" i="26"/>
  <c r="H859" i="26"/>
  <c r="H754" i="26"/>
  <c r="U167" i="10"/>
  <c r="H716" i="26"/>
  <c r="V157" i="10"/>
  <c r="H765" i="26"/>
  <c r="H117" i="26"/>
  <c r="L156" i="10"/>
  <c r="H347" i="26"/>
  <c r="H725" i="26"/>
  <c r="U132" i="10"/>
  <c r="H733" i="26"/>
  <c r="P156" i="10"/>
  <c r="H583" i="26"/>
  <c r="H717" i="26"/>
  <c r="H617" i="26"/>
  <c r="H616" i="26"/>
  <c r="H354" i="26"/>
  <c r="H355" i="26"/>
  <c r="H285" i="26"/>
  <c r="W168" i="10"/>
  <c r="F165" i="10"/>
  <c r="H316" i="26"/>
  <c r="L128" i="10"/>
  <c r="H345" i="26"/>
  <c r="U158" i="10"/>
  <c r="H732" i="26"/>
  <c r="H511" i="26"/>
  <c r="H99" i="26"/>
  <c r="Y128" i="10"/>
  <c r="F166" i="10"/>
  <c r="Q166" i="10"/>
  <c r="H893" i="26"/>
  <c r="H894" i="26"/>
  <c r="H718" i="26"/>
  <c r="H980" i="26"/>
  <c r="H977" i="26"/>
  <c r="P167" i="10"/>
  <c r="P139" i="10"/>
  <c r="Y167" i="10"/>
  <c r="H921" i="26"/>
  <c r="H609" i="26"/>
  <c r="H610" i="26"/>
  <c r="R133" i="10"/>
  <c r="L132" i="10"/>
  <c r="H196" i="26"/>
  <c r="H163" i="10"/>
  <c r="H135" i="10"/>
  <c r="H194" i="26"/>
  <c r="H493" i="26"/>
  <c r="H492" i="26"/>
  <c r="O136" i="10"/>
  <c r="O164" i="10"/>
  <c r="M134" i="10"/>
  <c r="H162" i="10"/>
  <c r="K130" i="10"/>
  <c r="H306" i="26"/>
  <c r="H463" i="26"/>
  <c r="H621" i="26"/>
  <c r="G134" i="10"/>
  <c r="H150" i="26"/>
  <c r="H898" i="26"/>
  <c r="H638" i="26"/>
  <c r="H365" i="26"/>
  <c r="H274" i="26"/>
  <c r="H548" i="26"/>
  <c r="H141" i="26"/>
  <c r="H129" i="26"/>
  <c r="H281" i="26"/>
  <c r="H19" i="26"/>
  <c r="H431" i="26"/>
  <c r="H211" i="26"/>
  <c r="Y155" i="10"/>
  <c r="H30" i="26"/>
  <c r="H66" i="26"/>
  <c r="H965" i="26"/>
  <c r="H351" i="26"/>
  <c r="U156" i="10"/>
  <c r="H419" i="26"/>
  <c r="H518" i="26"/>
  <c r="H231" i="26"/>
  <c r="H157" i="26"/>
  <c r="H658" i="26"/>
  <c r="H247" i="26"/>
  <c r="H293" i="26"/>
  <c r="AA168" i="10"/>
  <c r="H366" i="26"/>
  <c r="AA160" i="10"/>
  <c r="H335" i="26"/>
  <c r="H556" i="26"/>
  <c r="H302" i="26"/>
  <c r="H62" i="26"/>
  <c r="H952" i="26"/>
  <c r="H951" i="26"/>
  <c r="H892" i="26"/>
  <c r="H6" i="26"/>
  <c r="H207" i="26"/>
  <c r="H667" i="26"/>
  <c r="H88" i="26"/>
  <c r="H227" i="26"/>
  <c r="O140" i="10"/>
  <c r="H843" i="26"/>
  <c r="J128" i="10"/>
  <c r="X156" i="10"/>
  <c r="H846" i="26"/>
  <c r="X134" i="10"/>
  <c r="H606" i="26"/>
  <c r="H633" i="26"/>
  <c r="S155" i="10"/>
  <c r="T168" i="10"/>
  <c r="H271" i="26"/>
  <c r="H270" i="26"/>
  <c r="H622" i="26"/>
  <c r="J133" i="10"/>
  <c r="J161" i="10"/>
  <c r="H550" i="26"/>
  <c r="H140" i="26"/>
  <c r="G155" i="10"/>
  <c r="J164" i="10"/>
  <c r="H18" i="26"/>
  <c r="N157" i="10"/>
  <c r="H168" i="10"/>
  <c r="H885" i="26"/>
  <c r="D164" i="10"/>
  <c r="E134" i="10"/>
  <c r="H65" i="26"/>
  <c r="Z140" i="10"/>
  <c r="H967" i="26"/>
  <c r="L131" i="10"/>
  <c r="H352" i="26"/>
  <c r="H657" i="26"/>
  <c r="H246" i="26"/>
  <c r="H983" i="26"/>
  <c r="K168" i="10"/>
  <c r="H557" i="26"/>
  <c r="K157" i="10"/>
  <c r="E161" i="10"/>
  <c r="H869" i="26"/>
  <c r="H356" i="26"/>
  <c r="K163" i="10"/>
  <c r="K135" i="10"/>
  <c r="W129" i="10"/>
  <c r="H864" i="26"/>
  <c r="X162" i="10"/>
  <c r="H715" i="26"/>
  <c r="H713" i="26"/>
  <c r="H778" i="26"/>
  <c r="H777" i="26"/>
  <c r="V133" i="10"/>
  <c r="P166" i="10"/>
  <c r="H540" i="26"/>
  <c r="Y159" i="10"/>
  <c r="Q155" i="10"/>
  <c r="H142" i="26"/>
  <c r="G127" i="10"/>
  <c r="H283" i="26"/>
  <c r="D132" i="10"/>
  <c r="H430" i="26"/>
  <c r="H140" i="10"/>
  <c r="H884" i="26"/>
  <c r="D136" i="10"/>
  <c r="H656" i="26"/>
  <c r="I138" i="10"/>
  <c r="H986" i="26"/>
  <c r="K140" i="10"/>
  <c r="Q157" i="10"/>
  <c r="K129" i="10"/>
  <c r="H63" i="26"/>
  <c r="Z135" i="10"/>
  <c r="Y157" i="10"/>
  <c r="D156" i="10"/>
  <c r="H208" i="26"/>
  <c r="H665" i="26"/>
  <c r="F155" i="10"/>
  <c r="H322" i="26"/>
  <c r="H913" i="26"/>
  <c r="Y164" i="10"/>
  <c r="H605" i="26"/>
  <c r="T140" i="10"/>
  <c r="J160" i="10"/>
  <c r="U164" i="10"/>
  <c r="H744" i="26"/>
  <c r="U136" i="10"/>
  <c r="H499" i="26"/>
  <c r="H761" i="26"/>
  <c r="G133" i="10"/>
  <c r="H143" i="26"/>
  <c r="H962" i="26"/>
  <c r="S132" i="10"/>
  <c r="H652" i="26"/>
  <c r="H729" i="26"/>
  <c r="T165" i="10"/>
  <c r="H416" i="26"/>
  <c r="K127" i="10"/>
  <c r="X165" i="10"/>
  <c r="H413" i="26"/>
  <c r="H591" i="26"/>
  <c r="Q167" i="10"/>
  <c r="K164" i="10"/>
  <c r="H769" i="26"/>
  <c r="H496" i="26"/>
  <c r="T156" i="10"/>
  <c r="F132" i="10"/>
  <c r="D168" i="10"/>
  <c r="H190" i="26"/>
  <c r="F156" i="10"/>
  <c r="H104" i="26"/>
  <c r="H835" i="26"/>
  <c r="H383" i="26"/>
  <c r="Q163" i="10"/>
  <c r="Y133" i="10"/>
  <c r="O166" i="10"/>
  <c r="V156" i="10"/>
  <c r="H148" i="26"/>
  <c r="H108" i="26"/>
  <c r="H685" i="26"/>
  <c r="H789" i="26"/>
  <c r="F136" i="10"/>
  <c r="H11" i="26"/>
  <c r="E135" i="10"/>
  <c r="H750" i="26"/>
  <c r="E140" i="10"/>
  <c r="H998" i="26"/>
  <c r="Q133" i="10"/>
  <c r="O167" i="10"/>
  <c r="I128" i="10"/>
  <c r="G160" i="10"/>
  <c r="H963" i="26"/>
  <c r="H648" i="26"/>
  <c r="S164" i="10"/>
  <c r="M158" i="10"/>
  <c r="H650" i="26"/>
  <c r="H730" i="26"/>
  <c r="H535" i="26"/>
  <c r="H993" i="26"/>
  <c r="H706" i="26"/>
  <c r="H639" i="26"/>
  <c r="M167" i="10"/>
  <c r="H298" i="26"/>
  <c r="H873" i="26"/>
  <c r="H72" i="26"/>
  <c r="M166" i="10"/>
  <c r="H1005" i="26"/>
  <c r="H161" i="26"/>
  <c r="R127" i="10"/>
  <c r="H592" i="26"/>
  <c r="H45" i="26"/>
  <c r="H584" i="26"/>
  <c r="K166" i="10"/>
  <c r="H323" i="26"/>
  <c r="H457" i="26"/>
  <c r="H680" i="26"/>
  <c r="H102" i="26"/>
  <c r="H382" i="26"/>
  <c r="H573" i="26"/>
  <c r="H248" i="26"/>
  <c r="H904" i="26"/>
  <c r="O138" i="10"/>
  <c r="H762" i="26"/>
  <c r="H147" i="26"/>
  <c r="H683" i="26"/>
  <c r="V165" i="10"/>
  <c r="H115" i="26"/>
  <c r="D158" i="10"/>
  <c r="H68" i="26"/>
  <c r="H749" i="26"/>
  <c r="H83" i="26"/>
  <c r="H999" i="26"/>
  <c r="H568" i="26"/>
  <c r="H502" i="26"/>
  <c r="I156" i="10"/>
  <c r="H131" i="26"/>
  <c r="H144" i="26"/>
  <c r="S160" i="10"/>
  <c r="G157" i="10"/>
  <c r="P160" i="10"/>
  <c r="S133" i="10"/>
  <c r="H536" i="26"/>
  <c r="AA135" i="10"/>
  <c r="H801" i="26"/>
  <c r="T137" i="10"/>
  <c r="H640" i="26"/>
  <c r="H418" i="26"/>
  <c r="H296" i="26"/>
  <c r="X137" i="10"/>
  <c r="H73" i="26"/>
  <c r="H414" i="26"/>
  <c r="V131" i="10"/>
  <c r="H852" i="26"/>
  <c r="AA133" i="10"/>
  <c r="H376" i="26"/>
  <c r="H162" i="26"/>
  <c r="H748" i="26"/>
  <c r="R155" i="10"/>
  <c r="H46" i="26"/>
  <c r="H585" i="26"/>
  <c r="K136" i="10"/>
  <c r="H456" i="26"/>
  <c r="H255" i="26"/>
  <c r="H423" i="26"/>
  <c r="H284" i="26"/>
  <c r="F167" i="10"/>
  <c r="P168" i="10"/>
  <c r="H119" i="26"/>
  <c r="M161" i="10"/>
  <c r="H915" i="26"/>
  <c r="H156" i="10"/>
  <c r="H412" i="26"/>
  <c r="X157" i="10"/>
  <c r="H855" i="26"/>
  <c r="W163" i="10"/>
  <c r="H166" i="10"/>
  <c r="H690" i="26"/>
  <c r="T160" i="10"/>
  <c r="T132" i="10"/>
  <c r="H821" i="26"/>
  <c r="S167" i="10"/>
  <c r="H670" i="26"/>
  <c r="S139" i="10"/>
  <c r="H465" i="26"/>
  <c r="H446" i="26"/>
  <c r="H449" i="26"/>
  <c r="N135" i="10"/>
  <c r="H378" i="26"/>
  <c r="L168" i="10"/>
  <c r="H233" i="26"/>
  <c r="H235" i="26"/>
  <c r="I134" i="10"/>
  <c r="N156" i="10"/>
  <c r="H426" i="26"/>
  <c r="N128" i="10"/>
  <c r="I157" i="10"/>
  <c r="H587" i="26"/>
  <c r="Q168" i="10"/>
  <c r="Q140" i="10"/>
  <c r="H971" i="26"/>
  <c r="AA128" i="10"/>
  <c r="H974" i="26"/>
  <c r="AA156" i="10"/>
  <c r="H973" i="26"/>
  <c r="H185" i="26"/>
  <c r="H131" i="10"/>
  <c r="H182" i="26"/>
  <c r="H184" i="26"/>
  <c r="H183" i="26"/>
  <c r="J127" i="10"/>
  <c r="H254" i="26"/>
  <c r="H257" i="26"/>
  <c r="S134" i="10"/>
  <c r="P134" i="10"/>
  <c r="H422" i="26"/>
  <c r="J137" i="10"/>
  <c r="H286" i="26"/>
  <c r="J157" i="10"/>
  <c r="H700" i="26"/>
  <c r="F139" i="10"/>
  <c r="H122" i="26"/>
  <c r="H840" i="26"/>
  <c r="H726" i="26"/>
  <c r="P140" i="10"/>
  <c r="H547" i="26"/>
  <c r="H178" i="26"/>
  <c r="Y156" i="10"/>
  <c r="F138" i="10"/>
  <c r="H121" i="26"/>
  <c r="N164" i="10"/>
  <c r="M133" i="10"/>
  <c r="H400" i="26"/>
  <c r="H581" i="26"/>
  <c r="Y137" i="10"/>
  <c r="Y165" i="10"/>
  <c r="H174" i="26"/>
  <c r="H411" i="26"/>
  <c r="H615" i="26"/>
  <c r="H850" i="26"/>
  <c r="X159" i="10"/>
  <c r="H443" i="26"/>
  <c r="H930" i="26"/>
  <c r="Z128" i="10"/>
  <c r="H931" i="26"/>
  <c r="H929" i="26"/>
  <c r="H691" i="26"/>
  <c r="N163" i="10"/>
  <c r="L140" i="10"/>
  <c r="H395" i="26"/>
  <c r="M160" i="10"/>
  <c r="M132" i="10"/>
  <c r="H826" i="26"/>
  <c r="H827" i="26"/>
  <c r="H204" i="26"/>
  <c r="H203" i="26"/>
  <c r="H138" i="10"/>
  <c r="W162" i="10"/>
  <c r="H823" i="26"/>
  <c r="W134" i="10"/>
  <c r="H466" i="26"/>
  <c r="O127" i="10"/>
  <c r="H467" i="26"/>
  <c r="H464" i="26"/>
  <c r="H448" i="26"/>
  <c r="H377" i="26"/>
  <c r="I162" i="10"/>
  <c r="H219" i="26"/>
  <c r="H218" i="26"/>
  <c r="I129" i="10"/>
  <c r="N155" i="10"/>
  <c r="J129" i="10"/>
  <c r="H698" i="26"/>
  <c r="W140" i="10"/>
  <c r="H728" i="26"/>
  <c r="H129" i="10"/>
  <c r="H889" i="26"/>
  <c r="N136" i="10"/>
  <c r="Q138" i="10"/>
  <c r="X132" i="10"/>
  <c r="Y130" i="10"/>
  <c r="AA130" i="10"/>
  <c r="R163" i="10"/>
  <c r="X131" i="10"/>
  <c r="H403" i="26"/>
  <c r="N162" i="10"/>
  <c r="H825" i="26"/>
  <c r="Z156" i="10"/>
  <c r="H692" i="26"/>
  <c r="H461" i="26"/>
  <c r="N168" i="10"/>
  <c r="N140" i="10"/>
  <c r="H668" i="26"/>
  <c r="H996" i="26"/>
  <c r="H997" i="26"/>
  <c r="W165" i="10"/>
  <c r="H831" i="26"/>
  <c r="H372" i="26"/>
  <c r="H371" i="26"/>
  <c r="H447" i="26"/>
  <c r="H379" i="26"/>
  <c r="H234" i="26"/>
  <c r="H427" i="26"/>
  <c r="H397" i="26"/>
  <c r="S156" i="10"/>
  <c r="H636" i="26"/>
  <c r="S128" i="10"/>
  <c r="H589" i="26"/>
  <c r="H972" i="26"/>
  <c r="H159" i="10"/>
  <c r="J131" i="10"/>
  <c r="H269" i="26"/>
  <c r="L135" i="10"/>
  <c r="H362" i="26"/>
  <c r="Q127" i="10"/>
  <c r="H549" i="26"/>
  <c r="H130" i="26"/>
  <c r="D160" i="10"/>
  <c r="H210" i="26"/>
  <c r="H29" i="26"/>
  <c r="H899" i="26"/>
  <c r="H902" i="26"/>
  <c r="Z134" i="10"/>
  <c r="Z162" i="10"/>
  <c r="E129" i="10"/>
  <c r="H52" i="26"/>
  <c r="U140" i="10"/>
  <c r="U168" i="10"/>
  <c r="O158" i="10"/>
  <c r="H722" i="26"/>
  <c r="H719" i="26"/>
  <c r="M140" i="10"/>
  <c r="M168" i="10"/>
  <c r="H787" i="26"/>
  <c r="P131" i="10"/>
  <c r="P159" i="10"/>
  <c r="I133" i="10"/>
  <c r="H232" i="26"/>
  <c r="G136" i="10"/>
  <c r="H156" i="26"/>
  <c r="I166" i="10"/>
  <c r="J140" i="10"/>
  <c r="J168" i="10"/>
  <c r="AA140" i="10"/>
  <c r="H1009" i="26"/>
  <c r="L136" i="10"/>
  <c r="H367" i="26"/>
  <c r="H337" i="26"/>
  <c r="H303" i="26"/>
  <c r="H5" i="26"/>
  <c r="H666" i="26"/>
  <c r="H127" i="10"/>
  <c r="H173" i="26"/>
  <c r="H866" i="26"/>
  <c r="H867" i="26"/>
  <c r="L133" i="10"/>
  <c r="H357" i="26"/>
  <c r="O168" i="10"/>
  <c r="H259" i="26"/>
  <c r="X128" i="10"/>
  <c r="H847" i="26"/>
  <c r="H865" i="26"/>
  <c r="H785" i="26"/>
  <c r="H784" i="26"/>
  <c r="S127" i="10"/>
  <c r="H634" i="26"/>
  <c r="H532" i="26"/>
  <c r="P163" i="10"/>
  <c r="H814" i="26"/>
  <c r="H976" i="26"/>
  <c r="H808" i="26"/>
  <c r="H745" i="26"/>
  <c r="H486" i="26"/>
  <c r="P138" i="10"/>
  <c r="H539" i="26"/>
  <c r="F160" i="10"/>
  <c r="H942" i="26"/>
  <c r="H944" i="26"/>
  <c r="D137" i="10"/>
  <c r="H33" i="26"/>
  <c r="D131" i="10"/>
  <c r="H15" i="26"/>
  <c r="O128" i="10"/>
  <c r="H470" i="26"/>
  <c r="R138" i="10"/>
  <c r="R166" i="10"/>
  <c r="M127" i="10"/>
  <c r="M155" i="10"/>
  <c r="H575" i="26"/>
  <c r="H572" i="26"/>
  <c r="I139" i="10"/>
  <c r="H249" i="26"/>
  <c r="N133" i="10"/>
  <c r="N161" i="10"/>
  <c r="Y161" i="10"/>
  <c r="H309" i="26"/>
  <c r="H308" i="26"/>
  <c r="H724" i="26"/>
  <c r="Y134" i="10"/>
  <c r="Y162" i="10"/>
  <c r="M128" i="10"/>
  <c r="M156" i="10"/>
  <c r="G161" i="10"/>
  <c r="M163" i="10"/>
  <c r="H405" i="26"/>
  <c r="T130" i="10"/>
  <c r="H684" i="26"/>
  <c r="H113" i="26"/>
  <c r="H70" i="26"/>
  <c r="H84" i="26"/>
  <c r="H566" i="26"/>
  <c r="H217" i="26"/>
  <c r="G128" i="10"/>
  <c r="G156" i="10"/>
  <c r="V132" i="10"/>
  <c r="H774" i="26"/>
  <c r="H200" i="26"/>
  <c r="H137" i="10"/>
  <c r="H164" i="10"/>
  <c r="H169" i="26"/>
  <c r="G140" i="10"/>
  <c r="H167" i="26"/>
  <c r="AA155" i="10"/>
  <c r="H158" i="26"/>
  <c r="G137" i="10"/>
  <c r="H159" i="26"/>
  <c r="H619" i="26"/>
  <c r="H760" i="26"/>
  <c r="V127" i="10"/>
  <c r="H758" i="26"/>
  <c r="H598" i="26"/>
  <c r="R129" i="10"/>
  <c r="H597" i="26"/>
  <c r="R157" i="10"/>
  <c r="H135" i="26"/>
  <c r="G129" i="10"/>
  <c r="D166" i="10"/>
  <c r="H36" i="26"/>
  <c r="D138" i="10"/>
  <c r="H596" i="26"/>
  <c r="H595" i="26"/>
  <c r="R128" i="10"/>
  <c r="H454" i="26"/>
  <c r="H453" i="26"/>
  <c r="H900" i="26"/>
  <c r="H947" i="26"/>
  <c r="E157" i="10"/>
  <c r="H757" i="26"/>
  <c r="H720" i="26"/>
  <c r="H420" i="26"/>
  <c r="H520" i="26"/>
  <c r="I161" i="10"/>
  <c r="H155" i="26"/>
  <c r="H295" i="26"/>
  <c r="H1007" i="26"/>
  <c r="L164" i="10"/>
  <c r="X163" i="10"/>
  <c r="L161" i="10"/>
  <c r="H258" i="26"/>
  <c r="V163" i="10"/>
  <c r="H533" i="26"/>
  <c r="W159" i="10"/>
  <c r="H807" i="26"/>
  <c r="O134" i="10"/>
  <c r="H541" i="26"/>
  <c r="H943" i="26"/>
  <c r="H34" i="26"/>
  <c r="H14" i="26"/>
  <c r="O156" i="10"/>
  <c r="H623" i="26"/>
  <c r="H440" i="26"/>
  <c r="H970" i="26"/>
  <c r="AA127" i="10"/>
  <c r="H969" i="26"/>
  <c r="R164" i="10"/>
  <c r="R136" i="10"/>
  <c r="H618" i="26"/>
  <c r="D133" i="10"/>
  <c r="M131" i="10"/>
  <c r="Q128" i="10"/>
  <c r="I136" i="10"/>
  <c r="G131" i="10"/>
  <c r="J136" i="10"/>
  <c r="N129" i="10"/>
  <c r="Y127" i="10"/>
  <c r="Y132" i="10"/>
  <c r="U128" i="10"/>
  <c r="K137" i="10"/>
  <c r="H659" i="26"/>
  <c r="H984" i="26"/>
  <c r="Q129" i="10"/>
  <c r="E133" i="10"/>
  <c r="H139" i="10"/>
  <c r="F127" i="10"/>
  <c r="X135" i="10"/>
  <c r="H225" i="26"/>
  <c r="X127" i="10"/>
  <c r="V135" i="10"/>
  <c r="P135" i="10"/>
  <c r="H677" i="26"/>
  <c r="Z132" i="10"/>
  <c r="Q135" i="10"/>
  <c r="K131" i="10"/>
  <c r="H764" i="26"/>
  <c r="M135" i="10"/>
  <c r="V137" i="10"/>
  <c r="D130" i="10"/>
  <c r="U138" i="10"/>
  <c r="AA137" i="10"/>
  <c r="O139" i="10"/>
  <c r="H964" i="26"/>
  <c r="Z139" i="10"/>
  <c r="H647" i="26"/>
  <c r="H165" i="10"/>
  <c r="H198" i="26"/>
  <c r="H136" i="26"/>
  <c r="H168" i="26"/>
  <c r="M164" i="10"/>
  <c r="H408" i="26"/>
  <c r="M136" i="10"/>
  <c r="H35" i="26"/>
  <c r="G165" i="10"/>
  <c r="H662" i="26"/>
  <c r="H660" i="26"/>
  <c r="S136" i="10"/>
  <c r="R156" i="10"/>
  <c r="H759" i="26"/>
  <c r="H433" i="26"/>
  <c r="N158" i="10"/>
  <c r="N137" i="10"/>
  <c r="H797" i="26"/>
  <c r="V140" i="10"/>
  <c r="H799" i="26"/>
  <c r="H798" i="26"/>
  <c r="H599" i="26"/>
  <c r="T159" i="10"/>
  <c r="H370" i="26"/>
  <c r="S129" i="10"/>
  <c r="H641" i="26"/>
  <c r="H297" i="26"/>
  <c r="H299" i="26"/>
  <c r="O135" i="10"/>
  <c r="H771" i="26"/>
  <c r="Q131" i="10"/>
  <c r="H561" i="26"/>
  <c r="X158" i="10"/>
  <c r="J134" i="10"/>
  <c r="H277" i="26"/>
  <c r="H244" i="26"/>
  <c r="AA161" i="10"/>
  <c r="R159" i="10"/>
  <c r="G130" i="10"/>
  <c r="G158" i="10"/>
  <c r="H374" i="26"/>
  <c r="S140" i="10"/>
  <c r="H671" i="26"/>
  <c r="H918" i="26"/>
  <c r="G138" i="10"/>
  <c r="G166" i="10"/>
  <c r="H82" i="26"/>
  <c r="U137" i="10"/>
  <c r="U165" i="10"/>
  <c r="H911" i="26"/>
  <c r="H910" i="26"/>
  <c r="H339" i="26"/>
  <c r="H340" i="26"/>
  <c r="H861" i="26"/>
  <c r="Q136" i="10"/>
  <c r="H956" i="26"/>
  <c r="H559" i="26"/>
  <c r="H703" i="26"/>
  <c r="S158" i="10"/>
  <c r="V159" i="10"/>
  <c r="X130" i="10"/>
  <c r="H854" i="26"/>
  <c r="I165" i="10"/>
  <c r="H603" i="26"/>
  <c r="H375" i="26"/>
  <c r="H919" i="26"/>
  <c r="E167" i="10"/>
  <c r="H862" i="26"/>
  <c r="Z165" i="10"/>
  <c r="Q158" i="10"/>
  <c r="T164" i="10"/>
  <c r="H643" i="26"/>
  <c r="H851" i="26"/>
  <c r="I137" i="10"/>
  <c r="R131" i="10"/>
  <c r="L139" i="10"/>
  <c r="Y138" i="10"/>
  <c r="E139" i="10"/>
  <c r="Z137" i="10"/>
  <c r="S130" i="10"/>
  <c r="H696" i="26"/>
  <c r="H697" i="26"/>
  <c r="H695" i="26"/>
  <c r="T134" i="10"/>
  <c r="I51" i="10"/>
  <c r="H236" i="26" s="1"/>
  <c r="I163" i="10"/>
  <c r="H238" i="26"/>
  <c r="H237" i="26"/>
  <c r="I135" i="10"/>
  <c r="O47" i="10"/>
  <c r="H477" i="26" s="1"/>
  <c r="H478" i="26"/>
  <c r="K48" i="10"/>
  <c r="K160" i="10" s="1"/>
  <c r="R46" i="10"/>
  <c r="R158" i="10" s="1"/>
  <c r="F56" i="10"/>
  <c r="H127" i="26"/>
  <c r="H125" i="26"/>
  <c r="F168" i="10"/>
  <c r="H126" i="26"/>
  <c r="F140" i="10"/>
  <c r="DT1" i="18"/>
  <c r="DT3" i="18"/>
  <c r="DT2" i="18"/>
  <c r="BZ1" i="18"/>
  <c r="BZ3" i="18"/>
  <c r="BZ2" i="18"/>
  <c r="DO1" i="18"/>
  <c r="DO3" i="18"/>
  <c r="DO2" i="18"/>
  <c r="AQ1" i="18"/>
  <c r="AQ3" i="18"/>
  <c r="AQ2" i="18"/>
  <c r="CP1" i="18"/>
  <c r="CP3" i="18"/>
  <c r="CP2" i="18"/>
  <c r="CX1" i="18"/>
  <c r="CX3" i="18"/>
  <c r="CX2" i="18"/>
  <c r="CE1" i="18"/>
  <c r="CE3" i="18"/>
  <c r="CE2" i="18"/>
  <c r="CL1" i="18"/>
  <c r="CL3" i="18"/>
  <c r="CL2" i="18"/>
  <c r="FN1" i="18"/>
  <c r="FN3" i="18"/>
  <c r="FN2" i="18"/>
  <c r="FO1" i="18"/>
  <c r="DY1" i="18"/>
  <c r="DY3" i="18"/>
  <c r="DY2" i="18"/>
  <c r="EM1" i="18"/>
  <c r="EM3" i="18"/>
  <c r="EM2" i="18"/>
  <c r="F1" i="18"/>
  <c r="F3" i="18"/>
  <c r="F2" i="18"/>
  <c r="DP1" i="18"/>
  <c r="DP3" i="18"/>
  <c r="DP2" i="18"/>
  <c r="J1" i="18"/>
  <c r="J3" i="18"/>
  <c r="J2" i="18"/>
  <c r="BT1" i="18"/>
  <c r="BT3" i="18"/>
  <c r="BT2" i="18"/>
  <c r="BN1" i="18"/>
  <c r="BN3" i="18"/>
  <c r="BN2" i="18"/>
  <c r="FK1" i="18"/>
  <c r="FK3" i="18"/>
  <c r="FK2" i="18"/>
  <c r="K50" i="10"/>
  <c r="H317" i="26" s="1"/>
  <c r="Z43" i="10"/>
  <c r="Z155" i="10" s="1"/>
  <c r="H927" i="26"/>
  <c r="Z127" i="10"/>
  <c r="E54" i="10"/>
  <c r="H79" i="26" s="1"/>
  <c r="F51" i="10"/>
  <c r="F163" i="10" s="1"/>
  <c r="H111" i="26"/>
  <c r="T45" i="10"/>
  <c r="H681" i="26" s="1"/>
  <c r="T129" i="10"/>
  <c r="E46" i="10"/>
  <c r="E158" i="10" s="1"/>
  <c r="Q48" i="10"/>
  <c r="Q160" i="10" s="1"/>
  <c r="P46" i="10"/>
  <c r="H517" i="26" s="1"/>
  <c r="T54" i="10"/>
  <c r="H707" i="26" s="1"/>
  <c r="T166" i="10"/>
  <c r="D45" i="10"/>
  <c r="H9" i="26" s="1"/>
  <c r="H8" i="26"/>
  <c r="D129" i="10"/>
  <c r="Q50" i="10"/>
  <c r="H570" i="26" s="1"/>
  <c r="ES1" i="18"/>
  <c r="ES3" i="18"/>
  <c r="ES2" i="18"/>
  <c r="BD1" i="18"/>
  <c r="BD3" i="18"/>
  <c r="BD2" i="18"/>
  <c r="AX1" i="18"/>
  <c r="AX3" i="18"/>
  <c r="AX2" i="18"/>
  <c r="V1" i="18"/>
  <c r="V3" i="18"/>
  <c r="V2" i="18"/>
  <c r="EC1" i="18"/>
  <c r="EC3" i="18"/>
  <c r="EC2" i="18"/>
  <c r="AF1" i="18"/>
  <c r="AF3" i="18"/>
  <c r="AF2" i="18"/>
  <c r="BC1" i="18"/>
  <c r="BC3" i="18"/>
  <c r="BC2" i="18"/>
  <c r="AK1" i="18"/>
  <c r="AK3" i="18"/>
  <c r="AK2" i="18"/>
  <c r="DS1" i="18"/>
  <c r="DS3" i="18"/>
  <c r="DS2" i="18"/>
  <c r="BL1" i="18"/>
  <c r="BL3" i="18"/>
  <c r="BL2" i="18"/>
  <c r="DC1" i="18"/>
  <c r="DC3" i="18"/>
  <c r="DC2" i="18"/>
  <c r="AG1" i="18"/>
  <c r="AG3" i="18"/>
  <c r="AG2" i="18"/>
  <c r="BQ1" i="18"/>
  <c r="BQ3" i="18"/>
  <c r="BQ2" i="18"/>
  <c r="AE1" i="18"/>
  <c r="AE3" i="18"/>
  <c r="AE2" i="18"/>
  <c r="DZ1" i="18"/>
  <c r="DZ3" i="18"/>
  <c r="DZ2" i="18"/>
  <c r="D57" i="10" a="1"/>
  <c r="F70" i="10"/>
  <c r="V68" i="10"/>
  <c r="U59" i="10"/>
  <c r="F57" i="10"/>
  <c r="H68" i="10"/>
  <c r="R68" i="10"/>
  <c r="W60" i="10"/>
  <c r="N58" i="10"/>
  <c r="I66" i="10"/>
  <c r="O57" i="10"/>
  <c r="E58" i="10"/>
  <c r="I69" i="10"/>
  <c r="L68" i="10"/>
  <c r="G57" i="10"/>
  <c r="M58" i="10"/>
  <c r="U61" i="10"/>
  <c r="P67" i="10"/>
  <c r="W68" i="10"/>
  <c r="E62" i="10"/>
  <c r="X57" i="10"/>
  <c r="Y61" i="10"/>
  <c r="Q60" i="10"/>
  <c r="O66" i="10"/>
  <c r="Y64" i="10"/>
  <c r="I61" i="10"/>
  <c r="J65" i="10"/>
  <c r="T70" i="10"/>
  <c r="Q57" i="10"/>
  <c r="D63" i="10"/>
  <c r="G58" i="10"/>
  <c r="Y58" i="10"/>
  <c r="P69" i="10"/>
  <c r="J57" i="10"/>
  <c r="F69" i="10"/>
  <c r="O70" i="10"/>
  <c r="K60" i="10"/>
  <c r="D67" i="10"/>
  <c r="K69" i="10"/>
  <c r="S59" i="10"/>
  <c r="G65" i="10"/>
  <c r="Q63" i="10"/>
  <c r="U68" i="10"/>
  <c r="R67" i="10"/>
  <c r="S63" i="10"/>
  <c r="Z69" i="10"/>
  <c r="W64" i="10"/>
  <c r="Y68" i="10"/>
  <c r="O60" i="10"/>
  <c r="O69" i="10"/>
  <c r="N67" i="10"/>
  <c r="T57" i="10"/>
  <c r="T58" i="10"/>
  <c r="L61" i="10"/>
  <c r="M67" i="10"/>
  <c r="Y70" i="10"/>
  <c r="H61" i="10"/>
  <c r="V59" i="10"/>
  <c r="M60" i="10"/>
  <c r="L62" i="10"/>
  <c r="R66" i="10"/>
  <c r="Y59" i="10"/>
  <c r="E70" i="10"/>
  <c r="N61" i="10"/>
  <c r="V60" i="10"/>
  <c r="T62" i="10"/>
  <c r="W62" i="10"/>
  <c r="W57" i="10"/>
  <c r="F67" i="10"/>
  <c r="G59" i="10"/>
  <c r="R58" i="10"/>
  <c r="S69" i="10"/>
  <c r="L59" i="10"/>
  <c r="Y62" i="10"/>
  <c r="J62" i="10"/>
  <c r="K61" i="10"/>
  <c r="X58" i="10"/>
  <c r="AA67" i="10"/>
  <c r="U70" i="10"/>
  <c r="D68" i="10"/>
  <c r="N62" i="10"/>
  <c r="K66" i="10"/>
  <c r="S67" i="10"/>
  <c r="R60" i="10"/>
  <c r="I59" i="10"/>
  <c r="O62" i="10"/>
  <c r="G67" i="10"/>
  <c r="U64" i="10"/>
  <c r="M66" i="10"/>
  <c r="AA65" i="10"/>
  <c r="O58" i="10"/>
  <c r="U62" i="10"/>
  <c r="K64" i="10"/>
  <c r="G66" i="10"/>
  <c r="I70" i="10"/>
  <c r="L70" i="10"/>
  <c r="U66" i="10"/>
  <c r="W58" i="10"/>
  <c r="M68" i="10"/>
  <c r="K62" i="10"/>
  <c r="J66" i="10"/>
  <c r="X64" i="10"/>
  <c r="U65" i="10"/>
  <c r="E65" i="10"/>
  <c r="E64" i="10"/>
  <c r="O68" i="10"/>
  <c r="U63" i="10"/>
  <c r="R59" i="10"/>
  <c r="O65" i="10"/>
  <c r="Q68" i="10"/>
  <c r="Q69" i="10"/>
  <c r="E61" i="10"/>
  <c r="H48" i="10"/>
  <c r="H62" i="10" s="1"/>
  <c r="U58" i="10"/>
  <c r="Z64" i="10"/>
  <c r="D65" i="10"/>
  <c r="K67" i="10"/>
  <c r="N65" i="10"/>
  <c r="AA60" i="10"/>
  <c r="K70" i="10"/>
  <c r="Q64" i="10"/>
  <c r="L65" i="10"/>
  <c r="K63" i="10"/>
  <c r="R63" i="10"/>
  <c r="X69" i="10"/>
  <c r="N69" i="10"/>
  <c r="S57" i="10"/>
  <c r="M63" i="10"/>
  <c r="D64" i="10"/>
  <c r="V69" i="10"/>
  <c r="S62" i="10"/>
  <c r="AA62" i="10"/>
  <c r="E57" i="10"/>
  <c r="M62" i="10"/>
  <c r="T59" i="10"/>
  <c r="Z61" i="10"/>
  <c r="L66" i="10"/>
  <c r="J67" i="10"/>
  <c r="I46" i="10"/>
  <c r="I60" i="10" s="1"/>
  <c r="X66" i="10"/>
  <c r="I67" i="10"/>
  <c r="H57" i="10"/>
  <c r="M70" i="10"/>
  <c r="P62" i="10"/>
  <c r="H60" i="10"/>
  <c r="G70" i="10"/>
  <c r="V64" i="10"/>
  <c r="T66" i="10"/>
  <c r="AA68" i="10"/>
  <c r="D69" i="10"/>
  <c r="X70" i="10"/>
  <c r="S60" i="10"/>
  <c r="F59" i="10"/>
  <c r="P68" i="10"/>
  <c r="L69" i="10"/>
  <c r="N68" i="10"/>
  <c r="N66" i="10"/>
  <c r="E66" i="10"/>
  <c r="Z57" i="10"/>
  <c r="Y57" i="10"/>
  <c r="Z63" i="10"/>
  <c r="V62" i="10"/>
  <c r="X63" i="10"/>
  <c r="Q67" i="10"/>
  <c r="M64" i="10"/>
  <c r="I65" i="10"/>
  <c r="P57" i="10"/>
  <c r="V65" i="10"/>
  <c r="W65" i="10"/>
  <c r="Z67" i="10"/>
  <c r="P63" i="10"/>
  <c r="D66" i="10"/>
  <c r="F66" i="10"/>
  <c r="R57" i="10"/>
  <c r="Y65" i="10"/>
  <c r="AA58" i="10"/>
  <c r="K68" i="10"/>
  <c r="F58" i="10"/>
  <c r="R61" i="10"/>
  <c r="Q59" i="10"/>
  <c r="AA66" i="10"/>
  <c r="O64" i="10"/>
  <c r="Z62" i="10"/>
  <c r="V66" i="10"/>
  <c r="G60" i="10"/>
  <c r="X61" i="10"/>
  <c r="G62" i="10"/>
  <c r="T68" i="10"/>
  <c r="D58" i="10"/>
  <c r="D59" i="10"/>
  <c r="V58" i="10"/>
  <c r="G68" i="10"/>
  <c r="X65" i="10"/>
  <c r="O61" i="10"/>
  <c r="V70" i="10"/>
  <c r="U67" i="10"/>
  <c r="H58" i="10"/>
  <c r="T64" i="10"/>
  <c r="G69" i="10"/>
  <c r="Q66" i="10"/>
  <c r="F65" i="10"/>
  <c r="G64" i="10"/>
  <c r="Y66" i="10"/>
  <c r="P45" i="10"/>
  <c r="P59" i="10" s="1"/>
  <c r="I58" i="10"/>
  <c r="L64" i="10"/>
  <c r="E67" i="10"/>
  <c r="Z65" i="10"/>
  <c r="F60" i="10"/>
  <c r="Z66" i="10"/>
  <c r="O67" i="10"/>
  <c r="AA61" i="10"/>
  <c r="X67" i="10"/>
  <c r="W67" i="10"/>
  <c r="F61" i="10"/>
  <c r="K59" i="10"/>
  <c r="P61" i="10"/>
  <c r="W70" i="10"/>
  <c r="J63" i="10"/>
  <c r="Z70" i="10"/>
  <c r="K57" i="10"/>
  <c r="AA64" i="10"/>
  <c r="Y63" i="10"/>
  <c r="I64" i="10"/>
  <c r="F62" i="10"/>
  <c r="Z68" i="10"/>
  <c r="U60" i="10"/>
  <c r="P64" i="10"/>
  <c r="J64" i="10"/>
  <c r="AA70" i="10"/>
  <c r="T65" i="10"/>
  <c r="E69" i="10"/>
  <c r="D62" i="10"/>
  <c r="M57" i="10"/>
  <c r="N70" i="10"/>
  <c r="R65" i="10"/>
  <c r="J69" i="10"/>
  <c r="E63" i="10"/>
  <c r="D61" i="10"/>
  <c r="S58" i="10"/>
  <c r="AA69" i="10"/>
  <c r="AA57" i="10"/>
  <c r="N64" i="10"/>
  <c r="S65" i="10"/>
  <c r="K58" i="10"/>
  <c r="AA59" i="10"/>
  <c r="X60" i="10"/>
  <c r="N57" i="10"/>
  <c r="Q70" i="10"/>
  <c r="S64" i="10"/>
  <c r="N63" i="10"/>
  <c r="D70" i="10"/>
  <c r="I63" i="10"/>
  <c r="J61" i="10"/>
  <c r="H66" i="10"/>
  <c r="S66" i="10"/>
  <c r="L58" i="10"/>
  <c r="Y69" i="10"/>
  <c r="H67" i="10"/>
  <c r="S70" i="10"/>
  <c r="P70" i="10"/>
  <c r="V61" i="10"/>
  <c r="T67" i="10"/>
  <c r="H70" i="10"/>
  <c r="M65" i="10"/>
  <c r="S68" i="10"/>
  <c r="W59" i="10"/>
  <c r="M59" i="10"/>
  <c r="G61" i="10"/>
  <c r="Q58" i="10"/>
  <c r="J68" i="10"/>
  <c r="U69" i="10"/>
  <c r="N60" i="10"/>
  <c r="F63" i="10"/>
  <c r="I62" i="10"/>
  <c r="W61" i="10"/>
  <c r="H63" i="10"/>
  <c r="J59" i="10"/>
  <c r="H65" i="10"/>
  <c r="H59" i="10"/>
  <c r="R69" i="10"/>
  <c r="Y67" i="10"/>
  <c r="Y60" i="10"/>
  <c r="L57" i="10"/>
  <c r="AA63" i="10"/>
  <c r="U57" i="10"/>
  <c r="H64" i="10"/>
  <c r="V67" i="10"/>
  <c r="R50" i="10"/>
  <c r="R64" i="10" s="1"/>
  <c r="X59" i="10"/>
  <c r="J60" i="10"/>
  <c r="R70" i="10"/>
  <c r="M61" i="10"/>
  <c r="P66" i="10"/>
  <c r="L63" i="10"/>
  <c r="N59" i="10"/>
  <c r="T60" i="10"/>
  <c r="E59" i="10"/>
  <c r="F68" i="10"/>
  <c r="D60" i="10"/>
  <c r="L60" i="10"/>
  <c r="I68" i="10"/>
  <c r="H69" i="10"/>
  <c r="J70" i="10"/>
  <c r="Q65" i="10"/>
  <c r="W69" i="10"/>
  <c r="J58" i="10"/>
  <c r="W63" i="10"/>
  <c r="O45" i="10"/>
  <c r="O59" i="10" s="1"/>
  <c r="Z58" i="10"/>
  <c r="Z60" i="10"/>
  <c r="R62" i="10"/>
  <c r="V57" i="10"/>
  <c r="M69" i="10"/>
  <c r="X68" i="10"/>
  <c r="Q61" i="10"/>
  <c r="K65" i="10"/>
  <c r="P65" i="10"/>
  <c r="S47" i="10"/>
  <c r="S61" i="10" s="1"/>
  <c r="G63" i="10"/>
  <c r="P60" i="10"/>
  <c r="O63" i="10"/>
  <c r="T61" i="10"/>
  <c r="L67" i="10"/>
  <c r="X62" i="10"/>
  <c r="E68" i="10"/>
  <c r="T69" i="10"/>
  <c r="Z59" i="10"/>
  <c r="P58" i="10"/>
  <c r="W66" i="10"/>
  <c r="D43" i="10"/>
  <c r="D155" i="10" s="1"/>
  <c r="V63" i="10"/>
  <c r="F64" i="10"/>
  <c r="I57" i="10"/>
  <c r="T63" i="10"/>
  <c r="H4" i="26"/>
  <c r="H513" i="26"/>
  <c r="P157" i="10"/>
  <c r="H515" i="26"/>
  <c r="H514" i="26"/>
  <c r="P129" i="10"/>
  <c r="H187" i="26"/>
  <c r="S159" i="10"/>
  <c r="H644" i="26"/>
  <c r="H471" i="26"/>
  <c r="H473" i="26"/>
  <c r="O157" i="10"/>
  <c r="H472" i="26"/>
  <c r="O129" i="10"/>
  <c r="H222" i="26"/>
  <c r="H613" i="26"/>
  <c r="R134" i="10"/>
  <c r="H612" i="26"/>
  <c r="T283" i="8"/>
  <c r="E171" i="8"/>
  <c r="J59" i="8"/>
  <c r="Y1179" i="8"/>
  <c r="O227" i="8"/>
  <c r="Y787" i="8"/>
  <c r="T115" i="8"/>
  <c r="J1235" i="8"/>
  <c r="T1179" i="8"/>
  <c r="AI899" i="8"/>
  <c r="AI675" i="8"/>
  <c r="O395" i="8"/>
  <c r="AI1067" i="8"/>
  <c r="O1067" i="8"/>
  <c r="T171" i="8"/>
  <c r="T787" i="8"/>
  <c r="E59" i="8"/>
  <c r="Y1123" i="8"/>
  <c r="J283" i="8"/>
  <c r="Y115" i="8"/>
  <c r="AI787" i="8"/>
  <c r="J1011" i="8"/>
  <c r="J731" i="8"/>
  <c r="J115" i="8"/>
  <c r="Y619" i="8"/>
  <c r="E675" i="8"/>
  <c r="O899" i="8"/>
  <c r="Y227" i="8"/>
  <c r="AI1179" i="8"/>
  <c r="AD507" i="8"/>
  <c r="Y843" i="8"/>
  <c r="T1011" i="8"/>
  <c r="O507" i="8"/>
  <c r="J451" i="8"/>
  <c r="AD451" i="8"/>
  <c r="O1291" i="8"/>
  <c r="AI451" i="8"/>
  <c r="Y899" i="8"/>
  <c r="AD563" i="8"/>
  <c r="E1291" i="8"/>
  <c r="J619" i="8"/>
  <c r="Y563" i="8"/>
  <c r="O59" i="8"/>
  <c r="Y731" i="8"/>
  <c r="AD1235" i="8"/>
  <c r="E1235" i="8"/>
  <c r="AI1011" i="8"/>
  <c r="T1067" i="8"/>
  <c r="AI283" i="8"/>
  <c r="Y171" i="8"/>
  <c r="AD1291" i="8"/>
  <c r="AI1235" i="8"/>
  <c r="O115" i="8"/>
  <c r="J507" i="8"/>
  <c r="J843" i="8"/>
  <c r="E451" i="8"/>
  <c r="J339" i="8"/>
  <c r="E1179" i="8"/>
  <c r="J675" i="8"/>
  <c r="Y675" i="8"/>
  <c r="T227" i="8"/>
  <c r="E1011" i="8"/>
  <c r="E115" i="8"/>
  <c r="O1235" i="8"/>
  <c r="J1067" i="8"/>
  <c r="E563" i="8"/>
  <c r="E395" i="8"/>
  <c r="T899" i="8"/>
  <c r="AD843" i="8"/>
  <c r="Y1067" i="8"/>
  <c r="AD115" i="8"/>
  <c r="AI955" i="8"/>
  <c r="O1011" i="8"/>
  <c r="E1067" i="8"/>
  <c r="AD283" i="8"/>
  <c r="AD1067" i="8"/>
  <c r="O1123" i="8"/>
  <c r="E227" i="8"/>
  <c r="J899" i="8"/>
  <c r="E843" i="8"/>
  <c r="E899" i="8"/>
  <c r="T563" i="8"/>
  <c r="T451" i="8"/>
  <c r="T507" i="8"/>
  <c r="O731" i="8"/>
  <c r="Y1235" i="8"/>
  <c r="AD171" i="8"/>
  <c r="AD619" i="8"/>
  <c r="J1179" i="8"/>
  <c r="O283" i="8"/>
  <c r="Y1011" i="8"/>
  <c r="T955" i="8"/>
  <c r="E339" i="8"/>
  <c r="AD675" i="8"/>
  <c r="J227" i="8"/>
  <c r="Y395" i="8"/>
  <c r="AI843" i="8"/>
  <c r="AI59" i="8"/>
  <c r="Y283" i="8"/>
  <c r="E731" i="8"/>
  <c r="T731" i="8"/>
  <c r="J395" i="8"/>
  <c r="AI115" i="8"/>
  <c r="D22" i="6"/>
  <c r="E15" i="24"/>
  <c r="E19" i="24" a="1"/>
  <c r="R19" i="24"/>
  <c r="J19" i="24"/>
  <c r="P19" i="24"/>
  <c r="Q19" i="24"/>
  <c r="S19" i="24"/>
  <c r="V19" i="24"/>
  <c r="AB19" i="24"/>
  <c r="F19" i="24"/>
  <c r="G19" i="24"/>
  <c r="M19" i="24"/>
  <c r="Y19" i="24"/>
  <c r="N19" i="24"/>
  <c r="U19" i="24"/>
  <c r="E19" i="24"/>
  <c r="W19" i="24"/>
  <c r="K19" i="24"/>
  <c r="L19" i="24"/>
  <c r="I19" i="24"/>
  <c r="O19" i="24"/>
  <c r="H19" i="24"/>
  <c r="T19" i="24"/>
  <c r="AA19" i="24"/>
  <c r="Z19" i="24"/>
  <c r="X19" i="24"/>
  <c r="AD1123" i="8"/>
  <c r="J1291" i="8"/>
  <c r="AI619" i="8"/>
  <c r="O955" i="8"/>
  <c r="J955" i="8"/>
  <c r="O1179" i="8"/>
  <c r="AD59" i="8"/>
  <c r="J563" i="8"/>
  <c r="AI227" i="8"/>
  <c r="Y451" i="8"/>
  <c r="Y339" i="8"/>
  <c r="E283" i="8"/>
  <c r="AI1291" i="8"/>
  <c r="Y1291" i="8"/>
  <c r="AD787" i="8"/>
  <c r="O843" i="8"/>
  <c r="AD1179" i="8"/>
  <c r="AD339" i="8"/>
  <c r="E787" i="8"/>
  <c r="J787" i="8"/>
  <c r="AI563" i="8"/>
  <c r="O619" i="8"/>
  <c r="O451" i="8"/>
  <c r="E507" i="8"/>
  <c r="AD955" i="8"/>
  <c r="T1123" i="8"/>
  <c r="AI339" i="8"/>
  <c r="AD395" i="8"/>
  <c r="AI1123" i="8"/>
  <c r="AD1011" i="8"/>
  <c r="AI731" i="8"/>
  <c r="T1235" i="8"/>
  <c r="T395" i="8"/>
  <c r="Y955" i="8"/>
  <c r="T339" i="8"/>
  <c r="O171" i="8"/>
  <c r="AI395" i="8"/>
  <c r="AD899" i="8"/>
  <c r="E619" i="8"/>
  <c r="J1123" i="8"/>
  <c r="T675" i="8"/>
  <c r="AI507" i="8"/>
  <c r="O787" i="8"/>
  <c r="E1123" i="8"/>
  <c r="O339" i="8"/>
  <c r="T59" i="8"/>
  <c r="J171" i="8"/>
  <c r="O563" i="8"/>
  <c r="AI171" i="8"/>
  <c r="T619" i="8"/>
  <c r="T1291" i="8"/>
  <c r="Y507" i="8"/>
  <c r="T843" i="8"/>
  <c r="O675" i="8"/>
  <c r="E955" i="8"/>
  <c r="AD227" i="8"/>
  <c r="Y59" i="8"/>
  <c r="AD731" i="8"/>
  <c r="D2" i="8"/>
  <c r="I2" i="8"/>
  <c r="N2" i="8"/>
  <c r="S2" i="8"/>
  <c r="X2" i="8"/>
  <c r="AC2" i="8"/>
  <c r="AH2" i="8"/>
  <c r="E16" i="24"/>
  <c r="F19" i="6"/>
  <c r="D21" i="6"/>
  <c r="E13" i="24"/>
  <c r="D5" i="10" a="1"/>
  <c r="H645" i="26" l="1"/>
  <c r="H186" i="26"/>
  <c r="Q134" i="10"/>
  <c r="H682" i="26"/>
  <c r="E166" i="10"/>
  <c r="H160" i="10"/>
  <c r="S131" i="10"/>
  <c r="H132" i="10"/>
  <c r="E60" i="10"/>
  <c r="T138" i="10"/>
  <c r="I130" i="10"/>
  <c r="I158" i="10"/>
  <c r="H928" i="26"/>
  <c r="H223" i="26"/>
  <c r="Q62" i="10"/>
  <c r="H221" i="26"/>
  <c r="D157" i="10"/>
  <c r="H708" i="26"/>
  <c r="H563" i="26"/>
  <c r="T157" i="10"/>
  <c r="H926" i="26"/>
  <c r="H110" i="26"/>
  <c r="H77" i="26"/>
  <c r="K162" i="10"/>
  <c r="O159" i="10"/>
  <c r="E138" i="10"/>
  <c r="H476" i="26"/>
  <c r="H312" i="26"/>
  <c r="H709" i="26"/>
  <c r="F135" i="10"/>
  <c r="H54" i="26"/>
  <c r="K132" i="10"/>
  <c r="H646" i="26"/>
  <c r="H10" i="26"/>
  <c r="P130" i="10"/>
  <c r="H78" i="26"/>
  <c r="K134" i="10"/>
  <c r="H319" i="26"/>
  <c r="R130" i="10"/>
  <c r="H313" i="26"/>
  <c r="H318" i="26"/>
  <c r="H571" i="26"/>
  <c r="H564" i="26"/>
  <c r="H112" i="26"/>
  <c r="O131" i="10"/>
  <c r="H3" i="26"/>
  <c r="D57" i="10"/>
  <c r="H516" i="26"/>
  <c r="H565" i="26"/>
  <c r="E130" i="10"/>
  <c r="H53" i="26"/>
  <c r="H600" i="26"/>
  <c r="H2" i="26"/>
  <c r="P158" i="10"/>
  <c r="Q132" i="10"/>
  <c r="H55" i="26"/>
  <c r="H601" i="26"/>
  <c r="D127" i="10"/>
  <c r="L5" i="10"/>
  <c r="W5" i="10"/>
  <c r="F5" i="10"/>
  <c r="R5" i="10"/>
  <c r="R4" i="10" s="1"/>
  <c r="N5" i="10"/>
  <c r="K5" i="10"/>
  <c r="K4" i="10" s="1"/>
  <c r="M5" i="10"/>
  <c r="Q5" i="10"/>
  <c r="U5" i="10"/>
  <c r="D5" i="10"/>
  <c r="T5" i="10"/>
  <c r="V5" i="10"/>
  <c r="S5" i="10"/>
  <c r="O5" i="10"/>
  <c r="X5" i="10"/>
  <c r="I5" i="10"/>
  <c r="I4" i="10" s="1"/>
  <c r="AA5" i="10"/>
  <c r="E5" i="10"/>
  <c r="Y5" i="10"/>
  <c r="H5" i="10"/>
  <c r="H4" i="10" s="1"/>
  <c r="P5" i="10"/>
  <c r="G5" i="10"/>
  <c r="G4" i="10" s="1"/>
  <c r="J5" i="10"/>
  <c r="Z5" i="10"/>
  <c r="Z4" i="10" s="1"/>
  <c r="E10" i="24"/>
  <c r="D23" i="6"/>
  <c r="AF9" i="17"/>
  <c r="AD9" i="17"/>
  <c r="AE9" i="17"/>
  <c r="AO9" i="17"/>
  <c r="C50" i="23"/>
  <c r="C48" i="23"/>
  <c r="AZ6" i="17"/>
  <c r="BA4" i="17"/>
  <c r="BA6" i="17"/>
  <c r="BB4" i="17"/>
  <c r="BB6" i="17"/>
  <c r="BC4" i="17"/>
  <c r="BC6" i="17"/>
  <c r="BD4" i="17"/>
  <c r="BD6" i="17"/>
  <c r="BE4" i="17"/>
  <c r="BE6" i="17"/>
  <c r="BF4" i="17"/>
  <c r="BF6" i="17"/>
  <c r="BG4" i="17"/>
  <c r="BG6" i="17"/>
  <c r="BH4" i="17"/>
  <c r="BH6" i="17"/>
  <c r="BI4" i="17"/>
  <c r="BI6" i="17"/>
  <c r="BJ4" i="17"/>
  <c r="BJ6" i="17"/>
  <c r="BK4" i="17"/>
  <c r="BK6" i="17"/>
  <c r="BL4" i="17"/>
  <c r="BL6" i="17"/>
  <c r="BM4" i="17"/>
  <c r="BM6" i="17"/>
  <c r="BN4" i="17"/>
  <c r="BN6" i="17"/>
  <c r="BO4" i="17"/>
  <c r="BO11" i="17"/>
  <c r="AU9" i="17"/>
  <c r="BA11" i="17"/>
  <c r="AR9" i="17"/>
  <c r="BH11" i="17"/>
  <c r="AN9" i="17"/>
  <c r="BB11" i="17"/>
  <c r="BK11" i="17"/>
  <c r="AT9" i="17"/>
  <c r="AS9" i="17"/>
  <c r="BJ11" i="17"/>
  <c r="BC11" i="17"/>
  <c r="AQ9" i="17"/>
  <c r="AJ9" i="17"/>
  <c r="BF11" i="17"/>
  <c r="AL9" i="17"/>
  <c r="BD11" i="17"/>
  <c r="BN11" i="17"/>
  <c r="BM11" i="17"/>
  <c r="AM9" i="17"/>
  <c r="BI11" i="17"/>
  <c r="AZ11" i="17"/>
  <c r="AK9" i="17"/>
  <c r="BO6" i="17"/>
  <c r="BP4" i="17"/>
  <c r="BP11" i="17"/>
  <c r="BL11" i="17"/>
  <c r="AP9" i="17"/>
  <c r="AV9" i="17"/>
  <c r="BE11" i="17"/>
  <c r="BG11" i="17"/>
  <c r="AF8" i="17"/>
  <c r="AD8" i="17"/>
  <c r="AE8" i="17"/>
  <c r="BL10" i="17"/>
  <c r="BB10" i="17"/>
  <c r="BH10" i="17"/>
  <c r="BF10" i="17"/>
  <c r="BO10" i="17"/>
  <c r="BJ10" i="17"/>
  <c r="BP10" i="17"/>
  <c r="BG10" i="17"/>
  <c r="AM8" i="17"/>
  <c r="BM10" i="17"/>
  <c r="BD10" i="17"/>
  <c r="AP8" i="17"/>
  <c r="BC10" i="17"/>
  <c r="AL8" i="17"/>
  <c r="BA10" i="17"/>
  <c r="AV8" i="17"/>
  <c r="AK8" i="17"/>
  <c r="AN8" i="17"/>
  <c r="AR8" i="17"/>
  <c r="BK10" i="17"/>
  <c r="AT8" i="17"/>
  <c r="AO8" i="17"/>
  <c r="AU8" i="17"/>
  <c r="AS8" i="17"/>
  <c r="BN10" i="17"/>
  <c r="BI10" i="17"/>
  <c r="AJ8" i="17"/>
  <c r="AQ8" i="17"/>
  <c r="AZ10" i="17"/>
  <c r="BE10" i="17"/>
  <c r="C46" i="23"/>
  <c r="C53" i="23"/>
  <c r="C51" i="23"/>
  <c r="C37" i="23"/>
  <c r="D27" i="7" a="1"/>
  <c r="P28" i="7"/>
  <c r="H52" i="14"/>
  <c r="E52" i="14"/>
  <c r="BP5" i="17"/>
  <c r="C41" i="23"/>
  <c r="D29" i="6"/>
  <c r="D8" i="10"/>
  <c r="C52" i="23"/>
  <c r="D43" i="6"/>
  <c r="H42" i="14"/>
  <c r="E42" i="14"/>
  <c r="C50" i="11" a="1"/>
  <c r="EV51" i="11" s="1"/>
  <c r="F52" i="11"/>
  <c r="D15" i="7" a="1"/>
  <c r="G16" i="7"/>
  <c r="K16" i="7"/>
  <c r="DC50" i="11"/>
  <c r="CE51" i="11"/>
  <c r="JP51" i="11"/>
  <c r="U16" i="7"/>
  <c r="O52" i="11"/>
  <c r="D16" i="7"/>
  <c r="ED51" i="11"/>
  <c r="F51" i="11"/>
  <c r="HM51" i="11"/>
  <c r="P16" i="7"/>
  <c r="CM51" i="11"/>
  <c r="AP52" i="11"/>
  <c r="GE51" i="11"/>
  <c r="F16" i="7"/>
  <c r="JL52" i="11"/>
  <c r="GY51" i="11"/>
  <c r="J16" i="7"/>
  <c r="BP52" i="11"/>
  <c r="DJ52" i="11"/>
  <c r="O16" i="7"/>
  <c r="GU50" i="11"/>
  <c r="HX52" i="11"/>
  <c r="EK52" i="11"/>
  <c r="JV51" i="11"/>
  <c r="N16" i="7"/>
  <c r="Q16" i="7"/>
  <c r="FJ50" i="11"/>
  <c r="W16" i="7"/>
  <c r="AB51" i="11"/>
  <c r="HP51" i="11"/>
  <c r="BA51" i="11"/>
  <c r="DM51" i="11"/>
  <c r="GT51" i="11"/>
  <c r="DX51" i="11"/>
  <c r="AV50" i="11"/>
  <c r="HA51" i="11"/>
  <c r="CU51" i="11"/>
  <c r="GE52" i="11"/>
  <c r="CZ51" i="11"/>
  <c r="FE50" i="11"/>
  <c r="IO51" i="11"/>
  <c r="BA52" i="11"/>
  <c r="DQ51" i="11"/>
  <c r="FY50" i="11"/>
  <c r="JP52" i="11"/>
  <c r="JZ50" i="11"/>
  <c r="DD51" i="11"/>
  <c r="EN50" i="11"/>
  <c r="J51" i="11"/>
  <c r="FP50" i="11"/>
  <c r="AA52" i="11"/>
  <c r="X16" i="7"/>
  <c r="FL51" i="11"/>
  <c r="FK52" i="11"/>
  <c r="IQ50" i="11"/>
  <c r="FK51" i="11"/>
  <c r="GW51" i="11"/>
  <c r="CS51" i="11"/>
  <c r="AX51" i="11"/>
  <c r="IU51" i="11"/>
  <c r="DW51" i="11"/>
  <c r="I52" i="11"/>
  <c r="R16" i="7"/>
  <c r="FX50" i="11"/>
  <c r="JW52" i="11"/>
  <c r="H16" i="7"/>
  <c r="CX50" i="11"/>
  <c r="CQ50" i="11"/>
  <c r="HX51" i="11"/>
  <c r="ES50" i="11"/>
  <c r="FP52" i="11"/>
  <c r="KK52" i="11"/>
  <c r="BB51" i="11"/>
  <c r="BK52" i="11"/>
  <c r="S16" i="7"/>
  <c r="CD51" i="11"/>
  <c r="KH52" i="11"/>
  <c r="BU50" i="11"/>
  <c r="M16" i="7"/>
  <c r="AC50" i="11"/>
  <c r="J52" i="11"/>
  <c r="CN50" i="11"/>
  <c r="FG50" i="11"/>
  <c r="GW52" i="11"/>
  <c r="EF52" i="11"/>
  <c r="BO51" i="11"/>
  <c r="DN52" i="11"/>
  <c r="T16" i="7"/>
  <c r="HJ50" i="11"/>
  <c r="G50" i="11"/>
  <c r="EL51" i="11"/>
  <c r="BG50" i="11"/>
  <c r="GY50" i="11"/>
  <c r="Z52" i="11"/>
  <c r="FU50" i="11"/>
  <c r="DF52" i="11"/>
  <c r="BS50" i="11"/>
  <c r="BA50" i="11"/>
  <c r="JH51" i="11"/>
  <c r="ER50" i="11"/>
  <c r="R50" i="11"/>
  <c r="CL52" i="11"/>
  <c r="I50" i="11"/>
  <c r="CY52" i="11"/>
  <c r="CR51" i="11"/>
  <c r="HQ51" i="11"/>
  <c r="CD50" i="11"/>
  <c r="CA50" i="11"/>
  <c r="IF52" i="11"/>
  <c r="II52" i="11"/>
  <c r="IM50" i="11"/>
  <c r="JO51" i="11"/>
  <c r="JX51" i="11"/>
  <c r="KJ51" i="11"/>
  <c r="L51" i="11"/>
  <c r="HB52" i="11"/>
  <c r="DZ50" i="11"/>
  <c r="IB51" i="11"/>
  <c r="IO52" i="11"/>
  <c r="EH50" i="11"/>
  <c r="KN51" i="11"/>
  <c r="EK50" i="11"/>
  <c r="I16" i="7"/>
  <c r="JQ50" i="11"/>
  <c r="GC52" i="11"/>
  <c r="DZ51" i="11"/>
  <c r="BT50" i="11"/>
  <c r="GE50" i="11"/>
  <c r="EN52" i="11"/>
  <c r="JU52" i="11"/>
  <c r="FA52" i="11"/>
  <c r="X50" i="11"/>
  <c r="N51" i="11"/>
  <c r="IP51" i="11"/>
  <c r="CI50" i="11"/>
  <c r="DI52" i="11"/>
  <c r="X51" i="11"/>
  <c r="GL51" i="11"/>
  <c r="CB50" i="11"/>
  <c r="GP52" i="11"/>
  <c r="DV52" i="11"/>
  <c r="HV51" i="11"/>
  <c r="FF52" i="11"/>
  <c r="S50" i="11"/>
  <c r="GL52" i="11"/>
  <c r="IV52" i="11"/>
  <c r="HQ50" i="11"/>
  <c r="JK50" i="11"/>
  <c r="BW50" i="11"/>
  <c r="GX51" i="11"/>
  <c r="IF51" i="11"/>
  <c r="EU52" i="11"/>
  <c r="IY52" i="11"/>
  <c r="EQ51" i="11"/>
  <c r="BQ50" i="11"/>
  <c r="V51" i="11"/>
  <c r="CY50" i="11"/>
  <c r="BE52" i="11"/>
  <c r="GJ50" i="11"/>
  <c r="JF50" i="11"/>
  <c r="FM52" i="11"/>
  <c r="AS51" i="11"/>
  <c r="JT52" i="11"/>
  <c r="FR52" i="11"/>
  <c r="IG52" i="11"/>
  <c r="EO50" i="11"/>
  <c r="N50" i="11"/>
  <c r="IH52" i="11"/>
  <c r="HT50" i="11"/>
  <c r="AK50" i="11"/>
  <c r="FJ51" i="11"/>
  <c r="FC52" i="11"/>
  <c r="IU52" i="11"/>
  <c r="N52" i="11"/>
  <c r="IT51" i="11"/>
  <c r="AI50" i="11"/>
  <c r="CT51" i="11"/>
  <c r="DA52" i="11"/>
  <c r="BR52" i="11"/>
  <c r="HC51" i="11"/>
  <c r="DR51" i="11"/>
  <c r="GR52" i="11"/>
  <c r="HS50" i="11"/>
  <c r="IC52" i="11"/>
  <c r="AV52" i="11"/>
  <c r="AH51" i="11"/>
  <c r="C52" i="11"/>
  <c r="IM51" i="11"/>
  <c r="GC51" i="11"/>
  <c r="L16" i="7"/>
  <c r="W50" i="11"/>
  <c r="AU52" i="11"/>
  <c r="ET52" i="11"/>
  <c r="ER52" i="11"/>
  <c r="JX52" i="11"/>
  <c r="AB50" i="11"/>
  <c r="HD50" i="11"/>
  <c r="HX50" i="11"/>
  <c r="BL51" i="11"/>
  <c r="BY51" i="11"/>
  <c r="CZ52" i="11"/>
  <c r="EU50" i="11"/>
  <c r="BM50" i="11"/>
  <c r="GO50" i="11"/>
  <c r="EX52" i="11"/>
  <c r="FT50" i="11"/>
  <c r="Q52" i="11"/>
  <c r="HU50" i="11"/>
  <c r="FR51" i="11"/>
  <c r="DY51" i="11"/>
  <c r="IH50" i="11"/>
  <c r="IC50" i="11"/>
  <c r="JO52" i="11"/>
  <c r="DA51" i="11"/>
  <c r="HB50" i="11"/>
  <c r="BI50" i="11"/>
  <c r="EZ50" i="11"/>
  <c r="EB50" i="11"/>
  <c r="JK51" i="11"/>
  <c r="HJ52" i="11"/>
  <c r="C50" i="11"/>
  <c r="BS52" i="11"/>
  <c r="FH50" i="11"/>
  <c r="CL50" i="11"/>
  <c r="JE52" i="11"/>
  <c r="EW51" i="11"/>
  <c r="FQ52" i="11"/>
  <c r="AW50" i="11"/>
  <c r="DR50" i="11"/>
  <c r="GT50" i="11"/>
  <c r="JF52" i="11"/>
  <c r="KB50" i="11"/>
  <c r="BR50" i="11"/>
  <c r="ES52" i="11"/>
  <c r="GZ50" i="11"/>
  <c r="CV51" i="11"/>
  <c r="DP52" i="11"/>
  <c r="IQ51" i="11"/>
  <c r="BI52" i="11"/>
  <c r="BX51" i="11"/>
  <c r="HZ50" i="11"/>
  <c r="AR50" i="11"/>
  <c r="BI51" i="11"/>
  <c r="AL50" i="11"/>
  <c r="AE52" i="11"/>
  <c r="O50" i="11"/>
  <c r="EV50" i="11"/>
  <c r="L50" i="11"/>
  <c r="FK50" i="11"/>
  <c r="CK50" i="11"/>
  <c r="IJ51" i="11"/>
  <c r="AY52" i="11"/>
  <c r="CP50" i="11"/>
  <c r="EA51" i="11"/>
  <c r="IC51" i="11"/>
  <c r="GG50" i="11"/>
  <c r="GH52" i="11"/>
  <c r="EH52" i="11"/>
  <c r="V52" i="11"/>
  <c r="BX50" i="11"/>
  <c r="EL50" i="11"/>
  <c r="EX51" i="11"/>
  <c r="GB50" i="11"/>
  <c r="CH50" i="11"/>
  <c r="ET51" i="11"/>
  <c r="EP50" i="11"/>
  <c r="KL51" i="11"/>
  <c r="CC50" i="11"/>
  <c r="DX50" i="11"/>
  <c r="CZ50" i="11"/>
  <c r="HF50" i="11"/>
  <c r="BM52" i="11"/>
  <c r="BL50" i="11"/>
  <c r="GU51" i="11"/>
  <c r="DO50" i="11"/>
  <c r="DF51" i="11"/>
  <c r="DV50" i="11"/>
  <c r="AH50" i="11"/>
  <c r="FR50" i="11"/>
  <c r="CK51" i="11"/>
  <c r="IY50" i="11"/>
  <c r="BQ51" i="11"/>
  <c r="H52" i="11"/>
  <c r="FL50" i="11"/>
  <c r="JC52" i="11"/>
  <c r="JX50" i="11"/>
  <c r="CI52" i="11"/>
  <c r="JP50" i="11"/>
  <c r="DV51" i="11"/>
  <c r="AK52" i="11"/>
  <c r="EC50" i="11"/>
  <c r="ER51" i="11"/>
  <c r="KP51" i="11"/>
  <c r="GP50" i="11"/>
  <c r="CU52" i="11"/>
  <c r="P52" i="11"/>
  <c r="CV50" i="11"/>
  <c r="HJ51" i="11"/>
  <c r="JE51" i="11"/>
  <c r="GI51" i="11"/>
  <c r="BZ52" i="11"/>
  <c r="AO50" i="11"/>
  <c r="HQ52" i="11"/>
  <c r="I51" i="11"/>
  <c r="IB50" i="11"/>
  <c r="HI50" i="11"/>
  <c r="CO50" i="11"/>
  <c r="ET50" i="11"/>
  <c r="FZ51" i="11"/>
  <c r="DL50" i="11"/>
  <c r="AZ51" i="11"/>
  <c r="JA50" i="11"/>
  <c r="T50" i="11"/>
  <c r="KP52" i="11"/>
  <c r="EJ52" i="11"/>
  <c r="KE51" i="11"/>
  <c r="DS50" i="11"/>
  <c r="FE51" i="11"/>
  <c r="IK52" i="11"/>
  <c r="DZ52" i="11"/>
  <c r="AW51" i="11"/>
  <c r="GQ50" i="11"/>
  <c r="KL52" i="11"/>
  <c r="IK51" i="11"/>
  <c r="JI50" i="11"/>
  <c r="CN51" i="11"/>
  <c r="ID52" i="11"/>
  <c r="JY50" i="11"/>
  <c r="IF50" i="11"/>
  <c r="V50" i="11"/>
  <c r="KC51" i="11"/>
  <c r="FD52" i="11"/>
  <c r="DC52" i="11"/>
  <c r="KF50" i="11"/>
  <c r="EY52" i="11"/>
  <c r="BV51" i="11"/>
  <c r="DG52" i="11"/>
  <c r="FO51" i="11"/>
  <c r="CJ52" i="11"/>
  <c r="CR52" i="11"/>
  <c r="CQ52" i="11"/>
  <c r="DK52" i="11"/>
  <c r="HP52" i="11"/>
  <c r="Z50" i="11"/>
  <c r="CT52" i="11"/>
  <c r="FT51" i="11"/>
  <c r="BP50" i="11"/>
  <c r="S52" i="11"/>
  <c r="BC52" i="11"/>
  <c r="AJ50" i="11"/>
  <c r="DE52" i="11"/>
  <c r="DD52" i="11"/>
  <c r="CJ51" i="11"/>
  <c r="EL52" i="11"/>
  <c r="IR52" i="11"/>
  <c r="AT52" i="11"/>
  <c r="M52" i="11"/>
  <c r="CL51" i="11"/>
  <c r="FV52" i="11"/>
  <c r="GK51" i="11"/>
  <c r="KF52" i="11"/>
  <c r="KA50" i="11"/>
  <c r="KM51" i="11"/>
  <c r="DH52" i="11"/>
  <c r="CS52" i="11"/>
  <c r="GG51" i="11"/>
  <c r="BZ51" i="11"/>
  <c r="GQ51" i="11"/>
  <c r="CD52" i="11"/>
  <c r="KN52" i="11"/>
  <c r="W51" i="11"/>
  <c r="HE51" i="11"/>
  <c r="H50" i="11"/>
  <c r="GM50" i="11"/>
  <c r="AG50" i="11"/>
  <c r="CM50" i="11"/>
  <c r="GA51" i="11"/>
  <c r="KB52" i="11"/>
  <c r="HT52" i="11"/>
  <c r="FY52" i="11"/>
  <c r="AY51" i="11"/>
  <c r="BQ52" i="11"/>
  <c r="GN52" i="11"/>
  <c r="CS50" i="11"/>
  <c r="JV50" i="11"/>
  <c r="AG52" i="11"/>
  <c r="ID50" i="11"/>
  <c r="EF50" i="11"/>
  <c r="DT52" i="11"/>
  <c r="F50" i="11"/>
  <c r="EU51" i="11"/>
  <c r="FO50" i="11"/>
  <c r="AU51" i="11"/>
  <c r="DN51" i="11"/>
  <c r="EG50" i="11"/>
  <c r="HK52" i="11"/>
  <c r="DI50" i="11"/>
  <c r="IE51" i="11"/>
  <c r="FU52" i="11"/>
  <c r="GM52" i="11"/>
  <c r="KO52" i="11"/>
  <c r="H51" i="11"/>
  <c r="JI51" i="11"/>
  <c r="HI52" i="11"/>
  <c r="JZ52" i="11"/>
  <c r="JU51" i="11"/>
  <c r="AF51" i="11"/>
  <c r="KM52" i="11"/>
  <c r="AA16" i="7"/>
  <c r="II50" i="11"/>
  <c r="CX52" i="11"/>
  <c r="GZ51" i="11"/>
  <c r="C20" i="23"/>
  <c r="Z17" i="7"/>
  <c r="T15" i="7"/>
  <c r="U17" i="7"/>
  <c r="V16" i="7"/>
  <c r="U15" i="7"/>
  <c r="L17" i="7"/>
  <c r="M15" i="7"/>
  <c r="J17" i="7"/>
  <c r="O17" i="7"/>
  <c r="W17" i="7"/>
  <c r="R15" i="7"/>
  <c r="J15" i="7"/>
  <c r="P17" i="7"/>
  <c r="Z15" i="7"/>
  <c r="Z16" i="7"/>
  <c r="Y16" i="7"/>
  <c r="E16" i="7"/>
  <c r="S15" i="7"/>
  <c r="Q15" i="7"/>
  <c r="W15" i="7"/>
  <c r="F17" i="7"/>
  <c r="R17" i="7"/>
  <c r="N17" i="7"/>
  <c r="P15" i="7"/>
  <c r="X15" i="7"/>
  <c r="F15" i="7"/>
  <c r="Y15" i="7"/>
  <c r="V15" i="7"/>
  <c r="S17" i="7"/>
  <c r="H17" i="7"/>
  <c r="M17" i="7"/>
  <c r="AA17" i="7"/>
  <c r="V17" i="7"/>
  <c r="D15" i="7"/>
  <c r="E17" i="7"/>
  <c r="K17" i="7"/>
  <c r="N15" i="7"/>
  <c r="K15" i="7"/>
  <c r="G17" i="7"/>
  <c r="D17" i="7"/>
  <c r="I15" i="7"/>
  <c r="L15" i="7"/>
  <c r="E15" i="7"/>
  <c r="T17" i="7"/>
  <c r="G15" i="7"/>
  <c r="AA15" i="7"/>
  <c r="Y17" i="7"/>
  <c r="X17" i="7"/>
  <c r="I17" i="7"/>
  <c r="Q17" i="7"/>
  <c r="O15" i="7"/>
  <c r="H15" i="7"/>
  <c r="C39" i="23"/>
  <c r="C36" i="23"/>
  <c r="F37" i="6"/>
  <c r="C53" i="11" a="1"/>
  <c r="KL54" i="11" s="1"/>
  <c r="DE55" i="11"/>
  <c r="JS54" i="11"/>
  <c r="BA54" i="11"/>
  <c r="ET55" i="11"/>
  <c r="GY54" i="11"/>
  <c r="J53" i="11"/>
  <c r="GI54" i="11"/>
  <c r="KD55" i="11"/>
  <c r="AO55" i="11"/>
  <c r="HZ53" i="11"/>
  <c r="DA55" i="11"/>
  <c r="HO55" i="11"/>
  <c r="JL53" i="11"/>
  <c r="HI55" i="11"/>
  <c r="DU53" i="11"/>
  <c r="EN55" i="11"/>
  <c r="GD53" i="11"/>
  <c r="FT55" i="11"/>
  <c r="HE55" i="11"/>
  <c r="CS53" i="11"/>
  <c r="JP55" i="11"/>
  <c r="FM53" i="11"/>
  <c r="BN54" i="11"/>
  <c r="IW55" i="11"/>
  <c r="GA53" i="11"/>
  <c r="FO54" i="11"/>
  <c r="CC54" i="11"/>
  <c r="FN53" i="11"/>
  <c r="HB54" i="11"/>
  <c r="KG54" i="11"/>
  <c r="DE54" i="11"/>
  <c r="EM53" i="11"/>
  <c r="CL54" i="11"/>
  <c r="JT53" i="11"/>
  <c r="JJ53" i="11"/>
  <c r="P54" i="11"/>
  <c r="AN53" i="11"/>
  <c r="KK54" i="11"/>
  <c r="HE53" i="11"/>
  <c r="JQ54" i="11"/>
  <c r="AW53" i="11"/>
  <c r="JM55" i="11"/>
  <c r="CE53" i="11"/>
  <c r="IO55" i="11"/>
  <c r="AK53" i="11"/>
  <c r="AF54" i="11"/>
  <c r="EM55" i="11"/>
  <c r="HF55" i="11"/>
  <c r="CZ55" i="11"/>
  <c r="DL54" i="11"/>
  <c r="CE55" i="11"/>
  <c r="KC55" i="11"/>
  <c r="HY54" i="11"/>
  <c r="KA53" i="11"/>
  <c r="CS54" i="11"/>
  <c r="BQ53" i="11"/>
  <c r="GX53" i="11"/>
  <c r="DO53" i="11"/>
  <c r="BK54" i="11"/>
  <c r="GO55" i="11"/>
  <c r="G54" i="11"/>
  <c r="DV54" i="11"/>
  <c r="AS55" i="11"/>
  <c r="BW54" i="11"/>
  <c r="KJ54" i="11"/>
  <c r="DS53" i="11"/>
  <c r="CI54" i="11"/>
  <c r="HO53" i="11"/>
  <c r="KO55" i="11"/>
  <c r="JH54" i="11"/>
  <c r="AS53" i="11"/>
  <c r="ID55" i="11"/>
  <c r="BL54" i="11"/>
  <c r="DB54" i="11"/>
  <c r="AM55" i="11"/>
  <c r="GV53" i="11"/>
  <c r="ID54" i="11"/>
  <c r="BI53" i="11"/>
  <c r="EO53" i="11"/>
  <c r="BT53" i="11"/>
  <c r="FF55" i="11"/>
  <c r="FU55" i="11"/>
  <c r="IB54" i="11"/>
  <c r="FJ55" i="11"/>
  <c r="GP55" i="11"/>
  <c r="IF53" i="11"/>
  <c r="GO54" i="11"/>
  <c r="JZ54" i="11"/>
  <c r="IK53" i="11"/>
  <c r="FZ55" i="11"/>
  <c r="JW54" i="11"/>
  <c r="IO53" i="11"/>
  <c r="AB53" i="11"/>
  <c r="GU53" i="11"/>
  <c r="C55" i="11"/>
  <c r="KP53" i="11"/>
  <c r="HN53" i="11"/>
  <c r="KK53" i="11"/>
  <c r="GO53" i="11"/>
  <c r="FG54" i="11"/>
  <c r="JO54" i="11"/>
  <c r="K54" i="11"/>
  <c r="F54" i="11"/>
  <c r="FB53" i="11"/>
  <c r="O55" i="11"/>
  <c r="JX53" i="11"/>
  <c r="IZ54" i="11"/>
  <c r="CY55" i="11"/>
  <c r="ER53" i="11"/>
  <c r="EZ55" i="11"/>
  <c r="EL54" i="11"/>
  <c r="FX54" i="11"/>
  <c r="IM53" i="11"/>
  <c r="IQ54" i="11"/>
  <c r="AQ55" i="11"/>
  <c r="AH55" i="11"/>
  <c r="IW54" i="11"/>
  <c r="EK55" i="11"/>
  <c r="CO55" i="11"/>
  <c r="Z55" i="11"/>
  <c r="BP53" i="11"/>
  <c r="EE55" i="11"/>
  <c r="AD53" i="11"/>
  <c r="IU55" i="11"/>
  <c r="IS54" i="11"/>
  <c r="DS55" i="11"/>
  <c r="JP53" i="11"/>
  <c r="AA54" i="11"/>
  <c r="IS53" i="11"/>
  <c r="IP53" i="11"/>
  <c r="FW54" i="11"/>
  <c r="CR53" i="11"/>
  <c r="JW55" i="11"/>
  <c r="FW55" i="11"/>
  <c r="DG54" i="11"/>
  <c r="EV54" i="11"/>
  <c r="CI53" i="11"/>
  <c r="AQ53" i="11"/>
  <c r="HB55" i="11"/>
  <c r="BF55" i="11"/>
  <c r="KB55" i="11"/>
  <c r="DH55" i="11"/>
  <c r="DX54" i="11"/>
  <c r="DR55" i="11"/>
  <c r="BV53" i="11"/>
  <c r="CK55" i="11"/>
  <c r="D54" i="11"/>
  <c r="S55" i="11"/>
  <c r="EG55" i="11"/>
  <c r="DI53" i="11"/>
  <c r="GH53" i="11"/>
  <c r="EU53" i="11"/>
  <c r="JH55" i="11"/>
  <c r="AJ55" i="11"/>
  <c r="IK55" i="11"/>
  <c r="HQ54" i="11"/>
  <c r="GV54" i="11"/>
  <c r="EL53" i="11"/>
  <c r="K53" i="11"/>
  <c r="DW53" i="11"/>
  <c r="AX55" i="11"/>
  <c r="CF55" i="11"/>
  <c r="DS54" i="11"/>
  <c r="CA55" i="11"/>
  <c r="GM53" i="11"/>
  <c r="JI54" i="11"/>
  <c r="KC53" i="11"/>
  <c r="P53" i="11"/>
  <c r="HL55" i="11"/>
  <c r="AP55" i="11"/>
  <c r="JZ53" i="11"/>
  <c r="BH53" i="11"/>
  <c r="DW54" i="11"/>
  <c r="V53" i="11"/>
  <c r="JY53" i="11"/>
  <c r="JR54" i="11"/>
  <c r="EY54" i="11"/>
  <c r="GF55" i="11"/>
  <c r="EK53" i="11"/>
  <c r="AY53" i="11"/>
  <c r="FE55" i="11"/>
  <c r="EN54" i="11"/>
  <c r="AX54" i="11"/>
  <c r="KA54" i="11"/>
  <c r="HR53" i="11"/>
  <c r="AL55" i="11"/>
  <c r="H53" i="11"/>
  <c r="DD55" i="11"/>
  <c r="I55" i="11"/>
  <c r="AD54" i="11"/>
  <c r="IY55" i="11"/>
  <c r="JC55" i="11"/>
  <c r="CM53" i="11"/>
  <c r="GR54" i="11"/>
  <c r="ES54" i="11"/>
  <c r="HH53" i="11"/>
  <c r="IR54" i="11"/>
  <c r="CU55" i="11"/>
  <c r="DL53" i="11"/>
  <c r="N55" i="11"/>
  <c r="BL53" i="11"/>
  <c r="FI53" i="11"/>
  <c r="IT54" i="11"/>
  <c r="FH55" i="11"/>
  <c r="EJ53" i="11"/>
  <c r="HU54" i="11"/>
  <c r="JO55" i="11"/>
  <c r="JJ55" i="11"/>
  <c r="HX54" i="11"/>
  <c r="GQ53" i="11"/>
  <c r="AF53" i="11"/>
  <c r="HM55" i="11"/>
  <c r="CR55" i="11"/>
  <c r="EV55" i="11"/>
  <c r="CP53" i="11"/>
  <c r="JB54" i="11"/>
  <c r="GZ53" i="11"/>
  <c r="AB54" i="11"/>
  <c r="DQ53" i="11"/>
  <c r="GT53" i="11"/>
  <c r="DM55" i="11"/>
  <c r="JG53" i="11"/>
  <c r="CA53" i="11"/>
  <c r="IK54" i="11"/>
  <c r="JG54" i="11"/>
  <c r="F55" i="11"/>
  <c r="CC55" i="11"/>
  <c r="CL53" i="11"/>
  <c r="JV54" i="11"/>
  <c r="FT54" i="11"/>
  <c r="HX53" i="11"/>
  <c r="BQ55" i="11"/>
  <c r="GX54" i="11"/>
  <c r="CV55" i="11"/>
  <c r="JN55" i="11"/>
  <c r="DG53" i="11"/>
  <c r="CC53" i="11"/>
  <c r="JX55" i="11"/>
  <c r="HA54" i="11"/>
  <c r="DI54" i="11"/>
  <c r="AL54" i="11"/>
  <c r="R53" i="11"/>
  <c r="FB54" i="11"/>
  <c r="KG53" i="11"/>
  <c r="EG53" i="11"/>
  <c r="AG53" i="11"/>
  <c r="IO54" i="11"/>
  <c r="EQ53" i="11"/>
  <c r="CZ53" i="11"/>
  <c r="HJ54" i="11"/>
  <c r="AZ55" i="11"/>
  <c r="AE54" i="11"/>
  <c r="BX54" i="11"/>
  <c r="KM54" i="11"/>
  <c r="FU54" i="11"/>
  <c r="HP54" i="11"/>
  <c r="FR53" i="11"/>
  <c r="H54" i="11"/>
  <c r="IN54" i="11"/>
  <c r="JR53" i="11"/>
  <c r="AP54" i="11"/>
  <c r="AB55" i="11"/>
  <c r="IZ55" i="11"/>
  <c r="KM53" i="11"/>
  <c r="KD53" i="11"/>
  <c r="FN55" i="11"/>
  <c r="FS54" i="11"/>
  <c r="DJ55" i="11"/>
  <c r="FE54" i="11"/>
  <c r="JS55" i="11"/>
  <c r="GR55" i="11"/>
  <c r="CV53" i="11"/>
  <c r="GG53" i="11"/>
  <c r="AU53" i="11"/>
  <c r="BY55" i="11"/>
  <c r="ES53" i="11"/>
  <c r="IY53" i="11"/>
  <c r="EQ54" i="11"/>
  <c r="DY54" i="11"/>
  <c r="GF54" i="11"/>
  <c r="EA53" i="11"/>
  <c r="IH53" i="11"/>
  <c r="EI55" i="11"/>
  <c r="CP55" i="11"/>
  <c r="CN55" i="11"/>
  <c r="DU55" i="11"/>
  <c r="KH54" i="11"/>
  <c r="EA54" i="11"/>
  <c r="JX54" i="11"/>
  <c r="GK55" i="11"/>
  <c r="GJ53" i="11"/>
  <c r="IH54" i="11"/>
  <c r="IG53" i="11"/>
  <c r="ER54" i="11"/>
  <c r="HZ55" i="11"/>
  <c r="CU53" i="11"/>
  <c r="FJ53" i="11"/>
  <c r="KH55" i="11"/>
  <c r="FO55" i="11"/>
  <c r="CV54" i="11"/>
  <c r="U54" i="11"/>
  <c r="HV55" i="11"/>
  <c r="KO54" i="11"/>
  <c r="BZ54" i="11"/>
  <c r="GS53" i="11"/>
  <c r="IJ53" i="11"/>
  <c r="AV55" i="11"/>
  <c r="AI55" i="11"/>
  <c r="JQ55" i="11"/>
  <c r="M54" i="11"/>
  <c r="IU53" i="11"/>
  <c r="FG53" i="11"/>
  <c r="DI55" i="11"/>
  <c r="JV55" i="11"/>
  <c r="EG54" i="11"/>
  <c r="O54" i="11"/>
  <c r="GK54" i="11"/>
  <c r="AR55" i="11"/>
  <c r="GC55" i="11"/>
  <c r="BM54" i="11"/>
  <c r="FU53" i="11"/>
  <c r="AF55" i="11"/>
  <c r="IE55" i="11"/>
  <c r="AL53" i="11"/>
  <c r="BD53" i="11"/>
  <c r="BC54" i="11"/>
  <c r="JF55" i="11"/>
  <c r="BG54" i="11"/>
  <c r="JT54" i="11"/>
  <c r="IX54" i="11"/>
  <c r="DN53" i="11"/>
  <c r="IB55" i="11"/>
  <c r="IA53" i="11"/>
  <c r="DF54" i="11"/>
  <c r="KJ53" i="11"/>
  <c r="AQ54" i="11"/>
  <c r="JK54" i="11"/>
  <c r="KP54" i="11"/>
  <c r="CY53" i="11"/>
  <c r="BJ53" i="11"/>
  <c r="EX55" i="11"/>
  <c r="J55" i="11"/>
  <c r="IP54" i="11"/>
  <c r="FC53" i="11"/>
  <c r="IQ55" i="11"/>
  <c r="DV55" i="11"/>
  <c r="JU55" i="11"/>
  <c r="BR54" i="11"/>
  <c r="HF53" i="11"/>
  <c r="CB55" i="11"/>
  <c r="FF54" i="11"/>
  <c r="KP55" i="11"/>
  <c r="AR54" i="11"/>
  <c r="AO54" i="11"/>
  <c r="IN53" i="11"/>
  <c r="IX55" i="11"/>
  <c r="FJ54" i="11"/>
  <c r="DX55" i="11"/>
  <c r="HR54" i="11"/>
  <c r="AV53" i="11"/>
  <c r="EC54" i="11"/>
  <c r="AT54" i="11"/>
  <c r="HH54" i="11"/>
  <c r="M55" i="11"/>
  <c r="ET54" i="11"/>
  <c r="JL55" i="11"/>
  <c r="DW55" i="11"/>
  <c r="EW53" i="11"/>
  <c r="CD55" i="11"/>
  <c r="HD54" i="11"/>
  <c r="FN54" i="11"/>
  <c r="KI54" i="11"/>
  <c r="JU54" i="11"/>
  <c r="CP54" i="11"/>
  <c r="AT53" i="11"/>
  <c r="HB53" i="11"/>
  <c r="AJ54" i="11"/>
  <c r="BS55" i="11"/>
  <c r="BH55" i="11"/>
  <c r="FG55" i="11"/>
  <c r="IF55" i="11"/>
  <c r="HZ54" i="11"/>
  <c r="AK55" i="11"/>
  <c r="HC54" i="11"/>
  <c r="JB53" i="11"/>
  <c r="CX53" i="11"/>
  <c r="FY55" i="11"/>
  <c r="DZ54" i="11"/>
  <c r="EH53" i="11"/>
  <c r="EU55" i="11"/>
  <c r="HY55" i="11"/>
  <c r="KL53" i="11"/>
  <c r="BS54" i="11"/>
  <c r="GS54" i="11"/>
  <c r="EO55" i="11"/>
  <c r="EP54" i="11"/>
  <c r="BV55" i="11"/>
  <c r="BY54" i="11"/>
  <c r="DB53" i="11"/>
  <c r="JH53" i="11"/>
  <c r="JR55" i="11"/>
  <c r="GM55" i="11"/>
  <c r="IL54" i="11"/>
  <c r="DU54" i="11"/>
  <c r="HS53" i="11"/>
  <c r="CD54" i="11"/>
  <c r="KL55" i="11"/>
  <c r="EB53" i="11"/>
  <c r="GR53" i="11"/>
  <c r="IJ54" i="11"/>
  <c r="BB55" i="11"/>
  <c r="DZ53" i="11"/>
  <c r="CK54" i="11"/>
  <c r="EP55" i="11"/>
  <c r="JT55" i="11"/>
  <c r="ET53" i="11"/>
  <c r="JA54" i="11"/>
  <c r="FP53" i="11"/>
  <c r="KE53" i="11"/>
  <c r="BJ54" i="11"/>
  <c r="ES55" i="11"/>
  <c r="FR55" i="11"/>
  <c r="DC54" i="11"/>
  <c r="EH54" i="11"/>
  <c r="G55" i="11"/>
  <c r="L54" i="11"/>
  <c r="EN53" i="11"/>
  <c r="DJ53" i="11"/>
  <c r="JW53" i="11"/>
  <c r="E53" i="11"/>
  <c r="II54" i="11"/>
  <c r="BH54" i="11"/>
  <c r="HF54" i="11"/>
  <c r="KF53" i="11"/>
  <c r="ID53" i="11"/>
  <c r="IE53" i="11"/>
  <c r="II55" i="11"/>
  <c r="DJ54" i="11"/>
  <c r="KE55" i="11"/>
  <c r="GA54" i="11"/>
  <c r="GD54" i="11"/>
  <c r="DK54" i="11"/>
  <c r="BU55" i="11"/>
  <c r="DH53" i="11"/>
  <c r="HD53" i="11"/>
  <c r="IC55" i="11"/>
  <c r="DD54" i="11"/>
  <c r="HC53" i="11"/>
  <c r="BB53" i="11"/>
  <c r="BI54" i="11"/>
  <c r="IG55" i="11"/>
  <c r="CA54" i="11"/>
  <c r="CJ53" i="11"/>
  <c r="BZ53" i="11"/>
  <c r="EY53" i="11"/>
  <c r="CE54" i="11"/>
  <c r="HO54" i="11"/>
  <c r="Y54" i="11"/>
  <c r="DC55" i="11"/>
  <c r="DO55" i="11"/>
  <c r="JA55" i="11"/>
  <c r="T55" i="11"/>
  <c r="S53" i="11"/>
  <c r="BS53" i="11"/>
  <c r="FK53" i="11"/>
  <c r="AY55" i="11"/>
  <c r="JE55" i="11"/>
  <c r="DF53" i="11"/>
  <c r="HS55" i="11"/>
  <c r="HH55" i="11"/>
  <c r="Q55" i="11"/>
  <c r="BM55" i="11"/>
  <c r="JK53" i="11"/>
  <c r="KF54" i="11"/>
  <c r="FC55" i="11"/>
  <c r="GW53" i="11"/>
  <c r="HI53" i="11"/>
  <c r="EP53" i="11"/>
  <c r="BU53" i="11"/>
  <c r="AG55" i="11"/>
  <c r="M53" i="11"/>
  <c r="GB55" i="11"/>
  <c r="EA55" i="11"/>
  <c r="EM54" i="11"/>
  <c r="GU55" i="11"/>
  <c r="N53" i="11"/>
  <c r="HU55" i="11"/>
  <c r="EC53" i="11"/>
  <c r="AV54" i="11"/>
  <c r="KO53" i="11"/>
  <c r="JO53" i="11"/>
  <c r="KE54" i="11"/>
  <c r="BO55" i="11"/>
  <c r="T53" i="11"/>
  <c r="DY53" i="11"/>
  <c r="T54" i="11"/>
  <c r="GJ55" i="11"/>
  <c r="FX55" i="11"/>
  <c r="EV53" i="11"/>
  <c r="AZ53" i="11"/>
  <c r="CH53" i="11"/>
  <c r="DA53" i="11"/>
  <c r="BO54" i="11"/>
  <c r="GB54" i="11"/>
  <c r="GC54" i="11"/>
  <c r="AZ54" i="11"/>
  <c r="BZ55" i="11"/>
  <c r="CF54" i="11"/>
  <c r="HP53" i="11"/>
  <c r="CJ54" i="11"/>
  <c r="FX53" i="11"/>
  <c r="FS53" i="11"/>
  <c r="HM53" i="11"/>
  <c r="GH55" i="11"/>
  <c r="KI53" i="11"/>
  <c r="FP55" i="11"/>
  <c r="KN53" i="11"/>
  <c r="CO54" i="11"/>
  <c r="CG53" i="11"/>
  <c r="FR54" i="11"/>
  <c r="GA55" i="11"/>
  <c r="Z54" i="11"/>
  <c r="KF55" i="11"/>
  <c r="HR55" i="11"/>
  <c r="BX55" i="11"/>
  <c r="BJ55" i="11"/>
  <c r="EC55" i="11"/>
  <c r="G53" i="11"/>
  <c r="EZ53" i="11"/>
  <c r="GT55" i="11"/>
  <c r="FO53" i="11"/>
  <c r="EE53" i="11"/>
  <c r="KN55" i="11"/>
  <c r="ED53" i="11"/>
  <c r="AC53" i="11"/>
  <c r="HV53" i="11"/>
  <c r="KB54" i="11"/>
  <c r="GS55" i="11"/>
  <c r="F53" i="11"/>
  <c r="DK53" i="11"/>
  <c r="FK54" i="11"/>
  <c r="JJ54" i="11"/>
  <c r="FQ54" i="11"/>
  <c r="DP55" i="11"/>
  <c r="CQ54" i="11"/>
  <c r="AC55" i="11"/>
  <c r="FD53" i="11"/>
  <c r="FV53" i="11"/>
  <c r="BE53" i="11"/>
  <c r="FI55" i="11"/>
  <c r="IT55" i="11"/>
  <c r="CG55" i="11"/>
  <c r="BC55" i="11"/>
  <c r="EF53" i="11"/>
  <c r="ED55" i="11"/>
  <c r="FH53" i="11"/>
  <c r="V54" i="11"/>
  <c r="JN53" i="11"/>
  <c r="DN54" i="11"/>
  <c r="DQ54" i="11"/>
  <c r="GL55" i="11"/>
  <c r="JQ53" i="11"/>
  <c r="DG55" i="11"/>
  <c r="GE55" i="11"/>
  <c r="D38" i="6"/>
  <c r="H95" i="14"/>
  <c r="E95" i="14"/>
  <c r="C40" i="23"/>
  <c r="C49" i="23"/>
  <c r="C43" i="23"/>
  <c r="F26" i="6"/>
  <c r="D28" i="6"/>
  <c r="AF11" i="17"/>
  <c r="AD11" i="17"/>
  <c r="AE11" i="17"/>
  <c r="BJ13" i="17"/>
  <c r="BD13" i="17"/>
  <c r="BP13" i="17"/>
  <c r="AS11" i="17"/>
  <c r="BH13" i="17"/>
  <c r="BM13" i="17"/>
  <c r="BI13" i="17"/>
  <c r="AJ11" i="17"/>
  <c r="AM11" i="17"/>
  <c r="AO11" i="17"/>
  <c r="AL11" i="17"/>
  <c r="AU11" i="17"/>
  <c r="AR11" i="17"/>
  <c r="AK11" i="17"/>
  <c r="BN13" i="17"/>
  <c r="BA13" i="17"/>
  <c r="BE13" i="17"/>
  <c r="BO13" i="17"/>
  <c r="BC13" i="17"/>
  <c r="AP11" i="17"/>
  <c r="BG13" i="17"/>
  <c r="AT11" i="17"/>
  <c r="AQ11" i="17"/>
  <c r="AV11" i="17"/>
  <c r="BF13" i="17"/>
  <c r="AN11" i="17"/>
  <c r="AZ13" i="17"/>
  <c r="BK13" i="17"/>
  <c r="BB13" i="17"/>
  <c r="BL13" i="17"/>
  <c r="AF13" i="17"/>
  <c r="AD13" i="17"/>
  <c r="AE13" i="17"/>
  <c r="BF15" i="17"/>
  <c r="BE15" i="17"/>
  <c r="BG15" i="17"/>
  <c r="BA15" i="17"/>
  <c r="BM15" i="17"/>
  <c r="BK15" i="17"/>
  <c r="BH15" i="17"/>
  <c r="BC15" i="17"/>
  <c r="AP13" i="17"/>
  <c r="BL15" i="17"/>
  <c r="AJ13" i="17"/>
  <c r="AR13" i="17"/>
  <c r="AK13" i="17"/>
  <c r="BI15" i="17"/>
  <c r="AM13" i="17"/>
  <c r="AQ13" i="17"/>
  <c r="AV13" i="17"/>
  <c r="BP15" i="17"/>
  <c r="AN13" i="17"/>
  <c r="AU13" i="17"/>
  <c r="AS13" i="17"/>
  <c r="AT13" i="17"/>
  <c r="BO15" i="17"/>
  <c r="AO13" i="17"/>
  <c r="BD15" i="17"/>
  <c r="AZ15" i="17"/>
  <c r="BN15" i="17"/>
  <c r="AL13" i="17"/>
  <c r="BJ15" i="17"/>
  <c r="BB15" i="17"/>
  <c r="AF14" i="17"/>
  <c r="AD14" i="17"/>
  <c r="AE14" i="17"/>
  <c r="BM16" i="17"/>
  <c r="BB16" i="17"/>
  <c r="AM14" i="17"/>
  <c r="AP14" i="17"/>
  <c r="BD16" i="17"/>
  <c r="BF16" i="17"/>
  <c r="BK16" i="17"/>
  <c r="BP16" i="17"/>
  <c r="AV14" i="17"/>
  <c r="AR14" i="17"/>
  <c r="AS14" i="17"/>
  <c r="AQ14" i="17"/>
  <c r="BJ16" i="17"/>
  <c r="AO14" i="17"/>
  <c r="BO16" i="17"/>
  <c r="AJ14" i="17"/>
  <c r="BA16" i="17"/>
  <c r="AZ16" i="17"/>
  <c r="AU14" i="17"/>
  <c r="BN16" i="17"/>
  <c r="AK14" i="17"/>
  <c r="AN14" i="17"/>
  <c r="AL14" i="17"/>
  <c r="BC16" i="17"/>
  <c r="BI16" i="17"/>
  <c r="BH16" i="17"/>
  <c r="BG16" i="17"/>
  <c r="BE16" i="17"/>
  <c r="BL16" i="17"/>
  <c r="AT14" i="17"/>
  <c r="AE15" i="17"/>
  <c r="BL17" i="17"/>
  <c r="BP17" i="17"/>
  <c r="BA17" i="17"/>
  <c r="BI17" i="17"/>
  <c r="AV15" i="17"/>
  <c r="BG17" i="17"/>
  <c r="BJ17" i="17"/>
  <c r="AJ15" i="17"/>
  <c r="BO17" i="17"/>
  <c r="AO15" i="17"/>
  <c r="AP15" i="17"/>
  <c r="AL15" i="17"/>
  <c r="BN17" i="17"/>
  <c r="BK17" i="17"/>
  <c r="BB17" i="17"/>
  <c r="BF17" i="17"/>
  <c r="AR15" i="17"/>
  <c r="BH17" i="17"/>
  <c r="AQ15" i="17"/>
  <c r="AN15" i="17"/>
  <c r="BD17" i="17"/>
  <c r="AM15" i="17"/>
  <c r="BE17" i="17"/>
  <c r="AZ17" i="17"/>
  <c r="AS15" i="17"/>
  <c r="BC17" i="17"/>
  <c r="AK15" i="17"/>
  <c r="AT15" i="17"/>
  <c r="BM17" i="17"/>
  <c r="AU15" i="17"/>
  <c r="AF7" i="17"/>
  <c r="AD7" i="17"/>
  <c r="AE7" i="17"/>
  <c r="BE9" i="17"/>
  <c r="AN7" i="17"/>
  <c r="BC9" i="17"/>
  <c r="AP7" i="17"/>
  <c r="BA9" i="17"/>
  <c r="AV7" i="17"/>
  <c r="AM7" i="17"/>
  <c r="BH9" i="17"/>
  <c r="BN9" i="17"/>
  <c r="AU7" i="17"/>
  <c r="AZ9" i="17"/>
  <c r="BL9" i="17"/>
  <c r="AQ7" i="17"/>
  <c r="AJ7" i="17"/>
  <c r="AR7" i="17"/>
  <c r="AO7" i="17"/>
  <c r="AS7" i="17"/>
  <c r="BP9" i="17"/>
  <c r="AL7" i="17"/>
  <c r="BJ9" i="17"/>
  <c r="BK9" i="17"/>
  <c r="BM9" i="17"/>
  <c r="AK7" i="17"/>
  <c r="BB9" i="17"/>
  <c r="AT7" i="17"/>
  <c r="BF9" i="17"/>
  <c r="BO9" i="17"/>
  <c r="BI9" i="17"/>
  <c r="BD9" i="17"/>
  <c r="BG9" i="17"/>
  <c r="AF6" i="17"/>
  <c r="AE6" i="17"/>
  <c r="BK8" i="17"/>
  <c r="AJ6" i="17"/>
  <c r="AL6" i="17"/>
  <c r="BN8" i="17"/>
  <c r="AN6" i="17"/>
  <c r="AR6" i="17"/>
  <c r="BE8" i="17"/>
  <c r="BG8" i="17"/>
  <c r="BB8" i="17"/>
  <c r="AQ6" i="17"/>
  <c r="AS6" i="17"/>
  <c r="BF8" i="17"/>
  <c r="AK6" i="17"/>
  <c r="AU6" i="17"/>
  <c r="AM6" i="17"/>
  <c r="BL8" i="17"/>
  <c r="BD8" i="17"/>
  <c r="AP6" i="17"/>
  <c r="AZ8" i="17"/>
  <c r="AT6" i="17"/>
  <c r="BC8" i="17"/>
  <c r="BH8" i="17"/>
  <c r="BJ8" i="17"/>
  <c r="BM8" i="17"/>
  <c r="AV6" i="17"/>
  <c r="BO8" i="17"/>
  <c r="BP8" i="17"/>
  <c r="BA8" i="17"/>
  <c r="AO6" i="17"/>
  <c r="BI8" i="17"/>
  <c r="AF10" i="17"/>
  <c r="AD10" i="17"/>
  <c r="AE10" i="17"/>
  <c r="BM12" i="17"/>
  <c r="BB12" i="17"/>
  <c r="AT10" i="17"/>
  <c r="BP12" i="17"/>
  <c r="BG12" i="17"/>
  <c r="BJ12" i="17"/>
  <c r="BF12" i="17"/>
  <c r="AU10" i="17"/>
  <c r="AL10" i="17"/>
  <c r="AK10" i="17"/>
  <c r="BK12" i="17"/>
  <c r="AS10" i="17"/>
  <c r="BC12" i="17"/>
  <c r="AP10" i="17"/>
  <c r="AM10" i="17"/>
  <c r="BI12" i="17"/>
  <c r="AV10" i="17"/>
  <c r="AZ12" i="17"/>
  <c r="BH12" i="17"/>
  <c r="AO10" i="17"/>
  <c r="BO12" i="17"/>
  <c r="AJ10" i="17"/>
  <c r="AN10" i="17"/>
  <c r="BA12" i="17"/>
  <c r="BN12" i="17"/>
  <c r="BE12" i="17"/>
  <c r="BL12" i="17"/>
  <c r="BD12" i="17"/>
  <c r="AQ10" i="17"/>
  <c r="AR10" i="17"/>
  <c r="H72" i="14"/>
  <c r="E72" i="14"/>
  <c r="H89" i="14"/>
  <c r="E89" i="14"/>
  <c r="DG3" i="17"/>
  <c r="DH3" i="17"/>
  <c r="DI3" i="17"/>
  <c r="DJ3" i="17"/>
  <c r="DK3" i="17"/>
  <c r="DL3" i="17"/>
  <c r="DM3" i="17"/>
  <c r="DN3" i="17"/>
  <c r="DO3" i="17"/>
  <c r="DP3" i="17"/>
  <c r="DQ3" i="17"/>
  <c r="DR3" i="17"/>
  <c r="DS3" i="17"/>
  <c r="DT3" i="17"/>
  <c r="DU3" i="17"/>
  <c r="DV3" i="17"/>
  <c r="DW3" i="17"/>
  <c r="DX3" i="17"/>
  <c r="DY3" i="17"/>
  <c r="DZ3" i="17"/>
  <c r="EA3" i="17"/>
  <c r="EB3" i="17"/>
  <c r="EC3" i="17"/>
  <c r="ED3" i="17"/>
  <c r="D31" i="6"/>
  <c r="H73" i="14"/>
  <c r="E73" i="14"/>
  <c r="H46" i="14"/>
  <c r="E46" i="14"/>
  <c r="AF12" i="17"/>
  <c r="AD12" i="17"/>
  <c r="AE12" i="17"/>
  <c r="BP14" i="17"/>
  <c r="AZ14" i="17"/>
  <c r="AJ12" i="17"/>
  <c r="AL12" i="17"/>
  <c r="AU12" i="17"/>
  <c r="BG14" i="17"/>
  <c r="AV12" i="17"/>
  <c r="BH14" i="17"/>
  <c r="BI14" i="17"/>
  <c r="BJ14" i="17"/>
  <c r="AT12" i="17"/>
  <c r="AN12" i="17"/>
  <c r="BB14" i="17"/>
  <c r="BO14" i="17"/>
  <c r="AM12" i="17"/>
  <c r="BM14" i="17"/>
  <c r="AQ12" i="17"/>
  <c r="BA14" i="17"/>
  <c r="BD14" i="17"/>
  <c r="BC14" i="17"/>
  <c r="AK12" i="17"/>
  <c r="BF14" i="17"/>
  <c r="BK14" i="17"/>
  <c r="BE14" i="17"/>
  <c r="AP12" i="17"/>
  <c r="BN14" i="17"/>
  <c r="AO12" i="17"/>
  <c r="AS12" i="17"/>
  <c r="BL14" i="17"/>
  <c r="AR12" i="17"/>
  <c r="Q28" i="7"/>
  <c r="I124" i="14"/>
  <c r="I112" i="14"/>
  <c r="I152" i="14"/>
  <c r="I116" i="14"/>
  <c r="I120" i="14"/>
  <c r="I109" i="14"/>
  <c r="I142" i="14"/>
  <c r="I127" i="14"/>
  <c r="I100" i="14"/>
  <c r="I122" i="14"/>
  <c r="I141" i="14"/>
  <c r="I150" i="14"/>
  <c r="I144" i="14"/>
  <c r="I118" i="14"/>
  <c r="I102" i="14"/>
  <c r="I128" i="14"/>
  <c r="I140" i="14"/>
  <c r="I121" i="14"/>
  <c r="I143" i="14"/>
  <c r="I126" i="14"/>
  <c r="I103" i="14"/>
  <c r="I137" i="14"/>
  <c r="I134" i="14"/>
  <c r="I148" i="14"/>
  <c r="I133" i="14"/>
  <c r="I146" i="14"/>
  <c r="I130" i="14"/>
  <c r="H98" i="14"/>
  <c r="E98" i="14"/>
  <c r="I131" i="14"/>
  <c r="I125" i="14"/>
  <c r="I139" i="14"/>
  <c r="I149" i="14"/>
  <c r="I145" i="14"/>
  <c r="I147" i="14"/>
  <c r="I129" i="14"/>
  <c r="I151" i="14"/>
  <c r="I115" i="14"/>
  <c r="I105" i="14"/>
  <c r="I114" i="14"/>
  <c r="I132" i="14"/>
  <c r="I153" i="14"/>
  <c r="I106" i="14"/>
  <c r="I138" i="14"/>
  <c r="I104" i="14"/>
  <c r="I101" i="14"/>
  <c r="I107" i="14"/>
  <c r="I136" i="14"/>
  <c r="I110" i="14"/>
  <c r="I123" i="14"/>
  <c r="I111" i="14"/>
  <c r="I113" i="14"/>
  <c r="I119" i="14"/>
  <c r="I117" i="14"/>
  <c r="I99" i="14"/>
  <c r="H97" i="14"/>
  <c r="E97" i="14"/>
  <c r="H88" i="14"/>
  <c r="E88" i="14"/>
  <c r="C58" i="23"/>
  <c r="D385" i="10" a="1"/>
  <c r="X397" i="10" s="1"/>
  <c r="D389" i="10"/>
  <c r="J389" i="10"/>
  <c r="S393" i="10"/>
  <c r="H396" i="10"/>
  <c r="O392" i="10"/>
  <c r="T392" i="10"/>
  <c r="F387" i="10"/>
  <c r="N394" i="10"/>
  <c r="V390" i="10"/>
  <c r="K388" i="10"/>
  <c r="F388" i="10"/>
  <c r="H390" i="10"/>
  <c r="H386" i="10"/>
  <c r="S391" i="10"/>
  <c r="Q397" i="10"/>
  <c r="E390" i="10"/>
  <c r="O387" i="10"/>
  <c r="H389" i="10"/>
  <c r="Z398" i="10"/>
  <c r="O395" i="10"/>
  <c r="O388" i="10"/>
  <c r="D371" i="10" a="1"/>
  <c r="L381" i="10" s="1"/>
  <c r="H371" i="10"/>
  <c r="Z382" i="10"/>
  <c r="L372" i="10"/>
  <c r="W375" i="10"/>
  <c r="K378" i="10"/>
  <c r="L375" i="10"/>
  <c r="AA375" i="10"/>
  <c r="T377" i="10"/>
  <c r="U381" i="10"/>
  <c r="D371" i="10"/>
  <c r="Q377" i="10"/>
  <c r="W378" i="10"/>
  <c r="Z374" i="10"/>
  <c r="O374" i="10"/>
  <c r="S374" i="10"/>
  <c r="E381" i="10"/>
  <c r="F374" i="10"/>
  <c r="Q381" i="10"/>
  <c r="J381" i="10"/>
  <c r="J371" i="10"/>
  <c r="T371" i="10"/>
  <c r="P377" i="10"/>
  <c r="N381" i="10"/>
  <c r="Z378" i="10"/>
  <c r="P375" i="10"/>
  <c r="Q384" i="10"/>
  <c r="Z379" i="10"/>
  <c r="E383" i="10"/>
  <c r="P372" i="10"/>
  <c r="Y373" i="10"/>
  <c r="P382" i="10"/>
  <c r="W374" i="10"/>
  <c r="R383" i="10"/>
  <c r="H382" i="10"/>
  <c r="G376" i="10"/>
  <c r="X376" i="10"/>
  <c r="N380" i="10"/>
  <c r="X372" i="10"/>
  <c r="AA371" i="10"/>
  <c r="O372" i="10"/>
  <c r="W379" i="10"/>
  <c r="S372" i="10"/>
  <c r="V375" i="10"/>
  <c r="V382" i="10"/>
  <c r="D376" i="10"/>
  <c r="U380" i="10"/>
  <c r="Q379" i="10"/>
  <c r="W376" i="10"/>
  <c r="K372" i="10"/>
  <c r="I371" i="10"/>
  <c r="Q378" i="10"/>
  <c r="X381" i="10"/>
  <c r="N383" i="10"/>
  <c r="J372" i="10"/>
  <c r="L377" i="10"/>
  <c r="N376" i="10"/>
  <c r="H377" i="10"/>
  <c r="D374" i="10"/>
  <c r="D380" i="10"/>
  <c r="E373" i="10"/>
  <c r="N374" i="10"/>
  <c r="M372" i="10"/>
  <c r="Y384" i="10"/>
  <c r="T380" i="10"/>
  <c r="Y372" i="10"/>
  <c r="W384" i="10"/>
  <c r="O371" i="10"/>
  <c r="G382" i="10"/>
  <c r="X382" i="10"/>
  <c r="Y378" i="10"/>
  <c r="U378" i="10"/>
  <c r="H384" i="10"/>
  <c r="K377" i="10"/>
  <c r="M376" i="10"/>
  <c r="I380" i="10"/>
  <c r="Y383" i="10"/>
  <c r="H379" i="10"/>
  <c r="H383" i="10"/>
  <c r="J384" i="10"/>
  <c r="P374" i="10"/>
  <c r="G379" i="10"/>
  <c r="Q373" i="10"/>
  <c r="J378" i="10"/>
  <c r="T375" i="10"/>
  <c r="AE22" i="17"/>
  <c r="AE21" i="17"/>
  <c r="AE20" i="17"/>
  <c r="C18" i="11" a="1"/>
  <c r="AJ20" i="11" s="1"/>
  <c r="BU20" i="11"/>
  <c r="DN18" i="11"/>
  <c r="IV20" i="11"/>
  <c r="CU20" i="11"/>
  <c r="CA19" i="11"/>
  <c r="KA18" i="11"/>
  <c r="HJ20" i="11"/>
  <c r="HR18" i="11"/>
  <c r="KJ20" i="11"/>
  <c r="CS18" i="11"/>
  <c r="CS19" i="11"/>
  <c r="HD19" i="11"/>
  <c r="KI19" i="11"/>
  <c r="IO19" i="11"/>
  <c r="GP18" i="11"/>
  <c r="HJ19" i="11"/>
  <c r="DY20" i="11"/>
  <c r="BB18" i="11"/>
  <c r="KJ19" i="11"/>
  <c r="AR18" i="11"/>
  <c r="C20" i="11"/>
  <c r="FS20" i="11"/>
  <c r="DL18" i="11"/>
  <c r="L18" i="11"/>
  <c r="Y20" i="11"/>
  <c r="JB19" i="11"/>
  <c r="BY19" i="11"/>
  <c r="L19" i="11"/>
  <c r="BZ20" i="11"/>
  <c r="FA19" i="11"/>
  <c r="D18" i="11"/>
  <c r="JV20" i="11"/>
  <c r="Z18" i="11"/>
  <c r="BC20" i="11"/>
  <c r="AQ19" i="11"/>
  <c r="GX19" i="11"/>
  <c r="EZ18" i="11"/>
  <c r="FI20" i="11"/>
  <c r="DT20" i="11"/>
  <c r="KJ18" i="11"/>
  <c r="KL19" i="11"/>
  <c r="F19" i="11"/>
  <c r="K20" i="11"/>
  <c r="DY19" i="11"/>
  <c r="AE18" i="11"/>
  <c r="AF18" i="11"/>
  <c r="HX18" i="11"/>
  <c r="AV19" i="11"/>
  <c r="FO18" i="11"/>
  <c r="GY18" i="11"/>
  <c r="BE18" i="11"/>
  <c r="BI19" i="11"/>
  <c r="N20" i="11"/>
  <c r="AM19" i="11"/>
  <c r="DB18" i="11"/>
  <c r="JL20" i="11"/>
  <c r="FN19" i="11"/>
  <c r="FD19" i="11"/>
  <c r="AU20" i="11"/>
  <c r="GC20" i="11"/>
  <c r="GT20" i="11"/>
  <c r="FA20" i="11"/>
  <c r="EO20" i="11"/>
  <c r="ER19" i="11"/>
  <c r="AT20" i="11"/>
  <c r="Z20" i="11"/>
  <c r="JW20" i="11"/>
  <c r="IG18" i="11"/>
  <c r="IK19" i="11"/>
  <c r="KC18" i="11"/>
  <c r="DS18" i="11"/>
  <c r="DU20" i="11"/>
  <c r="EJ20" i="11"/>
  <c r="IM18" i="11"/>
  <c r="CK19" i="11"/>
  <c r="KO19" i="11"/>
  <c r="FL19" i="11"/>
  <c r="KI18" i="11"/>
  <c r="CT19" i="11"/>
  <c r="FW19" i="11"/>
  <c r="FG20" i="11"/>
  <c r="JE19" i="11"/>
  <c r="AD18" i="11"/>
  <c r="DO19" i="11"/>
  <c r="I18" i="11"/>
  <c r="JD20" i="11"/>
  <c r="BZ18" i="11"/>
  <c r="DE20" i="11"/>
  <c r="IL20" i="11"/>
  <c r="JE18" i="11"/>
  <c r="DW20" i="11"/>
  <c r="CE19" i="11"/>
  <c r="BN18" i="11"/>
  <c r="GU19" i="11"/>
  <c r="AW18" i="11"/>
  <c r="IL19" i="11"/>
  <c r="BX20" i="11"/>
  <c r="GI18" i="11"/>
  <c r="JN20" i="11"/>
  <c r="ED20" i="11"/>
  <c r="CW19" i="11"/>
  <c r="FZ20" i="11"/>
  <c r="BM20" i="11"/>
  <c r="GR20" i="11"/>
  <c r="BL19" i="11"/>
  <c r="JY20" i="11"/>
  <c r="ID19" i="11"/>
  <c r="EQ20" i="11"/>
  <c r="AQ18" i="11"/>
  <c r="FG18" i="11"/>
  <c r="GN20" i="11"/>
  <c r="JC19" i="11"/>
  <c r="AP18" i="11"/>
  <c r="JM18" i="11"/>
  <c r="AT18" i="11"/>
  <c r="BH19" i="11"/>
  <c r="JY19" i="11"/>
  <c r="EM19" i="11"/>
  <c r="EZ20" i="11"/>
  <c r="EB19" i="11"/>
  <c r="HV18" i="11"/>
  <c r="EF19" i="11"/>
  <c r="BX19" i="11"/>
  <c r="GJ20" i="11"/>
  <c r="JW18" i="11"/>
  <c r="DJ18" i="11"/>
  <c r="GX18" i="11"/>
  <c r="IL18" i="11"/>
  <c r="HG18" i="11"/>
  <c r="KB20" i="11"/>
  <c r="FD20" i="11"/>
  <c r="GZ18" i="11"/>
  <c r="HG20" i="11"/>
  <c r="CH18" i="11"/>
  <c r="Q20" i="11"/>
  <c r="BX18" i="11"/>
  <c r="CH19" i="11"/>
  <c r="JY18" i="11"/>
  <c r="IQ19" i="11"/>
  <c r="JU18" i="11"/>
  <c r="EX19" i="11"/>
  <c r="DZ19" i="11"/>
  <c r="CA18" i="11"/>
  <c r="FY20" i="11"/>
  <c r="GS20" i="11"/>
  <c r="EM18" i="11"/>
  <c r="JK19" i="11"/>
  <c r="FM20" i="11"/>
  <c r="DQ18" i="11"/>
  <c r="CN20" i="11"/>
  <c r="EU18" i="11"/>
  <c r="DX19" i="11"/>
  <c r="AW19" i="11"/>
  <c r="FK20" i="11"/>
  <c r="FL18" i="11"/>
  <c r="CM18" i="11"/>
  <c r="FQ18" i="11"/>
  <c r="HR20" i="11"/>
  <c r="IS18" i="11"/>
  <c r="DT19" i="11"/>
  <c r="IK18" i="11"/>
  <c r="HQ19" i="11"/>
  <c r="IT20" i="11"/>
  <c r="KE18" i="11"/>
  <c r="JX18" i="11"/>
  <c r="KG19" i="11"/>
  <c r="HC19" i="11"/>
  <c r="FB18" i="11"/>
  <c r="FJ18" i="11"/>
  <c r="FA18" i="11"/>
  <c r="FN18" i="11"/>
  <c r="FR20" i="11"/>
  <c r="HX19" i="11"/>
  <c r="DJ20" i="11"/>
  <c r="DC20" i="11"/>
  <c r="EN19" i="11"/>
  <c r="GO20" i="11"/>
  <c r="CB20" i="11"/>
  <c r="JA18" i="11"/>
  <c r="BB20" i="11"/>
  <c r="GH18" i="11"/>
  <c r="EG19" i="11"/>
  <c r="M18" i="11"/>
  <c r="EA19" i="11"/>
  <c r="CP19" i="11"/>
  <c r="ES18" i="11"/>
  <c r="DP19" i="11"/>
  <c r="FI18" i="11"/>
  <c r="BG19" i="11"/>
  <c r="T19" i="11"/>
  <c r="IP18" i="11"/>
  <c r="DA18" i="11"/>
  <c r="HL19" i="11"/>
  <c r="HS19" i="11"/>
  <c r="EN20" i="11"/>
  <c r="AN18" i="11"/>
  <c r="BP19" i="11"/>
  <c r="FZ18" i="11"/>
  <c r="EO18" i="11"/>
  <c r="HK19" i="11"/>
  <c r="ET19" i="11"/>
  <c r="AG20" i="11"/>
  <c r="DX20" i="11"/>
  <c r="BP20" i="11"/>
  <c r="ES20" i="11"/>
  <c r="T18" i="11"/>
  <c r="BH18" i="11"/>
  <c r="R19" i="11"/>
  <c r="JO18" i="11"/>
  <c r="JI20" i="11"/>
  <c r="FF19" i="11"/>
  <c r="DP20" i="11"/>
  <c r="EK20" i="11"/>
  <c r="R18" i="11"/>
  <c r="HB18" i="11"/>
  <c r="O18" i="11"/>
  <c r="CJ18" i="11"/>
  <c r="IE19" i="11"/>
  <c r="O20" i="11"/>
  <c r="HC18" i="11"/>
  <c r="GQ19" i="11"/>
  <c r="KM19" i="11"/>
  <c r="BO19" i="11"/>
  <c r="BH5" i="17"/>
  <c r="BD5" i="17"/>
  <c r="D42" i="6"/>
  <c r="BO5" i="17"/>
  <c r="BM5" i="17"/>
  <c r="BK5" i="17"/>
  <c r="BG5" i="17"/>
  <c r="BC5" i="17"/>
  <c r="D33" i="6"/>
  <c r="H78" i="14"/>
  <c r="E78" i="14"/>
  <c r="D39" i="6"/>
  <c r="BL5" i="17"/>
  <c r="BJ5" i="17"/>
  <c r="BF5" i="17"/>
  <c r="BB5" i="17"/>
  <c r="B3" i="17"/>
  <c r="D40" i="6"/>
  <c r="AF5" i="17"/>
  <c r="BI7" i="17"/>
  <c r="AK5" i="17"/>
  <c r="AU5" i="17"/>
  <c r="BP7" i="17"/>
  <c r="AV5" i="17"/>
  <c r="BN7" i="17"/>
  <c r="BK7" i="17"/>
  <c r="AP5" i="17"/>
  <c r="BG7" i="17"/>
  <c r="BA7" i="17"/>
  <c r="BO7" i="17"/>
  <c r="BD7" i="17"/>
  <c r="BE7" i="17"/>
  <c r="AO5" i="17"/>
  <c r="AZ7" i="17"/>
  <c r="AM5" i="17"/>
  <c r="BH7" i="17"/>
  <c r="AL5" i="17"/>
  <c r="BC7" i="17"/>
  <c r="BB7" i="17"/>
  <c r="BJ7" i="17"/>
  <c r="AT5" i="17"/>
  <c r="AR5" i="17"/>
  <c r="AJ5" i="17"/>
  <c r="BM7" i="17"/>
  <c r="BL7" i="17"/>
  <c r="BF7" i="17"/>
  <c r="AS5" i="17"/>
  <c r="AQ5" i="17"/>
  <c r="D20" i="10" a="1"/>
  <c r="J20" i="10" s="1"/>
  <c r="P20" i="10"/>
  <c r="K20" i="10"/>
  <c r="Z20" i="10"/>
  <c r="F20" i="10"/>
  <c r="D20" i="10"/>
  <c r="S20" i="10"/>
  <c r="AN5" i="17"/>
  <c r="AF19" i="17"/>
  <c r="AT19" i="17"/>
  <c r="AZ21" i="17"/>
  <c r="AU19" i="17"/>
  <c r="AM19" i="17"/>
  <c r="BJ21" i="17"/>
  <c r="BM21" i="17"/>
  <c r="BD21" i="17"/>
  <c r="BN21" i="17"/>
  <c r="AS19" i="17"/>
  <c r="AO19" i="17"/>
  <c r="BA21" i="17"/>
  <c r="AN19" i="17"/>
  <c r="AR19" i="17"/>
  <c r="AL19" i="17"/>
  <c r="BK21" i="17"/>
  <c r="AV19" i="17"/>
  <c r="D34" i="10" a="1"/>
  <c r="I34" i="10"/>
  <c r="P34" i="10"/>
  <c r="X34" i="10"/>
  <c r="BO21" i="17"/>
  <c r="BB21" i="17"/>
  <c r="BL21" i="17"/>
  <c r="AP19" i="17"/>
  <c r="BC21" i="17"/>
  <c r="BH21" i="17"/>
  <c r="AK19" i="17"/>
  <c r="BE21" i="17"/>
  <c r="AQ19" i="17"/>
  <c r="BP21" i="17"/>
  <c r="BI21" i="17"/>
  <c r="AJ19" i="17"/>
  <c r="BF21" i="17"/>
  <c r="BG21" i="17"/>
  <c r="BN5" i="17"/>
  <c r="BI5" i="17"/>
  <c r="BE5" i="17"/>
  <c r="BA5" i="17"/>
  <c r="D32" i="6"/>
  <c r="C55" i="23"/>
  <c r="D9" i="10"/>
  <c r="M28" i="7"/>
  <c r="D43" i="7" a="1"/>
  <c r="AF18" i="17"/>
  <c r="BH20" i="17"/>
  <c r="BJ20" i="17"/>
  <c r="AL18" i="17"/>
  <c r="BD20" i="17"/>
  <c r="AP18" i="17"/>
  <c r="AT18" i="17"/>
  <c r="AS18" i="17"/>
  <c r="BG20" i="17"/>
  <c r="AN18" i="17"/>
  <c r="BF20" i="17"/>
  <c r="BE20" i="17"/>
  <c r="BP20" i="17"/>
  <c r="BB20" i="17"/>
  <c r="BL20" i="17"/>
  <c r="AM18" i="17"/>
  <c r="AO18" i="17"/>
  <c r="BI20" i="17"/>
  <c r="AU18" i="17"/>
  <c r="BK20" i="17"/>
  <c r="AV18" i="17"/>
  <c r="D33" i="10" a="1"/>
  <c r="F33" i="10" s="1"/>
  <c r="S33" i="10"/>
  <c r="M33" i="10"/>
  <c r="Y33" i="10"/>
  <c r="BO20" i="17"/>
  <c r="AK18" i="17"/>
  <c r="AZ20" i="17"/>
  <c r="BM20" i="17"/>
  <c r="AQ18" i="17"/>
  <c r="AJ18" i="17"/>
  <c r="BA20" i="17"/>
  <c r="BC20" i="17"/>
  <c r="AR18" i="17"/>
  <c r="BN20" i="17"/>
  <c r="AF17" i="17"/>
  <c r="BF19" i="17"/>
  <c r="BK19" i="17"/>
  <c r="AP17" i="17"/>
  <c r="AL17" i="17"/>
  <c r="BH19" i="17"/>
  <c r="AR17" i="17"/>
  <c r="D32" i="10" a="1"/>
  <c r="W32" i="10" s="1"/>
  <c r="V32" i="10"/>
  <c r="H32" i="10"/>
  <c r="M32" i="10"/>
  <c r="K32" i="10"/>
  <c r="U32" i="10"/>
  <c r="N32" i="10"/>
  <c r="G32" i="10"/>
  <c r="Q32" i="10"/>
  <c r="D32" i="10"/>
  <c r="S32" i="10"/>
  <c r="O32" i="10"/>
  <c r="T32" i="10"/>
  <c r="Z32" i="10"/>
  <c r="L32" i="10"/>
  <c r="F32" i="10"/>
  <c r="J32" i="10"/>
  <c r="I32" i="10"/>
  <c r="E32" i="10"/>
  <c r="Y32" i="10"/>
  <c r="R32" i="10"/>
  <c r="BP19" i="17"/>
  <c r="BO19" i="17"/>
  <c r="AO17" i="17"/>
  <c r="AV17" i="17"/>
  <c r="BB19" i="17"/>
  <c r="AS17" i="17"/>
  <c r="BN19" i="17"/>
  <c r="BI19" i="17"/>
  <c r="BL19" i="17"/>
  <c r="BE19" i="17"/>
  <c r="AU17" i="17"/>
  <c r="AQ17" i="17"/>
  <c r="BA19" i="17"/>
  <c r="BC19" i="17"/>
  <c r="AM17" i="17"/>
  <c r="BD19" i="17"/>
  <c r="AJ17" i="17"/>
  <c r="AK17" i="17"/>
  <c r="AZ19" i="17"/>
  <c r="AT17" i="17"/>
  <c r="BJ19" i="17"/>
  <c r="BM19" i="17"/>
  <c r="BG19" i="17"/>
  <c r="AN17" i="17"/>
  <c r="AF16" i="17"/>
  <c r="AD16" i="17"/>
  <c r="AE16" i="17"/>
  <c r="BA18" i="17"/>
  <c r="BE18" i="17"/>
  <c r="AK16" i="17"/>
  <c r="AL16" i="17"/>
  <c r="BL18" i="17"/>
  <c r="BF18" i="17"/>
  <c r="AV16" i="17"/>
  <c r="BC18" i="17"/>
  <c r="AR16" i="17"/>
  <c r="AS16" i="17"/>
  <c r="BM18" i="17"/>
  <c r="AO16" i="17"/>
  <c r="BH18" i="17"/>
  <c r="BG18" i="17"/>
  <c r="BD18" i="17"/>
  <c r="AQ16" i="17"/>
  <c r="BP18" i="17"/>
  <c r="BB18" i="17"/>
  <c r="AU16" i="17"/>
  <c r="AJ16" i="17"/>
  <c r="BJ18" i="17"/>
  <c r="BO18" i="17"/>
  <c r="BN18" i="17"/>
  <c r="BK18" i="17"/>
  <c r="BI18" i="17"/>
  <c r="AP16" i="17"/>
  <c r="AM16" i="17"/>
  <c r="AZ18" i="17"/>
  <c r="AN16" i="17"/>
  <c r="AT16" i="17"/>
  <c r="BP6" i="17"/>
  <c r="AF20" i="17"/>
  <c r="AD18" i="17"/>
  <c r="AE18" i="17"/>
  <c r="AD20" i="17"/>
  <c r="AF22" i="17"/>
  <c r="AE17" i="17"/>
  <c r="AD19" i="17"/>
  <c r="AD21" i="17"/>
  <c r="AF21" i="17"/>
  <c r="AD22" i="17"/>
  <c r="AD17" i="17"/>
  <c r="AE19" i="17"/>
  <c r="AD5" i="17"/>
  <c r="AE5" i="17"/>
  <c r="E28" i="7"/>
  <c r="K89" i="14"/>
  <c r="K88" i="14"/>
  <c r="K86" i="14"/>
  <c r="K87" i="14"/>
  <c r="I19" i="14"/>
  <c r="I17" i="14"/>
  <c r="I9" i="14"/>
  <c r="I12" i="14"/>
  <c r="I11" i="14"/>
  <c r="I16" i="14"/>
  <c r="I18" i="14"/>
  <c r="I22" i="14"/>
  <c r="I10" i="14"/>
  <c r="I24" i="14"/>
  <c r="I14" i="14"/>
  <c r="I15" i="14"/>
  <c r="I13" i="14"/>
  <c r="I20" i="14"/>
  <c r="I23" i="14"/>
  <c r="I21" i="14"/>
  <c r="H55" i="14"/>
  <c r="E55" i="14"/>
  <c r="H91" i="14"/>
  <c r="E91" i="14"/>
  <c r="I30" i="14"/>
  <c r="I31" i="14"/>
  <c r="H57" i="14"/>
  <c r="E57" i="14"/>
  <c r="H59" i="14"/>
  <c r="E59" i="14"/>
  <c r="H80" i="14"/>
  <c r="H67" i="14"/>
  <c r="E67" i="14"/>
  <c r="H34" i="14"/>
  <c r="E34" i="14"/>
  <c r="H85" i="14"/>
  <c r="E85" i="14"/>
  <c r="H63" i="14"/>
  <c r="H96" i="14"/>
  <c r="E96" i="14"/>
  <c r="H93" i="14"/>
  <c r="E93" i="14"/>
  <c r="H37" i="14"/>
  <c r="E37" i="14"/>
  <c r="H75" i="14"/>
  <c r="E75" i="14"/>
  <c r="H92" i="14"/>
  <c r="E92" i="14"/>
  <c r="H32" i="14"/>
  <c r="E32" i="14"/>
  <c r="H77" i="14"/>
  <c r="E77" i="14"/>
  <c r="H86" i="14"/>
  <c r="E86" i="14"/>
  <c r="H62" i="14"/>
  <c r="E62" i="14"/>
  <c r="H56" i="14"/>
  <c r="E56" i="14"/>
  <c r="H82" i="14"/>
  <c r="E82" i="14"/>
  <c r="H50" i="14"/>
  <c r="E50" i="14"/>
  <c r="H79" i="14"/>
  <c r="E79" i="14"/>
  <c r="H83" i="14"/>
  <c r="E83" i="14"/>
  <c r="H45" i="14"/>
  <c r="E45" i="14"/>
  <c r="H69" i="14"/>
  <c r="E69" i="14"/>
  <c r="H74" i="14"/>
  <c r="E74" i="14"/>
  <c r="H70" i="14"/>
  <c r="E70" i="14"/>
  <c r="H53" i="14"/>
  <c r="E53" i="14"/>
  <c r="H39" i="14"/>
  <c r="E39" i="14"/>
  <c r="H81" i="14"/>
  <c r="E81" i="14"/>
  <c r="H60" i="14"/>
  <c r="E60" i="14"/>
  <c r="H44" i="14"/>
  <c r="E44" i="14"/>
  <c r="H94" i="14"/>
  <c r="E94" i="14"/>
  <c r="H40" i="14"/>
  <c r="E40" i="14"/>
  <c r="H48" i="14"/>
  <c r="E48" i="14"/>
  <c r="H49" i="14"/>
  <c r="E49" i="14"/>
  <c r="H47" i="14"/>
  <c r="E47" i="14"/>
  <c r="H33" i="14"/>
  <c r="E33" i="14"/>
  <c r="H84" i="14"/>
  <c r="E84" i="14"/>
  <c r="H35" i="14"/>
  <c r="E35" i="14"/>
  <c r="H54" i="14"/>
  <c r="E54" i="14"/>
  <c r="H38" i="14"/>
  <c r="E38" i="14"/>
  <c r="H87" i="14"/>
  <c r="E87" i="14"/>
  <c r="H65" i="14"/>
  <c r="E65" i="14"/>
  <c r="H36" i="14"/>
  <c r="E36" i="14"/>
  <c r="H76" i="14"/>
  <c r="E76" i="14"/>
  <c r="H71" i="14"/>
  <c r="E71" i="14"/>
  <c r="H43" i="14"/>
  <c r="E43" i="14"/>
  <c r="H90" i="14"/>
  <c r="E90" i="14"/>
  <c r="H41" i="14"/>
  <c r="E41" i="14"/>
  <c r="H66" i="14"/>
  <c r="E66" i="14"/>
  <c r="H64" i="14"/>
  <c r="E64" i="14"/>
  <c r="H68" i="14"/>
  <c r="E68" i="14"/>
  <c r="H51" i="14"/>
  <c r="E51" i="14"/>
  <c r="H61" i="14"/>
  <c r="E61" i="14"/>
  <c r="H58" i="14"/>
  <c r="E58" i="14"/>
  <c r="P44" i="7"/>
  <c r="W29" i="7"/>
  <c r="W45" i="7"/>
  <c r="U27" i="7"/>
  <c r="U43" i="7"/>
  <c r="M29" i="7"/>
  <c r="M45" i="7"/>
  <c r="Z43" i="7"/>
  <c r="N28" i="7"/>
  <c r="N44" i="7"/>
  <c r="J29" i="7"/>
  <c r="J45" i="7"/>
  <c r="U28" i="7"/>
  <c r="U44" i="7"/>
  <c r="K29" i="7"/>
  <c r="K45" i="7"/>
  <c r="AA28" i="7"/>
  <c r="AA44" i="7"/>
  <c r="F29" i="7"/>
  <c r="F45" i="7"/>
  <c r="H28" i="7"/>
  <c r="H44" i="7"/>
  <c r="N29" i="7"/>
  <c r="N45" i="7"/>
  <c r="T27" i="7"/>
  <c r="T43" i="7"/>
  <c r="AA29" i="7"/>
  <c r="AA45" i="7"/>
  <c r="M27" i="7"/>
  <c r="M43" i="7"/>
  <c r="Q29" i="7"/>
  <c r="Q45" i="7"/>
  <c r="S27" i="7"/>
  <c r="S43" i="7"/>
  <c r="V28" i="7"/>
  <c r="V44" i="7"/>
  <c r="W27" i="7"/>
  <c r="W43" i="7"/>
  <c r="AA27" i="7"/>
  <c r="AA43" i="7"/>
  <c r="Y43" i="7"/>
  <c r="V29" i="7"/>
  <c r="V45" i="7"/>
  <c r="R28" i="7"/>
  <c r="R44" i="7"/>
  <c r="X28" i="7"/>
  <c r="X44" i="7"/>
  <c r="R27" i="7"/>
  <c r="R43" i="7"/>
  <c r="Y44" i="7"/>
  <c r="D29" i="7"/>
  <c r="D45" i="7"/>
  <c r="P29" i="7"/>
  <c r="P45" i="7"/>
  <c r="H27" i="7"/>
  <c r="H43" i="7"/>
  <c r="O27" i="7"/>
  <c r="O43" i="7"/>
  <c r="G27" i="7"/>
  <c r="G43" i="7"/>
  <c r="X29" i="7"/>
  <c r="X45" i="7"/>
  <c r="S28" i="7"/>
  <c r="S44" i="7"/>
  <c r="I29" i="7"/>
  <c r="I45" i="7"/>
  <c r="H29" i="7"/>
  <c r="H45" i="7"/>
  <c r="S29" i="7"/>
  <c r="S45" i="7"/>
  <c r="Z44" i="7"/>
  <c r="F27" i="7"/>
  <c r="F43" i="7"/>
  <c r="M44" i="7"/>
  <c r="L27" i="7"/>
  <c r="L43" i="7"/>
  <c r="I27" i="7"/>
  <c r="I43" i="7"/>
  <c r="K27" i="7"/>
  <c r="K43" i="7"/>
  <c r="I28" i="7"/>
  <c r="I44" i="7"/>
  <c r="D27" i="7"/>
  <c r="D43" i="7"/>
  <c r="G29" i="7"/>
  <c r="G45" i="7"/>
  <c r="E27" i="7"/>
  <c r="E43" i="7"/>
  <c r="R29" i="7"/>
  <c r="R45" i="7"/>
  <c r="T29" i="7"/>
  <c r="T45" i="7"/>
  <c r="D28" i="7"/>
  <c r="D44" i="7"/>
  <c r="L28" i="7"/>
  <c r="L44" i="7"/>
  <c r="O28" i="7"/>
  <c r="O44" i="7"/>
  <c r="Q44" i="7"/>
  <c r="X27" i="7"/>
  <c r="X43" i="7"/>
  <c r="Z45" i="7"/>
  <c r="P27" i="7"/>
  <c r="P43" i="7"/>
  <c r="J27" i="7"/>
  <c r="J43" i="7"/>
  <c r="L29" i="7"/>
  <c r="L45" i="7"/>
  <c r="E44" i="7"/>
  <c r="W28" i="7"/>
  <c r="W44" i="7"/>
  <c r="G28" i="7"/>
  <c r="G44" i="7"/>
  <c r="J28" i="7"/>
  <c r="J44" i="7"/>
  <c r="T28" i="7"/>
  <c r="T44" i="7"/>
  <c r="U29" i="7"/>
  <c r="U45" i="7"/>
  <c r="Y45" i="7"/>
  <c r="O29" i="7"/>
  <c r="O45" i="7"/>
  <c r="Q27" i="7"/>
  <c r="Q43" i="7"/>
  <c r="V27" i="7"/>
  <c r="V43" i="7"/>
  <c r="K28" i="7"/>
  <c r="K44" i="7"/>
  <c r="F28" i="7"/>
  <c r="F44" i="7"/>
  <c r="E29" i="7"/>
  <c r="E45" i="7"/>
  <c r="N27" i="7"/>
  <c r="N43" i="7"/>
  <c r="Z28" i="7"/>
  <c r="Y28" i="7"/>
  <c r="Z27" i="7"/>
  <c r="Z29" i="7"/>
  <c r="Y27" i="7"/>
  <c r="Y29" i="7"/>
  <c r="C47" i="23"/>
  <c r="D6" i="10"/>
  <c r="H154" i="14"/>
  <c r="E154" i="14"/>
  <c r="D21" i="7" a="1"/>
  <c r="I21" i="7"/>
  <c r="T23" i="7"/>
  <c r="T22" i="7"/>
  <c r="AA21" i="7"/>
  <c r="K23" i="7"/>
  <c r="V21" i="7"/>
  <c r="M21" i="7"/>
  <c r="T21" i="7"/>
  <c r="Z21" i="7"/>
  <c r="O23" i="7"/>
  <c r="V22" i="7"/>
  <c r="P21" i="7"/>
  <c r="F21" i="7"/>
  <c r="Z22" i="7"/>
  <c r="F23" i="7"/>
  <c r="L21" i="7"/>
  <c r="J22" i="7"/>
  <c r="N23" i="7"/>
  <c r="D22" i="7"/>
  <c r="N22" i="7"/>
  <c r="L22" i="7"/>
  <c r="S23" i="7"/>
  <c r="Y21" i="7"/>
  <c r="H21" i="7"/>
  <c r="G21" i="7"/>
  <c r="E22" i="7"/>
  <c r="E23" i="7"/>
  <c r="Z23" i="7"/>
  <c r="W23" i="7"/>
  <c r="Y22" i="7"/>
  <c r="I23" i="7"/>
  <c r="E21" i="7"/>
  <c r="M23" i="7"/>
  <c r="I22" i="7"/>
  <c r="K22" i="7"/>
  <c r="Q22" i="7"/>
  <c r="X22" i="7"/>
  <c r="X23" i="7"/>
  <c r="S21" i="7"/>
  <c r="H22" i="7"/>
  <c r="R22" i="7"/>
  <c r="Y23" i="7"/>
  <c r="F22" i="7"/>
  <c r="H23" i="7"/>
  <c r="K21" i="7"/>
  <c r="U21" i="7"/>
  <c r="P23" i="7"/>
  <c r="D23" i="7"/>
  <c r="V23" i="7"/>
  <c r="S22" i="7"/>
  <c r="AA22" i="7"/>
  <c r="D21" i="7"/>
  <c r="J21" i="7"/>
  <c r="U23" i="7"/>
  <c r="G23" i="7"/>
  <c r="J23" i="7"/>
  <c r="U22" i="7"/>
  <c r="O22" i="7"/>
  <c r="L23" i="7"/>
  <c r="W21" i="7"/>
  <c r="P22" i="7"/>
  <c r="X21" i="7"/>
  <c r="R23" i="7"/>
  <c r="W22" i="7"/>
  <c r="M22" i="7"/>
  <c r="O21" i="7"/>
  <c r="R21" i="7"/>
  <c r="AA23" i="7"/>
  <c r="N21" i="7"/>
  <c r="G22" i="7"/>
  <c r="Q23" i="7"/>
  <c r="Q21" i="7"/>
  <c r="C60" i="23"/>
  <c r="C42" i="23"/>
  <c r="C62" i="23"/>
  <c r="C61" i="23"/>
  <c r="C38" i="23"/>
  <c r="C45" i="23"/>
  <c r="D46" i="7" a="1"/>
  <c r="H47" i="7"/>
  <c r="AA48" i="7"/>
  <c r="S46" i="7"/>
  <c r="T46" i="7"/>
  <c r="Y47" i="7"/>
  <c r="R48" i="7"/>
  <c r="G48" i="7"/>
  <c r="N47" i="7"/>
  <c r="N46" i="7"/>
  <c r="T48" i="7"/>
  <c r="J46" i="7"/>
  <c r="S48" i="7"/>
  <c r="X46" i="7"/>
  <c r="P48" i="7"/>
  <c r="L47" i="7"/>
  <c r="P46" i="7"/>
  <c r="D47" i="7"/>
  <c r="U47" i="7"/>
  <c r="V48" i="7"/>
  <c r="K47" i="7"/>
  <c r="H48" i="7"/>
  <c r="E48" i="7"/>
  <c r="Z47" i="7"/>
  <c r="Q46" i="7"/>
  <c r="M46" i="7"/>
  <c r="E46" i="7"/>
  <c r="F46" i="7"/>
  <c r="Z48" i="7"/>
  <c r="Y48" i="7"/>
  <c r="J47" i="7"/>
  <c r="W47" i="7"/>
  <c r="W46" i="7"/>
  <c r="I46" i="7"/>
  <c r="Y46" i="7"/>
  <c r="R47" i="7"/>
  <c r="W48" i="7"/>
  <c r="K46" i="7"/>
  <c r="D48" i="7"/>
  <c r="L48" i="7"/>
  <c r="Q47" i="7"/>
  <c r="Z46" i="7"/>
  <c r="AA46" i="7"/>
  <c r="V47" i="7"/>
  <c r="D46" i="7"/>
  <c r="F48" i="7"/>
  <c r="M47" i="7"/>
  <c r="X48" i="7"/>
  <c r="H46" i="7"/>
  <c r="G46" i="7"/>
  <c r="X47" i="7"/>
  <c r="Q48" i="7"/>
  <c r="L46" i="7"/>
  <c r="U46" i="7"/>
  <c r="R46" i="7"/>
  <c r="T47" i="7"/>
  <c r="O47" i="7"/>
  <c r="AA47" i="7"/>
  <c r="E47" i="7"/>
  <c r="K48" i="7"/>
  <c r="V46" i="7"/>
  <c r="U48" i="7"/>
  <c r="J48" i="7"/>
  <c r="I47" i="7"/>
  <c r="P47" i="7"/>
  <c r="O48" i="7"/>
  <c r="O46" i="7"/>
  <c r="F47" i="7"/>
  <c r="M48" i="7"/>
  <c r="N48" i="7"/>
  <c r="S47" i="7"/>
  <c r="G47" i="7"/>
  <c r="I48" i="7"/>
  <c r="D4" i="10"/>
  <c r="X3" i="8" s="1"/>
  <c r="J4" i="10"/>
  <c r="L4" i="10"/>
  <c r="O4" i="10"/>
  <c r="D619" i="8" s="1"/>
  <c r="P4" i="10"/>
  <c r="Q4" i="10"/>
  <c r="R13" i="10" s="1"/>
  <c r="S4" i="10"/>
  <c r="E4" i="10"/>
  <c r="F13" i="10" s="1"/>
  <c r="F4" i="10"/>
  <c r="M4" i="10"/>
  <c r="T4" i="10"/>
  <c r="X899" i="8" s="1"/>
  <c r="N4" i="10"/>
  <c r="U4" i="10"/>
  <c r="V4" i="10"/>
  <c r="V4" i="16" s="1"/>
  <c r="W4" i="10"/>
  <c r="N1067" i="8" s="1"/>
  <c r="X4" i="10"/>
  <c r="Y4" i="10"/>
  <c r="J4" i="16"/>
  <c r="U4" i="16"/>
  <c r="S3" i="8"/>
  <c r="P4" i="16"/>
  <c r="O4" i="16"/>
  <c r="M4" i="16"/>
  <c r="S4" i="16"/>
  <c r="L4" i="16"/>
  <c r="D4" i="22" a="1"/>
  <c r="M4" i="22"/>
  <c r="J4" i="22"/>
  <c r="Y4" i="22"/>
  <c r="F4" i="22"/>
  <c r="L4" i="22"/>
  <c r="P4" i="22"/>
  <c r="N4" i="22"/>
  <c r="S4" i="22"/>
  <c r="X4" i="22"/>
  <c r="AA4" i="10"/>
  <c r="AA4" i="22" s="1"/>
  <c r="D4" i="22"/>
  <c r="U4" i="22"/>
  <c r="C3" i="8"/>
  <c r="Y4" i="16"/>
  <c r="N4" i="16"/>
  <c r="I3" i="8"/>
  <c r="X507" i="8"/>
  <c r="C507" i="8"/>
  <c r="AH507" i="8"/>
  <c r="AC507" i="8"/>
  <c r="S507" i="8"/>
  <c r="N507" i="8"/>
  <c r="D507" i="8"/>
  <c r="I507" i="8"/>
  <c r="AC731" i="8"/>
  <c r="I731" i="8"/>
  <c r="S675" i="8"/>
  <c r="AH675" i="8"/>
  <c r="N675" i="8"/>
  <c r="X675" i="8"/>
  <c r="I675" i="8"/>
  <c r="D675" i="8"/>
  <c r="AC675" i="8"/>
  <c r="Q13" i="10"/>
  <c r="C675" i="8"/>
  <c r="S955" i="8"/>
  <c r="D955" i="8"/>
  <c r="I955" i="8"/>
  <c r="AC955" i="8"/>
  <c r="AH955" i="8"/>
  <c r="X955" i="8"/>
  <c r="C955" i="8"/>
  <c r="V13" i="10"/>
  <c r="N955" i="8"/>
  <c r="X4" i="16"/>
  <c r="I1123" i="8"/>
  <c r="D1123" i="8"/>
  <c r="Y13" i="10"/>
  <c r="S1123" i="8"/>
  <c r="N1123" i="8"/>
  <c r="AC1123" i="8"/>
  <c r="C1123" i="8"/>
  <c r="X1123" i="8"/>
  <c r="AH1123" i="8"/>
  <c r="X843" i="8"/>
  <c r="I843" i="8"/>
  <c r="N843" i="8"/>
  <c r="D843" i="8"/>
  <c r="AC843" i="8"/>
  <c r="C843" i="8"/>
  <c r="S843" i="8"/>
  <c r="AH843" i="8"/>
  <c r="T13" i="10"/>
  <c r="I339" i="8"/>
  <c r="X339" i="8"/>
  <c r="S339" i="8"/>
  <c r="K13" i="10"/>
  <c r="D339" i="8"/>
  <c r="C339" i="8"/>
  <c r="AC339" i="8"/>
  <c r="N339" i="8"/>
  <c r="AH339" i="8"/>
  <c r="N59" i="8"/>
  <c r="AH1011" i="8"/>
  <c r="N1011" i="8"/>
  <c r="C619" i="8"/>
  <c r="N619" i="8"/>
  <c r="AH619" i="8"/>
  <c r="Z13" i="10"/>
  <c r="N1179" i="8"/>
  <c r="AH1179" i="8"/>
  <c r="S1179" i="8"/>
  <c r="AC1179" i="8"/>
  <c r="C1179" i="8"/>
  <c r="D1179" i="8"/>
  <c r="I1179" i="8"/>
  <c r="X1179" i="8"/>
  <c r="F4" i="16"/>
  <c r="I115" i="8"/>
  <c r="AH115" i="8"/>
  <c r="AC115" i="8"/>
  <c r="N115" i="8"/>
  <c r="D115" i="8"/>
  <c r="G13" i="10"/>
  <c r="X115" i="8"/>
  <c r="C115" i="8"/>
  <c r="S115" i="8"/>
  <c r="CG4" i="17" a="1"/>
  <c r="CR4" i="17"/>
  <c r="CY4" i="17"/>
  <c r="CU4" i="17"/>
  <c r="CG4" i="17"/>
  <c r="CO4" i="17"/>
  <c r="CH4" i="17"/>
  <c r="DA4" i="17"/>
  <c r="CS4" i="17"/>
  <c r="DD4" i="17"/>
  <c r="DB4" i="17"/>
  <c r="CW4" i="17"/>
  <c r="CT4" i="17"/>
  <c r="CP4" i="17"/>
  <c r="CZ4" i="17"/>
  <c r="CN4" i="17"/>
  <c r="DC4" i="17"/>
  <c r="CK4" i="17"/>
  <c r="CJ4" i="17"/>
  <c r="CI4" i="17"/>
  <c r="CM4" i="17"/>
  <c r="CV4" i="17"/>
  <c r="CL4" i="17"/>
  <c r="CX4" i="17"/>
  <c r="CQ4" i="17"/>
  <c r="D18" i="7" a="1"/>
  <c r="K18" i="7"/>
  <c r="V20" i="7"/>
  <c r="T20" i="7"/>
  <c r="I19" i="7"/>
  <c r="L19" i="7"/>
  <c r="V18" i="7"/>
  <c r="X18" i="7"/>
  <c r="I18" i="7"/>
  <c r="P20" i="7"/>
  <c r="R20" i="7"/>
  <c r="D19" i="7"/>
  <c r="W18" i="7"/>
  <c r="N19" i="7"/>
  <c r="O19" i="7"/>
  <c r="F18" i="7"/>
  <c r="F20" i="7"/>
  <c r="U20" i="7"/>
  <c r="N20" i="7"/>
  <c r="Z18" i="7"/>
  <c r="E18" i="7"/>
  <c r="Y20" i="7"/>
  <c r="K20" i="7"/>
  <c r="Q19" i="7"/>
  <c r="H19" i="7"/>
  <c r="X20" i="7"/>
  <c r="Q20" i="7"/>
  <c r="Z20" i="7"/>
  <c r="AA18" i="7"/>
  <c r="H18" i="7"/>
  <c r="T19" i="7"/>
  <c r="K19" i="7"/>
  <c r="Y18" i="7"/>
  <c r="F19" i="7"/>
  <c r="E19" i="7"/>
  <c r="AA19" i="7"/>
  <c r="H20" i="7"/>
  <c r="P19" i="7"/>
  <c r="S18" i="7"/>
  <c r="W19" i="7"/>
  <c r="M18" i="7"/>
  <c r="G20" i="7"/>
  <c r="R18" i="7"/>
  <c r="L20" i="7"/>
  <c r="M20" i="7"/>
  <c r="I20" i="7"/>
  <c r="G19" i="7"/>
  <c r="R19" i="7"/>
  <c r="Z19" i="7"/>
  <c r="O18" i="7"/>
  <c r="G18" i="7"/>
  <c r="N18" i="7"/>
  <c r="O20" i="7"/>
  <c r="L18" i="7"/>
  <c r="D18" i="7"/>
  <c r="AA20" i="7"/>
  <c r="U19" i="7"/>
  <c r="T18" i="7"/>
  <c r="S20" i="7"/>
  <c r="Q18" i="7"/>
  <c r="S19" i="7"/>
  <c r="W20" i="7"/>
  <c r="P18" i="7"/>
  <c r="M19" i="7"/>
  <c r="J19" i="7"/>
  <c r="Y19" i="7"/>
  <c r="J20" i="7"/>
  <c r="J18" i="7"/>
  <c r="V19" i="7"/>
  <c r="E20" i="7"/>
  <c r="U18" i="7"/>
  <c r="X19" i="7"/>
  <c r="D20" i="7"/>
  <c r="C563" i="8"/>
  <c r="S563" i="8"/>
  <c r="N563" i="8"/>
  <c r="I563" i="8"/>
  <c r="D563" i="8"/>
  <c r="AH563" i="8"/>
  <c r="O13" i="10"/>
  <c r="X563" i="8"/>
  <c r="AC563" i="8"/>
  <c r="AH1067" i="8"/>
  <c r="I1067" i="8"/>
  <c r="X1067" i="8"/>
  <c r="C1291" i="8"/>
  <c r="N1291" i="8"/>
  <c r="DG6" i="17" a="1"/>
  <c r="DU6" i="17"/>
  <c r="DS6" i="17"/>
  <c r="DR6" i="17"/>
  <c r="DH6" i="17"/>
  <c r="DI6" i="17"/>
  <c r="EB6" i="17"/>
  <c r="DG6" i="17"/>
  <c r="EC6" i="17"/>
  <c r="DN6" i="17"/>
  <c r="DP6" i="17"/>
  <c r="DM6" i="17"/>
  <c r="EA6" i="17"/>
  <c r="DZ6" i="17"/>
  <c r="ED6" i="17"/>
  <c r="DO6" i="17"/>
  <c r="DY6" i="17"/>
  <c r="DQ6" i="17"/>
  <c r="DV6" i="17"/>
  <c r="DK6" i="17"/>
  <c r="DT6" i="17"/>
  <c r="DX6" i="17"/>
  <c r="DW6" i="17"/>
  <c r="DJ6" i="17"/>
  <c r="DL6" i="17"/>
  <c r="D899" i="8"/>
  <c r="N451" i="8"/>
  <c r="I451" i="8"/>
  <c r="M13" i="10"/>
  <c r="S451" i="8"/>
  <c r="D451" i="8"/>
  <c r="AH451" i="8"/>
  <c r="AC451" i="8"/>
  <c r="C451" i="8"/>
  <c r="X451" i="8"/>
  <c r="CG7" i="17" a="1"/>
  <c r="CK7" i="17"/>
  <c r="CW7" i="17"/>
  <c r="CJ7" i="17"/>
  <c r="CZ7" i="17"/>
  <c r="DC7" i="17"/>
  <c r="CO7" i="17"/>
  <c r="CG7" i="17"/>
  <c r="CV7" i="17"/>
  <c r="DB7" i="17"/>
  <c r="CH7" i="17"/>
  <c r="CS7" i="17"/>
  <c r="CU7" i="17"/>
  <c r="CM7" i="17"/>
  <c r="CT7" i="17"/>
  <c r="CY7" i="17"/>
  <c r="DA7" i="17"/>
  <c r="CX7" i="17"/>
  <c r="CL7" i="17"/>
  <c r="DD7" i="17"/>
  <c r="CP7" i="17"/>
  <c r="CI7" i="17"/>
  <c r="CR7" i="17"/>
  <c r="CQ7" i="17"/>
  <c r="CN7" i="17"/>
  <c r="D71" i="10" a="1"/>
  <c r="F71" i="10" s="1"/>
  <c r="D40" i="7" a="1"/>
  <c r="N42" i="7"/>
  <c r="P40" i="7"/>
  <c r="P42" i="7"/>
  <c r="E40" i="7"/>
  <c r="X42" i="7"/>
  <c r="O41" i="7"/>
  <c r="K41" i="7"/>
  <c r="L42" i="7"/>
  <c r="S40" i="7"/>
  <c r="G42" i="7"/>
  <c r="Q41" i="7"/>
  <c r="U41" i="7"/>
  <c r="J42" i="7"/>
  <c r="T42" i="7"/>
  <c r="I42" i="7"/>
  <c r="L41" i="7"/>
  <c r="R40" i="7"/>
  <c r="R42" i="7"/>
  <c r="I40" i="7"/>
  <c r="U42" i="7"/>
  <c r="D41" i="7"/>
  <c r="P41" i="7"/>
  <c r="G40" i="7"/>
  <c r="V41" i="7"/>
  <c r="R41" i="7"/>
  <c r="M41" i="7"/>
  <c r="K42" i="7"/>
  <c r="AA42" i="7"/>
  <c r="F42" i="7"/>
  <c r="I41" i="7"/>
  <c r="N40" i="7"/>
  <c r="W40" i="7"/>
  <c r="F41" i="7"/>
  <c r="Z40" i="7"/>
  <c r="H42" i="7"/>
  <c r="S41" i="7"/>
  <c r="D42" i="7"/>
  <c r="Q42" i="7"/>
  <c r="D40" i="7"/>
  <c r="U40" i="7"/>
  <c r="V40" i="7"/>
  <c r="AA40" i="7"/>
  <c r="K40" i="7"/>
  <c r="X41" i="7"/>
  <c r="Y40" i="7"/>
  <c r="W42" i="7"/>
  <c r="L40" i="7"/>
  <c r="H40" i="7"/>
  <c r="Z42" i="7"/>
  <c r="M42" i="7"/>
  <c r="Y41" i="7"/>
  <c r="F40" i="7"/>
  <c r="O42" i="7"/>
  <c r="T41" i="7"/>
  <c r="Q40" i="7"/>
  <c r="AA41" i="7"/>
  <c r="E42" i="7"/>
  <c r="V42" i="7"/>
  <c r="N41" i="7"/>
  <c r="T40" i="7"/>
  <c r="Y42" i="7"/>
  <c r="O40" i="7"/>
  <c r="E41" i="7"/>
  <c r="J40" i="7"/>
  <c r="Z41" i="7"/>
  <c r="H41" i="7"/>
  <c r="J41" i="7"/>
  <c r="M40" i="7"/>
  <c r="S42" i="7"/>
  <c r="G41" i="7"/>
  <c r="X40" i="7"/>
  <c r="W41" i="7"/>
  <c r="DG5" i="17" a="1"/>
  <c r="DY5" i="17"/>
  <c r="DQ5" i="17"/>
  <c r="ED5" i="17"/>
  <c r="EC5" i="17"/>
  <c r="DX5" i="17"/>
  <c r="DT5" i="17"/>
  <c r="DI5" i="17"/>
  <c r="DZ5" i="17"/>
  <c r="DW5" i="17"/>
  <c r="DL5" i="17"/>
  <c r="DS5" i="17"/>
  <c r="DK5" i="17"/>
  <c r="EA5" i="17"/>
  <c r="DM5" i="17"/>
  <c r="DO5" i="17"/>
  <c r="DP5" i="17"/>
  <c r="DJ5" i="17"/>
  <c r="DG5" i="17"/>
  <c r="DH5" i="17"/>
  <c r="DR5" i="17"/>
  <c r="EB5" i="17"/>
  <c r="DN5" i="17"/>
  <c r="DV5" i="17"/>
  <c r="DU5" i="17"/>
  <c r="CG6" i="17" a="1"/>
  <c r="CT6" i="17"/>
  <c r="CM6" i="17"/>
  <c r="CW6" i="17"/>
  <c r="CI6" i="17"/>
  <c r="CJ6" i="17"/>
  <c r="CU6" i="17"/>
  <c r="CG6" i="17"/>
  <c r="CY6" i="17"/>
  <c r="CO6" i="17"/>
  <c r="CX6" i="17"/>
  <c r="CK6" i="17"/>
  <c r="CV6" i="17"/>
  <c r="DC6" i="17"/>
  <c r="CN6" i="17"/>
  <c r="DA6" i="17"/>
  <c r="DD6" i="17"/>
  <c r="CL6" i="17"/>
  <c r="CH6" i="17"/>
  <c r="DB6" i="17"/>
  <c r="CZ6" i="17"/>
  <c r="CQ6" i="17"/>
  <c r="CP6" i="17"/>
  <c r="CR6" i="17"/>
  <c r="CS6" i="17"/>
  <c r="C171" i="8" l="1"/>
  <c r="X171" i="8"/>
  <c r="I171" i="8"/>
  <c r="S171" i="8"/>
  <c r="H13" i="10"/>
  <c r="D171" i="8"/>
  <c r="G4" i="16"/>
  <c r="N171" i="8"/>
  <c r="AH171" i="8"/>
  <c r="G4" i="22"/>
  <c r="AC171" i="8"/>
  <c r="K4" i="16"/>
  <c r="AC395" i="8"/>
  <c r="I395" i="8"/>
  <c r="X13" i="10"/>
  <c r="AC1067" i="8"/>
  <c r="W4" i="16"/>
  <c r="P13" i="10"/>
  <c r="S619" i="8"/>
  <c r="W4" i="22"/>
  <c r="D4" i="16"/>
  <c r="D3" i="8"/>
  <c r="E13" i="10"/>
  <c r="AH899" i="8"/>
  <c r="S1067" i="8"/>
  <c r="C1067" i="8"/>
  <c r="X619" i="8"/>
  <c r="I619" i="8"/>
  <c r="AH3" i="8"/>
  <c r="E4" i="16"/>
  <c r="O4" i="22"/>
  <c r="N3" i="8"/>
  <c r="AC3" i="8"/>
  <c r="I899" i="8"/>
  <c r="D1067" i="8"/>
  <c r="AC619" i="8"/>
  <c r="AC59" i="8"/>
  <c r="T4" i="22"/>
  <c r="Z4" i="22"/>
  <c r="AC1235" i="8"/>
  <c r="I1235" i="8"/>
  <c r="AH1235" i="8"/>
  <c r="C1235" i="8"/>
  <c r="D1235" i="8"/>
  <c r="AA13" i="10"/>
  <c r="Z4" i="16"/>
  <c r="S1235" i="8"/>
  <c r="N1235" i="8"/>
  <c r="X1235" i="8"/>
  <c r="I227" i="8"/>
  <c r="S227" i="8"/>
  <c r="H4" i="16"/>
  <c r="I13" i="10"/>
  <c r="C227" i="8"/>
  <c r="H4" i="22"/>
  <c r="D227" i="8"/>
  <c r="N227" i="8"/>
  <c r="X227" i="8"/>
  <c r="AH227" i="8"/>
  <c r="AC227" i="8"/>
  <c r="I4" i="16"/>
  <c r="X283" i="8"/>
  <c r="J13" i="10"/>
  <c r="N283" i="8"/>
  <c r="C283" i="8"/>
  <c r="I4" i="22"/>
  <c r="AC283" i="8"/>
  <c r="D283" i="8"/>
  <c r="AH283" i="8"/>
  <c r="S283" i="8"/>
  <c r="I283" i="8"/>
  <c r="R4" i="16"/>
  <c r="S13" i="10"/>
  <c r="AH787" i="8"/>
  <c r="D787" i="8"/>
  <c r="C787" i="8"/>
  <c r="R4" i="22"/>
  <c r="I787" i="8"/>
  <c r="N787" i="8"/>
  <c r="X787" i="8"/>
  <c r="S787" i="8"/>
  <c r="AC787" i="8"/>
  <c r="U13" i="10"/>
  <c r="AC899" i="8"/>
  <c r="D1291" i="8"/>
  <c r="I1291" i="8"/>
  <c r="I1011" i="8"/>
  <c r="S1011" i="8"/>
  <c r="C59" i="8"/>
  <c r="D59" i="8"/>
  <c r="S59" i="8"/>
  <c r="X731" i="8"/>
  <c r="D731" i="8"/>
  <c r="AH395" i="8"/>
  <c r="L13" i="10"/>
  <c r="Q4" i="16"/>
  <c r="V4" i="22"/>
  <c r="E4" i="22"/>
  <c r="T4" i="16"/>
  <c r="D2" i="10" a="1"/>
  <c r="AA2" i="10" s="1"/>
  <c r="S899" i="8"/>
  <c r="N899" i="8"/>
  <c r="S1291" i="8"/>
  <c r="AC1291" i="8"/>
  <c r="W13" i="10"/>
  <c r="X1011" i="8"/>
  <c r="C1011" i="8"/>
  <c r="X59" i="8"/>
  <c r="I59" i="8"/>
  <c r="N731" i="8"/>
  <c r="S731" i="8"/>
  <c r="AH731" i="8"/>
  <c r="C395" i="8"/>
  <c r="X395" i="8"/>
  <c r="Q4" i="22"/>
  <c r="C899" i="8"/>
  <c r="X1291" i="8"/>
  <c r="AH1291" i="8"/>
  <c r="AA4" i="16"/>
  <c r="D1011" i="8"/>
  <c r="AC1011" i="8"/>
  <c r="AH59" i="8"/>
  <c r="C731" i="8"/>
  <c r="N395" i="8"/>
  <c r="D395" i="8"/>
  <c r="S395" i="8"/>
  <c r="K4" i="22"/>
  <c r="AA33" i="10"/>
  <c r="P33" i="10"/>
  <c r="K33" i="10"/>
  <c r="S34" i="10"/>
  <c r="L34" i="10"/>
  <c r="Z34" i="10"/>
  <c r="H34" i="10"/>
  <c r="O34" i="10"/>
  <c r="J34" i="10"/>
  <c r="G34" i="10"/>
  <c r="F34" i="10"/>
  <c r="U34" i="10"/>
  <c r="N34" i="10"/>
  <c r="K34" i="10"/>
  <c r="M34" i="10"/>
  <c r="N33" i="10"/>
  <c r="O33" i="10"/>
  <c r="I33" i="10"/>
  <c r="T34" i="10"/>
  <c r="AA34" i="10"/>
  <c r="R34" i="10"/>
  <c r="O20" i="10"/>
  <c r="M20" i="10"/>
  <c r="E20" i="10"/>
  <c r="D33" i="10"/>
  <c r="X33" i="10"/>
  <c r="D34" i="10"/>
  <c r="E34" i="10"/>
  <c r="V34" i="10"/>
  <c r="T20" i="10"/>
  <c r="R20" i="10"/>
  <c r="J33" i="10"/>
  <c r="U33" i="10"/>
  <c r="H33" i="10"/>
  <c r="R33" i="10"/>
  <c r="E33" i="10"/>
  <c r="V33" i="10"/>
  <c r="T33" i="10"/>
  <c r="G33" i="10"/>
  <c r="Q33" i="10"/>
  <c r="Z33" i="10"/>
  <c r="W33" i="10"/>
  <c r="L33" i="10"/>
  <c r="Q34" i="10"/>
  <c r="W34" i="10"/>
  <c r="Y34" i="10"/>
  <c r="V20" i="10"/>
  <c r="L20" i="10"/>
  <c r="I20" i="10"/>
  <c r="Y20" i="10"/>
  <c r="W20" i="10"/>
  <c r="H20" i="10"/>
  <c r="N20" i="10"/>
  <c r="X20" i="10"/>
  <c r="Q20" i="10"/>
  <c r="AA20" i="10"/>
  <c r="G20" i="10"/>
  <c r="U20" i="10"/>
  <c r="L390" i="10"/>
  <c r="Z388" i="10"/>
  <c r="I396" i="10"/>
  <c r="W387" i="10"/>
  <c r="Z385" i="10"/>
  <c r="X385" i="10"/>
  <c r="J391" i="10"/>
  <c r="M397" i="10"/>
  <c r="M390" i="10"/>
  <c r="AA390" i="10"/>
  <c r="G391" i="10"/>
  <c r="U393" i="10"/>
  <c r="J387" i="10"/>
  <c r="J396" i="10"/>
  <c r="W389" i="10"/>
  <c r="N392" i="10"/>
  <c r="I392" i="10"/>
  <c r="X398" i="10"/>
  <c r="R391" i="10"/>
  <c r="Y397" i="10"/>
  <c r="K396" i="10"/>
  <c r="W372" i="10"/>
  <c r="G383" i="10"/>
  <c r="M384" i="10"/>
  <c r="W377" i="10"/>
  <c r="AA372" i="10"/>
  <c r="S378" i="10"/>
  <c r="M383" i="10"/>
  <c r="E374" i="10"/>
  <c r="X375" i="10"/>
  <c r="U384" i="10"/>
  <c r="D381" i="10"/>
  <c r="L383" i="10"/>
  <c r="Q371" i="10"/>
  <c r="N372" i="10"/>
  <c r="U379" i="10"/>
  <c r="P371" i="10"/>
  <c r="T384" i="10"/>
  <c r="R380" i="10"/>
  <c r="F381" i="10"/>
  <c r="X373" i="10"/>
  <c r="K382" i="10"/>
  <c r="T372" i="10"/>
  <c r="V371" i="10"/>
  <c r="E380" i="10"/>
  <c r="Z373" i="10"/>
  <c r="E372" i="10"/>
  <c r="K375" i="10"/>
  <c r="J382" i="10"/>
  <c r="E371" i="10"/>
  <c r="J383" i="10"/>
  <c r="O375" i="10"/>
  <c r="F380" i="10"/>
  <c r="N371" i="10"/>
  <c r="H378" i="10"/>
  <c r="U374" i="10"/>
  <c r="M377" i="10"/>
  <c r="F379" i="10"/>
  <c r="Y377" i="10"/>
  <c r="O381" i="10"/>
  <c r="D377" i="10"/>
  <c r="Y376" i="10"/>
  <c r="F383" i="10"/>
  <c r="N385" i="10"/>
  <c r="J390" i="10"/>
  <c r="S389" i="10"/>
  <c r="O390" i="10"/>
  <c r="R385" i="10"/>
  <c r="P390" i="10"/>
  <c r="P388" i="10"/>
  <c r="K387" i="10"/>
  <c r="AA392" i="10"/>
  <c r="Z390" i="10"/>
  <c r="D394" i="10"/>
  <c r="I397" i="10"/>
  <c r="G396" i="10"/>
  <c r="L397" i="10"/>
  <c r="K397" i="10"/>
  <c r="K390" i="10"/>
  <c r="V386" i="10"/>
  <c r="AA386" i="10"/>
  <c r="I389" i="10"/>
  <c r="L385" i="10"/>
  <c r="O389" i="10"/>
  <c r="P32" i="10"/>
  <c r="AA32" i="10"/>
  <c r="X32" i="10"/>
  <c r="V376" i="10"/>
  <c r="E377" i="10"/>
  <c r="D383" i="10"/>
  <c r="R376" i="10"/>
  <c r="X384" i="10"/>
  <c r="R374" i="10"/>
  <c r="J375" i="10"/>
  <c r="S383" i="10"/>
  <c r="J376" i="10"/>
  <c r="P380" i="10"/>
  <c r="F375" i="10"/>
  <c r="L371" i="10"/>
  <c r="M373" i="10"/>
  <c r="AA382" i="10"/>
  <c r="G371" i="10"/>
  <c r="O376" i="10"/>
  <c r="AA377" i="10"/>
  <c r="I377" i="10"/>
  <c r="L384" i="10"/>
  <c r="Z371" i="10"/>
  <c r="V377" i="10"/>
  <c r="O382" i="10"/>
  <c r="H381" i="10"/>
  <c r="D373" i="10"/>
  <c r="Z376" i="10"/>
  <c r="X377" i="10"/>
  <c r="O378" i="10"/>
  <c r="X371" i="10"/>
  <c r="X374" i="10"/>
  <c r="J374" i="10"/>
  <c r="J379" i="10"/>
  <c r="Y381" i="10"/>
  <c r="M381" i="10"/>
  <c r="G381" i="10"/>
  <c r="P381" i="10"/>
  <c r="T382" i="10"/>
  <c r="X379" i="10"/>
  <c r="T379" i="10"/>
  <c r="F373" i="10"/>
  <c r="S384" i="10"/>
  <c r="G374" i="10"/>
  <c r="M382" i="10"/>
  <c r="T388" i="10"/>
  <c r="T396" i="10"/>
  <c r="AA391" i="10"/>
  <c r="M393" i="10"/>
  <c r="Z389" i="10"/>
  <c r="M386" i="10"/>
  <c r="L391" i="10"/>
  <c r="E392" i="10"/>
  <c r="E397" i="10"/>
  <c r="P385" i="10"/>
  <c r="U390" i="10"/>
  <c r="M395" i="10"/>
  <c r="Z396" i="10"/>
  <c r="J386" i="10"/>
  <c r="V389" i="10"/>
  <c r="M389" i="10"/>
  <c r="G394" i="10"/>
  <c r="V388" i="10"/>
  <c r="M391" i="10"/>
  <c r="E393" i="10"/>
  <c r="V394" i="10"/>
  <c r="W84" i="10"/>
  <c r="O84" i="10"/>
  <c r="G84" i="10"/>
  <c r="W83" i="10"/>
  <c r="O83" i="10"/>
  <c r="G83" i="10"/>
  <c r="W82" i="10"/>
  <c r="O82" i="10"/>
  <c r="G82" i="10"/>
  <c r="W81" i="10"/>
  <c r="O81" i="10"/>
  <c r="G81" i="10"/>
  <c r="W80" i="10"/>
  <c r="O80" i="10"/>
  <c r="G80" i="10"/>
  <c r="W79" i="10"/>
  <c r="O79" i="10"/>
  <c r="G79" i="10"/>
  <c r="W78" i="10"/>
  <c r="I78" i="10"/>
  <c r="Q77" i="10"/>
  <c r="Y76" i="10"/>
  <c r="I76" i="10"/>
  <c r="Q75" i="10"/>
  <c r="Y74" i="10"/>
  <c r="I74" i="10"/>
  <c r="Q73" i="10"/>
  <c r="Y72" i="10"/>
  <c r="I72" i="10"/>
  <c r="Q71" i="10"/>
  <c r="U84" i="10"/>
  <c r="M84" i="10"/>
  <c r="E84" i="10"/>
  <c r="U83" i="10"/>
  <c r="M83" i="10"/>
  <c r="E83" i="10"/>
  <c r="U82" i="10"/>
  <c r="M82" i="10"/>
  <c r="E82" i="10"/>
  <c r="U81" i="10"/>
  <c r="M81" i="10"/>
  <c r="E81" i="10"/>
  <c r="U80" i="10"/>
  <c r="M80" i="10"/>
  <c r="E80" i="10"/>
  <c r="U79" i="10"/>
  <c r="M79" i="10"/>
  <c r="E79" i="10"/>
  <c r="U78" i="10"/>
  <c r="E78" i="10"/>
  <c r="M77" i="10"/>
  <c r="U76" i="10"/>
  <c r="E76" i="10"/>
  <c r="M75" i="10"/>
  <c r="U74" i="10"/>
  <c r="E74" i="10"/>
  <c r="M73" i="10"/>
  <c r="U72" i="10"/>
  <c r="E72" i="10"/>
  <c r="M71" i="10"/>
  <c r="AA84" i="10"/>
  <c r="K84" i="10"/>
  <c r="S83" i="10"/>
  <c r="AA82" i="10"/>
  <c r="K82" i="10"/>
  <c r="S81" i="10"/>
  <c r="AA80" i="10"/>
  <c r="K80" i="10"/>
  <c r="S79" i="10"/>
  <c r="AA78" i="10"/>
  <c r="Y77" i="10"/>
  <c r="Q76" i="10"/>
  <c r="Y75" i="10"/>
  <c r="Q74" i="10"/>
  <c r="Y73" i="10"/>
  <c r="Q72" i="10"/>
  <c r="Y71" i="10"/>
  <c r="I71" i="10"/>
  <c r="S84" i="10"/>
  <c r="AA83" i="10"/>
  <c r="K83" i="10"/>
  <c r="S82" i="10"/>
  <c r="AA81" i="10"/>
  <c r="K81" i="10"/>
  <c r="S80" i="10"/>
  <c r="AA79" i="10"/>
  <c r="K79" i="10"/>
  <c r="Q78" i="10"/>
  <c r="I77" i="10"/>
  <c r="I75" i="10"/>
  <c r="I73" i="10"/>
  <c r="Y84" i="10"/>
  <c r="Q84" i="10"/>
  <c r="I84" i="10"/>
  <c r="Y83" i="10"/>
  <c r="Q83" i="10"/>
  <c r="I83" i="10"/>
  <c r="Y82" i="10"/>
  <c r="Q82" i="10"/>
  <c r="I82" i="10"/>
  <c r="Y81" i="10"/>
  <c r="Q81" i="10"/>
  <c r="I81" i="10"/>
  <c r="Y80" i="10"/>
  <c r="Q80" i="10"/>
  <c r="I80" i="10"/>
  <c r="Y79" i="10"/>
  <c r="Q79" i="10"/>
  <c r="I79" i="10"/>
  <c r="Y78" i="10"/>
  <c r="M78" i="10"/>
  <c r="U77" i="10"/>
  <c r="E77" i="10"/>
  <c r="M76" i="10"/>
  <c r="U75" i="10"/>
  <c r="E75" i="10"/>
  <c r="M74" i="10"/>
  <c r="U73" i="10"/>
  <c r="E73" i="10"/>
  <c r="M72" i="10"/>
  <c r="U71" i="10"/>
  <c r="E71" i="10"/>
  <c r="X84" i="10"/>
  <c r="T84" i="10"/>
  <c r="P84" i="10"/>
  <c r="L84" i="10"/>
  <c r="H84" i="10"/>
  <c r="D84" i="10"/>
  <c r="X83" i="10"/>
  <c r="T83" i="10"/>
  <c r="P83" i="10"/>
  <c r="L83" i="10"/>
  <c r="H83" i="10"/>
  <c r="D83" i="10"/>
  <c r="X82" i="10"/>
  <c r="T82" i="10"/>
  <c r="P82" i="10"/>
  <c r="L82" i="10"/>
  <c r="H82" i="10"/>
  <c r="D82" i="10"/>
  <c r="X81" i="10"/>
  <c r="T81" i="10"/>
  <c r="P81" i="10"/>
  <c r="L81" i="10"/>
  <c r="H81" i="10"/>
  <c r="D81" i="10"/>
  <c r="X80" i="10"/>
  <c r="T80" i="10"/>
  <c r="P80" i="10"/>
  <c r="L80" i="10"/>
  <c r="H80" i="10"/>
  <c r="D80" i="10"/>
  <c r="X79" i="10"/>
  <c r="T79" i="10"/>
  <c r="P79" i="10"/>
  <c r="L79" i="10"/>
  <c r="H79" i="10"/>
  <c r="D79" i="10"/>
  <c r="X78" i="10"/>
  <c r="T78" i="10"/>
  <c r="P78" i="10"/>
  <c r="L78" i="10"/>
  <c r="H78" i="10"/>
  <c r="D78" i="10"/>
  <c r="X77" i="10"/>
  <c r="T77" i="10"/>
  <c r="P77" i="10"/>
  <c r="L77" i="10"/>
  <c r="H77" i="10"/>
  <c r="D77" i="10"/>
  <c r="X76" i="10"/>
  <c r="T76" i="10"/>
  <c r="P76" i="10"/>
  <c r="L76" i="10"/>
  <c r="H76" i="10"/>
  <c r="D76" i="10"/>
  <c r="X75" i="10"/>
  <c r="T75" i="10"/>
  <c r="P75" i="10"/>
  <c r="L75" i="10"/>
  <c r="H75" i="10"/>
  <c r="D75" i="10"/>
  <c r="X74" i="10"/>
  <c r="T74" i="10"/>
  <c r="P74" i="10"/>
  <c r="L74" i="10"/>
  <c r="H74" i="10"/>
  <c r="D74" i="10"/>
  <c r="X73" i="10"/>
  <c r="T73" i="10"/>
  <c r="P73" i="10"/>
  <c r="L73" i="10"/>
  <c r="H73" i="10"/>
  <c r="D73" i="10"/>
  <c r="X72" i="10"/>
  <c r="T72" i="10"/>
  <c r="P72" i="10"/>
  <c r="L72" i="10"/>
  <c r="H72" i="10"/>
  <c r="D72" i="10"/>
  <c r="X71" i="10"/>
  <c r="T71" i="10"/>
  <c r="P71" i="10"/>
  <c r="L71" i="10"/>
  <c r="H71" i="10"/>
  <c r="D71" i="10"/>
  <c r="S78" i="10"/>
  <c r="O78" i="10"/>
  <c r="K78" i="10"/>
  <c r="G78" i="10"/>
  <c r="AA77" i="10"/>
  <c r="W77" i="10"/>
  <c r="S77" i="10"/>
  <c r="O77" i="10"/>
  <c r="K77" i="10"/>
  <c r="G77" i="10"/>
  <c r="AA76" i="10"/>
  <c r="W76" i="10"/>
  <c r="S76" i="10"/>
  <c r="O76" i="10"/>
  <c r="K76" i="10"/>
  <c r="G76" i="10"/>
  <c r="AA75" i="10"/>
  <c r="W75" i="10"/>
  <c r="S75" i="10"/>
  <c r="O75" i="10"/>
  <c r="K75" i="10"/>
  <c r="G75" i="10"/>
  <c r="AA74" i="10"/>
  <c r="W74" i="10"/>
  <c r="S74" i="10"/>
  <c r="O74" i="10"/>
  <c r="K74" i="10"/>
  <c r="G74" i="10"/>
  <c r="AA73" i="10"/>
  <c r="W73" i="10"/>
  <c r="S73" i="10"/>
  <c r="O73" i="10"/>
  <c r="K73" i="10"/>
  <c r="G73" i="10"/>
  <c r="AA72" i="10"/>
  <c r="W72" i="10"/>
  <c r="S72" i="10"/>
  <c r="O72" i="10"/>
  <c r="K72" i="10"/>
  <c r="G72" i="10"/>
  <c r="AA71" i="10"/>
  <c r="W71" i="10"/>
  <c r="S71" i="10"/>
  <c r="O71" i="10"/>
  <c r="K71" i="10"/>
  <c r="G71" i="10"/>
  <c r="Z84" i="10"/>
  <c r="V84" i="10"/>
  <c r="R84" i="10"/>
  <c r="N84" i="10"/>
  <c r="J84" i="10"/>
  <c r="F84" i="10"/>
  <c r="Z83" i="10"/>
  <c r="V83" i="10"/>
  <c r="R83" i="10"/>
  <c r="N83" i="10"/>
  <c r="J83" i="10"/>
  <c r="F83" i="10"/>
  <c r="Z82" i="10"/>
  <c r="V82" i="10"/>
  <c r="R82" i="10"/>
  <c r="N82" i="10"/>
  <c r="J82" i="10"/>
  <c r="F82" i="10"/>
  <c r="Z81" i="10"/>
  <c r="V81" i="10"/>
  <c r="R81" i="10"/>
  <c r="N81" i="10"/>
  <c r="J81" i="10"/>
  <c r="F81" i="10"/>
  <c r="Z80" i="10"/>
  <c r="V80" i="10"/>
  <c r="R80" i="10"/>
  <c r="N80" i="10"/>
  <c r="J80" i="10"/>
  <c r="F80" i="10"/>
  <c r="Z79" i="10"/>
  <c r="V79" i="10"/>
  <c r="R79" i="10"/>
  <c r="N79" i="10"/>
  <c r="J79" i="10"/>
  <c r="F79" i="10"/>
  <c r="Z78" i="10"/>
  <c r="V78" i="10"/>
  <c r="R78" i="10"/>
  <c r="N78" i="10"/>
  <c r="J78" i="10"/>
  <c r="F78" i="10"/>
  <c r="Z77" i="10"/>
  <c r="V77" i="10"/>
  <c r="R77" i="10"/>
  <c r="N77" i="10"/>
  <c r="J77" i="10"/>
  <c r="F77" i="10"/>
  <c r="Z76" i="10"/>
  <c r="V76" i="10"/>
  <c r="R76" i="10"/>
  <c r="N76" i="10"/>
  <c r="J76" i="10"/>
  <c r="F76" i="10"/>
  <c r="Z75" i="10"/>
  <c r="V75" i="10"/>
  <c r="R75" i="10"/>
  <c r="N75" i="10"/>
  <c r="J75" i="10"/>
  <c r="F75" i="10"/>
  <c r="Z74" i="10"/>
  <c r="V74" i="10"/>
  <c r="R74" i="10"/>
  <c r="N74" i="10"/>
  <c r="J74" i="10"/>
  <c r="F74" i="10"/>
  <c r="Z73" i="10"/>
  <c r="V73" i="10"/>
  <c r="R73" i="10"/>
  <c r="N73" i="10"/>
  <c r="J73" i="10"/>
  <c r="F73" i="10"/>
  <c r="Z72" i="10"/>
  <c r="V72" i="10"/>
  <c r="R72" i="10"/>
  <c r="N72" i="10"/>
  <c r="J72" i="10"/>
  <c r="F72" i="10"/>
  <c r="Z71" i="10"/>
  <c r="V71" i="10"/>
  <c r="R71" i="10"/>
  <c r="N71" i="10"/>
  <c r="J71" i="10"/>
  <c r="E4" i="21" a="1"/>
  <c r="BA19" i="11"/>
  <c r="I19" i="11"/>
  <c r="JC18" i="11"/>
  <c r="AZ19" i="11"/>
  <c r="AH20" i="11"/>
  <c r="DA20" i="11"/>
  <c r="CN19" i="11"/>
  <c r="KG20" i="11"/>
  <c r="H19" i="11"/>
  <c r="FX18" i="11"/>
  <c r="AI20" i="11"/>
  <c r="FY19" i="11"/>
  <c r="AY20" i="11"/>
  <c r="GB19" i="11"/>
  <c r="IC18" i="11"/>
  <c r="HJ18" i="11"/>
  <c r="GW18" i="11"/>
  <c r="IZ18" i="11"/>
  <c r="CA20" i="11"/>
  <c r="BF18" i="11"/>
  <c r="IA18" i="11"/>
  <c r="GH20" i="11"/>
  <c r="Y19" i="11"/>
  <c r="HW20" i="11"/>
  <c r="IO18" i="11"/>
  <c r="CO19" i="11"/>
  <c r="HZ19" i="11"/>
  <c r="GE19" i="11"/>
  <c r="IF19" i="11"/>
  <c r="BI18" i="11"/>
  <c r="IP19" i="11"/>
  <c r="CV20" i="11"/>
  <c r="BT18" i="11"/>
  <c r="CQ20" i="11"/>
  <c r="DR20" i="11"/>
  <c r="AH19" i="11"/>
  <c r="DG20" i="11"/>
  <c r="KC20" i="11"/>
  <c r="JT19" i="11"/>
  <c r="HM19" i="11"/>
  <c r="JF20" i="11"/>
  <c r="BN20" i="11"/>
  <c r="CR19" i="11"/>
  <c r="DU19" i="11"/>
  <c r="FL20" i="11"/>
  <c r="BW18" i="11"/>
  <c r="GS18" i="11"/>
  <c r="JM20" i="11"/>
  <c r="CI19" i="11"/>
  <c r="DD19" i="11"/>
  <c r="HF19" i="11"/>
  <c r="IR19" i="11"/>
  <c r="JD19" i="11"/>
  <c r="DB19" i="11"/>
  <c r="JZ19" i="11"/>
  <c r="EH19" i="11"/>
  <c r="CV19" i="11"/>
  <c r="EU20" i="11"/>
  <c r="Y18" i="11"/>
  <c r="BK19" i="11"/>
  <c r="CG19" i="11"/>
  <c r="AS20" i="11"/>
  <c r="CT18" i="11"/>
  <c r="EY20" i="11"/>
  <c r="AX18" i="11"/>
  <c r="J19" i="11"/>
  <c r="HF18" i="11"/>
  <c r="CD18" i="11"/>
  <c r="GH19" i="11"/>
  <c r="KN18" i="11"/>
  <c r="GK18" i="11"/>
  <c r="HI18" i="11"/>
  <c r="JK18" i="11"/>
  <c r="BQ18" i="11"/>
  <c r="CX20" i="11"/>
  <c r="IN20" i="11"/>
  <c r="KH18" i="11"/>
  <c r="IM20" i="11"/>
  <c r="ET18" i="11"/>
  <c r="CZ20" i="11"/>
  <c r="CC18" i="11"/>
  <c r="JS18" i="11"/>
  <c r="DO20" i="11"/>
  <c r="BA18" i="11"/>
  <c r="EJ19" i="11"/>
  <c r="BO20" i="11"/>
  <c r="EE18" i="11"/>
  <c r="GV18" i="11"/>
  <c r="HK18" i="11"/>
  <c r="U20" i="11"/>
  <c r="FC18" i="11"/>
  <c r="EU19" i="11"/>
  <c r="BK20" i="11"/>
  <c r="AC18" i="11"/>
  <c r="BS18" i="11"/>
  <c r="JI19" i="11"/>
  <c r="BT19" i="11"/>
  <c r="HK20" i="11"/>
  <c r="DY18" i="11"/>
  <c r="AZ18" i="11"/>
  <c r="JL18" i="11"/>
  <c r="FC20" i="11"/>
  <c r="HW19" i="11"/>
  <c r="CB18" i="11"/>
  <c r="CS20" i="11"/>
  <c r="CU18" i="11"/>
  <c r="DK18" i="11"/>
  <c r="JO20" i="11"/>
  <c r="FU20" i="11"/>
  <c r="JD18" i="11"/>
  <c r="GD20" i="11"/>
  <c r="GG20" i="11"/>
  <c r="BA20" i="11"/>
  <c r="CG20" i="11"/>
  <c r="HZ20" i="11"/>
  <c r="JK20" i="11"/>
  <c r="BY20" i="11"/>
  <c r="AD19" i="11"/>
  <c r="KP20" i="11"/>
  <c r="FC19" i="11"/>
  <c r="JG20" i="11"/>
  <c r="BD20" i="11"/>
  <c r="EZ19" i="11"/>
  <c r="FS19" i="11"/>
  <c r="IV19" i="11"/>
  <c r="AG19" i="11"/>
  <c r="BB19" i="11"/>
  <c r="CM20" i="11"/>
  <c r="CE18" i="11"/>
  <c r="HU18" i="11"/>
  <c r="DM18" i="11"/>
  <c r="EL20" i="11"/>
  <c r="IP20" i="11"/>
  <c r="ER20" i="11"/>
  <c r="KG18" i="11"/>
  <c r="IT18" i="11"/>
  <c r="CQ19" i="11"/>
  <c r="FP20" i="11"/>
  <c r="O19" i="11"/>
  <c r="BJ18" i="11"/>
  <c r="BM19" i="11"/>
  <c r="HF20" i="11"/>
  <c r="C19" i="11"/>
  <c r="AC20" i="11"/>
  <c r="CV18" i="11"/>
  <c r="FJ20" i="11"/>
  <c r="GA19" i="11"/>
  <c r="GM19" i="11"/>
  <c r="AS19" i="11"/>
  <c r="HL18" i="11"/>
  <c r="AV18" i="11"/>
  <c r="U18" i="11"/>
  <c r="IY19" i="11"/>
  <c r="GF19" i="11"/>
  <c r="EK18" i="11"/>
  <c r="FG19" i="11"/>
  <c r="HO20" i="11"/>
  <c r="AB20" i="11"/>
  <c r="HQ18" i="11"/>
  <c r="JJ19" i="11"/>
  <c r="DN19" i="11"/>
  <c r="BE19" i="11"/>
  <c r="CE20" i="11"/>
  <c r="DM19" i="11"/>
  <c r="BK18" i="11"/>
  <c r="KP18" i="11"/>
  <c r="HA19" i="11"/>
  <c r="FF18" i="11"/>
  <c r="BJ20" i="11"/>
  <c r="DO18" i="11"/>
  <c r="BP18" i="11"/>
  <c r="CF19" i="11"/>
  <c r="HE18" i="11"/>
  <c r="BV18" i="11"/>
  <c r="E19" i="11"/>
  <c r="FP18" i="11"/>
  <c r="BL20" i="11"/>
  <c r="DI19" i="11"/>
  <c r="FR19" i="11"/>
  <c r="G20" i="11"/>
  <c r="CU19" i="11"/>
  <c r="AX20" i="11"/>
  <c r="AP19" i="11"/>
  <c r="HH20" i="11"/>
  <c r="HH19" i="11"/>
  <c r="H18" i="11"/>
  <c r="CW18" i="11"/>
  <c r="HU20" i="11"/>
  <c r="DL19" i="11"/>
  <c r="CK20" i="11"/>
  <c r="HT19" i="11"/>
  <c r="EP18" i="11"/>
  <c r="CH20" i="11"/>
  <c r="FU19" i="11"/>
  <c r="CY19" i="11"/>
  <c r="FB20" i="11"/>
  <c r="P19" i="11"/>
  <c r="BZ19" i="11"/>
  <c r="EW18" i="11"/>
  <c r="IE18" i="11"/>
  <c r="IS19" i="11"/>
  <c r="HO18" i="11"/>
  <c r="JR19" i="11"/>
  <c r="GL18" i="11"/>
  <c r="ER18" i="11"/>
  <c r="IH20" i="11"/>
  <c r="GU18" i="11"/>
  <c r="W20" i="11"/>
  <c r="JZ18" i="11"/>
  <c r="JA20" i="11"/>
  <c r="BW19" i="11"/>
  <c r="CX18" i="11"/>
  <c r="CJ20" i="11"/>
  <c r="HH18" i="11"/>
  <c r="JV19" i="11"/>
  <c r="IK20" i="11"/>
  <c r="DW19" i="11"/>
  <c r="FV20" i="11"/>
  <c r="JS20" i="11"/>
  <c r="AA20" i="11"/>
  <c r="KK19" i="11"/>
  <c r="HP18" i="11"/>
  <c r="CZ18" i="11"/>
  <c r="FD18" i="11"/>
  <c r="I20" i="11"/>
  <c r="EQ19" i="11"/>
  <c r="AU18" i="11"/>
  <c r="S19" i="11"/>
  <c r="HL20" i="11"/>
  <c r="GS19" i="11"/>
  <c r="HD20" i="11"/>
  <c r="DS19" i="11"/>
  <c r="EB20" i="11"/>
  <c r="BU19" i="11"/>
  <c r="GG18" i="11"/>
  <c r="CC19" i="11"/>
  <c r="EW20" i="11"/>
  <c r="IZ19" i="11"/>
  <c r="GY19" i="11"/>
  <c r="FE20" i="11"/>
  <c r="IN19" i="11"/>
  <c r="R20" i="11"/>
  <c r="FH20" i="11"/>
  <c r="FW18" i="11"/>
  <c r="K18" i="11"/>
  <c r="GT18" i="11"/>
  <c r="HA20" i="11"/>
  <c r="II18" i="11"/>
  <c r="BN19" i="11"/>
  <c r="DK20" i="11"/>
  <c r="DF20" i="11"/>
  <c r="AN20" i="11"/>
  <c r="DN20" i="11"/>
  <c r="HT18" i="11"/>
  <c r="JF19" i="11"/>
  <c r="JI18" i="11"/>
  <c r="AL19" i="11"/>
  <c r="DU18" i="11"/>
  <c r="FT18" i="11"/>
  <c r="FE19" i="11"/>
  <c r="FM18" i="11"/>
  <c r="IN18" i="11"/>
  <c r="JT18" i="11"/>
  <c r="AK18" i="11"/>
  <c r="BF19" i="11"/>
  <c r="GD19" i="11"/>
  <c r="HY20" i="11"/>
  <c r="AQ20" i="11"/>
  <c r="K19" i="11"/>
  <c r="IW19" i="11"/>
  <c r="JG19" i="11"/>
  <c r="DT18" i="11"/>
  <c r="JM19" i="11"/>
  <c r="HY18" i="11"/>
  <c r="J18" i="11"/>
  <c r="CC20" i="11"/>
  <c r="IC20" i="11"/>
  <c r="DC19" i="11"/>
  <c r="IC19" i="11"/>
  <c r="IJ19" i="11"/>
  <c r="KC19" i="11"/>
  <c r="DD18" i="11"/>
  <c r="ES19" i="11"/>
  <c r="Z19" i="11"/>
  <c r="EC20" i="11"/>
  <c r="BS20" i="11"/>
  <c r="BD19" i="11"/>
  <c r="GE18" i="11"/>
  <c r="DQ19" i="11"/>
  <c r="II19" i="11"/>
  <c r="DC18" i="11"/>
  <c r="GW19" i="11"/>
  <c r="AJ19" i="11"/>
  <c r="IB19" i="11"/>
  <c r="DW18" i="11"/>
  <c r="JO19" i="11"/>
  <c r="HV20" i="11"/>
  <c r="ED18" i="11"/>
  <c r="AN19" i="11"/>
  <c r="IJ20" i="11"/>
  <c r="HS20" i="11"/>
  <c r="L20" i="11"/>
  <c r="GD18" i="11"/>
  <c r="BJ19" i="11"/>
  <c r="AJ18" i="11"/>
  <c r="EA18" i="11"/>
  <c r="W18" i="11"/>
  <c r="AC19" i="11"/>
  <c r="DZ18" i="11"/>
  <c r="HT20" i="11"/>
  <c r="JA19" i="11"/>
  <c r="FJ19" i="11"/>
  <c r="IM19" i="11"/>
  <c r="GQ18" i="11"/>
  <c r="DG19" i="11"/>
  <c r="EM20" i="11"/>
  <c r="AP20" i="11"/>
  <c r="JU19" i="11"/>
  <c r="AU19" i="11"/>
  <c r="JR18" i="11"/>
  <c r="IW18" i="11"/>
  <c r="AM20" i="11"/>
  <c r="KD19" i="11"/>
  <c r="KI20" i="11"/>
  <c r="BT20" i="11"/>
  <c r="AI19" i="11"/>
  <c r="Q19" i="11"/>
  <c r="EX20" i="11"/>
  <c r="GV20" i="11"/>
  <c r="CL20" i="11"/>
  <c r="GP20" i="11"/>
  <c r="GN18" i="11"/>
  <c r="GJ19" i="11"/>
  <c r="KE19" i="11"/>
  <c r="G19" i="11"/>
  <c r="CN18" i="11"/>
  <c r="HQ20" i="11"/>
  <c r="GR18" i="11"/>
  <c r="AV20" i="11"/>
  <c r="AE20" i="11"/>
  <c r="DS20" i="11"/>
  <c r="JH20" i="11"/>
  <c r="IH19" i="11"/>
  <c r="BQ19" i="11"/>
  <c r="FT20" i="11"/>
  <c r="FV18" i="11"/>
  <c r="FR18" i="11"/>
  <c r="AB19" i="11"/>
  <c r="KN20" i="11"/>
  <c r="CY18" i="11"/>
  <c r="EA20" i="11"/>
  <c r="DE19" i="11"/>
  <c r="IQ20" i="11"/>
  <c r="JP19" i="11"/>
  <c r="GQ20" i="11"/>
  <c r="EL18" i="11"/>
  <c r="GA18" i="11"/>
  <c r="HN19" i="11"/>
  <c r="JW19" i="11"/>
  <c r="DV20" i="11"/>
  <c r="JQ20" i="11"/>
  <c r="FP19" i="11"/>
  <c r="IR18" i="11"/>
  <c r="HW18" i="11"/>
  <c r="KN19" i="11"/>
  <c r="JX20" i="11"/>
  <c r="AX19" i="11"/>
  <c r="BH20" i="11"/>
  <c r="BE20" i="11"/>
  <c r="HS18" i="11"/>
  <c r="ET20" i="11"/>
  <c r="EY19" i="11"/>
  <c r="KH20" i="11"/>
  <c r="FS18" i="11"/>
  <c r="GG19" i="11"/>
  <c r="DZ20" i="11"/>
  <c r="JB20" i="11"/>
  <c r="AF19" i="11"/>
  <c r="HP19" i="11"/>
  <c r="IO20" i="11"/>
  <c r="FT19" i="11"/>
  <c r="BM18" i="11"/>
  <c r="P20" i="11"/>
  <c r="CD20" i="11"/>
  <c r="DG18" i="11"/>
  <c r="IB18" i="11"/>
  <c r="JP20" i="11"/>
  <c r="EC19" i="11"/>
  <c r="IB20" i="11"/>
  <c r="FW20" i="11"/>
  <c r="KF19" i="11"/>
  <c r="JJ20" i="11"/>
  <c r="IT19" i="11"/>
  <c r="AD20" i="11"/>
  <c r="EV18" i="11"/>
  <c r="CI18" i="11"/>
  <c r="FH19" i="11"/>
  <c r="KL20" i="11"/>
  <c r="FF20" i="11"/>
  <c r="M20" i="11"/>
  <c r="X20" i="11"/>
  <c r="JB18" i="11"/>
  <c r="KO18" i="11"/>
  <c r="JT20" i="11"/>
  <c r="HG19" i="11"/>
  <c r="BI20" i="11"/>
  <c r="X18" i="11"/>
  <c r="GU20" i="11"/>
  <c r="P18" i="11"/>
  <c r="BR18" i="11"/>
  <c r="DH18" i="11"/>
  <c r="JR20" i="11"/>
  <c r="ID18" i="11"/>
  <c r="HO19" i="11"/>
  <c r="BY18" i="11"/>
  <c r="IQ18" i="11"/>
  <c r="KO20" i="11"/>
  <c r="JE20" i="11"/>
  <c r="DL20" i="11"/>
  <c r="DH19" i="11"/>
  <c r="V18" i="11"/>
  <c r="IV18" i="11"/>
  <c r="IA20" i="11"/>
  <c r="CF20" i="11"/>
  <c r="JQ19" i="11"/>
  <c r="FO20" i="11"/>
  <c r="AZ20" i="11"/>
  <c r="AA18" i="11"/>
  <c r="KD20" i="11"/>
  <c r="BQ20" i="11"/>
  <c r="DI18" i="11"/>
  <c r="IW20" i="11"/>
  <c r="BW20" i="11"/>
  <c r="JU20" i="11"/>
  <c r="GO18" i="11"/>
  <c r="KE20" i="11"/>
  <c r="FN20" i="11"/>
  <c r="KF18" i="11"/>
  <c r="X19" i="11"/>
  <c r="BC19" i="11"/>
  <c r="AM18" i="11"/>
  <c r="GB18" i="11"/>
  <c r="FX20" i="11"/>
  <c r="EG18" i="11"/>
  <c r="EV19" i="11"/>
  <c r="GY20" i="11"/>
  <c r="FQ19" i="11"/>
  <c r="CX19" i="11"/>
  <c r="HZ18" i="11"/>
  <c r="AL18" i="11"/>
  <c r="DP18" i="11"/>
  <c r="BR20" i="11"/>
  <c r="CQ18" i="11"/>
  <c r="EK19" i="11"/>
  <c r="EH18" i="11"/>
  <c r="FM19" i="11"/>
  <c r="EJ18" i="11"/>
  <c r="FQ20" i="11"/>
  <c r="GO19" i="11"/>
  <c r="EH20" i="11"/>
  <c r="E20" i="11"/>
  <c r="IX18" i="11"/>
  <c r="DM20" i="11"/>
  <c r="JV18" i="11"/>
  <c r="GI20" i="11"/>
  <c r="T20" i="11"/>
  <c r="M19" i="11"/>
  <c r="GT19" i="11"/>
  <c r="E18" i="11"/>
  <c r="HN18" i="11"/>
  <c r="GN19" i="11"/>
  <c r="GL19" i="11"/>
  <c r="JN19" i="11"/>
  <c r="BV19" i="11"/>
  <c r="CY20" i="11"/>
  <c r="GC19" i="11"/>
  <c r="CW20" i="11"/>
  <c r="CM19" i="11"/>
  <c r="H20" i="11"/>
  <c r="FK18" i="11"/>
  <c r="DQ20" i="11"/>
  <c r="IZ20" i="11"/>
  <c r="AY19" i="11"/>
  <c r="FK19" i="11"/>
  <c r="GL20" i="11"/>
  <c r="GF18" i="11"/>
  <c r="AT19" i="11"/>
  <c r="CD19" i="11"/>
  <c r="CF18" i="11"/>
  <c r="HR19" i="11"/>
  <c r="GE20" i="11"/>
  <c r="HM18" i="11"/>
  <c r="BC18" i="11"/>
  <c r="JP18" i="11"/>
  <c r="AA19" i="11"/>
  <c r="EX18" i="11"/>
  <c r="GK20" i="11"/>
  <c r="HA18" i="11"/>
  <c r="HB19" i="11"/>
  <c r="HN20" i="11"/>
  <c r="KD18" i="11"/>
  <c r="DV18" i="11"/>
  <c r="JQ18" i="11"/>
  <c r="GZ20" i="11"/>
  <c r="AB18" i="11"/>
  <c r="CL19" i="11"/>
  <c r="DH20" i="11"/>
  <c r="IF18" i="11"/>
  <c r="JL19" i="11"/>
  <c r="EF18" i="11"/>
  <c r="W19" i="11"/>
  <c r="DK19" i="11"/>
  <c r="JG18" i="11"/>
  <c r="F18" i="11"/>
  <c r="DR18" i="11"/>
  <c r="N19" i="11"/>
  <c r="ED19" i="11"/>
  <c r="DA19" i="11"/>
  <c r="EE19" i="11"/>
  <c r="F20" i="11"/>
  <c r="EY18" i="11"/>
  <c r="CR20" i="11"/>
  <c r="IJ18" i="11"/>
  <c r="V19" i="11"/>
  <c r="KB19" i="11"/>
  <c r="KM20" i="11"/>
  <c r="EL19" i="11"/>
  <c r="AL20" i="11"/>
  <c r="BO18" i="11"/>
  <c r="N18" i="11"/>
  <c r="GJ18" i="11"/>
  <c r="DD20" i="11"/>
  <c r="GZ19" i="11"/>
  <c r="AW20" i="11"/>
  <c r="EQ18" i="11"/>
  <c r="JS19" i="11"/>
  <c r="IF20" i="11"/>
  <c r="BL18" i="11"/>
  <c r="AS18" i="11"/>
  <c r="DI20" i="11"/>
  <c r="HY19" i="11"/>
  <c r="AR19" i="11"/>
  <c r="KL18" i="11"/>
  <c r="HI20" i="11"/>
  <c r="BS19" i="11"/>
  <c r="AH18" i="11"/>
  <c r="EN18" i="11"/>
  <c r="DE18" i="11"/>
  <c r="FO19" i="11"/>
  <c r="EF20" i="11"/>
  <c r="FZ19" i="11"/>
  <c r="CK18" i="11"/>
  <c r="JX19" i="11"/>
  <c r="GK19" i="11"/>
  <c r="BF20" i="11"/>
  <c r="CZ19" i="11"/>
  <c r="AY18" i="11"/>
  <c r="FH18" i="11"/>
  <c r="DF19" i="11"/>
  <c r="KP19" i="11"/>
  <c r="GM20" i="11"/>
  <c r="G18" i="11"/>
  <c r="EC18" i="11"/>
  <c r="J20" i="11"/>
  <c r="FB19" i="11"/>
  <c r="CR18" i="11"/>
  <c r="CO20" i="11"/>
  <c r="U19" i="11"/>
  <c r="DV19" i="11"/>
  <c r="IX19" i="11"/>
  <c r="IY18" i="11"/>
  <c r="JF18" i="11"/>
  <c r="DJ19" i="11"/>
  <c r="KB18" i="11"/>
  <c r="AR20" i="11"/>
  <c r="JH19" i="11"/>
  <c r="BR19" i="11"/>
  <c r="GV19" i="11"/>
  <c r="GW20" i="11"/>
  <c r="CT20" i="11"/>
  <c r="EB18" i="11"/>
  <c r="JH18" i="11"/>
  <c r="C18" i="11"/>
  <c r="KK18" i="11"/>
  <c r="IS20" i="11"/>
  <c r="DF18" i="11"/>
  <c r="S18" i="11"/>
  <c r="EI18" i="11"/>
  <c r="CP18" i="11"/>
  <c r="GR19" i="11"/>
  <c r="KK20" i="11"/>
  <c r="IU18" i="11"/>
  <c r="Q18" i="11"/>
  <c r="FE18" i="11"/>
  <c r="FY18" i="11"/>
  <c r="JN18" i="11"/>
  <c r="CP20" i="11"/>
  <c r="EO19" i="11"/>
  <c r="S20" i="11"/>
  <c r="GM18" i="11"/>
  <c r="DX18" i="11"/>
  <c r="DB20" i="11"/>
  <c r="CB19" i="11"/>
  <c r="HB20" i="11"/>
  <c r="HU19" i="11"/>
  <c r="CG18" i="11"/>
  <c r="IG19" i="11"/>
  <c r="IA19" i="11"/>
  <c r="FU18" i="11"/>
  <c r="GX20" i="11"/>
  <c r="HI19" i="11"/>
  <c r="HD18" i="11"/>
  <c r="KF20" i="11"/>
  <c r="GI19" i="11"/>
  <c r="AO20" i="11"/>
  <c r="HM20" i="11"/>
  <c r="EV20" i="11"/>
  <c r="BV20" i="11"/>
  <c r="GC18" i="11"/>
  <c r="ID20" i="11"/>
  <c r="EG20" i="11"/>
  <c r="II20" i="11"/>
  <c r="AI18" i="11"/>
  <c r="FX19" i="11"/>
  <c r="EP20" i="11"/>
  <c r="IR20" i="11"/>
  <c r="KA20" i="11"/>
  <c r="HE20" i="11"/>
  <c r="IE20" i="11"/>
  <c r="JZ20" i="11"/>
  <c r="HP20" i="11"/>
  <c r="HE19" i="11"/>
  <c r="JC20" i="11"/>
  <c r="GP19" i="11"/>
  <c r="CJ19" i="11"/>
  <c r="CO18" i="11"/>
  <c r="IX20" i="11"/>
  <c r="IY20" i="11"/>
  <c r="BD18" i="11"/>
  <c r="FI19" i="11"/>
  <c r="GA20" i="11"/>
  <c r="HC20" i="11"/>
  <c r="BU18" i="11"/>
  <c r="AF20" i="11"/>
  <c r="EP19" i="11"/>
  <c r="GF20" i="11"/>
  <c r="FV19" i="11"/>
  <c r="AE19" i="11"/>
  <c r="D20" i="11"/>
  <c r="HX20" i="11"/>
  <c r="KA19" i="11"/>
  <c r="JJ18" i="11"/>
  <c r="EI20" i="11"/>
  <c r="IU20" i="11"/>
  <c r="D19" i="11"/>
  <c r="KH19" i="11"/>
  <c r="AO19" i="11"/>
  <c r="AK19" i="11"/>
  <c r="IG20" i="11"/>
  <c r="EE20" i="11"/>
  <c r="GB20" i="11"/>
  <c r="V20" i="11"/>
  <c r="BG18" i="11"/>
  <c r="BG20" i="11"/>
  <c r="IU19" i="11"/>
  <c r="CI20" i="11"/>
  <c r="AO18" i="11"/>
  <c r="AG18" i="11"/>
  <c r="CL18" i="11"/>
  <c r="KM18" i="11"/>
  <c r="AK20" i="11"/>
  <c r="HV19" i="11"/>
  <c r="EI19" i="11"/>
  <c r="IH18" i="11"/>
  <c r="EW19" i="11"/>
  <c r="DR19" i="11"/>
  <c r="V374" i="10"/>
  <c r="K384" i="10"/>
  <c r="S381" i="10"/>
  <c r="E376" i="10"/>
  <c r="W381" i="10"/>
  <c r="E375" i="10"/>
  <c r="X378" i="10"/>
  <c r="W383" i="10"/>
  <c r="L373" i="10"/>
  <c r="F378" i="10"/>
  <c r="I381" i="10"/>
  <c r="U383" i="10"/>
  <c r="N377" i="10"/>
  <c r="S373" i="10"/>
  <c r="M375" i="10"/>
  <c r="I372" i="10"/>
  <c r="Z375" i="10"/>
  <c r="H380" i="10"/>
  <c r="I384" i="10"/>
  <c r="Y379" i="10"/>
  <c r="O373" i="10"/>
  <c r="L382" i="10"/>
  <c r="T378" i="10"/>
  <c r="R375" i="10"/>
  <c r="L374" i="10"/>
  <c r="N373" i="10"/>
  <c r="L379" i="10"/>
  <c r="V384" i="10"/>
  <c r="G384" i="10"/>
  <c r="L380" i="10"/>
  <c r="K374" i="10"/>
  <c r="P373" i="10"/>
  <c r="U375" i="10"/>
  <c r="I375" i="10"/>
  <c r="Z380" i="10"/>
  <c r="W382" i="10"/>
  <c r="D379" i="10"/>
  <c r="I383" i="10"/>
  <c r="K376" i="10"/>
  <c r="AA373" i="10"/>
  <c r="P384" i="10"/>
  <c r="Q375" i="10"/>
  <c r="M371" i="10"/>
  <c r="W380" i="10"/>
  <c r="AA384" i="10"/>
  <c r="R372" i="10"/>
  <c r="AA376" i="10"/>
  <c r="I376" i="10"/>
  <c r="K380" i="10"/>
  <c r="AA380" i="10"/>
  <c r="Q380" i="10"/>
  <c r="G373" i="10"/>
  <c r="Y374" i="10"/>
  <c r="I378" i="10"/>
  <c r="S379" i="10"/>
  <c r="Z377" i="10"/>
  <c r="U372" i="10"/>
  <c r="N384" i="10"/>
  <c r="T376" i="10"/>
  <c r="I379" i="10"/>
  <c r="T373" i="10"/>
  <c r="F376" i="10"/>
  <c r="J377" i="10"/>
  <c r="AA379" i="10"/>
  <c r="R381" i="10"/>
  <c r="AA374" i="10"/>
  <c r="R378" i="10"/>
  <c r="O379" i="10"/>
  <c r="T383" i="10"/>
  <c r="V378" i="10"/>
  <c r="G378" i="10"/>
  <c r="J373" i="10"/>
  <c r="E379" i="10"/>
  <c r="D375" i="10"/>
  <c r="D372" i="10"/>
  <c r="Q374" i="10"/>
  <c r="G380" i="10"/>
  <c r="H375" i="10"/>
  <c r="I373" i="10"/>
  <c r="V381" i="10"/>
  <c r="H376" i="10"/>
  <c r="F384" i="10"/>
  <c r="Z384" i="10"/>
  <c r="X383" i="10"/>
  <c r="AA395" i="10"/>
  <c r="Y392" i="10"/>
  <c r="O396" i="10"/>
  <c r="U397" i="10"/>
  <c r="O394" i="10"/>
  <c r="P389" i="10"/>
  <c r="U385" i="10"/>
  <c r="K391" i="10"/>
  <c r="Z387" i="10"/>
  <c r="R388" i="10"/>
  <c r="T398" i="10"/>
  <c r="R390" i="10"/>
  <c r="P394" i="10"/>
  <c r="U389" i="10"/>
  <c r="AA398" i="10"/>
  <c r="U387" i="10"/>
  <c r="P398" i="10"/>
  <c r="R395" i="10"/>
  <c r="X390" i="10"/>
  <c r="V392" i="10"/>
  <c r="H393" i="10"/>
  <c r="N388" i="10"/>
  <c r="E395" i="10"/>
  <c r="E398" i="10"/>
  <c r="K386" i="10"/>
  <c r="Z391" i="10"/>
  <c r="S392" i="10"/>
  <c r="F392" i="10"/>
  <c r="R392" i="10"/>
  <c r="L393" i="10"/>
  <c r="M392" i="10"/>
  <c r="Y393" i="10"/>
  <c r="S398" i="10"/>
  <c r="W391" i="10"/>
  <c r="V398" i="10"/>
  <c r="X393" i="10"/>
  <c r="AA396" i="10"/>
  <c r="N395" i="10"/>
  <c r="Q391" i="10"/>
  <c r="Y388" i="10"/>
  <c r="N390" i="10"/>
  <c r="R397" i="10"/>
  <c r="O391" i="10"/>
  <c r="AA385" i="10"/>
  <c r="Z392" i="10"/>
  <c r="D385" i="10"/>
  <c r="F391" i="10"/>
  <c r="P386" i="10"/>
  <c r="D398" i="10"/>
  <c r="Q395" i="10"/>
  <c r="D391" i="10"/>
  <c r="W394" i="10"/>
  <c r="O398" i="10"/>
  <c r="S385" i="10"/>
  <c r="Z386" i="10"/>
  <c r="D386" i="10"/>
  <c r="R386" i="10"/>
  <c r="P393" i="10"/>
  <c r="L395" i="10"/>
  <c r="D387" i="10"/>
  <c r="W385" i="10"/>
  <c r="M396" i="10"/>
  <c r="E389" i="10"/>
  <c r="I398" i="10"/>
  <c r="I390" i="10"/>
  <c r="Q392" i="10"/>
  <c r="Z393" i="10"/>
  <c r="L389" i="10"/>
  <c r="T394" i="10"/>
  <c r="F386" i="10"/>
  <c r="U388" i="10"/>
  <c r="X388" i="10"/>
  <c r="Q386" i="10"/>
  <c r="P395" i="10"/>
  <c r="K395" i="10"/>
  <c r="S394" i="10"/>
  <c r="U386" i="10"/>
  <c r="D395" i="10"/>
  <c r="I395" i="10"/>
  <c r="E394" i="10"/>
  <c r="Q390" i="10"/>
  <c r="L388" i="10"/>
  <c r="D388" i="10"/>
  <c r="F398" i="10"/>
  <c r="O380" i="10"/>
  <c r="S375" i="10"/>
  <c r="U376" i="10"/>
  <c r="V379" i="10"/>
  <c r="E384" i="10"/>
  <c r="I374" i="10"/>
  <c r="H374" i="10"/>
  <c r="L376" i="10"/>
  <c r="F382" i="10"/>
  <c r="Q383" i="10"/>
  <c r="M379" i="10"/>
  <c r="H373" i="10"/>
  <c r="V372" i="10"/>
  <c r="J380" i="10"/>
  <c r="P379" i="10"/>
  <c r="Q372" i="10"/>
  <c r="S377" i="10"/>
  <c r="R379" i="10"/>
  <c r="P376" i="10"/>
  <c r="N378" i="10"/>
  <c r="S376" i="10"/>
  <c r="M380" i="10"/>
  <c r="W371" i="10"/>
  <c r="Q382" i="10"/>
  <c r="D378" i="10"/>
  <c r="K373" i="10"/>
  <c r="Y375" i="10"/>
  <c r="D382" i="10"/>
  <c r="R373" i="10"/>
  <c r="K383" i="10"/>
  <c r="V373" i="10"/>
  <c r="M374" i="10"/>
  <c r="R382" i="10"/>
  <c r="N382" i="10"/>
  <c r="AA378" i="10"/>
  <c r="M378" i="10"/>
  <c r="Y380" i="10"/>
  <c r="Y382" i="10"/>
  <c r="V380" i="10"/>
  <c r="Z372" i="10"/>
  <c r="X380" i="10"/>
  <c r="G377" i="10"/>
  <c r="R377" i="10"/>
  <c r="F372" i="10"/>
  <c r="O383" i="10"/>
  <c r="T381" i="10"/>
  <c r="K381" i="10"/>
  <c r="O384" i="10"/>
  <c r="F371" i="10"/>
  <c r="F377" i="10"/>
  <c r="P378" i="10"/>
  <c r="H372" i="10"/>
  <c r="K371" i="10"/>
  <c r="Z381" i="10"/>
  <c r="U382" i="10"/>
  <c r="AA383" i="10"/>
  <c r="D384" i="10"/>
  <c r="L378" i="10"/>
  <c r="S380" i="10"/>
  <c r="E382" i="10"/>
  <c r="Y371" i="10"/>
  <c r="S382" i="10"/>
  <c r="S371" i="10"/>
  <c r="K379" i="10"/>
  <c r="Q376" i="10"/>
  <c r="U377" i="10"/>
  <c r="E378" i="10"/>
  <c r="T374" i="10"/>
  <c r="AA381" i="10"/>
  <c r="N375" i="10"/>
  <c r="U371" i="10"/>
  <c r="I382" i="10"/>
  <c r="W373" i="10"/>
  <c r="Z383" i="10"/>
  <c r="R371" i="10"/>
  <c r="G372" i="10"/>
  <c r="N379" i="10"/>
  <c r="U373" i="10"/>
  <c r="R384" i="10"/>
  <c r="P383" i="10"/>
  <c r="G375" i="10"/>
  <c r="V383" i="10"/>
  <c r="O377" i="10"/>
  <c r="Y389" i="10"/>
  <c r="Y396" i="10"/>
  <c r="X391" i="10"/>
  <c r="F394" i="10"/>
  <c r="Q393" i="10"/>
  <c r="H394" i="10"/>
  <c r="F385" i="10"/>
  <c r="AA387" i="10"/>
  <c r="V397" i="10"/>
  <c r="V393" i="10"/>
  <c r="F389" i="10"/>
  <c r="S390" i="10"/>
  <c r="F393" i="10"/>
  <c r="Y385" i="10"/>
  <c r="P392" i="10"/>
  <c r="Q388" i="10"/>
  <c r="D397" i="10"/>
  <c r="W398" i="10"/>
  <c r="G387" i="10"/>
  <c r="S386" i="10"/>
  <c r="K389" i="10"/>
  <c r="N386" i="10"/>
  <c r="H388" i="10"/>
  <c r="U391" i="10"/>
  <c r="U395" i="10"/>
  <c r="K394" i="10"/>
  <c r="R394" i="10"/>
  <c r="X392" i="10"/>
  <c r="N391" i="10"/>
  <c r="O385" i="10"/>
  <c r="M388" i="10"/>
  <c r="L394" i="10"/>
  <c r="E391" i="10"/>
  <c r="O397" i="10"/>
  <c r="K398" i="10"/>
  <c r="X395" i="10"/>
  <c r="L387" i="10"/>
  <c r="U394" i="10"/>
  <c r="G385" i="10"/>
  <c r="Y395" i="10"/>
  <c r="R398" i="10"/>
  <c r="W396" i="10"/>
  <c r="S395" i="10"/>
  <c r="R389" i="10"/>
  <c r="F397" i="10"/>
  <c r="W393" i="10"/>
  <c r="Q398" i="10"/>
  <c r="G398" i="10"/>
  <c r="H395" i="10"/>
  <c r="G392" i="10"/>
  <c r="V395" i="10"/>
  <c r="T390" i="10"/>
  <c r="H391" i="10"/>
  <c r="T395" i="10"/>
  <c r="W395" i="10"/>
  <c r="X386" i="10"/>
  <c r="D396" i="10"/>
  <c r="J388" i="10"/>
  <c r="M398" i="10"/>
  <c r="G397" i="10"/>
  <c r="P396" i="10"/>
  <c r="J394" i="10"/>
  <c r="T397" i="10"/>
  <c r="W397" i="10"/>
  <c r="U392" i="10"/>
  <c r="T393" i="10"/>
  <c r="R387" i="10"/>
  <c r="J392" i="10"/>
  <c r="Y398" i="10"/>
  <c r="N396" i="10"/>
  <c r="M394" i="10"/>
  <c r="F396" i="10"/>
  <c r="Q385" i="10"/>
  <c r="X396" i="10"/>
  <c r="H397" i="10"/>
  <c r="V396" i="10"/>
  <c r="Y386" i="10"/>
  <c r="I388" i="10"/>
  <c r="E386" i="10"/>
  <c r="M385" i="10"/>
  <c r="L396" i="10"/>
  <c r="J398" i="10"/>
  <c r="G389" i="10"/>
  <c r="AA393" i="10"/>
  <c r="K393" i="10"/>
  <c r="O393" i="10"/>
  <c r="L386" i="10"/>
  <c r="X394" i="10"/>
  <c r="I387" i="10"/>
  <c r="Y394" i="10"/>
  <c r="Z394" i="10"/>
  <c r="N389" i="10"/>
  <c r="Q389" i="10"/>
  <c r="G386" i="10"/>
  <c r="J393" i="10"/>
  <c r="O386" i="10"/>
  <c r="Y390" i="10"/>
  <c r="G393" i="10"/>
  <c r="AA389" i="10"/>
  <c r="J397" i="10"/>
  <c r="Q387" i="10"/>
  <c r="T387" i="10"/>
  <c r="T385" i="10"/>
  <c r="P391" i="10"/>
  <c r="H398" i="10"/>
  <c r="R396" i="10"/>
  <c r="E385" i="10"/>
  <c r="V391" i="10"/>
  <c r="R393" i="10"/>
  <c r="N397" i="10"/>
  <c r="AA394" i="10"/>
  <c r="M387" i="10"/>
  <c r="V387" i="10"/>
  <c r="K392" i="10"/>
  <c r="W392" i="10"/>
  <c r="H392" i="10"/>
  <c r="G395" i="10"/>
  <c r="Y391" i="10"/>
  <c r="F390" i="10"/>
  <c r="J395" i="10"/>
  <c r="D392" i="10"/>
  <c r="W386" i="10"/>
  <c r="U398" i="10"/>
  <c r="Y387" i="10"/>
  <c r="T389" i="10"/>
  <c r="AA388" i="10"/>
  <c r="J385" i="10"/>
  <c r="T391" i="10"/>
  <c r="S388" i="10"/>
  <c r="I386" i="10"/>
  <c r="Q394" i="10"/>
  <c r="AA397" i="10"/>
  <c r="W388" i="10"/>
  <c r="N387" i="10"/>
  <c r="I385" i="10"/>
  <c r="P397" i="10"/>
  <c r="I394" i="10"/>
  <c r="G390" i="10"/>
  <c r="L392" i="10"/>
  <c r="F395" i="10"/>
  <c r="G388" i="10"/>
  <c r="X389" i="10"/>
  <c r="L398" i="10"/>
  <c r="S397" i="10"/>
  <c r="K385" i="10"/>
  <c r="E396" i="10"/>
  <c r="H385" i="10"/>
  <c r="V385" i="10"/>
  <c r="Z395" i="10"/>
  <c r="Q396" i="10"/>
  <c r="S396" i="10"/>
  <c r="D390" i="10"/>
  <c r="S387" i="10"/>
  <c r="Z397" i="10"/>
  <c r="P387" i="10"/>
  <c r="X387" i="10"/>
  <c r="E388" i="10"/>
  <c r="I391" i="10"/>
  <c r="N393" i="10"/>
  <c r="N398" i="10"/>
  <c r="D393" i="10"/>
  <c r="T386" i="10"/>
  <c r="U396" i="10"/>
  <c r="H387" i="10"/>
  <c r="E387" i="10"/>
  <c r="W390" i="10"/>
  <c r="I393" i="10"/>
  <c r="R55" i="11"/>
  <c r="HI54" i="11"/>
  <c r="IT53" i="11"/>
  <c r="JA53" i="11"/>
  <c r="BI55" i="11"/>
  <c r="CN54" i="11"/>
  <c r="BA55" i="11"/>
  <c r="BM53" i="11"/>
  <c r="HW53" i="11"/>
  <c r="S54" i="11"/>
  <c r="CB53" i="11"/>
  <c r="AD55" i="11"/>
  <c r="EF55" i="11"/>
  <c r="C54" i="11"/>
  <c r="EX53" i="11"/>
  <c r="HP55" i="11"/>
  <c r="HD55" i="11"/>
  <c r="D55" i="11"/>
  <c r="GZ55" i="11"/>
  <c r="I54" i="11"/>
  <c r="CY54" i="11"/>
  <c r="IX53" i="11"/>
  <c r="IC54" i="11"/>
  <c r="BR55" i="11"/>
  <c r="CM55" i="11"/>
  <c r="W54" i="11"/>
  <c r="CI55" i="11"/>
  <c r="AE53" i="11"/>
  <c r="CX55" i="11"/>
  <c r="CJ55" i="11"/>
  <c r="IL55" i="11"/>
  <c r="IJ55" i="11"/>
  <c r="FC54" i="11"/>
  <c r="IZ53" i="11"/>
  <c r="DR54" i="11"/>
  <c r="GY53" i="11"/>
  <c r="JC54" i="11"/>
  <c r="JD53" i="11"/>
  <c r="JF54" i="11"/>
  <c r="KA55" i="11"/>
  <c r="CT53" i="11"/>
  <c r="IS55" i="11"/>
  <c r="DR53" i="11"/>
  <c r="KK55" i="11"/>
  <c r="IB53" i="11"/>
  <c r="EE54" i="11"/>
  <c r="GI53" i="11"/>
  <c r="IV55" i="11"/>
  <c r="HV54" i="11"/>
  <c r="DN55" i="11"/>
  <c r="E55" i="11"/>
  <c r="FM55" i="11"/>
  <c r="V55" i="11"/>
  <c r="GF53" i="11"/>
  <c r="HN54" i="11"/>
  <c r="CW55" i="11"/>
  <c r="EB54" i="11"/>
  <c r="BY53" i="11"/>
  <c r="W55" i="11"/>
  <c r="HQ53" i="11"/>
  <c r="N54" i="11"/>
  <c r="JL54" i="11"/>
  <c r="CU54" i="11"/>
  <c r="EJ54" i="11"/>
  <c r="JB55" i="11"/>
  <c r="GK53" i="11"/>
  <c r="FI54" i="11"/>
  <c r="AE55" i="11"/>
  <c r="AA53" i="11"/>
  <c r="ED54" i="11"/>
  <c r="AM53" i="11"/>
  <c r="DP53" i="11"/>
  <c r="AM54" i="11"/>
  <c r="HA53" i="11"/>
  <c r="EX54" i="11"/>
  <c r="DT54" i="11"/>
  <c r="BE55" i="11"/>
  <c r="DZ55" i="11"/>
  <c r="GH54" i="11"/>
  <c r="GG55" i="11"/>
  <c r="AC54" i="11"/>
  <c r="HG55" i="11"/>
  <c r="GB53" i="11"/>
  <c r="GE53" i="11"/>
  <c r="DV53" i="11"/>
  <c r="AX53" i="11"/>
  <c r="IF54" i="11"/>
  <c r="BQ54" i="11"/>
  <c r="BD55" i="11"/>
  <c r="JD55" i="11"/>
  <c r="HN55" i="11"/>
  <c r="EI53" i="11"/>
  <c r="IA55" i="11"/>
  <c r="AG54" i="11"/>
  <c r="DX53" i="11"/>
  <c r="K55" i="11"/>
  <c r="FD55" i="11"/>
  <c r="AA55" i="11"/>
  <c r="FF53" i="11"/>
  <c r="JE54" i="11"/>
  <c r="BF54" i="11"/>
  <c r="AH53" i="11"/>
  <c r="GC53" i="11"/>
  <c r="FQ55" i="11"/>
  <c r="EU54" i="11"/>
  <c r="BT55" i="11"/>
  <c r="BF53" i="11"/>
  <c r="CW54" i="11"/>
  <c r="KB53" i="11"/>
  <c r="EB55" i="11"/>
  <c r="BP55" i="11"/>
  <c r="FB55" i="11"/>
  <c r="FE53" i="11"/>
  <c r="CX54" i="11"/>
  <c r="JM54" i="11"/>
  <c r="IV54" i="11"/>
  <c r="GI55" i="11"/>
  <c r="CQ55" i="11"/>
  <c r="JC53" i="11"/>
  <c r="IQ53" i="11"/>
  <c r="DA54" i="11"/>
  <c r="BW53" i="11"/>
  <c r="IM55" i="11"/>
  <c r="FA54" i="11"/>
  <c r="DY55" i="11"/>
  <c r="AN54" i="11"/>
  <c r="BU54" i="11"/>
  <c r="IE54" i="11"/>
  <c r="KM55" i="11"/>
  <c r="GW55" i="11"/>
  <c r="GG54" i="11"/>
  <c r="FS55" i="11"/>
  <c r="AT55" i="11"/>
  <c r="EH55" i="11"/>
  <c r="BK53" i="11"/>
  <c r="EL55" i="11"/>
  <c r="GW54" i="11"/>
  <c r="CN53" i="11"/>
  <c r="Y53" i="11"/>
  <c r="HK55" i="11"/>
  <c r="CH55" i="11"/>
  <c r="JN54" i="11"/>
  <c r="BG55" i="11"/>
  <c r="AY54" i="11"/>
  <c r="HE54" i="11"/>
  <c r="C53" i="11"/>
  <c r="KG55" i="11"/>
  <c r="IR55" i="11"/>
  <c r="EW55" i="11"/>
  <c r="AN55" i="11"/>
  <c r="O53" i="11"/>
  <c r="EF54" i="11"/>
  <c r="EY55" i="11"/>
  <c r="FV54" i="11"/>
  <c r="AR53" i="11"/>
  <c r="DK55" i="11"/>
  <c r="EO54" i="11"/>
  <c r="BT54" i="11"/>
  <c r="FL54" i="11"/>
  <c r="BX53" i="11"/>
  <c r="DT53" i="11"/>
  <c r="JY55" i="11"/>
  <c r="CF53" i="11"/>
  <c r="KN54" i="11"/>
  <c r="DF55" i="11"/>
  <c r="HQ55" i="11"/>
  <c r="KC54" i="11"/>
  <c r="IN55" i="11"/>
  <c r="AH54" i="11"/>
  <c r="GQ55" i="11"/>
  <c r="FM54" i="11"/>
  <c r="HK54" i="11"/>
  <c r="CL55" i="11"/>
  <c r="IR53" i="11"/>
  <c r="IL53" i="11"/>
  <c r="JF53" i="11"/>
  <c r="FA53" i="11"/>
  <c r="IW53" i="11"/>
  <c r="JS53" i="11"/>
  <c r="GN53" i="11"/>
  <c r="BD54" i="11"/>
  <c r="CH54" i="11"/>
  <c r="HX55" i="11"/>
  <c r="CT55" i="11"/>
  <c r="DP54" i="11"/>
  <c r="FL55" i="11"/>
  <c r="HW54" i="11"/>
  <c r="GT54" i="11"/>
  <c r="GU54" i="11"/>
  <c r="JV53" i="11"/>
  <c r="DD53" i="11"/>
  <c r="DT55" i="11"/>
  <c r="HT53" i="11"/>
  <c r="HU53" i="11"/>
  <c r="JM53" i="11"/>
  <c r="HJ53" i="11"/>
  <c r="GX55" i="11"/>
  <c r="HJ55" i="11"/>
  <c r="FQ53" i="11"/>
  <c r="EJ55" i="11"/>
  <c r="JK55" i="11"/>
  <c r="GV55" i="11"/>
  <c r="H55" i="11"/>
  <c r="DH54" i="11"/>
  <c r="GP53" i="11"/>
  <c r="BR53" i="11"/>
  <c r="CG54" i="11"/>
  <c r="I53" i="11"/>
  <c r="U53" i="11"/>
  <c r="AI54" i="11"/>
  <c r="X55" i="11"/>
  <c r="EW54" i="11"/>
  <c r="FV55" i="11"/>
  <c r="KD54" i="11"/>
  <c r="FY54" i="11"/>
  <c r="BN55" i="11"/>
  <c r="AO53" i="11"/>
  <c r="IV53" i="11"/>
  <c r="HS54" i="11"/>
  <c r="FZ54" i="11"/>
  <c r="JG55" i="11"/>
  <c r="BN53" i="11"/>
  <c r="DE53" i="11"/>
  <c r="FZ53" i="11"/>
  <c r="BL55" i="11"/>
  <c r="GZ54" i="11"/>
  <c r="EI54" i="11"/>
  <c r="EK54" i="11"/>
  <c r="AI53" i="11"/>
  <c r="GP54" i="11"/>
  <c r="CS55" i="11"/>
  <c r="KJ55" i="11"/>
  <c r="FH54" i="11"/>
  <c r="JU53" i="11"/>
  <c r="R54" i="11"/>
  <c r="JP54" i="11"/>
  <c r="JY54" i="11"/>
  <c r="GL54" i="11"/>
  <c r="AU54" i="11"/>
  <c r="CD53" i="11"/>
  <c r="HK53" i="11"/>
  <c r="FD54" i="11"/>
  <c r="Q53" i="11"/>
  <c r="CB54" i="11"/>
  <c r="BB54" i="11"/>
  <c r="HC55" i="11"/>
  <c r="J54" i="11"/>
  <c r="GY55" i="11"/>
  <c r="JE53" i="11"/>
  <c r="GE54" i="11"/>
  <c r="JD54" i="11"/>
  <c r="GN55" i="11"/>
  <c r="Y55" i="11"/>
  <c r="AK54" i="11"/>
  <c r="X54" i="11"/>
  <c r="X53" i="11"/>
  <c r="CR54" i="11"/>
  <c r="CT54" i="11"/>
  <c r="BG53" i="11"/>
  <c r="JI53" i="11"/>
  <c r="AS54" i="11"/>
  <c r="FK55" i="11"/>
  <c r="AU55" i="11"/>
  <c r="BK55" i="11"/>
  <c r="Q54" i="11"/>
  <c r="KH53" i="11"/>
  <c r="HG54" i="11"/>
  <c r="CW53" i="11"/>
  <c r="AJ53" i="11"/>
  <c r="IY54" i="11"/>
  <c r="EQ55" i="11"/>
  <c r="HT55" i="11"/>
  <c r="FA55" i="11"/>
  <c r="FL53" i="11"/>
  <c r="HW55" i="11"/>
  <c r="DM53" i="11"/>
  <c r="AW55" i="11"/>
  <c r="GL53" i="11"/>
  <c r="CZ54" i="11"/>
  <c r="IG54" i="11"/>
  <c r="FW53" i="11"/>
  <c r="GQ54" i="11"/>
  <c r="AW54" i="11"/>
  <c r="HM54" i="11"/>
  <c r="KI55" i="11"/>
  <c r="IH55" i="11"/>
  <c r="DO54" i="11"/>
  <c r="HA55" i="11"/>
  <c r="II53" i="11"/>
  <c r="BA53" i="11"/>
  <c r="BO53" i="11"/>
  <c r="D53" i="11"/>
  <c r="IM54" i="11"/>
  <c r="BP54" i="11"/>
  <c r="FT53" i="11"/>
  <c r="CK53" i="11"/>
  <c r="W53" i="11"/>
  <c r="HL53" i="11"/>
  <c r="IC53" i="11"/>
  <c r="DL55" i="11"/>
  <c r="U55" i="11"/>
  <c r="GD55" i="11"/>
  <c r="DM54" i="11"/>
  <c r="CM54" i="11"/>
  <c r="E54" i="11"/>
  <c r="FY53" i="11"/>
  <c r="HL54" i="11"/>
  <c r="AP53" i="11"/>
  <c r="GN54" i="11"/>
  <c r="DB55" i="11"/>
  <c r="BV54" i="11"/>
  <c r="L55" i="11"/>
  <c r="HG53" i="11"/>
  <c r="CO53" i="11"/>
  <c r="ER55" i="11"/>
  <c r="JZ55" i="11"/>
  <c r="HY53" i="11"/>
  <c r="CQ53" i="11"/>
  <c r="Z53" i="11"/>
  <c r="GM54" i="11"/>
  <c r="DC53" i="11"/>
  <c r="FP54" i="11"/>
  <c r="GJ54" i="11"/>
  <c r="L53" i="11"/>
  <c r="JI55" i="11"/>
  <c r="EZ54" i="11"/>
  <c r="DQ55" i="11"/>
  <c r="HT54" i="11"/>
  <c r="BW55" i="11"/>
  <c r="BC53" i="11"/>
  <c r="IP55" i="11"/>
  <c r="IA54" i="11"/>
  <c r="BE54" i="11"/>
  <c r="IU54" i="11"/>
  <c r="P55" i="11"/>
  <c r="BW52" i="11"/>
  <c r="AY50" i="11"/>
  <c r="JM50" i="11"/>
  <c r="FW51" i="11"/>
  <c r="GR51" i="11"/>
  <c r="IA52" i="11"/>
  <c r="FG52" i="11"/>
  <c r="FM51" i="11"/>
  <c r="HT51" i="11"/>
  <c r="HY50" i="11"/>
  <c r="IQ52" i="11"/>
  <c r="AN51" i="11"/>
  <c r="DI51" i="11"/>
  <c r="EV52" i="11"/>
  <c r="AS50" i="11"/>
  <c r="EE52" i="11"/>
  <c r="KK51" i="11"/>
  <c r="DN50" i="11"/>
  <c r="HR51" i="11"/>
  <c r="IP50" i="11"/>
  <c r="IU50" i="11"/>
  <c r="GQ52" i="11"/>
  <c r="FY51" i="11"/>
  <c r="DS51" i="11"/>
  <c r="JE50" i="11"/>
  <c r="JA52" i="11"/>
  <c r="HB51" i="11"/>
  <c r="FS51" i="11"/>
  <c r="FN50" i="11"/>
  <c r="CX51" i="11"/>
  <c r="K52" i="11"/>
  <c r="E51" i="11"/>
  <c r="FI52" i="11"/>
  <c r="AD50" i="11"/>
  <c r="U52" i="11"/>
  <c r="IN51" i="11"/>
  <c r="IZ52" i="11"/>
  <c r="EE50" i="11"/>
  <c r="HL51" i="11"/>
  <c r="JY52" i="11"/>
  <c r="HZ51" i="11"/>
  <c r="KB51" i="11"/>
  <c r="FZ52" i="11"/>
  <c r="EK51" i="11"/>
  <c r="AT50" i="11"/>
  <c r="JL51" i="11"/>
  <c r="JG52" i="11"/>
  <c r="HD52" i="11"/>
  <c r="Y52" i="11"/>
  <c r="IZ51" i="11"/>
  <c r="IL52" i="11"/>
  <c r="GS52" i="11"/>
  <c r="IN50" i="11"/>
  <c r="HS51" i="11"/>
  <c r="Y50" i="11"/>
  <c r="JQ52" i="11"/>
  <c r="HV50" i="11"/>
  <c r="AP51" i="11"/>
  <c r="CB51" i="11"/>
  <c r="HR50" i="11"/>
  <c r="DW50" i="11"/>
  <c r="CF50" i="11"/>
  <c r="DW52" i="11"/>
  <c r="AO52" i="11"/>
  <c r="AD51" i="11"/>
  <c r="BN52" i="11"/>
  <c r="BL52" i="11"/>
  <c r="KK50" i="11"/>
  <c r="CB52" i="11"/>
  <c r="HU51" i="11"/>
  <c r="CC52" i="11"/>
  <c r="JN50" i="11"/>
  <c r="JJ50" i="11"/>
  <c r="AZ50" i="11"/>
  <c r="CF52" i="11"/>
  <c r="CG50" i="11"/>
  <c r="DT50" i="11"/>
  <c r="EB51" i="11"/>
  <c r="BW51" i="11"/>
  <c r="KA52" i="11"/>
  <c r="JG50" i="11"/>
  <c r="JW51" i="11"/>
  <c r="BK51" i="11"/>
  <c r="HZ52" i="11"/>
  <c r="JJ52" i="11"/>
  <c r="Z51" i="11"/>
  <c r="HU52" i="11"/>
  <c r="AX50" i="11"/>
  <c r="BZ50" i="11"/>
  <c r="IV51" i="11"/>
  <c r="BP51" i="11"/>
  <c r="FP51" i="11"/>
  <c r="GX52" i="11"/>
  <c r="CJ50" i="11"/>
  <c r="GH50" i="11"/>
  <c r="KI51" i="11"/>
  <c r="BC50" i="11"/>
  <c r="IY51" i="11"/>
  <c r="FC50" i="11"/>
  <c r="DX52" i="11"/>
  <c r="BE51" i="11"/>
  <c r="CH52" i="11"/>
  <c r="AQ52" i="11"/>
  <c r="HW50" i="11"/>
  <c r="BH51" i="11"/>
  <c r="GI50" i="11"/>
  <c r="J50" i="11"/>
  <c r="JU50" i="11"/>
  <c r="K51" i="11"/>
  <c r="E50" i="11"/>
  <c r="FF50" i="11"/>
  <c r="DO52" i="11"/>
  <c r="BO52" i="11"/>
  <c r="JF51" i="11"/>
  <c r="FW50" i="11"/>
  <c r="BU51" i="11"/>
  <c r="DL51" i="11"/>
  <c r="JI52" i="11"/>
  <c r="EQ50" i="11"/>
  <c r="HA50" i="11"/>
  <c r="AJ52" i="11"/>
  <c r="EY51" i="11"/>
  <c r="HO50" i="11"/>
  <c r="JS52" i="11"/>
  <c r="GT52" i="11"/>
  <c r="T52" i="11"/>
  <c r="BH50" i="11"/>
  <c r="FD51" i="11"/>
  <c r="Q50" i="11"/>
  <c r="BC51" i="11"/>
  <c r="AR52" i="11"/>
  <c r="GF50" i="11"/>
  <c r="JH52" i="11"/>
  <c r="JB51" i="11"/>
  <c r="AA51" i="11"/>
  <c r="AI51" i="11"/>
  <c r="CM52" i="11"/>
  <c r="CH51" i="11"/>
  <c r="HY52" i="11"/>
  <c r="FC51" i="11"/>
  <c r="BD52" i="11"/>
  <c r="FS52" i="11"/>
  <c r="EP52" i="11"/>
  <c r="U51" i="11"/>
  <c r="JR51" i="11"/>
  <c r="DU52" i="11"/>
  <c r="JN51" i="11"/>
  <c r="CW51" i="11"/>
  <c r="ED50" i="11"/>
  <c r="DP50" i="11"/>
  <c r="IG50" i="11"/>
  <c r="JZ51" i="11"/>
  <c r="FE52" i="11"/>
  <c r="FT52" i="11"/>
  <c r="JT51" i="11"/>
  <c r="BB50" i="11"/>
  <c r="CU50" i="11"/>
  <c r="JC50" i="11"/>
  <c r="IS50" i="11"/>
  <c r="GL50" i="11"/>
  <c r="HH51" i="11"/>
  <c r="GZ52" i="11"/>
  <c r="FW52" i="11"/>
  <c r="JK52" i="11"/>
  <c r="KH51" i="11"/>
  <c r="AC52" i="11"/>
  <c r="CE52" i="11"/>
  <c r="AU50" i="11"/>
  <c r="GM51" i="11"/>
  <c r="GU52" i="11"/>
  <c r="U50" i="11"/>
  <c r="DO51" i="11"/>
  <c r="DD50" i="11"/>
  <c r="GP51" i="11"/>
  <c r="KE52" i="11"/>
  <c r="IH51" i="11"/>
  <c r="EB52" i="11"/>
  <c r="L52" i="11"/>
  <c r="GG52" i="11"/>
  <c r="HM50" i="11"/>
  <c r="IP52" i="11"/>
  <c r="HN52" i="11"/>
  <c r="IX50" i="11"/>
  <c r="KG51" i="11"/>
  <c r="IL51" i="11"/>
  <c r="EG51" i="11"/>
  <c r="P51" i="11"/>
  <c r="JY51" i="11"/>
  <c r="GD50" i="11"/>
  <c r="AI52" i="11"/>
  <c r="DE50" i="11"/>
  <c r="HW52" i="11"/>
  <c r="KC52" i="11"/>
  <c r="IJ52" i="11"/>
  <c r="HK51" i="11"/>
  <c r="GS51" i="11"/>
  <c r="GV52" i="11"/>
  <c r="FH52" i="11"/>
  <c r="JH50" i="11"/>
  <c r="FB50" i="11"/>
  <c r="BF51" i="11"/>
  <c r="KD52" i="11"/>
  <c r="IT50" i="11"/>
  <c r="EX50" i="11"/>
  <c r="IS51" i="11"/>
  <c r="BT51" i="11"/>
  <c r="EA50" i="11"/>
  <c r="FX51" i="11"/>
  <c r="EM51" i="11"/>
  <c r="CW50" i="11"/>
  <c r="AH52" i="11"/>
  <c r="JT50" i="11"/>
  <c r="BJ50" i="11"/>
  <c r="EI51" i="11"/>
  <c r="BK50" i="11"/>
  <c r="AT51" i="11"/>
  <c r="AS52" i="11"/>
  <c r="IV50" i="11"/>
  <c r="EW50" i="11"/>
  <c r="E52" i="11"/>
  <c r="HS52" i="11"/>
  <c r="G52" i="11"/>
  <c r="AP50" i="11"/>
  <c r="KL50" i="11"/>
  <c r="GH51" i="11"/>
  <c r="EM52" i="11"/>
  <c r="FX52" i="11"/>
  <c r="FI50" i="11"/>
  <c r="JS51" i="11"/>
  <c r="FN51" i="11"/>
  <c r="DQ50" i="11"/>
  <c r="EI50" i="11"/>
  <c r="AB52" i="11"/>
  <c r="EJ51" i="11"/>
  <c r="IS52" i="11"/>
  <c r="AV51" i="11"/>
  <c r="KF51" i="11"/>
  <c r="FQ51" i="11"/>
  <c r="GO51" i="11"/>
  <c r="EE51" i="11"/>
  <c r="KO51" i="11"/>
  <c r="HE52" i="11"/>
  <c r="EI52" i="11"/>
  <c r="ES51" i="11"/>
  <c r="IE52" i="11"/>
  <c r="FD50" i="11"/>
  <c r="CO52" i="11"/>
  <c r="CG51" i="11"/>
  <c r="GN50" i="11"/>
  <c r="EC51" i="11"/>
  <c r="BT52" i="11"/>
  <c r="DP51" i="11"/>
  <c r="FV51" i="11"/>
  <c r="AL52" i="11"/>
  <c r="EH51" i="11"/>
  <c r="R52" i="11"/>
  <c r="EZ52" i="11"/>
  <c r="BY52" i="11"/>
  <c r="HE50" i="11"/>
  <c r="S51" i="11"/>
  <c r="CA51" i="11"/>
  <c r="GA50" i="11"/>
  <c r="KM50" i="11"/>
  <c r="HY51" i="11"/>
  <c r="BO50" i="11"/>
  <c r="EP51" i="11"/>
  <c r="GI52" i="11"/>
  <c r="JB52" i="11"/>
  <c r="HH50" i="11"/>
  <c r="CN52" i="11"/>
  <c r="AD52" i="11"/>
  <c r="JV52" i="11"/>
  <c r="CQ51" i="11"/>
  <c r="JD50" i="11"/>
  <c r="GS50" i="11"/>
  <c r="HL50" i="11"/>
  <c r="KI52" i="11"/>
  <c r="CT50" i="11"/>
  <c r="GV51" i="11"/>
  <c r="HK50" i="11"/>
  <c r="DQ52" i="11"/>
  <c r="DU51" i="11"/>
  <c r="AX52" i="11"/>
  <c r="DF50" i="11"/>
  <c r="JD52" i="11"/>
  <c r="IZ50" i="11"/>
  <c r="JJ51" i="11"/>
  <c r="FI51" i="11"/>
  <c r="JC51" i="11"/>
  <c r="IA50" i="11"/>
  <c r="EZ51" i="11"/>
  <c r="FB51" i="11"/>
  <c r="DR52" i="11"/>
  <c r="DS52" i="11"/>
  <c r="FG51" i="11"/>
  <c r="BD50" i="11"/>
  <c r="IW52" i="11"/>
  <c r="GY52" i="11"/>
  <c r="BH52" i="11"/>
  <c r="DM52" i="11"/>
  <c r="HG51" i="11"/>
  <c r="DG51" i="11"/>
  <c r="R51" i="11"/>
  <c r="KH50" i="11"/>
  <c r="DB51" i="11"/>
  <c r="KI50" i="11"/>
  <c r="IW50" i="11"/>
  <c r="GF51" i="11"/>
  <c r="IJ50" i="11"/>
  <c r="GJ52" i="11"/>
  <c r="DL52" i="11"/>
  <c r="GK50" i="11"/>
  <c r="EO52" i="11"/>
  <c r="DH51" i="11"/>
  <c r="FA51" i="11"/>
  <c r="HD51" i="11"/>
  <c r="ID51" i="11"/>
  <c r="GB52" i="11"/>
  <c r="IR51" i="11"/>
  <c r="EM50" i="11"/>
  <c r="GD51" i="11"/>
  <c r="X52" i="11"/>
  <c r="ED52" i="11"/>
  <c r="Q51" i="11"/>
  <c r="DA50" i="11"/>
  <c r="JW50" i="11"/>
  <c r="BF50" i="11"/>
  <c r="IL50" i="11"/>
  <c r="EY50" i="11"/>
  <c r="II51" i="11"/>
  <c r="BU52" i="11"/>
  <c r="GV50" i="11"/>
  <c r="HW51" i="11"/>
  <c r="IN52" i="11"/>
  <c r="HC50" i="11"/>
  <c r="HR52" i="11"/>
  <c r="DJ51" i="11"/>
  <c r="EN51" i="11"/>
  <c r="KA51" i="11"/>
  <c r="HO51" i="11"/>
  <c r="HN51" i="11"/>
  <c r="M50" i="11"/>
  <c r="DC51" i="11"/>
  <c r="KJ52" i="11"/>
  <c r="DE51" i="11"/>
  <c r="DM50" i="11"/>
  <c r="CF51" i="11"/>
  <c r="HI51" i="11"/>
  <c r="HG50" i="11"/>
  <c r="HF51" i="11"/>
  <c r="EQ52" i="11"/>
  <c r="BF52" i="11"/>
  <c r="T51" i="11"/>
  <c r="FN52" i="11"/>
  <c r="JR50" i="11"/>
  <c r="DG50" i="11"/>
  <c r="BY50" i="11"/>
  <c r="D52" i="11"/>
  <c r="AN52" i="11"/>
  <c r="G51" i="11"/>
  <c r="EG52" i="11"/>
  <c r="JM52" i="11"/>
  <c r="DJ50" i="11"/>
  <c r="BJ52" i="11"/>
  <c r="BG51" i="11"/>
  <c r="DU50" i="11"/>
  <c r="FL52" i="11"/>
  <c r="CP51" i="11"/>
  <c r="IG51" i="11"/>
  <c r="JB50" i="11"/>
  <c r="EC52" i="11"/>
  <c r="D50" i="11"/>
  <c r="KD50" i="11"/>
  <c r="KO50" i="11"/>
  <c r="IM52" i="11"/>
  <c r="BM51" i="11"/>
  <c r="IX51" i="11"/>
  <c r="D51" i="11"/>
  <c r="BG52" i="11"/>
  <c r="FJ52" i="11"/>
  <c r="Y51" i="11"/>
  <c r="AW52" i="11"/>
  <c r="GR50" i="11"/>
  <c r="BS51" i="11"/>
  <c r="EF51" i="11"/>
  <c r="BB52" i="11"/>
  <c r="AQ50" i="11"/>
  <c r="FB52" i="11"/>
  <c r="IR50" i="11"/>
  <c r="JA51" i="11"/>
  <c r="HF52" i="11"/>
  <c r="DY50" i="11"/>
  <c r="IK50" i="11"/>
  <c r="KG52" i="11"/>
  <c r="JL50" i="11"/>
  <c r="DB50" i="11"/>
  <c r="CC51" i="11"/>
  <c r="HM52" i="11"/>
  <c r="HV52" i="11"/>
  <c r="AF52" i="11"/>
  <c r="AO51" i="11"/>
  <c r="IE50" i="11"/>
  <c r="AJ51" i="11"/>
  <c r="BV52" i="11"/>
  <c r="DH50" i="11"/>
  <c r="JR52" i="11"/>
  <c r="K50" i="11"/>
  <c r="FV50" i="11"/>
  <c r="CO51" i="11"/>
  <c r="BJ51" i="11"/>
  <c r="IA51" i="11"/>
  <c r="EJ50" i="11"/>
  <c r="BX52" i="11"/>
  <c r="FM50" i="11"/>
  <c r="IW51" i="11"/>
  <c r="AR51" i="11"/>
  <c r="HA52" i="11"/>
  <c r="GB51" i="11"/>
  <c r="JD51" i="11"/>
  <c r="CE50" i="11"/>
  <c r="HH52" i="11"/>
  <c r="JS50" i="11"/>
  <c r="AE50" i="11"/>
  <c r="FQ50" i="11"/>
  <c r="BN50" i="11"/>
  <c r="DT51" i="11"/>
  <c r="JO50" i="11"/>
  <c r="HG52" i="11"/>
  <c r="AZ52" i="11"/>
  <c r="BN51" i="11"/>
  <c r="FO52" i="11"/>
  <c r="GJ51" i="11"/>
  <c r="CI51" i="11"/>
  <c r="IX52" i="11"/>
  <c r="KE50" i="11"/>
  <c r="AM51" i="11"/>
  <c r="P50" i="11"/>
  <c r="IO50" i="11"/>
  <c r="JN52" i="11"/>
  <c r="GX50" i="11"/>
  <c r="CA52" i="11"/>
  <c r="AQ51" i="11"/>
  <c r="HO52" i="11"/>
  <c r="JQ51" i="11"/>
  <c r="FF51" i="11"/>
  <c r="GO52" i="11"/>
  <c r="KC50" i="11"/>
  <c r="EW52" i="11"/>
  <c r="IT52" i="11"/>
  <c r="BV50" i="11"/>
  <c r="CY51" i="11"/>
  <c r="KD51" i="11"/>
  <c r="CW52" i="11"/>
  <c r="AE51" i="11"/>
  <c r="DY52" i="11"/>
  <c r="HN50" i="11"/>
  <c r="CR50" i="11"/>
  <c r="AM52" i="11"/>
  <c r="JG51" i="11"/>
  <c r="C51" i="11"/>
  <c r="M51" i="11"/>
  <c r="AM50" i="11"/>
  <c r="CG52" i="11"/>
  <c r="HP50" i="11"/>
  <c r="EA52" i="11"/>
  <c r="GA52" i="11"/>
  <c r="CK52" i="11"/>
  <c r="KG50" i="11"/>
  <c r="AC51" i="11"/>
  <c r="GW50" i="11"/>
  <c r="DK51" i="11"/>
  <c r="FZ50" i="11"/>
  <c r="AK51" i="11"/>
  <c r="JM51" i="11"/>
  <c r="CP52" i="11"/>
  <c r="GF52" i="11"/>
  <c r="FA50" i="11"/>
  <c r="GK52" i="11"/>
  <c r="GD52" i="11"/>
  <c r="HL52" i="11"/>
  <c r="HC52" i="11"/>
  <c r="AF50" i="11"/>
  <c r="BR51" i="11"/>
  <c r="GC50" i="11"/>
  <c r="AN50" i="11"/>
  <c r="AA50" i="11"/>
  <c r="IB52" i="11"/>
  <c r="FS50" i="11"/>
  <c r="GN51" i="11"/>
  <c r="AL51" i="11"/>
  <c r="BD51" i="11"/>
  <c r="AG51" i="11"/>
  <c r="KP50" i="11"/>
  <c r="DK50" i="11"/>
  <c r="BE50" i="11"/>
  <c r="CV52" i="11"/>
  <c r="FH51" i="11"/>
  <c r="KN50" i="11"/>
  <c r="EO51" i="11"/>
  <c r="KJ50" i="11"/>
  <c r="O51" i="11"/>
  <c r="FU51" i="11"/>
  <c r="W52" i="11"/>
  <c r="DB52" i="11"/>
  <c r="AA14" i="10"/>
  <c r="Q2" i="10" l="1"/>
  <c r="H38" i="10"/>
  <c r="U38" i="10"/>
  <c r="E38" i="10"/>
  <c r="S38" i="10"/>
  <c r="Q38" i="10"/>
  <c r="F38" i="10"/>
  <c r="Y38" i="10"/>
  <c r="P38" i="10"/>
  <c r="I38" i="10"/>
  <c r="D38" i="10"/>
  <c r="N38" i="10"/>
  <c r="W38" i="10"/>
  <c r="L38" i="10"/>
  <c r="O38" i="10"/>
  <c r="X38" i="10"/>
  <c r="K38" i="10"/>
  <c r="J38" i="10"/>
  <c r="T38" i="10"/>
  <c r="AA38" i="10"/>
  <c r="Z38" i="10"/>
  <c r="G38" i="10"/>
  <c r="R38" i="10"/>
  <c r="M38" i="10"/>
  <c r="V38" i="10"/>
  <c r="C56" i="11" a="1"/>
  <c r="C47" i="11" a="1"/>
  <c r="U4" i="21"/>
  <c r="W4" i="21"/>
  <c r="F4" i="21"/>
  <c r="X4" i="21"/>
  <c r="O4" i="21"/>
  <c r="Q4" i="21"/>
  <c r="S4" i="21"/>
  <c r="H4" i="21"/>
  <c r="I4" i="21"/>
  <c r="K4" i="21"/>
  <c r="M4" i="21"/>
  <c r="G4" i="21"/>
  <c r="Z4" i="21"/>
  <c r="P4" i="21"/>
  <c r="V4" i="21"/>
  <c r="AA4" i="21"/>
  <c r="E4" i="21"/>
  <c r="T4" i="21"/>
  <c r="AB4" i="21"/>
  <c r="L4" i="21"/>
  <c r="R4" i="21"/>
  <c r="N4" i="21"/>
  <c r="Y4" i="21"/>
  <c r="J4" i="21"/>
  <c r="C75" i="11" a="1"/>
  <c r="C21" i="11" a="1"/>
  <c r="C69" i="11" a="1"/>
  <c r="C24" i="11" a="1"/>
  <c r="Y2" i="10"/>
  <c r="Q14" i="10"/>
  <c r="Y14" i="10"/>
  <c r="CQ22" i="11" l="1"/>
  <c r="CY21" i="11"/>
  <c r="BB22" i="11"/>
  <c r="EU21" i="11"/>
  <c r="AK22" i="11"/>
  <c r="CM23" i="11"/>
  <c r="KJ21" i="11"/>
  <c r="EY21" i="11"/>
  <c r="AW21" i="11"/>
  <c r="IA23" i="11"/>
  <c r="BZ23" i="11"/>
  <c r="O22" i="11"/>
  <c r="DX21" i="11"/>
  <c r="H22" i="11"/>
  <c r="CD21" i="11"/>
  <c r="DJ21" i="11"/>
  <c r="BA23" i="11"/>
  <c r="BJ22" i="11"/>
  <c r="DB23" i="11"/>
  <c r="EX22" i="11"/>
  <c r="EP21" i="11"/>
  <c r="FV23" i="11"/>
  <c r="BZ22" i="11"/>
  <c r="KL22" i="11"/>
  <c r="AF21" i="11"/>
  <c r="E23" i="11"/>
  <c r="IH23" i="11"/>
  <c r="JO23" i="11"/>
  <c r="IK22" i="11"/>
  <c r="EE21" i="11"/>
  <c r="DA23" i="11"/>
  <c r="DB22" i="11"/>
  <c r="HV23" i="11"/>
  <c r="KJ22" i="11"/>
  <c r="KF21" i="11"/>
  <c r="HI23" i="11"/>
  <c r="HK21" i="11"/>
  <c r="G21" i="11"/>
  <c r="KL23" i="11"/>
  <c r="P22" i="11"/>
  <c r="HK23" i="11"/>
  <c r="KM23" i="11"/>
  <c r="AE21" i="11"/>
  <c r="IY22" i="11"/>
  <c r="BB23" i="11"/>
  <c r="IQ23" i="11"/>
  <c r="O23" i="11"/>
  <c r="T22" i="11"/>
  <c r="GO23" i="11"/>
  <c r="AP21" i="11"/>
  <c r="IQ21" i="11"/>
  <c r="GQ22" i="11"/>
  <c r="EA23" i="11"/>
  <c r="FJ22" i="11"/>
  <c r="AG22" i="11"/>
  <c r="GX21" i="11"/>
  <c r="EC23" i="11"/>
  <c r="W21" i="11"/>
  <c r="CI23" i="11"/>
  <c r="ED21" i="11"/>
  <c r="CA21" i="11"/>
  <c r="BJ21" i="11"/>
  <c r="C22" i="11"/>
  <c r="FZ21" i="11"/>
  <c r="AX22" i="11"/>
  <c r="DS21" i="11"/>
  <c r="CA23" i="11"/>
  <c r="HB23" i="11"/>
  <c r="DO22" i="11"/>
  <c r="HR21" i="11"/>
  <c r="KC23" i="11"/>
  <c r="IJ22" i="11"/>
  <c r="ES21" i="11"/>
  <c r="DP21" i="11"/>
  <c r="CU23" i="11"/>
  <c r="ID22" i="11"/>
  <c r="ID21" i="11"/>
  <c r="HV22" i="11"/>
  <c r="FL21" i="11"/>
  <c r="HP21" i="11"/>
  <c r="CH21" i="11"/>
  <c r="KA21" i="11"/>
  <c r="JW21" i="11"/>
  <c r="CK22" i="11"/>
  <c r="BL23" i="11"/>
  <c r="IK23" i="11"/>
  <c r="DL22" i="11"/>
  <c r="FT23" i="11"/>
  <c r="CJ23" i="11"/>
  <c r="GC23" i="11"/>
  <c r="CO22" i="11"/>
  <c r="AK21" i="11"/>
  <c r="EH22" i="11"/>
  <c r="CT22" i="11"/>
  <c r="IT23" i="11"/>
  <c r="FA21" i="11"/>
  <c r="DJ23" i="11"/>
  <c r="JY23" i="11"/>
  <c r="GP21" i="11"/>
  <c r="DE21" i="11"/>
  <c r="EJ23" i="11"/>
  <c r="IZ23" i="11"/>
  <c r="HQ21" i="11"/>
  <c r="AD22" i="11"/>
  <c r="DY21" i="11"/>
  <c r="GR23" i="11"/>
  <c r="DQ21" i="11"/>
  <c r="JP22" i="11"/>
  <c r="Y22" i="11"/>
  <c r="FX22" i="11"/>
  <c r="DW21" i="11"/>
  <c r="BI23" i="11"/>
  <c r="KH22" i="11"/>
  <c r="IA21" i="11"/>
  <c r="JV21" i="11"/>
  <c r="BE21" i="11"/>
  <c r="EZ22" i="11"/>
  <c r="DB21" i="11"/>
  <c r="EE23" i="11"/>
  <c r="CW21" i="11"/>
  <c r="AF23" i="11"/>
  <c r="I22" i="11"/>
  <c r="JS23" i="11"/>
  <c r="EL23" i="11"/>
  <c r="BF23" i="11"/>
  <c r="BX22" i="11"/>
  <c r="KI21" i="11"/>
  <c r="AX23" i="11"/>
  <c r="J22" i="11"/>
  <c r="C21" i="11"/>
  <c r="CJ22" i="11"/>
  <c r="FC22" i="11"/>
  <c r="EF21" i="11"/>
  <c r="IG23" i="11"/>
  <c r="BE22" i="11"/>
  <c r="DI21" i="11"/>
  <c r="AW22" i="11"/>
  <c r="CU21" i="11"/>
  <c r="GS23" i="11"/>
  <c r="FQ22" i="11"/>
  <c r="CL23" i="11"/>
  <c r="GF22" i="11"/>
  <c r="GR22" i="11"/>
  <c r="BA22" i="11"/>
  <c r="AN21" i="11"/>
  <c r="JX21" i="11"/>
  <c r="AH21" i="11"/>
  <c r="BJ23" i="11"/>
  <c r="AE23" i="11"/>
  <c r="JU23" i="11"/>
  <c r="AD23" i="11"/>
  <c r="DC23" i="11"/>
  <c r="FW21" i="11"/>
  <c r="AU23" i="11"/>
  <c r="EI22" i="11"/>
  <c r="GT23" i="11"/>
  <c r="R22" i="11"/>
  <c r="DI23" i="11"/>
  <c r="Y21" i="11"/>
  <c r="ET22" i="11"/>
  <c r="KK21" i="11"/>
  <c r="AQ21" i="11"/>
  <c r="I21" i="11"/>
  <c r="CZ21" i="11"/>
  <c r="CF23" i="11"/>
  <c r="FX21" i="11"/>
  <c r="KD22" i="11"/>
  <c r="FT21" i="11"/>
  <c r="BQ23" i="11"/>
  <c r="EM23" i="11"/>
  <c r="GN21" i="11"/>
  <c r="BV22" i="11"/>
  <c r="AP22" i="11"/>
  <c r="BM23" i="11"/>
  <c r="BF22" i="11"/>
  <c r="KB22" i="11"/>
  <c r="GM23" i="11"/>
  <c r="HD23" i="11"/>
  <c r="BP23" i="11"/>
  <c r="CR22" i="11"/>
  <c r="JI21" i="11"/>
  <c r="BT22" i="11"/>
  <c r="HN22" i="11"/>
  <c r="DT23" i="11"/>
  <c r="ED23" i="11"/>
  <c r="HG21" i="11"/>
  <c r="JF23" i="11"/>
  <c r="L21" i="11"/>
  <c r="JQ21" i="11"/>
  <c r="GC22" i="11"/>
  <c r="GA22" i="11"/>
  <c r="AL23" i="11"/>
  <c r="K22" i="11"/>
  <c r="JH21" i="11"/>
  <c r="IP23" i="11"/>
  <c r="Q22" i="11"/>
  <c r="AO23" i="11"/>
  <c r="HC23" i="11"/>
  <c r="CG23" i="11"/>
  <c r="ER21" i="11"/>
  <c r="BI21" i="11"/>
  <c r="DP23" i="11"/>
  <c r="EI23" i="11"/>
  <c r="AB21" i="11"/>
  <c r="V22" i="11"/>
  <c r="JH23" i="11"/>
  <c r="EQ22" i="11"/>
  <c r="BW21" i="11"/>
  <c r="FZ22" i="11"/>
  <c r="KB23" i="11"/>
  <c r="AL21" i="11"/>
  <c r="BF21" i="11"/>
  <c r="CW23" i="11"/>
  <c r="AI22" i="11"/>
  <c r="ER23" i="11"/>
  <c r="W23" i="11"/>
  <c r="AM22" i="11"/>
  <c r="DK22" i="11"/>
  <c r="AB22" i="11"/>
  <c r="HM22" i="11"/>
  <c r="C23" i="11"/>
  <c r="DR23" i="11"/>
  <c r="CV21" i="11"/>
  <c r="FD22" i="11"/>
  <c r="FT22" i="11"/>
  <c r="IB21" i="11"/>
  <c r="CQ23" i="11"/>
  <c r="CM22" i="11"/>
  <c r="FB23" i="11"/>
  <c r="AR22" i="11"/>
  <c r="AS23" i="11"/>
  <c r="AM21" i="11"/>
  <c r="DW23" i="11"/>
  <c r="DN22" i="11"/>
  <c r="EM21" i="11"/>
  <c r="IB22" i="11"/>
  <c r="HJ23" i="11"/>
  <c r="GE23" i="11"/>
  <c r="GM22" i="11"/>
  <c r="AN22" i="11"/>
  <c r="JC23" i="11"/>
  <c r="FQ23" i="11"/>
  <c r="EK21" i="11"/>
  <c r="EZ21" i="11"/>
  <c r="JZ22" i="11"/>
  <c r="BH23" i="11"/>
  <c r="JE23" i="11"/>
  <c r="HS22" i="11"/>
  <c r="BP22" i="11"/>
  <c r="CN22" i="11"/>
  <c r="IR22" i="11"/>
  <c r="FK22" i="11"/>
  <c r="HA21" i="11"/>
  <c r="HV21" i="11"/>
  <c r="DD22" i="11"/>
  <c r="G23" i="11"/>
  <c r="IC21" i="11"/>
  <c r="HN21" i="11"/>
  <c r="BP21" i="11"/>
  <c r="BY22" i="11"/>
  <c r="JD23" i="11"/>
  <c r="KG21" i="11"/>
  <c r="KO22" i="11"/>
  <c r="BB21" i="11"/>
  <c r="HW21" i="11"/>
  <c r="HO21" i="11"/>
  <c r="HC21" i="11"/>
  <c r="DY22" i="11"/>
  <c r="H23" i="11"/>
  <c r="CG21" i="11"/>
  <c r="KI22" i="11"/>
  <c r="CE23" i="11"/>
  <c r="EP23" i="11"/>
  <c r="GL22" i="11"/>
  <c r="GI23" i="11"/>
  <c r="HE23" i="11"/>
  <c r="GK22" i="11"/>
  <c r="BU21" i="11"/>
  <c r="HD21" i="11"/>
  <c r="GO21" i="11"/>
  <c r="EF22" i="11"/>
  <c r="FA22" i="11"/>
  <c r="JY21" i="11"/>
  <c r="KL21" i="11"/>
  <c r="EJ21" i="11"/>
  <c r="HX23" i="11"/>
  <c r="HT21" i="11"/>
  <c r="IH21" i="11"/>
  <c r="EG23" i="11"/>
  <c r="BV23" i="11"/>
  <c r="ET23" i="11"/>
  <c r="BY21" i="11"/>
  <c r="GD21" i="11"/>
  <c r="GK21" i="11"/>
  <c r="IV22" i="11"/>
  <c r="HI21" i="11"/>
  <c r="ET21" i="11"/>
  <c r="IT21" i="11"/>
  <c r="JN21" i="11"/>
  <c r="JE22" i="11"/>
  <c r="EN22" i="11"/>
  <c r="DX22" i="11"/>
  <c r="FG21" i="11"/>
  <c r="CH22" i="11"/>
  <c r="GZ23" i="11"/>
  <c r="JZ21" i="11"/>
  <c r="HZ23" i="11"/>
  <c r="M23" i="11"/>
  <c r="KN23" i="11"/>
  <c r="AG21" i="11"/>
  <c r="CQ21" i="11"/>
  <c r="BX23" i="11"/>
  <c r="EX21" i="11"/>
  <c r="DK21" i="11"/>
  <c r="JY22" i="11"/>
  <c r="AC21" i="11"/>
  <c r="FO23" i="11"/>
  <c r="FN23" i="11"/>
  <c r="GI21" i="11"/>
  <c r="GG21" i="11"/>
  <c r="GZ21" i="11"/>
  <c r="JM22" i="11"/>
  <c r="FK23" i="11"/>
  <c r="JA22" i="11"/>
  <c r="DL21" i="11"/>
  <c r="EG22" i="11"/>
  <c r="ID23" i="11"/>
  <c r="EV23" i="11"/>
  <c r="EY22" i="11"/>
  <c r="KK22" i="11"/>
  <c r="JG23" i="11"/>
  <c r="HG22" i="11"/>
  <c r="DX23" i="11"/>
  <c r="GP23" i="11"/>
  <c r="BQ21" i="11"/>
  <c r="AB23" i="11"/>
  <c r="X21" i="11"/>
  <c r="HY23" i="11"/>
  <c r="HU22" i="11"/>
  <c r="GJ23" i="11"/>
  <c r="CX21" i="11"/>
  <c r="CE21" i="11"/>
  <c r="HO22" i="11"/>
  <c r="IO22" i="11"/>
  <c r="F22" i="11"/>
  <c r="II22" i="11"/>
  <c r="IZ21" i="11"/>
  <c r="EB22" i="11"/>
  <c r="CO21" i="11"/>
  <c r="AY23" i="11"/>
  <c r="AE22" i="11"/>
  <c r="FL23" i="11"/>
  <c r="FV22" i="11"/>
  <c r="FO21" i="11"/>
  <c r="GF23" i="11"/>
  <c r="HC22" i="11"/>
  <c r="DS23" i="11"/>
  <c r="JV23" i="11"/>
  <c r="IL23" i="11"/>
  <c r="EV21" i="11"/>
  <c r="KM22" i="11"/>
  <c r="IY23" i="11"/>
  <c r="BX21" i="11"/>
  <c r="EL21" i="11"/>
  <c r="IF23" i="11"/>
  <c r="DF21" i="11"/>
  <c r="GB23" i="11"/>
  <c r="IC22" i="11"/>
  <c r="KG23" i="11"/>
  <c r="FJ23" i="11"/>
  <c r="EB21" i="11"/>
  <c r="DM21" i="11"/>
  <c r="JO21" i="11"/>
  <c r="EA21" i="11"/>
  <c r="AJ23" i="11"/>
  <c r="BA21" i="11"/>
  <c r="JN23" i="11"/>
  <c r="AF22" i="11"/>
  <c r="BE23" i="11"/>
  <c r="BH21" i="11"/>
  <c r="BW23" i="11"/>
  <c r="JK23" i="11"/>
  <c r="AS22" i="11"/>
  <c r="HY22" i="11"/>
  <c r="U23" i="11"/>
  <c r="GW23" i="11"/>
  <c r="CO23" i="11"/>
  <c r="JR22" i="11"/>
  <c r="GU21" i="11"/>
  <c r="IJ23" i="11"/>
  <c r="IR23" i="11"/>
  <c r="AG23" i="11"/>
  <c r="GB21" i="11"/>
  <c r="DS22" i="11"/>
  <c r="DM22" i="11"/>
  <c r="CG22" i="11"/>
  <c r="HM21" i="11"/>
  <c r="BV21" i="11"/>
  <c r="BD22" i="11"/>
  <c r="AO22" i="11"/>
  <c r="GG22" i="11"/>
  <c r="CF22" i="11"/>
  <c r="DF22" i="11"/>
  <c r="KD21" i="11"/>
  <c r="S21" i="11"/>
  <c r="CZ22" i="11"/>
  <c r="BC22" i="11"/>
  <c r="BH22" i="11"/>
  <c r="BG22" i="11"/>
  <c r="GL23" i="11"/>
  <c r="AI23" i="11"/>
  <c r="KH21" i="11"/>
  <c r="JU21" i="11"/>
  <c r="FY23" i="11"/>
  <c r="FB22" i="11"/>
  <c r="ED22" i="11"/>
  <c r="AV23" i="11"/>
  <c r="CN23" i="11"/>
  <c r="BR22" i="11"/>
  <c r="EC21" i="11"/>
  <c r="HZ21" i="11"/>
  <c r="FG22" i="11"/>
  <c r="DR22" i="11"/>
  <c r="JK22" i="11"/>
  <c r="FR22" i="11"/>
  <c r="AJ21" i="11"/>
  <c r="HH21" i="11"/>
  <c r="FI21" i="11"/>
  <c r="KG22" i="11"/>
  <c r="HQ22" i="11"/>
  <c r="KC21" i="11"/>
  <c r="HN23" i="11"/>
  <c r="HW23" i="11"/>
  <c r="BT21" i="11"/>
  <c r="IQ22" i="11"/>
  <c r="U21" i="11"/>
  <c r="JD22" i="11"/>
  <c r="FE22" i="11"/>
  <c r="IX22" i="11"/>
  <c r="D22" i="11"/>
  <c r="I23" i="11"/>
  <c r="DR21" i="11"/>
  <c r="EH21" i="11"/>
  <c r="KH23" i="11"/>
  <c r="DO21" i="11"/>
  <c r="DE23" i="11"/>
  <c r="AC22" i="11"/>
  <c r="DH21" i="11"/>
  <c r="AY21" i="11"/>
  <c r="IS22" i="11"/>
  <c r="BM21" i="11"/>
  <c r="BW22" i="11"/>
  <c r="IM23" i="11"/>
  <c r="BC23" i="11"/>
  <c r="FS23" i="11"/>
  <c r="HJ21" i="11"/>
  <c r="HK22" i="11"/>
  <c r="HL23" i="11"/>
  <c r="FN22" i="11"/>
  <c r="JL21" i="11"/>
  <c r="AH22" i="11"/>
  <c r="AZ23" i="11"/>
  <c r="IM21" i="11"/>
  <c r="IX21" i="11"/>
  <c r="CL21" i="11"/>
  <c r="FY21" i="11"/>
  <c r="CI21" i="11"/>
  <c r="BC21" i="11"/>
  <c r="GL21" i="11"/>
  <c r="DG21" i="11"/>
  <c r="HR23" i="11"/>
  <c r="GK23" i="11"/>
  <c r="KE23" i="11"/>
  <c r="FU23" i="11"/>
  <c r="GY23" i="11"/>
  <c r="EQ23" i="11"/>
  <c r="IN21" i="11"/>
  <c r="BK21" i="11"/>
  <c r="JT21" i="11"/>
  <c r="DP22" i="11"/>
  <c r="DN23" i="11"/>
  <c r="DK23" i="11"/>
  <c r="AI21" i="11"/>
  <c r="F21" i="11"/>
  <c r="CC21" i="11"/>
  <c r="FN21" i="11"/>
  <c r="CR21" i="11"/>
  <c r="GJ21" i="11"/>
  <c r="CK21" i="11"/>
  <c r="KN21" i="11"/>
  <c r="R21" i="11"/>
  <c r="JN22" i="11"/>
  <c r="CA22" i="11"/>
  <c r="IZ22" i="11"/>
  <c r="DO23" i="11"/>
  <c r="JE21" i="11"/>
  <c r="GT22" i="11"/>
  <c r="Q21" i="11"/>
  <c r="FF22" i="11"/>
  <c r="EI21" i="11"/>
  <c r="D23" i="11"/>
  <c r="J23" i="11"/>
  <c r="JJ22" i="11"/>
  <c r="IJ21" i="11"/>
  <c r="N21" i="11"/>
  <c r="AR21" i="11"/>
  <c r="CV22" i="11"/>
  <c r="CM21" i="11"/>
  <c r="GN23" i="11"/>
  <c r="AA23" i="11"/>
  <c r="IW23" i="11"/>
  <c r="BN23" i="11"/>
  <c r="JD21" i="11"/>
  <c r="DC22" i="11"/>
  <c r="AU22" i="11"/>
  <c r="DV22" i="11"/>
  <c r="JP21" i="11"/>
  <c r="BO23" i="11"/>
  <c r="HE21" i="11"/>
  <c r="GB22" i="11"/>
  <c r="EN23" i="11"/>
  <c r="GE22" i="11"/>
  <c r="DQ22" i="11"/>
  <c r="HL21" i="11"/>
  <c r="EB23" i="11"/>
  <c r="AA22" i="11"/>
  <c r="BS23" i="11"/>
  <c r="CT21" i="11"/>
  <c r="BK22" i="11"/>
  <c r="N23" i="11"/>
  <c r="DU23" i="11"/>
  <c r="GR21" i="11"/>
  <c r="AN23" i="11"/>
  <c r="JC22" i="11"/>
  <c r="HX22" i="11"/>
  <c r="CZ23" i="11"/>
  <c r="HE22" i="11"/>
  <c r="FY22" i="11"/>
  <c r="FD23" i="11"/>
  <c r="CR23" i="11"/>
  <c r="GF21" i="11"/>
  <c r="FH22" i="11"/>
  <c r="GS22" i="11"/>
  <c r="JB22" i="11"/>
  <c r="CW22" i="11"/>
  <c r="EV22" i="11"/>
  <c r="GX23" i="11"/>
  <c r="EP22" i="11"/>
  <c r="H21" i="11"/>
  <c r="HA22" i="11"/>
  <c r="HH23" i="11"/>
  <c r="AW23" i="11"/>
  <c r="IS21" i="11"/>
  <c r="JF21" i="11"/>
  <c r="CY23" i="11"/>
  <c r="CF21" i="11"/>
  <c r="JQ23" i="11"/>
  <c r="JB21" i="11"/>
  <c r="DU22" i="11"/>
  <c r="GH22" i="11"/>
  <c r="JJ23" i="11"/>
  <c r="FA23" i="11"/>
  <c r="KO21" i="11"/>
  <c r="IW22" i="11"/>
  <c r="ES22" i="11"/>
  <c r="BU23" i="11"/>
  <c r="KF22" i="11"/>
  <c r="JT22" i="11"/>
  <c r="GD23" i="11"/>
  <c r="CN21" i="11"/>
  <c r="P23" i="11"/>
  <c r="BZ21" i="11"/>
  <c r="DM23" i="11"/>
  <c r="AS21" i="11"/>
  <c r="EK23" i="11"/>
  <c r="DZ22" i="11"/>
  <c r="JV22" i="11"/>
  <c r="BG21" i="11"/>
  <c r="JJ21" i="11"/>
  <c r="D21" i="11"/>
  <c r="IV23" i="11"/>
  <c r="JL23" i="11"/>
  <c r="JX22" i="11"/>
  <c r="DA22" i="11"/>
  <c r="FK21" i="11"/>
  <c r="DZ21" i="11"/>
  <c r="EG21" i="11"/>
  <c r="FC23" i="11"/>
  <c r="KE22" i="11"/>
  <c r="JR21" i="11"/>
  <c r="BK23" i="11"/>
  <c r="M21" i="11"/>
  <c r="HU21" i="11"/>
  <c r="O21" i="11"/>
  <c r="BI22" i="11"/>
  <c r="HS23" i="11"/>
  <c r="ER22" i="11"/>
  <c r="IX23" i="11"/>
  <c r="IG21" i="11"/>
  <c r="DG22" i="11"/>
  <c r="FB21" i="11"/>
  <c r="FP22" i="11"/>
  <c r="IK21" i="11"/>
  <c r="EU23" i="11"/>
  <c r="JX23" i="11"/>
  <c r="L22" i="11"/>
  <c r="F23" i="11"/>
  <c r="IP22" i="11"/>
  <c r="CS23" i="11"/>
  <c r="AA21" i="11"/>
  <c r="DD21" i="11"/>
  <c r="BM22" i="11"/>
  <c r="KI23" i="11"/>
  <c r="IO21" i="11"/>
  <c r="GX22" i="11"/>
  <c r="BT23" i="11"/>
  <c r="J21" i="11"/>
  <c r="AV21" i="11"/>
  <c r="DY23" i="11"/>
  <c r="HZ22" i="11"/>
  <c r="IW21" i="11"/>
  <c r="KM21" i="11"/>
  <c r="CD22" i="11"/>
  <c r="GU23" i="11"/>
  <c r="JS21" i="11"/>
  <c r="FM22" i="11"/>
  <c r="DL23" i="11"/>
  <c r="CP21" i="11"/>
  <c r="DH22" i="11"/>
  <c r="R23" i="11"/>
  <c r="GP22" i="11"/>
  <c r="IU22" i="11"/>
  <c r="EE22" i="11"/>
  <c r="GA21" i="11"/>
  <c r="DZ23" i="11"/>
  <c r="DF23" i="11"/>
  <c r="DT21" i="11"/>
  <c r="HM23" i="11"/>
  <c r="M22" i="11"/>
  <c r="KP22" i="11"/>
  <c r="CS21" i="11"/>
  <c r="BS22" i="11"/>
  <c r="BL21" i="11"/>
  <c r="V23" i="11"/>
  <c r="DV21" i="11"/>
  <c r="IS23" i="11"/>
  <c r="JI22" i="11"/>
  <c r="KA22" i="11"/>
  <c r="JH22" i="11"/>
  <c r="GH23" i="11"/>
  <c r="JR23" i="11"/>
  <c r="IE22" i="11"/>
  <c r="IU23" i="11"/>
  <c r="GY21" i="11"/>
  <c r="AT23" i="11"/>
  <c r="G22" i="11"/>
  <c r="E22" i="11"/>
  <c r="CV23" i="11"/>
  <c r="KE21" i="11"/>
  <c r="CJ21" i="11"/>
  <c r="IH22" i="11"/>
  <c r="FU22" i="11"/>
  <c r="Z23" i="11"/>
  <c r="IP21" i="11"/>
  <c r="IY21" i="11"/>
  <c r="HT23" i="11"/>
  <c r="AC23" i="11"/>
  <c r="JU22" i="11"/>
  <c r="FJ21" i="11"/>
  <c r="KK23" i="11"/>
  <c r="JM23" i="11"/>
  <c r="FH23" i="11"/>
  <c r="AZ21" i="11"/>
  <c r="DJ22" i="11"/>
  <c r="IL21" i="11"/>
  <c r="GV22" i="11"/>
  <c r="EU22" i="11"/>
  <c r="FX23" i="11"/>
  <c r="FE23" i="11"/>
  <c r="W22" i="11"/>
  <c r="N22" i="11"/>
  <c r="FC21" i="11"/>
  <c r="FZ23" i="11"/>
  <c r="KF23" i="11"/>
  <c r="IC23" i="11"/>
  <c r="JQ22" i="11"/>
  <c r="CX22" i="11"/>
  <c r="GV21" i="11"/>
  <c r="CU22" i="11"/>
  <c r="DA21" i="11"/>
  <c r="DU21" i="11"/>
  <c r="EJ22" i="11"/>
  <c r="X22" i="11"/>
  <c r="IA22" i="11"/>
  <c r="AO21" i="11"/>
  <c r="IN22" i="11"/>
  <c r="BN21" i="11"/>
  <c r="IF22" i="11"/>
  <c r="FF23" i="11"/>
  <c r="EC22" i="11"/>
  <c r="FR23" i="11"/>
  <c r="HF22" i="11"/>
  <c r="JS22" i="11"/>
  <c r="GZ22" i="11"/>
  <c r="HL22" i="11"/>
  <c r="AT21" i="11"/>
  <c r="JA23" i="11"/>
  <c r="JZ23" i="11"/>
  <c r="EL22" i="11"/>
  <c r="BD23" i="11"/>
  <c r="CK23" i="11"/>
  <c r="KA23" i="11"/>
  <c r="DH23" i="11"/>
  <c r="JP23" i="11"/>
  <c r="KJ23" i="11"/>
  <c r="EW21" i="11"/>
  <c r="CE22" i="11"/>
  <c r="KN22" i="11"/>
  <c r="FM23" i="11"/>
  <c r="S23" i="11"/>
  <c r="AU21" i="11"/>
  <c r="DC21" i="11"/>
  <c r="IG22" i="11"/>
  <c r="HP23" i="11"/>
  <c r="AH23" i="11"/>
  <c r="JA21" i="11"/>
  <c r="GS21" i="11"/>
  <c r="FW23" i="11"/>
  <c r="P21" i="11"/>
  <c r="GU22" i="11"/>
  <c r="IT22" i="11"/>
  <c r="BD21" i="11"/>
  <c r="GW21" i="11"/>
  <c r="BG23" i="11"/>
  <c r="FD21" i="11"/>
  <c r="JF22" i="11"/>
  <c r="AR23" i="11"/>
  <c r="GV23" i="11"/>
  <c r="Z21" i="11"/>
  <c r="DV23" i="11"/>
  <c r="JW23" i="11"/>
  <c r="AD21" i="11"/>
  <c r="DI22" i="11"/>
  <c r="GD22" i="11"/>
  <c r="EM22" i="11"/>
  <c r="JG22" i="11"/>
  <c r="CD23" i="11"/>
  <c r="DN21" i="11"/>
  <c r="KP23" i="11"/>
  <c r="GO22" i="11"/>
  <c r="FU21" i="11"/>
  <c r="BY23" i="11"/>
  <c r="EZ23" i="11"/>
  <c r="T21" i="11"/>
  <c r="GJ22" i="11"/>
  <c r="ES23" i="11"/>
  <c r="EO23" i="11"/>
  <c r="FW22" i="11"/>
  <c r="AX21" i="11"/>
  <c r="CH23" i="11"/>
  <c r="IO23" i="11"/>
  <c r="Z22" i="11"/>
  <c r="FR21" i="11"/>
  <c r="BN22" i="11"/>
  <c r="BO22" i="11"/>
  <c r="GH21" i="11"/>
  <c r="CT23" i="11"/>
  <c r="AP23" i="11"/>
  <c r="FE21" i="11"/>
  <c r="HW22" i="11"/>
  <c r="E21" i="11"/>
  <c r="DE22" i="11"/>
  <c r="II21" i="11"/>
  <c r="BQ22" i="11"/>
  <c r="FP23" i="11"/>
  <c r="CB22" i="11"/>
  <c r="IL22" i="11"/>
  <c r="IR21" i="11"/>
  <c r="CB21" i="11"/>
  <c r="IV21" i="11"/>
  <c r="JM21" i="11"/>
  <c r="HB21" i="11"/>
  <c r="FS22" i="11"/>
  <c r="EH23" i="11"/>
  <c r="FQ21" i="11"/>
  <c r="CL22" i="11"/>
  <c r="JL22" i="11"/>
  <c r="JB23" i="11"/>
  <c r="GQ21" i="11"/>
  <c r="AM23" i="11"/>
  <c r="HA23" i="11"/>
  <c r="GQ23" i="11"/>
  <c r="Q23" i="11"/>
  <c r="HF21" i="11"/>
  <c r="FO22" i="11"/>
  <c r="IB23" i="11"/>
  <c r="HI22" i="11"/>
  <c r="II23" i="11"/>
  <c r="KO23" i="11"/>
  <c r="FF21" i="11"/>
  <c r="DG23" i="11"/>
  <c r="L23" i="11"/>
  <c r="CB23" i="11"/>
  <c r="HB22" i="11"/>
  <c r="JG21" i="11"/>
  <c r="BR23" i="11"/>
  <c r="KP21" i="11"/>
  <c r="HH22" i="11"/>
  <c r="AT22" i="11"/>
  <c r="BR21" i="11"/>
  <c r="CP23" i="11"/>
  <c r="HF23" i="11"/>
  <c r="X23" i="11"/>
  <c r="FI23" i="11"/>
  <c r="CC22" i="11"/>
  <c r="KC22" i="11"/>
  <c r="GC21" i="11"/>
  <c r="GM21" i="11"/>
  <c r="HY21" i="11"/>
  <c r="EW23" i="11"/>
  <c r="JO22" i="11"/>
  <c r="IE21" i="11"/>
  <c r="KB21" i="11"/>
  <c r="JT23" i="11"/>
  <c r="GT21" i="11"/>
  <c r="IU21" i="11"/>
  <c r="DT22" i="11"/>
  <c r="GE21" i="11"/>
  <c r="AK23" i="11"/>
  <c r="HO23" i="11"/>
  <c r="FH21" i="11"/>
  <c r="AV22" i="11"/>
  <c r="KD23" i="11"/>
  <c r="IE23" i="11"/>
  <c r="AQ22" i="11"/>
  <c r="AQ23" i="11"/>
  <c r="EO21" i="11"/>
  <c r="FG23" i="11"/>
  <c r="Y23" i="11"/>
  <c r="GI22" i="11"/>
  <c r="DW22" i="11"/>
  <c r="BU22" i="11"/>
  <c r="HX21" i="11"/>
  <c r="HG23" i="11"/>
  <c r="AZ22" i="11"/>
  <c r="IN23" i="11"/>
  <c r="CY22" i="11"/>
  <c r="DQ23" i="11"/>
  <c r="GN22" i="11"/>
  <c r="CI22" i="11"/>
  <c r="EQ21" i="11"/>
  <c r="FS21" i="11"/>
  <c r="EK22" i="11"/>
  <c r="IM22" i="11"/>
  <c r="EF23" i="11"/>
  <c r="K21" i="11"/>
  <c r="GY22" i="11"/>
  <c r="HP22" i="11"/>
  <c r="EA22" i="11"/>
  <c r="AL22" i="11"/>
  <c r="BO21" i="11"/>
  <c r="JI23" i="11"/>
  <c r="IF21" i="11"/>
  <c r="CS22" i="11"/>
  <c r="FP21" i="11"/>
  <c r="JC21" i="11"/>
  <c r="EW22" i="11"/>
  <c r="HD22" i="11"/>
  <c r="U22" i="11"/>
  <c r="FI22" i="11"/>
  <c r="HR22" i="11"/>
  <c r="V21" i="11"/>
  <c r="CP22" i="11"/>
  <c r="EN21" i="11"/>
  <c r="HU23" i="11"/>
  <c r="FL22" i="11"/>
  <c r="GG23" i="11"/>
  <c r="GW22" i="11"/>
  <c r="AY22" i="11"/>
  <c r="JW22" i="11"/>
  <c r="GA23" i="11"/>
  <c r="FM21" i="11"/>
  <c r="EO22" i="11"/>
  <c r="AJ22" i="11"/>
  <c r="CX23" i="11"/>
  <c r="FV21" i="11"/>
  <c r="DD23" i="11"/>
  <c r="HJ22" i="11"/>
  <c r="HQ23" i="11"/>
  <c r="S22" i="11"/>
  <c r="JK21" i="11"/>
  <c r="EY23" i="11"/>
  <c r="BL22" i="11"/>
  <c r="T23" i="11"/>
  <c r="HS21" i="11"/>
  <c r="HT22" i="11"/>
  <c r="BS21" i="11"/>
  <c r="CC23" i="11"/>
  <c r="EX23" i="11"/>
  <c r="K23" i="11"/>
  <c r="G69" i="11"/>
  <c r="FD69" i="11"/>
  <c r="BQ69" i="11"/>
  <c r="IR69" i="11"/>
  <c r="IU69" i="11"/>
  <c r="FT69" i="11"/>
  <c r="EX69" i="11"/>
  <c r="HG69" i="11"/>
  <c r="CZ69" i="11"/>
  <c r="HB69" i="11"/>
  <c r="EF69" i="11"/>
  <c r="IW69" i="11"/>
  <c r="HV69" i="11"/>
  <c r="DH69" i="11"/>
  <c r="DF69" i="11"/>
  <c r="KJ69" i="11"/>
  <c r="CR69" i="11"/>
  <c r="GY69" i="11"/>
  <c r="P69" i="11"/>
  <c r="FI69" i="11"/>
  <c r="ID69" i="11"/>
  <c r="R69" i="11"/>
  <c r="KI69" i="11"/>
  <c r="HZ69" i="11"/>
  <c r="IH69" i="11"/>
  <c r="FG69" i="11"/>
  <c r="GQ69" i="11"/>
  <c r="EY69" i="11"/>
  <c r="ED69" i="11"/>
  <c r="GL69" i="11"/>
  <c r="HP69" i="11"/>
  <c r="CY69" i="11"/>
  <c r="HY69" i="11"/>
  <c r="AZ69" i="11"/>
  <c r="CB69" i="11"/>
  <c r="CG69" i="11"/>
  <c r="BW69" i="11"/>
  <c r="IL69" i="11"/>
  <c r="GE69" i="11"/>
  <c r="BR69" i="11"/>
  <c r="EQ69" i="11"/>
  <c r="AC69" i="11"/>
  <c r="AR69" i="11"/>
  <c r="DC69" i="11"/>
  <c r="IY69" i="11"/>
  <c r="GJ69" i="11"/>
  <c r="BM69" i="11"/>
  <c r="FJ69" i="11"/>
  <c r="AD69" i="11"/>
  <c r="DT69" i="11"/>
  <c r="BS69" i="11"/>
  <c r="BO69" i="11"/>
  <c r="AP69" i="11"/>
  <c r="JD69" i="11"/>
  <c r="FK69" i="11"/>
  <c r="GM69" i="11"/>
  <c r="Q69" i="11"/>
  <c r="IG69" i="11"/>
  <c r="BF69" i="11"/>
  <c r="H69" i="11"/>
  <c r="CX69" i="11"/>
  <c r="IV69" i="11"/>
  <c r="FQ69" i="11"/>
  <c r="KC69" i="11"/>
  <c r="AK69" i="11"/>
  <c r="JR69" i="11"/>
  <c r="HL69" i="11"/>
  <c r="FW69" i="11"/>
  <c r="CQ69" i="11"/>
  <c r="GG69" i="11"/>
  <c r="HJ69" i="11"/>
  <c r="JU69" i="11"/>
  <c r="EO69" i="11"/>
  <c r="CO69" i="11"/>
  <c r="Z69" i="11"/>
  <c r="GT69" i="11"/>
  <c r="KE69" i="11"/>
  <c r="JX69" i="11"/>
  <c r="K69" i="11"/>
  <c r="AU69" i="11"/>
  <c r="KK69" i="11"/>
  <c r="CI69" i="11"/>
  <c r="GB69" i="11"/>
  <c r="KD69" i="11"/>
  <c r="EG69" i="11"/>
  <c r="BP69" i="11"/>
  <c r="O69" i="11"/>
  <c r="IN69" i="11"/>
  <c r="CK69" i="11"/>
  <c r="KM69" i="11"/>
  <c r="DU69" i="11"/>
  <c r="U69" i="11"/>
  <c r="EZ69" i="11"/>
  <c r="BV69" i="11"/>
  <c r="AS69" i="11"/>
  <c r="JJ69" i="11"/>
  <c r="EH69" i="11"/>
  <c r="AL69" i="11"/>
  <c r="JF69" i="11"/>
  <c r="FN69" i="11"/>
  <c r="HC69" i="11"/>
  <c r="EP69" i="11"/>
  <c r="FF69" i="11"/>
  <c r="DV69" i="11"/>
  <c r="AW69" i="11"/>
  <c r="FM69" i="11"/>
  <c r="CS69" i="11"/>
  <c r="EI69" i="11"/>
  <c r="FC69" i="11"/>
  <c r="DA69" i="11"/>
  <c r="DK69" i="11"/>
  <c r="BZ69" i="11"/>
  <c r="GK69" i="11"/>
  <c r="ET69" i="11"/>
  <c r="HD69" i="11"/>
  <c r="T69" i="11"/>
  <c r="HQ69" i="11"/>
  <c r="BL69" i="11"/>
  <c r="AF69" i="11"/>
  <c r="JW69" i="11"/>
  <c r="AO69" i="11"/>
  <c r="JB69" i="11"/>
  <c r="BA69" i="11"/>
  <c r="JL69" i="11"/>
  <c r="JH69" i="11"/>
  <c r="DM69" i="11"/>
  <c r="EN69" i="11"/>
  <c r="N69" i="11"/>
  <c r="JP69" i="11"/>
  <c r="BD69" i="11"/>
  <c r="IB69" i="11"/>
  <c r="JM69" i="11"/>
  <c r="AQ69" i="11"/>
  <c r="GH69" i="11"/>
  <c r="HS69" i="11"/>
  <c r="KG69" i="11"/>
  <c r="GS69" i="11"/>
  <c r="HA69" i="11"/>
  <c r="FP69" i="11"/>
  <c r="AN69" i="11"/>
  <c r="FB69" i="11"/>
  <c r="AH69" i="11"/>
  <c r="HN69" i="11"/>
  <c r="AV69" i="11"/>
  <c r="FX69" i="11"/>
  <c r="AX69" i="11"/>
  <c r="CL69" i="11"/>
  <c r="DL69" i="11"/>
  <c r="CW69" i="11"/>
  <c r="GX69" i="11"/>
  <c r="KO69" i="11"/>
  <c r="GP69" i="11"/>
  <c r="IE69" i="11"/>
  <c r="DI69" i="11"/>
  <c r="GA69" i="11"/>
  <c r="DP69" i="11"/>
  <c r="ES69" i="11"/>
  <c r="FR69" i="11"/>
  <c r="IS69" i="11"/>
  <c r="DW69" i="11"/>
  <c r="JG69" i="11"/>
  <c r="CU69" i="11"/>
  <c r="CJ69" i="11"/>
  <c r="JS69" i="11"/>
  <c r="DO69" i="11"/>
  <c r="D69" i="11"/>
  <c r="JC69" i="11"/>
  <c r="HI69" i="11"/>
  <c r="EJ69" i="11"/>
  <c r="FA69" i="11"/>
  <c r="DR69" i="11"/>
  <c r="FS69" i="11"/>
  <c r="AM69" i="11"/>
  <c r="E69" i="11"/>
  <c r="DG69" i="11"/>
  <c r="KH69" i="11"/>
  <c r="IA69" i="11"/>
  <c r="DD69" i="11"/>
  <c r="HO69" i="11"/>
  <c r="HE69" i="11"/>
  <c r="I69" i="11"/>
  <c r="BJ69" i="11"/>
  <c r="DJ69" i="11"/>
  <c r="BB69" i="11"/>
  <c r="GR69" i="11"/>
  <c r="GD69" i="11"/>
  <c r="JE69" i="11"/>
  <c r="EE69" i="11"/>
  <c r="AB69" i="11"/>
  <c r="DZ69" i="11"/>
  <c r="BX69" i="11"/>
  <c r="IT69" i="11"/>
  <c r="HT69" i="11"/>
  <c r="KB69" i="11"/>
  <c r="FU69" i="11"/>
  <c r="KL69" i="11"/>
  <c r="DS69" i="11"/>
  <c r="DQ69" i="11"/>
  <c r="DY69" i="11"/>
  <c r="BK69" i="11"/>
  <c r="EC69" i="11"/>
  <c r="AT69" i="11"/>
  <c r="CV69" i="11"/>
  <c r="FY69" i="11"/>
  <c r="W69" i="11"/>
  <c r="CC69" i="11"/>
  <c r="FL69" i="11"/>
  <c r="KN69" i="11"/>
  <c r="EL69" i="11"/>
  <c r="AA69" i="11"/>
  <c r="ER69" i="11"/>
  <c r="CT69" i="11"/>
  <c r="JT69" i="11"/>
  <c r="IO69" i="11"/>
  <c r="FO69" i="11"/>
  <c r="CM69" i="11"/>
  <c r="IP69" i="11"/>
  <c r="DX69" i="11"/>
  <c r="BC69" i="11"/>
  <c r="IC69" i="11"/>
  <c r="EU69" i="11"/>
  <c r="DN69" i="11"/>
  <c r="L69" i="11"/>
  <c r="IK69" i="11"/>
  <c r="JY69" i="11"/>
  <c r="EK69" i="11"/>
  <c r="GC69" i="11"/>
  <c r="X69" i="11"/>
  <c r="HM69" i="11"/>
  <c r="KA69" i="11"/>
  <c r="GO69" i="11"/>
  <c r="JO69" i="11"/>
  <c r="FE69" i="11"/>
  <c r="IM69" i="11"/>
  <c r="DB69" i="11"/>
  <c r="Y69" i="11"/>
  <c r="EV69" i="11"/>
  <c r="JN69" i="11"/>
  <c r="JI69" i="11"/>
  <c r="BT69" i="11"/>
  <c r="GZ69" i="11"/>
  <c r="JQ69" i="11"/>
  <c r="HF69" i="11"/>
  <c r="DE69" i="11"/>
  <c r="CA69" i="11"/>
  <c r="J69" i="11"/>
  <c r="EA69" i="11"/>
  <c r="KF69" i="11"/>
  <c r="JZ69" i="11"/>
  <c r="EW69" i="11"/>
  <c r="CE69" i="11"/>
  <c r="JV69" i="11"/>
  <c r="GF69" i="11"/>
  <c r="BI69" i="11"/>
  <c r="BY69" i="11"/>
  <c r="EM69" i="11"/>
  <c r="IX69" i="11"/>
  <c r="GN69" i="11"/>
  <c r="M69" i="11"/>
  <c r="GU69" i="11"/>
  <c r="FV69" i="11"/>
  <c r="CD69" i="11"/>
  <c r="JK69" i="11"/>
  <c r="C69" i="11"/>
  <c r="HH69" i="11"/>
  <c r="HW69" i="11"/>
  <c r="AJ69" i="11"/>
  <c r="CN69" i="11"/>
  <c r="JA69" i="11"/>
  <c r="GI69" i="11"/>
  <c r="HK69" i="11"/>
  <c r="CF69" i="11"/>
  <c r="IF69" i="11"/>
  <c r="CH69" i="11"/>
  <c r="HU69" i="11"/>
  <c r="AG69" i="11"/>
  <c r="BE69" i="11"/>
  <c r="HX69" i="11"/>
  <c r="AY69" i="11"/>
  <c r="EB69" i="11"/>
  <c r="BH69" i="11"/>
  <c r="GW69" i="11"/>
  <c r="IQ69" i="11"/>
  <c r="FZ69" i="11"/>
  <c r="F69" i="11"/>
  <c r="AI69" i="11"/>
  <c r="GV69" i="11"/>
  <c r="BG69" i="11"/>
  <c r="CP69" i="11"/>
  <c r="S69" i="11"/>
  <c r="IZ69" i="11"/>
  <c r="BN69" i="11"/>
  <c r="II69" i="11"/>
  <c r="IJ69" i="11"/>
  <c r="FH69" i="11"/>
  <c r="BU69" i="11"/>
  <c r="V69" i="11"/>
  <c r="HR69" i="11"/>
  <c r="AE69" i="11"/>
  <c r="KP69" i="11"/>
  <c r="AP75" i="11"/>
  <c r="CT76" i="11"/>
  <c r="DI76" i="11"/>
  <c r="GZ75" i="11"/>
  <c r="FJ76" i="11"/>
  <c r="DT75" i="11"/>
  <c r="GV76" i="11"/>
  <c r="KB77" i="11"/>
  <c r="JE75" i="11"/>
  <c r="Y76" i="11"/>
  <c r="KP76" i="11"/>
  <c r="CT77" i="11"/>
  <c r="T76" i="11"/>
  <c r="JC77" i="11"/>
  <c r="GJ75" i="11"/>
  <c r="H76" i="11"/>
  <c r="DE76" i="11"/>
  <c r="KN77" i="11"/>
  <c r="JS75" i="11"/>
  <c r="HH76" i="11"/>
  <c r="AY75" i="11"/>
  <c r="HL75" i="11"/>
  <c r="HG77" i="11"/>
  <c r="DU76" i="11"/>
  <c r="BB77" i="11"/>
  <c r="HS76" i="11"/>
  <c r="EX77" i="11"/>
  <c r="FQ76" i="11"/>
  <c r="IS77" i="11"/>
  <c r="D76" i="11"/>
  <c r="AM76" i="11"/>
  <c r="JV77" i="11"/>
  <c r="HE77" i="11"/>
  <c r="JB75" i="11"/>
  <c r="IE77" i="11"/>
  <c r="EU76" i="11"/>
  <c r="FW77" i="11"/>
  <c r="HR77" i="11"/>
  <c r="BN77" i="11"/>
  <c r="JD77" i="11"/>
  <c r="AI76" i="11"/>
  <c r="BW77" i="11"/>
  <c r="EB77" i="11"/>
  <c r="KF75" i="11"/>
  <c r="GE75" i="11"/>
  <c r="FV77" i="11"/>
  <c r="JO75" i="11"/>
  <c r="EH75" i="11"/>
  <c r="GL77" i="11"/>
  <c r="KN75" i="11"/>
  <c r="BC76" i="11"/>
  <c r="AZ77" i="11"/>
  <c r="BK76" i="11"/>
  <c r="CM77" i="11"/>
  <c r="KB75" i="11"/>
  <c r="BF75" i="11"/>
  <c r="AG76" i="11"/>
  <c r="CV75" i="11"/>
  <c r="JX77" i="11"/>
  <c r="BR75" i="11"/>
  <c r="HD75" i="11"/>
  <c r="EY75" i="11"/>
  <c r="HX77" i="11"/>
  <c r="AT75" i="11"/>
  <c r="JK76" i="11"/>
  <c r="HB76" i="11"/>
  <c r="AA76" i="11"/>
  <c r="V76" i="11"/>
  <c r="BA77" i="11"/>
  <c r="BX77" i="11"/>
  <c r="BU75" i="11"/>
  <c r="FO76" i="11"/>
  <c r="X76" i="11"/>
  <c r="DG77" i="11"/>
  <c r="EB75" i="11"/>
  <c r="KC76" i="11"/>
  <c r="AU75" i="11"/>
  <c r="H77" i="11"/>
  <c r="JU76" i="11"/>
  <c r="BK75" i="11"/>
  <c r="BI75" i="11"/>
  <c r="GS75" i="11"/>
  <c r="F77" i="11"/>
  <c r="CI75" i="11"/>
  <c r="GU77" i="11"/>
  <c r="JF77" i="11"/>
  <c r="JV76" i="11"/>
  <c r="DI75" i="11"/>
  <c r="HX76" i="11"/>
  <c r="DY77" i="11"/>
  <c r="P76" i="11"/>
  <c r="GN77" i="11"/>
  <c r="FX76" i="11"/>
  <c r="CD75" i="11"/>
  <c r="CH77" i="11"/>
  <c r="IG75" i="11"/>
  <c r="FG77" i="11"/>
  <c r="GJ76" i="11"/>
  <c r="IM77" i="11"/>
  <c r="DW77" i="11"/>
  <c r="HU75" i="11"/>
  <c r="JR77" i="11"/>
  <c r="CD77" i="11"/>
  <c r="BL75" i="11"/>
  <c r="FK75" i="11"/>
  <c r="AN76" i="11"/>
  <c r="HC76" i="11"/>
  <c r="HI75" i="11"/>
  <c r="IR77" i="11"/>
  <c r="IT77" i="11"/>
  <c r="GR77" i="11"/>
  <c r="EW75" i="11"/>
  <c r="BR77" i="11"/>
  <c r="CU76" i="11"/>
  <c r="JO76" i="11"/>
  <c r="GW76" i="11"/>
  <c r="GT75" i="11"/>
  <c r="X77" i="11"/>
  <c r="AB76" i="11"/>
  <c r="Q75" i="11"/>
  <c r="JP77" i="11"/>
  <c r="HK75" i="11"/>
  <c r="R76" i="11"/>
  <c r="AV75" i="11"/>
  <c r="HF75" i="11"/>
  <c r="I77" i="11"/>
  <c r="HL76" i="11"/>
  <c r="AW77" i="11"/>
  <c r="BQ77" i="11"/>
  <c r="N77" i="11"/>
  <c r="JE77" i="11"/>
  <c r="EH76" i="11"/>
  <c r="EV76" i="11"/>
  <c r="BV77" i="11"/>
  <c r="AO77" i="11"/>
  <c r="DO76" i="11"/>
  <c r="CB76" i="11"/>
  <c r="CV77" i="11"/>
  <c r="AE77" i="11"/>
  <c r="BL76" i="11"/>
  <c r="KK76" i="11"/>
  <c r="GM75" i="11"/>
  <c r="IP77" i="11"/>
  <c r="GT77" i="11"/>
  <c r="GU75" i="11"/>
  <c r="HO75" i="11"/>
  <c r="BW76" i="11"/>
  <c r="HQ76" i="11"/>
  <c r="IL77" i="11"/>
  <c r="DA77" i="11"/>
  <c r="FA77" i="11"/>
  <c r="FE77" i="11"/>
  <c r="FC76" i="11"/>
  <c r="KH76" i="11"/>
  <c r="DZ75" i="11"/>
  <c r="AS76" i="11"/>
  <c r="L76" i="11"/>
  <c r="KE75" i="11"/>
  <c r="CX76" i="11"/>
  <c r="CL77" i="11"/>
  <c r="BH77" i="11"/>
  <c r="HK77" i="11"/>
  <c r="O75" i="11"/>
  <c r="FS77" i="11"/>
  <c r="KE77" i="11"/>
  <c r="GB77" i="11"/>
  <c r="CL76" i="11"/>
  <c r="DQ75" i="11"/>
  <c r="GR76" i="11"/>
  <c r="HK76" i="11"/>
  <c r="CX77" i="11"/>
  <c r="CR77" i="11"/>
  <c r="CX75" i="11"/>
  <c r="BV76" i="11"/>
  <c r="DQ77" i="11"/>
  <c r="CS75" i="11"/>
  <c r="EZ75" i="11"/>
  <c r="BF76" i="11"/>
  <c r="KD77" i="11"/>
  <c r="W77" i="11"/>
  <c r="IK75" i="11"/>
  <c r="C77" i="11"/>
  <c r="BY77" i="11"/>
  <c r="GC75" i="11"/>
  <c r="BY76" i="11"/>
  <c r="HQ75" i="11"/>
  <c r="AX77" i="11"/>
  <c r="BP76" i="11"/>
  <c r="GX75" i="11"/>
  <c r="DY76" i="11"/>
  <c r="S77" i="11"/>
  <c r="JY75" i="11"/>
  <c r="AH75" i="11"/>
  <c r="DS75" i="11"/>
  <c r="IA76" i="11"/>
  <c r="KG77" i="11"/>
  <c r="IZ75" i="11"/>
  <c r="CA77" i="11"/>
  <c r="KM75" i="11"/>
  <c r="DB75" i="11"/>
  <c r="IM76" i="11"/>
  <c r="BJ76" i="11"/>
  <c r="HT77" i="11"/>
  <c r="JN75" i="11"/>
  <c r="CH75" i="11"/>
  <c r="CR76" i="11"/>
  <c r="DV77" i="11"/>
  <c r="FW75" i="11"/>
  <c r="CQ77" i="11"/>
  <c r="KD75" i="11"/>
  <c r="GG77" i="11"/>
  <c r="EP76" i="11"/>
  <c r="IQ76" i="11"/>
  <c r="EN77" i="11"/>
  <c r="CU77" i="11"/>
  <c r="FZ75" i="11"/>
  <c r="FZ76" i="11"/>
  <c r="CN77" i="11"/>
  <c r="FP77" i="11"/>
  <c r="O76" i="11"/>
  <c r="BF77" i="11"/>
  <c r="GM77" i="11"/>
  <c r="HG75" i="11"/>
  <c r="FK76" i="11"/>
  <c r="CB75" i="11"/>
  <c r="GZ77" i="11"/>
  <c r="AF75" i="11"/>
  <c r="IQ75" i="11"/>
  <c r="FH77" i="11"/>
  <c r="HH75" i="11"/>
  <c r="KJ76" i="11"/>
  <c r="AB75" i="11"/>
  <c r="KO76" i="11"/>
  <c r="EC77" i="11"/>
  <c r="BR76" i="11"/>
  <c r="FV76" i="11"/>
  <c r="AD77" i="11"/>
  <c r="DV75" i="11"/>
  <c r="BY75" i="11"/>
  <c r="AN75" i="11"/>
  <c r="IH75" i="11"/>
  <c r="P77" i="11"/>
  <c r="KO75" i="11"/>
  <c r="BS77" i="11"/>
  <c r="FU75" i="11"/>
  <c r="CE75" i="11"/>
  <c r="CF75" i="11"/>
  <c r="JT76" i="11"/>
  <c r="AL75" i="11"/>
  <c r="KJ77" i="11"/>
  <c r="EM77" i="11"/>
  <c r="FG76" i="11"/>
  <c r="GK75" i="11"/>
  <c r="E76" i="11"/>
  <c r="IC77" i="11"/>
  <c r="HH77" i="11"/>
  <c r="AJ77" i="11"/>
  <c r="KJ75" i="11"/>
  <c r="JT77" i="11"/>
  <c r="DK76" i="11"/>
  <c r="FY76" i="11"/>
  <c r="EN75" i="11"/>
  <c r="EW76" i="11"/>
  <c r="JL77" i="11"/>
  <c r="HS77" i="11"/>
  <c r="AI75" i="11"/>
  <c r="GD75" i="11"/>
  <c r="GC76" i="11"/>
  <c r="BM77" i="11"/>
  <c r="HV77" i="11"/>
  <c r="FW76" i="11"/>
  <c r="GC77" i="11"/>
  <c r="IV77" i="11"/>
  <c r="JH75" i="11"/>
  <c r="DB77" i="11"/>
  <c r="JC75" i="11"/>
  <c r="AM75" i="11"/>
  <c r="FM75" i="11"/>
  <c r="AF77" i="11"/>
  <c r="AC76" i="11"/>
  <c r="JZ77" i="11"/>
  <c r="CK76" i="11"/>
  <c r="IJ77" i="11"/>
  <c r="HJ77" i="11"/>
  <c r="HW76" i="11"/>
  <c r="AW75" i="11"/>
  <c r="JJ75" i="11"/>
  <c r="HE75" i="11"/>
  <c r="DX77" i="11"/>
  <c r="ER75" i="11"/>
  <c r="O77" i="11"/>
  <c r="JZ76" i="11"/>
  <c r="HE76" i="11"/>
  <c r="Z76" i="11"/>
  <c r="CJ75" i="11"/>
  <c r="FL76" i="11"/>
  <c r="U76" i="11"/>
  <c r="ET75" i="11"/>
  <c r="GF77" i="11"/>
  <c r="JQ75" i="11"/>
  <c r="EQ76" i="11"/>
  <c r="AB77" i="11"/>
  <c r="KD76" i="11"/>
  <c r="HL77" i="11"/>
  <c r="BE77" i="11"/>
  <c r="X75" i="11"/>
  <c r="DE75" i="11"/>
  <c r="Y77" i="11"/>
  <c r="JX76" i="11"/>
  <c r="AE75" i="11"/>
  <c r="G77" i="11"/>
  <c r="ED75" i="11"/>
  <c r="EF75" i="11"/>
  <c r="IF77" i="11"/>
  <c r="BI77" i="11"/>
  <c r="GA77" i="11"/>
  <c r="IJ75" i="11"/>
  <c r="DR77" i="11"/>
  <c r="EY76" i="11"/>
  <c r="JV75" i="11"/>
  <c r="CW75" i="11"/>
  <c r="DY75" i="11"/>
  <c r="BD76" i="11"/>
  <c r="EA75" i="11"/>
  <c r="GE77" i="11"/>
  <c r="KM77" i="11"/>
  <c r="IA75" i="11"/>
  <c r="IO77" i="11"/>
  <c r="GZ76" i="11"/>
  <c r="JR76" i="11"/>
  <c r="ID75" i="11"/>
  <c r="IG77" i="11"/>
  <c r="DF76" i="11"/>
  <c r="FP75" i="11"/>
  <c r="DN76" i="11"/>
  <c r="GE76" i="11"/>
  <c r="JZ75" i="11"/>
  <c r="H75" i="11"/>
  <c r="CW77" i="11"/>
  <c r="FE76" i="11"/>
  <c r="IA77" i="11"/>
  <c r="FT76" i="11"/>
  <c r="GF75" i="11"/>
  <c r="FT75" i="11"/>
  <c r="FS76" i="11"/>
  <c r="N75" i="11"/>
  <c r="JX75" i="11"/>
  <c r="DA76" i="11"/>
  <c r="FF77" i="11"/>
  <c r="FB77" i="11"/>
  <c r="GT76" i="11"/>
  <c r="CQ75" i="11"/>
  <c r="BM76" i="11"/>
  <c r="KG76" i="11"/>
  <c r="M77" i="11"/>
  <c r="IO75" i="11"/>
  <c r="DX75" i="11"/>
  <c r="JW75" i="11"/>
  <c r="BX76" i="11"/>
  <c r="FM77" i="11"/>
  <c r="CN75" i="11"/>
  <c r="FQ75" i="11"/>
  <c r="AK77" i="11"/>
  <c r="EF77" i="11"/>
  <c r="EL77" i="11"/>
  <c r="AA77" i="11"/>
  <c r="FN76" i="11"/>
  <c r="BP75" i="11"/>
  <c r="JN76" i="11"/>
  <c r="DN75" i="11"/>
  <c r="W75" i="11"/>
  <c r="IL75" i="11"/>
  <c r="BA76" i="11"/>
  <c r="BT76" i="11"/>
  <c r="K77" i="11"/>
  <c r="IR76" i="11"/>
  <c r="HY75" i="11"/>
  <c r="CK75" i="11"/>
  <c r="IS76" i="11"/>
  <c r="HI77" i="11"/>
  <c r="DU75" i="11"/>
  <c r="GG75" i="11"/>
  <c r="GY75" i="11"/>
  <c r="HI76" i="11"/>
  <c r="HA76" i="11"/>
  <c r="BD75" i="11"/>
  <c r="IO76" i="11"/>
  <c r="CE77" i="11"/>
  <c r="DZ76" i="11"/>
  <c r="D77" i="11"/>
  <c r="DT76" i="11"/>
  <c r="BA75" i="11"/>
  <c r="CO75" i="11"/>
  <c r="DK75" i="11"/>
  <c r="FV75" i="11"/>
  <c r="KL77" i="11"/>
  <c r="GI75" i="11"/>
  <c r="IK77" i="11"/>
  <c r="DH76" i="11"/>
  <c r="AG77" i="11"/>
  <c r="G76" i="11"/>
  <c r="AQ76" i="11"/>
  <c r="CZ77" i="11"/>
  <c r="E77" i="11"/>
  <c r="T77" i="11"/>
  <c r="KL76" i="11"/>
  <c r="C75" i="11"/>
  <c r="BO77" i="11"/>
  <c r="KF76" i="11"/>
  <c r="AN77" i="11"/>
  <c r="FD77" i="11"/>
  <c r="HD77" i="11"/>
  <c r="HZ75" i="11"/>
  <c r="AT76" i="11"/>
  <c r="M75" i="11"/>
  <c r="AH76" i="11"/>
  <c r="I76" i="11"/>
  <c r="EO77" i="11"/>
  <c r="FE75" i="11"/>
  <c r="FO77" i="11"/>
  <c r="GW77" i="11"/>
  <c r="ES76" i="11"/>
  <c r="AP77" i="11"/>
  <c r="JF75" i="11"/>
  <c r="HF76" i="11"/>
  <c r="KC75" i="11"/>
  <c r="AJ76" i="11"/>
  <c r="IW75" i="11"/>
  <c r="FA76" i="11"/>
  <c r="JH77" i="11"/>
  <c r="K75" i="11"/>
  <c r="FI77" i="11"/>
  <c r="HX75" i="11"/>
  <c r="FD76" i="11"/>
  <c r="DD76" i="11"/>
  <c r="IU76" i="11"/>
  <c r="JJ77" i="11"/>
  <c r="GI77" i="11"/>
  <c r="EC76" i="11"/>
  <c r="BZ75" i="11"/>
  <c r="FT77" i="11"/>
  <c r="DU77" i="11"/>
  <c r="CQ76" i="11"/>
  <c r="FR75" i="11"/>
  <c r="BB76" i="11"/>
  <c r="JI75" i="11"/>
  <c r="C76" i="11"/>
  <c r="FI76" i="11"/>
  <c r="IX75" i="11"/>
  <c r="CH76" i="11"/>
  <c r="P75" i="11"/>
  <c r="KE76" i="11"/>
  <c r="HW75" i="11"/>
  <c r="ID76" i="11"/>
  <c r="DS76" i="11"/>
  <c r="HD76" i="11"/>
  <c r="HY76" i="11"/>
  <c r="JI76" i="11"/>
  <c r="BB75" i="11"/>
  <c r="IH76" i="11"/>
  <c r="JG76" i="11"/>
  <c r="EQ77" i="11"/>
  <c r="F76" i="11"/>
  <c r="AQ77" i="11"/>
  <c r="DL76" i="11"/>
  <c r="IZ76" i="11"/>
  <c r="EL76" i="11"/>
  <c r="EB76" i="11"/>
  <c r="IW77" i="11"/>
  <c r="JQ77" i="11"/>
  <c r="IN77" i="11"/>
  <c r="CG76" i="11"/>
  <c r="GP75" i="11"/>
  <c r="L75" i="11"/>
  <c r="EO75" i="11"/>
  <c r="AR77" i="11"/>
  <c r="EG75" i="11"/>
  <c r="EV77" i="11"/>
  <c r="FF75" i="11"/>
  <c r="DE77" i="11"/>
  <c r="AC75" i="11"/>
  <c r="DR75" i="11"/>
  <c r="DJ77" i="11"/>
  <c r="FI75" i="11"/>
  <c r="KA76" i="11"/>
  <c r="BE76" i="11"/>
  <c r="GU76" i="11"/>
  <c r="KF77" i="11"/>
  <c r="GL75" i="11"/>
  <c r="DV76" i="11"/>
  <c r="EM75" i="11"/>
  <c r="JH76" i="11"/>
  <c r="EZ77" i="11"/>
  <c r="GQ76" i="11"/>
  <c r="GH75" i="11"/>
  <c r="CB77" i="11"/>
  <c r="EU77" i="11"/>
  <c r="JD75" i="11"/>
  <c r="BT75" i="11"/>
  <c r="DF77" i="11"/>
  <c r="AU77" i="11"/>
  <c r="DJ75" i="11"/>
  <c r="DG76" i="11"/>
  <c r="AO75" i="11"/>
  <c r="J75" i="11"/>
  <c r="BU76" i="11"/>
  <c r="N76" i="11"/>
  <c r="JE76" i="11"/>
  <c r="JB77" i="11"/>
  <c r="KM76" i="11"/>
  <c r="AF76" i="11"/>
  <c r="Z75" i="11"/>
  <c r="EC75" i="11"/>
  <c r="BI76" i="11"/>
  <c r="BD77" i="11"/>
  <c r="GN76" i="11"/>
  <c r="GK76" i="11"/>
  <c r="AH77" i="11"/>
  <c r="II76" i="11"/>
  <c r="CO77" i="11"/>
  <c r="GL76" i="11"/>
  <c r="DQ76" i="11"/>
  <c r="EO76" i="11"/>
  <c r="CI76" i="11"/>
  <c r="GN75" i="11"/>
  <c r="EE75" i="11"/>
  <c r="JO77" i="11"/>
  <c r="FY77" i="11"/>
  <c r="FC77" i="11"/>
  <c r="ED76" i="11"/>
  <c r="HV75" i="11"/>
  <c r="FN75" i="11"/>
  <c r="GR75" i="11"/>
  <c r="EG77" i="11"/>
  <c r="BH76" i="11"/>
  <c r="GO75" i="11"/>
  <c r="AL77" i="11"/>
  <c r="GX76" i="11"/>
  <c r="GS77" i="11"/>
  <c r="V75" i="11"/>
  <c r="EE76" i="11"/>
  <c r="HJ76" i="11"/>
  <c r="GX77" i="11"/>
  <c r="HZ77" i="11"/>
  <c r="KH77" i="11"/>
  <c r="CT75" i="11"/>
  <c r="IY75" i="11"/>
  <c r="HY77" i="11"/>
  <c r="DI77" i="11"/>
  <c r="IP76" i="11"/>
  <c r="KK75" i="11"/>
  <c r="CF76" i="11"/>
  <c r="DT77" i="11"/>
  <c r="FK77" i="11"/>
  <c r="ER77" i="11"/>
  <c r="KI77" i="11"/>
  <c r="HP75" i="11"/>
  <c r="F75" i="11"/>
  <c r="IQ77" i="11"/>
  <c r="GV75" i="11"/>
  <c r="L77" i="11"/>
  <c r="BO75" i="11"/>
  <c r="HA77" i="11"/>
  <c r="IX76" i="11"/>
  <c r="GS76" i="11"/>
  <c r="EK76" i="11"/>
  <c r="CC75" i="11"/>
  <c r="JA76" i="11"/>
  <c r="DC75" i="11"/>
  <c r="JU75" i="11"/>
  <c r="CV76" i="11"/>
  <c r="CI77" i="11"/>
  <c r="HC75" i="11"/>
  <c r="BQ76" i="11"/>
  <c r="KB76" i="11"/>
  <c r="BJ77" i="11"/>
  <c r="EM76" i="11"/>
  <c r="JL75" i="11"/>
  <c r="AV77" i="11"/>
  <c r="IC75" i="11"/>
  <c r="GW75" i="11"/>
  <c r="DW76" i="11"/>
  <c r="IS75" i="11"/>
  <c r="CZ75" i="11"/>
  <c r="DH77" i="11"/>
  <c r="CE76" i="11"/>
  <c r="GI76" i="11"/>
  <c r="AK75" i="11"/>
  <c r="DS77" i="11"/>
  <c r="HA75" i="11"/>
  <c r="JF76" i="11"/>
  <c r="HG76" i="11"/>
  <c r="AZ76" i="11"/>
  <c r="JG75" i="11"/>
  <c r="BP77" i="11"/>
  <c r="HU77" i="11"/>
  <c r="IV75" i="11"/>
  <c r="KN76" i="11"/>
  <c r="EK77" i="11"/>
  <c r="FU76" i="11"/>
  <c r="GO76" i="11"/>
  <c r="J76" i="11"/>
  <c r="EP77" i="11"/>
  <c r="ER76" i="11"/>
  <c r="BN75" i="11"/>
  <c r="EJ75" i="11"/>
  <c r="CD76" i="11"/>
  <c r="DA75" i="11"/>
  <c r="HM75" i="11"/>
  <c r="EL75" i="11"/>
  <c r="JS77" i="11"/>
  <c r="DD75" i="11"/>
  <c r="HF77" i="11"/>
  <c r="IP75" i="11"/>
  <c r="BE75" i="11"/>
  <c r="CC76" i="11"/>
  <c r="JS76" i="11"/>
  <c r="EG76" i="11"/>
  <c r="HM77" i="11"/>
  <c r="JN77" i="11"/>
  <c r="GA75" i="11"/>
  <c r="CN76" i="11"/>
  <c r="GH76" i="11"/>
  <c r="DC76" i="11"/>
  <c r="BN76" i="11"/>
  <c r="JQ76" i="11"/>
  <c r="GD77" i="11"/>
  <c r="FJ75" i="11"/>
  <c r="EQ75" i="11"/>
  <c r="Y75" i="11"/>
  <c r="AI77" i="11"/>
  <c r="JD76" i="11"/>
  <c r="HP77" i="11"/>
  <c r="U77" i="11"/>
  <c r="BL77" i="11"/>
  <c r="FB75" i="11"/>
  <c r="AD76" i="11"/>
  <c r="DX76" i="11"/>
  <c r="Q77" i="11"/>
  <c r="AK76" i="11"/>
  <c r="GY76" i="11"/>
  <c r="GP77" i="11"/>
  <c r="DG75" i="11"/>
  <c r="HB77" i="11"/>
  <c r="AQ75" i="11"/>
  <c r="HO76" i="11"/>
  <c r="KC77" i="11"/>
  <c r="EA77" i="11"/>
  <c r="DC77" i="11"/>
  <c r="HT75" i="11"/>
  <c r="HN75" i="11"/>
  <c r="IT75" i="11"/>
  <c r="EW77" i="11"/>
  <c r="BG75" i="11"/>
  <c r="G75" i="11"/>
  <c r="BH75" i="11"/>
  <c r="BX75" i="11"/>
  <c r="HC77" i="11"/>
  <c r="AR75" i="11"/>
  <c r="CJ76" i="11"/>
  <c r="JT75" i="11"/>
  <c r="FH76" i="11"/>
  <c r="JC76" i="11"/>
  <c r="IY76" i="11"/>
  <c r="JB76" i="11"/>
  <c r="EX76" i="11"/>
  <c r="JK75" i="11"/>
  <c r="BO76" i="11"/>
  <c r="DW75" i="11"/>
  <c r="JA77" i="11"/>
  <c r="AC77" i="11"/>
  <c r="CF77" i="11"/>
  <c r="V77" i="11"/>
  <c r="EZ76" i="11"/>
  <c r="EN76" i="11"/>
  <c r="DH75" i="11"/>
  <c r="HM76" i="11"/>
  <c r="JI77" i="11"/>
  <c r="S75" i="11"/>
  <c r="GB76" i="11"/>
  <c r="AY77" i="11"/>
  <c r="CG75" i="11"/>
  <c r="R75" i="11"/>
  <c r="GH77" i="11"/>
  <c r="DZ77" i="11"/>
  <c r="AP76" i="11"/>
  <c r="Z77" i="11"/>
  <c r="AV76" i="11"/>
  <c r="EI75" i="11"/>
  <c r="HR75" i="11"/>
  <c r="IF75" i="11"/>
  <c r="HP76" i="11"/>
  <c r="AA75" i="11"/>
  <c r="GO77" i="11"/>
  <c r="FJ77" i="11"/>
  <c r="KO77" i="11"/>
  <c r="FN77" i="11"/>
  <c r="AD75" i="11"/>
  <c r="ID77" i="11"/>
  <c r="KI76" i="11"/>
  <c r="IF76" i="11"/>
  <c r="FL75" i="11"/>
  <c r="BG77" i="11"/>
  <c r="FP76" i="11"/>
  <c r="AT77" i="11"/>
  <c r="CC77" i="11"/>
  <c r="BQ75" i="11"/>
  <c r="FH75" i="11"/>
  <c r="FF76" i="11"/>
  <c r="CP76" i="11"/>
  <c r="IV76" i="11"/>
  <c r="JR75" i="11"/>
  <c r="JM77" i="11"/>
  <c r="DJ76" i="11"/>
  <c r="JG77" i="11"/>
  <c r="AX76" i="11"/>
  <c r="JA75" i="11"/>
  <c r="GP76" i="11"/>
  <c r="AE76" i="11"/>
  <c r="AW76" i="11"/>
  <c r="IN75" i="11"/>
  <c r="FU77" i="11"/>
  <c r="FR76" i="11"/>
  <c r="BJ75" i="11"/>
  <c r="HT76" i="11"/>
  <c r="FO75" i="11"/>
  <c r="EA76" i="11"/>
  <c r="IK76" i="11"/>
  <c r="HW77" i="11"/>
  <c r="FY75" i="11"/>
  <c r="FL77" i="11"/>
  <c r="FD75" i="11"/>
  <c r="IE76" i="11"/>
  <c r="JP76" i="11"/>
  <c r="IW76" i="11"/>
  <c r="CM75" i="11"/>
  <c r="EX75" i="11"/>
  <c r="DL75" i="11"/>
  <c r="CW76" i="11"/>
  <c r="BS76" i="11"/>
  <c r="EH77" i="11"/>
  <c r="IZ77" i="11"/>
  <c r="U75" i="11"/>
  <c r="EK75" i="11"/>
  <c r="FX77" i="11"/>
  <c r="JM75" i="11"/>
  <c r="IE75" i="11"/>
  <c r="IB77" i="11"/>
  <c r="CS77" i="11"/>
  <c r="HO77" i="11"/>
  <c r="BK77" i="11"/>
  <c r="FC75" i="11"/>
  <c r="BV75" i="11"/>
  <c r="IU77" i="11"/>
  <c r="GJ77" i="11"/>
  <c r="JJ76" i="11"/>
  <c r="CP77" i="11"/>
  <c r="JK77" i="11"/>
  <c r="BS75" i="11"/>
  <c r="IB76" i="11"/>
  <c r="AS75" i="11"/>
  <c r="CY75" i="11"/>
  <c r="CL75" i="11"/>
  <c r="DM77" i="11"/>
  <c r="ED77" i="11"/>
  <c r="CA76" i="11"/>
  <c r="FR77" i="11"/>
  <c r="CZ76" i="11"/>
  <c r="AO76" i="11"/>
  <c r="BC75" i="11"/>
  <c r="BC77" i="11"/>
  <c r="DM75" i="11"/>
  <c r="GQ75" i="11"/>
  <c r="EP75" i="11"/>
  <c r="DP76" i="11"/>
  <c r="IN76" i="11"/>
  <c r="GV77" i="11"/>
  <c r="EE77" i="11"/>
  <c r="AR76" i="11"/>
  <c r="EF76" i="11"/>
  <c r="FX75" i="11"/>
  <c r="CM76" i="11"/>
  <c r="FS75" i="11"/>
  <c r="JM76" i="11"/>
  <c r="ES75" i="11"/>
  <c r="IR75" i="11"/>
  <c r="AJ75" i="11"/>
  <c r="HQ77" i="11"/>
  <c r="FA75" i="11"/>
  <c r="KL75" i="11"/>
  <c r="S76" i="11"/>
  <c r="KG75" i="11"/>
  <c r="EU75" i="11"/>
  <c r="HU76" i="11"/>
  <c r="DO75" i="11"/>
  <c r="HB75" i="11"/>
  <c r="AL76" i="11"/>
  <c r="JY76" i="11"/>
  <c r="IH77" i="11"/>
  <c r="KH75" i="11"/>
  <c r="BM75" i="11"/>
  <c r="CK77" i="11"/>
  <c r="CO76" i="11"/>
  <c r="HN76" i="11"/>
  <c r="IL76" i="11"/>
  <c r="KA77" i="11"/>
  <c r="HJ75" i="11"/>
  <c r="BT77" i="11"/>
  <c r="GD76" i="11"/>
  <c r="JW77" i="11"/>
  <c r="M76" i="11"/>
  <c r="Q76" i="11"/>
  <c r="AM77" i="11"/>
  <c r="CR75" i="11"/>
  <c r="HV76" i="11"/>
  <c r="CY77" i="11"/>
  <c r="GK77" i="11"/>
  <c r="DO77" i="11"/>
  <c r="DP77" i="11"/>
  <c r="HN77" i="11"/>
  <c r="CJ77" i="11"/>
  <c r="II77" i="11"/>
  <c r="CY76" i="11"/>
  <c r="HZ76" i="11"/>
  <c r="CU75" i="11"/>
  <c r="IT76" i="11"/>
  <c r="JY77" i="11"/>
  <c r="IB75" i="11"/>
  <c r="IG76" i="11"/>
  <c r="AX75" i="11"/>
  <c r="ET76" i="11"/>
  <c r="EV75" i="11"/>
  <c r="DB76" i="11"/>
  <c r="HS75" i="11"/>
  <c r="AU76" i="11"/>
  <c r="EI77" i="11"/>
  <c r="CG77" i="11"/>
  <c r="II75" i="11"/>
  <c r="D75" i="11"/>
  <c r="GQ77" i="11"/>
  <c r="GY77" i="11"/>
  <c r="DR76" i="11"/>
  <c r="DD77" i="11"/>
  <c r="ET77" i="11"/>
  <c r="DP75" i="11"/>
  <c r="HR76" i="11"/>
  <c r="R77" i="11"/>
  <c r="BZ77" i="11"/>
  <c r="JW76" i="11"/>
  <c r="DL77" i="11"/>
  <c r="EJ77" i="11"/>
  <c r="J77" i="11"/>
  <c r="GM76" i="11"/>
  <c r="DK77" i="11"/>
  <c r="E75" i="11"/>
  <c r="IJ76" i="11"/>
  <c r="GA76" i="11"/>
  <c r="AZ75" i="11"/>
  <c r="ES77" i="11"/>
  <c r="IM75" i="11"/>
  <c r="BU77" i="11"/>
  <c r="JP75" i="11"/>
  <c r="T75" i="11"/>
  <c r="W76" i="11"/>
  <c r="CA75" i="11"/>
  <c r="DM76" i="11"/>
  <c r="DF75" i="11"/>
  <c r="CP75" i="11"/>
  <c r="IX77" i="11"/>
  <c r="EI76" i="11"/>
  <c r="BW75" i="11"/>
  <c r="CS76" i="11"/>
  <c r="EY77" i="11"/>
  <c r="K76" i="11"/>
  <c r="IC76" i="11"/>
  <c r="KI75" i="11"/>
  <c r="AS77" i="11"/>
  <c r="AY76" i="11"/>
  <c r="BZ76" i="11"/>
  <c r="FG75" i="11"/>
  <c r="KK77" i="11"/>
  <c r="KA75" i="11"/>
  <c r="JU77" i="11"/>
  <c r="GB75" i="11"/>
  <c r="AG75" i="11"/>
  <c r="KP77" i="11"/>
  <c r="FB76" i="11"/>
  <c r="BG76" i="11"/>
  <c r="JL76" i="11"/>
  <c r="EJ76" i="11"/>
  <c r="FM76" i="11"/>
  <c r="IU75" i="11"/>
  <c r="GF76" i="11"/>
  <c r="IY77" i="11"/>
  <c r="I75" i="11"/>
  <c r="FZ77" i="11"/>
  <c r="DN77" i="11"/>
  <c r="KP75" i="11"/>
  <c r="FQ77" i="11"/>
  <c r="GG76" i="11"/>
  <c r="IV26" i="11"/>
  <c r="R26" i="11"/>
  <c r="AQ24" i="11"/>
  <c r="IW24" i="11"/>
  <c r="IB26" i="11"/>
  <c r="N24" i="11"/>
  <c r="JB26" i="11"/>
  <c r="CK24" i="11"/>
  <c r="HK25" i="11"/>
  <c r="DP25" i="11"/>
  <c r="X25" i="11"/>
  <c r="AF26" i="11"/>
  <c r="CP24" i="11"/>
  <c r="AZ26" i="11"/>
  <c r="BK25" i="11"/>
  <c r="DF25" i="11"/>
  <c r="HM25" i="11"/>
  <c r="AC25" i="11"/>
  <c r="G26" i="11"/>
  <c r="JN26" i="11"/>
  <c r="ES24" i="11"/>
  <c r="JA24" i="11"/>
  <c r="EP24" i="11"/>
  <c r="KJ24" i="11"/>
  <c r="AQ25" i="11"/>
  <c r="DU24" i="11"/>
  <c r="JZ24" i="11"/>
  <c r="FY26" i="11"/>
  <c r="HP26" i="11"/>
  <c r="BA26" i="11"/>
  <c r="GG24" i="11"/>
  <c r="HE25" i="11"/>
  <c r="ET25" i="11"/>
  <c r="DJ25" i="11"/>
  <c r="JP25" i="11"/>
  <c r="IN25" i="11"/>
  <c r="GL24" i="11"/>
  <c r="BT24" i="11"/>
  <c r="DC25" i="11"/>
  <c r="JH24" i="11"/>
  <c r="EN25" i="11"/>
  <c r="IH25" i="11"/>
  <c r="GW25" i="11"/>
  <c r="DV24" i="11"/>
  <c r="DS26" i="11"/>
  <c r="CC24" i="11"/>
  <c r="BX26" i="11"/>
  <c r="JG25" i="11"/>
  <c r="FI25" i="11"/>
  <c r="JM24" i="11"/>
  <c r="M24" i="11"/>
  <c r="IP24" i="11"/>
  <c r="GT24" i="11"/>
  <c r="HT25" i="11"/>
  <c r="GG25" i="11"/>
  <c r="IE25" i="11"/>
  <c r="EV25" i="11"/>
  <c r="IB24" i="11"/>
  <c r="HJ25" i="11"/>
  <c r="FF26" i="11"/>
  <c r="II26" i="11"/>
  <c r="EI26" i="11"/>
  <c r="CL24" i="11"/>
  <c r="KJ25" i="11"/>
  <c r="FX25" i="11"/>
  <c r="JX26" i="11"/>
  <c r="AO26" i="11"/>
  <c r="AP25" i="11"/>
  <c r="IK25" i="11"/>
  <c r="JT25" i="11"/>
  <c r="GE24" i="11"/>
  <c r="AR26" i="11"/>
  <c r="GB25" i="11"/>
  <c r="EK24" i="11"/>
  <c r="ET26" i="11"/>
  <c r="HX25" i="11"/>
  <c r="HD25" i="11"/>
  <c r="AB24" i="11"/>
  <c r="DI24" i="11"/>
  <c r="GI26" i="11"/>
  <c r="FU24" i="11"/>
  <c r="CO25" i="11"/>
  <c r="FZ26" i="11"/>
  <c r="CQ24" i="11"/>
  <c r="KN25" i="11"/>
  <c r="G24" i="11"/>
  <c r="GW24" i="11"/>
  <c r="DS25" i="11"/>
  <c r="CX26" i="11"/>
  <c r="KC26" i="11"/>
  <c r="CT26" i="11"/>
  <c r="CG26" i="11"/>
  <c r="E24" i="11"/>
  <c r="AX25" i="11"/>
  <c r="BT25" i="11"/>
  <c r="JD25" i="11"/>
  <c r="CM25" i="11"/>
  <c r="DH26" i="11"/>
  <c r="GP24" i="11"/>
  <c r="H25" i="11"/>
  <c r="HK26" i="11"/>
  <c r="J25" i="11"/>
  <c r="JR26" i="11"/>
  <c r="C24" i="11"/>
  <c r="HH26" i="11"/>
  <c r="AM25" i="11"/>
  <c r="EB26" i="11"/>
  <c r="CQ25" i="11"/>
  <c r="BM24" i="11"/>
  <c r="EX24" i="11"/>
  <c r="CZ24" i="11"/>
  <c r="S26" i="11"/>
  <c r="EC26" i="11"/>
  <c r="AH24" i="11"/>
  <c r="JC26" i="11"/>
  <c r="EX26" i="11"/>
  <c r="U26" i="11"/>
  <c r="HF24" i="11"/>
  <c r="HS24" i="11"/>
  <c r="CD24" i="11"/>
  <c r="ET24" i="11"/>
  <c r="HJ26" i="11"/>
  <c r="JM26" i="11"/>
  <c r="CU24" i="11"/>
  <c r="JK25" i="11"/>
  <c r="HO25" i="11"/>
  <c r="BM25" i="11"/>
  <c r="CZ26" i="11"/>
  <c r="DQ25" i="11"/>
  <c r="GJ25" i="11"/>
  <c r="KO25" i="11"/>
  <c r="DC24" i="11"/>
  <c r="IF26" i="11"/>
  <c r="EF25" i="11"/>
  <c r="CI26" i="11"/>
  <c r="BT26" i="11"/>
  <c r="DD26" i="11"/>
  <c r="DP26" i="11"/>
  <c r="FC25" i="11"/>
  <c r="KB26" i="11"/>
  <c r="AN26" i="11"/>
  <c r="P25" i="11"/>
  <c r="DV25" i="11"/>
  <c r="II25" i="11"/>
  <c r="DW25" i="11"/>
  <c r="BM26" i="11"/>
  <c r="FP26" i="11"/>
  <c r="KO26" i="11"/>
  <c r="ED24" i="11"/>
  <c r="CE25" i="11"/>
  <c r="IS26" i="11"/>
  <c r="GG26" i="11"/>
  <c r="BH24" i="11"/>
  <c r="DZ26" i="11"/>
  <c r="KN24" i="11"/>
  <c r="AW25" i="11"/>
  <c r="GM26" i="11"/>
  <c r="EJ25" i="11"/>
  <c r="BA24" i="11"/>
  <c r="AD25" i="11"/>
  <c r="KA26" i="11"/>
  <c r="DQ26" i="11"/>
  <c r="JA25" i="11"/>
  <c r="JF26" i="11"/>
  <c r="GU24" i="11"/>
  <c r="FG25" i="11"/>
  <c r="CD25" i="11"/>
  <c r="AI25" i="11"/>
  <c r="S25" i="11"/>
  <c r="FG24" i="11"/>
  <c r="JV26" i="11"/>
  <c r="O26" i="11"/>
  <c r="JU26" i="11"/>
  <c r="AS25" i="11"/>
  <c r="AB26" i="11"/>
  <c r="EF26" i="11"/>
  <c r="BO24" i="11"/>
  <c r="HB25" i="11"/>
  <c r="DF26" i="11"/>
  <c r="AT25" i="11"/>
  <c r="EB25" i="11"/>
  <c r="BS25" i="11"/>
  <c r="D24" i="11"/>
  <c r="F26" i="11"/>
  <c r="DI25" i="11"/>
  <c r="EQ26" i="11"/>
  <c r="KD25" i="11"/>
  <c r="AX24" i="11"/>
  <c r="EG24" i="11"/>
  <c r="HP25" i="11"/>
  <c r="IV25" i="11"/>
  <c r="EE25" i="11"/>
  <c r="BP26" i="11"/>
  <c r="HW26" i="11"/>
  <c r="R25" i="11"/>
  <c r="AW26" i="11"/>
  <c r="HR24" i="11"/>
  <c r="EV26" i="11"/>
  <c r="HC26" i="11"/>
  <c r="HR25" i="11"/>
  <c r="KL26" i="11"/>
  <c r="CK26" i="11"/>
  <c r="FC26" i="11"/>
  <c r="BY26" i="11"/>
  <c r="BL24" i="11"/>
  <c r="IX24" i="11"/>
  <c r="GX24" i="11"/>
  <c r="DM25" i="11"/>
  <c r="JE24" i="11"/>
  <c r="L25" i="11"/>
  <c r="EX25" i="11"/>
  <c r="FI26" i="11"/>
  <c r="BI26" i="11"/>
  <c r="FD26" i="11"/>
  <c r="Q25" i="11"/>
  <c r="JT26" i="11"/>
  <c r="CP26" i="11"/>
  <c r="KF24" i="11"/>
  <c r="DM26" i="11"/>
  <c r="DZ24" i="11"/>
  <c r="IZ24" i="11"/>
  <c r="EA25" i="11"/>
  <c r="EB24" i="11"/>
  <c r="AG25" i="11"/>
  <c r="EQ24" i="11"/>
  <c r="BF25" i="11"/>
  <c r="DU26" i="11"/>
  <c r="EI24" i="11"/>
  <c r="GC24" i="11"/>
  <c r="AO24" i="11"/>
  <c r="AW24" i="11"/>
  <c r="W24" i="11"/>
  <c r="AT26" i="11"/>
  <c r="HQ24" i="11"/>
  <c r="AG24" i="11"/>
  <c r="EW24" i="11"/>
  <c r="DK26" i="11"/>
  <c r="AV24" i="11"/>
  <c r="IM24" i="11"/>
  <c r="Y24" i="11"/>
  <c r="BH26" i="11"/>
  <c r="DB26" i="11"/>
  <c r="O24" i="11"/>
  <c r="DL24" i="11"/>
  <c r="JQ26" i="11"/>
  <c r="HW25" i="11"/>
  <c r="IE26" i="11"/>
  <c r="JN24" i="11"/>
  <c r="DB24" i="11"/>
  <c r="KK26" i="11"/>
  <c r="DG26" i="11"/>
  <c r="DE25" i="11"/>
  <c r="IO24" i="11"/>
  <c r="EN24" i="11"/>
  <c r="CN26" i="11"/>
  <c r="JU24" i="11"/>
  <c r="GY25" i="11"/>
  <c r="EZ24" i="11"/>
  <c r="FQ24" i="11"/>
  <c r="AL25" i="11"/>
  <c r="BJ25" i="11"/>
  <c r="AA26" i="11"/>
  <c r="JB25" i="11"/>
  <c r="HB26" i="11"/>
  <c r="BK24" i="11"/>
  <c r="DD24" i="11"/>
  <c r="EC25" i="11"/>
  <c r="HV26" i="11"/>
  <c r="EE24" i="11"/>
  <c r="EU24" i="11"/>
  <c r="ES25" i="11"/>
  <c r="BG25" i="11"/>
  <c r="IU25" i="11"/>
  <c r="W25" i="11"/>
  <c r="FK24" i="11"/>
  <c r="FL26" i="11"/>
  <c r="HO26" i="11"/>
  <c r="IK24" i="11"/>
  <c r="EZ26" i="11"/>
  <c r="AY26" i="11"/>
  <c r="JH26" i="11"/>
  <c r="FJ25" i="11"/>
  <c r="FW26" i="11"/>
  <c r="GL25" i="11"/>
  <c r="HH24" i="11"/>
  <c r="KK24" i="11"/>
  <c r="FR24" i="11"/>
  <c r="CV25" i="11"/>
  <c r="BJ26" i="11"/>
  <c r="FF25" i="11"/>
  <c r="EI25" i="11"/>
  <c r="EP26" i="11"/>
  <c r="GR26" i="11"/>
  <c r="FI24" i="11"/>
  <c r="KA24" i="11"/>
  <c r="CB26" i="11"/>
  <c r="HZ26" i="11"/>
  <c r="FA25" i="11"/>
  <c r="KE25" i="11"/>
  <c r="GO26" i="11"/>
  <c r="C25" i="11"/>
  <c r="IJ26" i="11"/>
  <c r="HS26" i="11"/>
  <c r="CB24" i="11"/>
  <c r="AJ25" i="11"/>
  <c r="GJ24" i="11"/>
  <c r="CA25" i="11"/>
  <c r="AK25" i="11"/>
  <c r="EY24" i="11"/>
  <c r="HA25" i="11"/>
  <c r="AX26" i="11"/>
  <c r="HX24" i="11"/>
  <c r="JP24" i="11"/>
  <c r="FB26" i="11"/>
  <c r="FH25" i="11"/>
  <c r="JB24" i="11"/>
  <c r="IK26" i="11"/>
  <c r="JY26" i="11"/>
  <c r="IL24" i="11"/>
  <c r="EK25" i="11"/>
  <c r="DR25" i="11"/>
  <c r="CY25" i="11"/>
  <c r="CT25" i="11"/>
  <c r="CO26" i="11"/>
  <c r="FH24" i="11"/>
  <c r="BF26" i="11"/>
  <c r="IE24" i="11"/>
  <c r="JL24" i="11"/>
  <c r="CH24" i="11"/>
  <c r="AC24" i="11"/>
  <c r="EG25" i="11"/>
  <c r="FT26" i="11"/>
  <c r="JI25" i="11"/>
  <c r="CI24" i="11"/>
  <c r="BY24" i="11"/>
  <c r="M26" i="11"/>
  <c r="IO26" i="11"/>
  <c r="CY26" i="11"/>
  <c r="IJ24" i="11"/>
  <c r="GV25" i="11"/>
  <c r="FV24" i="11"/>
  <c r="HR26" i="11"/>
  <c r="JC25" i="11"/>
  <c r="BG24" i="11"/>
  <c r="R24" i="11"/>
  <c r="JW26" i="11"/>
  <c r="EF24" i="11"/>
  <c r="KB24" i="11"/>
  <c r="IX25" i="11"/>
  <c r="GP25" i="11"/>
  <c r="HN25" i="11"/>
  <c r="CP25" i="11"/>
  <c r="BH25" i="11"/>
  <c r="CU25" i="11"/>
  <c r="HL24" i="11"/>
  <c r="AA25" i="11"/>
  <c r="HY25" i="11"/>
  <c r="JU25" i="11"/>
  <c r="ER25" i="11"/>
  <c r="CS24" i="11"/>
  <c r="BX24" i="11"/>
  <c r="GN24" i="11"/>
  <c r="FW25" i="11"/>
  <c r="KI24" i="11"/>
  <c r="EV24" i="11"/>
  <c r="CE26" i="11"/>
  <c r="CS25" i="11"/>
  <c r="GP26" i="11"/>
  <c r="GH24" i="11"/>
  <c r="DY25" i="11"/>
  <c r="BC24" i="11"/>
  <c r="ED26" i="11"/>
  <c r="FO25" i="11"/>
  <c r="X24" i="11"/>
  <c r="FO26" i="11"/>
  <c r="JW25" i="11"/>
  <c r="GA24" i="11"/>
  <c r="AT24" i="11"/>
  <c r="BV26" i="11"/>
  <c r="DA25" i="11"/>
  <c r="AE26" i="11"/>
  <c r="DV26" i="11"/>
  <c r="JE25" i="11"/>
  <c r="BU25" i="11"/>
  <c r="JV25" i="11"/>
  <c r="BW25" i="11"/>
  <c r="CF26" i="11"/>
  <c r="ID25" i="11"/>
  <c r="FH26" i="11"/>
  <c r="IG26" i="11"/>
  <c r="FW24" i="11"/>
  <c r="GS24" i="11"/>
  <c r="AK26" i="11"/>
  <c r="DX24" i="11"/>
  <c r="BQ26" i="11"/>
  <c r="IT26" i="11"/>
  <c r="AA24" i="11"/>
  <c r="AY24" i="11"/>
  <c r="IT25" i="11"/>
  <c r="Z25" i="11"/>
  <c r="FJ24" i="11"/>
  <c r="EJ26" i="11"/>
  <c r="HP24" i="11"/>
  <c r="CS26" i="11"/>
  <c r="JH25" i="11"/>
  <c r="IY25" i="11"/>
  <c r="EH24" i="11"/>
  <c r="L24" i="11"/>
  <c r="FB25" i="11"/>
  <c r="KO24" i="11"/>
  <c r="HT24" i="11"/>
  <c r="DU25" i="11"/>
  <c r="IG25" i="11"/>
  <c r="GH26" i="11"/>
  <c r="DK24" i="11"/>
  <c r="AS26" i="11"/>
  <c r="IB25" i="11"/>
  <c r="DM24" i="11"/>
  <c r="FM25" i="11"/>
  <c r="GX25" i="11"/>
  <c r="KD24" i="11"/>
  <c r="JG24" i="11"/>
  <c r="FF24" i="11"/>
  <c r="W26" i="11"/>
  <c r="E26" i="11"/>
  <c r="JK24" i="11"/>
  <c r="CJ26" i="11"/>
  <c r="IR25" i="11"/>
  <c r="IA25" i="11"/>
  <c r="DK25" i="11"/>
  <c r="IZ26" i="11"/>
  <c r="IL26" i="11"/>
  <c r="HU24" i="11"/>
  <c r="GQ25" i="11"/>
  <c r="IS24" i="11"/>
  <c r="IX26" i="11"/>
  <c r="BX25" i="11"/>
  <c r="GH25" i="11"/>
  <c r="IC26" i="11"/>
  <c r="JV24" i="11"/>
  <c r="FZ25" i="11"/>
  <c r="CH25" i="11"/>
  <c r="IN24" i="11"/>
  <c r="AD26" i="11"/>
  <c r="IJ25" i="11"/>
  <c r="IP25" i="11"/>
  <c r="BZ24" i="11"/>
  <c r="DF24" i="11"/>
  <c r="IM25" i="11"/>
  <c r="IS25" i="11"/>
  <c r="CR24" i="11"/>
  <c r="AF24" i="11"/>
  <c r="HX26" i="11"/>
  <c r="DW26" i="11"/>
  <c r="CM24" i="11"/>
  <c r="CW25" i="11"/>
  <c r="CM26" i="11"/>
  <c r="HY24" i="11"/>
  <c r="CV26" i="11"/>
  <c r="BV25" i="11"/>
  <c r="FO24" i="11"/>
  <c r="DR26" i="11"/>
  <c r="FB24" i="11"/>
  <c r="HE24" i="11"/>
  <c r="KL24" i="11"/>
  <c r="CG24" i="11"/>
  <c r="DO24" i="11"/>
  <c r="BE24" i="11"/>
  <c r="FG26" i="11"/>
  <c r="CC26" i="11"/>
  <c r="BE25" i="11"/>
  <c r="CT24" i="11"/>
  <c r="HW24" i="11"/>
  <c r="U25" i="11"/>
  <c r="AR25" i="11"/>
  <c r="JR24" i="11"/>
  <c r="EJ24" i="11"/>
  <c r="HD26" i="11"/>
  <c r="EW25" i="11"/>
  <c r="DA26" i="11"/>
  <c r="GN26" i="11"/>
  <c r="DO26" i="11"/>
  <c r="BA25" i="11"/>
  <c r="FE26" i="11"/>
  <c r="AV25" i="11"/>
  <c r="DI26" i="11"/>
  <c r="HH25" i="11"/>
  <c r="FT24" i="11"/>
  <c r="BD26" i="11"/>
  <c r="KG26" i="11"/>
  <c r="GT26" i="11"/>
  <c r="GN25" i="11"/>
  <c r="FS26" i="11"/>
  <c r="FP25" i="11"/>
  <c r="AP24" i="11"/>
  <c r="IQ24" i="11"/>
  <c r="AN25" i="11"/>
  <c r="FZ24" i="11"/>
  <c r="S24" i="11"/>
  <c r="GS26" i="11"/>
  <c r="I26" i="11"/>
  <c r="JJ26" i="11"/>
  <c r="K26" i="11"/>
  <c r="KK25" i="11"/>
  <c r="JS24" i="11"/>
  <c r="JG26" i="11"/>
  <c r="JM25" i="11"/>
  <c r="Q24" i="11"/>
  <c r="BY25" i="11"/>
  <c r="BW26" i="11"/>
  <c r="BQ25" i="11"/>
  <c r="FM24" i="11"/>
  <c r="KI25" i="11"/>
  <c r="EA26" i="11"/>
  <c r="EA24" i="11"/>
  <c r="HQ26" i="11"/>
  <c r="IC24" i="11"/>
  <c r="DL26" i="11"/>
  <c r="EL24" i="11"/>
  <c r="P26" i="11"/>
  <c r="IF24" i="11"/>
  <c r="Z26" i="11"/>
  <c r="IG24" i="11"/>
  <c r="DT24" i="11"/>
  <c r="BL25" i="11"/>
  <c r="GD25" i="11"/>
  <c r="GV26" i="11"/>
  <c r="JL26" i="11"/>
  <c r="I25" i="11"/>
  <c r="E25" i="11"/>
  <c r="JK26" i="11"/>
  <c r="CY24" i="11"/>
  <c r="FX26" i="11"/>
  <c r="DG25" i="11"/>
  <c r="GM25" i="11"/>
  <c r="BV24" i="11"/>
  <c r="HB24" i="11"/>
  <c r="CE24" i="11"/>
  <c r="DY24" i="11"/>
  <c r="EM26" i="11"/>
  <c r="GM24" i="11"/>
  <c r="GZ25" i="11"/>
  <c r="CR26" i="11"/>
  <c r="HO24" i="11"/>
  <c r="JW24" i="11"/>
  <c r="BU24" i="11"/>
  <c r="BC25" i="11"/>
  <c r="IY24" i="11"/>
  <c r="KH25" i="11"/>
  <c r="DO25" i="11"/>
  <c r="JO25" i="11"/>
  <c r="GC26" i="11"/>
  <c r="DJ26" i="11"/>
  <c r="HG25" i="11"/>
  <c r="HA24" i="11"/>
  <c r="IR24" i="11"/>
  <c r="FQ25" i="11"/>
  <c r="KL25" i="11"/>
  <c r="KM25" i="11"/>
  <c r="BG26" i="11"/>
  <c r="IQ26" i="11"/>
  <c r="GK24" i="11"/>
  <c r="FU26" i="11"/>
  <c r="JZ25" i="11"/>
  <c r="J26" i="11"/>
  <c r="AJ26" i="11"/>
  <c r="JI24" i="11"/>
  <c r="BN24" i="11"/>
  <c r="HF25" i="11"/>
  <c r="K25" i="11"/>
  <c r="GZ26" i="11"/>
  <c r="GC25" i="11"/>
  <c r="CN24" i="11"/>
  <c r="FC24" i="11"/>
  <c r="IQ25" i="11"/>
  <c r="HZ24" i="11"/>
  <c r="HN26" i="11"/>
  <c r="DH25" i="11"/>
  <c r="FJ26" i="11"/>
  <c r="AK24" i="11"/>
  <c r="CJ24" i="11"/>
  <c r="AZ24" i="11"/>
  <c r="IZ25" i="11"/>
  <c r="HT26" i="11"/>
  <c r="JO26" i="11"/>
  <c r="HI24" i="11"/>
  <c r="KB25" i="11"/>
  <c r="AV26" i="11"/>
  <c r="DY26" i="11"/>
  <c r="ID26" i="11"/>
  <c r="GO24" i="11"/>
  <c r="GA26" i="11"/>
  <c r="BE26" i="11"/>
  <c r="CH26" i="11"/>
  <c r="BZ25" i="11"/>
  <c r="II24" i="11"/>
  <c r="AO25" i="11"/>
  <c r="HZ25" i="11"/>
  <c r="AJ24" i="11"/>
  <c r="ID24" i="11"/>
  <c r="CB25" i="11"/>
  <c r="U24" i="11"/>
  <c r="DT25" i="11"/>
  <c r="EH25" i="11"/>
  <c r="HV25" i="11"/>
  <c r="CC25" i="11"/>
  <c r="AQ26" i="11"/>
  <c r="CO24" i="11"/>
  <c r="JD24" i="11"/>
  <c r="DB25" i="11"/>
  <c r="H26" i="11"/>
  <c r="KE24" i="11"/>
  <c r="GE25" i="11"/>
  <c r="JE26" i="11"/>
  <c r="BF24" i="11"/>
  <c r="C26" i="11"/>
  <c r="DC26" i="11"/>
  <c r="BB26" i="11"/>
  <c r="IA24" i="11"/>
  <c r="T25" i="11"/>
  <c r="FV25" i="11"/>
  <c r="DL25" i="11"/>
  <c r="GK26" i="11"/>
  <c r="DZ25" i="11"/>
  <c r="CX24" i="11"/>
  <c r="DA24" i="11"/>
  <c r="AN24" i="11"/>
  <c r="X26" i="11"/>
  <c r="FA24" i="11"/>
  <c r="IP26" i="11"/>
  <c r="AI24" i="11"/>
  <c r="GX26" i="11"/>
  <c r="I24" i="11"/>
  <c r="GL26" i="11"/>
  <c r="K24" i="11"/>
  <c r="EK26" i="11"/>
  <c r="BL26" i="11"/>
  <c r="CL26" i="11"/>
  <c r="EL26" i="11"/>
  <c r="GQ26" i="11"/>
  <c r="DQ24" i="11"/>
  <c r="DN25" i="11"/>
  <c r="KC24" i="11"/>
  <c r="IA26" i="11"/>
  <c r="FX24" i="11"/>
  <c r="HL25" i="11"/>
  <c r="FN25" i="11"/>
  <c r="CN25" i="11"/>
  <c r="EQ25" i="11"/>
  <c r="HS25" i="11"/>
  <c r="GU26" i="11"/>
  <c r="AC26" i="11"/>
  <c r="FY25" i="11"/>
  <c r="DX25" i="11"/>
  <c r="AE24" i="11"/>
  <c r="IY26" i="11"/>
  <c r="HY26" i="11"/>
  <c r="GF24" i="11"/>
  <c r="DN24" i="11"/>
  <c r="BS26" i="11"/>
  <c r="GY24" i="11"/>
  <c r="DX26" i="11"/>
  <c r="FP24" i="11"/>
  <c r="HC24" i="11"/>
  <c r="EU26" i="11"/>
  <c r="CF24" i="11"/>
  <c r="BP25" i="11"/>
  <c r="ER24" i="11"/>
  <c r="AZ25" i="11"/>
  <c r="EE26" i="11"/>
  <c r="CZ25" i="11"/>
  <c r="ED25" i="11"/>
  <c r="EL25" i="11"/>
  <c r="EP25" i="11"/>
  <c r="CG25" i="11"/>
  <c r="HA26" i="11"/>
  <c r="GF26" i="11"/>
  <c r="JT24" i="11"/>
  <c r="FA26" i="11"/>
  <c r="EO25" i="11"/>
  <c r="IW26" i="11"/>
  <c r="GB26" i="11"/>
  <c r="D26" i="11"/>
  <c r="BU26" i="11"/>
  <c r="GE26" i="11"/>
  <c r="AH25" i="11"/>
  <c r="IF25" i="11"/>
  <c r="JF24" i="11"/>
  <c r="DW24" i="11"/>
  <c r="JF25" i="11"/>
  <c r="EO26" i="11"/>
  <c r="Y25" i="11"/>
  <c r="DH24" i="11"/>
  <c r="JP26" i="11"/>
  <c r="KI26" i="11"/>
  <c r="JY25" i="11"/>
  <c r="BR26" i="11"/>
  <c r="IT24" i="11"/>
  <c r="JJ24" i="11"/>
  <c r="DG24" i="11"/>
  <c r="Y26" i="11"/>
  <c r="HI25" i="11"/>
  <c r="IC25" i="11"/>
  <c r="FD24" i="11"/>
  <c r="BB24" i="11"/>
  <c r="IV24" i="11"/>
  <c r="IH26" i="11"/>
  <c r="N26" i="11"/>
  <c r="Q26" i="11"/>
  <c r="BR24" i="11"/>
  <c r="CA24" i="11"/>
  <c r="T24" i="11"/>
  <c r="GF25" i="11"/>
  <c r="KP25" i="11"/>
  <c r="AI26" i="11"/>
  <c r="AL26" i="11"/>
  <c r="P24" i="11"/>
  <c r="JS25" i="11"/>
  <c r="IO25" i="11"/>
  <c r="GQ24" i="11"/>
  <c r="DR24" i="11"/>
  <c r="JJ25" i="11"/>
  <c r="HM24" i="11"/>
  <c r="JQ25" i="11"/>
  <c r="JO24" i="11"/>
  <c r="EC24" i="11"/>
  <c r="EU25" i="11"/>
  <c r="GS25" i="11"/>
  <c r="KM26" i="11"/>
  <c r="JS26" i="11"/>
  <c r="EH26" i="11"/>
  <c r="O25" i="11"/>
  <c r="AF25" i="11"/>
  <c r="KJ26" i="11"/>
  <c r="KA25" i="11"/>
  <c r="HD24" i="11"/>
  <c r="DT26" i="11"/>
  <c r="HG26" i="11"/>
  <c r="BW24" i="11"/>
  <c r="AL24" i="11"/>
  <c r="JD26" i="11"/>
  <c r="KH26" i="11"/>
  <c r="GO25" i="11"/>
  <c r="IU26" i="11"/>
  <c r="CI25" i="11"/>
  <c r="FR25" i="11"/>
  <c r="CF25" i="11"/>
  <c r="DP24" i="11"/>
  <c r="GK25" i="11"/>
  <c r="GT25" i="11"/>
  <c r="V26" i="11"/>
  <c r="BI25" i="11"/>
  <c r="AM24" i="11"/>
  <c r="BI24" i="11"/>
  <c r="FD25" i="11"/>
  <c r="CA26" i="11"/>
  <c r="HI26" i="11"/>
  <c r="HQ25" i="11"/>
  <c r="AR24" i="11"/>
  <c r="L26" i="11"/>
  <c r="AE25" i="11"/>
  <c r="BD24" i="11"/>
  <c r="EW26" i="11"/>
  <c r="JC24" i="11"/>
  <c r="CK25" i="11"/>
  <c r="CL25" i="11"/>
  <c r="GB24" i="11"/>
  <c r="FE24" i="11"/>
  <c r="AU26" i="11"/>
  <c r="IR26" i="11"/>
  <c r="BC26" i="11"/>
  <c r="IL25" i="11"/>
  <c r="BZ26" i="11"/>
  <c r="EM24" i="11"/>
  <c r="DJ24" i="11"/>
  <c r="FS25" i="11"/>
  <c r="M25" i="11"/>
  <c r="FE25" i="11"/>
  <c r="GZ24" i="11"/>
  <c r="KG25" i="11"/>
  <c r="BP24" i="11"/>
  <c r="KD26" i="11"/>
  <c r="IU24" i="11"/>
  <c r="HU26" i="11"/>
  <c r="JL25" i="11"/>
  <c r="GY26" i="11"/>
  <c r="KH24" i="11"/>
  <c r="GR24" i="11"/>
  <c r="KM24" i="11"/>
  <c r="CU26" i="11"/>
  <c r="FR26" i="11"/>
  <c r="H24" i="11"/>
  <c r="CR25" i="11"/>
  <c r="ER26" i="11"/>
  <c r="GI24" i="11"/>
  <c r="CW24" i="11"/>
  <c r="DD25" i="11"/>
  <c r="D25" i="11"/>
  <c r="CW26" i="11"/>
  <c r="GA25" i="11"/>
  <c r="GD24" i="11"/>
  <c r="KG24" i="11"/>
  <c r="KE26" i="11"/>
  <c r="DN26" i="11"/>
  <c r="V24" i="11"/>
  <c r="JR25" i="11"/>
  <c r="EG26" i="11"/>
  <c r="HK24" i="11"/>
  <c r="BB25" i="11"/>
  <c r="V25" i="11"/>
  <c r="CJ25" i="11"/>
  <c r="AS24" i="11"/>
  <c r="BD25" i="11"/>
  <c r="GD26" i="11"/>
  <c r="FN26" i="11"/>
  <c r="JN25" i="11"/>
  <c r="JA26" i="11"/>
  <c r="BN26" i="11"/>
  <c r="JY24" i="11"/>
  <c r="IN26" i="11"/>
  <c r="AU25" i="11"/>
  <c r="HF26" i="11"/>
  <c r="FN24" i="11"/>
  <c r="KP24" i="11"/>
  <c r="Z24" i="11"/>
  <c r="KF25" i="11"/>
  <c r="BN25" i="11"/>
  <c r="AP26" i="11"/>
  <c r="DS24" i="11"/>
  <c r="J24" i="11"/>
  <c r="FK25" i="11"/>
  <c r="ES26" i="11"/>
  <c r="KP26" i="11"/>
  <c r="BQ24" i="11"/>
  <c r="BO26" i="11"/>
  <c r="AD24" i="11"/>
  <c r="FL24" i="11"/>
  <c r="JZ26" i="11"/>
  <c r="JI26" i="11"/>
  <c r="EY26" i="11"/>
  <c r="KF26" i="11"/>
  <c r="HU25" i="11"/>
  <c r="AU24" i="11"/>
  <c r="KC25" i="11"/>
  <c r="FY24" i="11"/>
  <c r="AM26" i="11"/>
  <c r="EZ25" i="11"/>
  <c r="GU25" i="11"/>
  <c r="CX25" i="11"/>
  <c r="HV24" i="11"/>
  <c r="AY25" i="11"/>
  <c r="HN24" i="11"/>
  <c r="AH26" i="11"/>
  <c r="IM26" i="11"/>
  <c r="JX24" i="11"/>
  <c r="BO25" i="11"/>
  <c r="F25" i="11"/>
  <c r="HL26" i="11"/>
  <c r="FT25" i="11"/>
  <c r="HE26" i="11"/>
  <c r="HG24" i="11"/>
  <c r="EO24" i="11"/>
  <c r="IH24" i="11"/>
  <c r="BJ24" i="11"/>
  <c r="IW25" i="11"/>
  <c r="G25" i="11"/>
  <c r="BS24" i="11"/>
  <c r="JX25" i="11"/>
  <c r="FS24" i="11"/>
  <c r="CV24" i="11"/>
  <c r="AG26" i="11"/>
  <c r="GV24" i="11"/>
  <c r="EY25" i="11"/>
  <c r="FK26" i="11"/>
  <c r="AB25" i="11"/>
  <c r="GR25" i="11"/>
  <c r="GJ26" i="11"/>
  <c r="BR25" i="11"/>
  <c r="HM26" i="11"/>
  <c r="FM26" i="11"/>
  <c r="EM25" i="11"/>
  <c r="HC25" i="11"/>
  <c r="DE24" i="11"/>
  <c r="FQ26" i="11"/>
  <c r="GI25" i="11"/>
  <c r="CQ26" i="11"/>
  <c r="T26" i="11"/>
  <c r="F24" i="11"/>
  <c r="BK26" i="11"/>
  <c r="JQ24" i="11"/>
  <c r="N25" i="11"/>
  <c r="FU25" i="11"/>
  <c r="CD26" i="11"/>
  <c r="EN26" i="11"/>
  <c r="DE26" i="11"/>
  <c r="FL25" i="11"/>
  <c r="HJ24" i="11"/>
  <c r="KN26" i="11"/>
  <c r="FV26" i="11"/>
  <c r="GW26" i="11"/>
  <c r="BL49" i="11"/>
  <c r="IZ49" i="11"/>
  <c r="JE47" i="11"/>
  <c r="EJ47" i="11"/>
  <c r="BT47" i="11"/>
  <c r="AJ48" i="11"/>
  <c r="JC47" i="11"/>
  <c r="BU48" i="11"/>
  <c r="FC47" i="11"/>
  <c r="GP47" i="11"/>
  <c r="CW49" i="11"/>
  <c r="CA49" i="11"/>
  <c r="EN47" i="11"/>
  <c r="HQ48" i="11"/>
  <c r="HP49" i="11"/>
  <c r="EW47" i="11"/>
  <c r="AO49" i="11"/>
  <c r="KG48" i="11"/>
  <c r="FJ48" i="11"/>
  <c r="EH48" i="11"/>
  <c r="JL47" i="11"/>
  <c r="DK49" i="11"/>
  <c r="BG47" i="11"/>
  <c r="GS47" i="11"/>
  <c r="KK48" i="11"/>
  <c r="JG49" i="11"/>
  <c r="FQ49" i="11"/>
  <c r="IO47" i="11"/>
  <c r="FR47" i="11"/>
  <c r="DX49" i="11"/>
  <c r="HW49" i="11"/>
  <c r="DV48" i="11"/>
  <c r="AL47" i="11"/>
  <c r="IA49" i="11"/>
  <c r="DW48" i="11"/>
  <c r="DD49" i="11"/>
  <c r="FS49" i="11"/>
  <c r="KD48" i="11"/>
  <c r="KN47" i="11"/>
  <c r="CE49" i="11"/>
  <c r="JK47" i="11"/>
  <c r="FW47" i="11"/>
  <c r="CO49" i="11"/>
  <c r="FT48" i="11"/>
  <c r="BS49" i="11"/>
  <c r="FG49" i="11"/>
  <c r="IV48" i="11"/>
  <c r="IK47" i="11"/>
  <c r="EK49" i="11"/>
  <c r="EJ49" i="11"/>
  <c r="KA49" i="11"/>
  <c r="IP47" i="11"/>
  <c r="GH49" i="11"/>
  <c r="GK49" i="11"/>
  <c r="FR48" i="11"/>
  <c r="EO49" i="11"/>
  <c r="BV49" i="11"/>
  <c r="IX49" i="11"/>
  <c r="FU47" i="11"/>
  <c r="FB49" i="11"/>
  <c r="DP49" i="11"/>
  <c r="AM48" i="11"/>
  <c r="BO49" i="11"/>
  <c r="JP48" i="11"/>
  <c r="FC48" i="11"/>
  <c r="FI49" i="11"/>
  <c r="AH49" i="11"/>
  <c r="AW49" i="11"/>
  <c r="II48" i="11"/>
  <c r="BC48" i="11"/>
  <c r="IF48" i="11"/>
  <c r="HA49" i="11"/>
  <c r="EK47" i="11"/>
  <c r="EL48" i="11"/>
  <c r="FF47" i="11"/>
  <c r="JK48" i="11"/>
  <c r="FD47" i="11"/>
  <c r="HX48" i="11"/>
  <c r="GF49" i="11"/>
  <c r="KP49" i="11"/>
  <c r="AZ49" i="11"/>
  <c r="FB48" i="11"/>
  <c r="GZ47" i="11"/>
  <c r="IJ48" i="11"/>
  <c r="EF49" i="11"/>
  <c r="DH48" i="11"/>
  <c r="HU49" i="11"/>
  <c r="DU48" i="11"/>
  <c r="IT48" i="11"/>
  <c r="CN49" i="11"/>
  <c r="AV48" i="11"/>
  <c r="IK48" i="11"/>
  <c r="HH49" i="11"/>
  <c r="GY48" i="11"/>
  <c r="N48" i="11"/>
  <c r="AN48" i="11"/>
  <c r="GN48" i="11"/>
  <c r="AP49" i="11"/>
  <c r="EO47" i="11"/>
  <c r="FW49" i="11"/>
  <c r="CQ49" i="11"/>
  <c r="BF47" i="11"/>
  <c r="ES47" i="11"/>
  <c r="II49" i="11"/>
  <c r="D49" i="11"/>
  <c r="EN48" i="11"/>
  <c r="KN49" i="11"/>
  <c r="FA48" i="11"/>
  <c r="DO49" i="11"/>
  <c r="JO47" i="11"/>
  <c r="FM49" i="11"/>
  <c r="ER48" i="11"/>
  <c r="EH47" i="11"/>
  <c r="KO49" i="11"/>
  <c r="CS48" i="11"/>
  <c r="GM49" i="11"/>
  <c r="IG49" i="11"/>
  <c r="AG48" i="11"/>
  <c r="AG49" i="11"/>
  <c r="CI49" i="11"/>
  <c r="Q48" i="11"/>
  <c r="KN48" i="11"/>
  <c r="FU48" i="11"/>
  <c r="FE48" i="11"/>
  <c r="GZ48" i="11"/>
  <c r="CG49" i="11"/>
  <c r="JI47" i="11"/>
  <c r="KL49" i="11"/>
  <c r="EJ48" i="11"/>
  <c r="GG48" i="11"/>
  <c r="EG49" i="11"/>
  <c r="BP49" i="11"/>
  <c r="HN48" i="11"/>
  <c r="U49" i="11"/>
  <c r="HX49" i="11"/>
  <c r="FT47" i="11"/>
  <c r="GN49" i="11"/>
  <c r="GE48" i="11"/>
  <c r="JJ48" i="11"/>
  <c r="FD49" i="11"/>
  <c r="JS47" i="11"/>
  <c r="ID49" i="11"/>
  <c r="FY47" i="11"/>
  <c r="BD47" i="11"/>
  <c r="JN47" i="11"/>
  <c r="GQ49" i="11"/>
  <c r="GQ47" i="11"/>
  <c r="FI48" i="11"/>
  <c r="Y49" i="11"/>
  <c r="D48" i="11"/>
  <c r="AX48" i="11"/>
  <c r="AR48" i="11"/>
  <c r="JU47" i="11"/>
  <c r="JJ49" i="11"/>
  <c r="FS47" i="11"/>
  <c r="AC49" i="11"/>
  <c r="IN48" i="11"/>
  <c r="JW48" i="11"/>
  <c r="AO48" i="11"/>
  <c r="JA47" i="11"/>
  <c r="EY47" i="11"/>
  <c r="HV49" i="11"/>
  <c r="JL48" i="11"/>
  <c r="DR49" i="11"/>
  <c r="CY49" i="11"/>
  <c r="JD49" i="11"/>
  <c r="J49" i="11"/>
  <c r="BQ49" i="11"/>
  <c r="EH49" i="11"/>
  <c r="HP48" i="11"/>
  <c r="GT47" i="11"/>
  <c r="EY48" i="11"/>
  <c r="DM49" i="11"/>
  <c r="JQ47" i="11"/>
  <c r="FF48" i="11"/>
  <c r="BI47" i="11"/>
  <c r="HU47" i="11"/>
  <c r="CJ48" i="11"/>
  <c r="CU48" i="11"/>
  <c r="AA49" i="11"/>
  <c r="EV49" i="11"/>
  <c r="HA48" i="11"/>
  <c r="KI48" i="11"/>
  <c r="EX48" i="11"/>
  <c r="BZ48" i="11"/>
  <c r="FK48" i="11"/>
  <c r="JU49" i="11"/>
  <c r="FA47" i="11"/>
  <c r="GW49" i="11"/>
  <c r="AM47" i="11"/>
  <c r="FL48" i="11"/>
  <c r="N49" i="11"/>
  <c r="C49" i="11"/>
  <c r="EL47" i="11"/>
  <c r="HD49" i="11"/>
  <c r="CX48" i="11"/>
  <c r="KJ49" i="11"/>
  <c r="E48" i="11"/>
  <c r="JB48" i="11"/>
  <c r="GA48" i="11"/>
  <c r="HB49" i="11"/>
  <c r="G49" i="11"/>
  <c r="FR49" i="11"/>
  <c r="BE49" i="11"/>
  <c r="DQ48" i="11"/>
  <c r="EY49" i="11"/>
  <c r="IO48" i="11"/>
  <c r="H49" i="11"/>
  <c r="EW48" i="11"/>
  <c r="BH49" i="11"/>
  <c r="GU49" i="11"/>
  <c r="AP48" i="11"/>
  <c r="IG48" i="11"/>
  <c r="HF48" i="11"/>
  <c r="DU49" i="11"/>
  <c r="EC48" i="11"/>
  <c r="GR47" i="11"/>
  <c r="CV48" i="11"/>
  <c r="EX49" i="11"/>
  <c r="GU48" i="11"/>
  <c r="CG48" i="11"/>
  <c r="P49" i="11"/>
  <c r="IL47" i="11"/>
  <c r="AF49" i="11"/>
  <c r="FN49" i="11"/>
  <c r="IJ49" i="11"/>
  <c r="JZ49" i="11"/>
  <c r="CE48" i="11"/>
  <c r="FP49" i="11"/>
  <c r="IW48" i="11"/>
  <c r="L49" i="11"/>
  <c r="JL49" i="11"/>
  <c r="BJ48" i="11"/>
  <c r="JT48" i="11"/>
  <c r="DP48" i="11"/>
  <c r="DJ49" i="11"/>
  <c r="GC49" i="11"/>
  <c r="Z49" i="11"/>
  <c r="CH48" i="11"/>
  <c r="JM48" i="11"/>
  <c r="GX49" i="11"/>
  <c r="BG48" i="11"/>
  <c r="CQ48" i="11"/>
  <c r="AE49" i="11"/>
  <c r="K49" i="11"/>
  <c r="BW49" i="11"/>
  <c r="DB48" i="11"/>
  <c r="JP49" i="11"/>
  <c r="IP49" i="11"/>
  <c r="Q49" i="11"/>
  <c r="DM48" i="11"/>
  <c r="JN49" i="11"/>
  <c r="GO49" i="11"/>
  <c r="CD49" i="11"/>
  <c r="JS49" i="11"/>
  <c r="HC48" i="11"/>
  <c r="AT48" i="11"/>
  <c r="CJ49" i="11"/>
  <c r="IF49" i="11"/>
  <c r="GR49" i="11"/>
  <c r="DI49" i="11"/>
  <c r="JB49" i="11"/>
  <c r="R48" i="11"/>
  <c r="FU49" i="11"/>
  <c r="KF49" i="11"/>
  <c r="JA48" i="11"/>
  <c r="BI48" i="11"/>
  <c r="JD47" i="11"/>
  <c r="HL48" i="11"/>
  <c r="FZ47" i="11"/>
  <c r="EG48" i="11"/>
  <c r="IQ47" i="11"/>
  <c r="JK49" i="11"/>
  <c r="KF48" i="11"/>
  <c r="BA48" i="11"/>
  <c r="JZ48" i="11"/>
  <c r="FE47" i="11"/>
  <c r="J48" i="11"/>
  <c r="KB48" i="11"/>
  <c r="HD48" i="11"/>
  <c r="S48" i="11"/>
  <c r="AU48" i="11"/>
  <c r="BD48" i="11"/>
  <c r="EE48" i="11"/>
  <c r="GJ48" i="11"/>
  <c r="S49" i="11"/>
  <c r="AT49" i="11"/>
  <c r="BU49" i="11"/>
  <c r="JE49" i="11"/>
  <c r="CF49" i="11"/>
  <c r="FQ47" i="11"/>
  <c r="BF49" i="11"/>
  <c r="FP48" i="11"/>
  <c r="CV49" i="11"/>
  <c r="JF48" i="11"/>
  <c r="DI48" i="11"/>
  <c r="DQ49" i="11"/>
  <c r="IB48" i="11"/>
  <c r="ED48" i="11"/>
  <c r="AL49" i="11"/>
  <c r="BX49" i="11"/>
  <c r="JV49" i="11"/>
  <c r="CY48" i="11"/>
  <c r="FX49" i="11"/>
  <c r="GV48" i="11"/>
  <c r="AN47" i="11"/>
  <c r="AD49" i="11"/>
  <c r="BZ49" i="11"/>
  <c r="AS49" i="11"/>
  <c r="KE48" i="11"/>
  <c r="EK48" i="11"/>
  <c r="JN48" i="11"/>
  <c r="DS48" i="11"/>
  <c r="KH49" i="11"/>
  <c r="IW49" i="11"/>
  <c r="BE47" i="11"/>
  <c r="JY48" i="11"/>
  <c r="ES48" i="11"/>
  <c r="GW48" i="11"/>
  <c r="HJ49" i="11"/>
  <c r="G48" i="11"/>
  <c r="HG49" i="11"/>
  <c r="R49" i="11"/>
  <c r="IT49" i="11"/>
  <c r="DN48" i="11"/>
  <c r="GP48" i="11"/>
  <c r="FD48" i="11"/>
  <c r="HV48" i="11"/>
  <c r="CR48" i="11"/>
  <c r="EM47" i="11"/>
  <c r="O49" i="11"/>
  <c r="CR49" i="11"/>
  <c r="BN49" i="11"/>
  <c r="ET49" i="11"/>
  <c r="E49" i="11"/>
  <c r="AM49" i="11"/>
  <c r="I48" i="11"/>
  <c r="IY48" i="11"/>
  <c r="FK49" i="11"/>
  <c r="GX48" i="11"/>
  <c r="AI48" i="11"/>
  <c r="FY48" i="11"/>
  <c r="HC49" i="11"/>
  <c r="JY49" i="11"/>
  <c r="HL49" i="11"/>
  <c r="JC48" i="11"/>
  <c r="HG48" i="11"/>
  <c r="HQ49" i="11"/>
  <c r="CM48" i="11"/>
  <c r="ES49" i="11"/>
  <c r="DT48" i="11"/>
  <c r="EV47" i="11"/>
  <c r="DL49" i="11"/>
  <c r="HA47" i="11"/>
  <c r="EX47" i="11"/>
  <c r="BT49" i="11"/>
  <c r="GS49" i="11"/>
  <c r="JP47" i="11"/>
  <c r="FF49" i="11"/>
  <c r="CM49" i="11"/>
  <c r="ID48" i="11"/>
  <c r="HI49" i="11"/>
  <c r="EL49" i="11"/>
  <c r="EW49" i="11"/>
  <c r="IY49" i="11"/>
  <c r="GB49" i="11"/>
  <c r="EU47" i="11"/>
  <c r="EF48" i="11"/>
  <c r="HF49" i="11"/>
  <c r="IS48" i="11"/>
  <c r="BH48" i="11"/>
  <c r="AH48" i="11"/>
  <c r="DK48" i="11"/>
  <c r="HW48" i="11"/>
  <c r="DT49" i="11"/>
  <c r="EI49" i="11"/>
  <c r="DF48" i="11"/>
  <c r="CT48" i="11"/>
  <c r="DJ48" i="11"/>
  <c r="F49" i="11"/>
  <c r="BB48" i="11"/>
  <c r="CH49" i="11"/>
  <c r="HU48" i="11"/>
  <c r="IU49" i="11"/>
  <c r="C48" i="11"/>
  <c r="ET48" i="11"/>
  <c r="V49" i="11"/>
  <c r="HN49" i="11"/>
  <c r="IN47" i="11"/>
  <c r="GH48" i="11"/>
  <c r="HT47" i="11"/>
  <c r="DA49" i="11"/>
  <c r="EI48" i="11"/>
  <c r="EP49" i="11"/>
  <c r="KA48" i="11"/>
  <c r="W49" i="11"/>
  <c r="AP47" i="11"/>
  <c r="DV49" i="11"/>
  <c r="DR48" i="11"/>
  <c r="AV49" i="11"/>
  <c r="BA49" i="11"/>
  <c r="DN49" i="11"/>
  <c r="JR47" i="11"/>
  <c r="JR48" i="11"/>
  <c r="FV49" i="11"/>
  <c r="KM49" i="11"/>
  <c r="JH49" i="11"/>
  <c r="EQ47" i="11"/>
  <c r="JV48" i="11"/>
  <c r="EB49" i="11"/>
  <c r="CO48" i="11"/>
  <c r="BT48" i="11"/>
  <c r="JH48" i="11"/>
  <c r="EU48" i="11"/>
  <c r="DC49" i="11"/>
  <c r="IL49" i="11"/>
  <c r="KL47" i="11"/>
  <c r="GS48" i="11"/>
  <c r="KG49" i="11"/>
  <c r="GQ48" i="11"/>
  <c r="FW48" i="11"/>
  <c r="I49" i="11"/>
  <c r="GD49" i="11"/>
  <c r="EA49" i="11"/>
  <c r="AY48" i="11"/>
  <c r="JF49" i="11"/>
  <c r="IH48" i="11"/>
  <c r="BJ47" i="11"/>
  <c r="AY49" i="11"/>
  <c r="U48" i="11"/>
  <c r="BB49" i="11"/>
  <c r="BI49" i="11"/>
  <c r="GB48" i="11"/>
  <c r="IK49" i="11"/>
  <c r="AK47" i="11"/>
  <c r="IS49" i="11"/>
  <c r="BC49" i="11"/>
  <c r="JD48" i="11"/>
  <c r="HZ49" i="11"/>
  <c r="JJ47" i="11"/>
  <c r="IN49" i="11"/>
  <c r="EV48" i="11"/>
  <c r="JQ49" i="11"/>
  <c r="AU49" i="11"/>
  <c r="EI47" i="11"/>
  <c r="JT49" i="11"/>
  <c r="EO48" i="11"/>
  <c r="AK48" i="11"/>
  <c r="IL48" i="11"/>
  <c r="BG49" i="11"/>
  <c r="KE49" i="11"/>
  <c r="FA49" i="11"/>
  <c r="W48" i="11"/>
  <c r="HB48" i="11"/>
  <c r="IA48" i="11"/>
  <c r="KI49" i="11"/>
  <c r="HJ48" i="11"/>
  <c r="DC48" i="11"/>
  <c r="Y48" i="11"/>
  <c r="FO48" i="11"/>
  <c r="IQ49" i="11"/>
  <c r="JH47" i="11"/>
  <c r="CK49" i="11"/>
  <c r="IE48" i="11"/>
  <c r="FE49" i="11"/>
  <c r="FG48" i="11"/>
  <c r="DG49" i="11"/>
  <c r="EN49" i="11"/>
  <c r="JC49" i="11"/>
  <c r="IX48" i="11"/>
  <c r="GK48" i="11"/>
  <c r="Z48" i="11"/>
  <c r="FZ49" i="11"/>
  <c r="CU49" i="11"/>
  <c r="EE49" i="11"/>
  <c r="JV47" i="11"/>
  <c r="GV49" i="11"/>
  <c r="GD48" i="11"/>
  <c r="KC48" i="11"/>
  <c r="BK49" i="11"/>
  <c r="CI48" i="11"/>
  <c r="CZ49" i="11"/>
  <c r="KM47" i="11"/>
  <c r="HZ48" i="11"/>
  <c r="HE48" i="11"/>
  <c r="V48" i="11"/>
  <c r="IR49" i="11"/>
  <c r="GT49" i="11"/>
  <c r="GJ49" i="11"/>
  <c r="DG48" i="11"/>
  <c r="EC49" i="11"/>
  <c r="IO49" i="11"/>
  <c r="HY49" i="11"/>
  <c r="JU48" i="11"/>
  <c r="T48" i="11"/>
  <c r="KD49" i="11"/>
  <c r="KL48" i="11"/>
  <c r="HM48" i="11"/>
  <c r="CZ48" i="11"/>
  <c r="KP48" i="11"/>
  <c r="DE49" i="11"/>
  <c r="GP49" i="11"/>
  <c r="IM48" i="11"/>
  <c r="IM49" i="11"/>
  <c r="FX47" i="11"/>
  <c r="HE49" i="11"/>
  <c r="DS49" i="11"/>
  <c r="FZ48" i="11"/>
  <c r="FV47" i="11"/>
  <c r="EP48" i="11"/>
  <c r="IR47" i="11"/>
  <c r="FC49" i="11"/>
  <c r="GY49" i="11"/>
  <c r="HT48" i="11"/>
  <c r="FB47" i="11"/>
  <c r="IH49" i="11"/>
  <c r="BE48" i="11"/>
  <c r="H48" i="11"/>
  <c r="IB49" i="11"/>
  <c r="IQ48" i="11"/>
  <c r="X48" i="11"/>
  <c r="JA49" i="11"/>
  <c r="BH47" i="11"/>
  <c r="ET47" i="11"/>
  <c r="HS49" i="11"/>
  <c r="EQ48" i="11"/>
  <c r="JO48" i="11"/>
  <c r="BR49" i="11"/>
  <c r="BJ49" i="11"/>
  <c r="FM48" i="11"/>
  <c r="ED49" i="11"/>
  <c r="AA48" i="11"/>
  <c r="JM49" i="11"/>
  <c r="CN48" i="11"/>
  <c r="IC49" i="11"/>
  <c r="IM47" i="11"/>
  <c r="GL49" i="11"/>
  <c r="CC48" i="11"/>
  <c r="KP47" i="11"/>
  <c r="JR49" i="11"/>
  <c r="ER47" i="11"/>
  <c r="JI49" i="11"/>
  <c r="DW49" i="11"/>
  <c r="O48" i="11"/>
  <c r="HO49" i="11"/>
  <c r="BC47" i="11"/>
  <c r="FQ48" i="11"/>
  <c r="EM49" i="11"/>
  <c r="JO49" i="11"/>
  <c r="CK48" i="11"/>
  <c r="HR49" i="11"/>
  <c r="CS49" i="11"/>
  <c r="FT49" i="11"/>
  <c r="HT49" i="11"/>
  <c r="GC48" i="11"/>
  <c r="KK49" i="11"/>
  <c r="CX49" i="11"/>
  <c r="JX49" i="11"/>
  <c r="IE49" i="11"/>
  <c r="GI49" i="11"/>
  <c r="IC48" i="11"/>
  <c r="DB49" i="11"/>
  <c r="CL49" i="11"/>
  <c r="BM49" i="11"/>
  <c r="DL48" i="11"/>
  <c r="X49" i="11"/>
  <c r="JB47" i="11"/>
  <c r="HK49" i="11"/>
  <c r="KM48" i="11"/>
  <c r="GI48" i="11"/>
  <c r="AQ49" i="11"/>
  <c r="FH48" i="11"/>
  <c r="DY49" i="11"/>
  <c r="DA48" i="11"/>
  <c r="KH48" i="11"/>
  <c r="DD48" i="11"/>
  <c r="AN49" i="11"/>
  <c r="JX48" i="11"/>
  <c r="FO49" i="11"/>
  <c r="AL48" i="11"/>
  <c r="AO47" i="11"/>
  <c r="EG47" i="11"/>
  <c r="JT47" i="11"/>
  <c r="CW48" i="11"/>
  <c r="JI48" i="11"/>
  <c r="CT49" i="11"/>
  <c r="BF48" i="11"/>
  <c r="JM47" i="11"/>
  <c r="GE49" i="11"/>
  <c r="EM48" i="11"/>
  <c r="HO48" i="11"/>
  <c r="GG49" i="11"/>
  <c r="HH48" i="11"/>
  <c r="CC49" i="11"/>
  <c r="DE48" i="11"/>
  <c r="CF48" i="11"/>
  <c r="EQ49" i="11"/>
  <c r="IU48" i="11"/>
  <c r="AK49" i="11"/>
  <c r="IR48" i="11"/>
  <c r="GO48" i="11"/>
  <c r="FV48" i="11"/>
  <c r="GR48" i="11"/>
  <c r="FL49" i="11"/>
  <c r="IP48" i="11"/>
  <c r="JF47" i="11"/>
  <c r="FX48" i="11"/>
  <c r="HS48" i="11"/>
  <c r="DF49" i="11"/>
  <c r="FJ49" i="11"/>
  <c r="BD49" i="11"/>
  <c r="DZ49" i="11"/>
  <c r="JE48" i="11"/>
  <c r="AX49" i="11"/>
  <c r="IZ48" i="11"/>
  <c r="JS48" i="11"/>
  <c r="FS48" i="11"/>
  <c r="AW48" i="11"/>
  <c r="AJ49" i="11"/>
  <c r="GF48" i="11"/>
  <c r="AZ48" i="11"/>
  <c r="DH49" i="11"/>
  <c r="FY49" i="11"/>
  <c r="GZ49" i="11"/>
  <c r="KO47" i="11"/>
  <c r="EU49" i="11"/>
  <c r="GM48" i="11"/>
  <c r="EZ49" i="11"/>
  <c r="CL48" i="11"/>
  <c r="HY48" i="11"/>
  <c r="GT48" i="11"/>
  <c r="AS48" i="11"/>
  <c r="ER49" i="11"/>
  <c r="F48" i="11"/>
  <c r="AB49" i="11"/>
  <c r="DO48" i="11"/>
  <c r="GL48" i="11"/>
  <c r="JG48" i="11"/>
  <c r="IJ47" i="11"/>
  <c r="AQ48" i="11"/>
  <c r="CP48" i="11"/>
  <c r="GA49" i="11"/>
  <c r="KB49" i="11"/>
  <c r="HR48" i="11"/>
  <c r="FH49" i="11"/>
  <c r="KO48" i="11"/>
  <c r="HM49" i="11"/>
  <c r="JG47" i="11"/>
  <c r="CP49" i="11"/>
  <c r="EP47" i="11"/>
  <c r="P48" i="11"/>
  <c r="M49" i="11"/>
  <c r="HK48" i="11"/>
  <c r="AR49" i="11"/>
  <c r="KJ48" i="11"/>
  <c r="KC49" i="11"/>
  <c r="JQ48" i="11"/>
  <c r="HI48" i="11"/>
  <c r="IV49" i="11"/>
  <c r="JW49" i="11"/>
  <c r="T49" i="11"/>
  <c r="AI49" i="11"/>
  <c r="EZ48" i="11"/>
  <c r="EZ47" i="11"/>
  <c r="EK58" i="11"/>
  <c r="HY57" i="11"/>
  <c r="JP58" i="11"/>
  <c r="JL57" i="11"/>
  <c r="AC56" i="11"/>
  <c r="CF56" i="11"/>
  <c r="CC56" i="11"/>
  <c r="IT56" i="11"/>
  <c r="CX58" i="11"/>
  <c r="GS58" i="11"/>
  <c r="DI57" i="11"/>
  <c r="L56" i="11"/>
  <c r="AP56" i="11"/>
  <c r="IL58" i="11"/>
  <c r="GR58" i="11"/>
  <c r="JS57" i="11"/>
  <c r="DR57" i="11"/>
  <c r="GC56" i="11"/>
  <c r="IN56" i="11"/>
  <c r="FI57" i="11"/>
  <c r="HY56" i="11"/>
  <c r="S56" i="11"/>
  <c r="FX58" i="11"/>
  <c r="BA56" i="11"/>
  <c r="GI57" i="11"/>
  <c r="DV57" i="11"/>
  <c r="FM57" i="11"/>
  <c r="EW56" i="11"/>
  <c r="GF58" i="11"/>
  <c r="GQ56" i="11"/>
  <c r="HI57" i="11"/>
  <c r="HT57" i="11"/>
  <c r="DF58" i="11"/>
  <c r="BF57" i="11"/>
  <c r="EB56" i="11"/>
  <c r="JB57" i="11"/>
  <c r="N58" i="11"/>
  <c r="KE58" i="11"/>
  <c r="AZ58" i="11"/>
  <c r="EV58" i="11"/>
  <c r="EZ56" i="11"/>
  <c r="KB56" i="11"/>
  <c r="BS58" i="11"/>
  <c r="HW56" i="11"/>
  <c r="HJ56" i="11"/>
  <c r="IB56" i="11"/>
  <c r="CJ56" i="11"/>
  <c r="HS56" i="11"/>
  <c r="JK58" i="11"/>
  <c r="JR58" i="11"/>
  <c r="CC58" i="11"/>
  <c r="G57" i="11"/>
  <c r="DL58" i="11"/>
  <c r="BK57" i="11"/>
  <c r="BN56" i="11"/>
  <c r="IR57" i="11"/>
  <c r="FJ57" i="11"/>
  <c r="JX58" i="11"/>
  <c r="CH57" i="11"/>
  <c r="KB58" i="11"/>
  <c r="FK57" i="11"/>
  <c r="BT56" i="11"/>
  <c r="EM56" i="11"/>
  <c r="AY57" i="11"/>
  <c r="KA56" i="11"/>
  <c r="AA57" i="11"/>
  <c r="IA58" i="11"/>
  <c r="GX57" i="11"/>
  <c r="AN57" i="11"/>
  <c r="HJ58" i="11"/>
  <c r="CV56" i="11"/>
  <c r="KO57" i="11"/>
  <c r="AD57" i="11"/>
  <c r="JJ56" i="11"/>
  <c r="IO58" i="11"/>
  <c r="GM58" i="11"/>
  <c r="EF58" i="11"/>
  <c r="GV58" i="11"/>
  <c r="CR56" i="11"/>
  <c r="JG57" i="11"/>
  <c r="CA58" i="11"/>
  <c r="GV56" i="11"/>
  <c r="DP57" i="11"/>
  <c r="C58" i="11"/>
  <c r="AO58" i="11"/>
  <c r="GT57" i="11"/>
  <c r="EC58" i="11"/>
  <c r="BD58" i="11"/>
  <c r="IY58" i="11"/>
  <c r="GY58" i="11"/>
  <c r="EY56" i="11"/>
  <c r="BQ58" i="11"/>
  <c r="IC56" i="11"/>
  <c r="AK57" i="11"/>
  <c r="IY56" i="11"/>
  <c r="CM58" i="11"/>
  <c r="BO56" i="11"/>
  <c r="X58" i="11"/>
  <c r="IE56" i="11"/>
  <c r="IJ56" i="11"/>
  <c r="HO58" i="11"/>
  <c r="AF56" i="11"/>
  <c r="DK56" i="11"/>
  <c r="FW58" i="11"/>
  <c r="KG58" i="11"/>
  <c r="EY57" i="11"/>
  <c r="FQ56" i="11"/>
  <c r="BV56" i="11"/>
  <c r="BK56" i="11"/>
  <c r="H58" i="11"/>
  <c r="N57" i="11"/>
  <c r="FR58" i="11"/>
  <c r="IH56" i="11"/>
  <c r="AH57" i="11"/>
  <c r="BD56" i="11"/>
  <c r="BW58" i="11"/>
  <c r="KB57" i="11"/>
  <c r="BE57" i="11"/>
  <c r="IM57" i="11"/>
  <c r="CO56" i="11"/>
  <c r="AV56" i="11"/>
  <c r="Y58" i="11"/>
  <c r="JN56" i="11"/>
  <c r="HJ57" i="11"/>
  <c r="AB56" i="11"/>
  <c r="BI58" i="11"/>
  <c r="KO56" i="11"/>
  <c r="Q58" i="11"/>
  <c r="JK57" i="11"/>
  <c r="K58" i="11"/>
  <c r="JY56" i="11"/>
  <c r="L57" i="11"/>
  <c r="FC57" i="11"/>
  <c r="EV56" i="11"/>
  <c r="HT56" i="11"/>
  <c r="GA57" i="11"/>
  <c r="DV56" i="11"/>
  <c r="CE57" i="11"/>
  <c r="T58" i="11"/>
  <c r="KJ58" i="11"/>
  <c r="FN57" i="11"/>
  <c r="IT58" i="11"/>
  <c r="KE57" i="11"/>
  <c r="KL58" i="11"/>
  <c r="JX57" i="11"/>
  <c r="IZ56" i="11"/>
  <c r="HB57" i="11"/>
  <c r="IS58" i="11"/>
  <c r="EW58" i="11"/>
  <c r="KN58" i="11"/>
  <c r="BP56" i="11"/>
  <c r="IA56" i="11"/>
  <c r="GS56" i="11"/>
  <c r="FT56" i="11"/>
  <c r="HI56" i="11"/>
  <c r="JM58" i="11"/>
  <c r="EM57" i="11"/>
  <c r="IT57" i="11"/>
  <c r="JP57" i="11"/>
  <c r="DX56" i="11"/>
  <c r="HL58" i="11"/>
  <c r="GU57" i="11"/>
  <c r="JD56" i="11"/>
  <c r="HO56" i="11"/>
  <c r="FQ57" i="11"/>
  <c r="JA56" i="11"/>
  <c r="AO57" i="11"/>
  <c r="BE58" i="11"/>
  <c r="AX58" i="11"/>
  <c r="JQ58" i="11"/>
  <c r="AE58" i="11"/>
  <c r="DW58" i="11"/>
  <c r="DM56" i="11"/>
  <c r="IL56" i="11"/>
  <c r="FE57" i="11"/>
  <c r="FH58" i="11"/>
  <c r="CG57" i="11"/>
  <c r="II57" i="11"/>
  <c r="JQ57" i="11"/>
  <c r="KM56" i="11"/>
  <c r="GP57" i="11"/>
  <c r="IB58" i="11"/>
  <c r="GP58" i="11"/>
  <c r="JZ56" i="11"/>
  <c r="AU58" i="11"/>
  <c r="CQ58" i="11"/>
  <c r="AR58" i="11"/>
  <c r="AV58" i="11"/>
  <c r="KP56" i="11"/>
  <c r="DN57" i="11"/>
  <c r="FM58" i="11"/>
  <c r="BT57" i="11"/>
  <c r="JM56" i="11"/>
  <c r="S58" i="11"/>
  <c r="CP57" i="11"/>
  <c r="JL58" i="11"/>
  <c r="FG57" i="11"/>
  <c r="GY56" i="11"/>
  <c r="GC58" i="11"/>
  <c r="AB58" i="11"/>
  <c r="CU57" i="11"/>
  <c r="HC56" i="11"/>
  <c r="GI58" i="11"/>
  <c r="BW57" i="11"/>
  <c r="BS56" i="11"/>
  <c r="FZ56" i="11"/>
  <c r="Y57" i="11"/>
  <c r="IX56" i="11"/>
  <c r="GJ58" i="11"/>
  <c r="CN58" i="11"/>
  <c r="AF57" i="11"/>
  <c r="BJ56" i="11"/>
  <c r="CF58" i="11"/>
  <c r="KJ57" i="11"/>
  <c r="GX58" i="11"/>
  <c r="GL58" i="11"/>
  <c r="CU56" i="11"/>
  <c r="EF56" i="11"/>
  <c r="FA56" i="11"/>
  <c r="GQ58" i="11"/>
  <c r="FX56" i="11"/>
  <c r="C56" i="11"/>
  <c r="C80" i="11" s="1" a="1"/>
  <c r="IS56" i="11"/>
  <c r="JW56" i="11"/>
  <c r="HP57" i="11"/>
  <c r="S57" i="11"/>
  <c r="GG57" i="11"/>
  <c r="DA57" i="11"/>
  <c r="AW57" i="11"/>
  <c r="CB57" i="11"/>
  <c r="BG56" i="11"/>
  <c r="FK56" i="11"/>
  <c r="HD58" i="11"/>
  <c r="FI56" i="11"/>
  <c r="GL56" i="11"/>
  <c r="BS57" i="11"/>
  <c r="HI58" i="11"/>
  <c r="KM57" i="11"/>
  <c r="IV56" i="11"/>
  <c r="JH58" i="11"/>
  <c r="GR57" i="11"/>
  <c r="Q56" i="11"/>
  <c r="FC56" i="11"/>
  <c r="GR56" i="11"/>
  <c r="HS57" i="11"/>
  <c r="BY56" i="11"/>
  <c r="Y56" i="11"/>
  <c r="GZ58" i="11"/>
  <c r="JY58" i="11"/>
  <c r="KF56" i="11"/>
  <c r="JM57" i="11"/>
  <c r="X56" i="11"/>
  <c r="EJ56" i="11"/>
  <c r="I57" i="11"/>
  <c r="CK58" i="11"/>
  <c r="KK56" i="11"/>
  <c r="GZ57" i="11"/>
  <c r="GE56" i="11"/>
  <c r="JK56" i="11"/>
  <c r="DC56" i="11"/>
  <c r="JF58" i="11"/>
  <c r="KI57" i="11"/>
  <c r="FD58" i="11"/>
  <c r="HL56" i="11"/>
  <c r="IL57" i="11"/>
  <c r="BV57" i="11"/>
  <c r="GT56" i="11"/>
  <c r="HK58" i="11"/>
  <c r="BX58" i="11"/>
  <c r="DG57" i="11"/>
  <c r="BA58" i="11"/>
  <c r="I56" i="11"/>
  <c r="CW56" i="11"/>
  <c r="IM56" i="11"/>
  <c r="FO58" i="11"/>
  <c r="FE58" i="11"/>
  <c r="JC57" i="11"/>
  <c r="D58" i="11"/>
  <c r="CY58" i="11"/>
  <c r="ID56" i="11"/>
  <c r="AI56" i="11"/>
  <c r="JF57" i="11"/>
  <c r="W57" i="11"/>
  <c r="IE57" i="11"/>
  <c r="DB56" i="11"/>
  <c r="FS58" i="11"/>
  <c r="DU58" i="11"/>
  <c r="DD57" i="11"/>
  <c r="IX58" i="11"/>
  <c r="HE58" i="11"/>
  <c r="BC58" i="11"/>
  <c r="FL57" i="11"/>
  <c r="EO57" i="11"/>
  <c r="GO56" i="11"/>
  <c r="HZ56" i="11"/>
  <c r="AN58" i="11"/>
  <c r="CL57" i="11"/>
  <c r="HN57" i="11"/>
  <c r="BH57" i="11"/>
  <c r="CE56" i="11"/>
  <c r="HH56" i="11"/>
  <c r="DB57" i="11"/>
  <c r="HA58" i="11"/>
  <c r="BB58" i="11"/>
  <c r="HA56" i="11"/>
  <c r="GU56" i="11"/>
  <c r="JT58" i="11"/>
  <c r="ER56" i="11"/>
  <c r="EO58" i="11"/>
  <c r="AX56" i="11"/>
  <c r="CT57" i="11"/>
  <c r="IM58" i="11"/>
  <c r="IW56" i="11"/>
  <c r="BH58" i="11"/>
  <c r="KD57" i="11"/>
  <c r="R56" i="11"/>
  <c r="AY56" i="11"/>
  <c r="AR56" i="11"/>
  <c r="BY58" i="11"/>
  <c r="DD56" i="11"/>
  <c r="CD56" i="11"/>
  <c r="J56" i="11"/>
  <c r="F57" i="11"/>
  <c r="AE56" i="11"/>
  <c r="FJ56" i="11"/>
  <c r="GV57" i="11"/>
  <c r="IP56" i="11"/>
  <c r="AT58" i="11"/>
  <c r="FJ58" i="11"/>
  <c r="W56" i="11"/>
  <c r="GJ56" i="11"/>
  <c r="KD56" i="11"/>
  <c r="CJ57" i="11"/>
  <c r="EB57" i="11"/>
  <c r="KH57" i="11"/>
  <c r="HS58" i="11"/>
  <c r="AU56" i="11"/>
  <c r="AZ57" i="11"/>
  <c r="EQ56" i="11"/>
  <c r="JB56" i="11"/>
  <c r="KO58" i="11"/>
  <c r="K56" i="11"/>
  <c r="FZ57" i="11"/>
  <c r="FH56" i="11"/>
  <c r="CF57" i="11"/>
  <c r="BO58" i="11"/>
  <c r="CD57" i="11"/>
  <c r="GQ57" i="11"/>
  <c r="BU56" i="11"/>
  <c r="HE56" i="11"/>
  <c r="BM57" i="11"/>
  <c r="IG56" i="11"/>
  <c r="JA57" i="11"/>
  <c r="C57" i="11"/>
  <c r="AH56" i="11"/>
  <c r="AI57" i="11"/>
  <c r="KM58" i="11"/>
  <c r="IZ58" i="11"/>
  <c r="BB56" i="11"/>
  <c r="HG58" i="11"/>
  <c r="CG56" i="11"/>
  <c r="AG56" i="11"/>
  <c r="R57" i="11"/>
  <c r="KC56" i="11"/>
  <c r="IO57" i="11"/>
  <c r="FW56" i="11"/>
  <c r="CM57" i="11"/>
  <c r="IO56" i="11"/>
  <c r="DW57" i="11"/>
  <c r="CZ57" i="11"/>
  <c r="HV57" i="11"/>
  <c r="CP56" i="11"/>
  <c r="GU58" i="11"/>
  <c r="FF57" i="11"/>
  <c r="AX57" i="11"/>
  <c r="HB56" i="11"/>
  <c r="AW58" i="11"/>
  <c r="BZ58" i="11"/>
  <c r="EP57" i="11"/>
  <c r="FP56" i="11"/>
  <c r="DQ57" i="11"/>
  <c r="ED58" i="11"/>
  <c r="EY58" i="11"/>
  <c r="II56" i="11"/>
  <c r="FT58" i="11"/>
  <c r="KG57" i="11"/>
  <c r="DL57" i="11"/>
  <c r="FC58" i="11"/>
  <c r="FL58" i="11"/>
  <c r="EL57" i="11"/>
  <c r="BW56" i="11"/>
  <c r="JD57" i="11"/>
  <c r="HW57" i="11"/>
  <c r="CY57" i="11"/>
  <c r="DR58" i="11"/>
  <c r="M56" i="11"/>
  <c r="GE57" i="11"/>
  <c r="AS56" i="11"/>
  <c r="EQ57" i="11"/>
  <c r="DK57" i="11"/>
  <c r="IB57" i="11"/>
  <c r="GD56" i="11"/>
  <c r="GA58" i="11"/>
  <c r="AM56" i="11"/>
  <c r="IR56" i="11"/>
  <c r="AL56" i="11"/>
  <c r="IQ58" i="11"/>
  <c r="JO57" i="11"/>
  <c r="JI58" i="11"/>
  <c r="O57" i="11"/>
  <c r="CZ56" i="11"/>
  <c r="V57" i="11"/>
  <c r="DU57" i="11"/>
  <c r="CX56" i="11"/>
  <c r="CS57" i="11"/>
  <c r="FS56" i="11"/>
  <c r="HR56" i="11"/>
  <c r="FY56" i="11"/>
  <c r="IS57" i="11"/>
  <c r="AT57" i="11"/>
  <c r="JV56" i="11"/>
  <c r="HM58" i="11"/>
  <c r="JC56" i="11"/>
  <c r="DH58" i="11"/>
  <c r="IH57" i="11"/>
  <c r="BJ57" i="11"/>
  <c r="AJ57" i="11"/>
  <c r="AP57" i="11"/>
  <c r="IQ56" i="11"/>
  <c r="IV58" i="11"/>
  <c r="CG58" i="11"/>
  <c r="FG56" i="11"/>
  <c r="AD58" i="11"/>
  <c r="BN57" i="11"/>
  <c r="EE56" i="11"/>
  <c r="FF58" i="11"/>
  <c r="AH58" i="11"/>
  <c r="BI56" i="11"/>
  <c r="HT58" i="11"/>
  <c r="DJ56" i="11"/>
  <c r="H56" i="11"/>
  <c r="DY58" i="11"/>
  <c r="CB56" i="11"/>
  <c r="FU56" i="11"/>
  <c r="IW57" i="11"/>
  <c r="JQ56" i="11"/>
  <c r="HF57" i="11"/>
  <c r="HA57" i="11"/>
  <c r="IG58" i="11"/>
  <c r="GA56" i="11"/>
  <c r="ET56" i="11"/>
  <c r="BA57" i="11"/>
  <c r="HD57" i="11"/>
  <c r="DZ56" i="11"/>
  <c r="BF56" i="11"/>
  <c r="E57" i="11"/>
  <c r="ES57" i="11"/>
  <c r="IE58" i="11"/>
  <c r="DY56" i="11"/>
  <c r="DA56" i="11"/>
  <c r="AM58" i="11"/>
  <c r="HY58" i="11"/>
  <c r="GS57" i="11"/>
  <c r="IV57" i="11"/>
  <c r="DS57" i="11"/>
  <c r="EO56" i="11"/>
  <c r="AR57" i="11"/>
  <c r="JZ57" i="11"/>
  <c r="CR57" i="11"/>
  <c r="BU58" i="11"/>
  <c r="EI58" i="11"/>
  <c r="FP57" i="11"/>
  <c r="DE58" i="11"/>
  <c r="FA58" i="11"/>
  <c r="JA58" i="11"/>
  <c r="IJ57" i="11"/>
  <c r="KN57" i="11"/>
  <c r="K57" i="11"/>
  <c r="CE58" i="11"/>
  <c r="JU56" i="11"/>
  <c r="DL56" i="11"/>
  <c r="KL57" i="11"/>
  <c r="IJ58" i="11"/>
  <c r="JW58" i="11"/>
  <c r="T57" i="11"/>
  <c r="GG58" i="11"/>
  <c r="BQ56" i="11"/>
  <c r="GY57" i="11"/>
  <c r="JS56" i="11"/>
  <c r="HN56" i="11"/>
  <c r="JR57" i="11"/>
  <c r="DI58" i="11"/>
  <c r="HV56" i="11"/>
  <c r="EZ57" i="11"/>
  <c r="JE57" i="11"/>
  <c r="BR56" i="11"/>
  <c r="GI56" i="11"/>
  <c r="GO57" i="11"/>
  <c r="HC57" i="11"/>
  <c r="EN58" i="11"/>
  <c r="GC57" i="11"/>
  <c r="BF58" i="11"/>
  <c r="HX57" i="11"/>
  <c r="GW56" i="11"/>
  <c r="BT58" i="11"/>
  <c r="DA58" i="11"/>
  <c r="EV57" i="11"/>
  <c r="HM57" i="11"/>
  <c r="DX57" i="11"/>
  <c r="EI57" i="11"/>
  <c r="FU58" i="11"/>
  <c r="IC58" i="11"/>
  <c r="AO56" i="11"/>
  <c r="KP57" i="11"/>
  <c r="HB58" i="11"/>
  <c r="HZ57" i="11"/>
  <c r="M57" i="11"/>
  <c r="CO58" i="11"/>
  <c r="F56" i="11"/>
  <c r="FD56" i="11"/>
  <c r="CD58" i="11"/>
  <c r="GT58" i="11"/>
  <c r="JF56" i="11"/>
  <c r="CV58" i="11"/>
  <c r="JE56" i="11"/>
  <c r="DT58" i="11"/>
  <c r="BL58" i="11"/>
  <c r="EL58" i="11"/>
  <c r="FR57" i="11"/>
  <c r="FV56" i="11"/>
  <c r="JZ58" i="11"/>
  <c r="HL57" i="11"/>
  <c r="DZ58" i="11"/>
  <c r="JN58" i="11"/>
  <c r="IF58" i="11"/>
  <c r="P58" i="11"/>
  <c r="JJ58" i="11"/>
  <c r="EI56" i="11"/>
  <c r="FS57" i="11"/>
  <c r="IP58" i="11"/>
  <c r="FO56" i="11"/>
  <c r="KA57" i="11"/>
  <c r="E56" i="11"/>
  <c r="JI56" i="11"/>
  <c r="DH57" i="11"/>
  <c r="IQ57" i="11"/>
  <c r="CX57" i="11"/>
  <c r="DN58" i="11"/>
  <c r="KI58" i="11"/>
  <c r="EN57" i="11"/>
  <c r="FO57" i="11"/>
  <c r="AP58" i="11"/>
  <c r="CJ58" i="11"/>
  <c r="IH58" i="11"/>
  <c r="JJ57" i="11"/>
  <c r="HQ57" i="11"/>
  <c r="CA56" i="11"/>
  <c r="JU57" i="11"/>
  <c r="GP56" i="11"/>
  <c r="FW57" i="11"/>
  <c r="FT57" i="11"/>
  <c r="JH57" i="11"/>
  <c r="KI56" i="11"/>
  <c r="CM56" i="11"/>
  <c r="BC56" i="11"/>
  <c r="GX56" i="11"/>
  <c r="HK56" i="11"/>
  <c r="EP58" i="11"/>
  <c r="EU58" i="11"/>
  <c r="CS56" i="11"/>
  <c r="DG56" i="11"/>
  <c r="CK56" i="11"/>
  <c r="W58" i="11"/>
  <c r="J57" i="11"/>
  <c r="AG57" i="11"/>
  <c r="HX58" i="11"/>
  <c r="CH56" i="11"/>
  <c r="Z57" i="11"/>
  <c r="AI58" i="11"/>
  <c r="BY57" i="11"/>
  <c r="HE57" i="11"/>
  <c r="GN57" i="11"/>
  <c r="IF56" i="11"/>
  <c r="GW57" i="11"/>
  <c r="GB57" i="11"/>
  <c r="D56" i="11"/>
  <c r="ES58" i="11"/>
  <c r="CH58" i="11"/>
  <c r="F58" i="11"/>
  <c r="BM58" i="11"/>
  <c r="JT57" i="11"/>
  <c r="AA56" i="11"/>
  <c r="M58" i="11"/>
  <c r="Z58" i="11"/>
  <c r="EZ58" i="11"/>
  <c r="KL56" i="11"/>
  <c r="EG57" i="11"/>
  <c r="HF58" i="11"/>
  <c r="BL56" i="11"/>
  <c r="CP58" i="11"/>
  <c r="DP58" i="11"/>
  <c r="AT56" i="11"/>
  <c r="GM57" i="11"/>
  <c r="DM58" i="11"/>
  <c r="DS58" i="11"/>
  <c r="JX56" i="11"/>
  <c r="GD57" i="11"/>
  <c r="IK57" i="11"/>
  <c r="CR58" i="11"/>
  <c r="JW57" i="11"/>
  <c r="DF57" i="11"/>
  <c r="KC57" i="11"/>
  <c r="CK57" i="11"/>
  <c r="FV58" i="11"/>
  <c r="BZ56" i="11"/>
  <c r="EG58" i="11"/>
  <c r="L58" i="11"/>
  <c r="JY57" i="11"/>
  <c r="FM56" i="11"/>
  <c r="FP58" i="11"/>
  <c r="DW56" i="11"/>
  <c r="GH56" i="11"/>
  <c r="DK58" i="11"/>
  <c r="GE58" i="11"/>
  <c r="EP56" i="11"/>
  <c r="DU56" i="11"/>
  <c r="EX57" i="11"/>
  <c r="JD58" i="11"/>
  <c r="DC58" i="11"/>
  <c r="HU56" i="11"/>
  <c r="KJ56" i="11"/>
  <c r="IG57" i="11"/>
  <c r="HV58" i="11"/>
  <c r="HF56" i="11"/>
  <c r="I58" i="11"/>
  <c r="CO57" i="11"/>
  <c r="JO58" i="11"/>
  <c r="BU57" i="11"/>
  <c r="GL57" i="11"/>
  <c r="FL56" i="11"/>
  <c r="BO57" i="11"/>
  <c r="DJ57" i="11"/>
  <c r="FX57" i="11"/>
  <c r="IU57" i="11"/>
  <c r="JV57" i="11"/>
  <c r="ET58" i="11"/>
  <c r="AC57" i="11"/>
  <c r="D57" i="11"/>
  <c r="DN56" i="11"/>
  <c r="DD58" i="11"/>
  <c r="EJ57" i="11"/>
  <c r="E58" i="11"/>
  <c r="JS58" i="11"/>
  <c r="AC58" i="11"/>
  <c r="CC57" i="11"/>
  <c r="AN56" i="11"/>
  <c r="EK57" i="11"/>
  <c r="N56" i="11"/>
  <c r="EH57" i="11"/>
  <c r="P56" i="11"/>
  <c r="FY58" i="11"/>
  <c r="BX57" i="11"/>
  <c r="V58" i="11"/>
  <c r="GW58" i="11"/>
  <c r="O58" i="11"/>
  <c r="EX58" i="11"/>
  <c r="EE57" i="11"/>
  <c r="DQ58" i="11"/>
  <c r="CW58" i="11"/>
  <c r="EA57" i="11"/>
  <c r="CU58" i="11"/>
  <c r="AK56" i="11"/>
  <c r="HO57" i="11"/>
  <c r="FV57" i="11"/>
  <c r="JL56" i="11"/>
  <c r="KH56" i="11"/>
  <c r="BI57" i="11"/>
  <c r="GG56" i="11"/>
  <c r="IA57" i="11"/>
  <c r="GZ56" i="11"/>
  <c r="JT56" i="11"/>
  <c r="DJ58" i="11"/>
  <c r="DQ56" i="11"/>
  <c r="GF56" i="11"/>
  <c r="BJ58" i="11"/>
  <c r="EB58" i="11"/>
  <c r="FD57" i="11"/>
  <c r="FN58" i="11"/>
  <c r="CB58" i="11"/>
  <c r="JU58" i="11"/>
  <c r="JB58" i="11"/>
  <c r="JR56" i="11"/>
  <c r="GH58" i="11"/>
  <c r="DY57" i="11"/>
  <c r="AL57" i="11"/>
  <c r="KH58" i="11"/>
  <c r="CI58" i="11"/>
  <c r="CS58" i="11"/>
  <c r="KF58" i="11"/>
  <c r="KD58" i="11"/>
  <c r="GK56" i="11"/>
  <c r="CW57" i="11"/>
  <c r="DT57" i="11"/>
  <c r="CQ56" i="11"/>
  <c r="EA58" i="11"/>
  <c r="KE56" i="11"/>
  <c r="GK57" i="11"/>
  <c r="JO56" i="11"/>
  <c r="BP57" i="11"/>
  <c r="HZ58" i="11"/>
  <c r="AA58" i="11"/>
  <c r="AY58" i="11"/>
  <c r="AW56" i="11"/>
  <c r="ID58" i="11"/>
  <c r="KP58" i="11"/>
  <c r="KG56" i="11"/>
  <c r="CZ58" i="11"/>
  <c r="O56" i="11"/>
  <c r="BZ57" i="11"/>
  <c r="HM56" i="11"/>
  <c r="DI56" i="11"/>
  <c r="BM56" i="11"/>
  <c r="JE58" i="11"/>
  <c r="CN57" i="11"/>
  <c r="HQ56" i="11"/>
  <c r="IU58" i="11"/>
  <c r="FE56" i="11"/>
  <c r="JC58" i="11"/>
  <c r="DV58" i="11"/>
  <c r="CQ57" i="11"/>
  <c r="EQ58" i="11"/>
  <c r="BV58" i="11"/>
  <c r="IZ57" i="11"/>
  <c r="GO58" i="11"/>
  <c r="Z56" i="11"/>
  <c r="FQ58" i="11"/>
  <c r="DO58" i="11"/>
  <c r="EE58" i="11"/>
  <c r="CV57" i="11"/>
  <c r="ED57" i="11"/>
  <c r="GJ57" i="11"/>
  <c r="V56" i="11"/>
  <c r="AB57" i="11"/>
  <c r="CA57" i="11"/>
  <c r="AZ56" i="11"/>
  <c r="IF57" i="11"/>
  <c r="FK58" i="11"/>
  <c r="T56" i="11"/>
  <c r="FH57" i="11"/>
  <c r="FG58" i="11"/>
  <c r="ID57" i="11"/>
  <c r="BB57" i="11"/>
  <c r="CY56" i="11"/>
  <c r="DB58" i="11"/>
  <c r="EF57" i="11"/>
  <c r="DH56" i="11"/>
  <c r="HR57" i="11"/>
  <c r="G58" i="11"/>
  <c r="HN58" i="11"/>
  <c r="AV57" i="11"/>
  <c r="U58" i="11"/>
  <c r="DZ57" i="11"/>
  <c r="DS56" i="11"/>
  <c r="AU57" i="11"/>
  <c r="DO56" i="11"/>
  <c r="DF56" i="11"/>
  <c r="KK58" i="11"/>
  <c r="AQ57" i="11"/>
  <c r="AJ56" i="11"/>
  <c r="FN56" i="11"/>
  <c r="DX58" i="11"/>
  <c r="ER57" i="11"/>
  <c r="HU57" i="11"/>
  <c r="IN58" i="11"/>
  <c r="FI58" i="11"/>
  <c r="AG58" i="11"/>
  <c r="BK58" i="11"/>
  <c r="II58" i="11"/>
  <c r="HR58" i="11"/>
  <c r="Q57" i="11"/>
  <c r="EM58" i="11"/>
  <c r="ER58" i="11"/>
  <c r="BR57" i="11"/>
  <c r="BP58" i="11"/>
  <c r="HC58" i="11"/>
  <c r="DC57" i="11"/>
  <c r="FB58" i="11"/>
  <c r="P57" i="11"/>
  <c r="HG57" i="11"/>
  <c r="J58" i="11"/>
  <c r="FB56" i="11"/>
  <c r="AF58" i="11"/>
  <c r="DR56" i="11"/>
  <c r="AM57" i="11"/>
  <c r="BL57" i="11"/>
  <c r="IN57" i="11"/>
  <c r="GB56" i="11"/>
  <c r="KN56" i="11"/>
  <c r="GH57" i="11"/>
  <c r="EG56" i="11"/>
  <c r="GF57" i="11"/>
  <c r="JV58" i="11"/>
  <c r="AJ58" i="11"/>
  <c r="BG58" i="11"/>
  <c r="EU57" i="11"/>
  <c r="CN56" i="11"/>
  <c r="JI57" i="11"/>
  <c r="IY57" i="11"/>
  <c r="EC57" i="11"/>
  <c r="U56" i="11"/>
  <c r="AS58" i="11"/>
  <c r="HW58" i="11"/>
  <c r="G56" i="11"/>
  <c r="KC58" i="11"/>
  <c r="JN57" i="11"/>
  <c r="JP56" i="11"/>
  <c r="IR58" i="11"/>
  <c r="BQ57" i="11"/>
  <c r="JH56" i="11"/>
  <c r="BX56" i="11"/>
  <c r="HK57" i="11"/>
  <c r="AL58" i="11"/>
  <c r="IC57" i="11"/>
  <c r="HD56" i="11"/>
  <c r="JG58" i="11"/>
  <c r="KF57" i="11"/>
  <c r="EA56" i="11"/>
  <c r="CT56" i="11"/>
  <c r="IX57" i="11"/>
  <c r="X57" i="11"/>
  <c r="KK57" i="11"/>
  <c r="HU58" i="11"/>
  <c r="DE57" i="11"/>
  <c r="KA58" i="11"/>
  <c r="EC56" i="11"/>
  <c r="U57" i="11"/>
  <c r="BR58" i="11"/>
  <c r="IK58" i="11"/>
  <c r="CL56" i="11"/>
  <c r="EK56" i="11"/>
  <c r="IP57" i="11"/>
  <c r="ES56" i="11"/>
  <c r="FR56" i="11"/>
  <c r="FF56" i="11"/>
  <c r="CI56" i="11"/>
  <c r="FB57" i="11"/>
  <c r="FY57" i="11"/>
  <c r="DP56" i="11"/>
  <c r="EL56" i="11"/>
  <c r="DO57" i="11"/>
  <c r="DT56" i="11"/>
  <c r="GM56" i="11"/>
  <c r="DM57" i="11"/>
  <c r="EW57" i="11"/>
  <c r="GN58" i="11"/>
  <c r="DG58" i="11"/>
  <c r="DE56" i="11"/>
  <c r="CL58" i="11"/>
  <c r="EH58" i="11"/>
  <c r="EN56" i="11"/>
  <c r="HX56" i="11"/>
  <c r="FZ58" i="11"/>
  <c r="GD58" i="11"/>
  <c r="BD57" i="11"/>
  <c r="IK56" i="11"/>
  <c r="JG56" i="11"/>
  <c r="BG57" i="11"/>
  <c r="CI57" i="11"/>
  <c r="GB58" i="11"/>
  <c r="IU56" i="11"/>
  <c r="HH58" i="11"/>
  <c r="BE56" i="11"/>
  <c r="H57" i="11"/>
  <c r="HP58" i="11"/>
  <c r="AE57" i="11"/>
  <c r="AK58" i="11"/>
  <c r="CT58" i="11"/>
  <c r="HP56" i="11"/>
  <c r="EU56" i="11"/>
  <c r="GN56" i="11"/>
  <c r="AQ56" i="11"/>
  <c r="HG56" i="11"/>
  <c r="EX56" i="11"/>
  <c r="HQ58" i="11"/>
  <c r="IW58" i="11"/>
  <c r="HH57" i="11"/>
  <c r="BN58" i="11"/>
  <c r="ET57" i="11"/>
  <c r="ED56" i="11"/>
  <c r="GK58" i="11"/>
  <c r="EH56" i="11"/>
  <c r="BC57" i="11"/>
  <c r="AS57" i="11"/>
  <c r="AD56" i="11"/>
  <c r="FU57" i="11"/>
  <c r="AQ58" i="11"/>
  <c r="BH56" i="11"/>
  <c r="FA57" i="11"/>
  <c r="R58" i="11"/>
  <c r="EJ58" i="11"/>
  <c r="Z2" i="10"/>
  <c r="Z14" i="10"/>
  <c r="C64" i="11" l="1" a="1"/>
  <c r="C68" i="11" a="1"/>
  <c r="CI81" i="11"/>
  <c r="D81" i="11"/>
  <c r="IY81" i="11"/>
  <c r="FU80" i="11"/>
  <c r="HR81" i="11"/>
  <c r="IZ80" i="11"/>
  <c r="BX82" i="11"/>
  <c r="IW81" i="11"/>
  <c r="KF80" i="11"/>
  <c r="KG80" i="11"/>
  <c r="HX82" i="11"/>
  <c r="AN81" i="11"/>
  <c r="GQ81" i="11"/>
  <c r="GF82" i="11"/>
  <c r="GI80" i="11"/>
  <c r="FC80" i="11"/>
  <c r="AE82" i="11"/>
  <c r="HM82" i="11"/>
  <c r="GM80" i="11"/>
  <c r="GP81" i="11"/>
  <c r="AF82" i="11"/>
  <c r="JA81" i="11"/>
  <c r="IU81" i="11"/>
  <c r="HE81" i="11"/>
  <c r="AD80" i="11"/>
  <c r="JX80" i="11"/>
  <c r="DN80" i="11"/>
  <c r="CG81" i="11"/>
  <c r="FL80" i="11"/>
  <c r="BF82" i="11"/>
  <c r="BX81" i="11"/>
  <c r="BI80" i="11"/>
  <c r="EK81" i="11"/>
  <c r="EH82" i="11"/>
  <c r="FL82" i="11"/>
  <c r="HH81" i="11"/>
  <c r="JJ81" i="11"/>
  <c r="FW80" i="11"/>
  <c r="JW80" i="11"/>
  <c r="GV80" i="11"/>
  <c r="HX80" i="11"/>
  <c r="FE80" i="11"/>
  <c r="IH81" i="11"/>
  <c r="HU80" i="11"/>
  <c r="IO80" i="11"/>
  <c r="HY81" i="11"/>
  <c r="CH80" i="11"/>
  <c r="CP81" i="11"/>
  <c r="KG81" i="11"/>
  <c r="JQ80" i="11"/>
  <c r="Z80" i="11"/>
  <c r="DU80" i="11"/>
  <c r="HY82" i="11"/>
  <c r="GY81" i="11"/>
  <c r="C81" i="11"/>
  <c r="KO80" i="11"/>
  <c r="CP82" i="11"/>
  <c r="BZ81" i="11"/>
  <c r="DJ82" i="11"/>
  <c r="AT81" i="11"/>
  <c r="FX82" i="11"/>
  <c r="W80" i="11"/>
  <c r="AS82" i="11"/>
  <c r="CJ81" i="11"/>
  <c r="HO80" i="11"/>
  <c r="CW81" i="11"/>
  <c r="DH81" i="11"/>
  <c r="HA81" i="11"/>
  <c r="FG81" i="11"/>
  <c r="IS80" i="11"/>
  <c r="CE80" i="11"/>
  <c r="JD81" i="11"/>
  <c r="BA80" i="11"/>
  <c r="JX81" i="11"/>
  <c r="HW80" i="11"/>
  <c r="AS80" i="11"/>
  <c r="IB82" i="11"/>
  <c r="HE82" i="11"/>
  <c r="EV82" i="11"/>
  <c r="JY81" i="11"/>
  <c r="CY82" i="11"/>
  <c r="BD82" i="11"/>
  <c r="DM81" i="11"/>
  <c r="EA81" i="11"/>
  <c r="IR81" i="11"/>
  <c r="HC81" i="11"/>
  <c r="FU81" i="11"/>
  <c r="DD82" i="11"/>
  <c r="EB82" i="11"/>
  <c r="CX81" i="11"/>
  <c r="KC82" i="11"/>
  <c r="AS81" i="11"/>
  <c r="IB81" i="11"/>
  <c r="EB81" i="11"/>
  <c r="IQ81" i="11"/>
  <c r="CB81" i="11"/>
  <c r="BH81" i="11"/>
  <c r="FO80" i="11"/>
  <c r="DP80" i="11"/>
  <c r="JO81" i="11"/>
  <c r="KL80" i="11"/>
  <c r="HG81" i="11"/>
  <c r="DJ81" i="11"/>
  <c r="M80" i="11"/>
  <c r="HY80" i="11"/>
  <c r="CQ82" i="11"/>
  <c r="CK80" i="11"/>
  <c r="CH81" i="11"/>
  <c r="HJ82" i="11"/>
  <c r="JI81" i="11"/>
  <c r="DW80" i="11"/>
  <c r="FL81" i="11"/>
  <c r="IT81" i="11"/>
  <c r="ER81" i="11"/>
  <c r="O82" i="11"/>
  <c r="AK80" i="11"/>
  <c r="BO80" i="11"/>
  <c r="FT81" i="11"/>
  <c r="JG82" i="11"/>
  <c r="EY80" i="11"/>
  <c r="KI80" i="11"/>
  <c r="AH81" i="11"/>
  <c r="EW82" i="11"/>
  <c r="I80" i="11"/>
  <c r="CT80" i="11"/>
  <c r="HK81" i="11"/>
  <c r="K80" i="11"/>
  <c r="U81" i="11"/>
  <c r="HK80" i="11"/>
  <c r="F81" i="11"/>
  <c r="JT82" i="11"/>
  <c r="AW81" i="11"/>
  <c r="IC81" i="11"/>
  <c r="JP82" i="11"/>
  <c r="EO82" i="11"/>
  <c r="BU82" i="11"/>
  <c r="EE81" i="11"/>
  <c r="BF80" i="11"/>
  <c r="AB82" i="11"/>
  <c r="IF82" i="11"/>
  <c r="EC80" i="11"/>
  <c r="CU82" i="11"/>
  <c r="IP80" i="11"/>
  <c r="FY80" i="11"/>
  <c r="GQ82" i="11"/>
  <c r="CY80" i="11"/>
  <c r="HD82" i="11"/>
  <c r="GD80" i="11"/>
  <c r="BO82" i="11"/>
  <c r="BD81" i="11"/>
  <c r="FV80" i="11"/>
  <c r="AY81" i="11"/>
  <c r="EH81" i="11"/>
  <c r="BA81" i="11"/>
  <c r="HD80" i="11"/>
  <c r="HM81" i="11"/>
  <c r="FP82" i="11"/>
  <c r="FB80" i="11"/>
  <c r="EG82" i="11"/>
  <c r="KE80" i="11"/>
  <c r="FW82" i="11"/>
  <c r="BQ80" i="11"/>
  <c r="HA82" i="11"/>
  <c r="BU81" i="11"/>
  <c r="ET80" i="11"/>
  <c r="BQ81" i="11"/>
  <c r="BV82" i="11"/>
  <c r="CC80" i="11"/>
  <c r="KN82" i="11"/>
  <c r="HT82" i="11"/>
  <c r="AQ82" i="11"/>
  <c r="EN81" i="11"/>
  <c r="D80" i="11"/>
  <c r="GA80" i="11"/>
  <c r="AH82" i="11"/>
  <c r="BT82" i="11"/>
  <c r="AT82" i="11"/>
  <c r="CG82" i="11"/>
  <c r="FY81" i="11"/>
  <c r="IT82" i="11"/>
  <c r="J81" i="11"/>
  <c r="JZ81" i="11"/>
  <c r="FW81" i="11"/>
  <c r="KM81" i="11"/>
  <c r="DA80" i="11"/>
  <c r="JE82" i="11"/>
  <c r="IK82" i="11"/>
  <c r="FA82" i="11"/>
  <c r="JW81" i="11"/>
  <c r="CI80" i="11"/>
  <c r="GN81" i="11"/>
  <c r="GJ80" i="11"/>
  <c r="IR82" i="11"/>
  <c r="EV81" i="11"/>
  <c r="EV80" i="11"/>
  <c r="ED80" i="11"/>
  <c r="HP80" i="11"/>
  <c r="BT81" i="11"/>
  <c r="IW80" i="11"/>
  <c r="IH82" i="11"/>
  <c r="CX80" i="11"/>
  <c r="EH80" i="11"/>
  <c r="FE81" i="11"/>
  <c r="AJ81" i="11"/>
  <c r="CM80" i="11"/>
  <c r="DV80" i="11"/>
  <c r="S81" i="11"/>
  <c r="DT81" i="11"/>
  <c r="FF81" i="11"/>
  <c r="DU82" i="11"/>
  <c r="FA80" i="11"/>
  <c r="GB80" i="11"/>
  <c r="GG82" i="11"/>
  <c r="JF82" i="11"/>
  <c r="GH80" i="11"/>
  <c r="BP82" i="11"/>
  <c r="CO81" i="11"/>
  <c r="CA82" i="11"/>
  <c r="HL82" i="11"/>
  <c r="KC80" i="11"/>
  <c r="J82" i="11"/>
  <c r="W82" i="11"/>
  <c r="BZ80" i="11"/>
  <c r="GN80" i="11"/>
  <c r="BE80" i="11"/>
  <c r="AC82" i="11"/>
  <c r="BG81" i="11"/>
  <c r="IJ82" i="11"/>
  <c r="CA80" i="11"/>
  <c r="DY81" i="11"/>
  <c r="S80" i="11"/>
  <c r="DA81" i="11"/>
  <c r="X80" i="11"/>
  <c r="DV81" i="11"/>
  <c r="HF81" i="11"/>
  <c r="KB81" i="11"/>
  <c r="DL82" i="11"/>
  <c r="GB81" i="11"/>
  <c r="EL80" i="11"/>
  <c r="FK81" i="11"/>
  <c r="JA82" i="11"/>
  <c r="BW81" i="11"/>
  <c r="HZ80" i="11"/>
  <c r="KJ82" i="11"/>
  <c r="DK80" i="11"/>
  <c r="CS80" i="11"/>
  <c r="CO80" i="11"/>
  <c r="JP80" i="11"/>
  <c r="KE82" i="11"/>
  <c r="IM81" i="11"/>
  <c r="GN82" i="11"/>
  <c r="HS81" i="11"/>
  <c r="DI80" i="11"/>
  <c r="BW80" i="11"/>
  <c r="FS80" i="11"/>
  <c r="AO81" i="11"/>
  <c r="JN81" i="11"/>
  <c r="O81" i="11"/>
  <c r="HE80" i="11"/>
  <c r="IY82" i="11"/>
  <c r="JR80" i="11"/>
  <c r="HS80" i="11"/>
  <c r="JM80" i="11"/>
  <c r="GE81" i="11"/>
  <c r="EL81" i="11"/>
  <c r="JY80" i="11"/>
  <c r="KI81" i="11"/>
  <c r="CZ82" i="11"/>
  <c r="FT80" i="11"/>
  <c r="KB80" i="11"/>
  <c r="KK81" i="11"/>
  <c r="FI80" i="11"/>
  <c r="JM81" i="11"/>
  <c r="C82" i="11"/>
  <c r="AZ81" i="11"/>
  <c r="F82" i="11"/>
  <c r="JM82" i="11"/>
  <c r="JW82" i="11"/>
  <c r="KM80" i="11"/>
  <c r="ID81" i="11"/>
  <c r="DH80" i="11"/>
  <c r="HQ81" i="11"/>
  <c r="JQ82" i="11"/>
  <c r="CQ80" i="11"/>
  <c r="AV82" i="11"/>
  <c r="CD80" i="11"/>
  <c r="DS82" i="11"/>
  <c r="FU82" i="11"/>
  <c r="DI82" i="11"/>
  <c r="IL81" i="11"/>
  <c r="JU82" i="11"/>
  <c r="GG80" i="11"/>
  <c r="HB80" i="11"/>
  <c r="EB80" i="11"/>
  <c r="GO81" i="11"/>
  <c r="AE80" i="11"/>
  <c r="GR81" i="11"/>
  <c r="CP80" i="11"/>
  <c r="BK82" i="11"/>
  <c r="CF82" i="11"/>
  <c r="IH80" i="11"/>
  <c r="E80" i="11"/>
  <c r="BF81" i="11"/>
  <c r="DC82" i="11"/>
  <c r="GB82" i="11"/>
  <c r="JZ80" i="11"/>
  <c r="BC82" i="11"/>
  <c r="KG82" i="11"/>
  <c r="BG80" i="11"/>
  <c r="HD81" i="11"/>
  <c r="JE80" i="11"/>
  <c r="AW82" i="11"/>
  <c r="FI81" i="11"/>
  <c r="JK80" i="11"/>
  <c r="KP80" i="11"/>
  <c r="BE82" i="11"/>
  <c r="AQ81" i="11"/>
  <c r="IN82" i="11"/>
  <c r="GA81" i="11"/>
  <c r="FH82" i="11"/>
  <c r="Z81" i="11"/>
  <c r="EQ82" i="11"/>
  <c r="KJ80" i="11"/>
  <c r="GP80" i="11"/>
  <c r="HO82" i="11"/>
  <c r="M81" i="11"/>
  <c r="BU80" i="11"/>
  <c r="EO81" i="11"/>
  <c r="BR80" i="11"/>
  <c r="I82" i="11"/>
  <c r="KD80" i="11"/>
  <c r="L81" i="11"/>
  <c r="CN80" i="11"/>
  <c r="GO82" i="11"/>
  <c r="KJ81" i="11"/>
  <c r="CR80" i="11"/>
  <c r="GK80" i="11"/>
  <c r="DR81" i="11"/>
  <c r="AX81" i="11"/>
  <c r="AD81" i="11"/>
  <c r="AK81" i="11"/>
  <c r="HG82" i="11"/>
  <c r="JS80" i="11"/>
  <c r="IG80" i="11"/>
  <c r="DO81" i="11"/>
  <c r="DV82" i="11"/>
  <c r="BL81" i="11"/>
  <c r="GU81" i="11"/>
  <c r="Y80" i="11"/>
  <c r="DO82" i="11"/>
  <c r="FT82" i="11"/>
  <c r="EZ81" i="11"/>
  <c r="JS82" i="11"/>
  <c r="DE80" i="11"/>
  <c r="GL80" i="11"/>
  <c r="BI82" i="11"/>
  <c r="CG80" i="11"/>
  <c r="FN80" i="11"/>
  <c r="EU82" i="11"/>
  <c r="IS81" i="11"/>
  <c r="AR82" i="11"/>
  <c r="DF81" i="11"/>
  <c r="BX80" i="11"/>
  <c r="CD81" i="11"/>
  <c r="R82" i="11"/>
  <c r="DN82" i="11"/>
  <c r="O80" i="11"/>
  <c r="HF80" i="11"/>
  <c r="HQ82" i="11"/>
  <c r="H82" i="11"/>
  <c r="DW82" i="11"/>
  <c r="E81" i="11"/>
  <c r="FH80" i="11"/>
  <c r="DY80" i="11"/>
  <c r="IK81" i="11"/>
  <c r="IC82" i="11"/>
  <c r="KI82" i="11"/>
  <c r="DL80" i="11"/>
  <c r="J80" i="11"/>
  <c r="JT80" i="11"/>
  <c r="GA82" i="11"/>
  <c r="FJ81" i="11"/>
  <c r="IX82" i="11"/>
  <c r="FD81" i="11"/>
  <c r="AI80" i="11"/>
  <c r="EY82" i="11"/>
  <c r="BZ82" i="11"/>
  <c r="FY82" i="11"/>
  <c r="JQ81" i="11"/>
  <c r="GP82" i="11"/>
  <c r="ID80" i="11"/>
  <c r="IS82" i="11"/>
  <c r="BM80" i="11"/>
  <c r="BS82" i="11"/>
  <c r="CT81" i="11"/>
  <c r="GW82" i="11"/>
  <c r="G81" i="11"/>
  <c r="JJ80" i="11"/>
  <c r="DX81" i="11"/>
  <c r="IU80" i="11"/>
  <c r="GR80" i="11"/>
  <c r="JN80" i="11"/>
  <c r="Q81" i="11"/>
  <c r="DM80" i="11"/>
  <c r="GX82" i="11"/>
  <c r="FQ81" i="11"/>
  <c r="L82" i="11"/>
  <c r="KL81" i="11"/>
  <c r="GK81" i="11"/>
  <c r="AL81" i="11"/>
  <c r="JB81" i="11"/>
  <c r="CI82" i="11"/>
  <c r="Q80" i="11"/>
  <c r="CW82" i="11"/>
  <c r="JI80" i="11"/>
  <c r="D82" i="11"/>
  <c r="DJ80" i="11"/>
  <c r="IE80" i="11"/>
  <c r="CL80" i="11"/>
  <c r="JT81" i="11"/>
  <c r="FZ82" i="11"/>
  <c r="ER80" i="11"/>
  <c r="DB80" i="11"/>
  <c r="GJ82" i="11"/>
  <c r="HJ80" i="11"/>
  <c r="HI80" i="11"/>
  <c r="GX80" i="11"/>
  <c r="EJ80" i="11"/>
  <c r="HI81" i="11"/>
  <c r="HP81" i="11"/>
  <c r="JC80" i="11"/>
  <c r="FQ82" i="11"/>
  <c r="HG80" i="11"/>
  <c r="ED81" i="11"/>
  <c r="JV80" i="11"/>
  <c r="HW82" i="11"/>
  <c r="CJ80" i="11"/>
  <c r="AV81" i="11"/>
  <c r="HC80" i="11"/>
  <c r="BC80" i="11"/>
  <c r="FE82" i="11"/>
  <c r="IC80" i="11"/>
  <c r="V82" i="11"/>
  <c r="IZ82" i="11"/>
  <c r="N82" i="11"/>
  <c r="Y82" i="11"/>
  <c r="HJ81" i="11"/>
  <c r="GK82" i="11"/>
  <c r="AR81" i="11"/>
  <c r="FF82" i="11"/>
  <c r="HH80" i="11"/>
  <c r="AJ82" i="11"/>
  <c r="HM80" i="11"/>
  <c r="IF81" i="11"/>
  <c r="JK81" i="11"/>
  <c r="ET82" i="11"/>
  <c r="FP81" i="11"/>
  <c r="ID82" i="11"/>
  <c r="JG81" i="11"/>
  <c r="GX81" i="11"/>
  <c r="DZ82" i="11"/>
  <c r="EP82" i="11"/>
  <c r="V81" i="11"/>
  <c r="BN80" i="11"/>
  <c r="KP81" i="11"/>
  <c r="AA80" i="11"/>
  <c r="KN81" i="11"/>
  <c r="BE81" i="11"/>
  <c r="HQ80" i="11"/>
  <c r="AB80" i="11"/>
  <c r="BB80" i="11"/>
  <c r="N81" i="11"/>
  <c r="FB82" i="11"/>
  <c r="JN82" i="11"/>
  <c r="CM82" i="11"/>
  <c r="BJ81" i="11"/>
  <c r="FC82" i="11"/>
  <c r="JU80" i="11"/>
  <c r="BY82" i="11"/>
  <c r="EM82" i="11"/>
  <c r="FD82" i="11"/>
  <c r="GH81" i="11"/>
  <c r="U82" i="11"/>
  <c r="EF82" i="11"/>
  <c r="GS80" i="11"/>
  <c r="IP81" i="11"/>
  <c r="JR81" i="11"/>
  <c r="CB80" i="11"/>
  <c r="BN81" i="11"/>
  <c r="HL80" i="11"/>
  <c r="BV81" i="11"/>
  <c r="ES81" i="11"/>
  <c r="FO81" i="11"/>
  <c r="DU81" i="11"/>
  <c r="CV82" i="11"/>
  <c r="FO82" i="11"/>
  <c r="P80" i="11"/>
  <c r="FS82" i="11"/>
  <c r="FC81" i="11"/>
  <c r="CA81" i="11"/>
  <c r="AG82" i="11"/>
  <c r="E82" i="11"/>
  <c r="IO81" i="11"/>
  <c r="DD80" i="11"/>
  <c r="BG82" i="11"/>
  <c r="BT80" i="11"/>
  <c r="DC80" i="11"/>
  <c r="CF81" i="11"/>
  <c r="P82" i="11"/>
  <c r="AZ80" i="11"/>
  <c r="GS81" i="11"/>
  <c r="DB81" i="11"/>
  <c r="R81" i="11"/>
  <c r="AR80" i="11"/>
  <c r="IA82" i="11"/>
  <c r="HZ82" i="11"/>
  <c r="HR80" i="11"/>
  <c r="AN82" i="11"/>
  <c r="JC82" i="11"/>
  <c r="BA82" i="11"/>
  <c r="BY81" i="11"/>
  <c r="KE81" i="11"/>
  <c r="GT82" i="11"/>
  <c r="FM81" i="11"/>
  <c r="FZ81" i="11"/>
  <c r="CC82" i="11"/>
  <c r="EU80" i="11"/>
  <c r="W81" i="11"/>
  <c r="K82" i="11"/>
  <c r="EP81" i="11"/>
  <c r="BY80" i="11"/>
  <c r="HN80" i="11"/>
  <c r="FI82" i="11"/>
  <c r="V80" i="11"/>
  <c r="FG80" i="11"/>
  <c r="AN80" i="11"/>
  <c r="H80" i="11"/>
  <c r="DD81" i="11"/>
  <c r="IQ80" i="11"/>
  <c r="EU81" i="11"/>
  <c r="AL80" i="11"/>
  <c r="FJ80" i="11"/>
  <c r="BQ82" i="11"/>
  <c r="GF80" i="11"/>
  <c r="CY81" i="11"/>
  <c r="IO82" i="11"/>
  <c r="BR81" i="11"/>
  <c r="BO81" i="11"/>
  <c r="DG82" i="11"/>
  <c r="KH81" i="11"/>
  <c r="EI80" i="11"/>
  <c r="DR80" i="11"/>
  <c r="DZ80" i="11"/>
  <c r="KN80" i="11"/>
  <c r="EE80" i="11"/>
  <c r="EA80" i="11"/>
  <c r="EN80" i="11"/>
  <c r="KH80" i="11"/>
  <c r="FS81" i="11"/>
  <c r="DM82" i="11"/>
  <c r="HH82" i="11"/>
  <c r="AO80" i="11"/>
  <c r="IL80" i="11"/>
  <c r="BK80" i="11"/>
  <c r="CS82" i="11"/>
  <c r="KO82" i="11"/>
  <c r="GZ81" i="11"/>
  <c r="T81" i="11"/>
  <c r="BV80" i="11"/>
  <c r="IA80" i="11"/>
  <c r="HU81" i="11"/>
  <c r="CL81" i="11"/>
  <c r="P81" i="11"/>
  <c r="AU81" i="11"/>
  <c r="DX80" i="11"/>
  <c r="FR81" i="11"/>
  <c r="F80" i="11"/>
  <c r="KD82" i="11"/>
  <c r="HU82" i="11"/>
  <c r="IL82" i="11"/>
  <c r="DE82" i="11"/>
  <c r="GG81" i="11"/>
  <c r="CR82" i="11"/>
  <c r="EA82" i="11"/>
  <c r="AH80" i="11"/>
  <c r="CU81" i="11"/>
  <c r="GC81" i="11"/>
  <c r="C80" i="11"/>
  <c r="KB82" i="11"/>
  <c r="EG81" i="11"/>
  <c r="DE81" i="11"/>
  <c r="EJ81" i="11"/>
  <c r="AP82" i="11"/>
  <c r="BM81" i="11"/>
  <c r="BB81" i="11"/>
  <c r="JL80" i="11"/>
  <c r="EX80" i="11"/>
  <c r="GE80" i="11"/>
  <c r="II82" i="11"/>
  <c r="JA80" i="11"/>
  <c r="GW80" i="11"/>
  <c r="JE81" i="11"/>
  <c r="BR82" i="11"/>
  <c r="EC81" i="11"/>
  <c r="AA82" i="11"/>
  <c r="JB80" i="11"/>
  <c r="HW81" i="11"/>
  <c r="Y81" i="11"/>
  <c r="CE81" i="11"/>
  <c r="EK80" i="11"/>
  <c r="FZ80" i="11"/>
  <c r="EX82" i="11"/>
  <c r="IN81" i="11"/>
  <c r="JZ82" i="11"/>
  <c r="HR82" i="11"/>
  <c r="DY82" i="11"/>
  <c r="JP81" i="11"/>
  <c r="DH82" i="11"/>
  <c r="CR81" i="11"/>
  <c r="EP80" i="11"/>
  <c r="EZ82" i="11"/>
  <c r="GF81" i="11"/>
  <c r="CK82" i="11"/>
  <c r="GU80" i="11"/>
  <c r="BH80" i="11"/>
  <c r="GU82" i="11"/>
  <c r="DN81" i="11"/>
  <c r="ER82" i="11"/>
  <c r="EX81" i="11"/>
  <c r="AP80" i="11"/>
  <c r="JV82" i="11"/>
  <c r="GH82" i="11"/>
  <c r="GT80" i="11"/>
  <c r="DT82" i="11"/>
  <c r="AG80" i="11"/>
  <c r="K81" i="11"/>
  <c r="AB81" i="11"/>
  <c r="FR80" i="11"/>
  <c r="CL82" i="11"/>
  <c r="JG80" i="11"/>
  <c r="T80" i="11"/>
  <c r="DL81" i="11"/>
  <c r="EE82" i="11"/>
  <c r="JC81" i="11"/>
  <c r="HV81" i="11"/>
  <c r="FX81" i="11"/>
  <c r="FX80" i="11"/>
  <c r="EQ80" i="11"/>
  <c r="BH82" i="11"/>
  <c r="GC82" i="11"/>
  <c r="T82" i="11"/>
  <c r="ET81" i="11"/>
  <c r="FN81" i="11"/>
  <c r="IV82" i="11"/>
  <c r="AI82" i="11"/>
  <c r="HV82" i="11"/>
  <c r="DP82" i="11"/>
  <c r="CO82" i="11"/>
  <c r="JI82" i="11"/>
  <c r="Z82" i="11"/>
  <c r="CZ80" i="11"/>
  <c r="GI81" i="11"/>
  <c r="BW82" i="11"/>
  <c r="U80" i="11"/>
  <c r="IG81" i="11"/>
  <c r="FV82" i="11"/>
  <c r="GD81" i="11"/>
  <c r="JH82" i="11"/>
  <c r="HV80" i="11"/>
  <c r="CJ82" i="11"/>
  <c r="GL82" i="11"/>
  <c r="HI82" i="11"/>
  <c r="GL81" i="11"/>
  <c r="GY80" i="11"/>
  <c r="KO81" i="11"/>
  <c r="FM80" i="11"/>
  <c r="GZ80" i="11"/>
  <c r="IX81" i="11"/>
  <c r="DT80" i="11"/>
  <c r="AX82" i="11"/>
  <c r="JH81" i="11"/>
  <c r="HA80" i="11"/>
  <c r="AD82" i="11"/>
  <c r="EY81" i="11"/>
  <c r="HL81" i="11"/>
  <c r="GC80" i="11"/>
  <c r="AM81" i="11"/>
  <c r="BP80" i="11"/>
  <c r="HK82" i="11"/>
  <c r="DQ82" i="11"/>
  <c r="BJ80" i="11"/>
  <c r="R80" i="11"/>
  <c r="CB82" i="11"/>
  <c r="IM82" i="11"/>
  <c r="X82" i="11"/>
  <c r="IV81" i="11"/>
  <c r="IM80" i="11"/>
  <c r="FH81" i="11"/>
  <c r="CK81" i="11"/>
  <c r="IT80" i="11"/>
  <c r="M82" i="11"/>
  <c r="AF80" i="11"/>
  <c r="DX82" i="11"/>
  <c r="IF80" i="11"/>
  <c r="AF81" i="11"/>
  <c r="AC81" i="11"/>
  <c r="FN82" i="11"/>
  <c r="BL82" i="11"/>
  <c r="DF80" i="11"/>
  <c r="IA81" i="11"/>
  <c r="HX81" i="11"/>
  <c r="JH80" i="11"/>
  <c r="I81" i="11"/>
  <c r="CW80" i="11"/>
  <c r="DA82" i="11"/>
  <c r="CV80" i="11"/>
  <c r="BJ82" i="11"/>
  <c r="IV80" i="11"/>
  <c r="GR82" i="11"/>
  <c r="GE82" i="11"/>
  <c r="FK80" i="11"/>
  <c r="DG80" i="11"/>
  <c r="CT82" i="11"/>
  <c r="BM82" i="11"/>
  <c r="IB80" i="11"/>
  <c r="GM81" i="11"/>
  <c r="EW80" i="11"/>
  <c r="IW82" i="11"/>
  <c r="CC81" i="11"/>
  <c r="KA80" i="11"/>
  <c r="JR82" i="11"/>
  <c r="JY82" i="11"/>
  <c r="EK82" i="11"/>
  <c r="EF80" i="11"/>
  <c r="CQ81" i="11"/>
  <c r="HS82" i="11"/>
  <c r="AU82" i="11"/>
  <c r="H81" i="11"/>
  <c r="KD81" i="11"/>
  <c r="L80" i="11"/>
  <c r="HT81" i="11"/>
  <c r="JK82" i="11"/>
  <c r="HC82" i="11"/>
  <c r="BD80" i="11"/>
  <c r="EJ82" i="11"/>
  <c r="G80" i="11"/>
  <c r="KA82" i="11"/>
  <c r="AW80" i="11"/>
  <c r="JU81" i="11"/>
  <c r="AP81" i="11"/>
  <c r="HN81" i="11"/>
  <c r="ES80" i="11"/>
  <c r="FJ82" i="11"/>
  <c r="FG82" i="11"/>
  <c r="IP82" i="11"/>
  <c r="AE81" i="11"/>
  <c r="JF81" i="11"/>
  <c r="IX80" i="11"/>
  <c r="X81" i="11"/>
  <c r="BC81" i="11"/>
  <c r="EO80" i="11"/>
  <c r="BS81" i="11"/>
  <c r="JJ82" i="11"/>
  <c r="JS81" i="11"/>
  <c r="FP80" i="11"/>
  <c r="CM81" i="11"/>
  <c r="DK82" i="11"/>
  <c r="EZ80" i="11"/>
  <c r="AJ80" i="11"/>
  <c r="BK81" i="11"/>
  <c r="HB81" i="11"/>
  <c r="DW81" i="11"/>
  <c r="DS81" i="11"/>
  <c r="HZ81" i="11"/>
  <c r="IQ82" i="11"/>
  <c r="FK82" i="11"/>
  <c r="IN80" i="11"/>
  <c r="FF80" i="11"/>
  <c r="CF80" i="11"/>
  <c r="DZ81" i="11"/>
  <c r="ES82" i="11"/>
  <c r="G82" i="11"/>
  <c r="IU82" i="11"/>
  <c r="EN82" i="11"/>
  <c r="Q82" i="11"/>
  <c r="JO82" i="11"/>
  <c r="IE81" i="11"/>
  <c r="IY80" i="11"/>
  <c r="GT81" i="11"/>
  <c r="AT80" i="11"/>
  <c r="AG81" i="11"/>
  <c r="AO82" i="11"/>
  <c r="KF82" i="11"/>
  <c r="DR82" i="11"/>
  <c r="EL82" i="11"/>
  <c r="IJ80" i="11"/>
  <c r="FM82" i="11"/>
  <c r="FD80" i="11"/>
  <c r="II81" i="11"/>
  <c r="EM81" i="11"/>
  <c r="GO80" i="11"/>
  <c r="EW81" i="11"/>
  <c r="IZ81" i="11"/>
  <c r="GS82" i="11"/>
  <c r="DK81" i="11"/>
  <c r="GI82" i="11"/>
  <c r="BI81" i="11"/>
  <c r="N80" i="11"/>
  <c r="JO80" i="11"/>
  <c r="JF80" i="11"/>
  <c r="AV80" i="11"/>
  <c r="AA81" i="11"/>
  <c r="BS80" i="11"/>
  <c r="GD82" i="11"/>
  <c r="AY82" i="11"/>
  <c r="HN82" i="11"/>
  <c r="CZ81" i="11"/>
  <c r="IG82" i="11"/>
  <c r="KM82" i="11"/>
  <c r="GJ81" i="11"/>
  <c r="FA81" i="11"/>
  <c r="CU80" i="11"/>
  <c r="GV81" i="11"/>
  <c r="JD80" i="11"/>
  <c r="EI82" i="11"/>
  <c r="JD82" i="11"/>
  <c r="BP81" i="11"/>
  <c r="AY80" i="11"/>
  <c r="CE82" i="11"/>
  <c r="HO81" i="11"/>
  <c r="DQ80" i="11"/>
  <c r="IR80" i="11"/>
  <c r="FR82" i="11"/>
  <c r="KH82" i="11"/>
  <c r="IE82" i="11"/>
  <c r="DB82" i="11"/>
  <c r="KP82" i="11"/>
  <c r="ED82" i="11"/>
  <c r="DF82" i="11"/>
  <c r="JX82" i="11"/>
  <c r="AM82" i="11"/>
  <c r="GZ82" i="11"/>
  <c r="FB81" i="11"/>
  <c r="KF81" i="11"/>
  <c r="DO80" i="11"/>
  <c r="AX80" i="11"/>
  <c r="FQ80" i="11"/>
  <c r="BL80" i="11"/>
  <c r="HT80" i="11"/>
  <c r="KK82" i="11"/>
  <c r="S82" i="11"/>
  <c r="HP82" i="11"/>
  <c r="CN81" i="11"/>
  <c r="GW81" i="11"/>
  <c r="AC80" i="11"/>
  <c r="II80" i="11"/>
  <c r="EG80" i="11"/>
  <c r="HB82" i="11"/>
  <c r="DQ81" i="11"/>
  <c r="DG81" i="11"/>
  <c r="KK80" i="11"/>
  <c r="CS81" i="11"/>
  <c r="KL82" i="11"/>
  <c r="AI81" i="11"/>
  <c r="JL81" i="11"/>
  <c r="EF81" i="11"/>
  <c r="EC82" i="11"/>
  <c r="AZ82" i="11"/>
  <c r="AQ80" i="11"/>
  <c r="CX82" i="11"/>
  <c r="KA81" i="11"/>
  <c r="DS80" i="11"/>
  <c r="AK82" i="11"/>
  <c r="JL82" i="11"/>
  <c r="EM80" i="11"/>
  <c r="AM80" i="11"/>
  <c r="DI81" i="11"/>
  <c r="FV81" i="11"/>
  <c r="GM82" i="11"/>
  <c r="AU80" i="11"/>
  <c r="HF82" i="11"/>
  <c r="AL82" i="11"/>
  <c r="JV81" i="11"/>
  <c r="GV82" i="11"/>
  <c r="DC81" i="11"/>
  <c r="CV81" i="11"/>
  <c r="GQ80" i="11"/>
  <c r="IK80" i="11"/>
  <c r="EI81" i="11"/>
  <c r="BB82" i="11"/>
  <c r="CH82" i="11"/>
  <c r="CD82" i="11"/>
  <c r="CN82" i="11"/>
  <c r="JB82" i="11"/>
  <c r="DP81" i="11"/>
  <c r="BN82" i="11"/>
  <c r="GY82" i="11"/>
  <c r="IJ81" i="11"/>
  <c r="KC81" i="11"/>
  <c r="EQ81" i="11"/>
  <c r="W2" i="10"/>
  <c r="W14" i="10"/>
  <c r="GA68" i="11" l="1"/>
  <c r="IZ68" i="11"/>
  <c r="DM68" i="11"/>
  <c r="F68" i="11"/>
  <c r="BG68" i="11"/>
  <c r="BP68" i="11"/>
  <c r="CB68" i="11"/>
  <c r="EZ68" i="11"/>
  <c r="DB68" i="11"/>
  <c r="M68" i="11"/>
  <c r="AR68" i="11"/>
  <c r="EY68" i="11"/>
  <c r="KC68" i="11"/>
  <c r="IH68" i="11"/>
  <c r="CD68" i="11"/>
  <c r="GV68" i="11"/>
  <c r="IY68" i="11"/>
  <c r="ET68" i="11"/>
  <c r="BS68" i="11"/>
  <c r="X68" i="11"/>
  <c r="HJ68" i="11"/>
  <c r="FM68" i="11"/>
  <c r="HB68" i="11"/>
  <c r="DF68" i="11"/>
  <c r="IC68" i="11"/>
  <c r="KM68" i="11"/>
  <c r="CS68" i="11"/>
  <c r="JL68" i="11"/>
  <c r="DJ68" i="11"/>
  <c r="O68" i="11"/>
  <c r="JW68" i="11"/>
  <c r="DD68" i="11"/>
  <c r="AP68" i="11"/>
  <c r="AT68" i="11"/>
  <c r="HI68" i="11"/>
  <c r="KB68" i="11"/>
  <c r="EM68" i="11"/>
  <c r="EV68" i="11"/>
  <c r="FJ68" i="11"/>
  <c r="KK68" i="11"/>
  <c r="FN68" i="11"/>
  <c r="BI68" i="11"/>
  <c r="DS68" i="11"/>
  <c r="K68" i="11"/>
  <c r="KO68" i="11"/>
  <c r="HO68" i="11"/>
  <c r="HP68" i="11"/>
  <c r="JY68" i="11"/>
  <c r="DO68" i="11"/>
  <c r="IG68" i="11"/>
  <c r="CJ68" i="11"/>
  <c r="IJ68" i="11"/>
  <c r="EA68" i="11"/>
  <c r="EC68" i="11"/>
  <c r="AF68" i="11"/>
  <c r="DQ68" i="11"/>
  <c r="FQ68" i="11"/>
  <c r="KE68" i="11"/>
  <c r="FG68" i="11"/>
  <c r="IF68" i="11"/>
  <c r="CP68" i="11"/>
  <c r="EG68" i="11"/>
  <c r="JI68" i="11"/>
  <c r="GL68" i="11"/>
  <c r="AB68" i="11"/>
  <c r="BF68" i="11"/>
  <c r="EK68" i="11"/>
  <c r="GU68" i="11"/>
  <c r="H68" i="11"/>
  <c r="AO68" i="11"/>
  <c r="IP68" i="11"/>
  <c r="DP68" i="11"/>
  <c r="ED68" i="11"/>
  <c r="DR68" i="11"/>
  <c r="IV68" i="11"/>
  <c r="JG68" i="11"/>
  <c r="EI68" i="11"/>
  <c r="E68" i="11"/>
  <c r="FI68" i="11"/>
  <c r="CQ68" i="11"/>
  <c r="JU68" i="11"/>
  <c r="JK68" i="11"/>
  <c r="GW68" i="11"/>
  <c r="GD68" i="11"/>
  <c r="FB68" i="11"/>
  <c r="CI68" i="11"/>
  <c r="DU68" i="11"/>
  <c r="N68" i="11"/>
  <c r="AZ68" i="11"/>
  <c r="GZ68" i="11"/>
  <c r="GE68" i="11"/>
  <c r="JJ68" i="11"/>
  <c r="ID68" i="11"/>
  <c r="AY68" i="11"/>
  <c r="DV68" i="11"/>
  <c r="IU68" i="11"/>
  <c r="GH68" i="11"/>
  <c r="FK68" i="11"/>
  <c r="IA68" i="11"/>
  <c r="BZ68" i="11"/>
  <c r="BX68" i="11"/>
  <c r="BL68" i="11"/>
  <c r="DH68" i="11"/>
  <c r="CA68" i="11"/>
  <c r="IQ68" i="11"/>
  <c r="DG68" i="11"/>
  <c r="BM68" i="11"/>
  <c r="GX68" i="11"/>
  <c r="DT68" i="11"/>
  <c r="GO68" i="11"/>
  <c r="GB68" i="11"/>
  <c r="JD68" i="11"/>
  <c r="BR68" i="11"/>
  <c r="FL68" i="11"/>
  <c r="JR68" i="11"/>
  <c r="GR68" i="11"/>
  <c r="Q68" i="11"/>
  <c r="CR68" i="11"/>
  <c r="BC68" i="11"/>
  <c r="BJ68" i="11"/>
  <c r="GY68" i="11"/>
  <c r="EP68" i="11"/>
  <c r="JH68" i="11"/>
  <c r="EN68" i="11"/>
  <c r="DZ68" i="11"/>
  <c r="R68" i="11"/>
  <c r="HV68" i="11"/>
  <c r="JO68" i="11"/>
  <c r="EL68" i="11"/>
  <c r="KA68" i="11"/>
  <c r="JM68" i="11"/>
  <c r="IE68" i="11"/>
  <c r="J68" i="11"/>
  <c r="FP68" i="11"/>
  <c r="FW68" i="11"/>
  <c r="IK68" i="11"/>
  <c r="FX68" i="11"/>
  <c r="EO68" i="11"/>
  <c r="L68" i="11"/>
  <c r="BY68" i="11"/>
  <c r="DE68" i="11"/>
  <c r="EE68" i="11"/>
  <c r="FR68" i="11"/>
  <c r="AV68" i="11"/>
  <c r="GG68" i="11"/>
  <c r="CF68" i="11"/>
  <c r="DL68" i="11"/>
  <c r="Z68" i="11"/>
  <c r="C68" i="11"/>
  <c r="AX68" i="11"/>
  <c r="FC68" i="11"/>
  <c r="KP68" i="11"/>
  <c r="IM68" i="11"/>
  <c r="FD68" i="11"/>
  <c r="HK68" i="11"/>
  <c r="JF68" i="11"/>
  <c r="KN68" i="11"/>
  <c r="P68" i="11"/>
  <c r="CU68" i="11"/>
  <c r="FT68" i="11"/>
  <c r="CZ68" i="11"/>
  <c r="AH68" i="11"/>
  <c r="DK68" i="11"/>
  <c r="HM68" i="11"/>
  <c r="AL68" i="11"/>
  <c r="W68" i="11"/>
  <c r="FA68" i="11"/>
  <c r="HG68" i="11"/>
  <c r="GJ68" i="11"/>
  <c r="BV68" i="11"/>
  <c r="CY68" i="11"/>
  <c r="FH68" i="11"/>
  <c r="BW68" i="11"/>
  <c r="JQ68" i="11"/>
  <c r="GS68" i="11"/>
  <c r="DC68" i="11"/>
  <c r="JA68" i="11"/>
  <c r="BT68" i="11"/>
  <c r="HA68" i="11"/>
  <c r="JX68" i="11"/>
  <c r="AJ68" i="11"/>
  <c r="EW68" i="11"/>
  <c r="CH68" i="11"/>
  <c r="HC68" i="11"/>
  <c r="BO68" i="11"/>
  <c r="V68" i="11"/>
  <c r="BK68" i="11"/>
  <c r="EU68" i="11"/>
  <c r="DX68" i="11"/>
  <c r="DY68" i="11"/>
  <c r="GK68" i="11"/>
  <c r="BQ68" i="11"/>
  <c r="CO68" i="11"/>
  <c r="AD68" i="11"/>
  <c r="FZ68" i="11"/>
  <c r="HE68" i="11"/>
  <c r="CT68" i="11"/>
  <c r="FS68" i="11"/>
  <c r="BH68" i="11"/>
  <c r="AK68" i="11"/>
  <c r="I68" i="11"/>
  <c r="CV68" i="11"/>
  <c r="JV68" i="11"/>
  <c r="CC68" i="11"/>
  <c r="EB68" i="11"/>
  <c r="EX68" i="11"/>
  <c r="ES68" i="11"/>
  <c r="CW68" i="11"/>
  <c r="IN68" i="11"/>
  <c r="AU68" i="11"/>
  <c r="HY68" i="11"/>
  <c r="KL68" i="11"/>
  <c r="IT68" i="11"/>
  <c r="HX68" i="11"/>
  <c r="CG68" i="11"/>
  <c r="GI68" i="11"/>
  <c r="HR68" i="11"/>
  <c r="KI68" i="11"/>
  <c r="BA68" i="11"/>
  <c r="AC68" i="11"/>
  <c r="HU68" i="11"/>
  <c r="GT68" i="11"/>
  <c r="Y68" i="11"/>
  <c r="U68" i="11"/>
  <c r="HL68" i="11"/>
  <c r="BB68" i="11"/>
  <c r="IR68" i="11"/>
  <c r="EF68" i="11"/>
  <c r="HZ68" i="11"/>
  <c r="JT68" i="11"/>
  <c r="HW68" i="11"/>
  <c r="DA68" i="11"/>
  <c r="D68" i="11"/>
  <c r="IO68" i="11"/>
  <c r="HN68" i="11"/>
  <c r="KH68" i="11"/>
  <c r="IL68" i="11"/>
  <c r="S68" i="11"/>
  <c r="EQ68" i="11"/>
  <c r="AW68" i="11"/>
  <c r="BU68" i="11"/>
  <c r="FU68" i="11"/>
  <c r="AI68" i="11"/>
  <c r="KG68" i="11"/>
  <c r="G68" i="11"/>
  <c r="FO68" i="11"/>
  <c r="IX68" i="11"/>
  <c r="GF68" i="11"/>
  <c r="JZ68" i="11"/>
  <c r="CK68" i="11"/>
  <c r="GP68" i="11"/>
  <c r="BD68" i="11"/>
  <c r="DW68" i="11"/>
  <c r="EJ68" i="11"/>
  <c r="GM68" i="11"/>
  <c r="FF68" i="11"/>
  <c r="HF68" i="11"/>
  <c r="JP68" i="11"/>
  <c r="ER68" i="11"/>
  <c r="AQ68" i="11"/>
  <c r="BN68" i="11"/>
  <c r="AS68" i="11"/>
  <c r="FV68" i="11"/>
  <c r="CL68" i="11"/>
  <c r="IW68" i="11"/>
  <c r="KF68" i="11"/>
  <c r="GN68" i="11"/>
  <c r="AN68" i="11"/>
  <c r="JS68" i="11"/>
  <c r="HS68" i="11"/>
  <c r="CM68" i="11"/>
  <c r="JB68" i="11"/>
  <c r="JN68" i="11"/>
  <c r="AM68" i="11"/>
  <c r="GQ68" i="11"/>
  <c r="AG68" i="11"/>
  <c r="T68" i="11"/>
  <c r="II68" i="11"/>
  <c r="GC68" i="11"/>
  <c r="CN68" i="11"/>
  <c r="DI68" i="11"/>
  <c r="BE68" i="11"/>
  <c r="FE68" i="11"/>
  <c r="FY68" i="11"/>
  <c r="EH68" i="11"/>
  <c r="DN68" i="11"/>
  <c r="KD68" i="11"/>
  <c r="HH68" i="11"/>
  <c r="JC68" i="11"/>
  <c r="CE68" i="11"/>
  <c r="KJ68" i="11"/>
  <c r="HQ68" i="11"/>
  <c r="CX68" i="11"/>
  <c r="JE68" i="11"/>
  <c r="AA68" i="11"/>
  <c r="IS68" i="11"/>
  <c r="HD68" i="11"/>
  <c r="IB68" i="11"/>
  <c r="HT68" i="11"/>
  <c r="AE68" i="11"/>
  <c r="IF66" i="11"/>
  <c r="CX65" i="11"/>
  <c r="DJ64" i="11"/>
  <c r="DL64" i="11"/>
  <c r="CE64" i="11"/>
  <c r="CO64" i="11"/>
  <c r="BG64" i="11"/>
  <c r="ED64" i="11"/>
  <c r="DT64" i="11"/>
  <c r="DN64" i="11"/>
  <c r="KP66" i="11"/>
  <c r="AS64" i="11"/>
  <c r="DD65" i="11"/>
  <c r="AK66" i="11"/>
  <c r="JU65" i="11"/>
  <c r="BC65" i="11"/>
  <c r="EK65" i="11"/>
  <c r="BW64" i="11"/>
  <c r="DK66" i="11"/>
  <c r="BB66" i="11"/>
  <c r="FS65" i="11"/>
  <c r="CS66" i="11"/>
  <c r="AL65" i="11"/>
  <c r="GY64" i="11"/>
  <c r="AS65" i="11"/>
  <c r="G66" i="11"/>
  <c r="FZ66" i="11"/>
  <c r="KI66" i="11"/>
  <c r="IE65" i="11"/>
  <c r="CL65" i="11"/>
  <c r="BJ65" i="11"/>
  <c r="KB65" i="11"/>
  <c r="ES65" i="11"/>
  <c r="IX66" i="11"/>
  <c r="JT66" i="11"/>
  <c r="EF66" i="11"/>
  <c r="GM66" i="11"/>
  <c r="JK64" i="11"/>
  <c r="HV65" i="11"/>
  <c r="FC66" i="11"/>
  <c r="JO65" i="11"/>
  <c r="DW66" i="11"/>
  <c r="KF64" i="11"/>
  <c r="BV65" i="11"/>
  <c r="BH65" i="11"/>
  <c r="DT65" i="11"/>
  <c r="JC64" i="11"/>
  <c r="DC64" i="11"/>
  <c r="JC66" i="11"/>
  <c r="EL66" i="11"/>
  <c r="KA65" i="11"/>
  <c r="DI66" i="11"/>
  <c r="N64" i="11"/>
  <c r="JO66" i="11"/>
  <c r="FT64" i="11"/>
  <c r="EQ64" i="11"/>
  <c r="HV66" i="11"/>
  <c r="G65" i="11"/>
  <c r="CQ65" i="11"/>
  <c r="AL64" i="11"/>
  <c r="AV66" i="11"/>
  <c r="IO64" i="11"/>
  <c r="JE66" i="11"/>
  <c r="FR66" i="11"/>
  <c r="O64" i="11"/>
  <c r="IY65" i="11"/>
  <c r="EC64" i="11"/>
  <c r="R64" i="11"/>
  <c r="KE65" i="11"/>
  <c r="CD64" i="11"/>
  <c r="EE64" i="11"/>
  <c r="IK64" i="11"/>
  <c r="EI64" i="11"/>
  <c r="AD65" i="11"/>
  <c r="JA65" i="11"/>
  <c r="IN65" i="11"/>
  <c r="BM64" i="11"/>
  <c r="EM64" i="11"/>
  <c r="EB66" i="11"/>
  <c r="FR64" i="11"/>
  <c r="FY64" i="11"/>
  <c r="HR65" i="11"/>
  <c r="DF66" i="11"/>
  <c r="JI65" i="11"/>
  <c r="IA64" i="11"/>
  <c r="BF64" i="11"/>
  <c r="IO66" i="11"/>
  <c r="FP64" i="11"/>
  <c r="HE64" i="11"/>
  <c r="AW65" i="11"/>
  <c r="BN64" i="11"/>
  <c r="Z64" i="11"/>
  <c r="H64" i="11"/>
  <c r="DJ66" i="11"/>
  <c r="JA64" i="11"/>
  <c r="R65" i="11"/>
  <c r="KD64" i="11"/>
  <c r="AY64" i="11"/>
  <c r="BP65" i="11"/>
  <c r="HJ64" i="11"/>
  <c r="EF64" i="11"/>
  <c r="CJ65" i="11"/>
  <c r="HN65" i="11"/>
  <c r="FG64" i="11"/>
  <c r="CM65" i="11"/>
  <c r="JJ65" i="11"/>
  <c r="DS64" i="11"/>
  <c r="HA66" i="11"/>
  <c r="KK64" i="11"/>
  <c r="W64" i="11"/>
  <c r="GE65" i="11"/>
  <c r="IZ66" i="11"/>
  <c r="HG65" i="11"/>
  <c r="DE65" i="11"/>
  <c r="JE64" i="11"/>
  <c r="IX65" i="11"/>
  <c r="BZ64" i="11"/>
  <c r="AR65" i="11"/>
  <c r="BV66" i="11"/>
  <c r="BL65" i="11"/>
  <c r="KE64" i="11"/>
  <c r="BF66" i="11"/>
  <c r="GJ66" i="11"/>
  <c r="BP64" i="11"/>
  <c r="EC66" i="11"/>
  <c r="HM65" i="11"/>
  <c r="HI65" i="11"/>
  <c r="BX65" i="11"/>
  <c r="CR64" i="11"/>
  <c r="GD66" i="11"/>
  <c r="BU65" i="11"/>
  <c r="CV64" i="11"/>
  <c r="JL64" i="11"/>
  <c r="AO64" i="11"/>
  <c r="Z66" i="11"/>
  <c r="JL65" i="11"/>
  <c r="CF64" i="11"/>
  <c r="AA66" i="11"/>
  <c r="BZ65" i="11"/>
  <c r="BN65" i="11"/>
  <c r="DH65" i="11"/>
  <c r="EB65" i="11"/>
  <c r="DH66" i="11"/>
  <c r="EP66" i="11"/>
  <c r="GI65" i="11"/>
  <c r="BC64" i="11"/>
  <c r="JM64" i="11"/>
  <c r="JG64" i="11"/>
  <c r="EK66" i="11"/>
  <c r="GP65" i="11"/>
  <c r="CK66" i="11"/>
  <c r="AQ66" i="11"/>
  <c r="FN65" i="11"/>
  <c r="CT64" i="11"/>
  <c r="FJ64" i="11"/>
  <c r="HS64" i="11"/>
  <c r="IF65" i="11"/>
  <c r="FP66" i="11"/>
  <c r="FA66" i="11"/>
  <c r="BO64" i="11"/>
  <c r="BW66" i="11"/>
  <c r="N66" i="11"/>
  <c r="GE64" i="11"/>
  <c r="GM65" i="11"/>
  <c r="KC64" i="11"/>
  <c r="FT65" i="11"/>
  <c r="CI66" i="11"/>
  <c r="BK65" i="11"/>
  <c r="II65" i="11"/>
  <c r="DO65" i="11"/>
  <c r="BR66" i="11"/>
  <c r="L64" i="11"/>
  <c r="ID66" i="11"/>
  <c r="FX64" i="11"/>
  <c r="EY66" i="11"/>
  <c r="IC64" i="11"/>
  <c r="M65" i="11"/>
  <c r="K64" i="11"/>
  <c r="AL66" i="11"/>
  <c r="EN66" i="11"/>
  <c r="CI65" i="11"/>
  <c r="KD66" i="11"/>
  <c r="FO64" i="11"/>
  <c r="IN66" i="11"/>
  <c r="BI64" i="11"/>
  <c r="DM66" i="11"/>
  <c r="FF65" i="11"/>
  <c r="BH66" i="11"/>
  <c r="DF65" i="11"/>
  <c r="C66" i="11"/>
  <c r="DI64" i="11"/>
  <c r="EU64" i="11"/>
  <c r="FC65" i="11"/>
  <c r="EI66" i="11"/>
  <c r="I64" i="11"/>
  <c r="DR64" i="11"/>
  <c r="FF64" i="11"/>
  <c r="DV66" i="11"/>
  <c r="BM65" i="11"/>
  <c r="EA65" i="11"/>
  <c r="KK65" i="11"/>
  <c r="AM64" i="11"/>
  <c r="JS66" i="11"/>
  <c r="EH66" i="11"/>
  <c r="BW65" i="11"/>
  <c r="HU66" i="11"/>
  <c r="FG65" i="11"/>
  <c r="T65" i="11"/>
  <c r="JP64" i="11"/>
  <c r="FV66" i="11"/>
  <c r="AN64" i="11"/>
  <c r="EQ65" i="11"/>
  <c r="KF65" i="11"/>
  <c r="K65" i="11"/>
  <c r="FM65" i="11"/>
  <c r="JJ66" i="11"/>
  <c r="BJ66" i="11"/>
  <c r="IM65" i="11"/>
  <c r="CY66" i="11"/>
  <c r="HZ66" i="11"/>
  <c r="IU66" i="11"/>
  <c r="FD65" i="11"/>
  <c r="DA65" i="11"/>
  <c r="BT64" i="11"/>
  <c r="HD64" i="11"/>
  <c r="DP66" i="11"/>
  <c r="JD65" i="11"/>
  <c r="HN64" i="11"/>
  <c r="Z65" i="11"/>
  <c r="JL66" i="11"/>
  <c r="M64" i="11"/>
  <c r="KH64" i="11"/>
  <c r="DQ66" i="11"/>
  <c r="EX64" i="11"/>
  <c r="AE65" i="11"/>
  <c r="JZ64" i="11"/>
  <c r="O65" i="11"/>
  <c r="AD64" i="11"/>
  <c r="IJ64" i="11"/>
  <c r="GP64" i="11"/>
  <c r="HI64" i="11"/>
  <c r="CK65" i="11"/>
  <c r="GC66" i="11"/>
  <c r="HG64" i="11"/>
  <c r="AE66" i="11"/>
  <c r="CI64" i="11"/>
  <c r="IL65" i="11"/>
  <c r="DX66" i="11"/>
  <c r="FS64" i="11"/>
  <c r="KL66" i="11"/>
  <c r="GQ64" i="11"/>
  <c r="IM64" i="11"/>
  <c r="ET65" i="11"/>
  <c r="DR65" i="11"/>
  <c r="HA65" i="11"/>
  <c r="KG65" i="11"/>
  <c r="BK64" i="11"/>
  <c r="HY66" i="11"/>
  <c r="IP65" i="11"/>
  <c r="CG66" i="11"/>
  <c r="HO66" i="11"/>
  <c r="HB64" i="11"/>
  <c r="BQ64" i="11"/>
  <c r="KH65" i="11"/>
  <c r="E64" i="11"/>
  <c r="HF64" i="11"/>
  <c r="KO65" i="11"/>
  <c r="EK64" i="11"/>
  <c r="BD64" i="11"/>
  <c r="U66" i="11"/>
  <c r="HW66" i="11"/>
  <c r="GA66" i="11"/>
  <c r="HC64" i="11"/>
  <c r="JX65" i="11"/>
  <c r="FK64" i="11"/>
  <c r="GN64" i="11"/>
  <c r="JZ65" i="11"/>
  <c r="C65" i="11"/>
  <c r="HF65" i="11"/>
  <c r="KA64" i="11"/>
  <c r="BB64" i="11"/>
  <c r="D66" i="11"/>
  <c r="JN64" i="11"/>
  <c r="D64" i="11"/>
  <c r="HO65" i="11"/>
  <c r="BA66" i="11"/>
  <c r="GH66" i="11"/>
  <c r="EW66" i="11"/>
  <c r="DG65" i="11"/>
  <c r="CU64" i="11"/>
  <c r="AV65" i="11"/>
  <c r="BX66" i="11"/>
  <c r="AP65" i="11"/>
  <c r="BA65" i="11"/>
  <c r="GU65" i="11"/>
  <c r="GP66" i="11"/>
  <c r="GV64" i="11"/>
  <c r="JX66" i="11"/>
  <c r="AQ65" i="11"/>
  <c r="CW66" i="11"/>
  <c r="BF65" i="11"/>
  <c r="EI65" i="11"/>
  <c r="FI66" i="11"/>
  <c r="HH66" i="11"/>
  <c r="JB65" i="11"/>
  <c r="CN65" i="11"/>
  <c r="BM66" i="11"/>
  <c r="HL65" i="11"/>
  <c r="HP65" i="11"/>
  <c r="FL64" i="11"/>
  <c r="IP66" i="11"/>
  <c r="F64" i="11"/>
  <c r="U65" i="11"/>
  <c r="G64" i="11"/>
  <c r="GY66" i="11"/>
  <c r="GD65" i="11"/>
  <c r="L65" i="11"/>
  <c r="DP64" i="11"/>
  <c r="DU66" i="11"/>
  <c r="CN64" i="11"/>
  <c r="JG66" i="11"/>
  <c r="BZ66" i="11"/>
  <c r="CX66" i="11"/>
  <c r="AX65" i="11"/>
  <c r="EX65" i="11"/>
  <c r="AH65" i="11"/>
  <c r="FR65" i="11"/>
  <c r="CC65" i="11"/>
  <c r="GQ65" i="11"/>
  <c r="GO64" i="11"/>
  <c r="F65" i="11"/>
  <c r="GR65" i="11"/>
  <c r="JN66" i="11"/>
  <c r="JY65" i="11"/>
  <c r="DV65" i="11"/>
  <c r="CP66" i="11"/>
  <c r="EJ65" i="11"/>
  <c r="FP65" i="11"/>
  <c r="DZ66" i="11"/>
  <c r="GB64" i="11"/>
  <c r="AR66" i="11"/>
  <c r="FB66" i="11"/>
  <c r="IH66" i="11"/>
  <c r="CA65" i="11"/>
  <c r="IU65" i="11"/>
  <c r="HK66" i="11"/>
  <c r="GK64" i="11"/>
  <c r="HX66" i="11"/>
  <c r="FU65" i="11"/>
  <c r="GN66" i="11"/>
  <c r="AF66" i="11"/>
  <c r="IR64" i="11"/>
  <c r="ET64" i="11"/>
  <c r="DI65" i="11"/>
  <c r="GL64" i="11"/>
  <c r="JU66" i="11"/>
  <c r="HX64" i="11"/>
  <c r="EM65" i="11"/>
  <c r="GI64" i="11"/>
  <c r="ER65" i="11"/>
  <c r="KA66" i="11"/>
  <c r="CA66" i="11"/>
  <c r="HN66" i="11"/>
  <c r="DA66" i="11"/>
  <c r="HR66" i="11"/>
  <c r="EL65" i="11"/>
  <c r="AR64" i="11"/>
  <c r="IQ64" i="11"/>
  <c r="IR66" i="11"/>
  <c r="CR66" i="11"/>
  <c r="AJ65" i="11"/>
  <c r="IW65" i="11"/>
  <c r="EN65" i="11"/>
  <c r="AA64" i="11"/>
  <c r="GT65" i="11"/>
  <c r="BB65" i="11"/>
  <c r="GV65" i="11"/>
  <c r="JO64" i="11"/>
  <c r="KO64" i="11"/>
  <c r="DE66" i="11"/>
  <c r="HX65" i="11"/>
  <c r="DG66" i="11"/>
  <c r="EV64" i="11"/>
  <c r="DE64" i="11"/>
  <c r="JH64" i="11"/>
  <c r="GH64" i="11"/>
  <c r="AM66" i="11"/>
  <c r="HW64" i="11"/>
  <c r="KK66" i="11"/>
  <c r="AG64" i="11"/>
  <c r="J65" i="11"/>
  <c r="HA64" i="11"/>
  <c r="DZ65" i="11"/>
  <c r="HY64" i="11"/>
  <c r="S66" i="11"/>
  <c r="JF66" i="11"/>
  <c r="Y65" i="11"/>
  <c r="KN66" i="11"/>
  <c r="J64" i="11"/>
  <c r="O66" i="11"/>
  <c r="DF64" i="11"/>
  <c r="IJ66" i="11"/>
  <c r="GL66" i="11"/>
  <c r="IE64" i="11"/>
  <c r="S64" i="11"/>
  <c r="HH64" i="11"/>
  <c r="FS66" i="11"/>
  <c r="FO66" i="11"/>
  <c r="CH65" i="11"/>
  <c r="DY65" i="11"/>
  <c r="IG64" i="11"/>
  <c r="CA64" i="11"/>
  <c r="AW64" i="11"/>
  <c r="GD64" i="11"/>
  <c r="GS64" i="11"/>
  <c r="FY65" i="11"/>
  <c r="FG66" i="11"/>
  <c r="HC66" i="11"/>
  <c r="AP66" i="11"/>
  <c r="JJ64" i="11"/>
  <c r="DN66" i="11"/>
  <c r="FD66" i="11"/>
  <c r="BY66" i="11"/>
  <c r="DH64" i="11"/>
  <c r="DO66" i="11"/>
  <c r="AX64" i="11"/>
  <c r="IE66" i="11"/>
  <c r="EE65" i="11"/>
  <c r="Q65" i="11"/>
  <c r="EA64" i="11"/>
  <c r="AC65" i="11"/>
  <c r="EN64" i="11"/>
  <c r="Y66" i="11"/>
  <c r="DB66" i="11"/>
  <c r="KE66" i="11"/>
  <c r="X65" i="11"/>
  <c r="IY66" i="11"/>
  <c r="T66" i="11"/>
  <c r="HT66" i="11"/>
  <c r="H65" i="11"/>
  <c r="EZ65" i="11"/>
  <c r="ED65" i="11"/>
  <c r="DX65" i="11"/>
  <c r="KI65" i="11"/>
  <c r="FQ66" i="11"/>
  <c r="EG66" i="11"/>
  <c r="F66" i="11"/>
  <c r="AI64" i="11"/>
  <c r="FV64" i="11"/>
  <c r="BQ65" i="11"/>
  <c r="IR65" i="11"/>
  <c r="CE66" i="11"/>
  <c r="JH65" i="11"/>
  <c r="FI65" i="11"/>
  <c r="N65" i="11"/>
  <c r="FW65" i="11"/>
  <c r="DJ65" i="11"/>
  <c r="CU65" i="11"/>
  <c r="IA65" i="11"/>
  <c r="CB64" i="11"/>
  <c r="KO66" i="11"/>
  <c r="BT66" i="11"/>
  <c r="IU64" i="11"/>
  <c r="CH64" i="11"/>
  <c r="BP66" i="11"/>
  <c r="AF64" i="11"/>
  <c r="BY65" i="11"/>
  <c r="JQ64" i="11"/>
  <c r="EZ66" i="11"/>
  <c r="JW66" i="11"/>
  <c r="FU66" i="11"/>
  <c r="HD66" i="11"/>
  <c r="CZ65" i="11"/>
  <c r="BO66" i="11"/>
  <c r="CY64" i="11"/>
  <c r="AI66" i="11"/>
  <c r="AB65" i="11"/>
  <c r="CS65" i="11"/>
  <c r="CV65" i="11"/>
  <c r="IZ65" i="11"/>
  <c r="P64" i="11"/>
  <c r="IF64" i="11"/>
  <c r="HB66" i="11"/>
  <c r="BC66" i="11"/>
  <c r="CV66" i="11"/>
  <c r="KC65" i="11"/>
  <c r="HM66" i="11"/>
  <c r="JB64" i="11"/>
  <c r="BI65" i="11"/>
  <c r="EV66" i="11"/>
  <c r="CN66" i="11"/>
  <c r="GA65" i="11"/>
  <c r="AY66" i="11"/>
  <c r="BQ66" i="11"/>
  <c r="JS64" i="11"/>
  <c r="JB66" i="11"/>
  <c r="HQ65" i="11"/>
  <c r="ET66" i="11"/>
  <c r="CU66" i="11"/>
  <c r="FA64" i="11"/>
  <c r="BG66" i="11"/>
  <c r="C64" i="11"/>
  <c r="CD65" i="11"/>
  <c r="X64" i="11"/>
  <c r="FV65" i="11"/>
  <c r="FD64" i="11"/>
  <c r="AU66" i="11"/>
  <c r="HY65" i="11"/>
  <c r="GT64" i="11"/>
  <c r="FA65" i="11"/>
  <c r="JQ66" i="11"/>
  <c r="FN66" i="11"/>
  <c r="CM64" i="11"/>
  <c r="GO66" i="11"/>
  <c r="DB65" i="11"/>
  <c r="JR64" i="11"/>
  <c r="EJ64" i="11"/>
  <c r="GM64" i="11"/>
  <c r="EV65" i="11"/>
  <c r="J66" i="11"/>
  <c r="IZ64" i="11"/>
  <c r="JV64" i="11"/>
  <c r="IV64" i="11"/>
  <c r="BT65" i="11"/>
  <c r="IB65" i="11"/>
  <c r="GN65" i="11"/>
  <c r="KM66" i="11"/>
  <c r="IT65" i="11"/>
  <c r="HS66" i="11"/>
  <c r="HO64" i="11"/>
  <c r="M66" i="11"/>
  <c r="JH66" i="11"/>
  <c r="IC66" i="11"/>
  <c r="IQ66" i="11"/>
  <c r="FQ65" i="11"/>
  <c r="AX66" i="11"/>
  <c r="EP64" i="11"/>
  <c r="CZ66" i="11"/>
  <c r="CO66" i="11"/>
  <c r="FM64" i="11"/>
  <c r="DY64" i="11"/>
  <c r="JE65" i="11"/>
  <c r="CL64" i="11"/>
  <c r="DX64" i="11"/>
  <c r="JF65" i="11"/>
  <c r="HC65" i="11"/>
  <c r="FO65" i="11"/>
  <c r="DC66" i="11"/>
  <c r="EU65" i="11"/>
  <c r="JY64" i="11"/>
  <c r="BU64" i="11"/>
  <c r="EL64" i="11"/>
  <c r="W66" i="11"/>
  <c r="AK64" i="11"/>
  <c r="BI66" i="11"/>
  <c r="KN65" i="11"/>
  <c r="FE64" i="11"/>
  <c r="AW66" i="11"/>
  <c r="CF65" i="11"/>
  <c r="AY65" i="11"/>
  <c r="GT66" i="11"/>
  <c r="GR64" i="11"/>
  <c r="DZ64" i="11"/>
  <c r="R66" i="11"/>
  <c r="FL66" i="11"/>
  <c r="V64" i="11"/>
  <c r="IN64" i="11"/>
  <c r="KC66" i="11"/>
  <c r="JQ65" i="11"/>
  <c r="CM66" i="11"/>
  <c r="IV66" i="11"/>
  <c r="BS64" i="11"/>
  <c r="HK64" i="11"/>
  <c r="DA64" i="11"/>
  <c r="I66" i="11"/>
  <c r="AI65" i="11"/>
  <c r="KB66" i="11"/>
  <c r="HU64" i="11"/>
  <c r="IB66" i="11"/>
  <c r="IA66" i="11"/>
  <c r="CP64" i="11"/>
  <c r="HZ65" i="11"/>
  <c r="KI64" i="11"/>
  <c r="FY66" i="11"/>
  <c r="BS66" i="11"/>
  <c r="KP64" i="11"/>
  <c r="HV64" i="11"/>
  <c r="X66" i="11"/>
  <c r="GX64" i="11"/>
  <c r="HF66" i="11"/>
  <c r="I65" i="11"/>
  <c r="JN65" i="11"/>
  <c r="JS65" i="11"/>
  <c r="GJ64" i="11"/>
  <c r="GC65" i="11"/>
  <c r="AM65" i="11"/>
  <c r="AH66" i="11"/>
  <c r="CZ64" i="11"/>
  <c r="ES64" i="11"/>
  <c r="AZ65" i="11"/>
  <c r="EU66" i="11"/>
  <c r="FW64" i="11"/>
  <c r="BR65" i="11"/>
  <c r="HT64" i="11"/>
  <c r="EO66" i="11"/>
  <c r="GB66" i="11"/>
  <c r="DY66" i="11"/>
  <c r="HD65" i="11"/>
  <c r="IH64" i="11"/>
  <c r="AE64" i="11"/>
  <c r="FX65" i="11"/>
  <c r="DK65" i="11"/>
  <c r="DP65" i="11"/>
  <c r="CY65" i="11"/>
  <c r="CC64" i="11"/>
  <c r="DD64" i="11"/>
  <c r="GS66" i="11"/>
  <c r="CP65" i="11"/>
  <c r="CW65" i="11"/>
  <c r="CR65" i="11"/>
  <c r="AB66" i="11"/>
  <c r="KJ65" i="11"/>
  <c r="AZ64" i="11"/>
  <c r="BE66" i="11"/>
  <c r="FZ65" i="11"/>
  <c r="FH65" i="11"/>
  <c r="JR66" i="11"/>
  <c r="GS65" i="11"/>
  <c r="DO64" i="11"/>
  <c r="DB64" i="11"/>
  <c r="AH64" i="11"/>
  <c r="FW66" i="11"/>
  <c r="BX64" i="11"/>
  <c r="JY66" i="11"/>
  <c r="EA66" i="11"/>
  <c r="IV65" i="11"/>
  <c r="AG66" i="11"/>
  <c r="CG65" i="11"/>
  <c r="D65" i="11"/>
  <c r="ID64" i="11"/>
  <c r="IS65" i="11"/>
  <c r="EP65" i="11"/>
  <c r="AU65" i="11"/>
  <c r="AK65" i="11"/>
  <c r="EG65" i="11"/>
  <c r="AA65" i="11"/>
  <c r="GU64" i="11"/>
  <c r="KG64" i="11"/>
  <c r="P66" i="11"/>
  <c r="BV64" i="11"/>
  <c r="CW64" i="11"/>
  <c r="EB64" i="11"/>
  <c r="KM65" i="11"/>
  <c r="EQ66" i="11"/>
  <c r="IP64" i="11"/>
  <c r="CL66" i="11"/>
  <c r="EM66" i="11"/>
  <c r="EO65" i="11"/>
  <c r="AG65" i="11"/>
  <c r="JI66" i="11"/>
  <c r="HW65" i="11"/>
  <c r="EZ64" i="11"/>
  <c r="IS66" i="11"/>
  <c r="BD66" i="11"/>
  <c r="II64" i="11"/>
  <c r="GK65" i="11"/>
  <c r="AB64" i="11"/>
  <c r="EE66" i="11"/>
  <c r="BN66" i="11"/>
  <c r="ED66" i="11"/>
  <c r="K66" i="11"/>
  <c r="AT66" i="11"/>
  <c r="HZ64" i="11"/>
  <c r="AU64" i="11"/>
  <c r="JA66" i="11"/>
  <c r="GW65" i="11"/>
  <c r="EH64" i="11"/>
  <c r="HG66" i="11"/>
  <c r="CJ64" i="11"/>
  <c r="AQ64" i="11"/>
  <c r="DS66" i="11"/>
  <c r="AJ64" i="11"/>
  <c r="CO65" i="11"/>
  <c r="IJ65" i="11"/>
  <c r="BA64" i="11"/>
  <c r="FJ65" i="11"/>
  <c r="CT66" i="11"/>
  <c r="AF65" i="11"/>
  <c r="GJ65" i="11"/>
  <c r="CQ66" i="11"/>
  <c r="FE66" i="11"/>
  <c r="IG66" i="11"/>
  <c r="GQ66" i="11"/>
  <c r="KF66" i="11"/>
  <c r="KD65" i="11"/>
  <c r="HP64" i="11"/>
  <c r="FC64" i="11"/>
  <c r="AD66" i="11"/>
  <c r="DS65" i="11"/>
  <c r="GB65" i="11"/>
  <c r="JM66" i="11"/>
  <c r="JR65" i="11"/>
  <c r="DT66" i="11"/>
  <c r="CG64" i="11"/>
  <c r="GF66" i="11"/>
  <c r="GZ64" i="11"/>
  <c r="HT65" i="11"/>
  <c r="IC65" i="11"/>
  <c r="HK65" i="11"/>
  <c r="DK64" i="11"/>
  <c r="GC64" i="11"/>
  <c r="DU64" i="11"/>
  <c r="Q66" i="11"/>
  <c r="HP66" i="11"/>
  <c r="S65" i="11"/>
  <c r="BY64" i="11"/>
  <c r="HR64" i="11"/>
  <c r="JW64" i="11"/>
  <c r="IH65" i="11"/>
  <c r="T64" i="11"/>
  <c r="EW65" i="11"/>
  <c r="FK65" i="11"/>
  <c r="JT64" i="11"/>
  <c r="DD66" i="11"/>
  <c r="IL64" i="11"/>
  <c r="ID65" i="11"/>
  <c r="BK66" i="11"/>
  <c r="GO65" i="11"/>
  <c r="HQ66" i="11"/>
  <c r="DG64" i="11"/>
  <c r="JV66" i="11"/>
  <c r="KH66" i="11"/>
  <c r="DM64" i="11"/>
  <c r="AJ66" i="11"/>
  <c r="FF66" i="11"/>
  <c r="HH65" i="11"/>
  <c r="ES66" i="11"/>
  <c r="KL65" i="11"/>
  <c r="HL64" i="11"/>
  <c r="IO65" i="11"/>
  <c r="HJ65" i="11"/>
  <c r="BO65" i="11"/>
  <c r="GH65" i="11"/>
  <c r="EH65" i="11"/>
  <c r="IK66" i="11"/>
  <c r="AC64" i="11"/>
  <c r="CQ64" i="11"/>
  <c r="AT65" i="11"/>
  <c r="KB64" i="11"/>
  <c r="KG66" i="11"/>
  <c r="IW64" i="11"/>
  <c r="CT65" i="11"/>
  <c r="DC65" i="11"/>
  <c r="DU65" i="11"/>
  <c r="GW64" i="11"/>
  <c r="GU66" i="11"/>
  <c r="CK64" i="11"/>
  <c r="BL64" i="11"/>
  <c r="IX64" i="11"/>
  <c r="IB64" i="11"/>
  <c r="KP65" i="11"/>
  <c r="V65" i="11"/>
  <c r="FE65" i="11"/>
  <c r="EJ66" i="11"/>
  <c r="IG65" i="11"/>
  <c r="HJ66" i="11"/>
  <c r="JK65" i="11"/>
  <c r="II66" i="11"/>
  <c r="IS64" i="11"/>
  <c r="EY65" i="11"/>
  <c r="HU65" i="11"/>
  <c r="BU66" i="11"/>
  <c r="CX64" i="11"/>
  <c r="AZ66" i="11"/>
  <c r="AO65" i="11"/>
  <c r="JP65" i="11"/>
  <c r="GL65" i="11"/>
  <c r="P65" i="11"/>
  <c r="GF64" i="11"/>
  <c r="GG65" i="11"/>
  <c r="JK66" i="11"/>
  <c r="Y64" i="11"/>
  <c r="EY64" i="11"/>
  <c r="FB65" i="11"/>
  <c r="HQ64" i="11"/>
  <c r="IM66" i="11"/>
  <c r="FH64" i="11"/>
  <c r="JC65" i="11"/>
  <c r="EX66" i="11"/>
  <c r="AT64" i="11"/>
  <c r="EF65" i="11"/>
  <c r="E65" i="11"/>
  <c r="JG65" i="11"/>
  <c r="CB65" i="11"/>
  <c r="GE66" i="11"/>
  <c r="JZ66" i="11"/>
  <c r="EW64" i="11"/>
  <c r="KM64" i="11"/>
  <c r="GR66" i="11"/>
  <c r="IQ65" i="11"/>
  <c r="GK66" i="11"/>
  <c r="HI66" i="11"/>
  <c r="FI64" i="11"/>
  <c r="HE66" i="11"/>
  <c r="FK66" i="11"/>
  <c r="JP66" i="11"/>
  <c r="DR66" i="11"/>
  <c r="KN64" i="11"/>
  <c r="GX66" i="11"/>
  <c r="Q64" i="11"/>
  <c r="JF64" i="11"/>
  <c r="FM66" i="11"/>
  <c r="AC66" i="11"/>
  <c r="HL66" i="11"/>
  <c r="GG66" i="11"/>
  <c r="BL66" i="11"/>
  <c r="DL65" i="11"/>
  <c r="IK65" i="11"/>
  <c r="EC65" i="11"/>
  <c r="EO64" i="11"/>
  <c r="BS65" i="11"/>
  <c r="GZ65" i="11"/>
  <c r="CJ66" i="11"/>
  <c r="JX64" i="11"/>
  <c r="CD66" i="11"/>
  <c r="BD65" i="11"/>
  <c r="GY65" i="11"/>
  <c r="EG64" i="11"/>
  <c r="DW65" i="11"/>
  <c r="JI64" i="11"/>
  <c r="AN66" i="11"/>
  <c r="IT66" i="11"/>
  <c r="HE65" i="11"/>
  <c r="IL66" i="11"/>
  <c r="AN65" i="11"/>
  <c r="JM65" i="11"/>
  <c r="BG65" i="11"/>
  <c r="JU64" i="11"/>
  <c r="CS64" i="11"/>
  <c r="FB64" i="11"/>
  <c r="HS65" i="11"/>
  <c r="U64" i="11"/>
  <c r="JT65" i="11"/>
  <c r="FL65" i="11"/>
  <c r="V66" i="11"/>
  <c r="BE64" i="11"/>
  <c r="JD66" i="11"/>
  <c r="FU64" i="11"/>
  <c r="DQ65" i="11"/>
  <c r="AP64" i="11"/>
  <c r="L66" i="11"/>
  <c r="CC66" i="11"/>
  <c r="GW66" i="11"/>
  <c r="FN64" i="11"/>
  <c r="HB65" i="11"/>
  <c r="AS66" i="11"/>
  <c r="DW64" i="11"/>
  <c r="GI66" i="11"/>
  <c r="KL64" i="11"/>
  <c r="CE65" i="11"/>
  <c r="KJ66" i="11"/>
  <c r="BR64" i="11"/>
  <c r="GF65" i="11"/>
  <c r="AV64" i="11"/>
  <c r="H66" i="11"/>
  <c r="CF66" i="11"/>
  <c r="IY64" i="11"/>
  <c r="ER66" i="11"/>
  <c r="CH66" i="11"/>
  <c r="HM64" i="11"/>
  <c r="FJ66" i="11"/>
  <c r="FH66" i="11"/>
  <c r="FZ64" i="11"/>
  <c r="BE65" i="11"/>
  <c r="JD64" i="11"/>
  <c r="DM65" i="11"/>
  <c r="DQ64" i="11"/>
  <c r="GZ66" i="11"/>
  <c r="FT66" i="11"/>
  <c r="IW66" i="11"/>
  <c r="IT64" i="11"/>
  <c r="FQ64" i="11"/>
  <c r="GX65" i="11"/>
  <c r="JV65" i="11"/>
  <c r="GA64" i="11"/>
  <c r="DL66" i="11"/>
  <c r="BH64" i="11"/>
  <c r="W65" i="11"/>
  <c r="GV66" i="11"/>
  <c r="JW65" i="11"/>
  <c r="GG64" i="11"/>
  <c r="ER64" i="11"/>
  <c r="BJ64" i="11"/>
  <c r="KJ64" i="11"/>
  <c r="CB66" i="11"/>
  <c r="DN65" i="11"/>
  <c r="FX66" i="11"/>
  <c r="E66" i="11"/>
  <c r="AO66" i="11"/>
  <c r="DV64" i="11"/>
  <c r="X2" i="10"/>
  <c r="X14" i="10"/>
  <c r="U2" i="10"/>
  <c r="U114" i="10"/>
  <c r="F2" i="10"/>
  <c r="F102" i="10"/>
  <c r="F105" i="10"/>
  <c r="F112" i="10"/>
  <c r="V2" i="10"/>
  <c r="V106" i="10"/>
  <c r="V111" i="10"/>
  <c r="F107" i="10"/>
  <c r="F122" i="10"/>
  <c r="F121" i="10"/>
  <c r="V116" i="10"/>
  <c r="V122" i="10"/>
  <c r="V125" i="10"/>
  <c r="V123" i="10"/>
  <c r="F119" i="10"/>
  <c r="V102" i="10"/>
  <c r="V101" i="10"/>
  <c r="V108" i="10"/>
  <c r="F104" i="10"/>
  <c r="V105" i="10"/>
  <c r="V103" i="10"/>
  <c r="F99" i="10"/>
  <c r="V126" i="10"/>
  <c r="V121" i="10"/>
  <c r="V124" i="10"/>
  <c r="F120" i="10"/>
  <c r="F126" i="10"/>
  <c r="F125" i="10"/>
  <c r="V115" i="10"/>
  <c r="U103" i="10"/>
  <c r="U100" i="10"/>
  <c r="F110" i="10"/>
  <c r="F109" i="10"/>
  <c r="V100" i="10"/>
  <c r="F100" i="10"/>
  <c r="F101" i="10"/>
  <c r="F111" i="10"/>
  <c r="V118" i="10"/>
  <c r="V113" i="10"/>
  <c r="V120" i="10"/>
  <c r="F116" i="10"/>
  <c r="F114" i="10"/>
  <c r="F113" i="10"/>
  <c r="F123" i="10"/>
  <c r="V110" i="10"/>
  <c r="V109" i="10"/>
  <c r="V112" i="10"/>
  <c r="F108" i="10"/>
  <c r="F106" i="10"/>
  <c r="V107" i="10"/>
  <c r="F103" i="10"/>
  <c r="U117" i="10"/>
  <c r="F118" i="10"/>
  <c r="F117" i="10"/>
  <c r="F124" i="10"/>
  <c r="V114" i="10"/>
  <c r="V117" i="10"/>
  <c r="V119" i="10"/>
  <c r="F115" i="10"/>
  <c r="U126" i="10"/>
  <c r="U112" i="10"/>
  <c r="U122" i="10"/>
  <c r="U108" i="10"/>
  <c r="U113" i="10"/>
  <c r="U99" i="10"/>
  <c r="U116" i="10"/>
  <c r="U123" i="10"/>
  <c r="U101" i="10"/>
  <c r="U105" i="10"/>
  <c r="U115" i="10"/>
  <c r="U119" i="10"/>
  <c r="U111" i="10"/>
  <c r="U106" i="10"/>
  <c r="U124" i="10"/>
  <c r="U102" i="10"/>
  <c r="U125" i="10"/>
  <c r="U120" i="10"/>
  <c r="U118" i="10"/>
  <c r="U110" i="10"/>
  <c r="U107" i="10"/>
  <c r="U121" i="10"/>
  <c r="U109" i="10"/>
  <c r="U104" i="10"/>
  <c r="T2" i="10"/>
  <c r="T99" i="10"/>
  <c r="J2" i="10"/>
  <c r="J100" i="10"/>
  <c r="G2" i="10"/>
  <c r="G104" i="10"/>
  <c r="L2" i="10"/>
  <c r="L100" i="10"/>
  <c r="R2" i="10"/>
  <c r="R104" i="10"/>
  <c r="H2" i="10"/>
  <c r="H106" i="10"/>
  <c r="N2" i="10"/>
  <c r="N116" i="10"/>
  <c r="H120" i="10"/>
  <c r="J124" i="10"/>
  <c r="T119" i="10"/>
  <c r="N118" i="10"/>
  <c r="N104" i="10"/>
  <c r="S2" i="10"/>
  <c r="S102" i="10"/>
  <c r="R123" i="10"/>
  <c r="T111" i="10"/>
  <c r="L122" i="10"/>
  <c r="S118" i="10"/>
  <c r="S107" i="10"/>
  <c r="N100" i="10"/>
  <c r="K2" i="10"/>
  <c r="K120" i="10"/>
  <c r="M2" i="10"/>
  <c r="M107" i="10"/>
  <c r="S101" i="10"/>
  <c r="S115" i="10"/>
  <c r="M114" i="10"/>
  <c r="M99" i="10"/>
  <c r="J116" i="10"/>
  <c r="T101" i="10"/>
  <c r="R122" i="10"/>
  <c r="M124" i="10"/>
  <c r="R108" i="10"/>
  <c r="R107" i="10"/>
  <c r="R99" i="10"/>
  <c r="L116" i="10"/>
  <c r="T121" i="10"/>
  <c r="T104" i="10"/>
  <c r="K116" i="10"/>
  <c r="G122" i="10"/>
  <c r="S99" i="10"/>
  <c r="E2" i="10"/>
  <c r="E106" i="10"/>
  <c r="O2" i="10"/>
  <c r="O124" i="10"/>
  <c r="K103" i="10"/>
  <c r="K124" i="10"/>
  <c r="M118" i="10"/>
  <c r="R106" i="10"/>
  <c r="E118" i="10"/>
  <c r="O104" i="10"/>
  <c r="M104" i="10"/>
  <c r="O116" i="10"/>
  <c r="J104" i="10"/>
  <c r="T118" i="10"/>
  <c r="G108" i="10"/>
  <c r="M112" i="10"/>
  <c r="T120" i="10"/>
  <c r="L114" i="10"/>
  <c r="S105" i="10"/>
  <c r="J113" i="10"/>
  <c r="S110" i="10"/>
  <c r="I2" i="10"/>
  <c r="I104" i="10"/>
  <c r="O123" i="10"/>
  <c r="K122" i="10"/>
  <c r="J106" i="10"/>
  <c r="S113" i="10"/>
  <c r="O118" i="10"/>
  <c r="L124" i="10"/>
  <c r="H124" i="10"/>
  <c r="G118" i="10"/>
  <c r="H116" i="10"/>
  <c r="R118" i="10"/>
  <c r="O126" i="10"/>
  <c r="N105" i="10"/>
  <c r="K112" i="10"/>
  <c r="J110" i="10"/>
  <c r="N126" i="10"/>
  <c r="N112" i="10"/>
  <c r="R109" i="10"/>
  <c r="G120" i="10"/>
  <c r="R102" i="10"/>
  <c r="T123" i="10"/>
  <c r="S121" i="10"/>
  <c r="T124" i="10"/>
  <c r="K106" i="10"/>
  <c r="I120" i="10"/>
  <c r="I118" i="10"/>
  <c r="R111" i="10"/>
  <c r="R125" i="10"/>
  <c r="I99" i="10"/>
  <c r="T114" i="10"/>
  <c r="M113" i="10"/>
  <c r="O109" i="10"/>
  <c r="H121" i="10"/>
  <c r="L105" i="10"/>
  <c r="R110" i="10"/>
  <c r="T116" i="10"/>
  <c r="L102" i="10"/>
  <c r="R113" i="10"/>
  <c r="J120" i="10"/>
  <c r="E124" i="10"/>
  <c r="R105" i="10"/>
  <c r="E110" i="10"/>
  <c r="M126" i="10"/>
  <c r="O110" i="10"/>
  <c r="H112" i="10"/>
  <c r="R114" i="10"/>
  <c r="S123" i="10"/>
  <c r="K108" i="10"/>
  <c r="O106" i="10"/>
  <c r="H104" i="10"/>
  <c r="R100" i="10"/>
  <c r="K110" i="10"/>
  <c r="R120" i="10"/>
  <c r="I116" i="10"/>
  <c r="J99" i="10"/>
  <c r="T110" i="10"/>
  <c r="I113" i="10"/>
  <c r="K104" i="10"/>
  <c r="J118" i="10"/>
  <c r="T107" i="10"/>
  <c r="H126" i="10"/>
  <c r="S106" i="10"/>
  <c r="L121" i="10"/>
  <c r="H102" i="10"/>
  <c r="N102" i="10"/>
  <c r="H110" i="10"/>
  <c r="E100" i="10"/>
  <c r="K126" i="10"/>
  <c r="I100" i="10"/>
  <c r="S119" i="10"/>
  <c r="I102" i="10"/>
  <c r="G124" i="10"/>
  <c r="S116" i="10"/>
  <c r="G106" i="10"/>
  <c r="T125" i="10"/>
  <c r="L108" i="10"/>
  <c r="S104" i="10"/>
  <c r="T109" i="10"/>
  <c r="G116" i="10"/>
  <c r="I106" i="10"/>
  <c r="M121" i="10"/>
  <c r="E102" i="10"/>
  <c r="N108" i="10"/>
  <c r="E116" i="10"/>
  <c r="K118" i="10"/>
  <c r="T115" i="10"/>
  <c r="T100" i="10"/>
  <c r="J102" i="10"/>
  <c r="R124" i="10"/>
  <c r="H107" i="10"/>
  <c r="O120" i="10"/>
  <c r="R119" i="10"/>
  <c r="K117" i="10"/>
  <c r="S120" i="10"/>
  <c r="T106" i="10"/>
  <c r="L110" i="10"/>
  <c r="T105" i="10"/>
  <c r="R116" i="10"/>
  <c r="N114" i="10"/>
  <c r="N122" i="10"/>
  <c r="L119" i="10"/>
  <c r="T102" i="10"/>
  <c r="K102" i="10"/>
  <c r="S109" i="10"/>
  <c r="N119" i="10"/>
  <c r="I114" i="10"/>
  <c r="O112" i="10"/>
  <c r="J114" i="10"/>
  <c r="E114" i="10"/>
  <c r="G110" i="10"/>
  <c r="S124" i="10"/>
  <c r="G102" i="10"/>
  <c r="M100" i="10"/>
  <c r="M110" i="10"/>
  <c r="R121" i="10"/>
  <c r="H118" i="10"/>
  <c r="E120" i="10"/>
  <c r="O102" i="10"/>
  <c r="J107" i="10"/>
  <c r="S112" i="10"/>
  <c r="N113" i="10"/>
  <c r="N120" i="10"/>
  <c r="E107" i="10"/>
  <c r="S114" i="10"/>
  <c r="G100" i="10"/>
  <c r="G99" i="10"/>
  <c r="I126" i="10"/>
  <c r="E99" i="10"/>
  <c r="N110" i="10"/>
  <c r="R112" i="10"/>
  <c r="J121" i="10"/>
  <c r="O125" i="10"/>
  <c r="E121" i="10"/>
  <c r="M120" i="10"/>
  <c r="S100" i="10"/>
  <c r="O107" i="10"/>
  <c r="S122" i="10"/>
  <c r="S108" i="10"/>
  <c r="E113" i="10"/>
  <c r="D2" i="10"/>
  <c r="D124" i="10"/>
  <c r="G117" i="10"/>
  <c r="S126" i="10"/>
  <c r="G103" i="10"/>
  <c r="N99" i="10"/>
  <c r="O111" i="10"/>
  <c r="M106" i="10"/>
  <c r="G114" i="10"/>
  <c r="G113" i="10"/>
  <c r="I112" i="10"/>
  <c r="G126" i="10"/>
  <c r="O108" i="10"/>
  <c r="N124" i="10"/>
  <c r="E104" i="10"/>
  <c r="R126" i="10"/>
  <c r="L118" i="10"/>
  <c r="N106" i="10"/>
  <c r="L104" i="10"/>
  <c r="O121" i="10"/>
  <c r="L126" i="10"/>
  <c r="L112" i="10"/>
  <c r="G112" i="10"/>
  <c r="O122" i="10"/>
  <c r="D110" i="10"/>
  <c r="D108" i="10"/>
  <c r="D122" i="10"/>
  <c r="D102" i="10"/>
  <c r="D116" i="10"/>
  <c r="D118" i="10"/>
  <c r="D120" i="10"/>
  <c r="D104" i="10"/>
  <c r="P2" i="10"/>
  <c r="P116" i="10"/>
  <c r="P126" i="10"/>
  <c r="P104" i="10"/>
  <c r="H122" i="10"/>
  <c r="K113" i="10"/>
  <c r="N103" i="10"/>
  <c r="P121" i="10"/>
  <c r="P110" i="10"/>
  <c r="H108" i="10"/>
  <c r="D112" i="10"/>
  <c r="T108" i="10"/>
  <c r="E126" i="10"/>
  <c r="N117" i="10"/>
  <c r="P102" i="10"/>
  <c r="T117" i="10"/>
  <c r="P112" i="10"/>
  <c r="P117" i="10"/>
  <c r="P107" i="10"/>
  <c r="T103" i="10"/>
  <c r="D106" i="10"/>
  <c r="P118" i="10"/>
  <c r="P106" i="10"/>
  <c r="T122" i="10"/>
  <c r="P124" i="10"/>
  <c r="K99" i="10"/>
  <c r="D126" i="10"/>
  <c r="P120" i="10"/>
  <c r="P103" i="10"/>
  <c r="E112" i="10"/>
  <c r="J119" i="10"/>
  <c r="J108" i="10"/>
  <c r="J105" i="10"/>
  <c r="J122" i="10"/>
  <c r="Q117" i="10"/>
  <c r="O117" i="10"/>
  <c r="O113" i="10"/>
  <c r="R117" i="10"/>
  <c r="I108" i="10"/>
  <c r="I124" i="10"/>
  <c r="L113" i="10"/>
  <c r="Q126" i="10"/>
  <c r="Q112" i="10"/>
  <c r="M122" i="10"/>
  <c r="M108" i="10"/>
  <c r="E122" i="10"/>
  <c r="I121" i="10"/>
  <c r="H114" i="10"/>
  <c r="L123" i="10"/>
  <c r="L106" i="10"/>
  <c r="K105" i="10"/>
  <c r="L120" i="10"/>
  <c r="J103" i="10"/>
  <c r="D101" i="10"/>
  <c r="N107" i="10"/>
  <c r="O119" i="10"/>
  <c r="Q104" i="10"/>
  <c r="E115" i="10"/>
  <c r="K100" i="10"/>
  <c r="Q103" i="10"/>
  <c r="K114" i="10"/>
  <c r="K119" i="10"/>
  <c r="E108" i="10"/>
  <c r="D115" i="10"/>
  <c r="N121" i="10"/>
  <c r="R103" i="10"/>
  <c r="I122" i="10"/>
  <c r="I110" i="10"/>
  <c r="L99" i="10"/>
  <c r="Q107" i="10"/>
  <c r="Q100" i="10"/>
  <c r="Q106" i="10"/>
  <c r="Q121" i="10"/>
  <c r="Q124" i="10"/>
  <c r="Q118" i="10"/>
  <c r="D100" i="10"/>
  <c r="J117" i="10"/>
  <c r="D114" i="10"/>
  <c r="O103" i="10"/>
  <c r="E101" i="10"/>
  <c r="T113" i="10"/>
  <c r="O99" i="10"/>
  <c r="I107" i="10"/>
  <c r="O105" i="10"/>
  <c r="H100" i="10"/>
  <c r="Q114" i="10"/>
  <c r="Q110" i="10"/>
  <c r="Q120" i="10"/>
  <c r="M116" i="10"/>
  <c r="L111" i="10"/>
  <c r="P122" i="10"/>
  <c r="P108" i="10"/>
  <c r="L109" i="10"/>
  <c r="Q116" i="10"/>
  <c r="L125" i="10"/>
  <c r="M102" i="10"/>
  <c r="D121" i="10"/>
  <c r="Q99" i="10"/>
  <c r="Q113" i="10"/>
  <c r="Q102" i="10"/>
  <c r="D107" i="10"/>
  <c r="P114" i="10"/>
  <c r="P100" i="10"/>
  <c r="D103" i="10"/>
  <c r="G101" i="10"/>
  <c r="P115" i="10"/>
  <c r="Q119" i="10"/>
  <c r="H105" i="10"/>
  <c r="H119" i="10"/>
  <c r="K107" i="10"/>
  <c r="H113" i="10"/>
  <c r="P101" i="10"/>
  <c r="D117" i="10"/>
  <c r="G107" i="10"/>
  <c r="K121" i="10"/>
  <c r="H117" i="10"/>
  <c r="G121" i="10"/>
  <c r="I103" i="10"/>
  <c r="J126" i="10"/>
  <c r="T126" i="10"/>
  <c r="M101" i="10"/>
  <c r="M117" i="10"/>
  <c r="G115" i="10"/>
  <c r="M103" i="10"/>
  <c r="Q108" i="10"/>
  <c r="T112" i="10"/>
  <c r="H103" i="10"/>
  <c r="Q105" i="10"/>
  <c r="M115" i="10"/>
  <c r="H99" i="10"/>
  <c r="J112" i="10"/>
  <c r="Q122" i="10"/>
  <c r="I117" i="10"/>
  <c r="O100" i="10"/>
  <c r="I105" i="10"/>
  <c r="O114" i="10"/>
  <c r="I119" i="10"/>
  <c r="E117" i="10"/>
  <c r="D105" i="10"/>
  <c r="E103" i="10"/>
  <c r="D99" i="10"/>
  <c r="D123" i="10"/>
  <c r="D113" i="10"/>
  <c r="D109" i="10"/>
  <c r="D125" i="10"/>
  <c r="L117" i="10"/>
  <c r="D119" i="10"/>
  <c r="P113" i="10"/>
  <c r="L103" i="10"/>
  <c r="D111" i="10"/>
  <c r="E109" i="10"/>
  <c r="E123" i="10"/>
  <c r="P99" i="10"/>
  <c r="E111" i="10"/>
  <c r="E125" i="10"/>
  <c r="E119" i="10"/>
  <c r="E105" i="10"/>
  <c r="G123" i="10"/>
  <c r="G105" i="10"/>
  <c r="G119" i="10"/>
  <c r="H123" i="10"/>
  <c r="G111" i="10"/>
  <c r="G125" i="10"/>
  <c r="H125" i="10"/>
  <c r="H115" i="10"/>
  <c r="H101" i="10"/>
  <c r="I101" i="10"/>
  <c r="I109" i="10"/>
  <c r="J123" i="10"/>
  <c r="I111" i="10"/>
  <c r="I123" i="10"/>
  <c r="I125" i="10"/>
  <c r="H111" i="10"/>
  <c r="I115" i="10"/>
  <c r="J101" i="10"/>
  <c r="J115" i="10"/>
  <c r="J125" i="10"/>
  <c r="K125" i="10"/>
  <c r="K115" i="10"/>
  <c r="L101" i="10"/>
  <c r="M123" i="10"/>
  <c r="L115" i="10"/>
  <c r="K111" i="10"/>
  <c r="M109" i="10"/>
  <c r="M125" i="10"/>
  <c r="N101" i="10"/>
  <c r="K123" i="10"/>
  <c r="N123" i="10"/>
  <c r="K101" i="10"/>
  <c r="J111" i="10"/>
  <c r="M111" i="10"/>
  <c r="M105" i="10"/>
  <c r="N115" i="10"/>
  <c r="M119" i="10"/>
  <c r="N111" i="10"/>
  <c r="P119" i="10"/>
  <c r="P105" i="10"/>
  <c r="O101" i="10"/>
  <c r="P125" i="10"/>
  <c r="N125" i="10"/>
  <c r="O115" i="10"/>
  <c r="N109" i="10"/>
  <c r="S117" i="10"/>
  <c r="Q101" i="10"/>
  <c r="Q115" i="10"/>
  <c r="P123" i="10"/>
  <c r="S103" i="10"/>
  <c r="R101" i="10"/>
  <c r="Q111" i="10"/>
  <c r="R115" i="10"/>
  <c r="Q125" i="10"/>
  <c r="P111" i="10"/>
  <c r="S125" i="10"/>
  <c r="Q109" i="10"/>
  <c r="Q123" i="10"/>
  <c r="P109" i="10"/>
  <c r="S111" i="10"/>
  <c r="X109" i="10"/>
  <c r="X118" i="10"/>
  <c r="AA108" i="10"/>
  <c r="Y109" i="10"/>
  <c r="W110" i="10"/>
  <c r="W107" i="10"/>
  <c r="Y114" i="10"/>
  <c r="AA102" i="10"/>
  <c r="W112" i="10"/>
  <c r="AA126" i="10"/>
  <c r="X125" i="10"/>
  <c r="AA106" i="10"/>
  <c r="Y111" i="10"/>
  <c r="X117" i="10"/>
  <c r="Y113" i="10"/>
  <c r="X120" i="10"/>
  <c r="Z119" i="10"/>
  <c r="Z110" i="10"/>
  <c r="Y117" i="10"/>
  <c r="Z106" i="10"/>
  <c r="Z107" i="10"/>
  <c r="Y122" i="10"/>
  <c r="AA111" i="10"/>
  <c r="X99" i="10"/>
  <c r="Y115" i="10"/>
  <c r="W100" i="10"/>
  <c r="X100" i="10"/>
  <c r="Y107" i="10"/>
  <c r="X123" i="10"/>
  <c r="Y126" i="10"/>
  <c r="AA103" i="10"/>
  <c r="X105" i="10"/>
  <c r="AA124" i="10"/>
  <c r="Z111" i="10"/>
  <c r="Y100" i="10"/>
  <c r="W113" i="10"/>
  <c r="W115" i="10"/>
  <c r="X122" i="10"/>
  <c r="W111" i="10"/>
  <c r="W126" i="10"/>
  <c r="Z117" i="10"/>
  <c r="Z99" i="10"/>
  <c r="X111" i="10"/>
  <c r="X124" i="10"/>
  <c r="Y106" i="10"/>
  <c r="X106" i="10"/>
  <c r="W119" i="10"/>
  <c r="AA123" i="10"/>
  <c r="Z124" i="10"/>
  <c r="X107" i="10"/>
  <c r="Z120" i="10"/>
  <c r="AA100" i="10"/>
  <c r="AA113" i="10"/>
  <c r="X116" i="10"/>
  <c r="AA105" i="10"/>
  <c r="W116" i="10"/>
  <c r="X114" i="10"/>
  <c r="W102" i="10"/>
  <c r="W109" i="10"/>
  <c r="X104" i="10"/>
  <c r="AA122" i="10"/>
  <c r="X101" i="10"/>
  <c r="X119" i="10"/>
  <c r="W124" i="10"/>
  <c r="Z125" i="10"/>
  <c r="X112" i="10"/>
  <c r="W101" i="10"/>
  <c r="AA116" i="10"/>
  <c r="W120" i="10"/>
  <c r="Z103" i="10"/>
  <c r="Z113" i="10"/>
  <c r="W108" i="10"/>
  <c r="X110" i="10"/>
  <c r="Y125" i="10"/>
  <c r="Y99" i="10"/>
  <c r="Y120" i="10"/>
  <c r="Z105" i="10"/>
  <c r="AA109" i="10"/>
  <c r="Z112" i="10"/>
  <c r="Y103" i="10"/>
  <c r="Y108" i="10"/>
  <c r="AA114" i="10"/>
  <c r="AA125" i="10"/>
  <c r="AA121" i="10"/>
  <c r="X102" i="10"/>
  <c r="W114" i="10"/>
  <c r="W117" i="10"/>
  <c r="W123" i="10"/>
  <c r="Y121" i="10"/>
  <c r="Y112" i="10"/>
  <c r="AA117" i="10"/>
  <c r="Y123" i="10"/>
  <c r="X115" i="10"/>
  <c r="AA110" i="10"/>
  <c r="W121" i="10"/>
  <c r="W99" i="10"/>
  <c r="X126" i="10"/>
  <c r="X108" i="10"/>
  <c r="W106" i="10"/>
  <c r="W125" i="10"/>
  <c r="AA112" i="10"/>
  <c r="AA120" i="10"/>
  <c r="W122" i="10"/>
  <c r="X103" i="10"/>
  <c r="W105" i="10"/>
  <c r="Z126" i="10"/>
  <c r="X121" i="10"/>
  <c r="Z121" i="10"/>
  <c r="AA99" i="10"/>
  <c r="AA107" i="10"/>
  <c r="X113" i="10"/>
  <c r="Y101" i="10"/>
  <c r="AA119" i="10"/>
  <c r="W103" i="10"/>
  <c r="Y116" i="10"/>
  <c r="Z114" i="10"/>
  <c r="W104" i="10"/>
  <c r="Z108" i="10"/>
  <c r="AA118" i="10"/>
  <c r="Z118" i="10"/>
  <c r="Y124" i="10"/>
  <c r="Y104" i="10"/>
  <c r="W118" i="10"/>
  <c r="Z123" i="10"/>
  <c r="Y110" i="10"/>
  <c r="Y118" i="10"/>
  <c r="Z101" i="10"/>
  <c r="Z100" i="10"/>
  <c r="Z109" i="10"/>
  <c r="Z102" i="10"/>
  <c r="Z104" i="10"/>
  <c r="Y102" i="10"/>
  <c r="Y119" i="10"/>
  <c r="Z122" i="10"/>
  <c r="Z115" i="10"/>
  <c r="Y105" i="10"/>
  <c r="AA104" i="10"/>
  <c r="Z116" i="10"/>
  <c r="AA101" i="10"/>
  <c r="AA115" i="10"/>
  <c r="D15" i="10"/>
  <c r="D30" i="10" s="1"/>
  <c r="D358" i="10"/>
  <c r="D368" i="10"/>
  <c r="D365" i="10"/>
  <c r="D357" i="10"/>
  <c r="K87" i="10"/>
  <c r="K345" i="10"/>
  <c r="D91" i="10"/>
  <c r="D349" i="10"/>
  <c r="O87" i="10"/>
  <c r="O345" i="10"/>
  <c r="E95" i="10"/>
  <c r="E353" i="10"/>
  <c r="R87" i="10"/>
  <c r="R345" i="10"/>
  <c r="H87" i="10"/>
  <c r="H345" i="10"/>
  <c r="D362" i="10"/>
  <c r="I97" i="10"/>
  <c r="I355" i="10"/>
  <c r="D89" i="10"/>
  <c r="D347" i="10"/>
  <c r="D94" i="10"/>
  <c r="D352" i="10"/>
  <c r="X94" i="10"/>
  <c r="X352" i="10"/>
  <c r="AA91" i="10"/>
  <c r="AA349" i="10"/>
  <c r="Y96" i="10"/>
  <c r="Y354" i="10"/>
  <c r="AA96" i="10"/>
  <c r="AA354" i="10"/>
  <c r="AA85" i="10"/>
  <c r="AA343" i="10"/>
  <c r="L89" i="10"/>
  <c r="L347" i="10"/>
  <c r="E90" i="10"/>
  <c r="E348" i="10"/>
  <c r="R96" i="10"/>
  <c r="R354" i="10"/>
  <c r="O89" i="10"/>
  <c r="O347" i="10"/>
  <c r="I85" i="10"/>
  <c r="I343" i="10"/>
  <c r="U90" i="10"/>
  <c r="U348" i="10"/>
  <c r="O98" i="10"/>
  <c r="O356" i="10"/>
  <c r="W97" i="10"/>
  <c r="W355" i="10"/>
  <c r="Y98" i="10"/>
  <c r="Y356" i="10"/>
  <c r="L92" i="10"/>
  <c r="L350" i="10"/>
  <c r="G94" i="10"/>
  <c r="G352" i="10"/>
  <c r="K91" i="10"/>
  <c r="K349" i="10"/>
  <c r="AA86" i="10"/>
  <c r="AA344" i="10"/>
  <c r="G98" i="10"/>
  <c r="G356" i="10"/>
  <c r="AA97" i="10"/>
  <c r="AA355" i="10"/>
  <c r="O85" i="10"/>
  <c r="O343" i="10"/>
  <c r="X86" i="10"/>
  <c r="X344" i="10"/>
  <c r="D360" i="10"/>
  <c r="D363" i="10"/>
  <c r="D359" i="10"/>
  <c r="I95" i="10"/>
  <c r="I353" i="10"/>
  <c r="D87" i="10"/>
  <c r="D345" i="10"/>
  <c r="M95" i="10"/>
  <c r="M353" i="10"/>
  <c r="D370" i="10"/>
  <c r="N87" i="10"/>
  <c r="N345" i="10"/>
  <c r="G95" i="10"/>
  <c r="G109" i="10"/>
  <c r="G353" i="10"/>
  <c r="Q87" i="10"/>
  <c r="Q345" i="10"/>
  <c r="H95" i="10"/>
  <c r="H109" i="10"/>
  <c r="H353" i="10"/>
  <c r="D90" i="10"/>
  <c r="D348" i="10"/>
  <c r="AA92" i="10"/>
  <c r="AA350" i="10"/>
  <c r="W85" i="10"/>
  <c r="W343" i="10"/>
  <c r="V93" i="10"/>
  <c r="V351" i="10"/>
  <c r="Z96" i="10"/>
  <c r="Z354" i="10"/>
  <c r="Z92" i="10"/>
  <c r="Z350" i="10"/>
  <c r="V87" i="10"/>
  <c r="V345" i="10"/>
  <c r="L93" i="10"/>
  <c r="L107" i="10"/>
  <c r="L351" i="10"/>
  <c r="S91" i="10"/>
  <c r="S349" i="10"/>
  <c r="I89" i="10"/>
  <c r="I347" i="10"/>
  <c r="J85" i="10"/>
  <c r="J343" i="10"/>
  <c r="E87" i="10"/>
  <c r="E345" i="10"/>
  <c r="R86" i="10"/>
  <c r="R344" i="10"/>
  <c r="K85" i="10"/>
  <c r="K343" i="10"/>
  <c r="I90" i="10"/>
  <c r="I348" i="10"/>
  <c r="M89" i="10"/>
  <c r="M347" i="10"/>
  <c r="U86" i="10"/>
  <c r="U344" i="10"/>
  <c r="Z91" i="10"/>
  <c r="Z349" i="10"/>
  <c r="T98" i="10"/>
  <c r="T356" i="10"/>
  <c r="F90" i="10"/>
  <c r="F348" i="10"/>
  <c r="S87" i="10"/>
  <c r="S345" i="10"/>
  <c r="Q98" i="10"/>
  <c r="Q356" i="10"/>
  <c r="Y87" i="10"/>
  <c r="Y345" i="10"/>
  <c r="U98" i="10"/>
  <c r="U356" i="10"/>
  <c r="AA98" i="10"/>
  <c r="AA356" i="10"/>
  <c r="W96" i="10"/>
  <c r="W354" i="10"/>
  <c r="Y91" i="10"/>
  <c r="Y349" i="10"/>
  <c r="T86" i="10"/>
  <c r="T344" i="10"/>
  <c r="R91" i="10"/>
  <c r="R349" i="10"/>
  <c r="I91" i="10"/>
  <c r="I349" i="10"/>
  <c r="I94" i="10"/>
  <c r="I352" i="10"/>
  <c r="O91" i="10"/>
  <c r="O349" i="10"/>
  <c r="O90" i="10"/>
  <c r="O348" i="10"/>
  <c r="Q89" i="10"/>
  <c r="Q347" i="10"/>
  <c r="G90" i="10"/>
  <c r="G348" i="10"/>
  <c r="Q96" i="10"/>
  <c r="Q354" i="10"/>
  <c r="K94" i="10"/>
  <c r="K352" i="10"/>
  <c r="O86" i="10"/>
  <c r="O344" i="10"/>
  <c r="N89" i="10"/>
  <c r="N347" i="10"/>
  <c r="X87" i="10"/>
  <c r="X345" i="10"/>
  <c r="U93" i="10"/>
  <c r="U351" i="10"/>
  <c r="L86" i="10"/>
  <c r="L344" i="10"/>
  <c r="L94" i="10"/>
  <c r="L352" i="10"/>
  <c r="M86" i="10"/>
  <c r="M344" i="10"/>
  <c r="Q94" i="10"/>
  <c r="Q352" i="10"/>
  <c r="Q93" i="10"/>
  <c r="Q351" i="10"/>
  <c r="AA93" i="10"/>
  <c r="AA351" i="10"/>
  <c r="AA89" i="10"/>
  <c r="AA347" i="10"/>
  <c r="Z88" i="10"/>
  <c r="Z346" i="10"/>
  <c r="AA88" i="10"/>
  <c r="AA346" i="10"/>
  <c r="E94" i="10"/>
  <c r="E352" i="10"/>
  <c r="R93" i="10"/>
  <c r="R351" i="10"/>
  <c r="L95" i="10"/>
  <c r="L353" i="10"/>
  <c r="W90" i="10"/>
  <c r="W348" i="10"/>
  <c r="AA94" i="10"/>
  <c r="AA352" i="10"/>
  <c r="T93" i="10"/>
  <c r="T351" i="10"/>
  <c r="J93" i="10"/>
  <c r="J351" i="10"/>
  <c r="Q90" i="10"/>
  <c r="Q348" i="10"/>
  <c r="V89" i="10"/>
  <c r="V347" i="10"/>
  <c r="N85" i="10"/>
  <c r="N343" i="10"/>
  <c r="R98" i="10"/>
  <c r="R356" i="10"/>
  <c r="M85" i="10"/>
  <c r="M343" i="10"/>
  <c r="N93" i="10"/>
  <c r="N351" i="10"/>
  <c r="Q86" i="10"/>
  <c r="Q344" i="10"/>
  <c r="X90" i="10"/>
  <c r="X348" i="10"/>
  <c r="X97" i="10"/>
  <c r="X355" i="10"/>
  <c r="I98" i="10"/>
  <c r="I356" i="10"/>
  <c r="D364" i="10"/>
  <c r="D369" i="10"/>
  <c r="P91" i="10"/>
  <c r="P349" i="10"/>
  <c r="G91" i="10"/>
  <c r="G349" i="10"/>
  <c r="D95" i="10"/>
  <c r="D353" i="10"/>
  <c r="J95" i="10"/>
  <c r="J109" i="10"/>
  <c r="J353" i="10"/>
  <c r="P85" i="10"/>
  <c r="P343" i="10"/>
  <c r="L87" i="10"/>
  <c r="L345" i="10"/>
  <c r="E91" i="10"/>
  <c r="E349" i="10"/>
  <c r="M97" i="10"/>
  <c r="M355" i="10"/>
  <c r="D85" i="10"/>
  <c r="D343" i="10"/>
  <c r="D98" i="10"/>
  <c r="D356" i="10"/>
  <c r="P93" i="10"/>
  <c r="P351" i="10"/>
  <c r="Y89" i="10"/>
  <c r="Y347" i="10"/>
  <c r="V92" i="10"/>
  <c r="V350" i="10"/>
  <c r="U85" i="10"/>
  <c r="U343" i="10"/>
  <c r="W94" i="10"/>
  <c r="W352" i="10"/>
  <c r="W93" i="10"/>
  <c r="W351" i="10"/>
  <c r="X89" i="10"/>
  <c r="X347" i="10"/>
  <c r="T91" i="10"/>
  <c r="T349" i="10"/>
  <c r="K86" i="10"/>
  <c r="K344" i="10"/>
  <c r="T94" i="10"/>
  <c r="T352" i="10"/>
  <c r="S85" i="10"/>
  <c r="S343" i="10"/>
  <c r="J94" i="10"/>
  <c r="J352" i="10"/>
  <c r="K90" i="10"/>
  <c r="K348" i="10"/>
  <c r="R85" i="10"/>
  <c r="R343" i="10"/>
  <c r="J89" i="10"/>
  <c r="J347" i="10"/>
  <c r="L98" i="10"/>
  <c r="L356" i="10"/>
  <c r="V91" i="10"/>
  <c r="V349" i="10"/>
  <c r="X92" i="10"/>
  <c r="X350" i="10"/>
  <c r="N98" i="10"/>
  <c r="N356" i="10"/>
  <c r="O96" i="10"/>
  <c r="O354" i="10"/>
  <c r="P90" i="10"/>
  <c r="P348" i="10"/>
  <c r="Y90" i="10"/>
  <c r="Y348" i="10"/>
  <c r="W95" i="10"/>
  <c r="W353" i="10"/>
  <c r="W87" i="10"/>
  <c r="W345" i="10"/>
  <c r="V98" i="10"/>
  <c r="V356" i="10"/>
  <c r="Z85" i="10"/>
  <c r="Z343" i="10"/>
  <c r="U94" i="10"/>
  <c r="U352" i="10"/>
  <c r="T96" i="10"/>
  <c r="T354" i="10"/>
  <c r="H94" i="10"/>
  <c r="H352" i="10"/>
  <c r="M87" i="10"/>
  <c r="M345" i="10"/>
  <c r="S96" i="10"/>
  <c r="S354" i="10"/>
  <c r="H85" i="10"/>
  <c r="H343" i="10"/>
  <c r="E85" i="10"/>
  <c r="E343" i="10"/>
  <c r="M93" i="10"/>
  <c r="M351" i="10"/>
  <c r="I86" i="10"/>
  <c r="I344" i="10"/>
  <c r="I96" i="10"/>
  <c r="I354" i="10"/>
  <c r="Q91" i="10"/>
  <c r="Q349" i="10"/>
  <c r="F94" i="10"/>
  <c r="F352" i="10"/>
  <c r="P94" i="10"/>
  <c r="P352" i="10"/>
  <c r="V94" i="10"/>
  <c r="V352" i="10"/>
  <c r="Z89" i="10"/>
  <c r="Z347" i="10"/>
  <c r="O93" i="10"/>
  <c r="O351" i="10"/>
  <c r="G87" i="10"/>
  <c r="G345" i="10"/>
  <c r="L91" i="10"/>
  <c r="L349" i="10"/>
  <c r="V96" i="10"/>
  <c r="V354" i="10"/>
  <c r="Y92" i="10"/>
  <c r="Y350" i="10"/>
  <c r="U91" i="10"/>
  <c r="U349" i="10"/>
  <c r="AA87" i="10"/>
  <c r="AA345" i="10"/>
  <c r="AA90" i="10"/>
  <c r="AA348" i="10"/>
  <c r="V95" i="10"/>
  <c r="V353" i="10"/>
  <c r="T85" i="10"/>
  <c r="T343" i="10"/>
  <c r="S93" i="10"/>
  <c r="S351" i="10"/>
  <c r="F95" i="10"/>
  <c r="F353" i="10"/>
  <c r="R89" i="10"/>
  <c r="R347" i="10"/>
  <c r="W89" i="10"/>
  <c r="W347" i="10"/>
  <c r="T90" i="10"/>
  <c r="T348" i="10"/>
  <c r="R90" i="10"/>
  <c r="R348" i="10"/>
  <c r="F91" i="10"/>
  <c r="F349" i="10"/>
  <c r="Y86" i="10"/>
  <c r="Y344" i="10"/>
  <c r="M90" i="10"/>
  <c r="M348" i="10"/>
  <c r="N91" i="10"/>
  <c r="N349" i="10"/>
  <c r="R94" i="10"/>
  <c r="R352" i="10"/>
  <c r="T87" i="10"/>
  <c r="T345" i="10"/>
  <c r="U87" i="10"/>
  <c r="U345" i="10"/>
  <c r="W88" i="10"/>
  <c r="W346" i="10"/>
  <c r="H93" i="10"/>
  <c r="H351" i="10"/>
  <c r="J86" i="10"/>
  <c r="J344" i="10"/>
  <c r="D366" i="10"/>
  <c r="D367" i="10"/>
  <c r="M91" i="10"/>
  <c r="M349" i="10"/>
  <c r="F87" i="10"/>
  <c r="F345" i="10"/>
  <c r="S89" i="10"/>
  <c r="S347" i="10"/>
  <c r="I87" i="10"/>
  <c r="I345" i="10"/>
  <c r="P87" i="10"/>
  <c r="P345" i="10"/>
  <c r="J87" i="10"/>
  <c r="J345" i="10"/>
  <c r="D361" i="10"/>
  <c r="K95" i="10"/>
  <c r="K109" i="10"/>
  <c r="K353" i="10"/>
  <c r="D86" i="10"/>
  <c r="D344" i="10"/>
  <c r="D93" i="10"/>
  <c r="D351" i="10"/>
  <c r="X88" i="10"/>
  <c r="X346" i="10"/>
  <c r="V86" i="10"/>
  <c r="V344" i="10"/>
  <c r="U89" i="10"/>
  <c r="U347" i="10"/>
  <c r="Z87" i="10"/>
  <c r="Z345" i="10"/>
  <c r="Y88" i="10"/>
  <c r="Y346" i="10"/>
  <c r="X95" i="10"/>
  <c r="X353" i="10"/>
  <c r="Z90" i="10"/>
  <c r="Z348" i="10"/>
  <c r="L97" i="10"/>
  <c r="L355" i="10"/>
  <c r="E98" i="10"/>
  <c r="E356" i="10"/>
  <c r="F93" i="10"/>
  <c r="F351" i="10"/>
  <c r="M94" i="10"/>
  <c r="M352" i="10"/>
  <c r="E93" i="10"/>
  <c r="E351" i="10"/>
  <c r="H89" i="10"/>
  <c r="H347" i="10"/>
  <c r="F85" i="10"/>
  <c r="F343" i="10"/>
  <c r="K93" i="10"/>
  <c r="K351" i="10"/>
  <c r="Q85" i="10"/>
  <c r="Q343" i="10"/>
  <c r="Z97" i="10"/>
  <c r="Z355" i="10"/>
  <c r="AA95" i="10"/>
  <c r="AA353" i="10"/>
  <c r="G89" i="10"/>
  <c r="G347" i="10"/>
  <c r="S98" i="10"/>
  <c r="S356" i="10"/>
  <c r="P86" i="10"/>
  <c r="P344" i="10"/>
  <c r="Y97" i="10"/>
  <c r="Y355" i="10"/>
  <c r="W86" i="10"/>
  <c r="W344" i="10"/>
  <c r="X93" i="10"/>
  <c r="X351" i="10"/>
  <c r="W92" i="10"/>
  <c r="W350" i="10"/>
  <c r="Z86" i="10"/>
  <c r="Z344" i="10"/>
  <c r="I93" i="10"/>
  <c r="I351" i="10"/>
  <c r="K89" i="10"/>
  <c r="K347" i="10"/>
  <c r="N96" i="10"/>
  <c r="N354" i="10"/>
  <c r="K98" i="10"/>
  <c r="K356" i="10"/>
  <c r="H98" i="10"/>
  <c r="H356" i="10"/>
  <c r="E86" i="10"/>
  <c r="E344" i="10"/>
  <c r="G86" i="10"/>
  <c r="G344" i="10"/>
  <c r="M92" i="10"/>
  <c r="M350" i="10"/>
  <c r="J90" i="10"/>
  <c r="J348" i="10"/>
  <c r="M88" i="10"/>
  <c r="M346" i="10"/>
  <c r="G93" i="10"/>
  <c r="G351" i="10"/>
  <c r="Y93" i="10"/>
  <c r="Y351" i="10"/>
  <c r="X85" i="10"/>
  <c r="X343" i="10"/>
  <c r="E89" i="10"/>
  <c r="E347" i="10"/>
  <c r="O94" i="10"/>
  <c r="O352" i="10"/>
  <c r="P96" i="10"/>
  <c r="P354" i="10"/>
  <c r="Z95" i="10"/>
  <c r="Z353" i="10"/>
  <c r="Z98" i="10"/>
  <c r="Z356" i="10"/>
  <c r="Y94" i="10"/>
  <c r="Y352" i="10"/>
  <c r="F89" i="10"/>
  <c r="F347" i="10"/>
  <c r="X96" i="10"/>
  <c r="X354" i="10"/>
  <c r="V97" i="10"/>
  <c r="V355" i="10"/>
  <c r="T89" i="10"/>
  <c r="T347" i="10"/>
  <c r="H91" i="10"/>
  <c r="H349" i="10"/>
  <c r="J91" i="10"/>
  <c r="J349" i="10"/>
  <c r="X98" i="10"/>
  <c r="X356" i="10"/>
  <c r="Z93" i="10"/>
  <c r="Z351" i="10"/>
  <c r="L85" i="10"/>
  <c r="L343" i="10"/>
  <c r="H90" i="10"/>
  <c r="H348" i="10"/>
  <c r="S90" i="10"/>
  <c r="S348" i="10"/>
  <c r="W91" i="10"/>
  <c r="W349" i="10"/>
  <c r="H86" i="10"/>
  <c r="H344" i="10"/>
  <c r="F98" i="10"/>
  <c r="F356" i="10"/>
  <c r="L96" i="10"/>
  <c r="L354" i="10"/>
  <c r="M96" i="10"/>
  <c r="M354" i="10"/>
  <c r="P89" i="10"/>
  <c r="P347" i="10"/>
  <c r="X91" i="10"/>
  <c r="X349" i="10"/>
  <c r="J98" i="10"/>
  <c r="J356" i="10"/>
  <c r="W98" i="10"/>
  <c r="W356" i="10"/>
  <c r="Y95" i="10"/>
  <c r="Y353" i="10"/>
  <c r="U96" i="10"/>
  <c r="U354" i="10"/>
  <c r="S86" i="10"/>
  <c r="S344" i="10"/>
  <c r="G85" i="10"/>
  <c r="G343" i="10"/>
  <c r="Y85" i="10"/>
  <c r="Y343" i="10"/>
  <c r="P98" i="10"/>
  <c r="P356" i="10"/>
  <c r="Z94" i="10"/>
  <c r="Z352" i="10"/>
  <c r="S94" i="10"/>
  <c r="S352" i="10"/>
  <c r="F86" i="10"/>
  <c r="F344" i="10"/>
  <c r="T92" i="10"/>
  <c r="T350" i="10"/>
  <c r="V99" i="10"/>
  <c r="V85" i="10"/>
  <c r="V343" i="10"/>
  <c r="T95" i="10"/>
  <c r="T353" i="10"/>
  <c r="D25" i="10"/>
  <c r="D97" i="10"/>
  <c r="D355" i="10"/>
  <c r="T97" i="10"/>
  <c r="T355" i="10"/>
  <c r="T88" i="10"/>
  <c r="T346" i="10"/>
  <c r="D28" i="10"/>
  <c r="D88" i="10"/>
  <c r="D346" i="10"/>
  <c r="D22" i="10"/>
  <c r="D92" i="10"/>
  <c r="D350" i="10"/>
  <c r="D21" i="10"/>
  <c r="D96" i="10"/>
  <c r="D354" i="10"/>
  <c r="D30" i="7" a="1"/>
  <c r="H31" i="7"/>
  <c r="D13" i="23"/>
  <c r="C44" i="23"/>
  <c r="D18" i="10"/>
  <c r="E7" i="10" s="1"/>
  <c r="E11" i="10" s="1"/>
  <c r="E6" i="10"/>
  <c r="E14" i="10"/>
  <c r="E15" i="10"/>
  <c r="E18" i="10" s="1"/>
  <c r="F6" i="10" l="1"/>
  <c r="F7" i="10" s="1"/>
  <c r="F11" i="10" s="1"/>
  <c r="F14" i="10"/>
  <c r="F15" i="10" l="1"/>
  <c r="G6" i="10" l="1"/>
  <c r="F18" i="10"/>
  <c r="G7" i="10" s="1"/>
  <c r="G11" i="10" s="1"/>
  <c r="G14" i="10"/>
  <c r="G15" i="10" l="1"/>
  <c r="G18" i="10" l="1"/>
  <c r="H7" i="10" s="1"/>
  <c r="H11" i="10" s="1"/>
  <c r="H6" i="10"/>
  <c r="H14" i="10"/>
  <c r="H15" i="10" l="1"/>
  <c r="I6" i="10" l="1"/>
  <c r="H18" i="10"/>
  <c r="I7" i="10" s="1"/>
  <c r="I11" i="10" s="1"/>
  <c r="I14" i="10"/>
  <c r="I15" i="10" l="1"/>
  <c r="I18" i="10" s="1"/>
  <c r="J9" i="10" s="1"/>
  <c r="J14" i="10"/>
  <c r="J15" i="10" l="1"/>
  <c r="J18" i="10" l="1"/>
  <c r="K9" i="10" s="1"/>
  <c r="K14" i="10"/>
  <c r="K15" i="10" l="1"/>
  <c r="L10" i="10" l="1"/>
  <c r="L14" i="10"/>
  <c r="L15" i="10" l="1"/>
  <c r="L18" i="10" l="1"/>
  <c r="M6" i="10"/>
  <c r="M8" i="10"/>
  <c r="M14" i="10"/>
  <c r="M15" i="10" l="1"/>
  <c r="M18" i="10" s="1"/>
  <c r="N13" i="10" s="1"/>
  <c r="M7" i="10"/>
  <c r="N14" i="10"/>
  <c r="N15" i="10" l="1"/>
  <c r="N18" i="10" s="1"/>
  <c r="O11" i="10"/>
  <c r="O14" i="10"/>
  <c r="O15" i="10" l="1"/>
  <c r="O18" i="10" l="1"/>
  <c r="P7" i="10" s="1"/>
  <c r="P11" i="10" s="1"/>
  <c r="P6" i="10"/>
  <c r="M22" i="10"/>
  <c r="P14" i="10"/>
  <c r="M98" i="10"/>
  <c r="M356" i="10"/>
  <c r="P15" i="10" l="1"/>
  <c r="Q15" i="10" l="1"/>
  <c r="Q22" i="10" s="1"/>
  <c r="P22" i="10"/>
  <c r="R8" i="10"/>
  <c r="E21" i="10"/>
  <c r="Q95" i="10"/>
  <c r="Q353" i="10" s="1"/>
  <c r="P95" i="10"/>
  <c r="P353" i="10" s="1"/>
  <c r="R14" i="10"/>
  <c r="E96" i="10"/>
  <c r="E354" i="10"/>
  <c r="R15" i="10" l="1"/>
  <c r="S8" i="10" s="1"/>
  <c r="J22" i="10"/>
  <c r="S14" i="10"/>
  <c r="J92" i="10"/>
  <c r="J350" i="10"/>
  <c r="S15" i="10" l="1"/>
  <c r="T10" i="10" s="1"/>
  <c r="N22" i="10"/>
  <c r="T14" i="10"/>
  <c r="N92" i="10"/>
  <c r="N350" i="10"/>
  <c r="T15" i="10" l="1"/>
  <c r="U10" i="10" s="1"/>
  <c r="L21" i="10"/>
  <c r="U14" i="10"/>
  <c r="L90" i="10"/>
  <c r="L348" i="10"/>
  <c r="U15" i="10" l="1"/>
  <c r="V10" i="10" s="1"/>
  <c r="S22" i="10"/>
  <c r="V14" i="10"/>
  <c r="S95" i="10"/>
  <c r="S353" i="10"/>
  <c r="N94" i="10"/>
  <c r="N352" i="10"/>
  <c r="V15" i="10" l="1"/>
  <c r="V21" i="10" s="1"/>
  <c r="G22" i="10"/>
  <c r="V104" i="10"/>
  <c r="G92" i="10"/>
  <c r="G350" i="10"/>
  <c r="S28" i="10"/>
  <c r="S88" i="10"/>
  <c r="S346" i="10"/>
  <c r="K21" i="10"/>
  <c r="K96" i="10"/>
  <c r="K354" i="10"/>
  <c r="Q28" i="10"/>
  <c r="Q88" i="10"/>
  <c r="Q346" i="10"/>
  <c r="I28" i="10"/>
  <c r="I88" i="10"/>
  <c r="I346" i="10"/>
  <c r="E28" i="10"/>
  <c r="E88" i="10"/>
  <c r="E346" i="10"/>
  <c r="J28" i="10"/>
  <c r="J88" i="10"/>
  <c r="J346" i="10"/>
  <c r="E22" i="10"/>
  <c r="E92" i="10"/>
  <c r="E350" i="10"/>
  <c r="J21" i="10"/>
  <c r="J96" i="10"/>
  <c r="J354" i="10"/>
  <c r="U28" i="10"/>
  <c r="U88" i="10"/>
  <c r="U346" i="10"/>
  <c r="O28" i="10"/>
  <c r="O88" i="10"/>
  <c r="O346" i="10"/>
  <c r="G21" i="10"/>
  <c r="G96" i="10"/>
  <c r="G354" i="10"/>
  <c r="F21" i="10"/>
  <c r="F96" i="10"/>
  <c r="F354" i="10"/>
  <c r="P28" i="10"/>
  <c r="P88" i="10"/>
  <c r="P346" i="10"/>
  <c r="O24" i="10"/>
  <c r="O97" i="10"/>
  <c r="O355" i="10"/>
  <c r="N24" i="10"/>
  <c r="N88" i="10"/>
  <c r="N346" i="10"/>
  <c r="S24" i="10"/>
  <c r="S97" i="10"/>
  <c r="S355" i="10"/>
  <c r="K24" i="10"/>
  <c r="K97" i="10"/>
  <c r="K355" i="10"/>
  <c r="P24" i="10"/>
  <c r="P97" i="10"/>
  <c r="P355" i="10"/>
  <c r="N95" i="10"/>
  <c r="N353" i="10"/>
  <c r="Q24" i="10"/>
  <c r="Q97" i="10"/>
  <c r="Q355" i="10"/>
  <c r="F28" i="10"/>
  <c r="F88" i="10"/>
  <c r="F346" i="10"/>
  <c r="U24" i="10"/>
  <c r="U97" i="10"/>
  <c r="U355" i="10"/>
  <c r="H28" i="10"/>
  <c r="H88" i="10"/>
  <c r="H346" i="10"/>
  <c r="F25" i="10"/>
  <c r="F97" i="10"/>
  <c r="F355" i="10"/>
  <c r="R28" i="10"/>
  <c r="R88" i="10"/>
  <c r="R346" i="10"/>
  <c r="N90" i="10"/>
  <c r="N348" i="10"/>
  <c r="G28" i="10"/>
  <c r="G88" i="10"/>
  <c r="G346" i="10"/>
  <c r="L27" i="10"/>
  <c r="L88" i="10"/>
  <c r="L346" i="10"/>
  <c r="R24" i="10"/>
  <c r="R97" i="10"/>
  <c r="R355" i="10"/>
  <c r="I22" i="10"/>
  <c r="I92" i="10"/>
  <c r="I350" i="10"/>
  <c r="U30" i="10"/>
  <c r="U92" i="10"/>
  <c r="U350" i="10"/>
  <c r="E25" i="10"/>
  <c r="E97" i="10"/>
  <c r="E355" i="10"/>
  <c r="H22" i="10"/>
  <c r="H92" i="10"/>
  <c r="H350" i="10"/>
  <c r="O22" i="10"/>
  <c r="O95" i="10"/>
  <c r="O353" i="10"/>
  <c r="U22" i="10"/>
  <c r="U95" i="10"/>
  <c r="U353" i="10"/>
  <c r="H24" i="10"/>
  <c r="H97" i="10"/>
  <c r="H355" i="10"/>
  <c r="N97" i="10"/>
  <c r="N355" i="10"/>
  <c r="K27" i="10"/>
  <c r="K88" i="10"/>
  <c r="K346" i="10"/>
  <c r="K22" i="10"/>
  <c r="K92" i="10"/>
  <c r="K350" i="10"/>
  <c r="J24" i="10"/>
  <c r="J97" i="10"/>
  <c r="J355" i="10"/>
  <c r="G24" i="10"/>
  <c r="G97" i="10"/>
  <c r="G355" i="10"/>
  <c r="F22" i="10"/>
  <c r="F92" i="10"/>
  <c r="F350" i="10"/>
  <c r="R22" i="10"/>
  <c r="R95" i="10"/>
  <c r="R353" i="10"/>
  <c r="N86" i="10"/>
  <c r="N344" i="10"/>
  <c r="H21" i="10"/>
  <c r="H96" i="10"/>
  <c r="H354" i="10"/>
  <c r="V90" i="10"/>
  <c r="V348" i="10"/>
  <c r="W15" i="10"/>
  <c r="X15" i="10" s="1"/>
  <c r="Y15" i="10" s="1"/>
  <c r="Z15" i="10" s="1"/>
  <c r="AA15" i="10" s="1"/>
  <c r="AA30" i="10" s="1"/>
  <c r="AA364" i="10"/>
  <c r="AA362" i="10"/>
  <c r="AA369" i="10"/>
  <c r="AA367" i="10"/>
  <c r="AA357" i="10"/>
  <c r="AA363" i="10"/>
  <c r="AA370" i="10"/>
  <c r="AA366" i="10"/>
  <c r="AA360" i="10"/>
  <c r="AA368" i="10"/>
  <c r="AA359" i="10"/>
  <c r="AA365" i="10"/>
  <c r="AA361" i="10"/>
  <c r="AA358" i="10"/>
  <c r="Z30" i="10"/>
  <c r="Z359" i="10"/>
  <c r="Z369" i="10"/>
  <c r="Z361" i="10"/>
  <c r="Z366" i="10"/>
  <c r="Z365" i="10"/>
  <c r="Z364" i="10"/>
  <c r="Z368" i="10"/>
  <c r="Z357" i="10"/>
  <c r="Z358" i="10"/>
  <c r="Z362" i="10"/>
  <c r="Z360" i="10"/>
  <c r="Z370" i="10"/>
  <c r="Z367" i="10"/>
  <c r="Z363" i="10"/>
  <c r="Y30" i="10"/>
  <c r="Y370" i="10"/>
  <c r="Y359" i="10"/>
  <c r="Y366" i="10"/>
  <c r="Y363" i="10"/>
  <c r="Y369" i="10"/>
  <c r="Y362" i="10"/>
  <c r="Y360" i="10"/>
  <c r="Y368" i="10"/>
  <c r="Y365" i="10"/>
  <c r="Y357" i="10"/>
  <c r="Y364" i="10"/>
  <c r="Y367" i="10"/>
  <c r="Y358" i="10"/>
  <c r="Y361" i="10"/>
  <c r="X30" i="10"/>
  <c r="X358" i="10"/>
  <c r="W30" i="10"/>
  <c r="W370" i="10"/>
  <c r="X370" i="10"/>
  <c r="X362" i="10"/>
  <c r="X367" i="10"/>
  <c r="W366" i="10"/>
  <c r="W358" i="10"/>
  <c r="X366" i="10"/>
  <c r="W357" i="10"/>
  <c r="X357" i="10"/>
  <c r="X365" i="10"/>
  <c r="X369" i="10"/>
  <c r="X363" i="10"/>
  <c r="W360" i="10"/>
  <c r="W364" i="10"/>
  <c r="X364" i="10"/>
  <c r="X360" i="10"/>
  <c r="X359" i="10"/>
  <c r="X361" i="10"/>
  <c r="X368" i="10"/>
  <c r="W361" i="10"/>
  <c r="W369" i="10"/>
  <c r="W365" i="10"/>
  <c r="W359" i="10"/>
  <c r="W362" i="10"/>
  <c r="W367" i="10"/>
  <c r="W368" i="10"/>
  <c r="W363" i="10"/>
  <c r="V30" i="10"/>
  <c r="V88" i="10"/>
  <c r="V346" i="10"/>
  <c r="V361" i="10"/>
  <c r="V370" i="10"/>
  <c r="V359" i="10"/>
  <c r="V362" i="10"/>
  <c r="V364" i="10"/>
  <c r="V368" i="10"/>
  <c r="V369" i="10"/>
  <c r="V357" i="10"/>
  <c r="V366" i="10"/>
  <c r="V365" i="10"/>
  <c r="V363" i="10"/>
  <c r="V360" i="10"/>
  <c r="V358" i="10"/>
  <c r="V367" i="10"/>
  <c r="U370" i="10"/>
  <c r="U361" i="10"/>
  <c r="U365" i="10"/>
  <c r="U369" i="10"/>
  <c r="U358" i="10"/>
  <c r="U367" i="10"/>
  <c r="U362" i="10"/>
  <c r="U368" i="10"/>
  <c r="U363" i="10"/>
  <c r="U366" i="10"/>
  <c r="U360" i="10"/>
  <c r="U359" i="10"/>
  <c r="U364" i="10"/>
  <c r="U357" i="10"/>
  <c r="T30" i="10"/>
  <c r="T360" i="10"/>
  <c r="T362" i="10"/>
  <c r="T367" i="10"/>
  <c r="T357" i="10"/>
  <c r="T368" i="10"/>
  <c r="T361" i="10"/>
  <c r="T359" i="10"/>
  <c r="T358" i="10"/>
  <c r="T363" i="10"/>
  <c r="T364" i="10"/>
  <c r="T365" i="10"/>
  <c r="T369" i="10"/>
  <c r="T370" i="10"/>
  <c r="T366" i="10"/>
  <c r="S30" i="10"/>
  <c r="S365" i="10"/>
  <c r="S366" i="10"/>
  <c r="S92" i="10"/>
  <c r="S350" i="10"/>
  <c r="S357" i="10"/>
  <c r="S370" i="10"/>
  <c r="S369" i="10"/>
  <c r="S361" i="10"/>
  <c r="S367" i="10"/>
  <c r="S362" i="10"/>
  <c r="S364" i="10"/>
  <c r="S360" i="10"/>
  <c r="S363" i="10"/>
  <c r="S368" i="10"/>
  <c r="S359" i="10"/>
  <c r="S358" i="10"/>
  <c r="R30" i="10"/>
  <c r="R358" i="10"/>
  <c r="R364" i="10"/>
  <c r="R368" i="10"/>
  <c r="R369" i="10"/>
  <c r="R367" i="10"/>
  <c r="R92" i="10"/>
  <c r="R350" i="10"/>
  <c r="R365" i="10"/>
  <c r="R362" i="10"/>
  <c r="R357" i="10"/>
  <c r="R363" i="10"/>
  <c r="R370" i="10"/>
  <c r="Q30" i="10"/>
  <c r="Q367" i="10"/>
  <c r="Q360" i="10"/>
  <c r="R360" i="10"/>
  <c r="R361" i="10"/>
  <c r="R359" i="10"/>
  <c r="R366" i="10"/>
  <c r="Q358" i="10"/>
  <c r="Q357" i="10"/>
  <c r="Q363" i="10"/>
  <c r="Q366" i="10"/>
  <c r="Q362" i="10"/>
  <c r="Q92" i="10"/>
  <c r="Q350" i="10"/>
  <c r="Q370" i="10"/>
  <c r="Q359" i="10"/>
  <c r="Q364" i="10"/>
  <c r="Q368" i="10"/>
  <c r="Q365" i="10"/>
  <c r="Q361" i="10"/>
  <c r="Q369" i="10"/>
  <c r="P30" i="10"/>
  <c r="P92" i="10"/>
  <c r="P350" i="10"/>
  <c r="P358" i="10"/>
  <c r="P359" i="10"/>
  <c r="P368" i="10"/>
  <c r="P367" i="10"/>
  <c r="P365" i="10"/>
  <c r="P366" i="10"/>
  <c r="P361" i="10"/>
  <c r="P362" i="10"/>
  <c r="P357" i="10"/>
  <c r="P370" i="10"/>
  <c r="P364" i="10"/>
  <c r="P363" i="10"/>
  <c r="P369" i="10"/>
  <c r="P360" i="10"/>
  <c r="O30" i="10"/>
  <c r="O92" i="10"/>
  <c r="O350" i="10"/>
  <c r="O365" i="10"/>
  <c r="O358" i="10"/>
  <c r="O368" i="10"/>
  <c r="O362" i="10"/>
  <c r="O366" i="10"/>
  <c r="O360" i="10"/>
  <c r="O364" i="10"/>
  <c r="O357" i="10"/>
  <c r="O361" i="10"/>
  <c r="O370" i="10"/>
  <c r="O363" i="10"/>
  <c r="O359" i="10"/>
  <c r="O369" i="10"/>
  <c r="O367" i="10"/>
  <c r="N30" i="10"/>
  <c r="N365" i="10"/>
  <c r="N369" i="10"/>
  <c r="N361" i="10"/>
  <c r="N358" i="10"/>
  <c r="N364" i="10"/>
  <c r="N362" i="10"/>
  <c r="N366" i="10"/>
  <c r="N363" i="10"/>
  <c r="N367" i="10"/>
  <c r="N357" i="10"/>
  <c r="N370" i="10"/>
  <c r="N368" i="10"/>
  <c r="N359" i="10"/>
  <c r="N360" i="10"/>
  <c r="M30" i="10"/>
  <c r="M369" i="10"/>
  <c r="M365" i="10"/>
  <c r="M361" i="10"/>
  <c r="M363" i="10"/>
  <c r="M362" i="10"/>
  <c r="M358" i="10"/>
  <c r="M360" i="10"/>
  <c r="M368" i="10"/>
  <c r="M357" i="10"/>
  <c r="M366" i="10"/>
  <c r="M359" i="10"/>
  <c r="M370" i="10"/>
  <c r="M367" i="10"/>
  <c r="M364" i="10"/>
  <c r="L30" i="10"/>
  <c r="L361" i="10"/>
  <c r="L363" i="10"/>
  <c r="L369" i="10"/>
  <c r="L359" i="10"/>
  <c r="L364" i="10"/>
  <c r="L357" i="10"/>
  <c r="L368" i="10"/>
  <c r="L366" i="10"/>
  <c r="L370" i="10"/>
  <c r="L358" i="10"/>
  <c r="L360" i="10"/>
  <c r="L367" i="10"/>
  <c r="L365" i="10"/>
  <c r="L362" i="10"/>
  <c r="K30" i="10"/>
  <c r="K365" i="10"/>
  <c r="K367" i="10"/>
  <c r="K361" i="10"/>
  <c r="K359" i="10"/>
  <c r="K357" i="10"/>
  <c r="K366" i="10"/>
  <c r="K360" i="10"/>
  <c r="K370" i="10"/>
  <c r="K358" i="10"/>
  <c r="K362" i="10"/>
  <c r="K368" i="10"/>
  <c r="K369" i="10"/>
  <c r="K364" i="10"/>
  <c r="K363" i="10"/>
  <c r="J30" i="10"/>
  <c r="J365" i="10"/>
  <c r="J369" i="10"/>
  <c r="J363" i="10"/>
  <c r="J357" i="10"/>
  <c r="J362" i="10"/>
  <c r="J368" i="10"/>
  <c r="J361" i="10"/>
  <c r="J366" i="10"/>
  <c r="J358" i="10"/>
  <c r="J360" i="10"/>
  <c r="J370" i="10"/>
  <c r="J359" i="10"/>
  <c r="J367" i="10"/>
  <c r="J364" i="10"/>
  <c r="I30" i="10"/>
  <c r="I361" i="10"/>
  <c r="I364" i="10"/>
  <c r="I358" i="10"/>
  <c r="I365" i="10"/>
  <c r="I370" i="10"/>
  <c r="I360" i="10"/>
  <c r="I359" i="10"/>
  <c r="I369" i="10"/>
  <c r="I363" i="10"/>
  <c r="I362" i="10"/>
  <c r="I357" i="10"/>
  <c r="I367" i="10"/>
  <c r="I366" i="10"/>
  <c r="I368" i="10"/>
  <c r="H30" i="10"/>
  <c r="H357" i="10"/>
  <c r="H365" i="10"/>
  <c r="H370" i="10"/>
  <c r="H364" i="10"/>
  <c r="H366" i="10"/>
  <c r="H363" i="10"/>
  <c r="H362" i="10"/>
  <c r="H360" i="10"/>
  <c r="H359" i="10"/>
  <c r="H367" i="10"/>
  <c r="H369" i="10"/>
  <c r="H358" i="10"/>
  <c r="H361" i="10"/>
  <c r="H368" i="10"/>
  <c r="G30" i="10"/>
  <c r="G363" i="10"/>
  <c r="G361" i="10"/>
  <c r="G365" i="10"/>
  <c r="G357" i="10"/>
  <c r="G362" i="10"/>
  <c r="G368" i="10"/>
  <c r="G360" i="10"/>
  <c r="G359" i="10"/>
  <c r="G367" i="10"/>
  <c r="G369" i="10"/>
  <c r="G366" i="10"/>
  <c r="G358" i="10"/>
  <c r="G370" i="10"/>
  <c r="G364" i="10"/>
  <c r="F30" i="10"/>
  <c r="F357" i="10"/>
  <c r="F358" i="10"/>
  <c r="F365" i="10"/>
  <c r="F368" i="10"/>
  <c r="F363" i="10"/>
  <c r="F362" i="10"/>
  <c r="F364" i="10"/>
  <c r="F359" i="10"/>
  <c r="F361" i="10"/>
  <c r="F369" i="10"/>
  <c r="F366" i="10"/>
  <c r="F367" i="10"/>
  <c r="F370" i="10"/>
  <c r="F360" i="10"/>
  <c r="E30" i="10"/>
  <c r="E367" i="10"/>
  <c r="E364" i="10"/>
  <c r="E369" i="10"/>
  <c r="E361" i="10"/>
  <c r="E363" i="10"/>
  <c r="E366" i="10"/>
  <c r="E362" i="10"/>
  <c r="E370" i="10"/>
  <c r="E368" i="10"/>
  <c r="E358" i="10"/>
  <c r="E360" i="10"/>
  <c r="E359" i="10"/>
  <c r="E357" i="10"/>
  <c r="E365" i="10"/>
  <c r="D7" i="10"/>
  <c r="D11" i="10"/>
  <c r="D14" i="10"/>
  <c r="S31" i="7"/>
  <c r="CA47" i="11"/>
  <c r="T31" i="7"/>
  <c r="CA48" i="11"/>
  <c r="E31" i="7"/>
  <c r="D31" i="7"/>
  <c r="C47" i="11"/>
  <c r="F31" i="7"/>
  <c r="DH47" i="11"/>
  <c r="DI47" i="11"/>
  <c r="K31" i="7"/>
  <c r="DC47" i="11"/>
  <c r="J31" i="7"/>
  <c r="G47" i="11"/>
  <c r="N31" i="7"/>
  <c r="Z47" i="11"/>
  <c r="V47" i="11"/>
  <c r="K47" i="11"/>
  <c r="X31" i="7"/>
  <c r="K48" i="11"/>
  <c r="I47" i="11"/>
  <c r="U31" i="7"/>
  <c r="CG47" i="11"/>
  <c r="G31" i="7"/>
  <c r="CZ47" i="11"/>
  <c r="M31" i="7"/>
  <c r="Y47" i="11"/>
  <c r="F47" i="11"/>
  <c r="H47" i="11"/>
  <c r="P31" i="7"/>
  <c r="AT47" i="11"/>
  <c r="DA47" i="11"/>
  <c r="M47" i="11"/>
  <c r="M48" i="11"/>
  <c r="E47" i="11"/>
  <c r="R31" i="7"/>
  <c r="BX47" i="11"/>
  <c r="W31" i="7"/>
  <c r="BX48" i="11"/>
  <c r="N47" i="11"/>
  <c r="BU47" i="11"/>
  <c r="AU47" i="11"/>
  <c r="CF47" i="11"/>
  <c r="D47" i="11"/>
  <c r="CR47" i="11"/>
  <c r="CO47" i="11"/>
  <c r="CK47" i="11"/>
  <c r="K6" i="10"/>
  <c r="K7" i="10" s="1"/>
  <c r="K11" i="10" s="1"/>
  <c r="K12" i="10" s="1"/>
  <c r="G12" i="10"/>
  <c r="O12" i="10"/>
  <c r="R18" i="10"/>
  <c r="S6" i="10"/>
  <c r="Z18" i="10"/>
  <c r="AA7" i="10" s="1"/>
  <c r="AA11" i="10" s="1"/>
  <c r="AA12" i="10" s="1"/>
  <c r="AA6" i="10"/>
  <c r="Y18" i="10"/>
  <c r="Z6" i="10"/>
  <c r="AI19" i="17"/>
  <c r="AY21" i="17"/>
  <c r="AI12" i="17"/>
  <c r="AY14" i="17"/>
  <c r="K18" i="10"/>
  <c r="L6" i="10"/>
  <c r="AY19" i="17"/>
  <c r="AI17" i="17"/>
  <c r="N6" i="10"/>
  <c r="N7" i="10" s="1"/>
  <c r="P12" i="10"/>
  <c r="S18" i="10"/>
  <c r="T6" i="10"/>
  <c r="U18" i="10"/>
  <c r="V6" i="10"/>
  <c r="T18" i="10"/>
  <c r="W18" i="10"/>
  <c r="X6" i="10"/>
  <c r="V18" i="10"/>
  <c r="I12" i="10"/>
  <c r="D12" i="10"/>
  <c r="E12" i="10"/>
  <c r="AI18" i="17"/>
  <c r="AY20" i="17"/>
  <c r="AI5" i="17"/>
  <c r="AY7" i="17"/>
  <c r="Q31" i="7"/>
  <c r="AY18" i="17"/>
  <c r="AI16" i="17"/>
  <c r="F12" i="10"/>
  <c r="P18" i="10"/>
  <c r="Q7" i="10" s="1"/>
  <c r="T11" i="10" s="1"/>
  <c r="T12" i="10" s="1"/>
  <c r="Q6" i="10"/>
  <c r="X18" i="10"/>
  <c r="Y6" i="10"/>
  <c r="D141" i="10" a="1"/>
  <c r="Q141" i="10" s="1"/>
  <c r="Q162" i="10"/>
  <c r="T7" i="10" l="1"/>
  <c r="AA9" i="10"/>
  <c r="L7" i="10"/>
  <c r="L11" i="10" s="1"/>
  <c r="L12" i="10" s="1"/>
  <c r="S7" i="10"/>
  <c r="Y7" i="10"/>
  <c r="Y11" i="10" s="1"/>
  <c r="Y12" i="10" s="1"/>
  <c r="V7" i="10"/>
  <c r="V11" i="10" s="1"/>
  <c r="V12" i="10" s="1"/>
  <c r="L9" i="10"/>
  <c r="Q9" i="10"/>
  <c r="X9" i="10"/>
  <c r="Z7" i="10"/>
  <c r="Z11" i="10" s="1"/>
  <c r="Z12" i="10" s="1"/>
  <c r="Y9" i="10"/>
  <c r="X7" i="10"/>
  <c r="X11" i="10" s="1"/>
  <c r="X12" i="10" s="1"/>
  <c r="Z9" i="10"/>
  <c r="Q152" i="10"/>
  <c r="Q148" i="10"/>
  <c r="Q144" i="10"/>
  <c r="Q151" i="10"/>
  <c r="Q147" i="10"/>
  <c r="Q143" i="10"/>
  <c r="Q154" i="10"/>
  <c r="Q150" i="10"/>
  <c r="Q146" i="10"/>
  <c r="Q142" i="10"/>
  <c r="Q204" i="10" s="1"/>
  <c r="T9" i="10"/>
  <c r="Q153" i="10"/>
  <c r="Q149" i="10"/>
  <c r="Q145" i="10"/>
  <c r="V9" i="10"/>
  <c r="H611" i="26"/>
  <c r="H770" i="26"/>
  <c r="H767" i="26"/>
  <c r="H569" i="26"/>
  <c r="H653" i="26"/>
  <c r="H485" i="26"/>
  <c r="H737" i="26"/>
  <c r="H527" i="26"/>
  <c r="Q205" i="10" l="1"/>
  <c r="O6" i="10"/>
  <c r="O7" i="10" s="1"/>
  <c r="AI15" i="17"/>
  <c r="AY17" i="17"/>
  <c r="J6" i="10"/>
  <c r="J7" i="10" s="1"/>
  <c r="J11" i="10" s="1"/>
  <c r="J12" i="10" s="1"/>
  <c r="AI13" i="17"/>
  <c r="AY15" i="17"/>
  <c r="AY8" i="17"/>
  <c r="CX13" i="23"/>
  <c r="AI6" i="17"/>
  <c r="AI9" i="17"/>
  <c r="AY12" i="17"/>
  <c r="AI10" i="17"/>
  <c r="AY11" i="17"/>
  <c r="O31" i="7"/>
  <c r="AY16" i="17"/>
  <c r="AI14" i="17"/>
  <c r="L31" i="7"/>
  <c r="AI11" i="17"/>
  <c r="AY13" i="17"/>
  <c r="H12" i="10"/>
  <c r="Q18" i="10"/>
  <c r="R7" i="10" s="1"/>
  <c r="R6" i="10"/>
  <c r="U6" i="10"/>
  <c r="U7" i="10" s="1"/>
  <c r="U11" i="10" s="1"/>
  <c r="U12" i="10" s="1"/>
  <c r="U9" i="10"/>
  <c r="W6" i="10"/>
  <c r="W7" i="10" s="1"/>
  <c r="V141" i="10"/>
  <c r="V142" i="10"/>
  <c r="V143" i="10"/>
  <c r="V144" i="10"/>
  <c r="V145" i="10"/>
  <c r="V146" i="10"/>
  <c r="V147" i="10"/>
  <c r="V148" i="10"/>
  <c r="V149" i="10"/>
  <c r="V150" i="10"/>
  <c r="V151" i="10"/>
  <c r="V152" i="10"/>
  <c r="V153" i="10"/>
  <c r="V154" i="10"/>
  <c r="V158" i="10"/>
  <c r="V205" i="10"/>
  <c r="V204" i="10"/>
  <c r="U141" i="10"/>
  <c r="U142" i="10"/>
  <c r="U143" i="10"/>
  <c r="U144" i="10"/>
  <c r="U145" i="10"/>
  <c r="U146" i="10"/>
  <c r="U147" i="10"/>
  <c r="U148" i="10"/>
  <c r="U149" i="10"/>
  <c r="U150" i="10"/>
  <c r="U151" i="10"/>
  <c r="U152" i="10"/>
  <c r="U153" i="10"/>
  <c r="U154" i="10"/>
  <c r="U162" i="10"/>
  <c r="U204" i="10"/>
  <c r="U205" i="10"/>
  <c r="S141" i="10"/>
  <c r="S142" i="10"/>
  <c r="S143" i="10"/>
  <c r="S144" i="10"/>
  <c r="S145" i="10"/>
  <c r="S146" i="10"/>
  <c r="S147" i="10"/>
  <c r="S148" i="10"/>
  <c r="S149" i="10"/>
  <c r="S150" i="10"/>
  <c r="S151" i="10"/>
  <c r="S152" i="10"/>
  <c r="S153" i="10"/>
  <c r="S154" i="10"/>
  <c r="S162" i="10"/>
  <c r="S205" i="10"/>
  <c r="S204" i="10"/>
  <c r="R141" i="10"/>
  <c r="R142" i="10"/>
  <c r="R143" i="10"/>
  <c r="R144" i="10"/>
  <c r="R145" i="10"/>
  <c r="R146" i="10"/>
  <c r="R147" i="10"/>
  <c r="R148" i="10"/>
  <c r="R149" i="10"/>
  <c r="R150" i="10"/>
  <c r="R151" i="10"/>
  <c r="R152" i="10"/>
  <c r="R153" i="10"/>
  <c r="R154" i="10"/>
  <c r="R162" i="10"/>
  <c r="R204" i="10"/>
  <c r="R205" i="10"/>
  <c r="P141" i="10"/>
  <c r="P142" i="10"/>
  <c r="P143" i="10"/>
  <c r="P144" i="10"/>
  <c r="P145" i="10"/>
  <c r="P146" i="10"/>
  <c r="P147" i="10"/>
  <c r="P148" i="10"/>
  <c r="P149" i="10"/>
  <c r="P150" i="10"/>
  <c r="P151" i="10"/>
  <c r="P152" i="10"/>
  <c r="P153" i="10"/>
  <c r="P154" i="10"/>
  <c r="P162" i="10"/>
  <c r="P204" i="10"/>
  <c r="P205" i="10"/>
  <c r="O141" i="10"/>
  <c r="O142" i="10"/>
  <c r="O143" i="10"/>
  <c r="O144" i="10"/>
  <c r="O145" i="10"/>
  <c r="O146" i="10"/>
  <c r="O147" i="10"/>
  <c r="O148" i="10"/>
  <c r="O149" i="10"/>
  <c r="O150" i="10"/>
  <c r="O151" i="10"/>
  <c r="O152" i="10"/>
  <c r="O153" i="10"/>
  <c r="O154" i="10"/>
  <c r="O162" i="10"/>
  <c r="O204" i="10"/>
  <c r="O205" i="10"/>
  <c r="N141" i="10"/>
  <c r="N142" i="10"/>
  <c r="N143" i="10"/>
  <c r="N144" i="10"/>
  <c r="N145" i="10"/>
  <c r="N146" i="10"/>
  <c r="N147" i="10"/>
  <c r="N148" i="10"/>
  <c r="N149" i="10"/>
  <c r="N150" i="10"/>
  <c r="N151" i="10"/>
  <c r="N152" i="10"/>
  <c r="N153" i="10"/>
  <c r="N154" i="10"/>
  <c r="M141" i="10"/>
  <c r="M142" i="10"/>
  <c r="M143" i="10"/>
  <c r="M144" i="10"/>
  <c r="M145" i="10"/>
  <c r="M146" i="10"/>
  <c r="M147" i="10"/>
  <c r="M148" i="10"/>
  <c r="M149" i="10"/>
  <c r="M150" i="10"/>
  <c r="M151" i="10"/>
  <c r="M152" i="10"/>
  <c r="M153" i="10"/>
  <c r="M154" i="10"/>
  <c r="L141" i="10"/>
  <c r="L142" i="10"/>
  <c r="L143" i="10"/>
  <c r="L144" i="10"/>
  <c r="L145" i="10"/>
  <c r="L146" i="10"/>
  <c r="L147" i="10"/>
  <c r="L148" i="10"/>
  <c r="L149" i="10"/>
  <c r="L150" i="10"/>
  <c r="L151" i="10"/>
  <c r="L152" i="10"/>
  <c r="L153" i="10"/>
  <c r="L154" i="10"/>
  <c r="K141" i="10"/>
  <c r="K142" i="10"/>
  <c r="K143" i="10"/>
  <c r="K144" i="10"/>
  <c r="K145" i="10"/>
  <c r="K146" i="10"/>
  <c r="K147" i="10"/>
  <c r="K148" i="10"/>
  <c r="K149" i="10"/>
  <c r="K150" i="10"/>
  <c r="K151" i="10"/>
  <c r="K152" i="10"/>
  <c r="K153" i="10"/>
  <c r="K154" i="10"/>
  <c r="J141" i="10"/>
  <c r="J142" i="10"/>
  <c r="J143" i="10"/>
  <c r="J144" i="10"/>
  <c r="J145" i="10"/>
  <c r="J146" i="10"/>
  <c r="J147" i="10"/>
  <c r="J148" i="10"/>
  <c r="J149" i="10"/>
  <c r="J150" i="10"/>
  <c r="J151" i="10"/>
  <c r="J152" i="10"/>
  <c r="J153" i="10"/>
  <c r="J154" i="10"/>
  <c r="I141" i="10"/>
  <c r="I142" i="10"/>
  <c r="I143" i="10"/>
  <c r="I144" i="10"/>
  <c r="I145" i="10"/>
  <c r="I146" i="10"/>
  <c r="I147" i="10"/>
  <c r="I148" i="10"/>
  <c r="I149" i="10"/>
  <c r="I150" i="10"/>
  <c r="I151" i="10"/>
  <c r="I152" i="10"/>
  <c r="I153" i="10"/>
  <c r="I154" i="10"/>
  <c r="H141" i="10"/>
  <c r="H142" i="10"/>
  <c r="H143" i="10"/>
  <c r="H144" i="10"/>
  <c r="H145" i="10"/>
  <c r="H146" i="10"/>
  <c r="H147" i="10"/>
  <c r="H148" i="10"/>
  <c r="H149" i="10"/>
  <c r="H150" i="10"/>
  <c r="H151" i="10"/>
  <c r="H152" i="10"/>
  <c r="H153" i="10"/>
  <c r="H154" i="10"/>
  <c r="G141" i="10"/>
  <c r="G142" i="10"/>
  <c r="G143" i="10"/>
  <c r="G144" i="10"/>
  <c r="G145" i="10"/>
  <c r="G146" i="10"/>
  <c r="G147" i="10"/>
  <c r="G148" i="10"/>
  <c r="G149" i="10"/>
  <c r="G150" i="10"/>
  <c r="G151" i="10"/>
  <c r="G152" i="10"/>
  <c r="G153" i="10"/>
  <c r="G154" i="10"/>
  <c r="F141" i="10"/>
  <c r="F142" i="10"/>
  <c r="F143" i="10"/>
  <c r="F144" i="10"/>
  <c r="F145" i="10"/>
  <c r="F146" i="10"/>
  <c r="F147" i="10"/>
  <c r="F148" i="10"/>
  <c r="F149" i="10"/>
  <c r="F150" i="10"/>
  <c r="F151" i="10"/>
  <c r="F152" i="10"/>
  <c r="F153" i="10"/>
  <c r="F154" i="10"/>
  <c r="T141" i="10"/>
  <c r="T142" i="10"/>
  <c r="T143" i="10"/>
  <c r="T144" i="10"/>
  <c r="T145" i="10"/>
  <c r="T146" i="10"/>
  <c r="T174" i="10" s="1"/>
  <c r="T147" i="10"/>
  <c r="T148" i="10"/>
  <c r="T149" i="10"/>
  <c r="T150" i="10"/>
  <c r="T151" i="10"/>
  <c r="T152" i="10"/>
  <c r="T153" i="10"/>
  <c r="T154" i="10"/>
  <c r="E141" i="10"/>
  <c r="E142" i="10"/>
  <c r="E143" i="10"/>
  <c r="E144" i="10"/>
  <c r="E145" i="10"/>
  <c r="E146" i="10"/>
  <c r="E147" i="10"/>
  <c r="E148" i="10"/>
  <c r="E149" i="10"/>
  <c r="E150" i="10"/>
  <c r="E151" i="10"/>
  <c r="E152" i="10"/>
  <c r="E153" i="10"/>
  <c r="E154" i="10"/>
  <c r="V31" i="7"/>
  <c r="Y32" i="7"/>
  <c r="I30" i="7"/>
  <c r="V32" i="7"/>
  <c r="V30" i="7"/>
  <c r="W30" i="7"/>
  <c r="H30" i="7"/>
  <c r="M32" i="7"/>
  <c r="R32" i="7"/>
  <c r="K30" i="7"/>
  <c r="G32" i="7"/>
  <c r="Y30" i="7"/>
  <c r="U32" i="7"/>
  <c r="O30" i="7"/>
  <c r="Q30" i="7"/>
  <c r="Y31" i="7"/>
  <c r="U30" i="7"/>
  <c r="T30" i="7"/>
  <c r="F32" i="7"/>
  <c r="AA30" i="7"/>
  <c r="Z30" i="7"/>
  <c r="I32" i="7"/>
  <c r="Q32" i="7"/>
  <c r="E32" i="7"/>
  <c r="N32" i="7"/>
  <c r="J30" i="7"/>
  <c r="M30" i="7"/>
  <c r="L32" i="7"/>
  <c r="S32" i="7"/>
  <c r="P30" i="7"/>
  <c r="F30" i="7"/>
  <c r="K32" i="7"/>
  <c r="S30" i="7"/>
  <c r="D30" i="7"/>
  <c r="Z32" i="7"/>
  <c r="R30" i="7"/>
  <c r="AA32" i="7"/>
  <c r="Z31" i="7"/>
  <c r="N30" i="7"/>
  <c r="D32" i="7"/>
  <c r="L30" i="7"/>
  <c r="J32" i="7"/>
  <c r="X32" i="7"/>
  <c r="P32" i="7"/>
  <c r="G30" i="7"/>
  <c r="X30" i="7"/>
  <c r="T32" i="7"/>
  <c r="H32" i="7"/>
  <c r="O32" i="7"/>
  <c r="W32" i="7"/>
  <c r="E30" i="7"/>
  <c r="I31" i="7"/>
  <c r="AA31" i="7"/>
  <c r="X205" i="10"/>
  <c r="X204" i="10"/>
  <c r="AA18" i="10"/>
  <c r="D17" i="10" a="1"/>
  <c r="T17" i="10" s="1"/>
  <c r="J17" i="10"/>
  <c r="L17" i="10"/>
  <c r="V17" i="10"/>
  <c r="P17" i="10"/>
  <c r="AA8" i="10"/>
  <c r="Z204" i="10"/>
  <c r="Z205" i="10"/>
  <c r="H13" i="23"/>
  <c r="C13" i="23"/>
  <c r="K13" i="23"/>
  <c r="O13" i="23"/>
  <c r="Q13" i="23"/>
  <c r="L13" i="23"/>
  <c r="F13" i="23"/>
  <c r="AI7" i="17"/>
  <c r="AY10" i="17"/>
  <c r="AY9" i="17"/>
  <c r="M13" i="23"/>
  <c r="I13" i="23"/>
  <c r="J13" i="23"/>
  <c r="N13" i="23"/>
  <c r="E13" i="23"/>
  <c r="AI8" i="17"/>
  <c r="G13" i="23"/>
  <c r="P13" i="23"/>
  <c r="T171" i="10"/>
  <c r="T177" i="10"/>
  <c r="U175" i="10"/>
  <c r="T180" i="10"/>
  <c r="R174" i="10"/>
  <c r="P180" i="10"/>
  <c r="F174" i="10"/>
  <c r="M174" i="10"/>
  <c r="G182" i="10"/>
  <c r="F173" i="10"/>
  <c r="T178" i="10"/>
  <c r="T175" i="10"/>
  <c r="T181" i="10"/>
  <c r="S173" i="10"/>
  <c r="Q174" i="10"/>
  <c r="G175" i="10"/>
  <c r="D151" i="10"/>
  <c r="D179" i="10" s="1"/>
  <c r="F178" i="10"/>
  <c r="L178" i="10"/>
  <c r="T182" i="10"/>
  <c r="T179" i="10"/>
  <c r="T176" i="10"/>
  <c r="T172" i="10"/>
  <c r="P182" i="10"/>
  <c r="Q171" i="10"/>
  <c r="S170" i="10"/>
  <c r="M176" i="10"/>
  <c r="V171" i="10"/>
  <c r="F177" i="10"/>
  <c r="T173" i="10"/>
  <c r="U177" i="10"/>
  <c r="R175" i="10"/>
  <c r="L176" i="10"/>
  <c r="E179" i="10"/>
  <c r="P170" i="10"/>
  <c r="E173" i="10"/>
  <c r="R177" i="10"/>
  <c r="S180" i="10"/>
  <c r="U171" i="10"/>
  <c r="N173" i="10"/>
  <c r="V175" i="10"/>
  <c r="D148" i="10"/>
  <c r="D176" i="10"/>
  <c r="V182" i="10"/>
  <c r="Q170" i="10"/>
  <c r="L181" i="10"/>
  <c r="Q182" i="10"/>
  <c r="I179" i="10"/>
  <c r="M172" i="10"/>
  <c r="O178" i="10"/>
  <c r="I170" i="10"/>
  <c r="Q173" i="10"/>
  <c r="R170" i="10"/>
  <c r="U170" i="10"/>
  <c r="V179" i="10"/>
  <c r="L171" i="10"/>
  <c r="P177" i="10"/>
  <c r="F170" i="10"/>
  <c r="E174" i="10"/>
  <c r="H182" i="10"/>
  <c r="O175" i="10"/>
  <c r="G179" i="10"/>
  <c r="R173" i="10"/>
  <c r="V180" i="10"/>
  <c r="U178" i="10"/>
  <c r="J175" i="10"/>
  <c r="L182" i="10"/>
  <c r="I181" i="10"/>
  <c r="F171" i="10"/>
  <c r="D154" i="10"/>
  <c r="D182" i="10"/>
  <c r="L173" i="10"/>
  <c r="U182" i="10"/>
  <c r="V176" i="10"/>
  <c r="P171" i="10"/>
  <c r="Q177" i="10"/>
  <c r="H173" i="10"/>
  <c r="N182" i="10"/>
  <c r="I182" i="10"/>
  <c r="Q175" i="10"/>
  <c r="J170" i="10"/>
  <c r="E178" i="10"/>
  <c r="L170" i="10"/>
  <c r="I171" i="10"/>
  <c r="Q180" i="10"/>
  <c r="J178" i="10"/>
  <c r="J182" i="10"/>
  <c r="G171" i="10"/>
  <c r="M170" i="10"/>
  <c r="L179" i="10"/>
  <c r="L175" i="10"/>
  <c r="M171" i="10"/>
  <c r="H170" i="10"/>
  <c r="S182" i="10"/>
  <c r="K170" i="10"/>
  <c r="M179" i="10"/>
  <c r="D142" i="10"/>
  <c r="D170" i="10" s="1"/>
  <c r="H179" i="10"/>
  <c r="E177" i="10"/>
  <c r="F182" i="10"/>
  <c r="P175" i="10"/>
  <c r="D153" i="10"/>
  <c r="D181" i="10" s="1"/>
  <c r="K171" i="10"/>
  <c r="M181" i="10"/>
  <c r="O180" i="10"/>
  <c r="F179" i="10"/>
  <c r="O174" i="10"/>
  <c r="I174" i="10"/>
  <c r="M177" i="10"/>
  <c r="H171" i="10"/>
  <c r="K182" i="10"/>
  <c r="K178" i="10"/>
  <c r="R178" i="10"/>
  <c r="U180" i="10"/>
  <c r="G174" i="10"/>
  <c r="P178" i="10"/>
  <c r="G170" i="10"/>
  <c r="K174" i="10"/>
  <c r="E182" i="10"/>
  <c r="E171" i="10"/>
  <c r="S171" i="10"/>
  <c r="U174" i="10"/>
  <c r="D144" i="10"/>
  <c r="D172" i="10" s="1"/>
  <c r="I175" i="10"/>
  <c r="E170" i="10"/>
  <c r="I178" i="10"/>
  <c r="J174" i="10"/>
  <c r="G177" i="10"/>
  <c r="N180" i="10"/>
  <c r="H177" i="10"/>
  <c r="R180" i="10"/>
  <c r="U173" i="10"/>
  <c r="L177" i="10"/>
  <c r="O171" i="10"/>
  <c r="O177" i="10"/>
  <c r="V178" i="10"/>
  <c r="K173" i="10"/>
  <c r="I180" i="10"/>
  <c r="L180" i="10"/>
  <c r="K177" i="10"/>
  <c r="G173" i="10"/>
  <c r="J171" i="10"/>
  <c r="I173" i="10"/>
  <c r="E175" i="10"/>
  <c r="S177" i="10"/>
  <c r="V173" i="10"/>
  <c r="O173" i="10"/>
  <c r="P174" i="10"/>
  <c r="F175" i="10"/>
  <c r="Q178" i="10"/>
  <c r="I177" i="10"/>
  <c r="H175" i="10"/>
  <c r="J179" i="10"/>
  <c r="R171" i="10"/>
  <c r="V181" i="10"/>
  <c r="D152" i="10"/>
  <c r="D180" i="10" s="1"/>
  <c r="M175" i="10"/>
  <c r="K179" i="10"/>
  <c r="D147" i="10"/>
  <c r="D175" i="10" s="1"/>
  <c r="K175" i="10"/>
  <c r="G178" i="10"/>
  <c r="N177" i="10"/>
  <c r="M178" i="10"/>
  <c r="M180" i="10"/>
  <c r="S175" i="10"/>
  <c r="D143" i="10"/>
  <c r="D171" i="10" s="1"/>
  <c r="T170" i="10"/>
  <c r="W204" i="10"/>
  <c r="W205" i="10"/>
  <c r="Y205" i="10"/>
  <c r="Y204" i="10"/>
  <c r="AA205" i="10"/>
  <c r="AA204" i="10"/>
  <c r="W21" i="10"/>
  <c r="U21" i="10"/>
  <c r="M21" i="10"/>
  <c r="T21" i="10"/>
  <c r="R21" i="10"/>
  <c r="N21" i="10"/>
  <c r="I21" i="10"/>
  <c r="Q21" i="10"/>
  <c r="Z21" i="10"/>
  <c r="X21" i="10"/>
  <c r="Y21" i="10"/>
  <c r="O21" i="10"/>
  <c r="P21" i="10"/>
  <c r="S21" i="10"/>
  <c r="AA21" i="10"/>
  <c r="G290" i="10"/>
  <c r="G44" i="22" s="1"/>
  <c r="O176" i="10"/>
  <c r="S176" i="10"/>
  <c r="J176" i="10"/>
  <c r="Q179" i="10"/>
  <c r="E180" i="10"/>
  <c r="S290" i="10"/>
  <c r="S44" i="22" s="1"/>
  <c r="Q290" i="10"/>
  <c r="Q45" i="22" s="1"/>
  <c r="F172" i="10"/>
  <c r="J281" i="10"/>
  <c r="J18" i="22" s="1"/>
  <c r="J290" i="10"/>
  <c r="J45" i="22" s="1"/>
  <c r="M291" i="10"/>
  <c r="M48" i="22" s="1"/>
  <c r="F289" i="10"/>
  <c r="F40" i="22" s="1"/>
  <c r="I281" i="10"/>
  <c r="I17" i="22"/>
  <c r="O288" i="10"/>
  <c r="O39" i="22" s="1"/>
  <c r="U290" i="10"/>
  <c r="U43" i="22" s="1"/>
  <c r="O285" i="10"/>
  <c r="O30" i="22" s="1"/>
  <c r="R285" i="10"/>
  <c r="R30" i="22" s="1"/>
  <c r="P285" i="10"/>
  <c r="P30" i="22" s="1"/>
  <c r="V281" i="10"/>
  <c r="V18" i="22" s="1"/>
  <c r="F181" i="10"/>
  <c r="J181" i="10"/>
  <c r="G172" i="10"/>
  <c r="U285" i="10"/>
  <c r="U28" i="22" s="1"/>
  <c r="E289" i="10"/>
  <c r="E42" i="22" s="1"/>
  <c r="Q172" i="10"/>
  <c r="N283" i="10"/>
  <c r="N22" i="22" s="1"/>
  <c r="N288" i="10"/>
  <c r="N37" i="22" s="1"/>
  <c r="N285" i="10"/>
  <c r="N30" i="22" s="1"/>
  <c r="F285" i="10"/>
  <c r="F29" i="22" s="1"/>
  <c r="Q281" i="10"/>
  <c r="Q16" i="22" s="1"/>
  <c r="E281" i="10"/>
  <c r="E16" i="22" s="1"/>
  <c r="P176" i="10"/>
  <c r="S285" i="10"/>
  <c r="S30" i="22" s="1"/>
  <c r="Q285" i="10"/>
  <c r="Q29" i="22" s="1"/>
  <c r="G176" i="10"/>
  <c r="E181" i="10"/>
  <c r="J180" i="10"/>
  <c r="U288" i="10"/>
  <c r="U38" i="22" s="1"/>
  <c r="S288" i="10"/>
  <c r="S38" i="22" s="1"/>
  <c r="O281" i="10"/>
  <c r="O17" i="22" s="1"/>
  <c r="J285" i="10"/>
  <c r="J30" i="22" s="1"/>
  <c r="H281" i="10"/>
  <c r="H16" i="22" s="1"/>
  <c r="J172" i="10"/>
  <c r="O16" i="22"/>
  <c r="G281" i="10"/>
  <c r="G16" i="22" s="1"/>
  <c r="R176" i="10"/>
  <c r="R181" i="10"/>
  <c r="O179" i="10"/>
  <c r="R179" i="10"/>
  <c r="N287" i="10"/>
  <c r="N34" i="22" s="1"/>
  <c r="E285" i="10"/>
  <c r="E30" i="22" s="1"/>
  <c r="I285" i="10"/>
  <c r="I29" i="22" s="1"/>
  <c r="K290" i="10"/>
  <c r="K43" i="22" s="1"/>
  <c r="F281" i="10"/>
  <c r="F18" i="22" s="1"/>
  <c r="L283" i="10"/>
  <c r="L24" i="22" s="1"/>
  <c r="K289" i="10"/>
  <c r="K42" i="22"/>
  <c r="S281" i="10"/>
  <c r="S17" i="22" s="1"/>
  <c r="G181" i="10"/>
  <c r="N179" i="10"/>
  <c r="P290" i="10"/>
  <c r="P45" i="22" s="1"/>
  <c r="K181" i="10"/>
  <c r="R288" i="10"/>
  <c r="R37" i="22" s="1"/>
  <c r="N281" i="10"/>
  <c r="N17" i="22" s="1"/>
  <c r="N290" i="10"/>
  <c r="N44" i="22" s="1"/>
  <c r="F290" i="10"/>
  <c r="F44" i="22" s="1"/>
  <c r="G285" i="10"/>
  <c r="G28" i="22" s="1"/>
  <c r="U281" i="10"/>
  <c r="U18" i="22" s="1"/>
  <c r="E41" i="22"/>
  <c r="P181" i="10"/>
  <c r="N170" i="10"/>
  <c r="R290" i="10"/>
  <c r="R44" i="22" s="1"/>
  <c r="K285" i="10"/>
  <c r="K30" i="22" s="1"/>
  <c r="G289" i="10"/>
  <c r="G40" i="22" s="1"/>
  <c r="E290" i="10"/>
  <c r="E43" i="22" s="1"/>
  <c r="H176" i="10"/>
  <c r="H290" i="10"/>
  <c r="H43" i="22" s="1"/>
  <c r="N279" i="10"/>
  <c r="N12" i="22" s="1"/>
  <c r="H181" i="10"/>
  <c r="I176" i="10"/>
  <c r="K176" i="10"/>
  <c r="H289" i="10"/>
  <c r="H42" i="22" s="1"/>
  <c r="K41" i="22"/>
  <c r="P281" i="10"/>
  <c r="P16" i="22" s="1"/>
  <c r="Q288" i="10"/>
  <c r="Q38" i="22" s="1"/>
  <c r="O172" i="10"/>
  <c r="S28" i="22"/>
  <c r="L172" i="10"/>
  <c r="N172" i="10"/>
  <c r="E176" i="10"/>
  <c r="N174" i="10"/>
  <c r="L281" i="10"/>
  <c r="L16" i="22" s="1"/>
  <c r="S16" i="22"/>
  <c r="F176" i="10"/>
  <c r="I30" i="22"/>
  <c r="R281" i="10"/>
  <c r="R18" i="22" s="1"/>
  <c r="Q176" i="10"/>
  <c r="N178" i="10"/>
  <c r="K172" i="10"/>
  <c r="O181" i="10"/>
  <c r="S172" i="10"/>
  <c r="U179" i="10"/>
  <c r="H285" i="10"/>
  <c r="H30" i="22" s="1"/>
  <c r="J28" i="22"/>
  <c r="P288" i="10"/>
  <c r="P38" i="22" s="1"/>
  <c r="I16" i="22"/>
  <c r="R29" i="22"/>
  <c r="U181" i="10"/>
  <c r="P179" i="10"/>
  <c r="N181" i="10"/>
  <c r="H18" i="22"/>
  <c r="J43" i="22"/>
  <c r="N38" i="22"/>
  <c r="E172" i="10"/>
  <c r="J289" i="10"/>
  <c r="J42" i="22" s="1"/>
  <c r="R45" i="22"/>
  <c r="O37" i="22"/>
  <c r="F180" i="10"/>
  <c r="O290" i="10"/>
  <c r="O43" i="22" s="1"/>
  <c r="U37" i="22"/>
  <c r="R43" i="22"/>
  <c r="U30" i="22"/>
  <c r="N35" i="22"/>
  <c r="K40" i="22"/>
  <c r="R172" i="10"/>
  <c r="G17" i="22"/>
  <c r="F30" i="22"/>
  <c r="Q37" i="22"/>
  <c r="K281" i="10"/>
  <c r="K17" i="22" s="1"/>
  <c r="L23" i="22"/>
  <c r="I18" i="22"/>
  <c r="O28" i="22"/>
  <c r="P28" i="22"/>
  <c r="R28" i="22"/>
  <c r="S29" i="22"/>
  <c r="V172" i="10"/>
  <c r="V174" i="10"/>
  <c r="N176" i="10"/>
  <c r="M182" i="10"/>
  <c r="U176" i="10"/>
  <c r="S179" i="10"/>
  <c r="H172" i="10"/>
  <c r="Q181" i="10"/>
  <c r="S181" i="10"/>
  <c r="L174" i="10"/>
  <c r="H180" i="10"/>
  <c r="G180" i="10"/>
  <c r="S18" i="22"/>
  <c r="N28" i="22"/>
  <c r="F43" i="22"/>
  <c r="N18" i="22"/>
  <c r="L22" i="22"/>
  <c r="E44" i="22"/>
  <c r="N45" i="22"/>
  <c r="U172" i="10"/>
  <c r="P172" i="10"/>
  <c r="F41" i="22"/>
  <c r="Q44" i="22"/>
  <c r="P43" i="22"/>
  <c r="U45" i="22"/>
  <c r="G18" i="22"/>
  <c r="I172" i="10"/>
  <c r="R39" i="22"/>
  <c r="J29" i="22"/>
  <c r="H40" i="22"/>
  <c r="E17" i="22"/>
  <c r="P44" i="22"/>
  <c r="E28" i="22"/>
  <c r="K180" i="10"/>
  <c r="J17" i="22"/>
  <c r="E18" i="22"/>
  <c r="S43" i="22"/>
  <c r="L18" i="22"/>
  <c r="U29" i="22"/>
  <c r="Q17" i="22"/>
  <c r="S37" i="22"/>
  <c r="N16" i="22"/>
  <c r="P17" i="22"/>
  <c r="D145" i="10"/>
  <c r="D141" i="10"/>
  <c r="D146" i="10"/>
  <c r="D149" i="10"/>
  <c r="D150" i="10"/>
  <c r="K280" i="10"/>
  <c r="K14" i="22" s="1"/>
  <c r="V283" i="10"/>
  <c r="V24" i="22" s="1"/>
  <c r="L290" i="10"/>
  <c r="L45" i="22" s="1"/>
  <c r="D289" i="10"/>
  <c r="D42" i="22" s="1"/>
  <c r="U291" i="10"/>
  <c r="U48" i="22" s="1"/>
  <c r="H287" i="10"/>
  <c r="H34" i="22" s="1"/>
  <c r="R278" i="10"/>
  <c r="R9" i="22" s="1"/>
  <c r="M288" i="10"/>
  <c r="M38" i="22" s="1"/>
  <c r="U47" i="22"/>
  <c r="P287" i="10"/>
  <c r="P35" i="22" s="1"/>
  <c r="T284" i="10"/>
  <c r="T25" i="22" s="1"/>
  <c r="E288" i="10"/>
  <c r="E39" i="22" s="1"/>
  <c r="G280" i="10"/>
  <c r="G15" i="22" s="1"/>
  <c r="K278" i="10"/>
  <c r="K9" i="22" s="1"/>
  <c r="K282" i="10"/>
  <c r="K21" i="22" s="1"/>
  <c r="L285" i="10"/>
  <c r="L28" i="22" s="1"/>
  <c r="V284" i="10"/>
  <c r="V26" i="22" s="1"/>
  <c r="R279" i="10"/>
  <c r="R10" i="22" s="1"/>
  <c r="T283" i="10"/>
  <c r="T22" i="22" s="1"/>
  <c r="D288" i="10"/>
  <c r="D37" i="22" s="1"/>
  <c r="I279" i="10"/>
  <c r="I11" i="22" s="1"/>
  <c r="J291" i="10"/>
  <c r="J48" i="22" s="1"/>
  <c r="D285" i="10"/>
  <c r="D28" i="22" s="1"/>
  <c r="V290" i="10"/>
  <c r="V45" i="22" s="1"/>
  <c r="P286" i="10"/>
  <c r="P33" i="22" s="1"/>
  <c r="T286" i="10"/>
  <c r="T31" i="22" s="1"/>
  <c r="G278" i="10"/>
  <c r="G9" i="22" s="1"/>
  <c r="D281" i="10"/>
  <c r="D16" i="22" s="1"/>
  <c r="K284" i="10"/>
  <c r="K27" i="22" s="1"/>
  <c r="T282" i="10"/>
  <c r="T20" i="22" s="1"/>
  <c r="V282" i="10"/>
  <c r="V20" i="22" s="1"/>
  <c r="N291" i="10"/>
  <c r="N47" i="22" s="1"/>
  <c r="T278" i="10"/>
  <c r="T9" i="22" s="1"/>
  <c r="U287" i="10"/>
  <c r="U34" i="22" s="1"/>
  <c r="Q278" i="10"/>
  <c r="Q7" i="22" s="1"/>
  <c r="J279" i="10"/>
  <c r="J11" i="22" s="1"/>
  <c r="E283" i="10"/>
  <c r="E23" i="22" s="1"/>
  <c r="J280" i="10"/>
  <c r="J14" i="22" s="1"/>
  <c r="J284" i="10"/>
  <c r="J26" i="22" s="1"/>
  <c r="J286" i="10"/>
  <c r="J33" i="22" s="1"/>
  <c r="M279" i="10"/>
  <c r="M10" i="22" s="1"/>
  <c r="S279" i="10"/>
  <c r="S10" i="22" s="1"/>
  <c r="H291" i="10"/>
  <c r="H48" i="22" s="1"/>
  <c r="K288" i="10"/>
  <c r="K39" i="22" s="1"/>
  <c r="E279" i="10"/>
  <c r="E12" i="22" s="1"/>
  <c r="T287" i="10"/>
  <c r="T36" i="22" s="1"/>
  <c r="V289" i="10"/>
  <c r="V41" i="22" s="1"/>
  <c r="M285" i="10"/>
  <c r="M29" i="22" s="1"/>
  <c r="I286" i="10"/>
  <c r="I31" i="22" s="1"/>
  <c r="J287" i="10"/>
  <c r="J36" i="22" s="1"/>
  <c r="L282" i="10"/>
  <c r="L19" i="22" s="1"/>
  <c r="S280" i="10"/>
  <c r="S15" i="22" s="1"/>
  <c r="K7" i="22"/>
  <c r="V280" i="10"/>
  <c r="V13" i="22" s="1"/>
  <c r="Y181" i="10"/>
  <c r="W182" i="10"/>
  <c r="M281" i="10"/>
  <c r="M18" i="22" s="1"/>
  <c r="D283" i="10"/>
  <c r="D23" i="22" s="1"/>
  <c r="Z181" i="10"/>
  <c r="D290" i="10"/>
  <c r="D44" i="22" s="1"/>
  <c r="G288" i="10"/>
  <c r="G37" i="22" s="1"/>
  <c r="M286" i="10"/>
  <c r="M32" i="22" s="1"/>
  <c r="N286" i="10"/>
  <c r="N32" i="22" s="1"/>
  <c r="F286" i="10"/>
  <c r="F32" i="22" s="1"/>
  <c r="U279" i="10"/>
  <c r="U12" i="22" s="1"/>
  <c r="U283" i="10"/>
  <c r="U23" i="22" s="1"/>
  <c r="I289" i="10"/>
  <c r="I41" i="22" s="1"/>
  <c r="Y286" i="10"/>
  <c r="AA63" i="22"/>
  <c r="AA116" i="22"/>
  <c r="Z68" i="22"/>
  <c r="X107" i="22"/>
  <c r="W106" i="22"/>
  <c r="W86" i="22"/>
  <c r="Z78" i="22"/>
  <c r="W45" i="22"/>
  <c r="X124" i="22"/>
  <c r="X123" i="22"/>
  <c r="Y70" i="22"/>
  <c r="X171" i="10"/>
  <c r="T281" i="10"/>
  <c r="T17" i="22" s="1"/>
  <c r="O280" i="10"/>
  <c r="O15" i="22" s="1"/>
  <c r="P279" i="10"/>
  <c r="P11" i="22" s="1"/>
  <c r="L278" i="10"/>
  <c r="L8" i="22" s="1"/>
  <c r="U286" i="10"/>
  <c r="U31" i="22" s="1"/>
  <c r="U280" i="10"/>
  <c r="U13" i="22" s="1"/>
  <c r="I283" i="10"/>
  <c r="I24" i="22" s="1"/>
  <c r="S282" i="10"/>
  <c r="S21" i="22" s="1"/>
  <c r="K287" i="10"/>
  <c r="K34" i="22" s="1"/>
  <c r="U278" i="10"/>
  <c r="U9" i="22" s="1"/>
  <c r="F282" i="10"/>
  <c r="F20" i="22" s="1"/>
  <c r="W283" i="10"/>
  <c r="X284" i="10"/>
  <c r="AA132" i="22"/>
  <c r="AA103" i="22"/>
  <c r="Y116" i="22"/>
  <c r="Z45" i="22"/>
  <c r="Y108" i="22"/>
  <c r="W22" i="22"/>
  <c r="Y127" i="22"/>
  <c r="Z83" i="22"/>
  <c r="X93" i="22"/>
  <c r="X66" i="22"/>
  <c r="Y103" i="22"/>
  <c r="X8" i="22"/>
  <c r="Y171" i="10"/>
  <c r="R284" i="10"/>
  <c r="R26" i="22" s="1"/>
  <c r="F287" i="10"/>
  <c r="F34" i="22" s="1"/>
  <c r="R282" i="10"/>
  <c r="R19" i="22" s="1"/>
  <c r="V285" i="10"/>
  <c r="V29" i="22"/>
  <c r="E278" i="10"/>
  <c r="E7" i="22" s="1"/>
  <c r="H288" i="10"/>
  <c r="H38" i="22" s="1"/>
  <c r="J278" i="10"/>
  <c r="J8" i="22" s="1"/>
  <c r="D280" i="10"/>
  <c r="D15" i="22" s="1"/>
  <c r="M287" i="10"/>
  <c r="M36" i="22" s="1"/>
  <c r="F278" i="10"/>
  <c r="F9" i="22" s="1"/>
  <c r="M173" i="10"/>
  <c r="AA290" i="10"/>
  <c r="S178" i="10"/>
  <c r="AA125" i="22"/>
  <c r="AA7" i="22"/>
  <c r="AA72" i="22"/>
  <c r="W90" i="22"/>
  <c r="W97" i="22"/>
  <c r="W111" i="22"/>
  <c r="Z121" i="22"/>
  <c r="X50" i="22"/>
  <c r="X108" i="22"/>
  <c r="X42" i="22"/>
  <c r="W120" i="22"/>
  <c r="Y176" i="10"/>
  <c r="M289" i="10"/>
  <c r="M40" i="22" s="1"/>
  <c r="S284" i="10"/>
  <c r="S26" i="22" s="1"/>
  <c r="I288" i="10"/>
  <c r="I39" i="22" s="1"/>
  <c r="O291" i="10"/>
  <c r="O48" i="22" s="1"/>
  <c r="R280" i="10"/>
  <c r="R15" i="22" s="1"/>
  <c r="S14" i="22"/>
  <c r="H278" i="10"/>
  <c r="H9" i="22" s="1"/>
  <c r="K291" i="10"/>
  <c r="K46" i="22" s="1"/>
  <c r="E282" i="10"/>
  <c r="E20" i="22" s="1"/>
  <c r="H284" i="10"/>
  <c r="H26" i="22" s="1"/>
  <c r="I291" i="10"/>
  <c r="I48" i="22" s="1"/>
  <c r="S289" i="10"/>
  <c r="S41" i="22" s="1"/>
  <c r="AA282" i="10"/>
  <c r="AA96" i="22"/>
  <c r="AA30" i="22"/>
  <c r="AA14" i="22"/>
  <c r="Y22" i="22"/>
  <c r="W43" i="22"/>
  <c r="X103" i="22"/>
  <c r="Z91" i="22"/>
  <c r="Y57" i="22"/>
  <c r="Z59" i="22"/>
  <c r="W95" i="22"/>
  <c r="Y18" i="22"/>
  <c r="X100" i="22"/>
  <c r="W39" i="22"/>
  <c r="Y14" i="22"/>
  <c r="W81" i="22"/>
  <c r="X52" i="22"/>
  <c r="D2" i="16" a="1"/>
  <c r="D2" i="16" s="1"/>
  <c r="X76" i="22"/>
  <c r="X129" i="22"/>
  <c r="W8" i="22"/>
  <c r="X102" i="22"/>
  <c r="AA180" i="10"/>
  <c r="Y173" i="10"/>
  <c r="X174" i="10"/>
  <c r="W174" i="10"/>
  <c r="T290" i="10"/>
  <c r="T45" i="22" s="1"/>
  <c r="T285" i="10"/>
  <c r="T28" i="22" s="1"/>
  <c r="V286" i="10"/>
  <c r="V31" i="22" s="1"/>
  <c r="D287" i="10"/>
  <c r="D34" i="22" s="1"/>
  <c r="M283" i="10"/>
  <c r="M24" i="22" s="1"/>
  <c r="F280" i="10"/>
  <c r="F13" i="22" s="1"/>
  <c r="O289" i="10"/>
  <c r="O40" i="22" s="1"/>
  <c r="O278" i="10"/>
  <c r="O9" i="22" s="1"/>
  <c r="O284" i="10"/>
  <c r="O25" i="22" s="1"/>
  <c r="S286" i="10"/>
  <c r="S31" i="22" s="1"/>
  <c r="Q284" i="10"/>
  <c r="Q25" i="22" s="1"/>
  <c r="Q286" i="10"/>
  <c r="Q31" i="22" s="1"/>
  <c r="D284" i="10"/>
  <c r="D25" i="22" s="1"/>
  <c r="Q282" i="10"/>
  <c r="Q20" i="22" s="1"/>
  <c r="R289" i="10"/>
  <c r="R40" i="22" s="1"/>
  <c r="I280" i="10"/>
  <c r="I15" i="22" s="1"/>
  <c r="T279" i="10"/>
  <c r="T10" i="22" s="1"/>
  <c r="L279" i="10"/>
  <c r="L10" i="22" s="1"/>
  <c r="U35" i="22"/>
  <c r="I290" i="10"/>
  <c r="I45" i="22" s="1"/>
  <c r="P280" i="10"/>
  <c r="P13" i="22" s="1"/>
  <c r="U289" i="10"/>
  <c r="U40" i="22" s="1"/>
  <c r="F279" i="10"/>
  <c r="F11" i="22" s="1"/>
  <c r="X287" i="10"/>
  <c r="Y282" i="10"/>
  <c r="Y288" i="10"/>
  <c r="O170" i="10"/>
  <c r="D178" i="10"/>
  <c r="W278" i="10"/>
  <c r="X290" i="10"/>
  <c r="AA20" i="22"/>
  <c r="AA118" i="22"/>
  <c r="AA119" i="22"/>
  <c r="AA28" i="22"/>
  <c r="AA86" i="22"/>
  <c r="AA113" i="22"/>
  <c r="AA11" i="22"/>
  <c r="AA50" i="22"/>
  <c r="Z37" i="22"/>
  <c r="X69" i="22"/>
  <c r="W115" i="22"/>
  <c r="Z15" i="22"/>
  <c r="W30" i="22"/>
  <c r="Z129" i="22"/>
  <c r="W99" i="22"/>
  <c r="W110" i="22"/>
  <c r="Y21" i="22"/>
  <c r="Y47" i="22"/>
  <c r="Z105" i="22"/>
  <c r="Z115" i="22"/>
  <c r="Z125" i="22"/>
  <c r="W19" i="22"/>
  <c r="W93" i="22"/>
  <c r="X99" i="22"/>
  <c r="Y38" i="22"/>
  <c r="Y11" i="22"/>
  <c r="Y42" i="22"/>
  <c r="Y35" i="22"/>
  <c r="W102" i="22"/>
  <c r="Z74" i="22"/>
  <c r="X35" i="22"/>
  <c r="Y110" i="22"/>
  <c r="AA173" i="10"/>
  <c r="Z174" i="10"/>
  <c r="Y174" i="10"/>
  <c r="X175" i="10"/>
  <c r="W179" i="10"/>
  <c r="T289" i="10"/>
  <c r="T40" i="22" s="1"/>
  <c r="O279" i="10"/>
  <c r="O10" i="22" s="1"/>
  <c r="P289" i="10"/>
  <c r="P41" i="22" s="1"/>
  <c r="N282" i="10"/>
  <c r="N20" i="22" s="1"/>
  <c r="G291" i="10"/>
  <c r="G48" i="22" s="1"/>
  <c r="T35" i="22"/>
  <c r="M290" i="10"/>
  <c r="M43" i="22" s="1"/>
  <c r="M278" i="10"/>
  <c r="M8" i="22" s="1"/>
  <c r="P284" i="10"/>
  <c r="P25" i="22" s="1"/>
  <c r="R287" i="10"/>
  <c r="R34" i="22" s="1"/>
  <c r="S278" i="10"/>
  <c r="S9" i="22" s="1"/>
  <c r="S20" i="22"/>
  <c r="V287" i="10"/>
  <c r="V35" i="22" s="1"/>
  <c r="N284" i="10"/>
  <c r="N26" i="22" s="1"/>
  <c r="N280" i="10"/>
  <c r="N14" i="22" s="1"/>
  <c r="P291" i="10"/>
  <c r="P46" i="22" s="1"/>
  <c r="R11" i="22"/>
  <c r="T291" i="10"/>
  <c r="T48" i="22" s="1"/>
  <c r="O286" i="10"/>
  <c r="O33" i="22" s="1"/>
  <c r="M284" i="10"/>
  <c r="M27" i="22" s="1"/>
  <c r="E287" i="10"/>
  <c r="E36" i="22" s="1"/>
  <c r="O287" i="10"/>
  <c r="O34" i="22" s="1"/>
  <c r="M37" i="22"/>
  <c r="F291" i="10"/>
  <c r="F46" i="22" s="1"/>
  <c r="D22" i="22"/>
  <c r="U46" i="22"/>
  <c r="N171" i="10"/>
  <c r="Y285" i="10"/>
  <c r="W291" i="10"/>
  <c r="W286" i="10"/>
  <c r="H178" i="10"/>
  <c r="X283" i="10"/>
  <c r="AA97" i="22"/>
  <c r="AA108" i="22"/>
  <c r="AA110" i="22"/>
  <c r="AA79" i="22"/>
  <c r="AA59" i="22"/>
  <c r="AA43" i="22"/>
  <c r="AA114" i="22"/>
  <c r="AA54" i="22"/>
  <c r="Z31" i="22"/>
  <c r="Y121" i="22"/>
  <c r="Y30" i="22"/>
  <c r="Z18" i="22"/>
  <c r="W13" i="22"/>
  <c r="Z46" i="22"/>
  <c r="X88" i="22"/>
  <c r="W65" i="22"/>
  <c r="Y113" i="22"/>
  <c r="Z94" i="22"/>
  <c r="W64" i="22"/>
  <c r="Z102" i="22"/>
  <c r="Z90" i="22"/>
  <c r="Y44" i="22"/>
  <c r="W9" i="22"/>
  <c r="W59" i="22"/>
  <c r="X45" i="22"/>
  <c r="Z104" i="22"/>
  <c r="X119" i="22"/>
  <c r="Y74" i="22"/>
  <c r="X82" i="22"/>
  <c r="Y63" i="22"/>
  <c r="Z72" i="22"/>
  <c r="X23" i="22"/>
  <c r="AA170" i="10"/>
  <c r="Z171" i="10"/>
  <c r="Y175" i="10"/>
  <c r="X180" i="10"/>
  <c r="T16" i="22"/>
  <c r="Q280" i="10"/>
  <c r="Q13" i="22" s="1"/>
  <c r="V15" i="22"/>
  <c r="Q289" i="10"/>
  <c r="Q41" i="22" s="1"/>
  <c r="I278" i="10"/>
  <c r="I9" i="22" s="1"/>
  <c r="K279" i="10"/>
  <c r="K11" i="22" s="1"/>
  <c r="L9" i="22"/>
  <c r="H282" i="10"/>
  <c r="H20" i="22" s="1"/>
  <c r="H286" i="10"/>
  <c r="H32" i="22" s="1"/>
  <c r="P283" i="10"/>
  <c r="P22" i="22" s="1"/>
  <c r="D286" i="10"/>
  <c r="D32" i="22" s="1"/>
  <c r="S40" i="22"/>
  <c r="J282" i="10"/>
  <c r="J19" i="22" s="1"/>
  <c r="R286" i="10"/>
  <c r="R33" i="22" s="1"/>
  <c r="O8" i="22"/>
  <c r="Q287" i="10"/>
  <c r="Q36" i="22" s="1"/>
  <c r="P282" i="10"/>
  <c r="P19" i="22" s="1"/>
  <c r="Q26" i="22"/>
  <c r="J283" i="10"/>
  <c r="J22" i="22" s="1"/>
  <c r="S287" i="10"/>
  <c r="S34" i="22" s="1"/>
  <c r="K283" i="10"/>
  <c r="K24" i="22" s="1"/>
  <c r="G286" i="10"/>
  <c r="G31" i="22" s="1"/>
  <c r="V278" i="10"/>
  <c r="V9" i="22" s="1"/>
  <c r="P278" i="10"/>
  <c r="P8" i="22" s="1"/>
  <c r="K8" i="22"/>
  <c r="E284" i="10"/>
  <c r="E26" i="22" s="1"/>
  <c r="AA278" i="10"/>
  <c r="W288" i="10"/>
  <c r="J177" i="10"/>
  <c r="X281" i="10"/>
  <c r="W289" i="10"/>
  <c r="AA281" i="10"/>
  <c r="R182" i="10"/>
  <c r="AA44" i="22"/>
  <c r="AA13" i="22"/>
  <c r="AA19" i="22"/>
  <c r="AA88" i="22"/>
  <c r="AA121" i="22"/>
  <c r="AA115" i="22"/>
  <c r="AA70" i="22"/>
  <c r="AA53" i="22"/>
  <c r="Y12" i="22"/>
  <c r="W124" i="22"/>
  <c r="Z114" i="22"/>
  <c r="Y68" i="22"/>
  <c r="Z56" i="22"/>
  <c r="Z99" i="22"/>
  <c r="W15" i="22"/>
  <c r="Z110" i="22"/>
  <c r="X104" i="22"/>
  <c r="X111" i="22"/>
  <c r="Z88" i="22"/>
  <c r="Y112" i="22"/>
  <c r="Z13" i="22"/>
  <c r="Z124" i="22"/>
  <c r="Z80" i="22"/>
  <c r="Z127" i="22"/>
  <c r="X77" i="22"/>
  <c r="Y83" i="22"/>
  <c r="X25" i="22"/>
  <c r="Y33" i="22"/>
  <c r="Z67" i="22"/>
  <c r="X113" i="22"/>
  <c r="X70" i="22"/>
  <c r="AA171" i="10"/>
  <c r="Z176" i="10"/>
  <c r="Y180" i="10"/>
  <c r="W173" i="10"/>
  <c r="T29" i="22"/>
  <c r="O283" i="10"/>
  <c r="O22" i="22" s="1"/>
  <c r="I282" i="10"/>
  <c r="I21" i="22" s="1"/>
  <c r="F35" i="22"/>
  <c r="D13" i="22"/>
  <c r="V279" i="10"/>
  <c r="V10" i="22"/>
  <c r="R20" i="22"/>
  <c r="L291" i="10"/>
  <c r="L48" i="22" s="1"/>
  <c r="H280" i="10"/>
  <c r="H15" i="22" s="1"/>
  <c r="F284" i="10"/>
  <c r="F25" i="22" s="1"/>
  <c r="M30" i="22"/>
  <c r="M280" i="10"/>
  <c r="M14" i="22" s="1"/>
  <c r="I42" i="22"/>
  <c r="U14" i="22"/>
  <c r="S12" i="22"/>
  <c r="G279" i="10"/>
  <c r="G12" i="22" s="1"/>
  <c r="I23" i="22"/>
  <c r="K20" i="22"/>
  <c r="N278" i="10"/>
  <c r="N8" i="22" s="1"/>
  <c r="S19" i="22"/>
  <c r="L7" i="22"/>
  <c r="E286" i="10"/>
  <c r="E31" i="22" s="1"/>
  <c r="O26" i="22"/>
  <c r="L29" i="22"/>
  <c r="V14" i="22"/>
  <c r="AA287" i="10"/>
  <c r="Z291" i="10"/>
  <c r="Y287" i="10"/>
  <c r="Y290" i="10"/>
  <c r="W287" i="10"/>
  <c r="AA90" i="22"/>
  <c r="AA101" i="22"/>
  <c r="AA66" i="22"/>
  <c r="AA130" i="22"/>
  <c r="AB46" i="21" s="1"/>
  <c r="I1007" i="26" s="1"/>
  <c r="AA62" i="22"/>
  <c r="AA25" i="22"/>
  <c r="AA106" i="22"/>
  <c r="AA104" i="22"/>
  <c r="AB20" i="21" s="1"/>
  <c r="I981" i="26" s="1"/>
  <c r="W129" i="22"/>
  <c r="Y117" i="22"/>
  <c r="X116" i="22"/>
  <c r="X29" i="22"/>
  <c r="Y81" i="22"/>
  <c r="W18" i="22"/>
  <c r="X39" i="22"/>
  <c r="W83" i="22"/>
  <c r="W32" i="22"/>
  <c r="W77" i="22"/>
  <c r="X75" i="22"/>
  <c r="W89" i="22"/>
  <c r="Y95" i="22"/>
  <c r="Y89" i="22"/>
  <c r="Y96" i="22"/>
  <c r="Z24" i="22"/>
  <c r="Y131" i="22"/>
  <c r="X122" i="22"/>
  <c r="Y65" i="22"/>
  <c r="X98" i="22"/>
  <c r="Y23" i="22"/>
  <c r="X126" i="22"/>
  <c r="X132" i="22"/>
  <c r="W125" i="22"/>
  <c r="X41" i="21" s="1"/>
  <c r="I834" i="26" s="1"/>
  <c r="Y51" i="22"/>
  <c r="X97" i="22"/>
  <c r="Z86" i="22"/>
  <c r="W101" i="22"/>
  <c r="X85" i="22"/>
  <c r="Z71" i="22"/>
  <c r="W62" i="22"/>
  <c r="E2" i="21" a="1"/>
  <c r="Z2" i="21" s="1"/>
  <c r="Z20" i="22"/>
  <c r="Y41" i="22"/>
  <c r="Y105" i="22"/>
  <c r="Y78" i="22"/>
  <c r="Y85" i="22"/>
  <c r="X49" i="22"/>
  <c r="X24" i="22"/>
  <c r="Y114" i="22"/>
  <c r="X131" i="22"/>
  <c r="W132" i="22"/>
  <c r="X95" i="22"/>
  <c r="Y91" i="22"/>
  <c r="Y67" i="22"/>
  <c r="X80" i="22"/>
  <c r="X73" i="22"/>
  <c r="Y124" i="22"/>
  <c r="Y72" i="22"/>
  <c r="Y24" i="22"/>
  <c r="Y9" i="22"/>
  <c r="Y109" i="22"/>
  <c r="X56" i="22"/>
  <c r="W68" i="22"/>
  <c r="Z144" i="10"/>
  <c r="X153" i="10"/>
  <c r="Y144" i="10"/>
  <c r="W153" i="10"/>
  <c r="X142" i="10"/>
  <c r="AA144" i="10"/>
  <c r="Y153" i="10"/>
  <c r="Z146" i="10"/>
  <c r="AA141" i="10"/>
  <c r="Y154" i="10"/>
  <c r="X144" i="10"/>
  <c r="W142" i="10"/>
  <c r="Z148" i="10"/>
  <c r="X141" i="10"/>
  <c r="X149" i="10"/>
  <c r="AA143" i="10"/>
  <c r="AA151" i="10"/>
  <c r="Y148" i="10"/>
  <c r="W141" i="10"/>
  <c r="W149" i="10"/>
  <c r="Z143" i="10"/>
  <c r="Z151" i="10"/>
  <c r="X146" i="10"/>
  <c r="X154" i="10"/>
  <c r="AA148" i="10"/>
  <c r="Y141" i="10"/>
  <c r="Y149" i="10"/>
  <c r="W144" i="10"/>
  <c r="W152" i="10"/>
  <c r="Z152" i="10"/>
  <c r="X145" i="10"/>
  <c r="AA147" i="10"/>
  <c r="Y152" i="10"/>
  <c r="W145" i="10"/>
  <c r="Z147" i="10"/>
  <c r="X150" i="10"/>
  <c r="AA152" i="10"/>
  <c r="Y145" i="10"/>
  <c r="W148" i="10"/>
  <c r="Z154" i="10"/>
  <c r="X147" i="10"/>
  <c r="AA149" i="10"/>
  <c r="Y146" i="10"/>
  <c r="W147" i="10"/>
  <c r="Z141" i="10"/>
  <c r="Z149" i="10"/>
  <c r="X152" i="10"/>
  <c r="AA146" i="10"/>
  <c r="AA154" i="10"/>
  <c r="Y147" i="10"/>
  <c r="W150" i="10"/>
  <c r="Z142" i="10"/>
  <c r="Z150" i="10"/>
  <c r="X143" i="10"/>
  <c r="X151" i="10"/>
  <c r="AA145" i="10"/>
  <c r="AA153" i="10"/>
  <c r="Y142" i="10"/>
  <c r="Y150" i="10"/>
  <c r="W143" i="10"/>
  <c r="W151" i="10"/>
  <c r="Z145" i="10"/>
  <c r="Z153" i="10"/>
  <c r="X148" i="10"/>
  <c r="AA142" i="10"/>
  <c r="AA150" i="10"/>
  <c r="Y143" i="10"/>
  <c r="Y151" i="10"/>
  <c r="W146" i="10"/>
  <c r="W154" i="10"/>
  <c r="AA172" i="10"/>
  <c r="Z177" i="10"/>
  <c r="X182" i="10"/>
  <c r="D30" i="22"/>
  <c r="H8" i="22"/>
  <c r="D282" i="10"/>
  <c r="D21" i="22" s="1"/>
  <c r="U22" i="22"/>
  <c r="R291" i="10"/>
  <c r="R47" i="22" s="1"/>
  <c r="K48" i="22"/>
  <c r="H279" i="10"/>
  <c r="H11" i="22" s="1"/>
  <c r="V32" i="22"/>
  <c r="H7" i="22"/>
  <c r="H10" i="22"/>
  <c r="E291" i="10"/>
  <c r="E46" i="22" s="1"/>
  <c r="J10" i="22"/>
  <c r="AA176" i="10"/>
  <c r="X170" i="10"/>
  <c r="W170" i="10"/>
  <c r="F288" i="10"/>
  <c r="F38" i="22" s="1"/>
  <c r="F283" i="10"/>
  <c r="F24" i="22" s="1"/>
  <c r="E19" i="22"/>
  <c r="J288" i="10"/>
  <c r="J37" i="22" s="1"/>
  <c r="I284" i="10"/>
  <c r="I26" i="22" s="1"/>
  <c r="V288" i="10"/>
  <c r="V39" i="22" s="1"/>
  <c r="G287" i="10"/>
  <c r="G36" i="22" s="1"/>
  <c r="R25" i="22"/>
  <c r="O46" i="22"/>
  <c r="V28" i="22"/>
  <c r="U284" i="10"/>
  <c r="U26" i="22" s="1"/>
  <c r="X278" i="10"/>
  <c r="X280" i="10"/>
  <c r="AA49" i="22"/>
  <c r="AA40" i="22"/>
  <c r="AA111" i="22"/>
  <c r="AA22" i="22"/>
  <c r="AA41" i="22"/>
  <c r="AA60" i="22"/>
  <c r="X18" i="22"/>
  <c r="Y123" i="22"/>
  <c r="X115" i="22"/>
  <c r="Z11" i="22"/>
  <c r="Z29" i="22"/>
  <c r="W85" i="22"/>
  <c r="W29" i="22"/>
  <c r="Y69" i="22"/>
  <c r="Y98" i="22"/>
  <c r="Z112" i="22"/>
  <c r="Z79" i="22"/>
  <c r="Y60" i="22"/>
  <c r="Z22" i="22"/>
  <c r="X110" i="22"/>
  <c r="X112" i="22"/>
  <c r="X20" i="22"/>
  <c r="Z170" i="10"/>
  <c r="Y170" i="10"/>
  <c r="W175" i="10"/>
  <c r="U41" i="22"/>
  <c r="G38" i="22"/>
  <c r="R31" i="22"/>
  <c r="G282" i="10"/>
  <c r="G19" i="22" s="1"/>
  <c r="J25" i="22"/>
  <c r="D279" i="10"/>
  <c r="D12" i="22" s="1"/>
  <c r="F19" i="22"/>
  <c r="N289" i="10"/>
  <c r="N42" i="22" s="1"/>
  <c r="J13" i="22"/>
  <c r="Q291" i="10"/>
  <c r="Q46" i="22" s="1"/>
  <c r="R7" i="22"/>
  <c r="L289" i="10"/>
  <c r="L41" i="22" s="1"/>
  <c r="J47" i="22"/>
  <c r="D27" i="22"/>
  <c r="D174" i="10"/>
  <c r="Z286" i="10"/>
  <c r="J173" i="10"/>
  <c r="AA102" i="22"/>
  <c r="AB18" i="21" s="1"/>
  <c r="I979" i="26" s="1"/>
  <c r="G979" i="26" s="1"/>
  <c r="AA57" i="22"/>
  <c r="AA82" i="22"/>
  <c r="AA27" i="22"/>
  <c r="AA89" i="22"/>
  <c r="AA37" i="22"/>
  <c r="Z44" i="22"/>
  <c r="Y88" i="22"/>
  <c r="Z63" i="22"/>
  <c r="Z47" i="22"/>
  <c r="Y17" i="22"/>
  <c r="W48" i="22"/>
  <c r="X60" i="22"/>
  <c r="Y122" i="22"/>
  <c r="Z77" i="22"/>
  <c r="Z43" i="22"/>
  <c r="W50" i="22"/>
  <c r="Y46" i="22"/>
  <c r="Y27" i="22"/>
  <c r="X89" i="22"/>
  <c r="X16" i="22"/>
  <c r="AA182" i="10"/>
  <c r="X176" i="10"/>
  <c r="W180" i="10"/>
  <c r="K286" i="10"/>
  <c r="K32" i="22" s="1"/>
  <c r="L12" i="22"/>
  <c r="O47" i="22"/>
  <c r="T280" i="10"/>
  <c r="T13" i="22" s="1"/>
  <c r="P15" i="22"/>
  <c r="L30" i="22"/>
  <c r="O282" i="10"/>
  <c r="O20" i="22" s="1"/>
  <c r="G283" i="10"/>
  <c r="G22" i="22" s="1"/>
  <c r="L284" i="10"/>
  <c r="L25" i="22" s="1"/>
  <c r="Q283" i="10"/>
  <c r="Q23" i="22" s="1"/>
  <c r="S283" i="10"/>
  <c r="S24" i="22" s="1"/>
  <c r="L286" i="10"/>
  <c r="L32" i="22" s="1"/>
  <c r="L288" i="10"/>
  <c r="L38" i="22" s="1"/>
  <c r="D38" i="22"/>
  <c r="X291" i="10"/>
  <c r="W282" i="10"/>
  <c r="X286" i="10"/>
  <c r="X288" i="10"/>
  <c r="AA15" i="22"/>
  <c r="AA107" i="22"/>
  <c r="AA85" i="22"/>
  <c r="AA10" i="22"/>
  <c r="AA61" i="22"/>
  <c r="W107" i="22"/>
  <c r="X10" i="22"/>
  <c r="W17" i="22"/>
  <c r="Y56" i="22"/>
  <c r="W104" i="22"/>
  <c r="W23" i="22"/>
  <c r="Z38" i="22"/>
  <c r="W33" i="22"/>
  <c r="X118" i="22"/>
  <c r="X33" i="22"/>
  <c r="Z97" i="22"/>
  <c r="W11" i="22"/>
  <c r="X128" i="22"/>
  <c r="Y58" i="22"/>
  <c r="W25" i="22"/>
  <c r="Z85" i="22"/>
  <c r="Z172" i="10"/>
  <c r="X181" i="10"/>
  <c r="T288" i="10"/>
  <c r="T38" i="22" s="1"/>
  <c r="D26" i="22"/>
  <c r="L287" i="10"/>
  <c r="L34" i="22" s="1"/>
  <c r="I14" i="22"/>
  <c r="Q279" i="10"/>
  <c r="Q12" i="22" s="1"/>
  <c r="M12" i="22"/>
  <c r="S291" i="10"/>
  <c r="S47" i="22" s="1"/>
  <c r="R283" i="10"/>
  <c r="R23" i="22" s="1"/>
  <c r="J12" i="22"/>
  <c r="P27" i="22"/>
  <c r="F33" i="22"/>
  <c r="Q40" i="22"/>
  <c r="O42" i="22"/>
  <c r="H21" i="22"/>
  <c r="E11" i="22"/>
  <c r="Z278" i="10"/>
  <c r="AA289" i="10"/>
  <c r="AA128" i="22"/>
  <c r="AA83" i="22"/>
  <c r="AA76" i="22"/>
  <c r="AA38" i="22"/>
  <c r="AA71" i="22"/>
  <c r="Z21" i="22"/>
  <c r="Z66" i="22"/>
  <c r="W36" i="22"/>
  <c r="Z60" i="22"/>
  <c r="X105" i="22"/>
  <c r="Z75" i="22"/>
  <c r="Z42" i="22"/>
  <c r="W7" i="22"/>
  <c r="W27" i="22"/>
  <c r="Y82" i="22"/>
  <c r="Y118" i="22"/>
  <c r="X28" i="22"/>
  <c r="X125" i="22"/>
  <c r="Z100" i="22"/>
  <c r="X55" i="22"/>
  <c r="X34" i="22"/>
  <c r="X36" i="22"/>
  <c r="W131" i="22"/>
  <c r="X47" i="21" s="1"/>
  <c r="I840" i="26" s="1"/>
  <c r="Y45" i="22"/>
  <c r="Y15" i="22"/>
  <c r="Z73" i="22"/>
  <c r="X64" i="22"/>
  <c r="X106" i="22"/>
  <c r="X44" i="22"/>
  <c r="W91" i="22"/>
  <c r="Z70" i="22"/>
  <c r="X54" i="22"/>
  <c r="X87" i="22"/>
  <c r="X91" i="22"/>
  <c r="Y28" i="22"/>
  <c r="X67" i="22"/>
  <c r="W42" i="22"/>
  <c r="Y25" i="22"/>
  <c r="Y84" i="22"/>
  <c r="X15" i="22"/>
  <c r="D1" i="10" a="1"/>
  <c r="S1" i="10" s="1"/>
  <c r="W1" i="10"/>
  <c r="Z173" i="10"/>
  <c r="Y177" i="10"/>
  <c r="X178" i="10"/>
  <c r="W178" i="10"/>
  <c r="T18" i="22"/>
  <c r="L280" i="10"/>
  <c r="L13" i="22" s="1"/>
  <c r="J9" i="22"/>
  <c r="K36" i="22"/>
  <c r="U7" i="22"/>
  <c r="M41" i="22"/>
  <c r="O24" i="22"/>
  <c r="E280" i="10"/>
  <c r="E15" i="22" s="1"/>
  <c r="K47" i="22"/>
  <c r="F36" i="22"/>
  <c r="U282" i="10"/>
  <c r="U20" i="22" s="1"/>
  <c r="U11" i="22"/>
  <c r="Y280" i="10"/>
  <c r="P173" i="10"/>
  <c r="Z283" i="10"/>
  <c r="AA279" i="10"/>
  <c r="Y281" i="10"/>
  <c r="AA29" i="22"/>
  <c r="AA35" i="22"/>
  <c r="AA18" i="22"/>
  <c r="AA23" i="22"/>
  <c r="AA34" i="22"/>
  <c r="AA56" i="22"/>
  <c r="AA73" i="22"/>
  <c r="AA46" i="22"/>
  <c r="Z126" i="22"/>
  <c r="AA42" i="21" s="1"/>
  <c r="I961" i="26" s="1"/>
  <c r="Y43" i="22"/>
  <c r="Z9" i="22"/>
  <c r="Z101" i="22"/>
  <c r="Z76" i="22"/>
  <c r="Z49" i="22"/>
  <c r="Z23" i="22"/>
  <c r="Z25" i="22"/>
  <c r="Y94" i="22"/>
  <c r="Z10" i="21" s="1"/>
  <c r="I887" i="26" s="1"/>
  <c r="Z117" i="22"/>
  <c r="W20" i="22"/>
  <c r="W119" i="22"/>
  <c r="W56" i="22"/>
  <c r="X41" i="22"/>
  <c r="W67" i="22"/>
  <c r="X14" i="22"/>
  <c r="X51" i="22"/>
  <c r="Y101" i="22"/>
  <c r="W40" i="22"/>
  <c r="W80" i="22"/>
  <c r="Z118" i="22"/>
  <c r="X79" i="22"/>
  <c r="X121" i="22"/>
  <c r="W84" i="22"/>
  <c r="W114" i="22"/>
  <c r="X30" i="21" s="1"/>
  <c r="I823" i="26" s="1"/>
  <c r="AA177" i="10"/>
  <c r="Z178" i="10"/>
  <c r="Y178" i="10"/>
  <c r="X179" i="10"/>
  <c r="D17" i="22"/>
  <c r="T30" i="22"/>
  <c r="F8" i="22"/>
  <c r="I287" i="10"/>
  <c r="I35" i="22" s="1"/>
  <c r="U15" i="22"/>
  <c r="G284" i="10"/>
  <c r="G25" i="22" s="1"/>
  <c r="N25" i="22"/>
  <c r="I22" i="22"/>
  <c r="S42" i="22"/>
  <c r="D291" i="10"/>
  <c r="D48" i="22" s="1"/>
  <c r="Q8" i="22"/>
  <c r="E27" i="22"/>
  <c r="J7" i="22"/>
  <c r="I32" i="22"/>
  <c r="D14" i="22"/>
  <c r="S22" i="22"/>
  <c r="V44" i="22"/>
  <c r="M34" i="22"/>
  <c r="G46" i="22"/>
  <c r="U24" i="22"/>
  <c r="T33" i="22"/>
  <c r="G21" i="22"/>
  <c r="H12" i="22"/>
  <c r="D177" i="10"/>
  <c r="Y278" i="10"/>
  <c r="Z280" i="10"/>
  <c r="O182" i="10"/>
  <c r="X279" i="10"/>
  <c r="W280" i="10"/>
  <c r="AA99" i="22"/>
  <c r="AA74" i="22"/>
  <c r="AA80" i="22"/>
  <c r="AA45" i="22"/>
  <c r="AA98" i="22"/>
  <c r="AB14" i="21" s="1"/>
  <c r="I975" i="26" s="1"/>
  <c r="AA93" i="22"/>
  <c r="AA32" i="22"/>
  <c r="AA117" i="22"/>
  <c r="W76" i="22"/>
  <c r="W34" i="22"/>
  <c r="W127" i="22"/>
  <c r="Z7" i="22"/>
  <c r="Z89" i="22"/>
  <c r="W116" i="22"/>
  <c r="Z14" i="22"/>
  <c r="Z123" i="22"/>
  <c r="Y92" i="22"/>
  <c r="Z19" i="22"/>
  <c r="W12" i="22"/>
  <c r="W69" i="22"/>
  <c r="W51" i="22"/>
  <c r="Z57" i="22"/>
  <c r="X68" i="22"/>
  <c r="X19" i="22"/>
  <c r="Z64" i="22"/>
  <c r="X109" i="22"/>
  <c r="Y25" i="21" s="1"/>
  <c r="I860" i="26" s="1"/>
  <c r="Y32" i="22"/>
  <c r="W105" i="22"/>
  <c r="Z120" i="22"/>
  <c r="Y37" i="22"/>
  <c r="Z62" i="22"/>
  <c r="Y86" i="22"/>
  <c r="X114" i="22"/>
  <c r="AA174" i="10"/>
  <c r="Z175" i="10"/>
  <c r="Y179" i="10"/>
  <c r="W172" i="10"/>
  <c r="T37" i="22"/>
  <c r="Q32" i="22"/>
  <c r="H46" i="22"/>
  <c r="F21" i="22"/>
  <c r="Q24" i="22"/>
  <c r="D278" i="10"/>
  <c r="D7" i="22" s="1"/>
  <c r="V11" i="22"/>
  <c r="R13" i="22"/>
  <c r="M282" i="10"/>
  <c r="M20" i="22" s="1"/>
  <c r="T8" i="22"/>
  <c r="E10" i="22"/>
  <c r="S25" i="22"/>
  <c r="O41" i="22"/>
  <c r="I46" i="22"/>
  <c r="S33" i="22"/>
  <c r="P47" i="22"/>
  <c r="K35" i="22"/>
  <c r="V12" i="22"/>
  <c r="U8" i="22"/>
  <c r="V291" i="10"/>
  <c r="V46" i="22" s="1"/>
  <c r="Y283" i="10"/>
  <c r="X289" i="10"/>
  <c r="Z290" i="10"/>
  <c r="Z285" i="10"/>
  <c r="Y291" i="10"/>
  <c r="V170" i="10"/>
  <c r="AA12" i="22"/>
  <c r="AA68" i="22"/>
  <c r="AA39" i="22"/>
  <c r="AA100" i="22"/>
  <c r="AA129" i="22"/>
  <c r="AB45" i="21" s="1"/>
  <c r="I1006" i="26" s="1"/>
  <c r="AA24" i="22"/>
  <c r="AA91" i="22"/>
  <c r="W35" i="22"/>
  <c r="W58" i="22"/>
  <c r="Y106" i="22"/>
  <c r="Y64" i="22"/>
  <c r="Z51" i="22"/>
  <c r="Y129" i="22"/>
  <c r="Z45" i="21" s="1"/>
  <c r="I922" i="26" s="1"/>
  <c r="W21" i="22"/>
  <c r="Y100" i="22"/>
  <c r="W14" i="22"/>
  <c r="Z32" i="22"/>
  <c r="Z34" i="22"/>
  <c r="Y52" i="22"/>
  <c r="Z128" i="22"/>
  <c r="AA44" i="21" s="1"/>
  <c r="I963" i="26" s="1"/>
  <c r="Z30" i="22"/>
  <c r="Z132" i="22"/>
  <c r="AA48" i="21" s="1"/>
  <c r="I967" i="26" s="1"/>
  <c r="M967" i="26" s="1"/>
  <c r="W118" i="22"/>
  <c r="X7" i="22"/>
  <c r="W117" i="22"/>
  <c r="X33" i="21" s="1"/>
  <c r="I826" i="26" s="1"/>
  <c r="W94" i="22"/>
  <c r="X94" i="22"/>
  <c r="Y66" i="22"/>
  <c r="X83" i="22"/>
  <c r="W122" i="22"/>
  <c r="Y7" i="22"/>
  <c r="AA175" i="10"/>
  <c r="Z180" i="10"/>
  <c r="X173" i="10"/>
  <c r="W177" i="10"/>
  <c r="T44" i="22"/>
  <c r="J38" i="22"/>
  <c r="M17" i="22"/>
  <c r="L14" i="22"/>
  <c r="L11" i="22"/>
  <c r="G35" i="22"/>
  <c r="M35" i="22"/>
  <c r="V30" i="22"/>
  <c r="E24" i="22"/>
  <c r="O13" i="22"/>
  <c r="H283" i="10"/>
  <c r="H24" i="22" s="1"/>
  <c r="T42" i="22"/>
  <c r="D35" i="22"/>
  <c r="K37" i="22"/>
  <c r="M31" i="22"/>
  <c r="N27" i="22"/>
  <c r="U36" i="22"/>
  <c r="I43" i="22"/>
  <c r="S8" i="22"/>
  <c r="E8" i="22"/>
  <c r="H37" i="22"/>
  <c r="P23" i="22"/>
  <c r="H47" i="22"/>
  <c r="Z284" i="10"/>
  <c r="W279" i="10"/>
  <c r="AA283" i="10"/>
  <c r="W290" i="10"/>
  <c r="AA284" i="10"/>
  <c r="AA77" i="22"/>
  <c r="AA26" i="22"/>
  <c r="AA105" i="22"/>
  <c r="AB21" i="21" s="1"/>
  <c r="I982" i="26" s="1"/>
  <c r="AA58" i="22"/>
  <c r="AA67" i="22"/>
  <c r="AA42" i="22"/>
  <c r="AA124" i="22"/>
  <c r="AA36" i="22"/>
  <c r="Y120" i="22"/>
  <c r="W72" i="22"/>
  <c r="W26" i="22"/>
  <c r="Y125" i="22"/>
  <c r="Z41" i="21" s="1"/>
  <c r="I918" i="26" s="1"/>
  <c r="Z65" i="22"/>
  <c r="Z17" i="22"/>
  <c r="W71" i="22"/>
  <c r="Z130" i="22"/>
  <c r="X74" i="22"/>
  <c r="X86" i="22"/>
  <c r="Z95" i="22"/>
  <c r="Y77" i="22"/>
  <c r="Z116" i="22"/>
  <c r="AA32" i="21" s="1"/>
  <c r="I951" i="26" s="1"/>
  <c r="E951" i="26" s="1"/>
  <c r="W109" i="22"/>
  <c r="W38" i="22"/>
  <c r="Z87" i="22"/>
  <c r="W98" i="22"/>
  <c r="X14" i="21" s="1"/>
  <c r="I807" i="26" s="1"/>
  <c r="W63" i="22"/>
  <c r="X43" i="22"/>
  <c r="Z113" i="22"/>
  <c r="X30" i="22"/>
  <c r="W53" i="22"/>
  <c r="W60" i="22"/>
  <c r="W47" i="22"/>
  <c r="X78" i="22"/>
  <c r="Y79" i="22"/>
  <c r="W100" i="22"/>
  <c r="W121" i="22"/>
  <c r="X61" i="22"/>
  <c r="Y97" i="22"/>
  <c r="Z13" i="21" s="1"/>
  <c r="I890" i="26" s="1"/>
  <c r="X92" i="22"/>
  <c r="W74" i="22"/>
  <c r="Y50" i="22"/>
  <c r="Y76" i="22"/>
  <c r="W128" i="22"/>
  <c r="Z36" i="22"/>
  <c r="X65" i="22"/>
  <c r="W54" i="22"/>
  <c r="Y75" i="22"/>
  <c r="X127" i="22"/>
  <c r="Y43" i="21" s="1"/>
  <c r="I878" i="26" s="1"/>
  <c r="Y61" i="22"/>
  <c r="X47" i="22"/>
  <c r="W103" i="22"/>
  <c r="X120" i="22"/>
  <c r="X71" i="22"/>
  <c r="D2" i="22" a="1"/>
  <c r="T2" i="22" s="1"/>
  <c r="Y93" i="22"/>
  <c r="X62" i="22"/>
  <c r="W78" i="22"/>
  <c r="X21" i="22"/>
  <c r="X130" i="22"/>
  <c r="Y126" i="22"/>
  <c r="Z42" i="21" s="1"/>
  <c r="I919" i="26" s="1"/>
  <c r="X12" i="22"/>
  <c r="E21" i="22"/>
  <c r="R21" i="22"/>
  <c r="T23" i="22"/>
  <c r="F31" i="22"/>
  <c r="Q33" i="22"/>
  <c r="O14" i="22"/>
  <c r="I36" i="22"/>
  <c r="AA286" i="10"/>
  <c r="Z279" i="10"/>
  <c r="AA280" i="10"/>
  <c r="X285" i="10"/>
  <c r="AA55" i="22"/>
  <c r="AA33" i="22"/>
  <c r="AA126" i="22"/>
  <c r="AA127" i="22"/>
  <c r="AB43" i="21" s="1"/>
  <c r="I1004" i="26" s="1"/>
  <c r="AA94" i="22"/>
  <c r="AA65" i="22"/>
  <c r="AA122" i="22"/>
  <c r="AA75" i="22"/>
  <c r="Z92" i="22"/>
  <c r="Z109" i="22"/>
  <c r="Z41" i="22"/>
  <c r="W126" i="22"/>
  <c r="W75" i="22"/>
  <c r="Z10" i="22"/>
  <c r="Z84" i="22"/>
  <c r="Y130" i="22"/>
  <c r="Z46" i="21" s="1"/>
  <c r="I923" i="26" s="1"/>
  <c r="Z12" i="22"/>
  <c r="Z119" i="22"/>
  <c r="W66" i="22"/>
  <c r="Y62" i="22"/>
  <c r="X117" i="22"/>
  <c r="Y33" i="21" s="1"/>
  <c r="I868" i="26" s="1"/>
  <c r="W73" i="22"/>
  <c r="Z98" i="22"/>
  <c r="Y55" i="22"/>
  <c r="Y71" i="22"/>
  <c r="Y53" i="22"/>
  <c r="X17" i="22"/>
  <c r="W31" i="22"/>
  <c r="Y10" i="22"/>
  <c r="Y80" i="22"/>
  <c r="Y119" i="22"/>
  <c r="W55" i="22"/>
  <c r="W112" i="22"/>
  <c r="X28" i="21" s="1"/>
  <c r="I821" i="26" s="1"/>
  <c r="AA181" i="10"/>
  <c r="Z182" i="10"/>
  <c r="Y182" i="10"/>
  <c r="W171" i="10"/>
  <c r="T39" i="22"/>
  <c r="U25" i="22"/>
  <c r="V47" i="22"/>
  <c r="D36" i="22"/>
  <c r="Q42" i="22"/>
  <c r="I7" i="22"/>
  <c r="K10" i="22"/>
  <c r="I47" i="22"/>
  <c r="P21" i="22"/>
  <c r="I20" i="22"/>
  <c r="R22" i="22"/>
  <c r="G23" i="22"/>
  <c r="G8" i="22"/>
  <c r="S35" i="22"/>
  <c r="K22" i="22"/>
  <c r="V7" i="22"/>
  <c r="E38" i="22"/>
  <c r="M44" i="22"/>
  <c r="R42" i="22"/>
  <c r="U32" i="22"/>
  <c r="Q15" i="22"/>
  <c r="M28" i="22"/>
  <c r="Z288" i="10"/>
  <c r="AA291" i="10"/>
  <c r="Z289" i="10"/>
  <c r="X282" i="10"/>
  <c r="Y284" i="10"/>
  <c r="S174" i="10"/>
  <c r="AA131" i="22"/>
  <c r="AB47" i="21" s="1"/>
  <c r="I1008" i="26" s="1"/>
  <c r="L1008" i="26" s="1"/>
  <c r="AA21" i="22"/>
  <c r="AA109" i="22"/>
  <c r="AA8" i="22"/>
  <c r="AA95" i="22"/>
  <c r="AA84" i="22"/>
  <c r="AA16" i="22"/>
  <c r="AA92" i="22"/>
  <c r="Z107" i="22"/>
  <c r="AA23" i="21" s="1"/>
  <c r="I942" i="26" s="1"/>
  <c r="Z48" i="22"/>
  <c r="W61" i="22"/>
  <c r="W70" i="22"/>
  <c r="X63" i="22"/>
  <c r="Z39" i="22"/>
  <c r="Z93" i="22"/>
  <c r="Z108" i="22"/>
  <c r="AA24" i="21" s="1"/>
  <c r="I943" i="26" s="1"/>
  <c r="Z96" i="22"/>
  <c r="Z53" i="22"/>
  <c r="W88" i="22"/>
  <c r="Z27" i="22"/>
  <c r="X22" i="22"/>
  <c r="W96" i="22"/>
  <c r="W10" i="22"/>
  <c r="Y16" i="22"/>
  <c r="Z54" i="22"/>
  <c r="X40" i="22"/>
  <c r="Y29" i="22"/>
  <c r="Z69" i="22"/>
  <c r="W41" i="22"/>
  <c r="Y36" i="22"/>
  <c r="W28" i="22"/>
  <c r="W52" i="22"/>
  <c r="Y115" i="22"/>
  <c r="AA178" i="10"/>
  <c r="Z179" i="10"/>
  <c r="X172" i="10"/>
  <c r="W176" i="10"/>
  <c r="T43" i="22"/>
  <c r="T46" i="22"/>
  <c r="G47" i="22"/>
  <c r="T34" i="22"/>
  <c r="M45" i="22"/>
  <c r="L20" i="22"/>
  <c r="J32" i="22"/>
  <c r="U33" i="22"/>
  <c r="G20" i="22"/>
  <c r="J27" i="22"/>
  <c r="P12" i="22"/>
  <c r="E32" i="22"/>
  <c r="O27" i="22"/>
  <c r="M26" i="22"/>
  <c r="D9" i="22"/>
  <c r="E35" i="22"/>
  <c r="R14" i="22"/>
  <c r="F48" i="22"/>
  <c r="D11" i="22"/>
  <c r="V21" i="22"/>
  <c r="N175" i="10"/>
  <c r="W284" i="10"/>
  <c r="W285" i="10"/>
  <c r="Z281" i="10"/>
  <c r="AA285" i="10"/>
  <c r="V177" i="10"/>
  <c r="AA31" i="22"/>
  <c r="AA47" i="22"/>
  <c r="AA78" i="22"/>
  <c r="AA9" i="22"/>
  <c r="AA123" i="22"/>
  <c r="AA81" i="22"/>
  <c r="AA52" i="22"/>
  <c r="AA120" i="22"/>
  <c r="AB36" i="21" s="1"/>
  <c r="I997" i="26" s="1"/>
  <c r="W49" i="22"/>
  <c r="X101" i="22"/>
  <c r="Y17" i="21" s="1"/>
  <c r="I852" i="26" s="1"/>
  <c r="Y73" i="22"/>
  <c r="W57" i="22"/>
  <c r="Z40" i="22"/>
  <c r="X58" i="22"/>
  <c r="W24" i="22"/>
  <c r="W92" i="22"/>
  <c r="Z61" i="22"/>
  <c r="Z58" i="22"/>
  <c r="Y13" i="22"/>
  <c r="X37" i="22"/>
  <c r="W37" i="22"/>
  <c r="Z33" i="22"/>
  <c r="Y128" i="22"/>
  <c r="Z44" i="21" s="1"/>
  <c r="I921" i="26" s="1"/>
  <c r="X26" i="22"/>
  <c r="Y34" i="22"/>
  <c r="Z16" i="22"/>
  <c r="Y107" i="22"/>
  <c r="Z23" i="21" s="1"/>
  <c r="I900" i="26" s="1"/>
  <c r="Y90" i="22"/>
  <c r="Y39" i="22"/>
  <c r="W113" i="22"/>
  <c r="Y49" i="22"/>
  <c r="Y59" i="22"/>
  <c r="AA179" i="10"/>
  <c r="Y172" i="10"/>
  <c r="X177" i="10"/>
  <c r="W181" i="10"/>
  <c r="D40" i="22"/>
  <c r="I27" i="22"/>
  <c r="R27" i="22"/>
  <c r="D8" i="22"/>
  <c r="E34" i="22"/>
  <c r="L33" i="22"/>
  <c r="G24" i="22"/>
  <c r="P48" i="22"/>
  <c r="U27" i="22"/>
  <c r="F7" i="22"/>
  <c r="U42" i="22"/>
  <c r="F23" i="22"/>
  <c r="M23" i="22"/>
  <c r="R32" i="22"/>
  <c r="O7" i="22"/>
  <c r="H31" i="22"/>
  <c r="P20" i="22"/>
  <c r="Q27" i="22"/>
  <c r="J34" i="22"/>
  <c r="N46" i="22"/>
  <c r="W281" i="10"/>
  <c r="Y279" i="10"/>
  <c r="H174" i="10"/>
  <c r="AA288" i="10"/>
  <c r="Z287" i="10"/>
  <c r="Z282" i="10"/>
  <c r="Y289" i="10"/>
  <c r="Z55" i="22"/>
  <c r="AA112" i="22"/>
  <c r="AA64" i="22"/>
  <c r="AA51" i="22"/>
  <c r="AA87" i="22"/>
  <c r="AA69" i="22"/>
  <c r="AA17" i="22"/>
  <c r="AA48" i="22"/>
  <c r="X96" i="22"/>
  <c r="Y12" i="21" s="1"/>
  <c r="I847" i="26" s="1"/>
  <c r="W44" i="22"/>
  <c r="Z103" i="22"/>
  <c r="AA19" i="21" s="1"/>
  <c r="I938" i="26" s="1"/>
  <c r="Z8" i="22"/>
  <c r="Z26" i="22"/>
  <c r="Z82" i="22"/>
  <c r="X46" i="22"/>
  <c r="Z131" i="22"/>
  <c r="AA47" i="21" s="1"/>
  <c r="I966" i="26" s="1"/>
  <c r="X13" i="22"/>
  <c r="Z35" i="22"/>
  <c r="Z122" i="22"/>
  <c r="AA38" i="21" s="1"/>
  <c r="I957" i="26" s="1"/>
  <c r="Z52" i="22"/>
  <c r="W79" i="22"/>
  <c r="W82" i="22"/>
  <c r="W130" i="22"/>
  <c r="W123" i="22"/>
  <c r="X39" i="21" s="1"/>
  <c r="I832" i="26" s="1"/>
  <c r="Y87" i="22"/>
  <c r="Y111" i="22"/>
  <c r="Z27" i="21" s="1"/>
  <c r="I904" i="26" s="1"/>
  <c r="W87" i="22"/>
  <c r="W16" i="22"/>
  <c r="X57" i="22"/>
  <c r="Y40" i="22"/>
  <c r="X59" i="22"/>
  <c r="Y104" i="22"/>
  <c r="Y8" i="22"/>
  <c r="X84" i="22"/>
  <c r="Z28" i="22"/>
  <c r="X11" i="22"/>
  <c r="X32" i="22"/>
  <c r="Y54" i="22"/>
  <c r="X38" i="22"/>
  <c r="X31" i="22"/>
  <c r="Z81" i="22"/>
  <c r="Y132" i="22"/>
  <c r="Y26" i="22"/>
  <c r="W46" i="22"/>
  <c r="Z111" i="22"/>
  <c r="AA27" i="21" s="1"/>
  <c r="I946" i="26" s="1"/>
  <c r="Y102" i="22"/>
  <c r="X27" i="22"/>
  <c r="X81" i="22"/>
  <c r="W108" i="22"/>
  <c r="X24" i="21" s="1"/>
  <c r="I817" i="26" s="1"/>
  <c r="E817" i="26" s="1"/>
  <c r="X72" i="22"/>
  <c r="Y31" i="22"/>
  <c r="Z106" i="22"/>
  <c r="AA22" i="21" s="1"/>
  <c r="I941" i="26" s="1"/>
  <c r="X9" i="22"/>
  <c r="Y99" i="22"/>
  <c r="Y48" i="22"/>
  <c r="Z50" i="22"/>
  <c r="X48" i="22"/>
  <c r="X90" i="22"/>
  <c r="Y19" i="22"/>
  <c r="X53" i="22"/>
  <c r="Y20" i="22"/>
  <c r="KE47" i="11"/>
  <c r="CN47" i="11"/>
  <c r="BV47" i="11"/>
  <c r="AE47" i="11"/>
  <c r="AS47" i="11"/>
  <c r="DG47" i="11"/>
  <c r="DJ47" i="11"/>
  <c r="FJ47" i="11"/>
  <c r="GV47" i="11"/>
  <c r="DX48" i="11"/>
  <c r="KG47" i="11"/>
  <c r="GX47" i="11"/>
  <c r="HH47" i="11"/>
  <c r="KJ47" i="11"/>
  <c r="HX47" i="11"/>
  <c r="L47" i="11"/>
  <c r="KC47" i="11"/>
  <c r="DE47" i="11"/>
  <c r="GB47" i="11"/>
  <c r="IB47" i="11"/>
  <c r="BA47" i="11"/>
  <c r="GN47" i="11"/>
  <c r="Q47" i="11"/>
  <c r="IV47" i="11"/>
  <c r="KB47" i="11"/>
  <c r="CT47" i="11"/>
  <c r="ED47" i="11"/>
  <c r="BV48" i="11"/>
  <c r="BQ47" i="11"/>
  <c r="T47" i="11"/>
  <c r="CE47" i="11"/>
  <c r="U47" i="11"/>
  <c r="CL47" i="11"/>
  <c r="DM47" i="11"/>
  <c r="CD48" i="11"/>
  <c r="CI47" i="11"/>
  <c r="KD47" i="11"/>
  <c r="DV47" i="11"/>
  <c r="CC47" i="11"/>
  <c r="HD47" i="11"/>
  <c r="AZ47" i="11"/>
  <c r="AF48" i="11"/>
  <c r="HY47" i="11"/>
  <c r="DS47" i="11"/>
  <c r="BW48" i="11"/>
  <c r="BN47" i="11"/>
  <c r="BO48" i="11"/>
  <c r="R47" i="11"/>
  <c r="AV47" i="11"/>
  <c r="EB48" i="11"/>
  <c r="IS47" i="11"/>
  <c r="HC47" i="11"/>
  <c r="KI47" i="11"/>
  <c r="GD47" i="11"/>
  <c r="P47" i="11"/>
  <c r="DD47" i="11"/>
  <c r="EE47" i="11"/>
  <c r="EF47" i="11"/>
  <c r="BB47" i="11"/>
  <c r="BY47" i="11"/>
  <c r="DZ47" i="11"/>
  <c r="JX47" i="11"/>
  <c r="HN47" i="11"/>
  <c r="FP47" i="11"/>
  <c r="BY48" i="11"/>
  <c r="S47" i="11"/>
  <c r="IU47" i="11"/>
  <c r="HM47" i="11"/>
  <c r="BN48" i="11"/>
  <c r="DL47" i="11"/>
  <c r="DQ47" i="11"/>
  <c r="CW47" i="11"/>
  <c r="BR47" i="11"/>
  <c r="O47" i="11"/>
  <c r="IX47" i="11"/>
  <c r="CB47" i="11"/>
  <c r="CV47" i="11"/>
  <c r="BP48" i="11"/>
  <c r="KA47" i="11"/>
  <c r="FH47" i="11"/>
  <c r="AX47" i="11"/>
  <c r="L48" i="11"/>
  <c r="DO47" i="11"/>
  <c r="HG47" i="11"/>
  <c r="AG47" i="11"/>
  <c r="AF47" i="11"/>
  <c r="IG47" i="11"/>
  <c r="BL48" i="11"/>
  <c r="CH47" i="11"/>
  <c r="HO47" i="11"/>
  <c r="CY47" i="11"/>
  <c r="IY47" i="11"/>
  <c r="CQ47" i="11"/>
  <c r="FO47" i="11"/>
  <c r="HZ47" i="11"/>
  <c r="GO47" i="11"/>
  <c r="DY47" i="11"/>
  <c r="IA47" i="11"/>
  <c r="BL47" i="11"/>
  <c r="HJ47" i="11"/>
  <c r="HV47" i="11"/>
  <c r="KF47" i="11"/>
  <c r="BR48" i="11"/>
  <c r="EA48" i="11"/>
  <c r="AC47" i="11"/>
  <c r="HB47" i="11"/>
  <c r="IE47" i="11"/>
  <c r="GF47" i="11"/>
  <c r="AH47" i="11"/>
  <c r="BQ48" i="11"/>
  <c r="DY48" i="11"/>
  <c r="DW47" i="11"/>
  <c r="CJ47" i="11"/>
  <c r="KH47" i="11"/>
  <c r="HI47" i="11"/>
  <c r="DT47" i="11"/>
  <c r="CX47" i="11"/>
  <c r="IH47" i="11"/>
  <c r="GG47" i="11"/>
  <c r="GI47" i="11"/>
  <c r="EB47" i="11"/>
  <c r="AJ47" i="11"/>
  <c r="X47" i="11"/>
  <c r="GH47" i="11"/>
  <c r="HK47" i="11"/>
  <c r="GC47" i="11"/>
  <c r="J47" i="11"/>
  <c r="AC48" i="11"/>
  <c r="GU47" i="11"/>
  <c r="HL47" i="11"/>
  <c r="CU47" i="11"/>
  <c r="HP47" i="11"/>
  <c r="W47" i="11"/>
  <c r="AR47" i="11"/>
  <c r="IF47" i="11"/>
  <c r="BK48" i="11"/>
  <c r="ID47" i="11"/>
  <c r="FK47" i="11"/>
  <c r="FI47" i="11"/>
  <c r="BY49" i="11"/>
  <c r="DP47" i="11"/>
  <c r="GJ47" i="11"/>
  <c r="DU47" i="11"/>
  <c r="BM48" i="11"/>
  <c r="DZ48" i="11"/>
  <c r="GE47" i="11"/>
  <c r="HE47" i="11"/>
  <c r="HQ47" i="11"/>
  <c r="FM47" i="11"/>
  <c r="AY47" i="11"/>
  <c r="FG47" i="11"/>
  <c r="HW47" i="11"/>
  <c r="HR47" i="11"/>
  <c r="HF47" i="11"/>
  <c r="CM47" i="11"/>
  <c r="AE48" i="11"/>
  <c r="EA47" i="11"/>
  <c r="DX47" i="11"/>
  <c r="IC47" i="11"/>
  <c r="GY47" i="11"/>
  <c r="GW47" i="11"/>
  <c r="KK47" i="11"/>
  <c r="JZ47" i="11"/>
  <c r="JW47" i="11"/>
  <c r="DN47" i="11"/>
  <c r="BZ47" i="11"/>
  <c r="AA47" i="11"/>
  <c r="AD48" i="11"/>
  <c r="FN48" i="11"/>
  <c r="GK47" i="11"/>
  <c r="GA47" i="11"/>
  <c r="CS47" i="11"/>
  <c r="GM47" i="11"/>
  <c r="FN47" i="11"/>
  <c r="IT47" i="11"/>
  <c r="II47" i="11"/>
  <c r="JY47" i="11"/>
  <c r="DK47" i="11"/>
  <c r="DF47" i="11"/>
  <c r="HS47" i="11"/>
  <c r="FL47" i="11"/>
  <c r="AB47" i="11"/>
  <c r="AD47" i="11"/>
  <c r="DR47" i="11"/>
  <c r="BS47" i="11"/>
  <c r="CB49" i="11"/>
  <c r="IW47" i="11"/>
  <c r="AQ47" i="11"/>
  <c r="AI47" i="11"/>
  <c r="BS48" i="11"/>
  <c r="DB47" i="11"/>
  <c r="IZ47" i="11"/>
  <c r="BM47" i="11"/>
  <c r="GL47" i="11"/>
  <c r="CD47" i="11"/>
  <c r="AW47" i="11"/>
  <c r="BP47" i="11"/>
  <c r="CB48" i="11"/>
  <c r="EC47" i="11"/>
  <c r="CP47" i="11"/>
  <c r="BW47" i="11"/>
  <c r="AB48" i="11"/>
  <c r="BK47" i="11"/>
  <c r="BO47" i="11"/>
  <c r="M11" i="10"/>
  <c r="M12" i="10" s="1"/>
  <c r="M9" i="10"/>
  <c r="M10" i="10"/>
  <c r="AA10" i="10"/>
  <c r="X10" i="10"/>
  <c r="O9" i="10"/>
  <c r="O10" i="10"/>
  <c r="I10" i="10"/>
  <c r="I9" i="10"/>
  <c r="G10" i="10"/>
  <c r="G9" i="10"/>
  <c r="Z10" i="10"/>
  <c r="P9" i="10"/>
  <c r="P10" i="10"/>
  <c r="W11" i="10"/>
  <c r="W12" i="10" s="1"/>
  <c r="W9" i="10"/>
  <c r="W10" i="10"/>
  <c r="J10" i="10"/>
  <c r="F10" i="10"/>
  <c r="F9" i="10"/>
  <c r="K10" i="10"/>
  <c r="H10" i="10"/>
  <c r="H9" i="10"/>
  <c r="Y10" i="10"/>
  <c r="S11" i="10"/>
  <c r="S12" i="10" s="1"/>
  <c r="S9" i="10"/>
  <c r="S10" i="10"/>
  <c r="Q11" i="10"/>
  <c r="Q12" i="10" s="1"/>
  <c r="Q10" i="10"/>
  <c r="R11" i="10"/>
  <c r="R12" i="10" s="1"/>
  <c r="R9" i="10"/>
  <c r="R10" i="10"/>
  <c r="N11" i="10"/>
  <c r="N12" i="10" s="1"/>
  <c r="N9" i="10"/>
  <c r="N10" i="10"/>
  <c r="E9" i="10"/>
  <c r="E10" i="10"/>
  <c r="D3" i="10" a="1"/>
  <c r="R3" i="10" s="1"/>
  <c r="Y3" i="10"/>
  <c r="K3" i="10"/>
  <c r="V16" i="10"/>
  <c r="U16" i="10"/>
  <c r="J16" i="10"/>
  <c r="E16" i="10"/>
  <c r="P16" i="10"/>
  <c r="N16" i="10"/>
  <c r="O16" i="10"/>
  <c r="S16" i="10"/>
  <c r="G16" i="10"/>
  <c r="Q16" i="10"/>
  <c r="L16" i="10"/>
  <c r="F16" i="10"/>
  <c r="I16" i="10"/>
  <c r="K16" i="10"/>
  <c r="H16" i="10"/>
  <c r="T16" i="10"/>
  <c r="M16" i="10"/>
  <c r="R16" i="10"/>
  <c r="Z16" i="10"/>
  <c r="W16" i="10"/>
  <c r="AA16" i="10"/>
  <c r="X16" i="10"/>
  <c r="Y16" i="10"/>
  <c r="D16" i="10"/>
  <c r="AA24" i="10"/>
  <c r="Z24" i="10"/>
  <c r="Y24" i="10"/>
  <c r="X24" i="10"/>
  <c r="W24" i="10"/>
  <c r="V24" i="10"/>
  <c r="M24" i="10"/>
  <c r="E24" i="10"/>
  <c r="L24" i="10"/>
  <c r="T24" i="10"/>
  <c r="I24" i="10"/>
  <c r="F24" i="10"/>
  <c r="D24" i="10"/>
  <c r="AA23" i="10"/>
  <c r="Z23" i="10"/>
  <c r="Y23" i="10"/>
  <c r="X23" i="10"/>
  <c r="W23" i="10"/>
  <c r="V23" i="10"/>
  <c r="U23" i="10"/>
  <c r="T23" i="10"/>
  <c r="J23" i="10"/>
  <c r="L23" i="10"/>
  <c r="M23" i="10"/>
  <c r="N23" i="10"/>
  <c r="K23" i="10"/>
  <c r="G23" i="10"/>
  <c r="P23" i="10"/>
  <c r="Q23" i="10"/>
  <c r="E23" i="10"/>
  <c r="F23" i="10"/>
  <c r="H23" i="10"/>
  <c r="O23" i="10"/>
  <c r="R23" i="10"/>
  <c r="S23" i="10"/>
  <c r="I23" i="10"/>
  <c r="D23" i="10"/>
  <c r="Z8" i="10"/>
  <c r="Y8" i="10"/>
  <c r="W8" i="10"/>
  <c r="X8" i="10"/>
  <c r="V8" i="10"/>
  <c r="J8" i="10"/>
  <c r="K8" i="10"/>
  <c r="Q8" i="10"/>
  <c r="O8" i="10"/>
  <c r="P8" i="10"/>
  <c r="I8" i="10"/>
  <c r="U8" i="10"/>
  <c r="H8" i="10"/>
  <c r="N8" i="10"/>
  <c r="F8" i="10"/>
  <c r="G8" i="10"/>
  <c r="L8" i="10"/>
  <c r="T8" i="10"/>
  <c r="E8" i="10"/>
  <c r="AA26" i="10"/>
  <c r="Z26" i="10"/>
  <c r="Y26" i="10"/>
  <c r="X26" i="10"/>
  <c r="W26" i="10"/>
  <c r="V26" i="10"/>
  <c r="U26" i="10"/>
  <c r="H26" i="10"/>
  <c r="E26" i="10"/>
  <c r="P26" i="10"/>
  <c r="G26" i="10"/>
  <c r="F26" i="10"/>
  <c r="M26" i="10"/>
  <c r="T26" i="10"/>
  <c r="O26" i="10"/>
  <c r="K26" i="10"/>
  <c r="I26" i="10"/>
  <c r="Q26" i="10"/>
  <c r="R26" i="10"/>
  <c r="S26" i="10"/>
  <c r="N26" i="10"/>
  <c r="L26" i="10"/>
  <c r="J26" i="10"/>
  <c r="D26" i="10"/>
  <c r="AA28" i="10"/>
  <c r="Z28" i="10"/>
  <c r="Y28" i="10"/>
  <c r="X28" i="10"/>
  <c r="W28" i="10"/>
  <c r="V28" i="10"/>
  <c r="M28" i="10"/>
  <c r="K28" i="10"/>
  <c r="L28" i="10"/>
  <c r="T28" i="10"/>
  <c r="N28" i="10"/>
  <c r="AA29" i="10"/>
  <c r="Z29" i="10"/>
  <c r="Y29" i="10"/>
  <c r="X29" i="10"/>
  <c r="W29" i="10"/>
  <c r="V29" i="10"/>
  <c r="U29" i="10"/>
  <c r="E29" i="10"/>
  <c r="H29" i="10"/>
  <c r="Q29" i="10"/>
  <c r="S29" i="10"/>
  <c r="G29" i="10"/>
  <c r="R29" i="10"/>
  <c r="O29" i="10"/>
  <c r="I29" i="10"/>
  <c r="F29" i="10"/>
  <c r="P29" i="10"/>
  <c r="K29" i="10"/>
  <c r="N29" i="10"/>
  <c r="L29" i="10"/>
  <c r="J29" i="10"/>
  <c r="T29" i="10"/>
  <c r="M29" i="10"/>
  <c r="D29" i="10"/>
  <c r="AA22" i="10"/>
  <c r="Z22" i="10"/>
  <c r="Y22" i="10"/>
  <c r="X22" i="10"/>
  <c r="W22" i="10"/>
  <c r="V22" i="10"/>
  <c r="T22" i="10"/>
  <c r="L22" i="10"/>
  <c r="AA25" i="10"/>
  <c r="Z25" i="10"/>
  <c r="Y25" i="10"/>
  <c r="X25" i="10"/>
  <c r="W25" i="10"/>
  <c r="V25" i="10"/>
  <c r="U25" i="10"/>
  <c r="N25" i="10"/>
  <c r="M25" i="10"/>
  <c r="P25" i="10"/>
  <c r="H25" i="10"/>
  <c r="G25" i="10"/>
  <c r="L25" i="10"/>
  <c r="O25" i="10"/>
  <c r="S25" i="10"/>
  <c r="K25" i="10"/>
  <c r="R25" i="10"/>
  <c r="T25" i="10"/>
  <c r="J25" i="10"/>
  <c r="I25" i="10"/>
  <c r="Q25" i="10"/>
  <c r="AA27" i="10"/>
  <c r="Z27" i="10"/>
  <c r="Y27" i="10"/>
  <c r="X27" i="10"/>
  <c r="W27" i="10"/>
  <c r="V27" i="10"/>
  <c r="U27" i="10"/>
  <c r="J27" i="10"/>
  <c r="M27" i="10"/>
  <c r="P27" i="10"/>
  <c r="I27" i="10"/>
  <c r="G27" i="10"/>
  <c r="F27" i="10"/>
  <c r="E27" i="10"/>
  <c r="O27" i="10"/>
  <c r="Q27" i="10"/>
  <c r="N27" i="10"/>
  <c r="S27" i="10"/>
  <c r="H27" i="10"/>
  <c r="R27" i="10"/>
  <c r="T27" i="10"/>
  <c r="D27" i="10"/>
  <c r="AA31" i="10"/>
  <c r="Z31" i="10"/>
  <c r="Y31" i="10"/>
  <c r="X31" i="10"/>
  <c r="W31" i="10"/>
  <c r="V31" i="10"/>
  <c r="U31" i="10"/>
  <c r="H31" i="10"/>
  <c r="E31" i="10"/>
  <c r="F31" i="10"/>
  <c r="G31" i="10"/>
  <c r="L31" i="10"/>
  <c r="I31" i="10"/>
  <c r="J31" i="10"/>
  <c r="P31" i="10"/>
  <c r="M31" i="10"/>
  <c r="N31" i="10"/>
  <c r="O31" i="10"/>
  <c r="K31" i="10"/>
  <c r="T31" i="10"/>
  <c r="Q31" i="10"/>
  <c r="R31" i="10"/>
  <c r="S31" i="10"/>
  <c r="D31" i="10" a="1"/>
  <c r="D31" i="10" s="1"/>
  <c r="X44" i="21"/>
  <c r="I837" i="26" s="1"/>
  <c r="Z37" i="21"/>
  <c r="I914" i="26" s="1"/>
  <c r="Z43" i="21"/>
  <c r="I920" i="26" s="1"/>
  <c r="AB31" i="21"/>
  <c r="I992" i="26" s="1"/>
  <c r="AB38" i="21"/>
  <c r="I999" i="26" s="1"/>
  <c r="AA35" i="21"/>
  <c r="I954" i="26" s="1"/>
  <c r="G954" i="26" s="1"/>
  <c r="AA12" i="21"/>
  <c r="I931" i="26" s="1"/>
  <c r="Z30" i="21"/>
  <c r="I907" i="26" s="1"/>
  <c r="AA25" i="21"/>
  <c r="I944" i="26" s="1"/>
  <c r="Y38" i="21"/>
  <c r="I873" i="26" s="1"/>
  <c r="AB44" i="21"/>
  <c r="I1005" i="26" s="1"/>
  <c r="X35" i="21"/>
  <c r="I828" i="26" s="1"/>
  <c r="Y9" i="21"/>
  <c r="I844" i="26" s="1"/>
  <c r="Y18" i="21"/>
  <c r="I853" i="26" s="1"/>
  <c r="X15" i="21"/>
  <c r="I808" i="26" s="1"/>
  <c r="Y36" i="21"/>
  <c r="I871" i="26" s="1"/>
  <c r="AB9" i="21"/>
  <c r="I970" i="26" s="1"/>
  <c r="X19" i="21"/>
  <c r="I812" i="26" s="1"/>
  <c r="L812" i="26" s="1"/>
  <c r="AB7" i="21"/>
  <c r="I968" i="26" s="1"/>
  <c r="Y14" i="21"/>
  <c r="I849" i="26" s="1"/>
  <c r="AB23" i="21"/>
  <c r="I984" i="26" s="1"/>
  <c r="AB32" i="21"/>
  <c r="I993" i="26" s="1"/>
  <c r="AA20" i="21"/>
  <c r="I939" i="26" s="1"/>
  <c r="AA37" i="21"/>
  <c r="I956" i="26" s="1"/>
  <c r="Z16" i="21"/>
  <c r="I893" i="26" s="1"/>
  <c r="AA10" i="21"/>
  <c r="I929" i="26" s="1"/>
  <c r="X13" i="21"/>
  <c r="I806" i="26" s="1"/>
  <c r="Z25" i="21"/>
  <c r="I902" i="26" s="1"/>
  <c r="AA14" i="21"/>
  <c r="I933" i="26" s="1"/>
  <c r="X29" i="21"/>
  <c r="I822" i="26" s="1"/>
  <c r="AA46" i="21"/>
  <c r="I965" i="26" s="1"/>
  <c r="AA21" i="21"/>
  <c r="I940" i="26" s="1"/>
  <c r="Z40" i="21"/>
  <c r="I917" i="26" s="1"/>
  <c r="Y39" i="21"/>
  <c r="I874" i="26" s="1"/>
  <c r="AB26" i="21"/>
  <c r="I987" i="26" s="1"/>
  <c r="Z47" i="21"/>
  <c r="I924" i="26" s="1"/>
  <c r="AB22" i="21"/>
  <c r="I983" i="26" s="1"/>
  <c r="G983" i="26" s="1"/>
  <c r="AA8" i="21"/>
  <c r="I927" i="26" s="1"/>
  <c r="O927" i="26" s="1"/>
  <c r="Z28" i="21"/>
  <c r="I905" i="26" s="1"/>
  <c r="AA15" i="21"/>
  <c r="I934" i="26" s="1"/>
  <c r="AA18" i="21"/>
  <c r="I937" i="26" s="1"/>
  <c r="Y16" i="21"/>
  <c r="I851" i="26" s="1"/>
  <c r="Y46" i="21"/>
  <c r="I881" i="26" s="1"/>
  <c r="Z35" i="21"/>
  <c r="I912" i="26" s="1"/>
  <c r="Y15" i="21"/>
  <c r="I850" i="26" s="1"/>
  <c r="X18" i="21"/>
  <c r="I811" i="26" s="1"/>
  <c r="L811" i="26" s="1"/>
  <c r="Z22" i="21"/>
  <c r="I899" i="26" s="1"/>
  <c r="Z7" i="21"/>
  <c r="I884" i="26" s="1"/>
  <c r="X32" i="21"/>
  <c r="I825" i="26" s="1"/>
  <c r="Z19" i="21"/>
  <c r="I896" i="26" s="1"/>
  <c r="O896" i="26" s="1"/>
  <c r="X8" i="21"/>
  <c r="I801" i="26" s="1"/>
  <c r="Z26" i="21"/>
  <c r="I903" i="26" s="1"/>
  <c r="AB12" i="21"/>
  <c r="I973" i="26" s="1"/>
  <c r="M973" i="26" s="1"/>
  <c r="Y45" i="21"/>
  <c r="I880" i="26" s="1"/>
  <c r="Z38" i="21"/>
  <c r="I915" i="26" s="1"/>
  <c r="Y20" i="21"/>
  <c r="I855" i="26" s="1"/>
  <c r="Z9" i="21"/>
  <c r="I886" i="26" s="1"/>
  <c r="Y7" i="21"/>
  <c r="I842" i="26" s="1"/>
  <c r="G842" i="26" s="1"/>
  <c r="AB28" i="21"/>
  <c r="I989" i="26" s="1"/>
  <c r="Y41" i="21"/>
  <c r="I876" i="26" s="1"/>
  <c r="Y23" i="21"/>
  <c r="I858" i="26" s="1"/>
  <c r="G858" i="26" s="1"/>
  <c r="Y24" i="21"/>
  <c r="I859" i="26" s="1"/>
  <c r="X34" i="21"/>
  <c r="I827" i="26" s="1"/>
  <c r="J827" i="26" s="1"/>
  <c r="Z15" i="21"/>
  <c r="I892" i="26" s="1"/>
  <c r="Y32" i="21"/>
  <c r="I867" i="26" s="1"/>
  <c r="G867" i="26" s="1"/>
  <c r="AA41" i="21"/>
  <c r="I960" i="26" s="1"/>
  <c r="AA16" i="21"/>
  <c r="I935" i="26" s="1"/>
  <c r="Y40" i="21"/>
  <c r="I875" i="26" s="1"/>
  <c r="Z31" i="21"/>
  <c r="I908" i="26" s="1"/>
  <c r="Z33" i="21"/>
  <c r="I910" i="26" s="1"/>
  <c r="Y44" i="21"/>
  <c r="I879" i="26" s="1"/>
  <c r="X40" i="21"/>
  <c r="I833" i="26" s="1"/>
  <c r="Z14" i="21"/>
  <c r="I891" i="26" s="1"/>
  <c r="X22" i="21"/>
  <c r="I815" i="26" s="1"/>
  <c r="X36" i="21"/>
  <c r="I829" i="26" s="1"/>
  <c r="Y8" i="21"/>
  <c r="I843" i="26" s="1"/>
  <c r="AB39" i="21"/>
  <c r="I1000" i="26" s="1"/>
  <c r="AA31" i="21"/>
  <c r="I950" i="26" s="1"/>
  <c r="X42" i="21"/>
  <c r="I835" i="26" s="1"/>
  <c r="AB27" i="21"/>
  <c r="I988" i="26" s="1"/>
  <c r="X20" i="21"/>
  <c r="I813" i="26" s="1"/>
  <c r="X25" i="21"/>
  <c r="I818" i="26" s="1"/>
  <c r="AB10" i="21"/>
  <c r="I971" i="26" s="1"/>
  <c r="Z20" i="21"/>
  <c r="I897" i="26" s="1"/>
  <c r="Y27" i="21"/>
  <c r="I862" i="26" s="1"/>
  <c r="G862" i="26" s="1"/>
  <c r="Z24" i="21"/>
  <c r="I901" i="26" s="1"/>
  <c r="X37" i="21"/>
  <c r="I830" i="26" s="1"/>
  <c r="AB19" i="21"/>
  <c r="I980" i="26" s="1"/>
  <c r="Z12" i="21"/>
  <c r="I889" i="26" s="1"/>
  <c r="AA28" i="21"/>
  <c r="I947" i="26" s="1"/>
  <c r="Q947" i="26" s="1"/>
  <c r="Y48" i="21"/>
  <c r="I883" i="26" s="1"/>
  <c r="Y34" i="21"/>
  <c r="I869" i="26" s="1"/>
  <c r="AB24" i="21"/>
  <c r="I985" i="26" s="1"/>
  <c r="Z21" i="21"/>
  <c r="I898" i="26" s="1"/>
  <c r="AA33" i="21"/>
  <c r="I952" i="26" s="1"/>
  <c r="AB41" i="21"/>
  <c r="I1002" i="26" s="1"/>
  <c r="X11" i="21"/>
  <c r="I804" i="26" s="1"/>
  <c r="AA43" i="21"/>
  <c r="I962" i="26" s="1"/>
  <c r="AA26" i="21"/>
  <c r="I945" i="26" s="1"/>
  <c r="X48" i="21"/>
  <c r="I841" i="26" s="1"/>
  <c r="X38" i="21"/>
  <c r="I831" i="26" s="1"/>
  <c r="AA39" i="21"/>
  <c r="I958" i="26" s="1"/>
  <c r="AA11" i="21"/>
  <c r="I930" i="26" s="1"/>
  <c r="Y11" i="21"/>
  <c r="I846" i="26" s="1"/>
  <c r="X16" i="21"/>
  <c r="I809" i="26" s="1"/>
  <c r="Z39" i="21"/>
  <c r="I916" i="26" s="1"/>
  <c r="J916" i="26" s="1"/>
  <c r="X9" i="21"/>
  <c r="I802" i="26" s="1"/>
  <c r="Y37" i="21"/>
  <c r="I872" i="26" s="1"/>
  <c r="L872" i="26" s="1"/>
  <c r="AA34" i="21"/>
  <c r="I953" i="26" s="1"/>
  <c r="O953" i="26" s="1"/>
  <c r="AA17" i="21"/>
  <c r="I936" i="26" s="1"/>
  <c r="X46" i="21"/>
  <c r="I839" i="26" s="1"/>
  <c r="AB42" i="21"/>
  <c r="I1003" i="26" s="1"/>
  <c r="Y22" i="21"/>
  <c r="I857" i="26" s="1"/>
  <c r="Z29" i="21"/>
  <c r="I906" i="26" s="1"/>
  <c r="Z8" i="21"/>
  <c r="I885" i="26" s="1"/>
  <c r="AA40" i="21"/>
  <c r="I959" i="26" s="1"/>
  <c r="AA9" i="21"/>
  <c r="I928" i="26" s="1"/>
  <c r="Y28" i="21"/>
  <c r="I863" i="26" s="1"/>
  <c r="AB13" i="21"/>
  <c r="I974" i="26" s="1"/>
  <c r="O974" i="26" s="1"/>
  <c r="Z18" i="21"/>
  <c r="I895" i="26" s="1"/>
  <c r="Y30" i="21"/>
  <c r="I865" i="26" s="1"/>
  <c r="E865" i="26" s="1"/>
  <c r="Y10" i="21"/>
  <c r="I845" i="26" s="1"/>
  <c r="Y35" i="21"/>
  <c r="I870" i="26" s="1"/>
  <c r="AA13" i="21"/>
  <c r="I932" i="26" s="1"/>
  <c r="M932" i="26" s="1"/>
  <c r="AB35" i="21"/>
  <c r="I996" i="26" s="1"/>
  <c r="AB17" i="21"/>
  <c r="I978" i="26" s="1"/>
  <c r="Y21" i="21"/>
  <c r="I856" i="26" s="1"/>
  <c r="Q856" i="26" s="1"/>
  <c r="AA45" i="21"/>
  <c r="I964" i="26" s="1"/>
  <c r="X21" i="21"/>
  <c r="I814" i="26" s="1"/>
  <c r="X45" i="21"/>
  <c r="I838" i="26" s="1"/>
  <c r="X23" i="21"/>
  <c r="I816" i="26" s="1"/>
  <c r="X31" i="21"/>
  <c r="I824" i="26" s="1"/>
  <c r="AB29" i="21"/>
  <c r="I990" i="26" s="1"/>
  <c r="X26" i="21"/>
  <c r="I819" i="26" s="1"/>
  <c r="X43" i="21"/>
  <c r="I836" i="26" s="1"/>
  <c r="Z17" i="21"/>
  <c r="I894" i="26" s="1"/>
  <c r="Y19" i="21"/>
  <c r="I854" i="26" s="1"/>
  <c r="G854" i="26" s="1"/>
  <c r="AB48" i="21"/>
  <c r="I1009" i="26" s="1"/>
  <c r="AA30" i="21"/>
  <c r="I949" i="26" s="1"/>
  <c r="Y13" i="21"/>
  <c r="I848" i="26" s="1"/>
  <c r="AB40" i="21"/>
  <c r="I1001" i="26" s="1"/>
  <c r="Z11" i="21"/>
  <c r="I888" i="26" s="1"/>
  <c r="AB11" i="21"/>
  <c r="I972" i="26" s="1"/>
  <c r="Z32" i="21"/>
  <c r="I909" i="26" s="1"/>
  <c r="AA29" i="21"/>
  <c r="I948" i="26" s="1"/>
  <c r="L948" i="26" s="1"/>
  <c r="AB34" i="21"/>
  <c r="I995" i="26" s="1"/>
  <c r="X17" i="21"/>
  <c r="I810" i="26" s="1"/>
  <c r="Z48" i="21"/>
  <c r="I925" i="26" s="1"/>
  <c r="AB30" i="21"/>
  <c r="I991" i="26" s="1"/>
  <c r="Y47" i="21"/>
  <c r="I882" i="26" s="1"/>
  <c r="G882" i="26" s="1"/>
  <c r="Y29" i="21"/>
  <c r="I864" i="26" s="1"/>
  <c r="G864" i="26" s="1"/>
  <c r="AB37" i="21"/>
  <c r="I998" i="26" s="1"/>
  <c r="M998" i="26" s="1"/>
  <c r="AB15" i="21"/>
  <c r="I976" i="26" s="1"/>
  <c r="X10" i="21"/>
  <c r="I803" i="26" s="1"/>
  <c r="AA7" i="21"/>
  <c r="I926" i="26" s="1"/>
  <c r="Y42" i="21"/>
  <c r="I877" i="26" s="1"/>
  <c r="Y26" i="21"/>
  <c r="I861" i="26" s="1"/>
  <c r="AA36" i="21"/>
  <c r="I955" i="26" s="1"/>
  <c r="Z34" i="21"/>
  <c r="I911" i="26" s="1"/>
  <c r="Y31" i="21"/>
  <c r="I866" i="26" s="1"/>
  <c r="Z36" i="21"/>
  <c r="I913" i="26" s="1"/>
  <c r="AB33" i="21"/>
  <c r="I994" i="26" s="1"/>
  <c r="O994" i="26" s="1"/>
  <c r="AB8" i="21"/>
  <c r="I969" i="26" s="1"/>
  <c r="J845" i="26"/>
  <c r="X7" i="21"/>
  <c r="I800" i="26" s="1"/>
  <c r="AB25" i="21"/>
  <c r="I986" i="26"/>
  <c r="E986" i="26" s="1"/>
  <c r="X12" i="21"/>
  <c r="I805" i="26" s="1"/>
  <c r="J934" i="26"/>
  <c r="L873" i="26"/>
  <c r="E908" i="26"/>
  <c r="X27" i="21"/>
  <c r="I820" i="26" s="1"/>
  <c r="L983" i="26"/>
  <c r="L931" i="26"/>
  <c r="J914" i="26"/>
  <c r="L992" i="26"/>
  <c r="M935" i="26"/>
  <c r="F844" i="26"/>
  <c r="O967" i="26"/>
  <c r="Q992" i="26"/>
  <c r="J856" i="26"/>
  <c r="F956" i="26"/>
  <c r="L837" i="26"/>
  <c r="L801" i="26"/>
  <c r="F827" i="26"/>
  <c r="L838" i="26"/>
  <c r="E987" i="26"/>
  <c r="F992" i="26"/>
  <c r="E937" i="26"/>
  <c r="E902" i="26"/>
  <c r="F874" i="26"/>
  <c r="E935" i="26"/>
  <c r="L970" i="26"/>
  <c r="AB16" i="21"/>
  <c r="I977" i="26" s="1"/>
  <c r="L990" i="26"/>
  <c r="Q830" i="26"/>
  <c r="Q874" i="26"/>
  <c r="O879" i="26"/>
  <c r="O983" i="26"/>
  <c r="O902" i="26"/>
  <c r="M867" i="26"/>
  <c r="J937" i="26"/>
  <c r="J983" i="26"/>
  <c r="F965" i="26"/>
  <c r="O908" i="26"/>
  <c r="O854" i="26"/>
  <c r="Q867" i="26"/>
  <c r="F812" i="26"/>
  <c r="L908" i="26"/>
  <c r="L986" i="26"/>
  <c r="M894" i="26"/>
  <c r="M879" i="26"/>
  <c r="M983" i="26"/>
  <c r="Q845" i="26"/>
  <c r="J968" i="26"/>
  <c r="J854" i="26"/>
  <c r="F931" i="26"/>
  <c r="G925" i="26"/>
  <c r="L845" i="26"/>
  <c r="L950" i="26"/>
  <c r="L995" i="26"/>
  <c r="G927" i="26"/>
  <c r="E927" i="26"/>
  <c r="F927" i="26"/>
  <c r="O874" i="26"/>
  <c r="Q935" i="26"/>
  <c r="M885" i="26"/>
  <c r="O992" i="26"/>
  <c r="O826" i="26"/>
  <c r="O937" i="26"/>
  <c r="J873" i="26"/>
  <c r="G885" i="26"/>
  <c r="L987" i="26"/>
  <c r="O838" i="26"/>
  <c r="M845" i="26"/>
  <c r="Q914" i="26"/>
  <c r="Q987" i="26"/>
  <c r="J874" i="26"/>
  <c r="J846" i="26"/>
  <c r="G974" i="26"/>
  <c r="G830" i="26"/>
  <c r="L927" i="26"/>
  <c r="M992" i="26"/>
  <c r="Q808" i="26"/>
  <c r="O931" i="26"/>
  <c r="O856" i="26"/>
  <c r="M914" i="26"/>
  <c r="Q990" i="26"/>
  <c r="J804" i="26"/>
  <c r="F842" i="26"/>
  <c r="G844" i="26"/>
  <c r="L867" i="26"/>
  <c r="M952" i="26"/>
  <c r="J952" i="26"/>
  <c r="G881" i="26"/>
  <c r="Q991" i="26"/>
  <c r="M985" i="26"/>
  <c r="E985" i="26"/>
  <c r="F985" i="26"/>
  <c r="G985" i="26"/>
  <c r="G823" i="26"/>
  <c r="L823" i="26"/>
  <c r="O952" i="26"/>
  <c r="L1003" i="26"/>
  <c r="O846" i="26"/>
  <c r="Q801" i="26"/>
  <c r="M909" i="26"/>
  <c r="L909" i="26"/>
  <c r="O842" i="26"/>
  <c r="J896" i="26"/>
  <c r="L896" i="26"/>
  <c r="Q844" i="26"/>
  <c r="J973" i="26"/>
  <c r="F973" i="26"/>
  <c r="L882" i="26"/>
  <c r="M808" i="26"/>
  <c r="J899" i="26"/>
  <c r="L899" i="26"/>
  <c r="M888" i="26"/>
  <c r="M954" i="26"/>
  <c r="O812" i="26"/>
  <c r="M925" i="26"/>
  <c r="J810" i="26"/>
  <c r="F810" i="26"/>
  <c r="O964" i="26"/>
  <c r="M996" i="26"/>
  <c r="F996" i="26"/>
  <c r="E996" i="26"/>
  <c r="G996" i="26"/>
  <c r="Q881" i="26"/>
  <c r="M929" i="26"/>
  <c r="F850" i="26"/>
  <c r="G850" i="26"/>
  <c r="J947" i="26"/>
  <c r="M947" i="26"/>
  <c r="Q862" i="26"/>
  <c r="J995" i="26"/>
  <c r="O948" i="26"/>
  <c r="O811" i="26"/>
  <c r="Q811" i="26"/>
  <c r="F834" i="26"/>
  <c r="G834" i="26"/>
  <c r="L827" i="26"/>
  <c r="O936" i="26"/>
  <c r="F841" i="26"/>
  <c r="G841" i="26"/>
  <c r="Q837" i="26"/>
  <c r="M837" i="26"/>
  <c r="J958" i="26"/>
  <c r="L958" i="26"/>
  <c r="F991" i="26"/>
  <c r="E991" i="26"/>
  <c r="G991" i="26"/>
  <c r="L842" i="26"/>
  <c r="M976" i="26"/>
  <c r="J882" i="26"/>
  <c r="G993" i="26"/>
  <c r="Q993" i="26"/>
  <c r="G918" i="26"/>
  <c r="G998" i="26"/>
  <c r="J998" i="26"/>
  <c r="O825" i="26"/>
  <c r="F970" i="26"/>
  <c r="G970" i="26"/>
  <c r="G804" i="26"/>
  <c r="O956" i="26"/>
  <c r="O916" i="26"/>
  <c r="F916" i="26"/>
  <c r="M968" i="26"/>
  <c r="J864" i="26"/>
  <c r="Q864" i="26"/>
  <c r="Q938" i="26"/>
  <c r="L938" i="26"/>
  <c r="Q858" i="26"/>
  <c r="J872" i="26"/>
  <c r="M848" i="26"/>
  <c r="L848" i="26"/>
  <c r="F979" i="26"/>
  <c r="E979" i="26"/>
  <c r="M860" i="26"/>
  <c r="J808" i="26"/>
  <c r="O860" i="26"/>
  <c r="Q882" i="26"/>
  <c r="F993" i="26"/>
  <c r="L825" i="26"/>
  <c r="F804" i="26"/>
  <c r="O938" i="26"/>
  <c r="J858" i="26"/>
  <c r="F872" i="26"/>
  <c r="F848" i="26"/>
  <c r="M979" i="26"/>
  <c r="M948" i="26"/>
  <c r="F952" i="26"/>
  <c r="O881" i="26"/>
  <c r="L881" i="26"/>
  <c r="O985" i="26"/>
  <c r="J985" i="26"/>
  <c r="J823" i="26"/>
  <c r="Q823" i="26"/>
  <c r="J830" i="26"/>
  <c r="J1003" i="26"/>
  <c r="G846" i="26"/>
  <c r="O801" i="26"/>
  <c r="J909" i="26"/>
  <c r="Q842" i="26"/>
  <c r="M896" i="26"/>
  <c r="M844" i="26"/>
  <c r="L844" i="26"/>
  <c r="L973" i="26"/>
  <c r="G973" i="26"/>
  <c r="E973" i="26"/>
  <c r="O882" i="26"/>
  <c r="O808" i="26"/>
  <c r="F808" i="26"/>
  <c r="M899" i="26"/>
  <c r="J888" i="26"/>
  <c r="F888" i="26"/>
  <c r="Q954" i="26"/>
  <c r="J812" i="26"/>
  <c r="M812" i="26"/>
  <c r="L925" i="26"/>
  <c r="O810" i="26"/>
  <c r="G810" i="26"/>
  <c r="Q964" i="26"/>
  <c r="J964" i="26"/>
  <c r="J996" i="26"/>
  <c r="L996" i="26"/>
  <c r="O991" i="26"/>
  <c r="F873" i="26"/>
  <c r="O929" i="26"/>
  <c r="Q929" i="26"/>
  <c r="M850" i="26"/>
  <c r="O850" i="26"/>
  <c r="O947" i="26"/>
  <c r="G947" i="26"/>
  <c r="F862" i="26"/>
  <c r="J862" i="26"/>
  <c r="Q995" i="26"/>
  <c r="G995" i="26"/>
  <c r="E995" i="26"/>
  <c r="F995" i="26"/>
  <c r="G948" i="26"/>
  <c r="E948" i="26"/>
  <c r="F948" i="26"/>
  <c r="M811" i="26"/>
  <c r="G811" i="26"/>
  <c r="L834" i="26"/>
  <c r="O827" i="26"/>
  <c r="F936" i="26"/>
  <c r="L841" i="26"/>
  <c r="Q841" i="26"/>
  <c r="O837" i="26"/>
  <c r="F837" i="26"/>
  <c r="E837" i="26"/>
  <c r="G837" i="26"/>
  <c r="Q958" i="26"/>
  <c r="M1003" i="26"/>
  <c r="G801" i="26"/>
  <c r="E801" i="26"/>
  <c r="F801" i="26"/>
  <c r="M846" i="26"/>
  <c r="Q952" i="26"/>
  <c r="J993" i="26"/>
  <c r="O918" i="26"/>
  <c r="Q918" i="26"/>
  <c r="J825" i="26"/>
  <c r="M825" i="26"/>
  <c r="E970" i="26"/>
  <c r="K970" i="26" s="1"/>
  <c r="M804" i="26"/>
  <c r="M956" i="26"/>
  <c r="G956" i="26"/>
  <c r="L916" i="26"/>
  <c r="Q968" i="26"/>
  <c r="O968" i="26"/>
  <c r="L864" i="26"/>
  <c r="O864" i="26"/>
  <c r="J938" i="26"/>
  <c r="M858" i="26"/>
  <c r="M872" i="26"/>
  <c r="J848" i="26"/>
  <c r="Q979" i="26"/>
  <c r="L979" i="26"/>
  <c r="Q1003" i="26"/>
  <c r="Q838" i="26"/>
  <c r="F983" i="26"/>
  <c r="E983" i="26"/>
  <c r="O935" i="26"/>
  <c r="G1003" i="26"/>
  <c r="E1003" i="26"/>
  <c r="F1003" i="26"/>
  <c r="Q834" i="26"/>
  <c r="O1003" i="26"/>
  <c r="Q896" i="26"/>
  <c r="O993" i="26"/>
  <c r="O998" i="26"/>
  <c r="O970" i="26"/>
  <c r="G916" i="26"/>
  <c r="Q983" i="26"/>
  <c r="J935" i="26"/>
  <c r="F881" i="26"/>
  <c r="J881" i="26"/>
  <c r="J991" i="26"/>
  <c r="L991" i="26"/>
  <c r="F823" i="26"/>
  <c r="M823" i="26"/>
  <c r="G952" i="26"/>
  <c r="F846" i="26"/>
  <c r="Q846" i="26"/>
  <c r="Q909" i="26"/>
  <c r="F909" i="26"/>
  <c r="M842" i="26"/>
  <c r="F896" i="26"/>
  <c r="O844" i="26"/>
  <c r="O973" i="26"/>
  <c r="F882" i="26"/>
  <c r="E882" i="26"/>
  <c r="L808" i="26"/>
  <c r="Q899" i="26"/>
  <c r="F899" i="26"/>
  <c r="Q888" i="26"/>
  <c r="G888" i="26"/>
  <c r="J954" i="26"/>
  <c r="G812" i="26"/>
  <c r="E812" i="26"/>
  <c r="Q925" i="26"/>
  <c r="O925" i="26"/>
  <c r="Q810" i="26"/>
  <c r="L810" i="26"/>
  <c r="M964" i="26"/>
  <c r="F964" i="26"/>
  <c r="M854" i="26"/>
  <c r="G929" i="26"/>
  <c r="J929" i="26"/>
  <c r="Q850" i="26"/>
  <c r="L850" i="26"/>
  <c r="L947" i="26"/>
  <c r="M862" i="26"/>
  <c r="G827" i="26"/>
  <c r="E827" i="26"/>
  <c r="O995" i="26"/>
  <c r="Q948" i="26"/>
  <c r="F811" i="26"/>
  <c r="O834" i="26"/>
  <c r="Q827" i="26"/>
  <c r="J936" i="26"/>
  <c r="Q936" i="26"/>
  <c r="O841" i="26"/>
  <c r="M841" i="26"/>
  <c r="J837" i="26"/>
  <c r="G936" i="26"/>
  <c r="F958" i="26"/>
  <c r="M958" i="26"/>
  <c r="J918" i="26"/>
  <c r="Q970" i="26"/>
  <c r="G968" i="26"/>
  <c r="M938" i="26"/>
  <c r="Q872" i="26"/>
  <c r="M838" i="26"/>
  <c r="Q927" i="26"/>
  <c r="L952" i="26"/>
  <c r="E881" i="26"/>
  <c r="M881" i="26"/>
  <c r="Q985" i="26"/>
  <c r="L985" i="26"/>
  <c r="O853" i="26"/>
  <c r="O823" i="26"/>
  <c r="E823" i="26"/>
  <c r="L846" i="26"/>
  <c r="J801" i="26"/>
  <c r="G909" i="26"/>
  <c r="O909" i="26"/>
  <c r="O962" i="26"/>
  <c r="J842" i="26"/>
  <c r="G896" i="26"/>
  <c r="J844" i="26"/>
  <c r="Q973" i="26"/>
  <c r="M882" i="26"/>
  <c r="E871" i="26"/>
  <c r="G808" i="26"/>
  <c r="O899" i="26"/>
  <c r="G899" i="26"/>
  <c r="L888" i="26"/>
  <c r="J828" i="26"/>
  <c r="F954" i="26"/>
  <c r="E954" i="26"/>
  <c r="Q812" i="26"/>
  <c r="F925" i="26"/>
  <c r="E925" i="26"/>
  <c r="J925" i="26"/>
  <c r="M810" i="26"/>
  <c r="G964" i="26"/>
  <c r="L964" i="26"/>
  <c r="Q996" i="26"/>
  <c r="M991" i="26"/>
  <c r="G876" i="26"/>
  <c r="M922" i="26"/>
  <c r="J850" i="26"/>
  <c r="F947" i="26"/>
  <c r="E851" i="26"/>
  <c r="O862" i="26"/>
  <c r="L862" i="26"/>
  <c r="M995" i="26"/>
  <c r="J948" i="26"/>
  <c r="J811" i="26"/>
  <c r="M834" i="26"/>
  <c r="J834" i="26"/>
  <c r="J905" i="26"/>
  <c r="M827" i="26"/>
  <c r="M936" i="26"/>
  <c r="L936" i="26"/>
  <c r="Q926" i="26"/>
  <c r="J841" i="26"/>
  <c r="G958" i="26"/>
  <c r="O958" i="26"/>
  <c r="L1001" i="26"/>
  <c r="M801" i="26"/>
  <c r="G939" i="26"/>
  <c r="L993" i="26"/>
  <c r="M993" i="26"/>
  <c r="M918" i="26"/>
  <c r="L918" i="26"/>
  <c r="M861" i="26"/>
  <c r="L998" i="26"/>
  <c r="Q998" i="26"/>
  <c r="Q825" i="26"/>
  <c r="M970" i="26"/>
  <c r="J970" i="26"/>
  <c r="O804" i="26"/>
  <c r="L804" i="26"/>
  <c r="F859" i="26"/>
  <c r="J956" i="26"/>
  <c r="Q956" i="26"/>
  <c r="M955" i="26"/>
  <c r="M916" i="26"/>
  <c r="F968" i="26"/>
  <c r="L968" i="26"/>
  <c r="M864" i="26"/>
  <c r="F938" i="26"/>
  <c r="G938" i="26"/>
  <c r="F858" i="26"/>
  <c r="E858" i="26"/>
  <c r="O858" i="26"/>
  <c r="O872" i="26"/>
  <c r="G872" i="26"/>
  <c r="O915" i="26"/>
  <c r="G848" i="26"/>
  <c r="O848" i="26"/>
  <c r="J979" i="26"/>
  <c r="J803" i="26"/>
  <c r="Q907" i="26"/>
  <c r="O888" i="26"/>
  <c r="M829" i="26"/>
  <c r="M927" i="26"/>
  <c r="J980" i="26"/>
  <c r="O996" i="26"/>
  <c r="F918" i="26"/>
  <c r="E918" i="26"/>
  <c r="F998" i="26"/>
  <c r="Q804" i="26"/>
  <c r="L956" i="26"/>
  <c r="Q916" i="26"/>
  <c r="F864" i="26"/>
  <c r="L858" i="26"/>
  <c r="F913" i="26"/>
  <c r="Q848" i="26"/>
  <c r="O979" i="26"/>
  <c r="O990" i="26"/>
  <c r="E962" i="26"/>
  <c r="E934" i="26"/>
  <c r="E860" i="26"/>
  <c r="E910" i="26"/>
  <c r="E957" i="26"/>
  <c r="E976" i="26"/>
  <c r="E830" i="26"/>
  <c r="E1000" i="26"/>
  <c r="E914" i="26"/>
  <c r="E885" i="26"/>
  <c r="E909" i="26"/>
  <c r="E820" i="26"/>
  <c r="E950" i="26"/>
  <c r="E844" i="26"/>
  <c r="K844" i="26" s="1"/>
  <c r="E854" i="26"/>
  <c r="E825" i="26"/>
  <c r="E884" i="26"/>
  <c r="E843" i="26"/>
  <c r="E873" i="26"/>
  <c r="E842" i="26"/>
  <c r="K842" i="26" s="1"/>
  <c r="E878" i="26"/>
  <c r="E974" i="26"/>
  <c r="F800" i="26"/>
  <c r="E1007" i="26"/>
  <c r="E863" i="26"/>
  <c r="E931" i="26"/>
  <c r="E924" i="26"/>
  <c r="E879" i="26"/>
  <c r="E952" i="26"/>
  <c r="K952" i="26" s="1"/>
  <c r="E838" i="26"/>
  <c r="E839" i="26"/>
  <c r="E964" i="26"/>
  <c r="K964" i="26" s="1"/>
  <c r="E898" i="26"/>
  <c r="E903" i="26"/>
  <c r="E841" i="26"/>
  <c r="K841" i="26"/>
  <c r="E932" i="26"/>
  <c r="E804" i="26"/>
  <c r="K804" i="26" s="1"/>
  <c r="E938" i="26"/>
  <c r="K938" i="26" s="1"/>
  <c r="E857" i="26"/>
  <c r="E872" i="26"/>
  <c r="E864" i="26"/>
  <c r="E850" i="26"/>
  <c r="K850" i="26" s="1"/>
  <c r="E808" i="26"/>
  <c r="K808" i="26" s="1"/>
  <c r="E888" i="26"/>
  <c r="E862" i="26"/>
  <c r="K862" i="26" s="1"/>
  <c r="E968" i="26"/>
  <c r="E886" i="26"/>
  <c r="E916" i="26"/>
  <c r="K916" i="26" s="1"/>
  <c r="E809" i="26"/>
  <c r="E896" i="26"/>
  <c r="K896" i="26" s="1"/>
  <c r="E929" i="26"/>
  <c r="E834" i="26"/>
  <c r="K834" i="26" s="1"/>
  <c r="E958" i="26"/>
  <c r="E811" i="26"/>
  <c r="E806" i="26"/>
  <c r="E956" i="26"/>
  <c r="K956" i="26" s="1"/>
  <c r="E846" i="26"/>
  <c r="E810" i="26"/>
  <c r="K810" i="26" s="1"/>
  <c r="E1006" i="26"/>
  <c r="E1001" i="26"/>
  <c r="E897" i="26"/>
  <c r="E821" i="26"/>
  <c r="E947" i="26"/>
  <c r="E859" i="26"/>
  <c r="E936" i="26"/>
  <c r="K936" i="26" s="1"/>
  <c r="E899" i="26"/>
  <c r="K899" i="26" s="1"/>
  <c r="E998" i="26"/>
  <c r="E848" i="26"/>
  <c r="E876" i="26"/>
  <c r="E993" i="26"/>
  <c r="K993" i="26" s="1"/>
  <c r="E911" i="26"/>
  <c r="O986" i="26"/>
  <c r="M820" i="26"/>
  <c r="W169" i="10"/>
  <c r="W183" i="10" s="1"/>
  <c r="W185" i="10" s="1"/>
  <c r="V169" i="10"/>
  <c r="V183" i="10" s="1"/>
  <c r="O805" i="26"/>
  <c r="P169" i="10"/>
  <c r="P183" i="10" s="1"/>
  <c r="P185" i="10" s="1"/>
  <c r="O169" i="10"/>
  <c r="O183" i="10" s="1"/>
  <c r="O185" i="10" s="1"/>
  <c r="M186" i="10"/>
  <c r="X186" i="10"/>
  <c r="H169" i="10"/>
  <c r="H183" i="10" s="1"/>
  <c r="G169" i="10"/>
  <c r="G183" i="10" s="1"/>
  <c r="AA186" i="10"/>
  <c r="Q169" i="10"/>
  <c r="Q183" i="10" s="1"/>
  <c r="V186" i="10"/>
  <c r="T169" i="10"/>
  <c r="T183" i="10" s="1"/>
  <c r="S169" i="10"/>
  <c r="S183" i="10" s="1"/>
  <c r="N169" i="10"/>
  <c r="N183" i="10" s="1"/>
  <c r="N185" i="10" s="1"/>
  <c r="R169" i="10"/>
  <c r="R183" i="10" s="1"/>
  <c r="R185" i="10" s="1"/>
  <c r="H186" i="10"/>
  <c r="F169" i="10"/>
  <c r="F183" i="10" s="1"/>
  <c r="M169" i="10"/>
  <c r="M183" i="10" s="1"/>
  <c r="M185" i="10" s="1"/>
  <c r="E186" i="10"/>
  <c r="E187" i="10"/>
  <c r="E188" i="10"/>
  <c r="E189" i="10"/>
  <c r="E190" i="10"/>
  <c r="E191" i="10"/>
  <c r="E192" i="10"/>
  <c r="E193" i="10"/>
  <c r="E194" i="10"/>
  <c r="E195" i="10"/>
  <c r="E196" i="10"/>
  <c r="E197" i="10"/>
  <c r="E198" i="10"/>
  <c r="E199" i="10"/>
  <c r="D186" i="10"/>
  <c r="D187" i="10"/>
  <c r="D188" i="10"/>
  <c r="D189" i="10"/>
  <c r="D190" i="10"/>
  <c r="D191" i="10"/>
  <c r="D192" i="10"/>
  <c r="D193" i="10"/>
  <c r="D194" i="10"/>
  <c r="D195" i="10"/>
  <c r="D196" i="10"/>
  <c r="D197" i="10"/>
  <c r="D198" i="10"/>
  <c r="D199" i="10"/>
  <c r="O186" i="10"/>
  <c r="O187" i="10"/>
  <c r="O188" i="10"/>
  <c r="O189" i="10"/>
  <c r="O190" i="10"/>
  <c r="O191" i="10"/>
  <c r="O192" i="10"/>
  <c r="O193" i="10"/>
  <c r="O194" i="10"/>
  <c r="O195" i="10"/>
  <c r="O196" i="10"/>
  <c r="O197" i="10"/>
  <c r="O198" i="10"/>
  <c r="O199" i="10"/>
  <c r="P186" i="10"/>
  <c r="P187" i="10"/>
  <c r="P188" i="10"/>
  <c r="P189" i="10"/>
  <c r="P190" i="10"/>
  <c r="P191" i="10"/>
  <c r="P192" i="10"/>
  <c r="P193" i="10"/>
  <c r="P194" i="10"/>
  <c r="P195" i="10"/>
  <c r="P196" i="10"/>
  <c r="P197" i="10"/>
  <c r="P198" i="10"/>
  <c r="P199" i="10"/>
  <c r="I186" i="10"/>
  <c r="I187" i="10"/>
  <c r="I188" i="10"/>
  <c r="I189" i="10"/>
  <c r="I190" i="10"/>
  <c r="I191" i="10"/>
  <c r="I192" i="10"/>
  <c r="I193" i="10"/>
  <c r="I194" i="10"/>
  <c r="I195" i="10"/>
  <c r="I196" i="10"/>
  <c r="I197" i="10"/>
  <c r="I198" i="10"/>
  <c r="I199" i="10"/>
  <c r="X187" i="10"/>
  <c r="X188" i="10"/>
  <c r="X189" i="10"/>
  <c r="X190" i="10"/>
  <c r="X191" i="10"/>
  <c r="X192" i="10"/>
  <c r="X193" i="10"/>
  <c r="X194" i="10"/>
  <c r="X195" i="10"/>
  <c r="X196" i="10"/>
  <c r="X197" i="10"/>
  <c r="X198" i="10"/>
  <c r="X199" i="10"/>
  <c r="L186" i="10"/>
  <c r="L187" i="10"/>
  <c r="L188" i="10"/>
  <c r="L189" i="10"/>
  <c r="L190" i="10"/>
  <c r="L191" i="10"/>
  <c r="L192" i="10"/>
  <c r="L193" i="10"/>
  <c r="L194" i="10"/>
  <c r="L195" i="10"/>
  <c r="L196" i="10"/>
  <c r="L197" i="10"/>
  <c r="L198" i="10"/>
  <c r="L199" i="10"/>
  <c r="G186" i="10"/>
  <c r="G187" i="10"/>
  <c r="G188" i="10"/>
  <c r="G189" i="10"/>
  <c r="G190" i="10"/>
  <c r="G191" i="10"/>
  <c r="G192" i="10"/>
  <c r="G193" i="10"/>
  <c r="G194" i="10"/>
  <c r="G195" i="10"/>
  <c r="G196" i="10"/>
  <c r="G197" i="10"/>
  <c r="G198" i="10"/>
  <c r="G199" i="10"/>
  <c r="U186" i="10"/>
  <c r="U187" i="10"/>
  <c r="U188" i="10"/>
  <c r="U189" i="10"/>
  <c r="U190" i="10"/>
  <c r="U191" i="10"/>
  <c r="U192" i="10"/>
  <c r="U193" i="10"/>
  <c r="U194" i="10"/>
  <c r="U195" i="10"/>
  <c r="U196" i="10"/>
  <c r="U197" i="10"/>
  <c r="U198" i="10"/>
  <c r="U199" i="10"/>
  <c r="T186" i="10"/>
  <c r="T187" i="10"/>
  <c r="T188" i="10"/>
  <c r="T189" i="10"/>
  <c r="T190" i="10"/>
  <c r="T191" i="10"/>
  <c r="T192" i="10"/>
  <c r="T193" i="10"/>
  <c r="T194" i="10"/>
  <c r="T195" i="10"/>
  <c r="T196" i="10"/>
  <c r="T197" i="10"/>
  <c r="T198" i="10"/>
  <c r="T199" i="10"/>
  <c r="V187" i="10"/>
  <c r="V188" i="10"/>
  <c r="V189" i="10"/>
  <c r="V190" i="10"/>
  <c r="V191" i="10"/>
  <c r="V192" i="10"/>
  <c r="V193" i="10"/>
  <c r="V194" i="10"/>
  <c r="V195" i="10"/>
  <c r="V196" i="10"/>
  <c r="V197" i="10"/>
  <c r="V198" i="10"/>
  <c r="V199" i="10"/>
  <c r="N186" i="10"/>
  <c r="N187" i="10"/>
  <c r="N188" i="10"/>
  <c r="N189" i="10"/>
  <c r="N190" i="10"/>
  <c r="N191" i="10"/>
  <c r="N192" i="10"/>
  <c r="N193" i="10"/>
  <c r="N194" i="10"/>
  <c r="N195" i="10"/>
  <c r="N196" i="10"/>
  <c r="N197" i="10"/>
  <c r="N198" i="10"/>
  <c r="N199" i="10"/>
  <c r="Y186" i="10"/>
  <c r="Y187" i="10"/>
  <c r="Y188" i="10"/>
  <c r="Y189" i="10"/>
  <c r="Y190" i="10"/>
  <c r="Y191" i="10"/>
  <c r="Y192" i="10"/>
  <c r="Y193" i="10"/>
  <c r="Y194" i="10"/>
  <c r="Y195" i="10"/>
  <c r="Y196" i="10"/>
  <c r="Y197" i="10"/>
  <c r="Y198" i="10"/>
  <c r="Y199" i="10"/>
  <c r="Z186" i="10"/>
  <c r="Z187" i="10"/>
  <c r="Z188" i="10"/>
  <c r="Z189" i="10"/>
  <c r="Z190" i="10"/>
  <c r="Z191" i="10"/>
  <c r="Z192" i="10"/>
  <c r="Z193" i="10"/>
  <c r="Z194" i="10"/>
  <c r="Z195" i="10"/>
  <c r="Z196" i="10"/>
  <c r="Z197" i="10"/>
  <c r="Z198" i="10"/>
  <c r="Z199" i="10"/>
  <c r="H187" i="10"/>
  <c r="H188" i="10"/>
  <c r="H189" i="10"/>
  <c r="H190" i="10"/>
  <c r="H191" i="10"/>
  <c r="H192" i="10"/>
  <c r="H193" i="10"/>
  <c r="H194" i="10"/>
  <c r="H195" i="10"/>
  <c r="H196" i="10"/>
  <c r="H197" i="10"/>
  <c r="H198" i="10"/>
  <c r="H199" i="10"/>
  <c r="Q186" i="10"/>
  <c r="Q187" i="10"/>
  <c r="Q188" i="10"/>
  <c r="Q189" i="10"/>
  <c r="Q190" i="10"/>
  <c r="Q191" i="10"/>
  <c r="Q192" i="10"/>
  <c r="Q193" i="10"/>
  <c r="Q194" i="10"/>
  <c r="Q195" i="10"/>
  <c r="Q196" i="10"/>
  <c r="Q197" i="10"/>
  <c r="Q198" i="10"/>
  <c r="Q199" i="10"/>
  <c r="K186" i="10"/>
  <c r="K187" i="10"/>
  <c r="K188" i="10"/>
  <c r="K189" i="10"/>
  <c r="K190" i="10"/>
  <c r="K191" i="10"/>
  <c r="K192" i="10"/>
  <c r="K193" i="10"/>
  <c r="K194" i="10"/>
  <c r="K195" i="10"/>
  <c r="K196" i="10"/>
  <c r="K197" i="10"/>
  <c r="K198" i="10"/>
  <c r="K199" i="10"/>
  <c r="F186" i="10"/>
  <c r="F187" i="10"/>
  <c r="F188" i="10"/>
  <c r="F189" i="10"/>
  <c r="F190" i="10"/>
  <c r="F191" i="10"/>
  <c r="F192" i="10"/>
  <c r="F193" i="10"/>
  <c r="F194" i="10"/>
  <c r="F195" i="10"/>
  <c r="F196" i="10"/>
  <c r="F197" i="10"/>
  <c r="F198" i="10"/>
  <c r="F199" i="10"/>
  <c r="J186" i="10"/>
  <c r="J187" i="10"/>
  <c r="J188" i="10"/>
  <c r="J189" i="10"/>
  <c r="J190" i="10"/>
  <c r="J191" i="10"/>
  <c r="J192" i="10"/>
  <c r="J193" i="10"/>
  <c r="J194" i="10"/>
  <c r="J195" i="10"/>
  <c r="J196" i="10"/>
  <c r="J197" i="10"/>
  <c r="J198" i="10"/>
  <c r="J199" i="10"/>
  <c r="M187" i="10"/>
  <c r="M188" i="10"/>
  <c r="M189" i="10"/>
  <c r="M190" i="10"/>
  <c r="M191" i="10"/>
  <c r="M192" i="10"/>
  <c r="M193" i="10"/>
  <c r="M194" i="10"/>
  <c r="M195" i="10"/>
  <c r="M196" i="10"/>
  <c r="M197" i="10"/>
  <c r="M198" i="10"/>
  <c r="M199" i="10"/>
  <c r="R186" i="10"/>
  <c r="R187" i="10"/>
  <c r="R188" i="10"/>
  <c r="R189" i="10"/>
  <c r="R190" i="10"/>
  <c r="R191" i="10"/>
  <c r="R192" i="10"/>
  <c r="R193" i="10"/>
  <c r="R194" i="10"/>
  <c r="R195" i="10"/>
  <c r="R196" i="10"/>
  <c r="R197" i="10"/>
  <c r="R198" i="10"/>
  <c r="R199" i="10"/>
  <c r="S186" i="10"/>
  <c r="S187" i="10"/>
  <c r="S188" i="10"/>
  <c r="S189" i="10"/>
  <c r="S190" i="10"/>
  <c r="S191" i="10"/>
  <c r="S192" i="10"/>
  <c r="S193" i="10"/>
  <c r="S194" i="10"/>
  <c r="S195" i="10"/>
  <c r="S196" i="10"/>
  <c r="S197" i="10"/>
  <c r="S198" i="10"/>
  <c r="S199" i="10"/>
  <c r="W186" i="10"/>
  <c r="W187" i="10"/>
  <c r="W188" i="10"/>
  <c r="W189" i="10"/>
  <c r="W190" i="10"/>
  <c r="W191" i="10"/>
  <c r="W192" i="10"/>
  <c r="W193" i="10"/>
  <c r="W194" i="10"/>
  <c r="W195" i="10"/>
  <c r="W196" i="10"/>
  <c r="W197" i="10"/>
  <c r="W198" i="10"/>
  <c r="W199" i="10"/>
  <c r="AA187" i="10"/>
  <c r="AA188" i="10"/>
  <c r="AA189" i="10"/>
  <c r="AA190" i="10"/>
  <c r="AA191" i="10"/>
  <c r="AA192" i="10"/>
  <c r="AA193" i="10"/>
  <c r="AA194" i="10"/>
  <c r="AA195" i="10"/>
  <c r="AA196" i="10"/>
  <c r="AA197" i="10"/>
  <c r="AA198" i="10"/>
  <c r="AA199" i="10"/>
  <c r="Z169" i="10"/>
  <c r="Z183" i="10" s="1"/>
  <c r="Z185" i="10" s="1"/>
  <c r="Y169" i="10"/>
  <c r="Y183" i="10" s="1"/>
  <c r="V185" i="10"/>
  <c r="U169" i="10"/>
  <c r="U183" i="10" s="1"/>
  <c r="I169" i="10"/>
  <c r="I183" i="10" s="1"/>
  <c r="I184" i="10" s="1"/>
  <c r="E169" i="10"/>
  <c r="E183" i="10" s="1"/>
  <c r="F184" i="10" s="1"/>
  <c r="D169" i="10"/>
  <c r="X169" i="10"/>
  <c r="X183" i="10" s="1"/>
  <c r="X185" i="10" s="1"/>
  <c r="L169" i="10"/>
  <c r="L183" i="10" s="1"/>
  <c r="K169" i="10"/>
  <c r="K183" i="10" s="1"/>
  <c r="J169" i="10"/>
  <c r="J183" i="10" s="1"/>
  <c r="J185" i="10" s="1"/>
  <c r="AA169" i="10"/>
  <c r="AA183" i="10" s="1"/>
  <c r="F185" i="10"/>
  <c r="D324" i="10" a="1"/>
  <c r="F966" i="26" l="1"/>
  <c r="J966" i="26"/>
  <c r="M966" i="26"/>
  <c r="Q966" i="26"/>
  <c r="L966" i="26"/>
  <c r="G966" i="26"/>
  <c r="E966" i="26"/>
  <c r="K966" i="26" s="1"/>
  <c r="O966" i="26"/>
  <c r="L855" i="26"/>
  <c r="G855" i="26"/>
  <c r="Q855" i="26"/>
  <c r="M855" i="26"/>
  <c r="F855" i="26"/>
  <c r="E855" i="26"/>
  <c r="O855" i="26"/>
  <c r="J855" i="26"/>
  <c r="O945" i="26"/>
  <c r="G945" i="26"/>
  <c r="F945" i="26"/>
  <c r="M945" i="26"/>
  <c r="J945" i="26"/>
  <c r="E945" i="26"/>
  <c r="L945" i="26"/>
  <c r="Q945" i="26"/>
  <c r="F832" i="26"/>
  <c r="E832" i="26"/>
  <c r="J832" i="26"/>
  <c r="Q819" i="26"/>
  <c r="M819" i="26"/>
  <c r="F819" i="26"/>
  <c r="O819" i="26"/>
  <c r="J819" i="26"/>
  <c r="E819" i="26"/>
  <c r="H36" i="22"/>
  <c r="V48" i="22"/>
  <c r="M19" i="22"/>
  <c r="S23" i="22"/>
  <c r="P14" i="22"/>
  <c r="R41" i="22"/>
  <c r="R2" i="21"/>
  <c r="D31" i="22"/>
  <c r="F15" i="22"/>
  <c r="U10" i="22"/>
  <c r="K17" i="10"/>
  <c r="N17" i="10"/>
  <c r="Q28" i="22"/>
  <c r="L47" i="22"/>
  <c r="H27" i="22"/>
  <c r="O23" i="22"/>
  <c r="T21" i="22"/>
  <c r="T19" i="22"/>
  <c r="I40" i="22"/>
  <c r="I37" i="22"/>
  <c r="E22" i="22"/>
  <c r="S11" i="22"/>
  <c r="V23" i="22"/>
  <c r="E807" i="26"/>
  <c r="M807" i="26"/>
  <c r="K1003" i="26"/>
  <c r="M21" i="22"/>
  <c r="P10" i="22"/>
  <c r="V40" i="22"/>
  <c r="G39" i="22"/>
  <c r="E45" i="22"/>
  <c r="P18" i="22"/>
  <c r="V16" i="22"/>
  <c r="K995" i="26"/>
  <c r="I25" i="22"/>
  <c r="G2" i="22"/>
  <c r="M7" i="22"/>
  <c r="Q34" i="22"/>
  <c r="L37" i="22"/>
  <c r="F1" i="10"/>
  <c r="M9" i="22"/>
  <c r="Q48" i="22"/>
  <c r="L2" i="21"/>
  <c r="H39" i="22"/>
  <c r="D204" i="10"/>
  <c r="H28" i="22"/>
  <c r="N11" i="22"/>
  <c r="K945" i="26"/>
  <c r="K881" i="26"/>
  <c r="L42" i="22"/>
  <c r="L26" i="22"/>
  <c r="K12" i="22"/>
  <c r="F26" i="22"/>
  <c r="N13" i="22"/>
  <c r="H33" i="22"/>
  <c r="D19" i="22"/>
  <c r="S32" i="22"/>
  <c r="L39" i="22"/>
  <c r="L40" i="22"/>
  <c r="K2" i="21"/>
  <c r="V8" i="22"/>
  <c r="D29" i="22"/>
  <c r="S7" i="22"/>
  <c r="S27" i="22"/>
  <c r="M33" i="22"/>
  <c r="H35" i="22"/>
  <c r="F16" i="22"/>
  <c r="Q39" i="22"/>
  <c r="V17" i="22"/>
  <c r="E904" i="26"/>
  <c r="F904" i="26"/>
  <c r="G923" i="26"/>
  <c r="M923" i="26"/>
  <c r="L923" i="26"/>
  <c r="O923" i="26"/>
  <c r="J923" i="26"/>
  <c r="E923" i="26"/>
  <c r="F923" i="26"/>
  <c r="Q923" i="26"/>
  <c r="J928" i="26"/>
  <c r="F928" i="26"/>
  <c r="M928" i="26"/>
  <c r="Q928" i="26"/>
  <c r="O928" i="26"/>
  <c r="Q1005" i="26"/>
  <c r="G1005" i="26"/>
  <c r="F1005" i="26"/>
  <c r="M1005" i="26"/>
  <c r="O1005" i="26"/>
  <c r="L1005" i="26"/>
  <c r="J1005" i="26"/>
  <c r="E1005" i="26"/>
  <c r="M942" i="26"/>
  <c r="G942" i="26"/>
  <c r="O942" i="26"/>
  <c r="Q942" i="26"/>
  <c r="L982" i="26"/>
  <c r="E982" i="26"/>
  <c r="G890" i="26"/>
  <c r="L890" i="26"/>
  <c r="E890" i="26"/>
  <c r="J890" i="26"/>
  <c r="M890" i="26"/>
  <c r="Q890" i="26"/>
  <c r="O890" i="26"/>
  <c r="F890" i="26"/>
  <c r="M852" i="26"/>
  <c r="L852" i="26"/>
  <c r="G852" i="26"/>
  <c r="L977" i="26"/>
  <c r="M977" i="26"/>
  <c r="E977" i="26"/>
  <c r="O977" i="26"/>
  <c r="J977" i="26"/>
  <c r="G977" i="26"/>
  <c r="Q977" i="26"/>
  <c r="F977" i="26"/>
  <c r="M963" i="26"/>
  <c r="Q963" i="26"/>
  <c r="L963" i="26"/>
  <c r="F963" i="26"/>
  <c r="G963" i="26"/>
  <c r="J963" i="26"/>
  <c r="O963" i="26"/>
  <c r="E963" i="26"/>
  <c r="K848" i="26"/>
  <c r="V2" i="22"/>
  <c r="AA2" i="22"/>
  <c r="V38" i="22"/>
  <c r="V37" i="22"/>
  <c r="J20" i="22"/>
  <c r="Q30" i="22"/>
  <c r="N24" i="22"/>
  <c r="R17" i="22"/>
  <c r="O18" i="22"/>
  <c r="U17" i="10"/>
  <c r="Q17" i="10"/>
  <c r="F17" i="10"/>
  <c r="U200" i="10"/>
  <c r="K998" i="26"/>
  <c r="K968" i="26"/>
  <c r="K996" i="26"/>
  <c r="T2" i="16"/>
  <c r="N48" i="22"/>
  <c r="J15" i="22"/>
  <c r="D39" i="22"/>
  <c r="N23" i="22"/>
  <c r="I17" i="10"/>
  <c r="Z17" i="10"/>
  <c r="M17" i="10"/>
  <c r="K801" i="26"/>
  <c r="U21" i="22"/>
  <c r="N40" i="22"/>
  <c r="P26" i="22"/>
  <c r="M13" i="22"/>
  <c r="J2" i="22"/>
  <c r="H14" i="22"/>
  <c r="P24" i="22"/>
  <c r="P42" i="22"/>
  <c r="F22" i="22"/>
  <c r="I19" i="22"/>
  <c r="P9" i="22"/>
  <c r="M25" i="22"/>
  <c r="M1" i="10"/>
  <c r="T1" i="10"/>
  <c r="Q19" i="22"/>
  <c r="G11" i="22"/>
  <c r="Q21" i="22"/>
  <c r="E2" i="21"/>
  <c r="S13" i="22"/>
  <c r="P40" i="22"/>
  <c r="H2" i="16"/>
  <c r="E9" i="22"/>
  <c r="V42" i="22"/>
  <c r="I10" i="22"/>
  <c r="H44" i="22"/>
  <c r="Q18" i="22"/>
  <c r="J16" i="22"/>
  <c r="S45" i="22"/>
  <c r="K888" i="26"/>
  <c r="K918" i="26"/>
  <c r="K858" i="26"/>
  <c r="L36" i="22"/>
  <c r="H13" i="22"/>
  <c r="P7" i="22"/>
  <c r="F2" i="22"/>
  <c r="H2" i="22"/>
  <c r="Q22" i="22"/>
  <c r="X1" i="10"/>
  <c r="N1" i="10"/>
  <c r="D20" i="22"/>
  <c r="E33" i="22"/>
  <c r="K872" i="26"/>
  <c r="L967" i="26"/>
  <c r="Q894" i="26"/>
  <c r="L894" i="26"/>
  <c r="F894" i="26"/>
  <c r="F879" i="26"/>
  <c r="G879" i="26"/>
  <c r="L879" i="26"/>
  <c r="Q879" i="26"/>
  <c r="J879" i="26"/>
  <c r="O934" i="26"/>
  <c r="G934" i="26"/>
  <c r="K934" i="26" s="1"/>
  <c r="M934" i="26"/>
  <c r="F934" i="26"/>
  <c r="Q934" i="26"/>
  <c r="L934" i="26"/>
  <c r="M957" i="26"/>
  <c r="Q957" i="26"/>
  <c r="F957" i="26"/>
  <c r="K957" i="26" s="1"/>
  <c r="J957" i="26"/>
  <c r="L957" i="26"/>
  <c r="G957" i="26"/>
  <c r="W200" i="10"/>
  <c r="W203" i="10" s="1"/>
  <c r="K200" i="10"/>
  <c r="K963" i="26"/>
  <c r="K846" i="26"/>
  <c r="K811" i="26"/>
  <c r="K879" i="26"/>
  <c r="K909" i="26"/>
  <c r="K823" i="26"/>
  <c r="K837" i="26"/>
  <c r="K979" i="26"/>
  <c r="K991" i="26"/>
  <c r="J967" i="26"/>
  <c r="O950" i="26"/>
  <c r="F950" i="26"/>
  <c r="Q950" i="26"/>
  <c r="M950" i="26"/>
  <c r="G950" i="26"/>
  <c r="K950" i="26" s="1"/>
  <c r="M987" i="26"/>
  <c r="F987" i="26"/>
  <c r="O987" i="26"/>
  <c r="G987" i="26"/>
  <c r="K987" i="26" s="1"/>
  <c r="J987" i="26"/>
  <c r="G931" i="26"/>
  <c r="K931" i="26" s="1"/>
  <c r="J931" i="26"/>
  <c r="Q931" i="26"/>
  <c r="F860" i="26"/>
  <c r="G860" i="26"/>
  <c r="Q860" i="26"/>
  <c r="J860" i="26"/>
  <c r="L860" i="26"/>
  <c r="K923" i="26"/>
  <c r="K925" i="26"/>
  <c r="K954" i="26"/>
  <c r="G967" i="26"/>
  <c r="E967" i="26"/>
  <c r="Q967" i="26"/>
  <c r="F967" i="26"/>
  <c r="Q840" i="26"/>
  <c r="O840" i="26"/>
  <c r="E840" i="26"/>
  <c r="L840" i="26"/>
  <c r="K983" i="26"/>
  <c r="Q986" i="26"/>
  <c r="F986" i="26"/>
  <c r="G986" i="26"/>
  <c r="E942" i="26"/>
  <c r="L942" i="26"/>
  <c r="F942" i="26"/>
  <c r="L954" i="26"/>
  <c r="O954" i="26"/>
  <c r="J826" i="26"/>
  <c r="F826" i="26"/>
  <c r="L826" i="26"/>
  <c r="P34" i="22"/>
  <c r="I8" i="22"/>
  <c r="N33" i="22"/>
  <c r="O35" i="22"/>
  <c r="O31" i="22"/>
  <c r="D47" i="22"/>
  <c r="F39" i="22"/>
  <c r="N19" i="22"/>
  <c r="G34" i="22"/>
  <c r="L27" i="22"/>
  <c r="V25" i="22"/>
  <c r="O19" i="22"/>
  <c r="N31" i="22"/>
  <c r="O36" i="22"/>
  <c r="K13" i="22"/>
  <c r="I38" i="22"/>
  <c r="I44" i="22"/>
  <c r="T11" i="22"/>
  <c r="S2" i="21"/>
  <c r="W2" i="21"/>
  <c r="G2" i="21"/>
  <c r="X2" i="21"/>
  <c r="T2" i="21"/>
  <c r="J24" i="22"/>
  <c r="V33" i="22"/>
  <c r="D43" i="22"/>
  <c r="I2" i="16"/>
  <c r="V2" i="16"/>
  <c r="L43" i="22"/>
  <c r="R38" i="22"/>
  <c r="N10" i="22"/>
  <c r="K44" i="22"/>
  <c r="R17" i="10"/>
  <c r="W17" i="10"/>
  <c r="E17" i="10"/>
  <c r="X17" i="10"/>
  <c r="AA17" i="10"/>
  <c r="G17" i="10"/>
  <c r="D46" i="22"/>
  <c r="F14" i="22"/>
  <c r="N21" i="22"/>
  <c r="Q14" i="22"/>
  <c r="O21" i="22"/>
  <c r="M2" i="22"/>
  <c r="S2" i="22"/>
  <c r="I2" i="22"/>
  <c r="T7" i="22"/>
  <c r="U19" i="22"/>
  <c r="G32" i="22"/>
  <c r="I12" i="22"/>
  <c r="G33" i="22"/>
  <c r="J23" i="22"/>
  <c r="M11" i="22"/>
  <c r="R36" i="22"/>
  <c r="D33" i="22"/>
  <c r="R1" i="10"/>
  <c r="O1" i="10"/>
  <c r="H1" i="10"/>
  <c r="F12" i="22"/>
  <c r="F37" i="22"/>
  <c r="F10" i="22"/>
  <c r="N2" i="21"/>
  <c r="Y2" i="21"/>
  <c r="I2" i="21"/>
  <c r="H2" i="21"/>
  <c r="AA2" i="21"/>
  <c r="O11" i="22"/>
  <c r="O12" i="22"/>
  <c r="X2" i="16"/>
  <c r="G2" i="16"/>
  <c r="R2" i="16"/>
  <c r="V22" i="22"/>
  <c r="K26" i="22"/>
  <c r="P36" i="22"/>
  <c r="L44" i="22"/>
  <c r="K15" i="22"/>
  <c r="J40" i="22"/>
  <c r="N43" i="22"/>
  <c r="L17" i="22"/>
  <c r="F28" i="22"/>
  <c r="N29" i="22"/>
  <c r="M47" i="22"/>
  <c r="O17" i="10"/>
  <c r="S17" i="10"/>
  <c r="Y17" i="10"/>
  <c r="D17" i="10"/>
  <c r="H17" i="10"/>
  <c r="G819" i="26"/>
  <c r="K819" i="26" s="1"/>
  <c r="J927" i="26"/>
  <c r="L819" i="26"/>
  <c r="G3" i="10"/>
  <c r="R35" i="22"/>
  <c r="I34" i="22"/>
  <c r="E13" i="22"/>
  <c r="V34" i="22"/>
  <c r="H23" i="22"/>
  <c r="L15" i="22"/>
  <c r="J35" i="22"/>
  <c r="G14" i="22"/>
  <c r="P31" i="22"/>
  <c r="K25" i="22"/>
  <c r="H19" i="22"/>
  <c r="Z2" i="22"/>
  <c r="D2" i="22"/>
  <c r="L2" i="22"/>
  <c r="T15" i="22"/>
  <c r="O32" i="22"/>
  <c r="Q47" i="22"/>
  <c r="H25" i="22"/>
  <c r="R24" i="22"/>
  <c r="D10" i="22"/>
  <c r="T14" i="22"/>
  <c r="E1" i="10"/>
  <c r="J1" i="10"/>
  <c r="V1" i="10"/>
  <c r="K1" i="10"/>
  <c r="Q35" i="22"/>
  <c r="N9" i="22"/>
  <c r="N7" i="22"/>
  <c r="D45" i="22"/>
  <c r="D24" i="22"/>
  <c r="P2" i="21"/>
  <c r="J2" i="21"/>
  <c r="F2" i="21"/>
  <c r="O2" i="21"/>
  <c r="I13" i="22"/>
  <c r="S2" i="16"/>
  <c r="W2" i="16"/>
  <c r="G7" i="22"/>
  <c r="K29" i="22"/>
  <c r="E40" i="22"/>
  <c r="R16" i="22"/>
  <c r="K28" i="22"/>
  <c r="N39" i="22"/>
  <c r="N36" i="22"/>
  <c r="O29" i="22"/>
  <c r="U44" i="22"/>
  <c r="H45" i="22"/>
  <c r="F42" i="22"/>
  <c r="G45" i="22"/>
  <c r="U185" i="10"/>
  <c r="V184" i="10"/>
  <c r="AA200" i="10"/>
  <c r="AA203" i="10" s="1"/>
  <c r="X184" i="10"/>
  <c r="J200" i="10"/>
  <c r="J203" i="10" s="1"/>
  <c r="V200" i="10"/>
  <c r="X200" i="10"/>
  <c r="K947" i="26"/>
  <c r="K958" i="26"/>
  <c r="K855" i="26"/>
  <c r="K948" i="26"/>
  <c r="K973" i="26"/>
  <c r="M990" i="26"/>
  <c r="E990" i="26"/>
  <c r="J990" i="26"/>
  <c r="F990" i="26"/>
  <c r="G990" i="26"/>
  <c r="O865" i="26"/>
  <c r="Q865" i="26"/>
  <c r="G865" i="26"/>
  <c r="J865" i="26"/>
  <c r="L865" i="26"/>
  <c r="Q885" i="26"/>
  <c r="O885" i="26"/>
  <c r="L885" i="26"/>
  <c r="L935" i="26"/>
  <c r="F935" i="26"/>
  <c r="M937" i="26"/>
  <c r="F937" i="26"/>
  <c r="L937" i="26"/>
  <c r="G937" i="26"/>
  <c r="Q937" i="26"/>
  <c r="G826" i="26"/>
  <c r="M826" i="26"/>
  <c r="E826" i="26"/>
  <c r="Q826" i="26"/>
  <c r="F840" i="26"/>
  <c r="J840" i="26"/>
  <c r="M840" i="26"/>
  <c r="G840" i="26"/>
  <c r="Q873" i="26"/>
  <c r="M873" i="26"/>
  <c r="O873" i="26"/>
  <c r="G873" i="26"/>
  <c r="K873" i="26" s="1"/>
  <c r="E992" i="26"/>
  <c r="J992" i="26"/>
  <c r="G992" i="26"/>
  <c r="H200" i="10"/>
  <c r="L200" i="10"/>
  <c r="O830" i="26"/>
  <c r="L830" i="26"/>
  <c r="F830" i="26"/>
  <c r="K830" i="26" s="1"/>
  <c r="F825" i="26"/>
  <c r="G825" i="26"/>
  <c r="O852" i="26"/>
  <c r="Q852" i="26"/>
  <c r="E852" i="26"/>
  <c r="F852" i="26"/>
  <c r="J852" i="26"/>
  <c r="O904" i="26"/>
  <c r="G904" i="26"/>
  <c r="K904" i="26" s="1"/>
  <c r="Q904" i="26"/>
  <c r="J904" i="26"/>
  <c r="L904" i="26"/>
  <c r="M904" i="26"/>
  <c r="M902" i="26"/>
  <c r="F902" i="26"/>
  <c r="Q902" i="26"/>
  <c r="L902" i="26"/>
  <c r="G902" i="26"/>
  <c r="J902" i="26"/>
  <c r="F914" i="26"/>
  <c r="K914" i="26" s="1"/>
  <c r="L914" i="26"/>
  <c r="G914" i="26"/>
  <c r="O914" i="26"/>
  <c r="G200" i="10"/>
  <c r="K864" i="26"/>
  <c r="K812" i="26"/>
  <c r="K882" i="26"/>
  <c r="K985" i="26"/>
  <c r="K927" i="26"/>
  <c r="F976" i="26"/>
  <c r="Q976" i="26"/>
  <c r="J976" i="26"/>
  <c r="L976" i="26"/>
  <c r="G976" i="26"/>
  <c r="O976" i="26"/>
  <c r="L854" i="26"/>
  <c r="Q854" i="26"/>
  <c r="F854" i="26"/>
  <c r="K854" i="26" s="1"/>
  <c r="M856" i="26"/>
  <c r="L856" i="26"/>
  <c r="F856" i="26"/>
  <c r="Q974" i="26"/>
  <c r="L974" i="26"/>
  <c r="F974" i="26"/>
  <c r="K974" i="26" s="1"/>
  <c r="M974" i="26"/>
  <c r="J974" i="26"/>
  <c r="F908" i="26"/>
  <c r="Q908" i="26"/>
  <c r="M908" i="26"/>
  <c r="G908" i="26"/>
  <c r="J908" i="26"/>
  <c r="M874" i="26"/>
  <c r="G874" i="26"/>
  <c r="E874" i="26"/>
  <c r="L874" i="26"/>
  <c r="O965" i="26"/>
  <c r="L965" i="26"/>
  <c r="G965" i="26"/>
  <c r="M965" i="26"/>
  <c r="Q965" i="26"/>
  <c r="J965" i="26"/>
  <c r="E965" i="26"/>
  <c r="K965" i="26" s="1"/>
  <c r="M832" i="26"/>
  <c r="L832" i="26"/>
  <c r="G832" i="26"/>
  <c r="K832" i="26" s="1"/>
  <c r="Q832" i="26"/>
  <c r="F200" i="10"/>
  <c r="F203" i="10" s="1"/>
  <c r="N184" i="10"/>
  <c r="K827" i="26"/>
  <c r="K977" i="26"/>
  <c r="K890" i="26"/>
  <c r="G935" i="26"/>
  <c r="K937" i="26"/>
  <c r="F885" i="26"/>
  <c r="K885" i="26" s="1"/>
  <c r="E856" i="26"/>
  <c r="J986" i="26"/>
  <c r="M986" i="26"/>
  <c r="M830" i="26"/>
  <c r="J885" i="26"/>
  <c r="G838" i="26"/>
  <c r="J838" i="26"/>
  <c r="F838" i="26"/>
  <c r="E845" i="26"/>
  <c r="O845" i="26"/>
  <c r="F845" i="26"/>
  <c r="G845" i="26"/>
  <c r="F867" i="26"/>
  <c r="J867" i="26"/>
  <c r="E867" i="26"/>
  <c r="O867" i="26"/>
  <c r="O924" i="26"/>
  <c r="F924" i="26"/>
  <c r="J924" i="26"/>
  <c r="Q924" i="26"/>
  <c r="G924" i="26"/>
  <c r="L924" i="26"/>
  <c r="M924" i="26"/>
  <c r="L929" i="26"/>
  <c r="F929" i="26"/>
  <c r="K929" i="26" s="1"/>
  <c r="E928" i="26"/>
  <c r="O894" i="26"/>
  <c r="E894" i="26"/>
  <c r="L928" i="26"/>
  <c r="J894" i="26"/>
  <c r="J950" i="26"/>
  <c r="F3" i="10"/>
  <c r="S3" i="10"/>
  <c r="N2" i="22"/>
  <c r="Y2" i="22"/>
  <c r="E2" i="22"/>
  <c r="P2" i="22"/>
  <c r="K2" i="22"/>
  <c r="U2" i="22"/>
  <c r="H22" i="22"/>
  <c r="K33" i="22"/>
  <c r="L35" i="22"/>
  <c r="E14" i="22"/>
  <c r="R48" i="22"/>
  <c r="E205" i="10"/>
  <c r="F204" i="10"/>
  <c r="H204" i="10"/>
  <c r="J205" i="10"/>
  <c r="L204" i="10"/>
  <c r="N204" i="10"/>
  <c r="G928" i="26"/>
  <c r="Q2" i="22"/>
  <c r="R2" i="22"/>
  <c r="O2" i="22"/>
  <c r="X2" i="22"/>
  <c r="W2" i="22"/>
  <c r="K31" i="22"/>
  <c r="E25" i="22"/>
  <c r="R46" i="22"/>
  <c r="L46" i="22"/>
  <c r="N15" i="22"/>
  <c r="K23" i="22"/>
  <c r="P2" i="16"/>
  <c r="Z2" i="16"/>
  <c r="U2" i="16"/>
  <c r="N2" i="16"/>
  <c r="M42" i="22"/>
  <c r="L21" i="22"/>
  <c r="Q9" i="22"/>
  <c r="J46" i="22"/>
  <c r="P37" i="22"/>
  <c r="K16" i="22"/>
  <c r="G29" i="22"/>
  <c r="G43" i="22"/>
  <c r="K942" i="26"/>
  <c r="Q3" i="10"/>
  <c r="D205" i="10"/>
  <c r="O44" i="22"/>
  <c r="O45" i="22"/>
  <c r="G41" i="22"/>
  <c r="T204" i="10"/>
  <c r="G205" i="10"/>
  <c r="I205" i="10"/>
  <c r="K205" i="10"/>
  <c r="M205" i="10"/>
  <c r="U1" i="10"/>
  <c r="L1" i="10"/>
  <c r="G1" i="10"/>
  <c r="Y1" i="10"/>
  <c r="Q1" i="10"/>
  <c r="AB2" i="21"/>
  <c r="Q2" i="21"/>
  <c r="M2" i="21"/>
  <c r="U2" i="21"/>
  <c r="V2" i="21"/>
  <c r="O2" i="16"/>
  <c r="E2" i="16"/>
  <c r="AA2" i="16"/>
  <c r="K2" i="16"/>
  <c r="F2" i="16"/>
  <c r="V19" i="22"/>
  <c r="R12" i="22"/>
  <c r="H29" i="22"/>
  <c r="K18" i="22"/>
  <c r="E29" i="22"/>
  <c r="G42" i="22"/>
  <c r="G30" i="22"/>
  <c r="P39" i="22"/>
  <c r="K45" i="22"/>
  <c r="M46" i="22"/>
  <c r="J44" i="22"/>
  <c r="P29" i="22"/>
  <c r="O38" i="22"/>
  <c r="Y184" i="10"/>
  <c r="Y185" i="10"/>
  <c r="Q184" i="10"/>
  <c r="Q185" i="10"/>
  <c r="R184" i="10"/>
  <c r="X201" i="10"/>
  <c r="W201" i="10"/>
  <c r="E185" i="10"/>
  <c r="L201" i="10"/>
  <c r="S185" i="10"/>
  <c r="S184" i="10"/>
  <c r="AA184" i="10"/>
  <c r="AA185" i="10"/>
  <c r="K184" i="10"/>
  <c r="K185" i="10"/>
  <c r="R200" i="10"/>
  <c r="G184" i="10"/>
  <c r="G185" i="10"/>
  <c r="L185" i="10"/>
  <c r="L184" i="10"/>
  <c r="S200" i="10"/>
  <c r="P200" i="10"/>
  <c r="D200" i="10"/>
  <c r="T184" i="10"/>
  <c r="T185" i="10"/>
  <c r="J913" i="26"/>
  <c r="Q913" i="26"/>
  <c r="O913" i="26"/>
  <c r="L913" i="26"/>
  <c r="G913" i="26"/>
  <c r="M913" i="26"/>
  <c r="E913" i="26"/>
  <c r="G861" i="26"/>
  <c r="J861" i="26"/>
  <c r="F861" i="26"/>
  <c r="L861" i="26"/>
  <c r="Q861" i="26"/>
  <c r="O861" i="26"/>
  <c r="E861" i="26"/>
  <c r="O972" i="26"/>
  <c r="F972" i="26"/>
  <c r="G972" i="26"/>
  <c r="M972" i="26"/>
  <c r="L972" i="26"/>
  <c r="Q972" i="26"/>
  <c r="E972" i="26"/>
  <c r="J816" i="26"/>
  <c r="L816" i="26"/>
  <c r="F816" i="26"/>
  <c r="O816" i="26"/>
  <c r="G816" i="26"/>
  <c r="Q816" i="26"/>
  <c r="M816" i="26"/>
  <c r="E816" i="26"/>
  <c r="O978" i="26"/>
  <c r="J978" i="26"/>
  <c r="L978" i="26"/>
  <c r="E978" i="26"/>
  <c r="M978" i="26"/>
  <c r="F978" i="26"/>
  <c r="G978" i="26"/>
  <c r="Q978" i="26"/>
  <c r="O870" i="26"/>
  <c r="L870" i="26"/>
  <c r="F870" i="26"/>
  <c r="E870" i="26"/>
  <c r="Q870" i="26"/>
  <c r="J870" i="26"/>
  <c r="G870" i="26"/>
  <c r="M870" i="26"/>
  <c r="O839" i="26"/>
  <c r="M839" i="26"/>
  <c r="J839" i="26"/>
  <c r="Q839" i="26"/>
  <c r="G839" i="26"/>
  <c r="F839" i="26"/>
  <c r="L839" i="26"/>
  <c r="G930" i="26"/>
  <c r="J930" i="26"/>
  <c r="Q930" i="26"/>
  <c r="O930" i="26"/>
  <c r="F930" i="26"/>
  <c r="M930" i="26"/>
  <c r="E930" i="26"/>
  <c r="L930" i="26"/>
  <c r="E1002" i="26"/>
  <c r="F1002" i="26"/>
  <c r="O1002" i="26"/>
  <c r="J1002" i="26"/>
  <c r="L1002" i="26"/>
  <c r="M1002" i="26"/>
  <c r="G1002" i="26"/>
  <c r="M813" i="26"/>
  <c r="Q813" i="26"/>
  <c r="E813" i="26"/>
  <c r="K813" i="26" s="1"/>
  <c r="O813" i="26"/>
  <c r="F813" i="26"/>
  <c r="G813" i="26"/>
  <c r="L813" i="26"/>
  <c r="J813" i="26"/>
  <c r="O815" i="26"/>
  <c r="J815" i="26"/>
  <c r="L815" i="26"/>
  <c r="G815" i="26"/>
  <c r="E815" i="26"/>
  <c r="Q815" i="26"/>
  <c r="M815" i="26"/>
  <c r="F815" i="26"/>
  <c r="J875" i="26"/>
  <c r="O875" i="26"/>
  <c r="E875" i="26"/>
  <c r="M875" i="26"/>
  <c r="L875" i="26"/>
  <c r="F875" i="26"/>
  <c r="G875" i="26"/>
  <c r="Q875" i="26"/>
  <c r="J960" i="26"/>
  <c r="O960" i="26"/>
  <c r="Q960" i="26"/>
  <c r="M960" i="26"/>
  <c r="F960" i="26"/>
  <c r="G960" i="26"/>
  <c r="L960" i="26"/>
  <c r="E960" i="26"/>
  <c r="M880" i="26"/>
  <c r="Q880" i="26"/>
  <c r="F880" i="26"/>
  <c r="E880" i="26"/>
  <c r="J880" i="26"/>
  <c r="O880" i="26"/>
  <c r="G880" i="26"/>
  <c r="Q981" i="26"/>
  <c r="J981" i="26"/>
  <c r="L981" i="26"/>
  <c r="F981" i="26"/>
  <c r="E981" i="26"/>
  <c r="M981" i="26"/>
  <c r="G981" i="26"/>
  <c r="O981" i="26"/>
  <c r="M939" i="26"/>
  <c r="F939" i="26"/>
  <c r="J939" i="26"/>
  <c r="Q939" i="26"/>
  <c r="L939" i="26"/>
  <c r="E939" i="26"/>
  <c r="K939" i="26" s="1"/>
  <c r="O939" i="26"/>
  <c r="G921" i="26"/>
  <c r="E921" i="26"/>
  <c r="O921" i="26"/>
  <c r="M921" i="26"/>
  <c r="F921" i="26"/>
  <c r="L921" i="26"/>
  <c r="Q921" i="26"/>
  <c r="J921" i="26"/>
  <c r="F853" i="26"/>
  <c r="J853" i="26"/>
  <c r="M853" i="26"/>
  <c r="G853" i="26"/>
  <c r="E853" i="26"/>
  <c r="Q853" i="26"/>
  <c r="L853" i="26"/>
  <c r="J999" i="26"/>
  <c r="M999" i="26"/>
  <c r="E999" i="26"/>
  <c r="L999" i="26"/>
  <c r="Q999" i="26"/>
  <c r="G999" i="26"/>
  <c r="F999" i="26"/>
  <c r="G920" i="26"/>
  <c r="O920" i="26"/>
  <c r="F920" i="26"/>
  <c r="J920" i="26"/>
  <c r="Q920" i="26"/>
  <c r="L920" i="26"/>
  <c r="E920" i="26"/>
  <c r="K920" i="26" s="1"/>
  <c r="M920" i="26"/>
  <c r="M887" i="26"/>
  <c r="L887" i="26"/>
  <c r="E887" i="26"/>
  <c r="J887" i="26"/>
  <c r="G887" i="26"/>
  <c r="O887" i="26"/>
  <c r="F887" i="26"/>
  <c r="Q821" i="26"/>
  <c r="L821" i="26"/>
  <c r="G821" i="26"/>
  <c r="M821" i="26"/>
  <c r="J821" i="26"/>
  <c r="F821" i="26"/>
  <c r="O821" i="26"/>
  <c r="E868" i="26"/>
  <c r="M868" i="26"/>
  <c r="Q868" i="26"/>
  <c r="G868" i="26"/>
  <c r="F868" i="26"/>
  <c r="J868" i="26"/>
  <c r="L868" i="26"/>
  <c r="O868" i="26"/>
  <c r="J184" i="10"/>
  <c r="I185" i="10"/>
  <c r="M200" i="10"/>
  <c r="Y200" i="10"/>
  <c r="Y201" i="10" s="1"/>
  <c r="I200" i="10"/>
  <c r="I201" i="10" s="1"/>
  <c r="W184" i="10"/>
  <c r="L880" i="26"/>
  <c r="J972" i="26"/>
  <c r="J820" i="26"/>
  <c r="G820" i="26"/>
  <c r="O820" i="26"/>
  <c r="Q820" i="26"/>
  <c r="L820" i="26"/>
  <c r="F820" i="26"/>
  <c r="K820" i="26" s="1"/>
  <c r="Q800" i="26"/>
  <c r="J800" i="26"/>
  <c r="M800" i="26"/>
  <c r="O800" i="26"/>
  <c r="L800" i="26"/>
  <c r="G800" i="26"/>
  <c r="E800" i="26"/>
  <c r="L866" i="26"/>
  <c r="G866" i="26"/>
  <c r="O866" i="26"/>
  <c r="M866" i="26"/>
  <c r="Q866" i="26"/>
  <c r="J866" i="26"/>
  <c r="E866" i="26"/>
  <c r="K866" i="26" s="1"/>
  <c r="F866" i="26"/>
  <c r="M877" i="26"/>
  <c r="F877" i="26"/>
  <c r="Q877" i="26"/>
  <c r="O877" i="26"/>
  <c r="E877" i="26"/>
  <c r="J877" i="26"/>
  <c r="L877" i="26"/>
  <c r="G877" i="26"/>
  <c r="F836" i="26"/>
  <c r="L836" i="26"/>
  <c r="O836" i="26"/>
  <c r="G836" i="26"/>
  <c r="J836" i="26"/>
  <c r="E836" i="26"/>
  <c r="Q836" i="26"/>
  <c r="M836" i="26"/>
  <c r="M959" i="26"/>
  <c r="E959" i="26"/>
  <c r="J959" i="26"/>
  <c r="L959" i="26"/>
  <c r="O959" i="26"/>
  <c r="G959" i="26"/>
  <c r="Q959" i="26"/>
  <c r="F959" i="26"/>
  <c r="M857" i="26"/>
  <c r="J857" i="26"/>
  <c r="Q857" i="26"/>
  <c r="L857" i="26"/>
  <c r="O857" i="26"/>
  <c r="F857" i="26"/>
  <c r="G857" i="26"/>
  <c r="O809" i="26"/>
  <c r="L809" i="26"/>
  <c r="G809" i="26"/>
  <c r="M809" i="26"/>
  <c r="Q809" i="26"/>
  <c r="J809" i="26"/>
  <c r="F809" i="26"/>
  <c r="K809" i="26" s="1"/>
  <c r="G962" i="26"/>
  <c r="J962" i="26"/>
  <c r="L962" i="26"/>
  <c r="M962" i="26"/>
  <c r="Q962" i="26"/>
  <c r="F962" i="26"/>
  <c r="G897" i="26"/>
  <c r="Q897" i="26"/>
  <c r="L897" i="26"/>
  <c r="O897" i="26"/>
  <c r="F897" i="26"/>
  <c r="K897" i="26" s="1"/>
  <c r="M897" i="26"/>
  <c r="J897" i="26"/>
  <c r="E988" i="26"/>
  <c r="Q988" i="26"/>
  <c r="L988" i="26"/>
  <c r="G988" i="26"/>
  <c r="F988" i="26"/>
  <c r="J988" i="26"/>
  <c r="O988" i="26"/>
  <c r="M988" i="26"/>
  <c r="L1000" i="26"/>
  <c r="F1000" i="26"/>
  <c r="J1000" i="26"/>
  <c r="G1000" i="26"/>
  <c r="Q1000" i="26"/>
  <c r="M1000" i="26"/>
  <c r="O1000" i="26"/>
  <c r="L891" i="26"/>
  <c r="Q891" i="26"/>
  <c r="J891" i="26"/>
  <c r="O891" i="26"/>
  <c r="F891" i="26"/>
  <c r="G891" i="26"/>
  <c r="E891" i="26"/>
  <c r="M891" i="26"/>
  <c r="O910" i="26"/>
  <c r="F910" i="26"/>
  <c r="Q910" i="26"/>
  <c r="J910" i="26"/>
  <c r="M910" i="26"/>
  <c r="L910" i="26"/>
  <c r="G910" i="26"/>
  <c r="Q915" i="26"/>
  <c r="G915" i="26"/>
  <c r="J915" i="26"/>
  <c r="M915" i="26"/>
  <c r="E915" i="26"/>
  <c r="L915" i="26"/>
  <c r="F915" i="26"/>
  <c r="F922" i="26"/>
  <c r="O922" i="26"/>
  <c r="J922" i="26"/>
  <c r="Q922" i="26"/>
  <c r="G922" i="26"/>
  <c r="E922" i="26"/>
  <c r="L922" i="26"/>
  <c r="O905" i="26"/>
  <c r="F905" i="26"/>
  <c r="M905" i="26"/>
  <c r="E905" i="26"/>
  <c r="K905" i="26" s="1"/>
  <c r="G905" i="26"/>
  <c r="Q905" i="26"/>
  <c r="L905" i="26"/>
  <c r="Q1008" i="26"/>
  <c r="E1008" i="26"/>
  <c r="G1008" i="26"/>
  <c r="O1008" i="26"/>
  <c r="M1008" i="26"/>
  <c r="J1008" i="26"/>
  <c r="F1008" i="26"/>
  <c r="G871" i="26"/>
  <c r="F871" i="26"/>
  <c r="K871" i="26" s="1"/>
  <c r="L871" i="26"/>
  <c r="Q871" i="26"/>
  <c r="O871" i="26"/>
  <c r="M871" i="26"/>
  <c r="J871" i="26"/>
  <c r="M982" i="26"/>
  <c r="G982" i="26"/>
  <c r="F982" i="26"/>
  <c r="K982" i="26" s="1"/>
  <c r="O982" i="26"/>
  <c r="Q982" i="26"/>
  <c r="J982" i="26"/>
  <c r="L878" i="26"/>
  <c r="G878" i="26"/>
  <c r="J878" i="26"/>
  <c r="Q878" i="26"/>
  <c r="F878" i="26"/>
  <c r="K878" i="26" s="1"/>
  <c r="O878" i="26"/>
  <c r="U184" i="10"/>
  <c r="Z184" i="10"/>
  <c r="Z200" i="10"/>
  <c r="T200" i="10"/>
  <c r="O200" i="10"/>
  <c r="E200" i="10" a="1"/>
  <c r="E200" i="10" s="1"/>
  <c r="E201" i="10" s="1"/>
  <c r="P184" i="10"/>
  <c r="Q1002" i="26"/>
  <c r="G969" i="26"/>
  <c r="L969" i="26"/>
  <c r="J969" i="26"/>
  <c r="E969" i="26"/>
  <c r="M969" i="26"/>
  <c r="O969" i="26"/>
  <c r="F969" i="26"/>
  <c r="Q969" i="26"/>
  <c r="O911" i="26"/>
  <c r="M911" i="26"/>
  <c r="F911" i="26"/>
  <c r="K911" i="26" s="1"/>
  <c r="L911" i="26"/>
  <c r="G911" i="26"/>
  <c r="Q911" i="26"/>
  <c r="J911" i="26"/>
  <c r="M926" i="26"/>
  <c r="F926" i="26"/>
  <c r="J926" i="26"/>
  <c r="O926" i="26"/>
  <c r="E926" i="26"/>
  <c r="G926" i="26"/>
  <c r="L926" i="26"/>
  <c r="Q949" i="26"/>
  <c r="E949" i="26"/>
  <c r="G949" i="26"/>
  <c r="O949" i="26"/>
  <c r="J949" i="26"/>
  <c r="M949" i="26"/>
  <c r="L949" i="26"/>
  <c r="F949" i="26"/>
  <c r="F895" i="26"/>
  <c r="L895" i="26"/>
  <c r="J895" i="26"/>
  <c r="G895" i="26"/>
  <c r="O895" i="26"/>
  <c r="Q895" i="26"/>
  <c r="E895" i="26"/>
  <c r="M895" i="26"/>
  <c r="F863" i="26"/>
  <c r="K863" i="26" s="1"/>
  <c r="Q863" i="26"/>
  <c r="J863" i="26"/>
  <c r="M863" i="26"/>
  <c r="O863" i="26"/>
  <c r="G863" i="26"/>
  <c r="L863" i="26"/>
  <c r="G919" i="26"/>
  <c r="M919" i="26"/>
  <c r="O919" i="26"/>
  <c r="E919" i="26"/>
  <c r="Q919" i="26"/>
  <c r="L919" i="26"/>
  <c r="F919" i="26"/>
  <c r="J919" i="26"/>
  <c r="J906" i="26"/>
  <c r="F906" i="26"/>
  <c r="O906" i="26"/>
  <c r="G906" i="26"/>
  <c r="E906" i="26"/>
  <c r="M906" i="26"/>
  <c r="Q906" i="26"/>
  <c r="L906" i="26"/>
  <c r="L802" i="26"/>
  <c r="F802" i="26"/>
  <c r="O802" i="26"/>
  <c r="E802" i="26"/>
  <c r="Q802" i="26"/>
  <c r="G802" i="26"/>
  <c r="J802" i="26"/>
  <c r="M802" i="26"/>
  <c r="F1004" i="26"/>
  <c r="O1004" i="26"/>
  <c r="J1004" i="26"/>
  <c r="Q1004" i="26"/>
  <c r="M1004" i="26"/>
  <c r="L1004" i="26"/>
  <c r="G1004" i="26"/>
  <c r="E1004" i="26"/>
  <c r="G869" i="26"/>
  <c r="Q869" i="26"/>
  <c r="J869" i="26"/>
  <c r="O869" i="26"/>
  <c r="L869" i="26"/>
  <c r="E869" i="26"/>
  <c r="F869" i="26"/>
  <c r="M869" i="26"/>
  <c r="G889" i="26"/>
  <c r="F889" i="26"/>
  <c r="O889" i="26"/>
  <c r="E889" i="26"/>
  <c r="M889" i="26"/>
  <c r="L889" i="26"/>
  <c r="J889" i="26"/>
  <c r="Q889" i="26"/>
  <c r="J901" i="26"/>
  <c r="G901" i="26"/>
  <c r="O901" i="26"/>
  <c r="Q901" i="26"/>
  <c r="F901" i="26"/>
  <c r="M901" i="26"/>
  <c r="L901" i="26"/>
  <c r="E901" i="26"/>
  <c r="F971" i="26"/>
  <c r="O971" i="26"/>
  <c r="J971" i="26"/>
  <c r="L971" i="26"/>
  <c r="Q971" i="26"/>
  <c r="E971" i="26"/>
  <c r="M971" i="26"/>
  <c r="G971" i="26"/>
  <c r="G835" i="26"/>
  <c r="J835" i="26"/>
  <c r="L835" i="26"/>
  <c r="O835" i="26"/>
  <c r="M835" i="26"/>
  <c r="Q835" i="26"/>
  <c r="F835" i="26"/>
  <c r="E835" i="26"/>
  <c r="G843" i="26"/>
  <c r="L843" i="26"/>
  <c r="J843" i="26"/>
  <c r="M843" i="26"/>
  <c r="F843" i="26"/>
  <c r="K843" i="26" s="1"/>
  <c r="Q843" i="26"/>
  <c r="O843" i="26"/>
  <c r="E833" i="26"/>
  <c r="M833" i="26"/>
  <c r="L833" i="26"/>
  <c r="F833" i="26"/>
  <c r="Q833" i="26"/>
  <c r="O833" i="26"/>
  <c r="J833" i="26"/>
  <c r="G833" i="26"/>
  <c r="O876" i="26"/>
  <c r="J876" i="26"/>
  <c r="L876" i="26"/>
  <c r="F876" i="26"/>
  <c r="K876" i="26" s="1"/>
  <c r="M876" i="26"/>
  <c r="Q876" i="26"/>
  <c r="L886" i="26"/>
  <c r="G886" i="26"/>
  <c r="M886" i="26"/>
  <c r="J886" i="26"/>
  <c r="O886" i="26"/>
  <c r="F886" i="26"/>
  <c r="K886" i="26" s="1"/>
  <c r="Q886" i="26"/>
  <c r="Q884" i="26"/>
  <c r="L884" i="26"/>
  <c r="M884" i="26"/>
  <c r="O884" i="26"/>
  <c r="F884" i="26"/>
  <c r="J884" i="26"/>
  <c r="G884" i="26"/>
  <c r="O851" i="26"/>
  <c r="F851" i="26"/>
  <c r="Q851" i="26"/>
  <c r="J851" i="26"/>
  <c r="G851" i="26"/>
  <c r="L851" i="26"/>
  <c r="M851" i="26"/>
  <c r="L847" i="26"/>
  <c r="M847" i="26"/>
  <c r="G847" i="26"/>
  <c r="Q847" i="26"/>
  <c r="E847" i="26"/>
  <c r="K847" i="26" s="1"/>
  <c r="J847" i="26"/>
  <c r="F847" i="26"/>
  <c r="O847" i="26"/>
  <c r="E940" i="26"/>
  <c r="L940" i="26"/>
  <c r="M940" i="26"/>
  <c r="F940" i="26"/>
  <c r="Q940" i="26"/>
  <c r="G940" i="26"/>
  <c r="J940" i="26"/>
  <c r="O940" i="26"/>
  <c r="Q822" i="26"/>
  <c r="O822" i="26"/>
  <c r="G822" i="26"/>
  <c r="F822" i="26"/>
  <c r="M822" i="26"/>
  <c r="L822" i="26"/>
  <c r="J822" i="26"/>
  <c r="E822" i="26"/>
  <c r="K822" i="26" s="1"/>
  <c r="G893" i="26"/>
  <c r="F893" i="26"/>
  <c r="J893" i="26"/>
  <c r="L893" i="26"/>
  <c r="O893" i="26"/>
  <c r="E893" i="26"/>
  <c r="Q893" i="26"/>
  <c r="M893" i="26"/>
  <c r="J984" i="26"/>
  <c r="G984" i="26"/>
  <c r="O984" i="26"/>
  <c r="F984" i="26"/>
  <c r="Q984" i="26"/>
  <c r="E984" i="26"/>
  <c r="M984" i="26"/>
  <c r="L984" i="26"/>
  <c r="E997" i="26"/>
  <c r="G997" i="26"/>
  <c r="M997" i="26"/>
  <c r="J997" i="26"/>
  <c r="L997" i="26"/>
  <c r="F997" i="26"/>
  <c r="O997" i="26"/>
  <c r="Q997" i="26"/>
  <c r="J941" i="26"/>
  <c r="E941" i="26"/>
  <c r="Q941" i="26"/>
  <c r="F941" i="26"/>
  <c r="O941" i="26"/>
  <c r="G941" i="26"/>
  <c r="L941" i="26"/>
  <c r="G1007" i="26"/>
  <c r="J1007" i="26"/>
  <c r="M1007" i="26"/>
  <c r="Q1007" i="26"/>
  <c r="L1007" i="26"/>
  <c r="F1007" i="26"/>
  <c r="O1007" i="26"/>
  <c r="F944" i="26"/>
  <c r="L944" i="26"/>
  <c r="O944" i="26"/>
  <c r="G944" i="26"/>
  <c r="J944" i="26"/>
  <c r="Q944" i="26"/>
  <c r="E944" i="26"/>
  <c r="M944" i="26"/>
  <c r="Q200" i="10"/>
  <c r="Q201" i="10" s="1"/>
  <c r="N200" i="10"/>
  <c r="N201" i="10" s="1"/>
  <c r="M184" i="10"/>
  <c r="O184" i="10"/>
  <c r="H184" i="10"/>
  <c r="H185" i="10"/>
  <c r="K910" i="26"/>
  <c r="Q805" i="26"/>
  <c r="E805" i="26"/>
  <c r="G805" i="26"/>
  <c r="F805" i="26"/>
  <c r="M805" i="26"/>
  <c r="L805" i="26"/>
  <c r="J805" i="26"/>
  <c r="Q994" i="26"/>
  <c r="J994" i="26"/>
  <c r="L994" i="26"/>
  <c r="G994" i="26"/>
  <c r="E994" i="26"/>
  <c r="F994" i="26"/>
  <c r="M994" i="26"/>
  <c r="Q955" i="26"/>
  <c r="G955" i="26"/>
  <c r="F955" i="26"/>
  <c r="J955" i="26"/>
  <c r="E955" i="26"/>
  <c r="L955" i="26"/>
  <c r="O955" i="26"/>
  <c r="G803" i="26"/>
  <c r="L803" i="26"/>
  <c r="M803" i="26"/>
  <c r="Q803" i="26"/>
  <c r="E803" i="26"/>
  <c r="F803" i="26"/>
  <c r="O803" i="26"/>
  <c r="M1001" i="26"/>
  <c r="J1001" i="26"/>
  <c r="Q1001" i="26"/>
  <c r="F1001" i="26"/>
  <c r="K1001" i="26" s="1"/>
  <c r="G1001" i="26"/>
  <c r="O1001" i="26"/>
  <c r="F1009" i="26"/>
  <c r="E1009" i="26"/>
  <c r="Q1009" i="26"/>
  <c r="M1009" i="26"/>
  <c r="G1009" i="26"/>
  <c r="O1009" i="26"/>
  <c r="L1009" i="26"/>
  <c r="J1009" i="26"/>
  <c r="O824" i="26"/>
  <c r="L824" i="26"/>
  <c r="J824" i="26"/>
  <c r="G824" i="26"/>
  <c r="Q824" i="26"/>
  <c r="F824" i="26"/>
  <c r="M824" i="26"/>
  <c r="E824" i="26"/>
  <c r="Q814" i="26"/>
  <c r="E814" i="26"/>
  <c r="J814" i="26"/>
  <c r="O814" i="26"/>
  <c r="M814" i="26"/>
  <c r="F814" i="26"/>
  <c r="G814" i="26"/>
  <c r="L814" i="26"/>
  <c r="Q932" i="26"/>
  <c r="O932" i="26"/>
  <c r="F932" i="26"/>
  <c r="L932" i="26"/>
  <c r="J932" i="26"/>
  <c r="G932" i="26"/>
  <c r="G953" i="26"/>
  <c r="J953" i="26"/>
  <c r="F953" i="26"/>
  <c r="M953" i="26"/>
  <c r="L953" i="26"/>
  <c r="Q953" i="26"/>
  <c r="E953" i="26"/>
  <c r="Q831" i="26"/>
  <c r="J831" i="26"/>
  <c r="G831" i="26"/>
  <c r="M831" i="26"/>
  <c r="O831" i="26"/>
  <c r="L831" i="26"/>
  <c r="F831" i="26"/>
  <c r="E831" i="26"/>
  <c r="F898" i="26"/>
  <c r="K898" i="26" s="1"/>
  <c r="Q898" i="26"/>
  <c r="O898" i="26"/>
  <c r="J898" i="26"/>
  <c r="L898" i="26"/>
  <c r="G898" i="26"/>
  <c r="M898" i="26"/>
  <c r="F883" i="26"/>
  <c r="M883" i="26"/>
  <c r="O883" i="26"/>
  <c r="G883" i="26"/>
  <c r="L883" i="26"/>
  <c r="E883" i="26"/>
  <c r="J883" i="26"/>
  <c r="Q883" i="26"/>
  <c r="G980" i="26"/>
  <c r="L980" i="26"/>
  <c r="M980" i="26"/>
  <c r="E980" i="26"/>
  <c r="O980" i="26"/>
  <c r="F980" i="26"/>
  <c r="Q980" i="26"/>
  <c r="F818" i="26"/>
  <c r="Q818" i="26"/>
  <c r="L818" i="26"/>
  <c r="G818" i="26"/>
  <c r="O818" i="26"/>
  <c r="M818" i="26"/>
  <c r="E818" i="26"/>
  <c r="K818" i="26" s="1"/>
  <c r="J818" i="26"/>
  <c r="O829" i="26"/>
  <c r="F829" i="26"/>
  <c r="Q829" i="26"/>
  <c r="G829" i="26"/>
  <c r="E829" i="26"/>
  <c r="L829" i="26"/>
  <c r="J829" i="26"/>
  <c r="E900" i="26"/>
  <c r="F900" i="26"/>
  <c r="O900" i="26"/>
  <c r="M900" i="26"/>
  <c r="J900" i="26"/>
  <c r="L900" i="26"/>
  <c r="Q900" i="26"/>
  <c r="G900" i="26"/>
  <c r="Q892" i="26"/>
  <c r="L892" i="26"/>
  <c r="J892" i="26"/>
  <c r="M892" i="26"/>
  <c r="G892" i="26"/>
  <c r="E892" i="26"/>
  <c r="F892" i="26"/>
  <c r="O892" i="26"/>
  <c r="G859" i="26"/>
  <c r="K859" i="26" s="1"/>
  <c r="O859" i="26"/>
  <c r="L859" i="26"/>
  <c r="M859" i="26"/>
  <c r="Q859" i="26"/>
  <c r="J859" i="26"/>
  <c r="F989" i="26"/>
  <c r="G989" i="26"/>
  <c r="L989" i="26"/>
  <c r="O989" i="26"/>
  <c r="E989" i="26"/>
  <c r="J989" i="26"/>
  <c r="M989" i="26"/>
  <c r="Q989" i="26"/>
  <c r="O903" i="26"/>
  <c r="L903" i="26"/>
  <c r="Q903" i="26"/>
  <c r="G903" i="26"/>
  <c r="M903" i="26"/>
  <c r="F903" i="26"/>
  <c r="K903" i="26" s="1"/>
  <c r="J903" i="26"/>
  <c r="L912" i="26"/>
  <c r="J912" i="26"/>
  <c r="E912" i="26"/>
  <c r="O912" i="26"/>
  <c r="M912" i="26"/>
  <c r="Q912" i="26"/>
  <c r="F912" i="26"/>
  <c r="G912" i="26"/>
  <c r="O917" i="26"/>
  <c r="L917" i="26"/>
  <c r="E917" i="26"/>
  <c r="F917" i="26"/>
  <c r="J917" i="26"/>
  <c r="G917" i="26"/>
  <c r="Q917" i="26"/>
  <c r="M917" i="26"/>
  <c r="Q975" i="26"/>
  <c r="M975" i="26"/>
  <c r="O975" i="26"/>
  <c r="E975" i="26"/>
  <c r="L975" i="26"/>
  <c r="F975" i="26"/>
  <c r="J975" i="26"/>
  <c r="G975" i="26"/>
  <c r="F933" i="26"/>
  <c r="G933" i="26"/>
  <c r="M933" i="26"/>
  <c r="L933" i="26"/>
  <c r="O933" i="26"/>
  <c r="Q933" i="26"/>
  <c r="E933" i="26"/>
  <c r="J933" i="26"/>
  <c r="G806" i="26"/>
  <c r="J806" i="26"/>
  <c r="Q806" i="26"/>
  <c r="M806" i="26"/>
  <c r="L806" i="26"/>
  <c r="O806" i="26"/>
  <c r="F806" i="26"/>
  <c r="M1006" i="26"/>
  <c r="Q1006" i="26"/>
  <c r="J1006" i="26"/>
  <c r="O1006" i="26"/>
  <c r="L1006" i="26"/>
  <c r="F1006" i="26"/>
  <c r="G1006" i="26"/>
  <c r="Q849" i="26"/>
  <c r="G849" i="26"/>
  <c r="L849" i="26"/>
  <c r="O849" i="26"/>
  <c r="M849" i="26"/>
  <c r="F849" i="26"/>
  <c r="E849" i="26"/>
  <c r="K849" i="26" s="1"/>
  <c r="J849" i="26"/>
  <c r="J807" i="26"/>
  <c r="O807" i="26"/>
  <c r="Q807" i="26"/>
  <c r="G807" i="26"/>
  <c r="L807" i="26"/>
  <c r="F807" i="26"/>
  <c r="E828" i="26"/>
  <c r="Q828" i="26"/>
  <c r="M828" i="26"/>
  <c r="F828" i="26"/>
  <c r="L828" i="26"/>
  <c r="G828" i="26"/>
  <c r="O828" i="26"/>
  <c r="L943" i="26"/>
  <c r="M943" i="26"/>
  <c r="F943" i="26"/>
  <c r="O943" i="26"/>
  <c r="J943" i="26"/>
  <c r="E943" i="26"/>
  <c r="G943" i="26"/>
  <c r="Q943" i="26"/>
  <c r="O907" i="26"/>
  <c r="F907" i="26"/>
  <c r="E907" i="26"/>
  <c r="G907" i="26"/>
  <c r="L907" i="26"/>
  <c r="M907" i="26"/>
  <c r="J907" i="26"/>
  <c r="M817" i="26"/>
  <c r="L817" i="26"/>
  <c r="Q817" i="26"/>
  <c r="F817" i="26"/>
  <c r="K817" i="26" s="1"/>
  <c r="O817" i="26"/>
  <c r="G817" i="26"/>
  <c r="J817" i="26"/>
  <c r="O951" i="26"/>
  <c r="G951" i="26"/>
  <c r="F951" i="26"/>
  <c r="L951" i="26"/>
  <c r="Q951" i="26"/>
  <c r="J951" i="26"/>
  <c r="F961" i="26"/>
  <c r="Q961" i="26"/>
  <c r="L961" i="26"/>
  <c r="E961" i="26"/>
  <c r="M961" i="26"/>
  <c r="O961" i="26"/>
  <c r="G961" i="26"/>
  <c r="J961" i="26"/>
  <c r="F946" i="26"/>
  <c r="M946" i="26"/>
  <c r="J946" i="26"/>
  <c r="L946" i="26"/>
  <c r="O946" i="26"/>
  <c r="G946" i="26"/>
  <c r="Q946" i="26"/>
  <c r="E946" i="26"/>
  <c r="G894" i="26"/>
  <c r="K894" i="26" s="1"/>
  <c r="G856" i="26"/>
  <c r="K856" i="26" s="1"/>
  <c r="F865" i="26"/>
  <c r="K865" i="26" s="1"/>
  <c r="M865" i="26"/>
  <c r="P3" i="10"/>
  <c r="V3" i="10"/>
  <c r="J3" i="10"/>
  <c r="D3" i="10"/>
  <c r="U3" i="10"/>
  <c r="N3" i="10"/>
  <c r="Q11" i="22"/>
  <c r="L31" i="22"/>
  <c r="S46" i="22"/>
  <c r="M15" i="22"/>
  <c r="Q10" i="22"/>
  <c r="S48" i="22"/>
  <c r="P1" i="10"/>
  <c r="D1" i="10"/>
  <c r="AA1" i="10"/>
  <c r="I1" i="10"/>
  <c r="Z1" i="10"/>
  <c r="S36" i="22"/>
  <c r="E48" i="22"/>
  <c r="T12" i="22"/>
  <c r="G10" i="22"/>
  <c r="M16" i="22"/>
  <c r="T26" i="22"/>
  <c r="V36" i="22"/>
  <c r="T41" i="22"/>
  <c r="K38" i="22"/>
  <c r="E37" i="22"/>
  <c r="M2" i="16"/>
  <c r="J2" i="16"/>
  <c r="Q2" i="16"/>
  <c r="Y2" i="16"/>
  <c r="L2" i="16"/>
  <c r="K19" i="22"/>
  <c r="V43" i="22"/>
  <c r="I33" i="22"/>
  <c r="J31" i="22"/>
  <c r="D18" i="22"/>
  <c r="M39" i="22"/>
  <c r="P32" i="22"/>
  <c r="T24" i="22"/>
  <c r="V27" i="22"/>
  <c r="G13" i="22"/>
  <c r="T27" i="22"/>
  <c r="R8" i="22"/>
  <c r="D173" i="10"/>
  <c r="D183" i="10" s="1"/>
  <c r="J41" i="22"/>
  <c r="H17" i="22"/>
  <c r="I28" i="22"/>
  <c r="U16" i="22"/>
  <c r="F45" i="22"/>
  <c r="U39" i="22"/>
  <c r="H41" i="22"/>
  <c r="U17" i="22"/>
  <c r="S39" i="22"/>
  <c r="Q43" i="22"/>
  <c r="G26" i="22"/>
  <c r="G27" i="22"/>
  <c r="J39" i="22"/>
  <c r="E47" i="22"/>
  <c r="N41" i="22"/>
  <c r="F27" i="22"/>
  <c r="J21" i="22"/>
  <c r="T47" i="22"/>
  <c r="F47" i="22"/>
  <c r="M22" i="22"/>
  <c r="M3" i="10"/>
  <c r="W3" i="10"/>
  <c r="T3" i="10"/>
  <c r="O3" i="10"/>
  <c r="I3" i="10"/>
  <c r="E3" i="10"/>
  <c r="D41" i="22"/>
  <c r="T32" i="22"/>
  <c r="F17" i="22"/>
  <c r="E204" i="10"/>
  <c r="T205" i="10"/>
  <c r="F205" i="10"/>
  <c r="G204" i="10"/>
  <c r="H205" i="10"/>
  <c r="I204" i="10"/>
  <c r="J204" i="10"/>
  <c r="K204" i="10"/>
  <c r="L205" i="10"/>
  <c r="M204" i="10"/>
  <c r="N205" i="10"/>
  <c r="H3" i="10"/>
  <c r="X3" i="10"/>
  <c r="AA3" i="10"/>
  <c r="L3" i="10"/>
  <c r="Z3" i="10"/>
  <c r="K870" i="26" l="1"/>
  <c r="K972" i="26"/>
  <c r="K201" i="10"/>
  <c r="V201" i="10"/>
  <c r="G201" i="10"/>
  <c r="K967" i="26"/>
  <c r="K816" i="26"/>
  <c r="K908" i="26"/>
  <c r="K986" i="26"/>
  <c r="K860" i="26"/>
  <c r="K1005" i="26"/>
  <c r="K880" i="26"/>
  <c r="K825" i="26"/>
  <c r="K1008" i="26"/>
  <c r="K924" i="26"/>
  <c r="K902" i="26"/>
  <c r="K840" i="26"/>
  <c r="K922" i="26"/>
  <c r="K838" i="26"/>
  <c r="K874" i="26"/>
  <c r="K976" i="26"/>
  <c r="K852" i="26"/>
  <c r="K893" i="26"/>
  <c r="K913" i="26"/>
  <c r="K867" i="26"/>
  <c r="K935" i="26"/>
  <c r="K883" i="26"/>
  <c r="K1009" i="26"/>
  <c r="K1007" i="26"/>
  <c r="K962" i="26"/>
  <c r="K845" i="26"/>
  <c r="K826" i="26"/>
  <c r="K978" i="26"/>
  <c r="K928" i="26"/>
  <c r="K990" i="26"/>
  <c r="K943" i="26"/>
  <c r="K828" i="26"/>
  <c r="K1006" i="26"/>
  <c r="K803" i="26"/>
  <c r="K851" i="26"/>
  <c r="K884" i="26"/>
  <c r="K857" i="26"/>
  <c r="K992" i="26"/>
  <c r="K951" i="26"/>
  <c r="K807" i="26"/>
  <c r="K984" i="26"/>
  <c r="K835" i="26"/>
  <c r="K901" i="26"/>
  <c r="K889" i="26"/>
  <c r="K1004" i="26"/>
  <c r="K802" i="26"/>
  <c r="K919" i="26"/>
  <c r="K895" i="26"/>
  <c r="K1000" i="26"/>
  <c r="K960" i="26"/>
  <c r="K839" i="26"/>
  <c r="H201" i="10"/>
  <c r="D3" i="22" a="1"/>
  <c r="D3" i="16" a="1"/>
  <c r="E3" i="21" a="1"/>
  <c r="K946" i="26"/>
  <c r="K961" i="26"/>
  <c r="K806" i="26"/>
  <c r="K933" i="26"/>
  <c r="K814" i="26"/>
  <c r="K994" i="26"/>
  <c r="K944" i="26"/>
  <c r="K997" i="26"/>
  <c r="K940" i="26"/>
  <c r="K949" i="26"/>
  <c r="K926" i="26"/>
  <c r="K969" i="26"/>
  <c r="T201" i="10"/>
  <c r="U201" i="10"/>
  <c r="T203" i="10"/>
  <c r="K915" i="26"/>
  <c r="K959" i="26"/>
  <c r="K836" i="26"/>
  <c r="K821" i="26"/>
  <c r="K815" i="26"/>
  <c r="O203" i="10"/>
  <c r="P203" i="10"/>
  <c r="X203" i="10"/>
  <c r="L203" i="10"/>
  <c r="G203" i="10"/>
  <c r="U203" i="10"/>
  <c r="V203" i="10"/>
  <c r="N203" i="10"/>
  <c r="H203" i="10"/>
  <c r="Q203" i="10"/>
  <c r="K203" i="10"/>
  <c r="D202" i="10" a="1"/>
  <c r="R203" i="10"/>
  <c r="I203" i="10"/>
  <c r="D203" i="10"/>
  <c r="Y203" i="10"/>
  <c r="E203" i="10"/>
  <c r="D201" i="10"/>
  <c r="S203" i="10"/>
  <c r="R201" i="10"/>
  <c r="K917" i="26"/>
  <c r="K912" i="26"/>
  <c r="D206" i="10" a="1"/>
  <c r="K907" i="26"/>
  <c r="K989" i="26"/>
  <c r="K831" i="26"/>
  <c r="K953" i="26"/>
  <c r="K955" i="26"/>
  <c r="K971" i="26"/>
  <c r="K869" i="26"/>
  <c r="K891" i="26"/>
  <c r="K877" i="26"/>
  <c r="K999" i="26"/>
  <c r="K921" i="26"/>
  <c r="K981" i="26"/>
  <c r="K930" i="26"/>
  <c r="F201" i="10"/>
  <c r="D185" i="10"/>
  <c r="D184" i="10"/>
  <c r="E1" i="21" a="1"/>
  <c r="D1" i="22" a="1"/>
  <c r="D1" i="16" a="1"/>
  <c r="K892" i="26"/>
  <c r="K829" i="26"/>
  <c r="K980" i="26"/>
  <c r="K824" i="26"/>
  <c r="K805" i="26"/>
  <c r="K906" i="26"/>
  <c r="O201" i="10"/>
  <c r="Z201" i="10"/>
  <c r="Z203" i="10"/>
  <c r="AA201" i="10"/>
  <c r="K988" i="26"/>
  <c r="K800" i="26"/>
  <c r="K868" i="26"/>
  <c r="K887" i="26"/>
  <c r="K853" i="26"/>
  <c r="K875" i="26"/>
  <c r="K861" i="26"/>
  <c r="J201" i="10"/>
  <c r="K975" i="26"/>
  <c r="K900" i="26"/>
  <c r="K932" i="26"/>
  <c r="K941" i="26"/>
  <c r="K833" i="26"/>
  <c r="M201" i="10"/>
  <c r="M203" i="10"/>
  <c r="K1002" i="26"/>
  <c r="P201" i="10"/>
  <c r="S201" i="10"/>
  <c r="E184" i="10"/>
  <c r="R1" i="22" l="1"/>
  <c r="G1" i="22"/>
  <c r="P1" i="22"/>
  <c r="X1" i="22"/>
  <c r="AA1" i="22"/>
  <c r="Z1" i="22"/>
  <c r="J1" i="22"/>
  <c r="M1" i="22"/>
  <c r="F1" i="22"/>
  <c r="Y1" i="22"/>
  <c r="T1" i="22"/>
  <c r="H1" i="22"/>
  <c r="E1" i="22"/>
  <c r="W1" i="22"/>
  <c r="O1" i="22"/>
  <c r="N1" i="22"/>
  <c r="D1" i="22"/>
  <c r="V1" i="22"/>
  <c r="K1" i="22"/>
  <c r="Q1" i="22"/>
  <c r="U1" i="22"/>
  <c r="S1" i="22"/>
  <c r="L1" i="22"/>
  <c r="I1" i="22"/>
  <c r="K1" i="21"/>
  <c r="N1" i="21"/>
  <c r="H1" i="21"/>
  <c r="X1" i="21"/>
  <c r="AA1" i="21"/>
  <c r="R1" i="21"/>
  <c r="S1" i="21"/>
  <c r="U1" i="21"/>
  <c r="E1" i="21"/>
  <c r="L1" i="21"/>
  <c r="Q1" i="21"/>
  <c r="F1" i="21"/>
  <c r="O1" i="21"/>
  <c r="Y1" i="21"/>
  <c r="M1" i="21"/>
  <c r="I1" i="21"/>
  <c r="J1" i="21"/>
  <c r="G1" i="21"/>
  <c r="T1" i="21"/>
  <c r="V1" i="21"/>
  <c r="W1" i="21"/>
  <c r="P1" i="21"/>
  <c r="AB1" i="21"/>
  <c r="Z1" i="21"/>
  <c r="N202" i="10"/>
  <c r="Z202" i="10"/>
  <c r="D202" i="10"/>
  <c r="W202" i="10"/>
  <c r="AA202" i="10"/>
  <c r="P202" i="10"/>
  <c r="I202" i="10"/>
  <c r="K202" i="10"/>
  <c r="X202" i="10"/>
  <c r="F202" i="10"/>
  <c r="J202" i="10"/>
  <c r="U202" i="10"/>
  <c r="L202" i="10"/>
  <c r="T202" i="10"/>
  <c r="Q202" i="10"/>
  <c r="M202" i="10"/>
  <c r="H202" i="10"/>
  <c r="Y202" i="10"/>
  <c r="R202" i="10"/>
  <c r="E202" i="10"/>
  <c r="V202" i="10"/>
  <c r="G202" i="10"/>
  <c r="S202" i="10"/>
  <c r="O202" i="10"/>
  <c r="K3" i="21"/>
  <c r="Z3" i="21"/>
  <c r="J3" i="21"/>
  <c r="M3" i="21"/>
  <c r="Y3" i="21"/>
  <c r="I3" i="21"/>
  <c r="H3" i="21"/>
  <c r="Q3" i="21"/>
  <c r="P3" i="21"/>
  <c r="V3" i="21"/>
  <c r="U3" i="21"/>
  <c r="S3" i="21"/>
  <c r="L3" i="21"/>
  <c r="T3" i="21"/>
  <c r="AB3" i="21"/>
  <c r="AA3" i="21"/>
  <c r="N3" i="21"/>
  <c r="E3" i="21"/>
  <c r="X3" i="21"/>
  <c r="G3" i="21"/>
  <c r="W3" i="21"/>
  <c r="O3" i="21"/>
  <c r="R3" i="21"/>
  <c r="F3" i="21"/>
  <c r="S206" i="10"/>
  <c r="E206" i="10"/>
  <c r="M206" i="10"/>
  <c r="Q206" i="10"/>
  <c r="L206" i="10"/>
  <c r="P206" i="10"/>
  <c r="W206" i="10"/>
  <c r="I206" i="10"/>
  <c r="AA206" i="10"/>
  <c r="K206" i="10"/>
  <c r="H206" i="10"/>
  <c r="Y206" i="10"/>
  <c r="J206" i="10"/>
  <c r="T206" i="10"/>
  <c r="Z206" i="10"/>
  <c r="N206" i="10"/>
  <c r="O206" i="10"/>
  <c r="G206" i="10"/>
  <c r="V206" i="10"/>
  <c r="R206" i="10"/>
  <c r="F206" i="10"/>
  <c r="X206" i="10"/>
  <c r="D206" i="10"/>
  <c r="U206" i="10"/>
  <c r="D207" i="10" a="1"/>
  <c r="P3" i="16"/>
  <c r="D3" i="16"/>
  <c r="F3" i="16"/>
  <c r="E3" i="16"/>
  <c r="I3" i="16"/>
  <c r="Q3" i="16"/>
  <c r="S3" i="16"/>
  <c r="V3" i="16"/>
  <c r="R3" i="16"/>
  <c r="U3" i="16"/>
  <c r="H3" i="16"/>
  <c r="AA3" i="16"/>
  <c r="N3" i="16"/>
  <c r="X3" i="16"/>
  <c r="G3" i="16"/>
  <c r="W3" i="16"/>
  <c r="O3" i="16"/>
  <c r="M3" i="16"/>
  <c r="L3" i="16"/>
  <c r="Y3" i="16"/>
  <c r="J3" i="16"/>
  <c r="K3" i="16"/>
  <c r="Z3" i="16"/>
  <c r="T3" i="16"/>
  <c r="Q1" i="16"/>
  <c r="H1" i="16"/>
  <c r="AA1" i="16"/>
  <c r="K1" i="16"/>
  <c r="O1" i="16"/>
  <c r="J1" i="16"/>
  <c r="F1" i="16"/>
  <c r="X1" i="16"/>
  <c r="L1" i="16"/>
  <c r="S1" i="16"/>
  <c r="M1" i="16"/>
  <c r="D1" i="16"/>
  <c r="U1" i="16"/>
  <c r="G1" i="16"/>
  <c r="I1" i="16"/>
  <c r="R1" i="16"/>
  <c r="W1" i="16"/>
  <c r="T1" i="16"/>
  <c r="Z1" i="16"/>
  <c r="P1" i="16"/>
  <c r="Y1" i="16"/>
  <c r="V1" i="16"/>
  <c r="N1" i="16"/>
  <c r="E1" i="16"/>
  <c r="H3" i="22"/>
  <c r="P3" i="22"/>
  <c r="Y3" i="22"/>
  <c r="K3" i="22"/>
  <c r="J3" i="22"/>
  <c r="E3" i="22"/>
  <c r="G3" i="22"/>
  <c r="Q3" i="22"/>
  <c r="M3" i="22"/>
  <c r="W3" i="22"/>
  <c r="Z3" i="22"/>
  <c r="X3" i="22"/>
  <c r="S3" i="22"/>
  <c r="U3" i="22"/>
  <c r="F3" i="22"/>
  <c r="R3" i="22"/>
  <c r="O3" i="22"/>
  <c r="N3" i="22"/>
  <c r="D3" i="22"/>
  <c r="L3" i="22"/>
  <c r="V3" i="22"/>
  <c r="T3" i="22"/>
  <c r="AA3" i="22"/>
  <c r="I3" i="22"/>
  <c r="M207" i="10" l="1"/>
  <c r="J207" i="10"/>
  <c r="X207" i="10"/>
  <c r="K207" i="10"/>
  <c r="P207" i="10"/>
  <c r="O207" i="10"/>
  <c r="I207" i="10"/>
  <c r="L207" i="10"/>
  <c r="H207" i="10"/>
  <c r="Q207" i="10"/>
  <c r="T207" i="10"/>
  <c r="R207" i="10"/>
  <c r="S207" i="10"/>
  <c r="N207" i="10"/>
  <c r="G207" i="10"/>
  <c r="V207" i="10"/>
  <c r="E207" i="10"/>
  <c r="W207" i="10"/>
  <c r="U207" i="10"/>
  <c r="Y207" i="10"/>
  <c r="F207" i="10"/>
  <c r="AA207" i="10"/>
  <c r="Z207" i="10"/>
  <c r="D207" i="10"/>
  <c r="D36" i="10" l="1" a="1"/>
  <c r="D35" i="10" a="1"/>
  <c r="G35" i="10" l="1"/>
  <c r="Z35" i="10"/>
  <c r="D35" i="10"/>
  <c r="J35" i="10"/>
  <c r="H35" i="10"/>
  <c r="S35" i="10"/>
  <c r="K35" i="10"/>
  <c r="AA35" i="10"/>
  <c r="P35" i="10"/>
  <c r="L35" i="10"/>
  <c r="E35" i="10"/>
  <c r="R35" i="10"/>
  <c r="O35" i="10"/>
  <c r="I35" i="10"/>
  <c r="Y35" i="10"/>
  <c r="T35" i="10"/>
  <c r="U35" i="10"/>
  <c r="F35" i="10"/>
  <c r="Q35" i="10"/>
  <c r="V35" i="10"/>
  <c r="X35" i="10"/>
  <c r="M35" i="10"/>
  <c r="W35" i="10"/>
  <c r="N35" i="10"/>
  <c r="T36" i="10"/>
  <c r="W36" i="10"/>
  <c r="N36" i="10"/>
  <c r="E36" i="10"/>
  <c r="M36" i="10"/>
  <c r="D36" i="10"/>
  <c r="D208" i="10" s="1" a="1"/>
  <c r="S36" i="10"/>
  <c r="F36" i="10"/>
  <c r="J36" i="10"/>
  <c r="K36" i="10"/>
  <c r="Z36" i="10"/>
  <c r="G36" i="10"/>
  <c r="I36" i="10"/>
  <c r="Y36" i="10"/>
  <c r="AA36" i="10"/>
  <c r="L36" i="10"/>
  <c r="P36" i="10"/>
  <c r="Q36" i="10"/>
  <c r="H36" i="10"/>
  <c r="O36" i="10"/>
  <c r="V36" i="10"/>
  <c r="U36" i="10"/>
  <c r="R36" i="10"/>
  <c r="X36" i="10"/>
  <c r="L210" i="10" l="1"/>
  <c r="L327" i="10" s="1"/>
  <c r="L214" i="10"/>
  <c r="L331" i="10" s="1"/>
  <c r="L218" i="10"/>
  <c r="L335" i="10" s="1"/>
  <c r="F219" i="10"/>
  <c r="F336" i="10" s="1"/>
  <c r="O212" i="10"/>
  <c r="O329" i="10" s="1"/>
  <c r="R215" i="10"/>
  <c r="R332" i="10" s="1"/>
  <c r="I213" i="10"/>
  <c r="I330" i="10" s="1"/>
  <c r="Q208" i="10"/>
  <c r="X208" i="10"/>
  <c r="T218" i="10"/>
  <c r="T335" i="10" s="1"/>
  <c r="AA211" i="10"/>
  <c r="AA328" i="10" s="1"/>
  <c r="Z217" i="10"/>
  <c r="Z334" i="10" s="1"/>
  <c r="K219" i="10"/>
  <c r="K336" i="10" s="1"/>
  <c r="I215" i="10"/>
  <c r="I332" i="10" s="1"/>
  <c r="AA220" i="10"/>
  <c r="AA337" i="10" s="1"/>
  <c r="R217" i="10"/>
  <c r="R334" i="10" s="1"/>
  <c r="N218" i="10"/>
  <c r="N335" i="10" s="1"/>
  <c r="X210" i="10"/>
  <c r="X327" i="10" s="1"/>
  <c r="V218" i="10"/>
  <c r="V335" i="10" s="1"/>
  <c r="P208" i="10"/>
  <c r="T210" i="10"/>
  <c r="T327" i="10" s="1"/>
  <c r="AA218" i="10"/>
  <c r="AA335" i="10" s="1"/>
  <c r="R219" i="10"/>
  <c r="R336" i="10" s="1"/>
  <c r="Y214" i="10"/>
  <c r="Y331" i="10" s="1"/>
  <c r="K218" i="10"/>
  <c r="K335" i="10" s="1"/>
  <c r="J212" i="10"/>
  <c r="J329" i="10" s="1"/>
  <c r="S219" i="10"/>
  <c r="S336" i="10" s="1"/>
  <c r="M214" i="10"/>
  <c r="M331" i="10" s="1"/>
  <c r="AA219" i="10"/>
  <c r="AA336" i="10" s="1"/>
  <c r="F211" i="10"/>
  <c r="F328" i="10" s="1"/>
  <c r="S211" i="10"/>
  <c r="S328" i="10" s="1"/>
  <c r="W219" i="10"/>
  <c r="W336" i="10" s="1"/>
  <c r="K213" i="10"/>
  <c r="K330" i="10" s="1"/>
  <c r="E209" i="10"/>
  <c r="E326" i="10" s="1"/>
  <c r="AA216" i="10"/>
  <c r="AA333" i="10" s="1"/>
  <c r="J221" i="10"/>
  <c r="J338" i="10" s="1"/>
  <c r="R221" i="10"/>
  <c r="R338" i="10" s="1"/>
  <c r="Y211" i="10"/>
  <c r="Y328" i="10" s="1"/>
  <c r="Z211" i="10"/>
  <c r="Z328" i="10" s="1"/>
  <c r="O221" i="10"/>
  <c r="O338" i="10" s="1"/>
  <c r="G219" i="10"/>
  <c r="G336" i="10" s="1"/>
  <c r="V209" i="10"/>
  <c r="V326" i="10" s="1"/>
  <c r="D212" i="10"/>
  <c r="D329" i="10" s="1"/>
  <c r="O217" i="10"/>
  <c r="O334" i="10" s="1"/>
  <c r="N216" i="10"/>
  <c r="N333" i="10" s="1"/>
  <c r="AA208" i="10"/>
  <c r="V221" i="10"/>
  <c r="V338" i="10" s="1"/>
  <c r="H210" i="10"/>
  <c r="H327" i="10" s="1"/>
  <c r="N220" i="10"/>
  <c r="N337" i="10" s="1"/>
  <c r="W216" i="10"/>
  <c r="W333" i="10" s="1"/>
  <c r="J216" i="10"/>
  <c r="J333" i="10" s="1"/>
  <c r="P209" i="10"/>
  <c r="P326" i="10" s="1"/>
  <c r="P221" i="10"/>
  <c r="P338" i="10" s="1"/>
  <c r="X217" i="10"/>
  <c r="X334" i="10" s="1"/>
  <c r="S216" i="10"/>
  <c r="S333" i="10" s="1"/>
  <c r="E218" i="10"/>
  <c r="E335" i="10" s="1"/>
  <c r="H214" i="10"/>
  <c r="H331" i="10" s="1"/>
  <c r="D214" i="10"/>
  <c r="D331" i="10" s="1"/>
  <c r="E215" i="10"/>
  <c r="E332" i="10" s="1"/>
  <c r="V217" i="10"/>
  <c r="V334" i="10" s="1"/>
  <c r="O215" i="10"/>
  <c r="O332" i="10" s="1"/>
  <c r="M209" i="10"/>
  <c r="M326" i="10" s="1"/>
  <c r="H221" i="10"/>
  <c r="H338" i="10" s="1"/>
  <c r="F216" i="10"/>
  <c r="F333" i="10" s="1"/>
  <c r="K210" i="10"/>
  <c r="K327" i="10" s="1"/>
  <c r="N214" i="10"/>
  <c r="N331" i="10" s="1"/>
  <c r="M221" i="10"/>
  <c r="M338" i="10" s="1"/>
  <c r="P219" i="10"/>
  <c r="P336" i="10" s="1"/>
  <c r="J208" i="10"/>
  <c r="V212" i="10"/>
  <c r="V329" i="10" s="1"/>
  <c r="U208" i="10"/>
  <c r="H208" i="10"/>
  <c r="Y219" i="10"/>
  <c r="Y336" i="10" s="1"/>
  <c r="Q212" i="10"/>
  <c r="Q329" i="10" s="1"/>
  <c r="S209" i="10"/>
  <c r="S326" i="10" s="1"/>
  <c r="Z220" i="10"/>
  <c r="Z337" i="10" s="1"/>
  <c r="Q209" i="10"/>
  <c r="Q326" i="10" s="1"/>
  <c r="S208" i="10"/>
  <c r="AA212" i="10"/>
  <c r="AA329" i="10" s="1"/>
  <c r="K216" i="10"/>
  <c r="K333" i="10" s="1"/>
  <c r="Y220" i="10"/>
  <c r="Y337" i="10" s="1"/>
  <c r="D220" i="10"/>
  <c r="D337" i="10" s="1"/>
  <c r="T209" i="10"/>
  <c r="T326" i="10" s="1"/>
  <c r="L208" i="10"/>
  <c r="L213" i="10"/>
  <c r="L330" i="10" s="1"/>
  <c r="L219" i="10"/>
  <c r="L336" i="10" s="1"/>
  <c r="U219" i="10"/>
  <c r="U336" i="10" s="1"/>
  <c r="G208" i="10"/>
  <c r="X220" i="10"/>
  <c r="X337" i="10" s="1"/>
  <c r="O218" i="10"/>
  <c r="O335" i="10" s="1"/>
  <c r="Y209" i="10"/>
  <c r="Y326" i="10" s="1"/>
  <c r="O209" i="10"/>
  <c r="O326" i="10" s="1"/>
  <c r="N211" i="10"/>
  <c r="N328" i="10" s="1"/>
  <c r="X211" i="10"/>
  <c r="X328" i="10" s="1"/>
  <c r="U218" i="10"/>
  <c r="U335" i="10" s="1"/>
  <c r="P210" i="10"/>
  <c r="P327" i="10" s="1"/>
  <c r="N215" i="10"/>
  <c r="N332" i="10" s="1"/>
  <c r="V215" i="10"/>
  <c r="V332" i="10" s="1"/>
  <c r="X212" i="10"/>
  <c r="X329" i="10" s="1"/>
  <c r="I214" i="10"/>
  <c r="I331" i="10" s="1"/>
  <c r="M210" i="10"/>
  <c r="M327" i="10" s="1"/>
  <c r="Y208" i="10"/>
  <c r="R209" i="10"/>
  <c r="R326" i="10" s="1"/>
  <c r="U211" i="10"/>
  <c r="U328" i="10" s="1"/>
  <c r="E214" i="10"/>
  <c r="E331" i="10" s="1"/>
  <c r="P218" i="10"/>
  <c r="P335" i="10" s="1"/>
  <c r="AA215" i="10"/>
  <c r="AA332" i="10" s="1"/>
  <c r="X213" i="10"/>
  <c r="X330" i="10" s="1"/>
  <c r="H219" i="10"/>
  <c r="H336" i="10" s="1"/>
  <c r="R212" i="10"/>
  <c r="R329" i="10" s="1"/>
  <c r="E208" i="10"/>
  <c r="S214" i="10"/>
  <c r="S331" i="10" s="1"/>
  <c r="AA210" i="10"/>
  <c r="AA327" i="10" s="1"/>
  <c r="R211" i="10"/>
  <c r="R328" i="10" s="1"/>
  <c r="Z212" i="10"/>
  <c r="Z329" i="10" s="1"/>
  <c r="Q216" i="10"/>
  <c r="Q333" i="10" s="1"/>
  <c r="R220" i="10"/>
  <c r="R337" i="10" s="1"/>
  <c r="W213" i="10"/>
  <c r="W330" i="10" s="1"/>
  <c r="I219" i="10"/>
  <c r="I336" i="10" s="1"/>
  <c r="T214" i="10"/>
  <c r="T331" i="10" s="1"/>
  <c r="G209" i="10"/>
  <c r="G326" i="10" s="1"/>
  <c r="K212" i="10"/>
  <c r="K329" i="10" s="1"/>
  <c r="Z208" i="10"/>
  <c r="R208" i="10"/>
  <c r="G210" i="10"/>
  <c r="G327" i="10" s="1"/>
  <c r="P216" i="10"/>
  <c r="P333" i="10" s="1"/>
  <c r="I220" i="10"/>
  <c r="I337" i="10" s="1"/>
  <c r="J217" i="10"/>
  <c r="J334" i="10" s="1"/>
  <c r="D215" i="10"/>
  <c r="D332" i="10" s="1"/>
  <c r="W215" i="10"/>
  <c r="W332" i="10" s="1"/>
  <c r="P220" i="10"/>
  <c r="P337" i="10" s="1"/>
  <c r="Q217" i="10"/>
  <c r="Q334" i="10" s="1"/>
  <c r="Y213" i="10"/>
  <c r="Y330" i="10" s="1"/>
  <c r="U217" i="10"/>
  <c r="U334" i="10" s="1"/>
  <c r="Y210" i="10"/>
  <c r="Y327" i="10" s="1"/>
  <c r="H216" i="10"/>
  <c r="H333" i="10" s="1"/>
  <c r="Q219" i="10"/>
  <c r="Q336" i="10" s="1"/>
  <c r="G216" i="10"/>
  <c r="G333" i="10" s="1"/>
  <c r="K217" i="10"/>
  <c r="K334" i="10" s="1"/>
  <c r="E213" i="10"/>
  <c r="E330" i="10" s="1"/>
  <c r="P217" i="10"/>
  <c r="P334" i="10" s="1"/>
  <c r="W212" i="10"/>
  <c r="W329" i="10" s="1"/>
  <c r="S221" i="10"/>
  <c r="S338" i="10" s="1"/>
  <c r="T220" i="10"/>
  <c r="T337" i="10" s="1"/>
  <c r="I218" i="10"/>
  <c r="I335" i="10" s="1"/>
  <c r="N221" i="10"/>
  <c r="N338" i="10" s="1"/>
  <c r="G212" i="10"/>
  <c r="G329" i="10" s="1"/>
  <c r="L209" i="10"/>
  <c r="L326" i="10" s="1"/>
  <c r="L215" i="10"/>
  <c r="L332" i="10" s="1"/>
  <c r="L220" i="10"/>
  <c r="L337" i="10" s="1"/>
  <c r="D213" i="10"/>
  <c r="D330" i="10" s="1"/>
  <c r="D211" i="10"/>
  <c r="D328" i="10" s="1"/>
  <c r="F218" i="10"/>
  <c r="F335" i="10" s="1"/>
  <c r="O214" i="10"/>
  <c r="O331" i="10" s="1"/>
  <c r="K208" i="10"/>
  <c r="E220" i="10"/>
  <c r="E337" i="10" s="1"/>
  <c r="N208" i="10"/>
  <c r="S220" i="10"/>
  <c r="S337" i="10" s="1"/>
  <c r="U209" i="10"/>
  <c r="U326" i="10" s="1"/>
  <c r="S210" i="10"/>
  <c r="S327" i="10" s="1"/>
  <c r="I221" i="10"/>
  <c r="I338" i="10" s="1"/>
  <c r="Q218" i="10"/>
  <c r="Q335" i="10" s="1"/>
  <c r="Z216" i="10"/>
  <c r="Z333" i="10" s="1"/>
  <c r="F215" i="10"/>
  <c r="F332" i="10" s="1"/>
  <c r="Z209" i="10"/>
  <c r="Z326" i="10" s="1"/>
  <c r="I216" i="10"/>
  <c r="I333" i="10" s="1"/>
  <c r="K211" i="10"/>
  <c r="K328" i="10" s="1"/>
  <c r="F208" i="10"/>
  <c r="F210" i="10"/>
  <c r="F327" i="10" s="1"/>
  <c r="U215" i="10"/>
  <c r="U332" i="10" s="1"/>
  <c r="E210" i="10"/>
  <c r="E327" i="10" s="1"/>
  <c r="H217" i="10"/>
  <c r="H334" i="10" s="1"/>
  <c r="Q210" i="10"/>
  <c r="Q327" i="10" s="1"/>
  <c r="AA217" i="10"/>
  <c r="AA334" i="10" s="1"/>
  <c r="V210" i="10"/>
  <c r="V327" i="10" s="1"/>
  <c r="Y212" i="10"/>
  <c r="Y329" i="10" s="1"/>
  <c r="G217" i="10"/>
  <c r="G334" i="10" s="1"/>
  <c r="W214" i="10"/>
  <c r="W331" i="10" s="1"/>
  <c r="M216" i="10"/>
  <c r="M333" i="10" s="1"/>
  <c r="O208" i="10"/>
  <c r="U221" i="10"/>
  <c r="U338" i="10" s="1"/>
  <c r="R214" i="10"/>
  <c r="R331" i="10" s="1"/>
  <c r="U216" i="10"/>
  <c r="U333" i="10" s="1"/>
  <c r="F220" i="10"/>
  <c r="F337" i="10" s="1"/>
  <c r="D218" i="10"/>
  <c r="D335" i="10" s="1"/>
  <c r="R218" i="10"/>
  <c r="R335" i="10" s="1"/>
  <c r="H212" i="10"/>
  <c r="H329" i="10" s="1"/>
  <c r="G220" i="10"/>
  <c r="G337" i="10" s="1"/>
  <c r="D217" i="10"/>
  <c r="D334" i="10" s="1"/>
  <c r="F221" i="10"/>
  <c r="F338" i="10" s="1"/>
  <c r="U220" i="10"/>
  <c r="U337" i="10" s="1"/>
  <c r="H215" i="10"/>
  <c r="H332" i="10" s="1"/>
  <c r="Q221" i="10"/>
  <c r="Q338" i="10" s="1"/>
  <c r="X221" i="10"/>
  <c r="X338" i="10" s="1"/>
  <c r="M212" i="10"/>
  <c r="M329" i="10" s="1"/>
  <c r="X214" i="10"/>
  <c r="X331" i="10" s="1"/>
  <c r="U210" i="10"/>
  <c r="U327" i="10" s="1"/>
  <c r="E211" i="10"/>
  <c r="E328" i="10" s="1"/>
  <c r="I211" i="10"/>
  <c r="I328" i="10" s="1"/>
  <c r="M215" i="10"/>
  <c r="M332" i="10" s="1"/>
  <c r="D216" i="10"/>
  <c r="D333" i="10" s="1"/>
  <c r="W209" i="10"/>
  <c r="W326" i="10" s="1"/>
  <c r="G215" i="10"/>
  <c r="G332" i="10" s="1"/>
  <c r="H211" i="10"/>
  <c r="H328" i="10" s="1"/>
  <c r="O213" i="10"/>
  <c r="O330" i="10" s="1"/>
  <c r="Q211" i="10"/>
  <c r="Q328" i="10" s="1"/>
  <c r="U213" i="10"/>
  <c r="U330" i="10" s="1"/>
  <c r="V216" i="10"/>
  <c r="V333" i="10" s="1"/>
  <c r="J211" i="10"/>
  <c r="J328" i="10" s="1"/>
  <c r="M211" i="10"/>
  <c r="M328" i="10" s="1"/>
  <c r="L211" i="10"/>
  <c r="L328" i="10" s="1"/>
  <c r="L216" i="10"/>
  <c r="L333" i="10" s="1"/>
  <c r="L221" i="10"/>
  <c r="L338" i="10" s="1"/>
  <c r="Z219" i="10"/>
  <c r="Z336" i="10" s="1"/>
  <c r="X218" i="10"/>
  <c r="X335" i="10" s="1"/>
  <c r="Y221" i="10"/>
  <c r="Y338" i="10" s="1"/>
  <c r="V220" i="10"/>
  <c r="V337" i="10" s="1"/>
  <c r="M208" i="10"/>
  <c r="O216" i="10"/>
  <c r="O333" i="10" s="1"/>
  <c r="J215" i="10"/>
  <c r="J332" i="10" s="1"/>
  <c r="I212" i="10"/>
  <c r="I329" i="10" s="1"/>
  <c r="J209" i="10"/>
  <c r="J326" i="10" s="1"/>
  <c r="Z210" i="10"/>
  <c r="Z327" i="10" s="1"/>
  <c r="G213" i="10"/>
  <c r="G330" i="10" s="1"/>
  <c r="W217" i="10"/>
  <c r="W334" i="10" s="1"/>
  <c r="X215" i="10"/>
  <c r="X332" i="10" s="1"/>
  <c r="P212" i="10"/>
  <c r="P329" i="10" s="1"/>
  <c r="S212" i="10"/>
  <c r="S329" i="10" s="1"/>
  <c r="AA214" i="10"/>
  <c r="AA331" i="10" s="1"/>
  <c r="O210" i="10"/>
  <c r="O327" i="10" s="1"/>
  <c r="AA213" i="10"/>
  <c r="AA330" i="10" s="1"/>
  <c r="I208" i="10"/>
  <c r="Q215" i="10"/>
  <c r="Q332" i="10" s="1"/>
  <c r="T213" i="10"/>
  <c r="T330" i="10" s="1"/>
  <c r="X219" i="10"/>
  <c r="X336" i="10" s="1"/>
  <c r="J213" i="10"/>
  <c r="J330" i="10" s="1"/>
  <c r="E221" i="10"/>
  <c r="E338" i="10" s="1"/>
  <c r="F217" i="10"/>
  <c r="F334" i="10" s="1"/>
  <c r="Z218" i="10"/>
  <c r="Z335" i="10" s="1"/>
  <c r="K215" i="10"/>
  <c r="K332" i="10" s="1"/>
  <c r="G211" i="10"/>
  <c r="G328" i="10" s="1"/>
  <c r="F212" i="10"/>
  <c r="F329" i="10" s="1"/>
  <c r="Z213" i="10"/>
  <c r="Z330" i="10" s="1"/>
  <c r="J210" i="10"/>
  <c r="J327" i="10" s="1"/>
  <c r="D210" i="10"/>
  <c r="D327" i="10" s="1"/>
  <c r="H220" i="10"/>
  <c r="H337" i="10" s="1"/>
  <c r="Y215" i="10"/>
  <c r="Y332" i="10" s="1"/>
  <c r="V211" i="10"/>
  <c r="V328" i="10" s="1"/>
  <c r="N212" i="10"/>
  <c r="N329" i="10" s="1"/>
  <c r="M219" i="10"/>
  <c r="M336" i="10" s="1"/>
  <c r="T208" i="10"/>
  <c r="F209" i="10"/>
  <c r="F326" i="10" s="1"/>
  <c r="K221" i="10"/>
  <c r="K338" i="10" s="1"/>
  <c r="G218" i="10"/>
  <c r="G335" i="10" s="1"/>
  <c r="I210" i="10"/>
  <c r="I327" i="10" s="1"/>
  <c r="T212" i="10"/>
  <c r="T329" i="10" s="1"/>
  <c r="T216" i="10"/>
  <c r="T333" i="10" s="1"/>
  <c r="N219" i="10"/>
  <c r="N336" i="10" s="1"/>
  <c r="V213" i="10"/>
  <c r="V330" i="10" s="1"/>
  <c r="S217" i="10"/>
  <c r="S334" i="10" s="1"/>
  <c r="J214" i="10"/>
  <c r="J331" i="10" s="1"/>
  <c r="P213" i="10"/>
  <c r="P330" i="10" s="1"/>
  <c r="N209" i="10"/>
  <c r="N326" i="10" s="1"/>
  <c r="Z221" i="10"/>
  <c r="Z338" i="10" s="1"/>
  <c r="N210" i="10"/>
  <c r="N327" i="10" s="1"/>
  <c r="Y217" i="10"/>
  <c r="Y334" i="10" s="1"/>
  <c r="Y216" i="10"/>
  <c r="Y333" i="10" s="1"/>
  <c r="AA221" i="10"/>
  <c r="AA338" i="10" s="1"/>
  <c r="E216" i="10"/>
  <c r="E333" i="10" s="1"/>
  <c r="W211" i="10"/>
  <c r="W328" i="10" s="1"/>
  <c r="X216" i="10"/>
  <c r="X333" i="10" s="1"/>
  <c r="W221" i="10"/>
  <c r="W338" i="10" s="1"/>
  <c r="U214" i="10"/>
  <c r="U331" i="10" s="1"/>
  <c r="L212" i="10"/>
  <c r="L329" i="10" s="1"/>
  <c r="G221" i="10"/>
  <c r="G338" i="10" s="1"/>
  <c r="G214" i="10"/>
  <c r="G331" i="10" s="1"/>
  <c r="Z214" i="10"/>
  <c r="Z331" i="10" s="1"/>
  <c r="O219" i="10"/>
  <c r="O336" i="10" s="1"/>
  <c r="K209" i="10"/>
  <c r="K326" i="10" s="1"/>
  <c r="D209" i="10"/>
  <c r="D326" i="10" s="1"/>
  <c r="T219" i="10"/>
  <c r="T336" i="10" s="1"/>
  <c r="S213" i="10"/>
  <c r="S330" i="10" s="1"/>
  <c r="I217" i="10"/>
  <c r="I334" i="10" s="1"/>
  <c r="O211" i="10"/>
  <c r="O328" i="10" s="1"/>
  <c r="H213" i="10"/>
  <c r="H330" i="10" s="1"/>
  <c r="Q220" i="10"/>
  <c r="Q337" i="10" s="1"/>
  <c r="D221" i="10"/>
  <c r="D338" i="10" s="1"/>
  <c r="R216" i="10"/>
  <c r="R333" i="10" s="1"/>
  <c r="D208" i="10"/>
  <c r="L217" i="10"/>
  <c r="L334" i="10" s="1"/>
  <c r="J218" i="10"/>
  <c r="J335" i="10" s="1"/>
  <c r="M218" i="10"/>
  <c r="M335" i="10" s="1"/>
  <c r="U212" i="10"/>
  <c r="U329" i="10" s="1"/>
  <c r="W220" i="10"/>
  <c r="W337" i="10" s="1"/>
  <c r="R210" i="10"/>
  <c r="R327" i="10" s="1"/>
  <c r="O220" i="10"/>
  <c r="O337" i="10" s="1"/>
  <c r="V219" i="10"/>
  <c r="V336" i="10" s="1"/>
  <c r="M217" i="10"/>
  <c r="M334" i="10" s="1"/>
  <c r="Q214" i="10"/>
  <c r="Q331" i="10" s="1"/>
  <c r="T221" i="10"/>
  <c r="T338" i="10" s="1"/>
  <c r="E212" i="10"/>
  <c r="E329" i="10" s="1"/>
  <c r="I209" i="10"/>
  <c r="I326" i="10" s="1"/>
  <c r="AA209" i="10"/>
  <c r="AA326" i="10" s="1"/>
  <c r="M213" i="10"/>
  <c r="M330" i="10" s="1"/>
  <c r="K220" i="10"/>
  <c r="K337" i="10" s="1"/>
  <c r="W208" i="10"/>
  <c r="D219" i="10"/>
  <c r="D336" i="10" s="1"/>
  <c r="W218" i="10"/>
  <c r="W335" i="10" s="1"/>
  <c r="X209" i="10"/>
  <c r="X326" i="10" s="1"/>
  <c r="Q213" i="10"/>
  <c r="Q330" i="10" s="1"/>
  <c r="P211" i="10"/>
  <c r="P328" i="10" s="1"/>
  <c r="T217" i="10"/>
  <c r="T334" i="10" s="1"/>
  <c r="S215" i="10"/>
  <c r="S332" i="10" s="1"/>
  <c r="F213" i="10"/>
  <c r="F330" i="10" s="1"/>
  <c r="H209" i="10"/>
  <c r="H326" i="10" s="1"/>
  <c r="V208" i="10"/>
  <c r="T215" i="10"/>
  <c r="T332" i="10" s="1"/>
  <c r="W210" i="10"/>
  <c r="W327" i="10" s="1"/>
  <c r="V214" i="10"/>
  <c r="V331" i="10" s="1"/>
  <c r="Z215" i="10"/>
  <c r="Z332" i="10" s="1"/>
  <c r="E217" i="10"/>
  <c r="E334" i="10" s="1"/>
  <c r="P214" i="10"/>
  <c r="P331" i="10" s="1"/>
  <c r="E219" i="10"/>
  <c r="E336" i="10" s="1"/>
  <c r="Y218" i="10"/>
  <c r="Y335" i="10" s="1"/>
  <c r="N213" i="10"/>
  <c r="N330" i="10" s="1"/>
  <c r="T211" i="10"/>
  <c r="T328" i="10" s="1"/>
  <c r="S218" i="10"/>
  <c r="S335" i="10" s="1"/>
  <c r="K214" i="10"/>
  <c r="K331" i="10" s="1"/>
  <c r="N217" i="10"/>
  <c r="N334" i="10" s="1"/>
  <c r="R213" i="10"/>
  <c r="R330" i="10" s="1"/>
  <c r="H218" i="10"/>
  <c r="H335" i="10" s="1"/>
  <c r="J219" i="10"/>
  <c r="J336" i="10" s="1"/>
  <c r="M220" i="10"/>
  <c r="M337" i="10" s="1"/>
  <c r="P215" i="10"/>
  <c r="P332" i="10" s="1"/>
  <c r="J220" i="10"/>
  <c r="J337" i="10" s="1"/>
  <c r="F214" i="10"/>
  <c r="F331" i="10" s="1"/>
  <c r="V320" i="10" l="1"/>
  <c r="V325" i="10"/>
  <c r="C5" i="18" a="1"/>
  <c r="I320" i="10"/>
  <c r="I325" i="10"/>
  <c r="O325" i="10"/>
  <c r="O320" i="10"/>
  <c r="F320" i="10"/>
  <c r="F325" i="10"/>
  <c r="R320" i="10"/>
  <c r="R325" i="10"/>
  <c r="G320" i="10"/>
  <c r="G325" i="10"/>
  <c r="L320" i="10"/>
  <c r="L325" i="10"/>
  <c r="H325" i="10"/>
  <c r="H320" i="10"/>
  <c r="P325" i="10"/>
  <c r="P320" i="10"/>
  <c r="Q325" i="10"/>
  <c r="Q320" i="10"/>
  <c r="T320" i="10"/>
  <c r="T325" i="10"/>
  <c r="K320" i="10"/>
  <c r="K325" i="10"/>
  <c r="Z325" i="10"/>
  <c r="Z320" i="10"/>
  <c r="E325" i="10"/>
  <c r="E320" i="10"/>
  <c r="U320" i="10"/>
  <c r="U325" i="10"/>
  <c r="W320" i="10"/>
  <c r="W325" i="10"/>
  <c r="M325" i="10"/>
  <c r="M320" i="10"/>
  <c r="Y320" i="10"/>
  <c r="Y325" i="10"/>
  <c r="S325" i="10"/>
  <c r="S320" i="10"/>
  <c r="AA320" i="10"/>
  <c r="AA325" i="10"/>
  <c r="D320" i="10"/>
  <c r="D325" i="10"/>
  <c r="D292" i="10" a="1"/>
  <c r="D250" i="10" a="1"/>
  <c r="D236" i="10" a="1"/>
  <c r="D222" i="10" a="1"/>
  <c r="N320" i="10"/>
  <c r="N325" i="10"/>
  <c r="J320" i="10"/>
  <c r="J325" i="10"/>
  <c r="X320" i="10"/>
  <c r="X325" i="10"/>
  <c r="I298" i="10" l="1"/>
  <c r="P302" i="10"/>
  <c r="P293" i="10"/>
  <c r="V303" i="10"/>
  <c r="R303" i="10"/>
  <c r="U293" i="10"/>
  <c r="D302" i="10"/>
  <c r="U295" i="10"/>
  <c r="Z296" i="10"/>
  <c r="E299" i="10"/>
  <c r="G293" i="10"/>
  <c r="P301" i="10"/>
  <c r="Z305" i="10"/>
  <c r="I293" i="10"/>
  <c r="T295" i="10"/>
  <c r="AA295" i="10"/>
  <c r="O302" i="10"/>
  <c r="I301" i="10"/>
  <c r="F301" i="10"/>
  <c r="K300" i="10"/>
  <c r="AA293" i="10"/>
  <c r="N294" i="10"/>
  <c r="L304" i="10"/>
  <c r="F294" i="10"/>
  <c r="W295" i="10"/>
  <c r="K305" i="10"/>
  <c r="S304" i="10"/>
  <c r="J292" i="10"/>
  <c r="J301" i="10"/>
  <c r="D303" i="10"/>
  <c r="P304" i="10"/>
  <c r="L305" i="10"/>
  <c r="H293" i="10"/>
  <c r="R305" i="10"/>
  <c r="M305" i="10"/>
  <c r="P305" i="10"/>
  <c r="E300" i="10"/>
  <c r="X304" i="10"/>
  <c r="R292" i="10"/>
  <c r="F305" i="10"/>
  <c r="L293" i="10"/>
  <c r="AA297" i="10"/>
  <c r="V301" i="10"/>
  <c r="Q298" i="10"/>
  <c r="X295" i="10"/>
  <c r="O294" i="10"/>
  <c r="R294" i="10"/>
  <c r="L292" i="10"/>
  <c r="K301" i="10"/>
  <c r="Y298" i="10"/>
  <c r="H301" i="10"/>
  <c r="D296" i="10"/>
  <c r="P296" i="10"/>
  <c r="U294" i="10"/>
  <c r="P298" i="10"/>
  <c r="J303" i="10"/>
  <c r="N296" i="10"/>
  <c r="O295" i="10"/>
  <c r="K297" i="10"/>
  <c r="S299" i="10"/>
  <c r="J297" i="10"/>
  <c r="R300" i="10"/>
  <c r="N300" i="10"/>
  <c r="L301" i="10"/>
  <c r="Z297" i="10"/>
  <c r="P299" i="10"/>
  <c r="E301" i="10"/>
  <c r="Q301" i="10"/>
  <c r="W305" i="10"/>
  <c r="I305" i="10"/>
  <c r="M292" i="10"/>
  <c r="Z301" i="10"/>
  <c r="Z303" i="10"/>
  <c r="T305" i="10"/>
  <c r="D292" i="10"/>
  <c r="P294" i="10"/>
  <c r="Z298" i="10"/>
  <c r="M303" i="10"/>
  <c r="O293" i="10"/>
  <c r="F296" i="10"/>
  <c r="F302" i="10"/>
  <c r="X299" i="10"/>
  <c r="Y305" i="10"/>
  <c r="T294" i="10"/>
  <c r="E297" i="10"/>
  <c r="J300" i="10"/>
  <c r="I304" i="10"/>
  <c r="G305" i="10"/>
  <c r="U301" i="10"/>
  <c r="Q299" i="10"/>
  <c r="O299" i="10"/>
  <c r="O301" i="10"/>
  <c r="Z295" i="10"/>
  <c r="U303" i="10"/>
  <c r="S300" i="10"/>
  <c r="G301" i="10"/>
  <c r="Z299" i="10"/>
  <c r="E292" i="10"/>
  <c r="E305" i="10"/>
  <c r="Y301" i="10"/>
  <c r="F292" i="10"/>
  <c r="J293" i="10"/>
  <c r="H305" i="10"/>
  <c r="Q293" i="10"/>
  <c r="X297" i="10"/>
  <c r="M297" i="10"/>
  <c r="H292" i="10"/>
  <c r="T302" i="10"/>
  <c r="D299" i="10"/>
  <c r="R293" i="10"/>
  <c r="R299" i="10"/>
  <c r="L303" i="10"/>
  <c r="W294" i="10"/>
  <c r="G300" i="10"/>
  <c r="Q294" i="10"/>
  <c r="I299" i="10"/>
  <c r="O305" i="10"/>
  <c r="L297" i="10"/>
  <c r="R296" i="10"/>
  <c r="D295" i="10"/>
  <c r="W301" i="10"/>
  <c r="AA300" i="10"/>
  <c r="R304" i="10"/>
  <c r="G304" i="10"/>
  <c r="Y297" i="10"/>
  <c r="Y292" i="10"/>
  <c r="S298" i="10"/>
  <c r="K304" i="10"/>
  <c r="W293" i="10"/>
  <c r="R298" i="10"/>
  <c r="O292" i="10"/>
  <c r="Q302" i="10"/>
  <c r="Y293" i="10"/>
  <c r="AA301" i="10"/>
  <c r="G296" i="10"/>
  <c r="E303" i="10"/>
  <c r="E302" i="10"/>
  <c r="Q303" i="10"/>
  <c r="M294" i="10"/>
  <c r="Y299" i="10"/>
  <c r="H298" i="10"/>
  <c r="Q295" i="10"/>
  <c r="J294" i="10"/>
  <c r="Q304" i="10"/>
  <c r="K303" i="10"/>
  <c r="K298" i="10"/>
  <c r="S297" i="10"/>
  <c r="H294" i="10"/>
  <c r="W300" i="10"/>
  <c r="U298" i="10"/>
  <c r="V297" i="10"/>
  <c r="L300" i="10"/>
  <c r="X298" i="10"/>
  <c r="D294" i="10"/>
  <c r="D298" i="10"/>
  <c r="X296" i="10"/>
  <c r="K292" i="10"/>
  <c r="T301" i="10"/>
  <c r="F297" i="10"/>
  <c r="D301" i="10"/>
  <c r="Y302" i="10"/>
  <c r="N304" i="10"/>
  <c r="U302" i="10"/>
  <c r="L295" i="10"/>
  <c r="N303" i="10"/>
  <c r="U300" i="10"/>
  <c r="V304" i="10"/>
  <c r="K295" i="10"/>
  <c r="E296" i="10"/>
  <c r="Q300" i="10"/>
  <c r="R297" i="10"/>
  <c r="O298" i="10"/>
  <c r="H304" i="10"/>
  <c r="P303" i="10"/>
  <c r="U296" i="10"/>
  <c r="V300" i="10"/>
  <c r="G294" i="10"/>
  <c r="Z304" i="10"/>
  <c r="P292" i="10"/>
  <c r="V295" i="10"/>
  <c r="Q297" i="10"/>
  <c r="X293" i="10"/>
  <c r="Q292" i="10"/>
  <c r="V302" i="10"/>
  <c r="AA292" i="10"/>
  <c r="G299" i="10"/>
  <c r="D297" i="10"/>
  <c r="F304" i="10"/>
  <c r="AA296" i="10"/>
  <c r="W298" i="10"/>
  <c r="G303" i="10"/>
  <c r="N301" i="10"/>
  <c r="F299" i="10"/>
  <c r="J299" i="10"/>
  <c r="AA303" i="10"/>
  <c r="Z293" i="10"/>
  <c r="V305" i="10"/>
  <c r="N297" i="10"/>
  <c r="O300" i="10"/>
  <c r="I303" i="10"/>
  <c r="U305" i="10"/>
  <c r="Q305" i="10"/>
  <c r="T292" i="10"/>
  <c r="I302" i="10"/>
  <c r="J302" i="10"/>
  <c r="W302" i="10"/>
  <c r="L299" i="10"/>
  <c r="S295" i="10"/>
  <c r="F293" i="10"/>
  <c r="Z294" i="10"/>
  <c r="S294" i="10"/>
  <c r="I294" i="10"/>
  <c r="X305" i="10"/>
  <c r="X302" i="10"/>
  <c r="U292" i="10"/>
  <c r="N293" i="10"/>
  <c r="V296" i="10"/>
  <c r="W297" i="10"/>
  <c r="T303" i="10"/>
  <c r="S302" i="10"/>
  <c r="Y303" i="10"/>
  <c r="Z300" i="10"/>
  <c r="G302" i="10"/>
  <c r="V298" i="10"/>
  <c r="AA299" i="10"/>
  <c r="J296" i="10"/>
  <c r="G297" i="10"/>
  <c r="I296" i="10"/>
  <c r="I292" i="10"/>
  <c r="F300" i="10"/>
  <c r="P297" i="10"/>
  <c r="K294" i="10"/>
  <c r="K293" i="10"/>
  <c r="Y300" i="10"/>
  <c r="U297" i="10"/>
  <c r="G292" i="10"/>
  <c r="U299" i="10"/>
  <c r="W292" i="10"/>
  <c r="J305" i="10"/>
  <c r="U304" i="10"/>
  <c r="W304" i="10"/>
  <c r="Q296" i="10"/>
  <c r="I297" i="10"/>
  <c r="H302" i="10"/>
  <c r="R301" i="10"/>
  <c r="Z302" i="10"/>
  <c r="D304" i="10"/>
  <c r="S292" i="10"/>
  <c r="X300" i="10"/>
  <c r="H297" i="10"/>
  <c r="T299" i="10"/>
  <c r="D305" i="10"/>
  <c r="AA294" i="10"/>
  <c r="M302" i="10"/>
  <c r="O296" i="10"/>
  <c r="F298" i="10"/>
  <c r="E295" i="10"/>
  <c r="V299" i="10"/>
  <c r="V292" i="10"/>
  <c r="W303" i="10"/>
  <c r="H296" i="10"/>
  <c r="N292" i="10"/>
  <c r="G298" i="10"/>
  <c r="D300" i="10"/>
  <c r="H299" i="10"/>
  <c r="H295" i="10"/>
  <c r="R302" i="10"/>
  <c r="S296" i="10"/>
  <c r="K302" i="10"/>
  <c r="G295" i="10"/>
  <c r="D293" i="10"/>
  <c r="J304" i="10"/>
  <c r="P300" i="10"/>
  <c r="K296" i="10"/>
  <c r="L296" i="10"/>
  <c r="AA305" i="10"/>
  <c r="AA304" i="10"/>
  <c r="W299" i="10"/>
  <c r="X292" i="10"/>
  <c r="N298" i="10"/>
  <c r="E294" i="10"/>
  <c r="R295" i="10"/>
  <c r="F303" i="10"/>
  <c r="S305" i="10"/>
  <c r="X294" i="10"/>
  <c r="J298" i="10"/>
  <c r="V293" i="10"/>
  <c r="M298" i="10"/>
  <c r="E298" i="10"/>
  <c r="Y304" i="10"/>
  <c r="Y295" i="10"/>
  <c r="W296" i="10"/>
  <c r="X301" i="10"/>
  <c r="Y294" i="10"/>
  <c r="T293" i="10"/>
  <c r="S301" i="10"/>
  <c r="P295" i="10"/>
  <c r="T298" i="10"/>
  <c r="M304" i="10"/>
  <c r="O297" i="10"/>
  <c r="S293" i="10"/>
  <c r="T296" i="10"/>
  <c r="L294" i="10"/>
  <c r="X303" i="10"/>
  <c r="AA302" i="10"/>
  <c r="T300" i="10"/>
  <c r="Z292" i="10"/>
  <c r="AA298" i="10"/>
  <c r="V294" i="10"/>
  <c r="S303" i="10"/>
  <c r="M300" i="10"/>
  <c r="E304" i="10"/>
  <c r="I300" i="10"/>
  <c r="I295" i="10"/>
  <c r="M296" i="10"/>
  <c r="M299" i="10"/>
  <c r="L298" i="10"/>
  <c r="N302" i="10"/>
  <c r="K299" i="10"/>
  <c r="M301" i="10"/>
  <c r="H300" i="10"/>
  <c r="M295" i="10"/>
  <c r="T297" i="10"/>
  <c r="M293" i="10"/>
  <c r="N299" i="10"/>
  <c r="N305" i="10"/>
  <c r="O304" i="10"/>
  <c r="J295" i="10"/>
  <c r="Y296" i="10"/>
  <c r="F295" i="10"/>
  <c r="L302" i="10"/>
  <c r="N295" i="10"/>
  <c r="T304" i="10"/>
  <c r="E293" i="10"/>
  <c r="H303" i="10"/>
  <c r="O303" i="10"/>
  <c r="G226" i="10"/>
  <c r="F226" i="10"/>
  <c r="K230" i="10"/>
  <c r="G233" i="10"/>
  <c r="H226" i="10"/>
  <c r="H233" i="10"/>
  <c r="S226" i="10"/>
  <c r="N223" i="10"/>
  <c r="E223" i="10"/>
  <c r="D224" i="10"/>
  <c r="L228" i="10"/>
  <c r="N224" i="10"/>
  <c r="J232" i="10"/>
  <c r="Q233" i="10"/>
  <c r="L229" i="10"/>
  <c r="F223" i="10"/>
  <c r="N232" i="10"/>
  <c r="J222" i="10"/>
  <c r="G231" i="10"/>
  <c r="R232" i="10"/>
  <c r="O226" i="10"/>
  <c r="N225" i="10"/>
  <c r="J233" i="10"/>
  <c r="R235" i="10"/>
  <c r="O233" i="10"/>
  <c r="G222" i="10"/>
  <c r="V227" i="10"/>
  <c r="V228" i="10"/>
  <c r="T229" i="10"/>
  <c r="F232" i="10"/>
  <c r="G229" i="10"/>
  <c r="M234" i="10"/>
  <c r="P225" i="10"/>
  <c r="E226" i="10"/>
  <c r="R231" i="10"/>
  <c r="F224" i="10"/>
  <c r="Q225" i="10"/>
  <c r="O222" i="10"/>
  <c r="U222" i="10"/>
  <c r="K226" i="10"/>
  <c r="D225" i="10"/>
  <c r="D231" i="10"/>
  <c r="R228" i="10"/>
  <c r="N231" i="10"/>
  <c r="T235" i="10"/>
  <c r="V223" i="10"/>
  <c r="G235" i="10"/>
  <c r="S233" i="10"/>
  <c r="S234" i="10"/>
  <c r="T233" i="10"/>
  <c r="Q226" i="10"/>
  <c r="D233" i="10"/>
  <c r="Q224" i="10"/>
  <c r="I225" i="10"/>
  <c r="G227" i="10"/>
  <c r="G223" i="10"/>
  <c r="R227" i="10"/>
  <c r="S231" i="10"/>
  <c r="R233" i="10"/>
  <c r="D222" i="10"/>
  <c r="I232" i="10"/>
  <c r="S228" i="10"/>
  <c r="S227" i="10"/>
  <c r="V225" i="10"/>
  <c r="E228" i="10"/>
  <c r="N233" i="10"/>
  <c r="D234" i="10"/>
  <c r="D232" i="10"/>
  <c r="V232" i="10"/>
  <c r="G232" i="10"/>
  <c r="I228" i="10"/>
  <c r="T225" i="10"/>
  <c r="M235" i="10"/>
  <c r="J228" i="10"/>
  <c r="T231" i="10"/>
  <c r="U234" i="10"/>
  <c r="U229" i="10"/>
  <c r="H232" i="10"/>
  <c r="P234" i="10"/>
  <c r="E229" i="10"/>
  <c r="M232" i="10"/>
  <c r="H227" i="10"/>
  <c r="I235" i="10"/>
  <c r="L234" i="10"/>
  <c r="M228" i="10"/>
  <c r="L227" i="10"/>
  <c r="P235" i="10"/>
  <c r="V233" i="10"/>
  <c r="K232" i="10"/>
  <c r="S224" i="10"/>
  <c r="I226" i="10"/>
  <c r="O230" i="10"/>
  <c r="K224" i="10"/>
  <c r="J235" i="10"/>
  <c r="E235" i="10"/>
  <c r="M229" i="10"/>
  <c r="U223" i="10"/>
  <c r="O231" i="10"/>
  <c r="E227" i="10"/>
  <c r="G224" i="10"/>
  <c r="E225" i="10"/>
  <c r="N228" i="10"/>
  <c r="H229" i="10"/>
  <c r="E232" i="10"/>
  <c r="H234" i="10"/>
  <c r="T223" i="10"/>
  <c r="K222" i="10"/>
  <c r="D230" i="10"/>
  <c r="Q230" i="10"/>
  <c r="F228" i="10"/>
  <c r="R224" i="10"/>
  <c r="Q227" i="10"/>
  <c r="M233" i="10"/>
  <c r="P222" i="10"/>
  <c r="M227" i="10"/>
  <c r="T230" i="10"/>
  <c r="L235" i="10"/>
  <c r="I230" i="10"/>
  <c r="M226" i="10"/>
  <c r="J224" i="10"/>
  <c r="O232" i="10"/>
  <c r="M230" i="10"/>
  <c r="L223" i="10"/>
  <c r="J227" i="10"/>
  <c r="F222" i="10"/>
  <c r="D229" i="10"/>
  <c r="R230" i="10"/>
  <c r="U224" i="10"/>
  <c r="N230" i="10"/>
  <c r="U232" i="10"/>
  <c r="T226" i="10"/>
  <c r="F225" i="10"/>
  <c r="O224" i="10"/>
  <c r="S232" i="10"/>
  <c r="P224" i="10"/>
  <c r="O234" i="10"/>
  <c r="F229" i="10"/>
  <c r="V234" i="10"/>
  <c r="H228" i="10"/>
  <c r="L224" i="10"/>
  <c r="U225" i="10"/>
  <c r="K234" i="10"/>
  <c r="R222" i="10"/>
  <c r="O235" i="10"/>
  <c r="L226" i="10"/>
  <c r="S225" i="10"/>
  <c r="I227" i="10"/>
  <c r="F235" i="10"/>
  <c r="U231" i="10"/>
  <c r="D228" i="10"/>
  <c r="N222" i="10"/>
  <c r="O228" i="10"/>
  <c r="H231" i="10"/>
  <c r="H223" i="10"/>
  <c r="V231" i="10"/>
  <c r="F234" i="10"/>
  <c r="G230" i="10"/>
  <c r="T232" i="10"/>
  <c r="V230" i="10"/>
  <c r="P226" i="10"/>
  <c r="K227" i="10"/>
  <c r="G228" i="10"/>
  <c r="L231" i="10"/>
  <c r="V235" i="10"/>
  <c r="K235" i="10"/>
  <c r="P228" i="10"/>
  <c r="T228" i="10"/>
  <c r="I234" i="10"/>
  <c r="L230" i="10"/>
  <c r="L232" i="10"/>
  <c r="V226" i="10"/>
  <c r="Q232" i="10"/>
  <c r="P223" i="10"/>
  <c r="L222" i="10"/>
  <c r="R229" i="10"/>
  <c r="M225" i="10"/>
  <c r="J229" i="10"/>
  <c r="I233" i="10"/>
  <c r="T222" i="10"/>
  <c r="O223" i="10"/>
  <c r="L233" i="10"/>
  <c r="H222" i="10"/>
  <c r="H225" i="10"/>
  <c r="Q222" i="10"/>
  <c r="I224" i="10"/>
  <c r="J234" i="10"/>
  <c r="S223" i="10"/>
  <c r="R225" i="10"/>
  <c r="M223" i="10"/>
  <c r="P230" i="10"/>
  <c r="J231" i="10"/>
  <c r="G225" i="10"/>
  <c r="P229" i="10"/>
  <c r="P232" i="10"/>
  <c r="S230" i="10"/>
  <c r="U228" i="10"/>
  <c r="I222" i="10"/>
  <c r="F231" i="10"/>
  <c r="P231" i="10"/>
  <c r="I229" i="10"/>
  <c r="E222" i="10"/>
  <c r="U235" i="10"/>
  <c r="S222" i="10"/>
  <c r="M222" i="10"/>
  <c r="Q235" i="10"/>
  <c r="H235" i="10"/>
  <c r="Q229" i="10"/>
  <c r="L225" i="10"/>
  <c r="D227" i="10"/>
  <c r="N235" i="10"/>
  <c r="H230" i="10"/>
  <c r="H224" i="10"/>
  <c r="J230" i="10"/>
  <c r="O225" i="10"/>
  <c r="M224" i="10"/>
  <c r="Q231" i="10"/>
  <c r="K225" i="10"/>
  <c r="O229" i="10"/>
  <c r="U226" i="10"/>
  <c r="T224" i="10"/>
  <c r="V224" i="10"/>
  <c r="R226" i="10"/>
  <c r="T227" i="10"/>
  <c r="P227" i="10"/>
  <c r="I223" i="10"/>
  <c r="N226" i="10"/>
  <c r="P233" i="10"/>
  <c r="D223" i="10"/>
  <c r="U230" i="10"/>
  <c r="G234" i="10"/>
  <c r="K223" i="10"/>
  <c r="Q234" i="10"/>
  <c r="N234" i="10"/>
  <c r="M231" i="10"/>
  <c r="J225" i="10"/>
  <c r="J223" i="10"/>
  <c r="K229" i="10"/>
  <c r="T234" i="10"/>
  <c r="O227" i="10"/>
  <c r="D235" i="10"/>
  <c r="E230" i="10"/>
  <c r="K233" i="10"/>
  <c r="Q228" i="10"/>
  <c r="K231" i="10"/>
  <c r="R223" i="10"/>
  <c r="V222" i="10"/>
  <c r="D226" i="10"/>
  <c r="E234" i="10"/>
  <c r="I231" i="10"/>
  <c r="V229" i="10"/>
  <c r="S229" i="10"/>
  <c r="F227" i="10"/>
  <c r="Q223" i="10"/>
  <c r="E231" i="10"/>
  <c r="U233" i="10"/>
  <c r="J226" i="10"/>
  <c r="F230" i="10"/>
  <c r="N229" i="10"/>
  <c r="S235" i="10"/>
  <c r="U227" i="10"/>
  <c r="F233" i="10"/>
  <c r="N227" i="10"/>
  <c r="K228" i="10"/>
  <c r="E224" i="10"/>
  <c r="E233" i="10"/>
  <c r="R234" i="10"/>
  <c r="Y223" i="10"/>
  <c r="Z232" i="10"/>
  <c r="W234" i="10"/>
  <c r="W235" i="10"/>
  <c r="Z234" i="10"/>
  <c r="Y234" i="10"/>
  <c r="X234" i="10"/>
  <c r="Y226" i="10"/>
  <c r="Y225" i="10"/>
  <c r="X228" i="10"/>
  <c r="Z233" i="10"/>
  <c r="Z231" i="10"/>
  <c r="AA230" i="10"/>
  <c r="Y231" i="10"/>
  <c r="X235" i="10"/>
  <c r="AA235" i="10"/>
  <c r="X233" i="10"/>
  <c r="Z224" i="10"/>
  <c r="Z225" i="10"/>
  <c r="W227" i="10"/>
  <c r="Y232" i="10"/>
  <c r="Y222" i="10"/>
  <c r="Z227" i="10"/>
  <c r="Z228" i="10"/>
  <c r="X227" i="10"/>
  <c r="Z226" i="10"/>
  <c r="X222" i="10"/>
  <c r="W223" i="10"/>
  <c r="Z230" i="10"/>
  <c r="AA233" i="10"/>
  <c r="W224" i="10"/>
  <c r="W228" i="10"/>
  <c r="AA229" i="10"/>
  <c r="X232" i="10"/>
  <c r="Y227" i="10"/>
  <c r="AA231" i="10"/>
  <c r="AA223" i="10"/>
  <c r="W230" i="10"/>
  <c r="Y229" i="10"/>
  <c r="X229" i="10"/>
  <c r="AA232" i="10"/>
  <c r="X223" i="10"/>
  <c r="Z222" i="10"/>
  <c r="AA234" i="10"/>
  <c r="W232" i="10"/>
  <c r="X226" i="10"/>
  <c r="Y228" i="10"/>
  <c r="AA224" i="10"/>
  <c r="W231" i="10"/>
  <c r="W226" i="10"/>
  <c r="AA222" i="10"/>
  <c r="X224" i="10"/>
  <c r="AA228" i="10"/>
  <c r="X230" i="10"/>
  <c r="W233" i="10"/>
  <c r="AA226" i="10"/>
  <c r="Z235" i="10"/>
  <c r="AA225" i="10"/>
  <c r="W229" i="10"/>
  <c r="X225" i="10"/>
  <c r="Z223" i="10"/>
  <c r="Y233" i="10"/>
  <c r="X231" i="10"/>
  <c r="W225" i="10"/>
  <c r="Z229" i="10"/>
  <c r="Y224" i="10"/>
  <c r="Y230" i="10"/>
  <c r="W222" i="10"/>
  <c r="AA227" i="10"/>
  <c r="Y235" i="10"/>
  <c r="C4" i="18" a="1"/>
  <c r="AF5" i="18"/>
  <c r="DQ5" i="18"/>
  <c r="AU5" i="18"/>
  <c r="EB5" i="18"/>
  <c r="BB5" i="18"/>
  <c r="EA5" i="18"/>
  <c r="AW5" i="18"/>
  <c r="EK5" i="18"/>
  <c r="BH5" i="18"/>
  <c r="EV5" i="18"/>
  <c r="P5" i="18"/>
  <c r="DA5" i="18"/>
  <c r="AE5" i="18"/>
  <c r="DL5" i="18"/>
  <c r="AL5" i="18"/>
  <c r="H5" i="18"/>
  <c r="BF5" i="18"/>
  <c r="BQ5" i="18"/>
  <c r="CM5" i="18"/>
  <c r="I5" i="18"/>
  <c r="CT5" i="18"/>
  <c r="T5" i="18"/>
  <c r="DE5" i="18"/>
  <c r="S5" i="18"/>
  <c r="CZ5" i="18"/>
  <c r="Z5" i="18"/>
  <c r="DO5" i="18"/>
  <c r="AK5" i="18"/>
  <c r="DV5" i="18"/>
  <c r="FH5" i="18"/>
  <c r="E5" i="18"/>
  <c r="DC5" i="18"/>
  <c r="Y5" i="18"/>
  <c r="DJ5" i="18"/>
  <c r="AJ5" i="18"/>
  <c r="DU5" i="18"/>
  <c r="AI5" i="18"/>
  <c r="DP5" i="18"/>
  <c r="AP5" i="18"/>
  <c r="EH5" i="18"/>
  <c r="BA5" i="18"/>
  <c r="EO5" i="18"/>
  <c r="EL5" i="18"/>
  <c r="BE5" i="18"/>
  <c r="ES5" i="18"/>
  <c r="BP5" i="18"/>
  <c r="FD5" i="18"/>
  <c r="BO5" i="18"/>
  <c r="EY5" i="18"/>
  <c r="BV5" i="18"/>
  <c r="FN5" i="18"/>
  <c r="CG5" i="18"/>
  <c r="DS5" i="18"/>
  <c r="AO5" i="18"/>
  <c r="DZ5" i="18"/>
  <c r="AZ5" i="18"/>
  <c r="EN5" i="18"/>
  <c r="AY5" i="18"/>
  <c r="CS5" i="18"/>
  <c r="DD5" i="18"/>
  <c r="AA5" i="18"/>
  <c r="DH5" i="18"/>
  <c r="AH5" i="18"/>
  <c r="DW5" i="18"/>
  <c r="AS5" i="18"/>
  <c r="ED5" i="18"/>
  <c r="AN5" i="18"/>
  <c r="DY5" i="18"/>
  <c r="BC5" i="18"/>
  <c r="EM5" i="18"/>
  <c r="BJ5" i="18"/>
  <c r="AG5" i="18"/>
  <c r="AR5" i="18"/>
  <c r="AQ5" i="18"/>
  <c r="DX5" i="18"/>
  <c r="AX5" i="18"/>
  <c r="EP5" i="18"/>
  <c r="BI5" i="18"/>
  <c r="EW5" i="18"/>
  <c r="BD5" i="18"/>
  <c r="ER5" i="18"/>
  <c r="BS5" i="18"/>
  <c r="FC5" i="18"/>
  <c r="BZ5" i="18"/>
  <c r="K5" i="18"/>
  <c r="CR5" i="18"/>
  <c r="R5" i="18"/>
  <c r="DG5" i="18"/>
  <c r="AC5" i="18"/>
  <c r="DN5" i="18"/>
  <c r="X5" i="18"/>
  <c r="DI5" i="18"/>
  <c r="AM5" i="18"/>
  <c r="DT5" i="18"/>
  <c r="AT5" i="18"/>
  <c r="CB5" i="18"/>
  <c r="EE5" i="18"/>
  <c r="CQ5" i="18"/>
  <c r="M5" i="18"/>
  <c r="CX5" i="18"/>
  <c r="BT5" i="18"/>
  <c r="W5" i="18"/>
  <c r="AD5" i="18"/>
  <c r="FB5" i="18"/>
  <c r="BU5" i="18"/>
  <c r="FI5" i="18"/>
  <c r="CF5" i="18"/>
  <c r="F5" i="18"/>
  <c r="CE5" i="18"/>
  <c r="EF5" i="18"/>
  <c r="CL5" i="18"/>
  <c r="L5" i="18"/>
  <c r="CW5" i="18"/>
  <c r="BG5" i="18"/>
  <c r="DR5" i="18"/>
  <c r="EC5" i="18"/>
  <c r="EG5" i="18"/>
  <c r="CK5" i="18"/>
  <c r="O5" i="18"/>
  <c r="CV5" i="18"/>
  <c r="V5" i="18"/>
  <c r="CU5" i="18"/>
  <c r="Q5" i="18"/>
  <c r="DB5" i="18"/>
  <c r="AB5" i="18"/>
  <c r="DM5" i="18"/>
  <c r="BW5" i="18"/>
  <c r="FG5" i="18"/>
  <c r="CD5" i="18"/>
  <c r="D5" i="18"/>
  <c r="CO5" i="18"/>
  <c r="C5" i="18"/>
  <c r="CJ5" i="18"/>
  <c r="J5" i="18"/>
  <c r="CY5" i="18"/>
  <c r="U5" i="18"/>
  <c r="DF5" i="18"/>
  <c r="EQ5" i="18"/>
  <c r="BN5" i="18"/>
  <c r="FF5" i="18"/>
  <c r="BY5" i="18"/>
  <c r="FM5" i="18"/>
  <c r="EI5" i="18"/>
  <c r="EX5" i="18"/>
  <c r="FE5" i="18"/>
  <c r="AV5" i="18"/>
  <c r="EJ5" i="18"/>
  <c r="BK5" i="18"/>
  <c r="EU5" i="18"/>
  <c r="BR5" i="18"/>
  <c r="ET5" i="18"/>
  <c r="BM5" i="18"/>
  <c r="FA5" i="18"/>
  <c r="BX5" i="18"/>
  <c r="FL5" i="18"/>
  <c r="DK5" i="18"/>
  <c r="CI5" i="18"/>
  <c r="CP5" i="18"/>
  <c r="BL5" i="18"/>
  <c r="EZ5" i="18"/>
  <c r="CA5" i="18"/>
  <c r="FK5" i="18"/>
  <c r="CH5" i="18"/>
  <c r="FJ5" i="18"/>
  <c r="CC5" i="18"/>
  <c r="G5" i="18"/>
  <c r="CN5" i="18"/>
  <c r="N5" i="18"/>
  <c r="J236" i="10"/>
  <c r="F248" i="10"/>
  <c r="G245" i="10"/>
  <c r="G244" i="10"/>
  <c r="R246" i="10"/>
  <c r="T246" i="10"/>
  <c r="O240" i="10"/>
  <c r="V244" i="10"/>
  <c r="N239" i="10"/>
  <c r="P240" i="10"/>
  <c r="J247" i="10"/>
  <c r="K241" i="10"/>
  <c r="R249" i="10"/>
  <c r="G242" i="10"/>
  <c r="O247" i="10"/>
  <c r="L245" i="10"/>
  <c r="G236" i="10"/>
  <c r="V242" i="10"/>
  <c r="V247" i="10"/>
  <c r="K249" i="10"/>
  <c r="U240" i="10"/>
  <c r="F246" i="10"/>
  <c r="S238" i="10"/>
  <c r="O244" i="10"/>
  <c r="T242" i="10"/>
  <c r="V238" i="10"/>
  <c r="M248" i="10"/>
  <c r="J249" i="10"/>
  <c r="L244" i="10"/>
  <c r="T241" i="10"/>
  <c r="P241" i="10"/>
  <c r="N240" i="10"/>
  <c r="R245" i="10"/>
  <c r="M243" i="10"/>
  <c r="V240" i="10"/>
  <c r="D237" i="10"/>
  <c r="Q246" i="10"/>
  <c r="L236" i="10"/>
  <c r="G248" i="10"/>
  <c r="O236" i="10"/>
  <c r="U236" i="10"/>
  <c r="E241" i="10"/>
  <c r="E239" i="10"/>
  <c r="H243" i="10"/>
  <c r="D239" i="10"/>
  <c r="D245" i="10"/>
  <c r="H248" i="10"/>
  <c r="J243" i="10"/>
  <c r="T237" i="10"/>
  <c r="R242" i="10"/>
  <c r="Q244" i="10"/>
  <c r="F242" i="10"/>
  <c r="Q241" i="10"/>
  <c r="M247" i="10"/>
  <c r="M241" i="10"/>
  <c r="H236" i="10"/>
  <c r="H239" i="10"/>
  <c r="N248" i="10"/>
  <c r="I238" i="10"/>
  <c r="J239" i="10"/>
  <c r="T249" i="10"/>
  <c r="L249" i="10"/>
  <c r="M240" i="10"/>
  <c r="S237" i="10"/>
  <c r="J238" i="10"/>
  <c r="O246" i="10"/>
  <c r="M244" i="10"/>
  <c r="J245" i="10"/>
  <c r="G239" i="10"/>
  <c r="O241" i="10"/>
  <c r="G249" i="10"/>
  <c r="P243" i="10"/>
  <c r="L237" i="10"/>
  <c r="J241" i="10"/>
  <c r="D243" i="10"/>
  <c r="D249" i="10"/>
  <c r="E244" i="10"/>
  <c r="Q240" i="10"/>
  <c r="Q238" i="10"/>
  <c r="K247" i="10"/>
  <c r="U238" i="10"/>
  <c r="K245" i="10"/>
  <c r="G237" i="10"/>
  <c r="R237" i="10"/>
  <c r="R247" i="10"/>
  <c r="V236" i="10"/>
  <c r="I246" i="10"/>
  <c r="S241" i="10"/>
  <c r="U246" i="10"/>
  <c r="D240" i="10"/>
  <c r="N247" i="10"/>
  <c r="I236" i="10"/>
  <c r="I245" i="10"/>
  <c r="F245" i="10"/>
  <c r="O238" i="10"/>
  <c r="P238" i="10"/>
  <c r="V246" i="10"/>
  <c r="G246" i="10"/>
  <c r="V248" i="10"/>
  <c r="E236" i="10"/>
  <c r="H242" i="10"/>
  <c r="V243" i="10"/>
  <c r="T239" i="10"/>
  <c r="M249" i="10"/>
  <c r="T245" i="10"/>
  <c r="S236" i="10"/>
  <c r="M236" i="10"/>
  <c r="K248" i="10"/>
  <c r="H249" i="10"/>
  <c r="Q237" i="10"/>
  <c r="E245" i="10"/>
  <c r="H246" i="10"/>
  <c r="L239" i="10"/>
  <c r="P248" i="10"/>
  <c r="E243" i="10"/>
  <c r="S239" i="10"/>
  <c r="J240" i="10"/>
  <c r="N249" i="10"/>
  <c r="I241" i="10"/>
  <c r="H238" i="10"/>
  <c r="L248" i="10"/>
  <c r="F244" i="10"/>
  <c r="F249" i="10"/>
  <c r="M238" i="10"/>
  <c r="D242" i="10"/>
  <c r="O242" i="10"/>
  <c r="L241" i="10"/>
  <c r="S249" i="10"/>
  <c r="U241" i="10"/>
  <c r="V245" i="10"/>
  <c r="E238" i="10"/>
  <c r="K242" i="10"/>
  <c r="G240" i="10"/>
  <c r="P249" i="10"/>
  <c r="K246" i="10"/>
  <c r="I240" i="10"/>
  <c r="K238" i="10"/>
  <c r="E249" i="10"/>
  <c r="U237" i="10"/>
  <c r="O245" i="10"/>
  <c r="G238" i="10"/>
  <c r="N242" i="10"/>
  <c r="E246" i="10"/>
  <c r="K236" i="10"/>
  <c r="D244" i="10"/>
  <c r="R238" i="10"/>
  <c r="P236" i="10"/>
  <c r="T244" i="10"/>
  <c r="I244" i="10"/>
  <c r="F236" i="10"/>
  <c r="R244" i="10"/>
  <c r="N244" i="10"/>
  <c r="T240" i="10"/>
  <c r="F239" i="10"/>
  <c r="S246" i="10"/>
  <c r="O248" i="10"/>
  <c r="F243" i="10"/>
  <c r="L238" i="10"/>
  <c r="U239" i="10"/>
  <c r="R236" i="10"/>
  <c r="O249" i="10"/>
  <c r="L240" i="10"/>
  <c r="U245" i="10"/>
  <c r="N236" i="10"/>
  <c r="H245" i="10"/>
  <c r="H237" i="10"/>
  <c r="K244" i="10"/>
  <c r="H240" i="10"/>
  <c r="S240" i="10"/>
  <c r="E237" i="10"/>
  <c r="L242" i="10"/>
  <c r="J246" i="10"/>
  <c r="L243" i="10"/>
  <c r="N246" i="10"/>
  <c r="V249" i="10"/>
  <c r="P242" i="10"/>
  <c r="I248" i="10"/>
  <c r="L246" i="10"/>
  <c r="P237" i="10"/>
  <c r="R243" i="10"/>
  <c r="M239" i="10"/>
  <c r="I247" i="10"/>
  <c r="T236" i="10"/>
  <c r="O237" i="10"/>
  <c r="L247" i="10"/>
  <c r="Q236" i="10"/>
  <c r="J248" i="10"/>
  <c r="R239" i="10"/>
  <c r="M237" i="10"/>
  <c r="P244" i="10"/>
  <c r="P246" i="10"/>
  <c r="S244" i="10"/>
  <c r="U242" i="10"/>
  <c r="P245" i="10"/>
  <c r="I243" i="10"/>
  <c r="U249" i="10"/>
  <c r="Q249" i="10"/>
  <c r="Q243" i="10"/>
  <c r="D241" i="10"/>
  <c r="H244" i="10"/>
  <c r="J244" i="10"/>
  <c r="O239" i="10"/>
  <c r="Q245" i="10"/>
  <c r="K239" i="10"/>
  <c r="O243" i="10"/>
  <c r="T238" i="10"/>
  <c r="R240" i="10"/>
  <c r="I237" i="10"/>
  <c r="P247" i="10"/>
  <c r="U244" i="10"/>
  <c r="K237" i="10"/>
  <c r="Q248" i="10"/>
  <c r="M245" i="10"/>
  <c r="J237" i="10"/>
  <c r="K243" i="10"/>
  <c r="T248" i="10"/>
  <c r="Q242" i="10"/>
  <c r="E248" i="10"/>
  <c r="S243" i="10"/>
  <c r="F241" i="10"/>
  <c r="U247" i="10"/>
  <c r="N243" i="10"/>
  <c r="F240" i="10"/>
  <c r="G247" i="10"/>
  <c r="H247" i="10"/>
  <c r="N237" i="10"/>
  <c r="D238" i="10"/>
  <c r="N238" i="10"/>
  <c r="Q247" i="10"/>
  <c r="F237" i="10"/>
  <c r="V241" i="10"/>
  <c r="T243" i="10"/>
  <c r="G243" i="10"/>
  <c r="P239" i="10"/>
  <c r="E240" i="10"/>
  <c r="F238" i="10"/>
  <c r="Q239" i="10"/>
  <c r="K240" i="10"/>
  <c r="N245" i="10"/>
  <c r="V237" i="10"/>
  <c r="S247" i="10"/>
  <c r="S248" i="10"/>
  <c r="T247" i="10"/>
  <c r="D247" i="10"/>
  <c r="I239" i="10"/>
  <c r="G241" i="10"/>
  <c r="R241" i="10"/>
  <c r="S245" i="10"/>
  <c r="D236" i="10"/>
  <c r="S242" i="10"/>
  <c r="V239" i="10"/>
  <c r="E242" i="10"/>
  <c r="D248" i="10"/>
  <c r="D246" i="10"/>
  <c r="I242" i="10"/>
  <c r="J242" i="10"/>
  <c r="U248" i="10"/>
  <c r="U243" i="10"/>
  <c r="M246" i="10"/>
  <c r="H241" i="10"/>
  <c r="I249" i="10"/>
  <c r="M242" i="10"/>
  <c r="E247" i="10"/>
  <c r="R248" i="10"/>
  <c r="F247" i="10"/>
  <c r="N241" i="10"/>
  <c r="Z241" i="10"/>
  <c r="X236" i="10"/>
  <c r="W237" i="10"/>
  <c r="Z244" i="10"/>
  <c r="W238" i="10"/>
  <c r="Y241" i="10"/>
  <c r="AA245" i="10"/>
  <c r="W246" i="10"/>
  <c r="X248" i="10"/>
  <c r="AA240" i="10"/>
  <c r="AA237" i="10"/>
  <c r="AA249" i="10"/>
  <c r="Y243" i="10"/>
  <c r="AA239" i="10"/>
  <c r="Y247" i="10"/>
  <c r="W239" i="10"/>
  <c r="Z243" i="10"/>
  <c r="Y244" i="10"/>
  <c r="AA241" i="10"/>
  <c r="Y249" i="10"/>
  <c r="W249" i="10"/>
  <c r="W247" i="10"/>
  <c r="W236" i="10"/>
  <c r="X238" i="10"/>
  <c r="W243" i="10"/>
  <c r="W248" i="10"/>
  <c r="X246" i="10"/>
  <c r="X241" i="10"/>
  <c r="Z248" i="10"/>
  <c r="Y240" i="10"/>
  <c r="X242" i="10"/>
  <c r="Z247" i="10"/>
  <c r="AA244" i="10"/>
  <c r="Y245" i="10"/>
  <c r="X249" i="10"/>
  <c r="X247" i="10"/>
  <c r="Z238" i="10"/>
  <c r="Y236" i="10"/>
  <c r="Y246" i="10"/>
  <c r="X244" i="10"/>
  <c r="AA243" i="10"/>
  <c r="Z237" i="10"/>
  <c r="AA247" i="10"/>
  <c r="Y238" i="10"/>
  <c r="X245" i="10"/>
  <c r="Z240" i="10"/>
  <c r="Z242" i="10"/>
  <c r="Z239" i="10"/>
  <c r="AA246" i="10"/>
  <c r="X237" i="10"/>
  <c r="Z236" i="10"/>
  <c r="X240" i="10"/>
  <c r="AA238" i="10"/>
  <c r="W245" i="10"/>
  <c r="W240" i="10"/>
  <c r="AA236" i="10"/>
  <c r="AA242" i="10"/>
  <c r="W242" i="10"/>
  <c r="Y242" i="10"/>
  <c r="AA248" i="10"/>
  <c r="Z245" i="10"/>
  <c r="W241" i="10"/>
  <c r="Z246" i="10"/>
  <c r="Y239" i="10"/>
  <c r="Y248" i="10"/>
  <c r="Z249" i="10"/>
  <c r="W244" i="10"/>
  <c r="X243" i="10"/>
  <c r="Y237" i="10"/>
  <c r="X239" i="10"/>
  <c r="D339" i="10" a="1"/>
  <c r="D321" i="10" a="1"/>
  <c r="E261" i="10"/>
  <c r="H250" i="10"/>
  <c r="P260" i="10"/>
  <c r="M263" i="10"/>
  <c r="K263" i="10"/>
  <c r="U256" i="10"/>
  <c r="J261" i="10"/>
  <c r="R256" i="10"/>
  <c r="D261" i="10"/>
  <c r="O262" i="10"/>
  <c r="M262" i="10"/>
  <c r="K256" i="10"/>
  <c r="D251" i="10"/>
  <c r="J255" i="10"/>
  <c r="J252" i="10"/>
  <c r="R260" i="10"/>
  <c r="V252" i="10"/>
  <c r="N252" i="10"/>
  <c r="M257" i="10"/>
  <c r="O259" i="10"/>
  <c r="O251" i="10"/>
  <c r="P263" i="10"/>
  <c r="M258" i="10"/>
  <c r="S257" i="10"/>
  <c r="V260" i="10"/>
  <c r="F260" i="10"/>
  <c r="E259" i="10"/>
  <c r="D255" i="10"/>
  <c r="M260" i="10"/>
  <c r="P262" i="10"/>
  <c r="G261" i="10"/>
  <c r="J260" i="10"/>
  <c r="F262" i="10"/>
  <c r="V255" i="10"/>
  <c r="N251" i="10"/>
  <c r="F258" i="10"/>
  <c r="I257" i="10"/>
  <c r="S256" i="10"/>
  <c r="U260" i="10"/>
  <c r="S259" i="10"/>
  <c r="V256" i="10"/>
  <c r="I262" i="10"/>
  <c r="R258" i="10"/>
  <c r="H251" i="10"/>
  <c r="M261" i="10"/>
  <c r="P252" i="10"/>
  <c r="M259" i="10"/>
  <c r="H261" i="10"/>
  <c r="Q252" i="10"/>
  <c r="T258" i="10"/>
  <c r="F261" i="10"/>
  <c r="D259" i="10"/>
  <c r="N257" i="10"/>
  <c r="G253" i="10"/>
  <c r="J256" i="10"/>
  <c r="Q258" i="10"/>
  <c r="N260" i="10"/>
  <c r="T255" i="10"/>
  <c r="L253" i="10"/>
  <c r="T250" i="10"/>
  <c r="I258" i="10"/>
  <c r="D258" i="10"/>
  <c r="I255" i="10"/>
  <c r="D260" i="10"/>
  <c r="O254" i="10"/>
  <c r="T253" i="10"/>
  <c r="U258" i="10"/>
  <c r="N255" i="10"/>
  <c r="H252" i="10"/>
  <c r="F263" i="10"/>
  <c r="P259" i="10"/>
  <c r="L254" i="10"/>
  <c r="Q263" i="10"/>
  <c r="P255" i="10"/>
  <c r="S260" i="10"/>
  <c r="J258" i="10"/>
  <c r="D254" i="10"/>
  <c r="E253" i="10"/>
  <c r="H256" i="10"/>
  <c r="G256" i="10"/>
  <c r="S254" i="10"/>
  <c r="M251" i="10"/>
  <c r="L263" i="10"/>
  <c r="K253" i="10"/>
  <c r="F250" i="10"/>
  <c r="F254" i="10"/>
  <c r="T251" i="10"/>
  <c r="K250" i="10"/>
  <c r="I261" i="10"/>
  <c r="I259" i="10"/>
  <c r="I251" i="10"/>
  <c r="L260" i="10"/>
  <c r="K254" i="10"/>
  <c r="K258" i="10"/>
  <c r="P250" i="10"/>
  <c r="J259" i="10"/>
  <c r="U257" i="10"/>
  <c r="D253" i="10"/>
  <c r="T261" i="10"/>
  <c r="I252" i="10"/>
  <c r="V262" i="10"/>
  <c r="Q254" i="10"/>
  <c r="Q251" i="10"/>
  <c r="F253" i="10"/>
  <c r="G252" i="10"/>
  <c r="F255" i="10"/>
  <c r="P256" i="10"/>
  <c r="L257" i="10"/>
  <c r="V254" i="10"/>
  <c r="J253" i="10"/>
  <c r="G258" i="10"/>
  <c r="T263" i="10"/>
  <c r="H260" i="10"/>
  <c r="M254" i="10"/>
  <c r="I254" i="10"/>
  <c r="U259" i="10"/>
  <c r="M256" i="10"/>
  <c r="O261" i="10"/>
  <c r="D262" i="10"/>
  <c r="D263" i="10"/>
  <c r="J250" i="10"/>
  <c r="P258" i="10"/>
  <c r="H255" i="10"/>
  <c r="T259" i="10"/>
  <c r="I253" i="10"/>
  <c r="D252" i="10"/>
  <c r="L250" i="10"/>
  <c r="T260" i="10"/>
  <c r="H263" i="10"/>
  <c r="H258" i="10"/>
  <c r="E250" i="10"/>
  <c r="J257" i="10"/>
  <c r="O260" i="10"/>
  <c r="Z259" i="10"/>
  <c r="Z255" i="10"/>
  <c r="X258" i="10"/>
  <c r="Z257" i="10"/>
  <c r="X261" i="10"/>
  <c r="X255" i="10"/>
  <c r="Z251" i="10"/>
  <c r="X252" i="10"/>
  <c r="AA256" i="10"/>
  <c r="AA255" i="10"/>
  <c r="AA257" i="10"/>
  <c r="Y250" i="10"/>
  <c r="W256" i="10"/>
  <c r="AA251" i="10"/>
  <c r="Z260" i="10"/>
  <c r="X260" i="10"/>
  <c r="W255" i="10"/>
  <c r="Y261" i="10"/>
  <c r="M252" i="10"/>
  <c r="I263" i="10"/>
  <c r="Q261" i="10"/>
  <c r="F252" i="10"/>
  <c r="T252" i="10"/>
  <c r="H262" i="10"/>
  <c r="H253" i="10"/>
  <c r="O252" i="10"/>
  <c r="Q253" i="10"/>
  <c r="T262" i="10"/>
  <c r="G250" i="10"/>
  <c r="U261" i="10"/>
  <c r="K252" i="10"/>
  <c r="M250" i="10"/>
  <c r="U255" i="10"/>
  <c r="T257" i="10"/>
  <c r="Q262" i="10"/>
  <c r="L255" i="10"/>
  <c r="S258" i="10"/>
  <c r="O257" i="10"/>
  <c r="L256" i="10"/>
  <c r="R257" i="10"/>
  <c r="D250" i="10"/>
  <c r="H254" i="10"/>
  <c r="R262" i="10"/>
  <c r="S263" i="10"/>
  <c r="Q257" i="10"/>
  <c r="L252" i="10"/>
  <c r="P261" i="10"/>
  <c r="G262" i="10"/>
  <c r="I256" i="10"/>
  <c r="P254" i="10"/>
  <c r="U250" i="10"/>
  <c r="V251" i="10"/>
  <c r="N259" i="10"/>
  <c r="R263" i="10"/>
  <c r="L258" i="10"/>
  <c r="Q250" i="10"/>
  <c r="K251" i="10"/>
  <c r="V250" i="10"/>
  <c r="V253" i="10"/>
  <c r="N263" i="10"/>
  <c r="Q256" i="10"/>
  <c r="L262" i="10"/>
  <c r="O253" i="10"/>
  <c r="E260" i="10"/>
  <c r="N254" i="10"/>
  <c r="J263" i="10"/>
  <c r="N261" i="10"/>
  <c r="O258" i="10"/>
  <c r="U254" i="10"/>
  <c r="L251" i="10"/>
  <c r="G254" i="10"/>
  <c r="L259" i="10"/>
  <c r="R261" i="10"/>
  <c r="S253" i="10"/>
  <c r="K255" i="10"/>
  <c r="D256" i="10"/>
  <c r="L261" i="10"/>
  <c r="K262" i="10"/>
  <c r="M255" i="10"/>
  <c r="G257" i="10"/>
  <c r="D257" i="10"/>
  <c r="J251" i="10"/>
  <c r="P251" i="10"/>
  <c r="U263" i="10"/>
  <c r="AA253" i="10"/>
  <c r="Z254" i="10"/>
  <c r="Y262" i="10"/>
  <c r="Y259" i="10"/>
  <c r="AA254" i="10"/>
  <c r="Z263" i="10"/>
  <c r="Y252" i="10"/>
  <c r="Y257" i="10"/>
  <c r="Y258" i="10"/>
  <c r="AA258" i="10"/>
  <c r="W260" i="10"/>
  <c r="X262" i="10"/>
  <c r="W251" i="10"/>
  <c r="AA263" i="10"/>
  <c r="Z253" i="10"/>
  <c r="AA259" i="10"/>
  <c r="Z258" i="10"/>
  <c r="W252" i="10"/>
  <c r="V259" i="10"/>
  <c r="G251" i="10"/>
  <c r="P253" i="10"/>
  <c r="E258" i="10"/>
  <c r="Q260" i="10"/>
  <c r="O250" i="10"/>
  <c r="R253" i="10"/>
  <c r="N253" i="10"/>
  <c r="E262" i="10"/>
  <c r="U252" i="10"/>
  <c r="S250" i="10"/>
  <c r="V263" i="10"/>
  <c r="V261" i="10"/>
  <c r="G255" i="10"/>
  <c r="F259" i="10"/>
  <c r="G263" i="10"/>
  <c r="E254" i="10"/>
  <c r="X259" i="10"/>
  <c r="Z261" i="10"/>
  <c r="W254" i="10"/>
  <c r="W263" i="10"/>
  <c r="Y251" i="10"/>
  <c r="Y255" i="10"/>
  <c r="X257" i="10"/>
  <c r="AA260" i="10"/>
  <c r="X250" i="10"/>
  <c r="V257" i="10"/>
  <c r="R252" i="10"/>
  <c r="F251" i="10"/>
  <c r="Q259" i="10"/>
  <c r="H257" i="10"/>
  <c r="E257" i="10"/>
  <c r="J254" i="10"/>
  <c r="N258" i="10"/>
  <c r="M253" i="10"/>
  <c r="T256" i="10"/>
  <c r="U251" i="10"/>
  <c r="F256" i="10"/>
  <c r="R254" i="10"/>
  <c r="E255" i="10"/>
  <c r="T254" i="10"/>
  <c r="S255" i="10"/>
  <c r="Y263" i="10"/>
  <c r="W261" i="10"/>
  <c r="W258" i="10"/>
  <c r="X256" i="10"/>
  <c r="Z250" i="10"/>
  <c r="X263" i="10"/>
  <c r="Y256" i="10"/>
  <c r="Z252" i="10"/>
  <c r="AA262" i="10"/>
  <c r="F257" i="10"/>
  <c r="V258" i="10"/>
  <c r="N250" i="10"/>
  <c r="N256" i="10"/>
  <c r="Q255" i="10"/>
  <c r="N262" i="10"/>
  <c r="U253" i="10"/>
  <c r="J262" i="10"/>
  <c r="E251" i="10"/>
  <c r="H259" i="10"/>
  <c r="K261" i="10"/>
  <c r="G260" i="10"/>
  <c r="I250" i="10"/>
  <c r="I260" i="10"/>
  <c r="R255" i="10"/>
  <c r="G259" i="10"/>
  <c r="R250" i="10"/>
  <c r="AA261" i="10"/>
  <c r="Y260" i="10"/>
  <c r="X251" i="10"/>
  <c r="W250" i="10"/>
  <c r="X254" i="10"/>
  <c r="W253" i="10"/>
  <c r="Y254" i="10"/>
  <c r="W259" i="10"/>
  <c r="R259" i="10"/>
  <c r="K260" i="10"/>
  <c r="O263" i="10"/>
  <c r="E256" i="10"/>
  <c r="R251" i="10"/>
  <c r="U262" i="10"/>
  <c r="O255" i="10"/>
  <c r="E263" i="10"/>
  <c r="S252" i="10"/>
  <c r="S261" i="10"/>
  <c r="S251" i="10"/>
  <c r="S262" i="10"/>
  <c r="E252" i="10"/>
  <c r="O256" i="10"/>
  <c r="K259" i="10"/>
  <c r="K257" i="10"/>
  <c r="P257" i="10"/>
  <c r="AA250" i="10"/>
  <c r="Y253" i="10"/>
  <c r="W257" i="10"/>
  <c r="Z262" i="10"/>
  <c r="AA252" i="10"/>
  <c r="Z256" i="10"/>
  <c r="W262" i="10"/>
  <c r="X253" i="10"/>
  <c r="Y266" i="10" l="1"/>
  <c r="Y275" i="10"/>
  <c r="X272" i="10"/>
  <c r="W268" i="10"/>
  <c r="X268" i="10"/>
  <c r="W272" i="10"/>
  <c r="AA275" i="10"/>
  <c r="Z274" i="10"/>
  <c r="J268" i="10"/>
  <c r="E276" i="10"/>
  <c r="J265" i="10"/>
  <c r="T266" i="10"/>
  <c r="L267" i="10"/>
  <c r="Q274" i="10"/>
  <c r="P268" i="10"/>
  <c r="L266" i="10"/>
  <c r="F267" i="10"/>
  <c r="J266" i="10"/>
  <c r="Q269" i="10"/>
  <c r="M271" i="10"/>
  <c r="L276" i="10"/>
  <c r="D274" i="10"/>
  <c r="R277" i="10"/>
  <c r="R274" i="10"/>
  <c r="F265" i="10"/>
  <c r="N265" i="10"/>
  <c r="K119" i="22"/>
  <c r="K118" i="22"/>
  <c r="K120" i="22"/>
  <c r="S94" i="22"/>
  <c r="S96" i="22"/>
  <c r="S95" i="22"/>
  <c r="O132" i="22"/>
  <c r="O131" i="22"/>
  <c r="O130" i="22"/>
  <c r="G122" i="22"/>
  <c r="G121" i="22"/>
  <c r="G123" i="22"/>
  <c r="J128" i="22"/>
  <c r="J129" i="22"/>
  <c r="J127" i="22"/>
  <c r="R103" i="22"/>
  <c r="R104" i="22"/>
  <c r="R105" i="22"/>
  <c r="V113" i="22"/>
  <c r="V112" i="22"/>
  <c r="V114" i="22"/>
  <c r="S92" i="22"/>
  <c r="S91" i="22"/>
  <c r="S93" i="22"/>
  <c r="P101" i="22"/>
  <c r="P100" i="22"/>
  <c r="P102" i="22"/>
  <c r="D114" i="22"/>
  <c r="D113" i="22"/>
  <c r="D112" i="22"/>
  <c r="R126" i="22"/>
  <c r="R125" i="22"/>
  <c r="R124" i="22"/>
  <c r="N103" i="22"/>
  <c r="N105" i="22"/>
  <c r="N104" i="22"/>
  <c r="N119" i="22"/>
  <c r="N118" i="22"/>
  <c r="N120" i="22"/>
  <c r="Q112" i="22"/>
  <c r="Q113" i="22"/>
  <c r="Q114" i="22"/>
  <c r="S115" i="22"/>
  <c r="S117" i="22"/>
  <c r="S116" i="22"/>
  <c r="G93" i="22"/>
  <c r="G91" i="22"/>
  <c r="G92" i="22"/>
  <c r="Q126" i="22"/>
  <c r="Q124" i="22"/>
  <c r="Q125" i="22"/>
  <c r="D98" i="22"/>
  <c r="D99" i="22"/>
  <c r="D97" i="22"/>
  <c r="M103" i="22"/>
  <c r="M105" i="22"/>
  <c r="M104" i="22"/>
  <c r="F108" i="22"/>
  <c r="F106" i="22"/>
  <c r="F107" i="22"/>
  <c r="D100" i="22"/>
  <c r="D101" i="22"/>
  <c r="D102" i="22"/>
  <c r="I118" i="22"/>
  <c r="I119" i="22"/>
  <c r="I120" i="22"/>
  <c r="E101" i="22"/>
  <c r="E100" i="22"/>
  <c r="E102" i="22"/>
  <c r="T100" i="22"/>
  <c r="T101" i="22"/>
  <c r="T102" i="22"/>
  <c r="G102" i="22"/>
  <c r="G100" i="22"/>
  <c r="G101" i="22"/>
  <c r="P97" i="22"/>
  <c r="P99" i="22"/>
  <c r="P98" i="22"/>
  <c r="S110" i="22"/>
  <c r="S111" i="22"/>
  <c r="S109" i="22"/>
  <c r="P127" i="22"/>
  <c r="P129" i="22"/>
  <c r="P128" i="22"/>
  <c r="P130" i="22"/>
  <c r="P131" i="22"/>
  <c r="P132" i="22"/>
  <c r="U110" i="22"/>
  <c r="U111" i="22"/>
  <c r="U109" i="22"/>
  <c r="O110" i="22"/>
  <c r="O109" i="22"/>
  <c r="O111" i="22"/>
  <c r="K123" i="22"/>
  <c r="K122" i="22"/>
  <c r="K121" i="22"/>
  <c r="U101" i="22"/>
  <c r="U100" i="22"/>
  <c r="U102" i="22"/>
  <c r="S106" i="22"/>
  <c r="S107" i="22"/>
  <c r="S108" i="22"/>
  <c r="N117" i="22"/>
  <c r="N116" i="22"/>
  <c r="N115" i="22"/>
  <c r="Q120" i="22"/>
  <c r="Q118" i="22"/>
  <c r="Q119" i="22"/>
  <c r="G106" i="22"/>
  <c r="G107" i="22"/>
  <c r="G108" i="22"/>
  <c r="O93" i="22"/>
  <c r="O91" i="22"/>
  <c r="O92" i="22"/>
  <c r="G95" i="22"/>
  <c r="G94" i="22"/>
  <c r="G96" i="22"/>
  <c r="U131" i="22"/>
  <c r="U130" i="22"/>
  <c r="U132" i="22"/>
  <c r="D109" i="22"/>
  <c r="D111" i="22"/>
  <c r="D110" i="22"/>
  <c r="E121" i="22"/>
  <c r="E123" i="22"/>
  <c r="E122" i="22"/>
  <c r="Q93" i="22"/>
  <c r="Q91" i="22"/>
  <c r="Q92" i="22"/>
  <c r="G127" i="22"/>
  <c r="G128" i="22"/>
  <c r="G129" i="22"/>
  <c r="R112" i="22"/>
  <c r="R114" i="22"/>
  <c r="R113" i="22"/>
  <c r="M92" i="22"/>
  <c r="M91" i="22"/>
  <c r="M93" i="22"/>
  <c r="H128" i="22"/>
  <c r="H129" i="22"/>
  <c r="H127" i="22"/>
  <c r="O122" i="22"/>
  <c r="O121" i="22"/>
  <c r="O123" i="22"/>
  <c r="I101" i="22"/>
  <c r="I100" i="22"/>
  <c r="I102" i="22"/>
  <c r="M111" i="22"/>
  <c r="M109" i="22"/>
  <c r="M110" i="22"/>
  <c r="H123" i="22"/>
  <c r="H122" i="22"/>
  <c r="H121" i="22"/>
  <c r="G99" i="22"/>
  <c r="G98" i="22"/>
  <c r="G97" i="22"/>
  <c r="V128" i="22"/>
  <c r="V127" i="22"/>
  <c r="V129" i="22"/>
  <c r="K104" i="22"/>
  <c r="K103" i="22"/>
  <c r="K105" i="22"/>
  <c r="I125" i="22"/>
  <c r="I126" i="22"/>
  <c r="I124" i="22"/>
  <c r="S104" i="22"/>
  <c r="S103" i="22"/>
  <c r="S105" i="22"/>
  <c r="D104" i="22"/>
  <c r="D103" i="22"/>
  <c r="D105" i="22"/>
  <c r="H97" i="22"/>
  <c r="H98" i="22"/>
  <c r="H99" i="22"/>
  <c r="I117" i="22"/>
  <c r="I116" i="22"/>
  <c r="I115" i="22"/>
  <c r="M125" i="22"/>
  <c r="M126" i="22"/>
  <c r="M124" i="22"/>
  <c r="F127" i="22"/>
  <c r="F129" i="22"/>
  <c r="F128" i="22"/>
  <c r="O95" i="22"/>
  <c r="O96" i="22"/>
  <c r="O94" i="22"/>
  <c r="D95" i="22"/>
  <c r="D94" i="22"/>
  <c r="D96" i="22"/>
  <c r="D124" i="22"/>
  <c r="D126" i="22"/>
  <c r="D125" i="22"/>
  <c r="E125" i="22"/>
  <c r="E126" i="22"/>
  <c r="E124" i="22"/>
  <c r="AA267" i="10"/>
  <c r="X265" i="10"/>
  <c r="X274" i="10"/>
  <c r="Z268" i="10"/>
  <c r="Z266" i="10"/>
  <c r="Y276" i="10"/>
  <c r="E266" i="10"/>
  <c r="D265" i="10"/>
  <c r="H266" i="10"/>
  <c r="M264" i="10"/>
  <c r="G267" i="10"/>
  <c r="R267" i="10"/>
  <c r="O265" i="10"/>
  <c r="V277" i="10"/>
  <c r="F276" i="10"/>
  <c r="O277" i="10"/>
  <c r="O276" i="10"/>
  <c r="U266" i="10"/>
  <c r="E274" i="10"/>
  <c r="V275" i="10"/>
  <c r="E271" i="10"/>
  <c r="D264" i="10"/>
  <c r="D275" i="10"/>
  <c r="K268" i="10"/>
  <c r="M276" i="10"/>
  <c r="J59" i="22"/>
  <c r="J58" i="22"/>
  <c r="J60" i="22"/>
  <c r="M71" i="22"/>
  <c r="M72" i="22"/>
  <c r="M70" i="22"/>
  <c r="S76" i="22"/>
  <c r="S77" i="22"/>
  <c r="S78" i="22"/>
  <c r="S89" i="22"/>
  <c r="S90" i="22"/>
  <c r="S88" i="22"/>
  <c r="N67" i="22"/>
  <c r="N69" i="22"/>
  <c r="N68" i="22"/>
  <c r="J87" i="22"/>
  <c r="J86" i="22"/>
  <c r="J85" i="22"/>
  <c r="D73" i="22"/>
  <c r="D75" i="22"/>
  <c r="D74" i="22"/>
  <c r="D88" i="22"/>
  <c r="D89" i="22"/>
  <c r="D90" i="22"/>
  <c r="H81" i="22"/>
  <c r="H80" i="22"/>
  <c r="H79" i="22"/>
  <c r="G50" i="22"/>
  <c r="G51" i="22"/>
  <c r="G49" i="22"/>
  <c r="I61" i="22"/>
  <c r="I62" i="22"/>
  <c r="I63" i="22"/>
  <c r="S81" i="22"/>
  <c r="S80" i="22"/>
  <c r="S79" i="22"/>
  <c r="I56" i="22"/>
  <c r="I57" i="22"/>
  <c r="I55" i="22"/>
  <c r="I80" i="22"/>
  <c r="I79" i="22"/>
  <c r="I81" i="22"/>
  <c r="F85" i="22"/>
  <c r="F86" i="22"/>
  <c r="F87" i="22"/>
  <c r="V79" i="22"/>
  <c r="V81" i="22"/>
  <c r="V80" i="22"/>
  <c r="V74" i="22"/>
  <c r="V73" i="22"/>
  <c r="V75" i="22"/>
  <c r="K60" i="22"/>
  <c r="K58" i="22"/>
  <c r="K59" i="22"/>
  <c r="L60" i="22"/>
  <c r="L59" i="22"/>
  <c r="L58" i="22"/>
  <c r="H56" i="22"/>
  <c r="H57" i="22"/>
  <c r="H55" i="22"/>
  <c r="Q85" i="22"/>
  <c r="Q86" i="22"/>
  <c r="Q87" i="22"/>
  <c r="E84" i="22"/>
  <c r="E82" i="22"/>
  <c r="E83" i="22"/>
  <c r="Q79" i="22"/>
  <c r="Q81" i="22"/>
  <c r="Q80" i="22"/>
  <c r="K87" i="22"/>
  <c r="K85" i="22"/>
  <c r="K86" i="22"/>
  <c r="D58" i="22"/>
  <c r="D59" i="22"/>
  <c r="D60" i="22"/>
  <c r="I70" i="22"/>
  <c r="I72" i="22"/>
  <c r="I71" i="22"/>
  <c r="L83" i="22"/>
  <c r="L82" i="22"/>
  <c r="L84" i="22"/>
  <c r="T79" i="22"/>
  <c r="T80" i="22"/>
  <c r="T81" i="22"/>
  <c r="Q52" i="22"/>
  <c r="Q54" i="22"/>
  <c r="Q53" i="22"/>
  <c r="O77" i="22"/>
  <c r="O76" i="22"/>
  <c r="O78" i="22"/>
  <c r="G90" i="22"/>
  <c r="G88" i="22"/>
  <c r="G89" i="22"/>
  <c r="T57" i="22"/>
  <c r="T56" i="22"/>
  <c r="T55" i="22"/>
  <c r="F63" i="22"/>
  <c r="F62" i="22"/>
  <c r="F61" i="22"/>
  <c r="P56" i="22"/>
  <c r="P57" i="22"/>
  <c r="P55" i="22"/>
  <c r="Q78" i="22"/>
  <c r="Q77" i="22"/>
  <c r="Q76" i="22"/>
  <c r="L76" i="22"/>
  <c r="L78" i="22"/>
  <c r="L77" i="22"/>
  <c r="S71" i="22"/>
  <c r="S72" i="22"/>
  <c r="S70" i="22"/>
  <c r="J82" i="22"/>
  <c r="J84" i="22"/>
  <c r="J83" i="22"/>
  <c r="D62" i="22"/>
  <c r="D63" i="22"/>
  <c r="D61" i="22"/>
  <c r="L50" i="22"/>
  <c r="L51" i="22"/>
  <c r="L49" i="22"/>
  <c r="Q68" i="22"/>
  <c r="Q67" i="22"/>
  <c r="Q69" i="22"/>
  <c r="F88" i="22"/>
  <c r="F90" i="22"/>
  <c r="F89" i="22"/>
  <c r="P90" i="22"/>
  <c r="P88" i="22"/>
  <c r="P89" i="22"/>
  <c r="L90" i="22"/>
  <c r="L88" i="22"/>
  <c r="L89" i="22"/>
  <c r="J49" i="22"/>
  <c r="J51" i="22"/>
  <c r="J50" i="22"/>
  <c r="F57" i="22"/>
  <c r="F56" i="22"/>
  <c r="F55" i="22"/>
  <c r="K74" i="22"/>
  <c r="K75" i="22"/>
  <c r="K73" i="22"/>
  <c r="P78" i="22"/>
  <c r="P76" i="22"/>
  <c r="P77" i="22"/>
  <c r="U59" i="22"/>
  <c r="U60" i="22"/>
  <c r="U58" i="22"/>
  <c r="E127" i="22"/>
  <c r="E129" i="22"/>
  <c r="E128" i="22"/>
  <c r="R321" i="10"/>
  <c r="S321" i="10"/>
  <c r="V321" i="10"/>
  <c r="L321" i="10"/>
  <c r="Z321" i="10"/>
  <c r="N321" i="10"/>
  <c r="H321" i="10"/>
  <c r="X321" i="10"/>
  <c r="Y321" i="10"/>
  <c r="P321" i="10"/>
  <c r="F321" i="10"/>
  <c r="K321" i="10"/>
  <c r="T321" i="10"/>
  <c r="O321" i="10"/>
  <c r="G321" i="10"/>
  <c r="M321" i="10"/>
  <c r="W321" i="10"/>
  <c r="Q321" i="10"/>
  <c r="U321" i="10"/>
  <c r="E321" i="10"/>
  <c r="D321" i="10"/>
  <c r="AA321" i="10"/>
  <c r="J321" i="10"/>
  <c r="I321" i="10"/>
  <c r="AA269" i="10"/>
  <c r="Z271" i="10"/>
  <c r="Z265" i="10"/>
  <c r="Z277" i="10"/>
  <c r="AA270" i="10"/>
  <c r="W273" i="10"/>
  <c r="W274" i="10"/>
  <c r="AA274" i="10"/>
  <c r="AA265" i="10"/>
  <c r="AA271" i="10"/>
  <c r="Z272" i="10"/>
  <c r="X269" i="10"/>
  <c r="Y274" i="10"/>
  <c r="X275" i="10"/>
  <c r="AA272" i="10"/>
  <c r="Y267" i="10"/>
  <c r="Z276" i="10"/>
  <c r="Y265" i="10"/>
  <c r="K270" i="10"/>
  <c r="S277" i="10"/>
  <c r="U275" i="10"/>
  <c r="S271" i="10"/>
  <c r="D268" i="10"/>
  <c r="Q270" i="10"/>
  <c r="O269" i="10"/>
  <c r="J267" i="10"/>
  <c r="K265" i="10"/>
  <c r="P275" i="10"/>
  <c r="T269" i="10"/>
  <c r="U268" i="10"/>
  <c r="M266" i="10"/>
  <c r="H272" i="10"/>
  <c r="Q271" i="10"/>
  <c r="S264" i="10"/>
  <c r="P273" i="10"/>
  <c r="S272" i="10"/>
  <c r="J273" i="10"/>
  <c r="S265" i="10"/>
  <c r="H267" i="10"/>
  <c r="T264" i="10"/>
  <c r="R271" i="10"/>
  <c r="V268" i="10"/>
  <c r="T270" i="10"/>
  <c r="L273" i="10"/>
  <c r="V272" i="10"/>
  <c r="V273" i="10"/>
  <c r="N264" i="10"/>
  <c r="I269" i="10"/>
  <c r="R264" i="10"/>
  <c r="H270" i="10"/>
  <c r="P266" i="10"/>
  <c r="T268" i="10"/>
  <c r="R272" i="10"/>
  <c r="L265" i="10"/>
  <c r="M268" i="10"/>
  <c r="M269" i="10"/>
  <c r="R266" i="10"/>
  <c r="K264" i="10"/>
  <c r="H271" i="10"/>
  <c r="E269" i="10"/>
  <c r="E277" i="10"/>
  <c r="I268" i="10"/>
  <c r="P277" i="10"/>
  <c r="I277" i="10"/>
  <c r="P276" i="10"/>
  <c r="T273" i="10"/>
  <c r="I270" i="10"/>
  <c r="D276" i="10"/>
  <c r="S269" i="10"/>
  <c r="R275" i="10"/>
  <c r="G269" i="10"/>
  <c r="Q268" i="10"/>
  <c r="G277" i="10"/>
  <c r="R270" i="10"/>
  <c r="U264" i="10"/>
  <c r="R273" i="10"/>
  <c r="G271" i="10"/>
  <c r="V269" i="10"/>
  <c r="J275" i="10"/>
  <c r="G273" i="10"/>
  <c r="L271" i="10"/>
  <c r="L270" i="10"/>
  <c r="S268" i="10"/>
  <c r="K272" i="10"/>
  <c r="H84" i="22"/>
  <c r="H83" i="22"/>
  <c r="H82" i="22"/>
  <c r="L81" i="22"/>
  <c r="L79" i="22"/>
  <c r="L80" i="22"/>
  <c r="O86" i="22"/>
  <c r="O85" i="22"/>
  <c r="O87" i="22"/>
  <c r="T64" i="22"/>
  <c r="T66" i="22"/>
  <c r="T65" i="22"/>
  <c r="K70" i="22"/>
  <c r="K71" i="22"/>
  <c r="K72" i="22"/>
  <c r="M62" i="22"/>
  <c r="M61" i="22"/>
  <c r="M63" i="22"/>
  <c r="M74" i="22"/>
  <c r="M75" i="22"/>
  <c r="M73" i="22"/>
  <c r="L55" i="22"/>
  <c r="L56" i="22"/>
  <c r="L57" i="22"/>
  <c r="M85" i="22"/>
  <c r="M87" i="22"/>
  <c r="M86" i="22"/>
  <c r="T53" i="22"/>
  <c r="T54" i="22"/>
  <c r="T52" i="22"/>
  <c r="V52" i="22"/>
  <c r="V53" i="22"/>
  <c r="V54" i="22"/>
  <c r="F83" i="22"/>
  <c r="F84" i="22"/>
  <c r="F82" i="22"/>
  <c r="L62" i="22"/>
  <c r="L61" i="22"/>
  <c r="L63" i="22"/>
  <c r="D53" i="22"/>
  <c r="D52" i="22"/>
  <c r="D54" i="22"/>
  <c r="R80" i="22"/>
  <c r="R81" i="22"/>
  <c r="R79" i="22"/>
  <c r="G67" i="22"/>
  <c r="G68" i="22"/>
  <c r="G69" i="22"/>
  <c r="V51" i="22"/>
  <c r="V50" i="22"/>
  <c r="V49" i="22"/>
  <c r="O62" i="22"/>
  <c r="O61" i="22"/>
  <c r="O63" i="22"/>
  <c r="T70" i="22"/>
  <c r="T71" i="22"/>
  <c r="T72" i="22"/>
  <c r="D87" i="22"/>
  <c r="D86" i="22"/>
  <c r="D85" i="22"/>
  <c r="I66" i="22"/>
  <c r="I64" i="22"/>
  <c r="I65" i="22"/>
  <c r="J90" i="22"/>
  <c r="J89" i="22"/>
  <c r="J88" i="22"/>
  <c r="U66" i="22"/>
  <c r="U64" i="22"/>
  <c r="U65" i="22"/>
  <c r="P64" i="22"/>
  <c r="P66" i="22"/>
  <c r="P65" i="22"/>
  <c r="G66" i="22"/>
  <c r="G65" i="22"/>
  <c r="G64" i="22"/>
  <c r="G81" i="22"/>
  <c r="G79" i="22"/>
  <c r="G80" i="22"/>
  <c r="T83" i="22"/>
  <c r="T84" i="22"/>
  <c r="T82" i="22"/>
  <c r="U50" i="22"/>
  <c r="U51" i="22"/>
  <c r="U49" i="22"/>
  <c r="S57" i="22"/>
  <c r="S56" i="22"/>
  <c r="S55" i="22"/>
  <c r="L70" i="22"/>
  <c r="L72" i="22"/>
  <c r="L71" i="22"/>
  <c r="T50" i="22"/>
  <c r="T51" i="22"/>
  <c r="T49" i="22"/>
  <c r="O73" i="22"/>
  <c r="O74" i="22"/>
  <c r="O75" i="22"/>
  <c r="G82" i="22"/>
  <c r="G83" i="22"/>
  <c r="G84" i="22"/>
  <c r="D65" i="22"/>
  <c r="D64" i="22"/>
  <c r="D66" i="22"/>
  <c r="Q50" i="22"/>
  <c r="Q49" i="22"/>
  <c r="Q51" i="22"/>
  <c r="P50" i="22"/>
  <c r="P49" i="22"/>
  <c r="P51" i="22"/>
  <c r="U61" i="22"/>
  <c r="U63" i="22"/>
  <c r="U62" i="22"/>
  <c r="R64" i="22"/>
  <c r="R66" i="22"/>
  <c r="R65" i="22"/>
  <c r="V87" i="22"/>
  <c r="V85" i="22"/>
  <c r="V86" i="22"/>
  <c r="U79" i="22"/>
  <c r="U81" i="22"/>
  <c r="U80" i="22"/>
  <c r="F64" i="22"/>
  <c r="F65" i="22"/>
  <c r="F66" i="22"/>
  <c r="D68" i="22"/>
  <c r="D69" i="22"/>
  <c r="D67" i="22"/>
  <c r="V64" i="22"/>
  <c r="V65" i="22"/>
  <c r="V66" i="22"/>
  <c r="S65" i="22"/>
  <c r="S66" i="22"/>
  <c r="S64" i="22"/>
  <c r="J57" i="22"/>
  <c r="J55" i="22"/>
  <c r="J56" i="22"/>
  <c r="M57" i="22"/>
  <c r="M55" i="22"/>
  <c r="M56" i="22"/>
  <c r="G63" i="22"/>
  <c r="G62" i="22"/>
  <c r="G61" i="22"/>
  <c r="O50" i="22"/>
  <c r="O51" i="22"/>
  <c r="O49" i="22"/>
  <c r="S68" i="22"/>
  <c r="S67" i="22"/>
  <c r="S69" i="22"/>
  <c r="R87" i="22"/>
  <c r="R85" i="22"/>
  <c r="R86" i="22"/>
  <c r="R61" i="22"/>
  <c r="R63" i="22"/>
  <c r="R62" i="22"/>
  <c r="Q56" i="22"/>
  <c r="Q57" i="22"/>
  <c r="Q55" i="22"/>
  <c r="R71" i="22"/>
  <c r="R72" i="22"/>
  <c r="R70" i="22"/>
  <c r="H50" i="22"/>
  <c r="H49" i="22"/>
  <c r="H51" i="22"/>
  <c r="H90" i="22"/>
  <c r="H88" i="22"/>
  <c r="H89" i="22"/>
  <c r="E88" i="22"/>
  <c r="E90" i="22"/>
  <c r="E89" i="22"/>
  <c r="S74" i="22"/>
  <c r="S75" i="22"/>
  <c r="S73" i="22"/>
  <c r="O72" i="22"/>
  <c r="O71" i="22"/>
  <c r="O70" i="22"/>
  <c r="I86" i="22"/>
  <c r="I87" i="22"/>
  <c r="I85" i="22"/>
  <c r="O53" i="22"/>
  <c r="O54" i="22"/>
  <c r="O52" i="22"/>
  <c r="D50" i="22"/>
  <c r="D51" i="22"/>
  <c r="D49" i="22"/>
  <c r="M49" i="22"/>
  <c r="M50" i="22"/>
  <c r="M51" i="22"/>
  <c r="E76" i="22"/>
  <c r="E77" i="22"/>
  <c r="E78" i="22"/>
  <c r="N73" i="22"/>
  <c r="N74" i="22"/>
  <c r="N75" i="22"/>
  <c r="K65" i="22"/>
  <c r="K64" i="22"/>
  <c r="K66" i="22"/>
  <c r="P69" i="22"/>
  <c r="P67" i="22"/>
  <c r="P68" i="22"/>
  <c r="H77" i="22"/>
  <c r="H78" i="22"/>
  <c r="H76" i="22"/>
  <c r="R55" i="22"/>
  <c r="R57" i="22"/>
  <c r="R56" i="22"/>
  <c r="V77" i="22"/>
  <c r="V76" i="22"/>
  <c r="V78" i="22"/>
  <c r="R49" i="22"/>
  <c r="R51" i="22"/>
  <c r="R50" i="22"/>
  <c r="M89" i="22"/>
  <c r="M88" i="22"/>
  <c r="M90" i="22"/>
  <c r="P86" i="22"/>
  <c r="P85" i="22"/>
  <c r="P87" i="22"/>
  <c r="S87" i="22"/>
  <c r="S85" i="22"/>
  <c r="S86" i="22"/>
  <c r="L85" i="22"/>
  <c r="L86" i="22"/>
  <c r="L87" i="22"/>
  <c r="F78" i="22"/>
  <c r="F76" i="22"/>
  <c r="F77" i="22"/>
  <c r="T60" i="22"/>
  <c r="T58" i="22"/>
  <c r="T59" i="22"/>
  <c r="G53" i="22"/>
  <c r="G52" i="22"/>
  <c r="G54" i="22"/>
  <c r="D81" i="22"/>
  <c r="D80" i="22"/>
  <c r="D79" i="22"/>
  <c r="P52" i="22"/>
  <c r="P54" i="22"/>
  <c r="P53" i="22"/>
  <c r="O108" i="22"/>
  <c r="O106" i="22"/>
  <c r="O107" i="22"/>
  <c r="G119" i="22"/>
  <c r="G120" i="22"/>
  <c r="G118" i="22"/>
  <c r="N111" i="22"/>
  <c r="N110" i="22"/>
  <c r="N109" i="22"/>
  <c r="M101" i="22"/>
  <c r="M102" i="22"/>
  <c r="M100" i="22"/>
  <c r="H112" i="22"/>
  <c r="H113" i="22"/>
  <c r="H114" i="22"/>
  <c r="F119" i="22"/>
  <c r="F118" i="22"/>
  <c r="F120" i="22"/>
  <c r="R102" i="22"/>
  <c r="R101" i="22"/>
  <c r="R100" i="22"/>
  <c r="L126" i="22"/>
  <c r="L125" i="22"/>
  <c r="L124" i="22"/>
  <c r="U105" i="22"/>
  <c r="U104" i="22"/>
  <c r="U103" i="22"/>
  <c r="Q109" i="22"/>
  <c r="Q110" i="22"/>
  <c r="Q111" i="22"/>
  <c r="K94" i="22"/>
  <c r="K96" i="22"/>
  <c r="K95" i="22"/>
  <c r="I111" i="22"/>
  <c r="I110" i="22"/>
  <c r="I109" i="22"/>
  <c r="D93" i="22"/>
  <c r="D92" i="22"/>
  <c r="D91" i="22"/>
  <c r="U108" i="22"/>
  <c r="U106" i="22"/>
  <c r="U107" i="22"/>
  <c r="H102" i="22"/>
  <c r="H100" i="22"/>
  <c r="H101" i="22"/>
  <c r="H117" i="22"/>
  <c r="H115" i="22"/>
  <c r="H116" i="22"/>
  <c r="P117" i="22"/>
  <c r="P116" i="22"/>
  <c r="P115" i="22"/>
  <c r="O126" i="22"/>
  <c r="O124" i="22"/>
  <c r="O125" i="22"/>
  <c r="J101" i="22"/>
  <c r="J102" i="22"/>
  <c r="J100" i="22"/>
  <c r="Q104" i="22"/>
  <c r="Q105" i="22"/>
  <c r="Q103" i="22"/>
  <c r="K115" i="22"/>
  <c r="K116" i="22"/>
  <c r="K117" i="22"/>
  <c r="F105" i="22"/>
  <c r="F104" i="22"/>
  <c r="F103" i="22"/>
  <c r="M94" i="22"/>
  <c r="M96" i="22"/>
  <c r="M95" i="22"/>
  <c r="P108" i="22"/>
  <c r="P106" i="22"/>
  <c r="P107" i="22"/>
  <c r="F130" i="22"/>
  <c r="F132" i="22"/>
  <c r="F131" i="22"/>
  <c r="D116" i="22"/>
  <c r="D117" i="22"/>
  <c r="D115" i="22"/>
  <c r="T107" i="22"/>
  <c r="T108" i="22"/>
  <c r="T106" i="22"/>
  <c r="T115" i="22"/>
  <c r="T116" i="22"/>
  <c r="T117" i="22"/>
  <c r="I127" i="22"/>
  <c r="I129" i="22"/>
  <c r="I128" i="22"/>
  <c r="V106" i="22"/>
  <c r="V107" i="22"/>
  <c r="V108" i="22"/>
  <c r="F122" i="22"/>
  <c r="F121" i="22"/>
  <c r="F123" i="22"/>
  <c r="N97" i="22"/>
  <c r="N98" i="22"/>
  <c r="N99" i="22"/>
  <c r="J107" i="22"/>
  <c r="J108" i="22"/>
  <c r="J106" i="22"/>
  <c r="O129" i="22"/>
  <c r="O127" i="22"/>
  <c r="O128" i="22"/>
  <c r="H93" i="22"/>
  <c r="H92" i="22"/>
  <c r="H91" i="22"/>
  <c r="S126" i="22"/>
  <c r="S125" i="22"/>
  <c r="S124" i="22"/>
  <c r="U127" i="22"/>
  <c r="U128" i="22"/>
  <c r="U129" i="22"/>
  <c r="R108" i="22"/>
  <c r="R106" i="22"/>
  <c r="R107" i="22"/>
  <c r="K125" i="22"/>
  <c r="K124" i="22"/>
  <c r="K126" i="22"/>
  <c r="N91" i="22"/>
  <c r="N93" i="22"/>
  <c r="N92" i="22"/>
  <c r="F110" i="22"/>
  <c r="F111" i="22"/>
  <c r="F109" i="22"/>
  <c r="U99" i="22"/>
  <c r="U97" i="22"/>
  <c r="U98" i="22"/>
  <c r="G114" i="22"/>
  <c r="G112" i="22"/>
  <c r="G113" i="22"/>
  <c r="L120" i="22"/>
  <c r="L119" i="22"/>
  <c r="L118" i="22"/>
  <c r="O117" i="22"/>
  <c r="O116" i="22"/>
  <c r="O115" i="22"/>
  <c r="N130" i="22"/>
  <c r="N132" i="22"/>
  <c r="N131" i="22"/>
  <c r="V94" i="22"/>
  <c r="V96" i="22"/>
  <c r="V95" i="22"/>
  <c r="S131" i="22"/>
  <c r="S130" i="22"/>
  <c r="S132" i="22"/>
  <c r="L106" i="22"/>
  <c r="L107" i="22"/>
  <c r="L108" i="22"/>
  <c r="T127" i="22"/>
  <c r="T128" i="22"/>
  <c r="T129" i="22"/>
  <c r="I131" i="22"/>
  <c r="I132" i="22"/>
  <c r="I130" i="22"/>
  <c r="H132" i="22"/>
  <c r="H131" i="22"/>
  <c r="H130" i="22"/>
  <c r="J91" i="22"/>
  <c r="J93" i="22"/>
  <c r="J92" i="22"/>
  <c r="V104" i="22"/>
  <c r="V103" i="22"/>
  <c r="V105" i="22"/>
  <c r="U112" i="22"/>
  <c r="U114" i="22"/>
  <c r="U113" i="22"/>
  <c r="F92" i="22"/>
  <c r="F93" i="22"/>
  <c r="F91" i="22"/>
  <c r="Q131" i="22"/>
  <c r="Q132" i="22"/>
  <c r="Q130" i="22"/>
  <c r="O105" i="22"/>
  <c r="O104" i="22"/>
  <c r="O103" i="22"/>
  <c r="N121" i="22"/>
  <c r="N122" i="22"/>
  <c r="N123" i="22"/>
  <c r="N114" i="22"/>
  <c r="N113" i="22"/>
  <c r="N112" i="22"/>
  <c r="Q99" i="22"/>
  <c r="Q98" i="22"/>
  <c r="Q97" i="22"/>
  <c r="V110" i="22"/>
  <c r="V111" i="22"/>
  <c r="V109" i="22"/>
  <c r="I112" i="22"/>
  <c r="I113" i="22"/>
  <c r="I114" i="22"/>
  <c r="M123" i="22"/>
  <c r="M122" i="22"/>
  <c r="M121" i="22"/>
  <c r="V121" i="22"/>
  <c r="V123" i="22"/>
  <c r="V122" i="22"/>
  <c r="V98" i="22"/>
  <c r="V99" i="22"/>
  <c r="V97" i="22"/>
  <c r="K132" i="22"/>
  <c r="K130" i="22"/>
  <c r="K131" i="22"/>
  <c r="Y277" i="10"/>
  <c r="Y264" i="10"/>
  <c r="Y273" i="10"/>
  <c r="X270" i="10"/>
  <c r="U269" i="10"/>
  <c r="F269" i="10"/>
  <c r="K273" i="10"/>
  <c r="D277" i="10"/>
  <c r="Q276" i="10"/>
  <c r="P269" i="10"/>
  <c r="Q273" i="10"/>
  <c r="I271" i="10"/>
  <c r="U270" i="10"/>
  <c r="Q264" i="10"/>
  <c r="M267" i="10"/>
  <c r="I276" i="10"/>
  <c r="O270" i="10"/>
  <c r="F277" i="10"/>
  <c r="J269" i="10"/>
  <c r="T272" i="10"/>
  <c r="D272" i="10"/>
  <c r="G266" i="10"/>
  <c r="O272" i="10"/>
  <c r="U276" i="10"/>
  <c r="T267" i="10"/>
  <c r="V267" i="10"/>
  <c r="G265" i="10"/>
  <c r="S275" i="10"/>
  <c r="N273" i="10"/>
  <c r="F266" i="10"/>
  <c r="V270" i="10"/>
  <c r="N266" i="10"/>
  <c r="G275" i="10"/>
  <c r="O83" i="22"/>
  <c r="O84" i="22"/>
  <c r="O82" i="22"/>
  <c r="N58" i="22"/>
  <c r="N60" i="22"/>
  <c r="N59" i="22"/>
  <c r="M52" i="22"/>
  <c r="M53" i="22"/>
  <c r="M54" i="22"/>
  <c r="M77" i="22"/>
  <c r="M78" i="22"/>
  <c r="M76" i="22"/>
  <c r="E85" i="22"/>
  <c r="E86" i="22"/>
  <c r="E87" i="22"/>
  <c r="O66" i="22"/>
  <c r="O64" i="22"/>
  <c r="O65" i="22"/>
  <c r="M68" i="22"/>
  <c r="M67" i="22"/>
  <c r="M69" i="22"/>
  <c r="S61" i="22"/>
  <c r="S63" i="22"/>
  <c r="S62" i="22"/>
  <c r="F69" i="22"/>
  <c r="F68" i="22"/>
  <c r="F67" i="22"/>
  <c r="S51" i="22"/>
  <c r="S49" i="22"/>
  <c r="S50" i="22"/>
  <c r="U86" i="22"/>
  <c r="U85" i="22"/>
  <c r="U87" i="22"/>
  <c r="K55" i="22"/>
  <c r="K57" i="22"/>
  <c r="K56" i="22"/>
  <c r="V68" i="22"/>
  <c r="V69" i="22"/>
  <c r="V67" i="22"/>
  <c r="N53" i="22"/>
  <c r="N52" i="22"/>
  <c r="N54" i="22"/>
  <c r="S60" i="22"/>
  <c r="S58" i="22"/>
  <c r="S59" i="22"/>
  <c r="I84" i="22"/>
  <c r="I82" i="22"/>
  <c r="I83" i="22"/>
  <c r="N77" i="22"/>
  <c r="N76" i="22"/>
  <c r="N78" i="22"/>
  <c r="V59" i="22"/>
  <c r="V58" i="22"/>
  <c r="V60" i="22"/>
  <c r="O68" i="22"/>
  <c r="O67" i="22"/>
  <c r="O69" i="22"/>
  <c r="D76" i="22"/>
  <c r="D77" i="22"/>
  <c r="D78" i="22"/>
  <c r="L73" i="22"/>
  <c r="L74" i="22"/>
  <c r="L75" i="22"/>
  <c r="G87" i="22"/>
  <c r="G85" i="22"/>
  <c r="G86" i="22"/>
  <c r="G76" i="22"/>
  <c r="G77" i="22"/>
  <c r="G78" i="22"/>
  <c r="V84" i="22"/>
  <c r="V82" i="22"/>
  <c r="V83" i="22"/>
  <c r="P114" i="22"/>
  <c r="P113" i="22"/>
  <c r="P112" i="22"/>
  <c r="E97" i="22"/>
  <c r="E99" i="22"/>
  <c r="E98" i="22"/>
  <c r="S98" i="22"/>
  <c r="S97" i="22"/>
  <c r="S99" i="22"/>
  <c r="R95" i="22"/>
  <c r="R94" i="22"/>
  <c r="R96" i="22"/>
  <c r="R119" i="22"/>
  <c r="R120" i="22"/>
  <c r="R118" i="22"/>
  <c r="I121" i="22"/>
  <c r="I123" i="22"/>
  <c r="I122" i="22"/>
  <c r="H118" i="22"/>
  <c r="H119" i="22"/>
  <c r="H120" i="22"/>
  <c r="N127" i="22"/>
  <c r="N128" i="22"/>
  <c r="N129" i="22"/>
  <c r="V115" i="22"/>
  <c r="V117" i="22"/>
  <c r="V116" i="22"/>
  <c r="T103" i="22"/>
  <c r="T105" i="22"/>
  <c r="T104" i="22"/>
  <c r="U96" i="22"/>
  <c r="U94" i="22"/>
  <c r="U95" i="22"/>
  <c r="J105" i="22"/>
  <c r="J103" i="22"/>
  <c r="J104" i="22"/>
  <c r="F95" i="22"/>
  <c r="F94" i="22"/>
  <c r="F96" i="22"/>
  <c r="E105" i="22"/>
  <c r="E103" i="22"/>
  <c r="E104" i="22"/>
  <c r="V124" i="22"/>
  <c r="V125" i="22"/>
  <c r="V126" i="22"/>
  <c r="Q123" i="22"/>
  <c r="Q121" i="22"/>
  <c r="Q122" i="22"/>
  <c r="V118" i="22"/>
  <c r="V120" i="22"/>
  <c r="V119" i="22"/>
  <c r="P94" i="22"/>
  <c r="P96" i="22"/>
  <c r="P95" i="22"/>
  <c r="M107" i="22"/>
  <c r="M108" i="22"/>
  <c r="M106" i="22"/>
  <c r="K106" i="22"/>
  <c r="K107" i="22"/>
  <c r="K108" i="22"/>
  <c r="G105" i="22"/>
  <c r="G103" i="22"/>
  <c r="G104" i="22"/>
  <c r="N124" i="22"/>
  <c r="N125" i="22"/>
  <c r="N126" i="22"/>
  <c r="O100" i="22"/>
  <c r="O102" i="22"/>
  <c r="O101" i="22"/>
  <c r="V102" i="22"/>
  <c r="V100" i="22"/>
  <c r="V101" i="22"/>
  <c r="L116" i="22"/>
  <c r="L117" i="22"/>
  <c r="L115" i="22"/>
  <c r="U91" i="22"/>
  <c r="U92" i="22"/>
  <c r="U93" i="22"/>
  <c r="P125" i="22"/>
  <c r="P126" i="22"/>
  <c r="P124" i="22"/>
  <c r="R127" i="22"/>
  <c r="R128" i="22"/>
  <c r="R129" i="22"/>
  <c r="L110" i="22"/>
  <c r="L111" i="22"/>
  <c r="L109" i="22"/>
  <c r="Q129" i="22"/>
  <c r="Q127" i="22"/>
  <c r="Q128" i="22"/>
  <c r="K98" i="22"/>
  <c r="K99" i="22"/>
  <c r="K97" i="22"/>
  <c r="Q102" i="22"/>
  <c r="Q101" i="22"/>
  <c r="Q100" i="22"/>
  <c r="T99" i="22"/>
  <c r="T97" i="22"/>
  <c r="T98" i="22"/>
  <c r="M99" i="22"/>
  <c r="M98" i="22"/>
  <c r="M97" i="22"/>
  <c r="J112" i="22"/>
  <c r="J113" i="22"/>
  <c r="J114" i="22"/>
  <c r="T123" i="22"/>
  <c r="T122" i="22"/>
  <c r="T121" i="22"/>
  <c r="T118" i="22"/>
  <c r="T120" i="22"/>
  <c r="T119" i="22"/>
  <c r="D132" i="22"/>
  <c r="D131" i="22"/>
  <c r="D130" i="22"/>
  <c r="U119" i="22"/>
  <c r="U118" i="22"/>
  <c r="U120" i="22"/>
  <c r="T132" i="22"/>
  <c r="T131" i="22"/>
  <c r="T130" i="22"/>
  <c r="L112" i="22"/>
  <c r="L114" i="22"/>
  <c r="L113" i="22"/>
  <c r="F100" i="22"/>
  <c r="F102" i="22"/>
  <c r="F101" i="22"/>
  <c r="I97" i="22"/>
  <c r="I99" i="22"/>
  <c r="I98" i="22"/>
  <c r="J120" i="22"/>
  <c r="J119" i="22"/>
  <c r="J118" i="22"/>
  <c r="L122" i="22"/>
  <c r="L123" i="22"/>
  <c r="L121" i="22"/>
  <c r="K93" i="22"/>
  <c r="K92" i="22"/>
  <c r="K91" i="22"/>
  <c r="K101" i="22"/>
  <c r="K100" i="22"/>
  <c r="K102" i="22"/>
  <c r="G111" i="22"/>
  <c r="G110" i="22"/>
  <c r="G109" i="22"/>
  <c r="J117" i="22"/>
  <c r="J116" i="22"/>
  <c r="J115" i="22"/>
  <c r="L105" i="22"/>
  <c r="L103" i="22"/>
  <c r="L104" i="22"/>
  <c r="N108" i="22"/>
  <c r="N106" i="22"/>
  <c r="N107" i="22"/>
  <c r="D123" i="22"/>
  <c r="D122" i="22"/>
  <c r="D121" i="22"/>
  <c r="T92" i="22"/>
  <c r="T91" i="22"/>
  <c r="T93" i="22"/>
  <c r="Q115" i="22"/>
  <c r="Q116" i="22"/>
  <c r="Q117" i="22"/>
  <c r="D120" i="22"/>
  <c r="D119" i="22"/>
  <c r="D118" i="22"/>
  <c r="H126" i="22"/>
  <c r="H124" i="22"/>
  <c r="H125" i="22"/>
  <c r="H94" i="22"/>
  <c r="H95" i="22"/>
  <c r="H96" i="22"/>
  <c r="S120" i="22"/>
  <c r="S118" i="22"/>
  <c r="S119" i="22"/>
  <c r="F117" i="22"/>
  <c r="F115" i="22"/>
  <c r="F116" i="22"/>
  <c r="J121" i="22"/>
  <c r="J123" i="22"/>
  <c r="J122" i="22"/>
  <c r="D108" i="22"/>
  <c r="D107" i="22"/>
  <c r="D106" i="22"/>
  <c r="S113" i="22"/>
  <c r="S112" i="22"/>
  <c r="S114" i="22"/>
  <c r="O119" i="22"/>
  <c r="O118" i="22"/>
  <c r="O120" i="22"/>
  <c r="R122" i="22"/>
  <c r="R121" i="22"/>
  <c r="R123" i="22"/>
  <c r="K110" i="22"/>
  <c r="K109" i="22"/>
  <c r="K111" i="22"/>
  <c r="R111" i="22"/>
  <c r="R110" i="22"/>
  <c r="R109" i="22"/>
  <c r="M130" i="22"/>
  <c r="M132" i="22"/>
  <c r="M131" i="22"/>
  <c r="K114" i="22"/>
  <c r="K113" i="22"/>
  <c r="K112" i="22"/>
  <c r="S127" i="22"/>
  <c r="S129" i="22"/>
  <c r="S128" i="22"/>
  <c r="E132" i="22"/>
  <c r="E131" i="22"/>
  <c r="E130" i="22"/>
  <c r="E109" i="22"/>
  <c r="E111" i="22"/>
  <c r="E110" i="22"/>
  <c r="R92" i="22"/>
  <c r="R93" i="22"/>
  <c r="R91" i="22"/>
  <c r="I93" i="22"/>
  <c r="I91" i="22"/>
  <c r="I92" i="22"/>
  <c r="E94" i="22"/>
  <c r="E96" i="22"/>
  <c r="E95" i="22"/>
  <c r="Q108" i="22"/>
  <c r="Q107" i="22"/>
  <c r="Q106" i="22"/>
  <c r="F114" i="22"/>
  <c r="F112" i="22"/>
  <c r="F113" i="22"/>
  <c r="E108" i="22"/>
  <c r="E106" i="22"/>
  <c r="E107" i="22"/>
  <c r="T110" i="22"/>
  <c r="T111" i="22"/>
  <c r="T109" i="22"/>
  <c r="E113" i="22"/>
  <c r="E112" i="22"/>
  <c r="E114" i="22"/>
  <c r="R98" i="22"/>
  <c r="R99" i="22"/>
  <c r="R97" i="22"/>
  <c r="G132" i="22"/>
  <c r="G130" i="22"/>
  <c r="G131" i="22"/>
  <c r="V132" i="22"/>
  <c r="V131" i="22"/>
  <c r="V130" i="22"/>
  <c r="N101" i="22"/>
  <c r="N102" i="22"/>
  <c r="N100" i="22"/>
  <c r="E115" i="22"/>
  <c r="E116" i="22"/>
  <c r="E117" i="22"/>
  <c r="J95" i="22"/>
  <c r="J94" i="22"/>
  <c r="J96" i="22"/>
  <c r="K128" i="22"/>
  <c r="K129" i="22"/>
  <c r="K127" i="22"/>
  <c r="S101" i="22"/>
  <c r="S102" i="22"/>
  <c r="S100" i="22"/>
  <c r="L94" i="22"/>
  <c r="L96" i="22"/>
  <c r="L95" i="22"/>
  <c r="J131" i="22"/>
  <c r="J132" i="22"/>
  <c r="J130" i="22"/>
  <c r="L128" i="22"/>
  <c r="L129" i="22"/>
  <c r="L127" i="22"/>
  <c r="V92" i="22"/>
  <c r="V91" i="22"/>
  <c r="V93" i="22"/>
  <c r="R132" i="22"/>
  <c r="R131" i="22"/>
  <c r="R130" i="22"/>
  <c r="P105" i="22"/>
  <c r="P103" i="22"/>
  <c r="P104" i="22"/>
  <c r="L97" i="22"/>
  <c r="L99" i="22"/>
  <c r="L98" i="22"/>
  <c r="H105" i="22"/>
  <c r="H103" i="22"/>
  <c r="H104" i="22"/>
  <c r="O113" i="22"/>
  <c r="O112" i="22"/>
  <c r="O114" i="22"/>
  <c r="T112" i="22"/>
  <c r="T114" i="22"/>
  <c r="T113" i="22"/>
  <c r="U126" i="22"/>
  <c r="U124" i="22"/>
  <c r="U125" i="22"/>
  <c r="O97" i="22"/>
  <c r="O99" i="22"/>
  <c r="O98" i="22"/>
  <c r="F98" i="22"/>
  <c r="F99" i="22"/>
  <c r="F97" i="22"/>
  <c r="E91" i="22"/>
  <c r="E92" i="22"/>
  <c r="E93" i="22"/>
  <c r="L91" i="22"/>
  <c r="L92" i="22"/>
  <c r="L93" i="22"/>
  <c r="H108" i="22"/>
  <c r="H106" i="22"/>
  <c r="H107" i="22"/>
  <c r="D128" i="22"/>
  <c r="D127" i="22"/>
  <c r="D129" i="22"/>
  <c r="I103" i="22"/>
  <c r="I105" i="22"/>
  <c r="I104" i="22"/>
  <c r="G117" i="22"/>
  <c r="G115" i="22"/>
  <c r="G116" i="22"/>
  <c r="P110" i="22"/>
  <c r="P111" i="22"/>
  <c r="P109" i="22"/>
  <c r="Q94" i="22"/>
  <c r="Q96" i="22"/>
  <c r="Q95" i="22"/>
  <c r="T126" i="22"/>
  <c r="T125" i="22"/>
  <c r="T124" i="22"/>
  <c r="P92" i="22"/>
  <c r="P93" i="22"/>
  <c r="P91" i="22"/>
  <c r="I94" i="22"/>
  <c r="I95" i="22"/>
  <c r="I96" i="22"/>
  <c r="T94" i="22"/>
  <c r="T96" i="22"/>
  <c r="T95" i="22"/>
  <c r="L132" i="22"/>
  <c r="L130" i="22"/>
  <c r="L131" i="22"/>
  <c r="H111" i="22"/>
  <c r="H109" i="22"/>
  <c r="H110" i="22"/>
  <c r="S122" i="22"/>
  <c r="S123" i="22"/>
  <c r="S121" i="22"/>
  <c r="P118" i="22"/>
  <c r="P120" i="22"/>
  <c r="P119" i="22"/>
  <c r="U115" i="22"/>
  <c r="U117" i="22"/>
  <c r="U116" i="22"/>
  <c r="I107" i="22"/>
  <c r="I108" i="22"/>
  <c r="I106" i="22"/>
  <c r="L100" i="22"/>
  <c r="L102" i="22"/>
  <c r="L101" i="22"/>
  <c r="J110" i="22"/>
  <c r="J109" i="22"/>
  <c r="J111" i="22"/>
  <c r="F125" i="22"/>
  <c r="F124" i="22"/>
  <c r="F126" i="22"/>
  <c r="M118" i="22"/>
  <c r="M119" i="22"/>
  <c r="M120" i="22"/>
  <c r="R116" i="22"/>
  <c r="R117" i="22"/>
  <c r="R115" i="22"/>
  <c r="U122" i="22"/>
  <c r="U121" i="22"/>
  <c r="U123" i="22"/>
  <c r="N94" i="22"/>
  <c r="N95" i="22"/>
  <c r="N96" i="22"/>
  <c r="G125" i="22"/>
  <c r="G124" i="22"/>
  <c r="G126" i="22"/>
  <c r="E119" i="22"/>
  <c r="E120" i="22"/>
  <c r="E118" i="22"/>
  <c r="M116" i="22"/>
  <c r="M117" i="22"/>
  <c r="M115" i="22"/>
  <c r="M113" i="22"/>
  <c r="M114" i="22"/>
  <c r="M112" i="22"/>
  <c r="J98" i="22"/>
  <c r="J99" i="22"/>
  <c r="J97" i="22"/>
  <c r="M129" i="22"/>
  <c r="M128" i="22"/>
  <c r="M127" i="22"/>
  <c r="J124" i="22"/>
  <c r="J125" i="22"/>
  <c r="J126" i="22"/>
  <c r="P122" i="22"/>
  <c r="P123" i="22"/>
  <c r="P121" i="22"/>
  <c r="I339" i="10"/>
  <c r="S339" i="10"/>
  <c r="F339" i="10"/>
  <c r="D339" i="10"/>
  <c r="W339" i="10"/>
  <c r="Z339" i="10"/>
  <c r="Y339" i="10"/>
  <c r="N339" i="10"/>
  <c r="T339" i="10"/>
  <c r="X339" i="10"/>
  <c r="P339" i="10"/>
  <c r="J339" i="10"/>
  <c r="AA339" i="10"/>
  <c r="Q339" i="10"/>
  <c r="V339" i="10"/>
  <c r="K339" i="10"/>
  <c r="K340" i="10" s="1"/>
  <c r="E339" i="10"/>
  <c r="L339" i="10"/>
  <c r="U339" i="10"/>
  <c r="R339" i="10"/>
  <c r="M339" i="10"/>
  <c r="G339" i="10"/>
  <c r="O339" i="10"/>
  <c r="O340" i="10" s="1"/>
  <c r="H339" i="10"/>
  <c r="W264" i="10"/>
  <c r="W267" i="10"/>
  <c r="X267" i="10"/>
  <c r="AA268" i="10"/>
  <c r="X266" i="10"/>
  <c r="AA266" i="10"/>
  <c r="AA276" i="10"/>
  <c r="X271" i="10"/>
  <c r="AA273" i="10"/>
  <c r="W270" i="10"/>
  <c r="W265" i="10"/>
  <c r="Z270" i="10"/>
  <c r="W269" i="10"/>
  <c r="AA277" i="10"/>
  <c r="Z273" i="10"/>
  <c r="Y268" i="10"/>
  <c r="W277" i="10"/>
  <c r="R276" i="10"/>
  <c r="N269" i="10"/>
  <c r="N271" i="10"/>
  <c r="E273" i="10"/>
  <c r="V271" i="10"/>
  <c r="V264" i="10"/>
  <c r="K275" i="10"/>
  <c r="T276" i="10"/>
  <c r="M273" i="10"/>
  <c r="G276" i="10"/>
  <c r="N268" i="10"/>
  <c r="R268" i="10"/>
  <c r="O271" i="10"/>
  <c r="O267" i="10"/>
  <c r="N277" i="10"/>
  <c r="H277" i="10"/>
  <c r="U277" i="10"/>
  <c r="F273" i="10"/>
  <c r="P274" i="10"/>
  <c r="P272" i="10"/>
  <c r="J276" i="10"/>
  <c r="H264" i="10"/>
  <c r="I275" i="10"/>
  <c r="L264" i="10"/>
  <c r="L274" i="10"/>
  <c r="P270" i="10"/>
  <c r="G270" i="10"/>
  <c r="T274" i="10"/>
  <c r="H265" i="10"/>
  <c r="D270" i="10"/>
  <c r="S267" i="10"/>
  <c r="K276" i="10"/>
  <c r="V276" i="10"/>
  <c r="S274" i="10"/>
  <c r="U274" i="10"/>
  <c r="D271" i="10"/>
  <c r="M272" i="10"/>
  <c r="I272" i="10"/>
  <c r="P264" i="10"/>
  <c r="F270" i="10"/>
  <c r="T265" i="10"/>
  <c r="N270" i="10"/>
  <c r="O273" i="10"/>
  <c r="J277" i="10"/>
  <c r="S266" i="10"/>
  <c r="L269" i="10"/>
  <c r="H269" i="10"/>
  <c r="H274" i="10"/>
  <c r="J270" i="10"/>
  <c r="G274" i="10"/>
  <c r="N275" i="10"/>
  <c r="S270" i="10"/>
  <c r="S273" i="10"/>
  <c r="I267" i="10"/>
  <c r="T275" i="10"/>
  <c r="V265" i="10"/>
  <c r="D273" i="10"/>
  <c r="O264" i="10"/>
  <c r="E268" i="10"/>
  <c r="F274" i="10"/>
  <c r="G264" i="10"/>
  <c r="N267" i="10"/>
  <c r="J264" i="10"/>
  <c r="Q275" i="10"/>
  <c r="D266" i="10"/>
  <c r="H275" i="10"/>
  <c r="F268" i="10"/>
  <c r="E53" i="22"/>
  <c r="E54" i="22"/>
  <c r="E52" i="22"/>
  <c r="F58" i="22"/>
  <c r="F60" i="22"/>
  <c r="F59" i="22"/>
  <c r="N88" i="22"/>
  <c r="N89" i="22"/>
  <c r="N90" i="22"/>
  <c r="M59" i="22"/>
  <c r="M58" i="22"/>
  <c r="M60" i="22"/>
  <c r="N81" i="22"/>
  <c r="N79" i="22"/>
  <c r="N80" i="22"/>
  <c r="I60" i="22"/>
  <c r="I59" i="22"/>
  <c r="I58" i="22"/>
  <c r="S84" i="22"/>
  <c r="S82" i="22"/>
  <c r="S83" i="22"/>
  <c r="T73" i="22"/>
  <c r="T75" i="22"/>
  <c r="T74" i="22"/>
  <c r="T61" i="22"/>
  <c r="T62" i="22"/>
  <c r="T63" i="22"/>
  <c r="T68" i="22"/>
  <c r="T67" i="22"/>
  <c r="T69" i="22"/>
  <c r="J68" i="22"/>
  <c r="J67" i="22"/>
  <c r="J69" i="22"/>
  <c r="R59" i="22"/>
  <c r="R60" i="22"/>
  <c r="R58" i="22"/>
  <c r="K61" i="22"/>
  <c r="K63" i="22"/>
  <c r="K62" i="22"/>
  <c r="G58" i="22"/>
  <c r="G59" i="22"/>
  <c r="G60" i="22"/>
  <c r="H58" i="22"/>
  <c r="H60" i="22"/>
  <c r="H59" i="22"/>
  <c r="N51" i="22"/>
  <c r="N50" i="22"/>
  <c r="N49" i="22"/>
  <c r="V71" i="22"/>
  <c r="V70" i="22"/>
  <c r="V72" i="22"/>
  <c r="M81" i="22"/>
  <c r="M80" i="22"/>
  <c r="M79" i="22"/>
  <c r="H66" i="22"/>
  <c r="H64" i="22"/>
  <c r="H65" i="22"/>
  <c r="Q63" i="22"/>
  <c r="Q61" i="22"/>
  <c r="Q62" i="22"/>
  <c r="F74" i="22"/>
  <c r="F75" i="22"/>
  <c r="F73" i="22"/>
  <c r="J61" i="22"/>
  <c r="J62" i="22"/>
  <c r="J63" i="22"/>
  <c r="Q89" i="22"/>
  <c r="Q90" i="22"/>
  <c r="Q88" i="22"/>
  <c r="N65" i="22"/>
  <c r="N64" i="22"/>
  <c r="N66" i="22"/>
  <c r="J72" i="22"/>
  <c r="J71" i="22"/>
  <c r="J70" i="22"/>
  <c r="G70" i="22"/>
  <c r="G71" i="22"/>
  <c r="G72" i="22"/>
  <c r="P82" i="22"/>
  <c r="P83" i="22"/>
  <c r="P84" i="22"/>
  <c r="Q74" i="22"/>
  <c r="Q75" i="22"/>
  <c r="Q73" i="22"/>
  <c r="U74" i="22"/>
  <c r="U75" i="22"/>
  <c r="U73" i="22"/>
  <c r="N87" i="22"/>
  <c r="N85" i="22"/>
  <c r="N86" i="22"/>
  <c r="T78" i="22"/>
  <c r="T77" i="22"/>
  <c r="T76" i="22"/>
  <c r="D55" i="22"/>
  <c r="D56" i="22"/>
  <c r="D57" i="22"/>
  <c r="U69" i="22"/>
  <c r="U68" i="22"/>
  <c r="U67" i="22"/>
  <c r="K67" i="22"/>
  <c r="K68" i="22"/>
  <c r="K69" i="22"/>
  <c r="Q59" i="22"/>
  <c r="Q58" i="22"/>
  <c r="Q60" i="22"/>
  <c r="Q82" i="22"/>
  <c r="Q83" i="22"/>
  <c r="Q84" i="22"/>
  <c r="R68" i="22"/>
  <c r="R69" i="22"/>
  <c r="R67" i="22"/>
  <c r="L65" i="22"/>
  <c r="L66" i="22"/>
  <c r="L64" i="22"/>
  <c r="G73" i="22"/>
  <c r="G75" i="22"/>
  <c r="G74" i="22"/>
  <c r="R52" i="22"/>
  <c r="R54" i="22"/>
  <c r="R53" i="22"/>
  <c r="M66" i="22"/>
  <c r="M64" i="22"/>
  <c r="M65" i="22"/>
  <c r="J54" i="22"/>
  <c r="J53" i="22"/>
  <c r="J52" i="22"/>
  <c r="E49" i="22"/>
  <c r="E51" i="22"/>
  <c r="E50" i="22"/>
  <c r="U84" i="22"/>
  <c r="U83" i="22"/>
  <c r="U82" i="22"/>
  <c r="Q72" i="22"/>
  <c r="Q70" i="22"/>
  <c r="Q71" i="22"/>
  <c r="J75" i="22"/>
  <c r="J73" i="22"/>
  <c r="J74" i="22"/>
  <c r="M84" i="22"/>
  <c r="M82" i="22"/>
  <c r="M83" i="22"/>
  <c r="T90" i="22"/>
  <c r="T89" i="22"/>
  <c r="T88" i="22"/>
  <c r="I90" i="22"/>
  <c r="I89" i="22"/>
  <c r="I88" i="22"/>
  <c r="P70" i="22"/>
  <c r="P72" i="22"/>
  <c r="P71" i="22"/>
  <c r="R75" i="22"/>
  <c r="R73" i="22"/>
  <c r="R74" i="22"/>
  <c r="O60" i="22"/>
  <c r="O59" i="22"/>
  <c r="O58" i="22"/>
  <c r="U57" i="22"/>
  <c r="U56" i="22"/>
  <c r="U55" i="22"/>
  <c r="O57" i="22"/>
  <c r="O56" i="22"/>
  <c r="O55" i="22"/>
  <c r="R88" i="22"/>
  <c r="R90" i="22"/>
  <c r="R89" i="22"/>
  <c r="D84" i="22"/>
  <c r="D83" i="22"/>
  <c r="D82" i="22"/>
  <c r="K90" i="22"/>
  <c r="K88" i="22"/>
  <c r="K89" i="22"/>
  <c r="N56" i="22"/>
  <c r="N55" i="22"/>
  <c r="N57" i="22"/>
  <c r="I78" i="22"/>
  <c r="I77" i="22"/>
  <c r="I76" i="22"/>
  <c r="I54" i="22"/>
  <c r="I52" i="22"/>
  <c r="I53" i="22"/>
  <c r="E72" i="22"/>
  <c r="E70" i="22"/>
  <c r="E71" i="22"/>
  <c r="U54" i="22"/>
  <c r="U53" i="22"/>
  <c r="U52" i="22"/>
  <c r="P80" i="22"/>
  <c r="P81" i="22"/>
  <c r="P79" i="22"/>
  <c r="DM4" i="18"/>
  <c r="C4" i="18"/>
  <c r="G4" i="18"/>
  <c r="K4" i="18"/>
  <c r="O4" i="18"/>
  <c r="S4" i="18"/>
  <c r="W4" i="18"/>
  <c r="AA4" i="18"/>
  <c r="AE4" i="18"/>
  <c r="AI4" i="18"/>
  <c r="AM4" i="18"/>
  <c r="AQ4" i="18"/>
  <c r="AU4" i="18"/>
  <c r="AY4" i="18"/>
  <c r="BC4" i="18"/>
  <c r="BG4" i="18"/>
  <c r="BK4" i="18"/>
  <c r="BO4" i="18"/>
  <c r="BS4" i="18"/>
  <c r="BW4" i="18"/>
  <c r="CA4" i="18"/>
  <c r="CE4" i="18"/>
  <c r="CI4" i="18"/>
  <c r="CM4" i="18"/>
  <c r="CQ4" i="18"/>
  <c r="CU4" i="18"/>
  <c r="CY4" i="18"/>
  <c r="DC4" i="18"/>
  <c r="DG4" i="18"/>
  <c r="DP4" i="18"/>
  <c r="DT4" i="18"/>
  <c r="DX4" i="18"/>
  <c r="EB4" i="18"/>
  <c r="EF4" i="18"/>
  <c r="EJ4" i="18"/>
  <c r="EN4" i="18"/>
  <c r="ER4" i="18"/>
  <c r="EV4" i="18"/>
  <c r="EZ4" i="18"/>
  <c r="FD4" i="18"/>
  <c r="FH4" i="18"/>
  <c r="FL4" i="18"/>
  <c r="DL4" i="18"/>
  <c r="D4" i="18"/>
  <c r="H4" i="18"/>
  <c r="L4" i="18"/>
  <c r="P4" i="18"/>
  <c r="T4" i="18"/>
  <c r="X4" i="18"/>
  <c r="AB4" i="18"/>
  <c r="AF4" i="18"/>
  <c r="AJ4" i="18"/>
  <c r="AN4" i="18"/>
  <c r="AR4" i="18"/>
  <c r="AV4" i="18"/>
  <c r="AZ4" i="18"/>
  <c r="BD4" i="18"/>
  <c r="BH4" i="18"/>
  <c r="BL4" i="18"/>
  <c r="BP4" i="18"/>
  <c r="BT4" i="18"/>
  <c r="BX4" i="18"/>
  <c r="CB4" i="18"/>
  <c r="CF4" i="18"/>
  <c r="CJ4" i="18"/>
  <c r="CN4" i="18"/>
  <c r="CR4" i="18"/>
  <c r="CV4" i="18"/>
  <c r="CZ4" i="18"/>
  <c r="DD4" i="18"/>
  <c r="DH4" i="18"/>
  <c r="DQ4" i="18"/>
  <c r="DU4" i="18"/>
  <c r="DY4" i="18"/>
  <c r="EC4" i="18"/>
  <c r="EG4" i="18"/>
  <c r="EK4" i="18"/>
  <c r="EO4" i="18"/>
  <c r="ES4" i="18"/>
  <c r="EW4" i="18"/>
  <c r="FA4" i="18"/>
  <c r="FE4" i="18"/>
  <c r="FI4" i="18"/>
  <c r="FM4" i="18"/>
  <c r="DJ4" i="18"/>
  <c r="F4" i="18"/>
  <c r="J4" i="18"/>
  <c r="N4" i="18"/>
  <c r="R4" i="18"/>
  <c r="V4" i="18"/>
  <c r="Z4" i="18"/>
  <c r="AD4" i="18"/>
  <c r="AH4" i="18"/>
  <c r="AL4" i="18"/>
  <c r="AP4" i="18"/>
  <c r="AT4" i="18"/>
  <c r="AX4" i="18"/>
  <c r="BB4" i="18"/>
  <c r="BF4" i="18"/>
  <c r="BJ4" i="18"/>
  <c r="BN4" i="18"/>
  <c r="BR4" i="18"/>
  <c r="BV4" i="18"/>
  <c r="BZ4" i="18"/>
  <c r="CD4" i="18"/>
  <c r="CH4" i="18"/>
  <c r="CL4" i="18"/>
  <c r="CP4" i="18"/>
  <c r="CT4" i="18"/>
  <c r="CX4" i="18"/>
  <c r="DB4" i="18"/>
  <c r="DF4" i="18"/>
  <c r="DO4" i="18"/>
  <c r="DS4" i="18"/>
  <c r="DW4" i="18"/>
  <c r="EA4" i="18"/>
  <c r="EE4" i="18"/>
  <c r="EI4" i="18"/>
  <c r="EM4" i="18"/>
  <c r="EQ4" i="18"/>
  <c r="EU4" i="18"/>
  <c r="EY4" i="18"/>
  <c r="FC4" i="18"/>
  <c r="FG4" i="18"/>
  <c r="FK4" i="18"/>
  <c r="DN4" i="18"/>
  <c r="DK4" i="18"/>
  <c r="E4" i="18"/>
  <c r="I4" i="18"/>
  <c r="M4" i="18"/>
  <c r="Q4" i="18"/>
  <c r="U4" i="18"/>
  <c r="Y4" i="18"/>
  <c r="AC4" i="18"/>
  <c r="AG4" i="18"/>
  <c r="AK4" i="18"/>
  <c r="AO4" i="18"/>
  <c r="AS4" i="18"/>
  <c r="AW4" i="18"/>
  <c r="BA4" i="18"/>
  <c r="BE4" i="18"/>
  <c r="BI4" i="18"/>
  <c r="BM4" i="18"/>
  <c r="BQ4" i="18"/>
  <c r="BU4" i="18"/>
  <c r="BY4" i="18"/>
  <c r="CC4" i="18"/>
  <c r="CG4" i="18"/>
  <c r="CK4" i="18"/>
  <c r="CO4" i="18"/>
  <c r="CS4" i="18"/>
  <c r="CW4" i="18"/>
  <c r="DA4" i="18"/>
  <c r="DE4" i="18"/>
  <c r="DI4" i="18"/>
  <c r="DR4" i="18"/>
  <c r="DV4" i="18"/>
  <c r="DZ4" i="18"/>
  <c r="ED4" i="18"/>
  <c r="EH4" i="18"/>
  <c r="EL4" i="18"/>
  <c r="EP4" i="18"/>
  <c r="ET4" i="18"/>
  <c r="EX4" i="18"/>
  <c r="FB4" i="18"/>
  <c r="FF4" i="18"/>
  <c r="FJ4" i="18"/>
  <c r="FN4" i="18"/>
  <c r="Y272" i="10"/>
  <c r="X273" i="10"/>
  <c r="W271" i="10"/>
  <c r="W275" i="10"/>
  <c r="AA264" i="10"/>
  <c r="Y270" i="10"/>
  <c r="Z264" i="10"/>
  <c r="Y271" i="10"/>
  <c r="Y269" i="10"/>
  <c r="W266" i="10"/>
  <c r="X264" i="10"/>
  <c r="Z269" i="10"/>
  <c r="Z267" i="10"/>
  <c r="X277" i="10"/>
  <c r="Z275" i="10"/>
  <c r="X276" i="10"/>
  <c r="W276" i="10"/>
  <c r="E275" i="10"/>
  <c r="F275" i="10"/>
  <c r="F272" i="10"/>
  <c r="Q265" i="10"/>
  <c r="I273" i="10"/>
  <c r="R265" i="10"/>
  <c r="E272" i="10"/>
  <c r="K271" i="10"/>
  <c r="N276" i="10"/>
  <c r="U272" i="10"/>
  <c r="I265" i="10"/>
  <c r="V266" i="10"/>
  <c r="K267" i="10"/>
  <c r="J272" i="10"/>
  <c r="D269" i="10"/>
  <c r="Q277" i="10"/>
  <c r="E264" i="10"/>
  <c r="I264" i="10"/>
  <c r="P271" i="10"/>
  <c r="M265" i="10"/>
  <c r="I266" i="10"/>
  <c r="L275" i="10"/>
  <c r="J271" i="10"/>
  <c r="P265" i="10"/>
  <c r="L272" i="10"/>
  <c r="K277" i="10"/>
  <c r="K269" i="10"/>
  <c r="G272" i="10"/>
  <c r="H273" i="10"/>
  <c r="U273" i="10"/>
  <c r="L268" i="10"/>
  <c r="U267" i="10"/>
  <c r="F271" i="10"/>
  <c r="O266" i="10"/>
  <c r="N272" i="10"/>
  <c r="F264" i="10"/>
  <c r="O274" i="10"/>
  <c r="L277" i="10"/>
  <c r="M275" i="10"/>
  <c r="Q272" i="10"/>
  <c r="H276" i="10"/>
  <c r="E267" i="10"/>
  <c r="U265" i="10"/>
  <c r="K266" i="10"/>
  <c r="K274" i="10"/>
  <c r="M270" i="10"/>
  <c r="M274" i="10"/>
  <c r="U271" i="10"/>
  <c r="M277" i="10"/>
  <c r="V274" i="10"/>
  <c r="E270" i="10"/>
  <c r="I274" i="10"/>
  <c r="R269" i="10"/>
  <c r="Q266" i="10"/>
  <c r="S276" i="10"/>
  <c r="T277" i="10"/>
  <c r="D267" i="10"/>
  <c r="Q267" i="10"/>
  <c r="P267" i="10"/>
  <c r="T271" i="10"/>
  <c r="O275" i="10"/>
  <c r="O268" i="10"/>
  <c r="N274" i="10"/>
  <c r="J274" i="10"/>
  <c r="E265" i="10"/>
  <c r="H268" i="10"/>
  <c r="G268" i="10"/>
  <c r="T85" i="22"/>
  <c r="T87" i="22"/>
  <c r="T86" i="22"/>
  <c r="N70" i="22"/>
  <c r="N71" i="22"/>
  <c r="N72" i="22"/>
  <c r="H73" i="22"/>
  <c r="H75" i="22"/>
  <c r="H74" i="22"/>
  <c r="L67" i="22"/>
  <c r="L69" i="22"/>
  <c r="L68" i="22"/>
  <c r="I74" i="22"/>
  <c r="I73" i="22"/>
  <c r="I75" i="22"/>
  <c r="V56" i="22"/>
  <c r="V57" i="22"/>
  <c r="V55" i="22"/>
  <c r="S52" i="22"/>
  <c r="S53" i="22"/>
  <c r="S54" i="22"/>
  <c r="P60" i="22"/>
  <c r="P58" i="22"/>
  <c r="P59" i="22"/>
  <c r="E67" i="22"/>
  <c r="E68" i="22"/>
  <c r="E69" i="22"/>
  <c r="E55" i="22"/>
  <c r="E56" i="22"/>
  <c r="E57" i="22"/>
  <c r="P75" i="22"/>
  <c r="P73" i="22"/>
  <c r="P74" i="22"/>
  <c r="K81" i="22"/>
  <c r="K79" i="22"/>
  <c r="K80" i="22"/>
  <c r="H72" i="22"/>
  <c r="H71" i="22"/>
  <c r="H70" i="22"/>
  <c r="H61" i="22"/>
  <c r="H62" i="22"/>
  <c r="H63" i="22"/>
  <c r="E59" i="22"/>
  <c r="E60" i="22"/>
  <c r="E58" i="22"/>
  <c r="R78" i="22"/>
  <c r="R77" i="22"/>
  <c r="R76" i="22"/>
  <c r="U70" i="22"/>
  <c r="U71" i="22"/>
  <c r="U72" i="22"/>
  <c r="K53" i="22"/>
  <c r="K54" i="22"/>
  <c r="K52" i="22"/>
  <c r="I51" i="22"/>
  <c r="I49" i="22"/>
  <c r="I50" i="22"/>
  <c r="V61" i="22"/>
  <c r="V62" i="22"/>
  <c r="V63" i="22"/>
  <c r="F52" i="22"/>
  <c r="F54" i="22"/>
  <c r="F53" i="22"/>
  <c r="J79" i="22"/>
  <c r="J81" i="22"/>
  <c r="J80" i="22"/>
  <c r="U89" i="22"/>
  <c r="U90" i="22"/>
  <c r="U88" i="22"/>
  <c r="V88" i="22"/>
  <c r="V89" i="22"/>
  <c r="V90" i="22"/>
  <c r="F71" i="22"/>
  <c r="F70" i="22"/>
  <c r="F72" i="22"/>
  <c r="Q66" i="22"/>
  <c r="Q64" i="22"/>
  <c r="Q65" i="22"/>
  <c r="G57" i="22"/>
  <c r="G56" i="22"/>
  <c r="G55" i="22"/>
  <c r="H85" i="22"/>
  <c r="H86" i="22"/>
  <c r="H87" i="22"/>
  <c r="E63" i="22"/>
  <c r="E62" i="22"/>
  <c r="E61" i="22"/>
  <c r="N84" i="22"/>
  <c r="N82" i="22"/>
  <c r="N83" i="22"/>
  <c r="K50" i="22"/>
  <c r="K51" i="22"/>
  <c r="K49" i="22"/>
  <c r="K82" i="22"/>
  <c r="K83" i="22"/>
  <c r="K84" i="22"/>
  <c r="H68" i="22"/>
  <c r="H69" i="22"/>
  <c r="H67" i="22"/>
  <c r="E79" i="22"/>
  <c r="E81" i="22"/>
  <c r="E80" i="22"/>
  <c r="O88" i="22"/>
  <c r="O89" i="22"/>
  <c r="O90" i="22"/>
  <c r="D70" i="22"/>
  <c r="D72" i="22"/>
  <c r="D71" i="22"/>
  <c r="F51" i="22"/>
  <c r="F50" i="22"/>
  <c r="F49" i="22"/>
  <c r="U76" i="22"/>
  <c r="U77" i="22"/>
  <c r="U78" i="22"/>
  <c r="E66" i="22"/>
  <c r="E65" i="22"/>
  <c r="E64" i="22"/>
  <c r="F81" i="22"/>
  <c r="F80" i="22"/>
  <c r="F79" i="22"/>
  <c r="J66" i="22"/>
  <c r="J65" i="22"/>
  <c r="J64" i="22"/>
  <c r="N61" i="22"/>
  <c r="N62" i="22"/>
  <c r="N63" i="22"/>
  <c r="P62" i="22"/>
  <c r="P63" i="22"/>
  <c r="P61" i="22"/>
  <c r="K77" i="22"/>
  <c r="K76" i="22"/>
  <c r="K78" i="22"/>
  <c r="L53" i="22"/>
  <c r="L54" i="22"/>
  <c r="L52" i="22"/>
  <c r="E73" i="22"/>
  <c r="E75" i="22"/>
  <c r="E74" i="22"/>
  <c r="H52" i="22"/>
  <c r="H53" i="22"/>
  <c r="H54" i="22"/>
  <c r="J76" i="22"/>
  <c r="J77" i="22"/>
  <c r="J78" i="22"/>
  <c r="O79" i="22"/>
  <c r="O80" i="22"/>
  <c r="O81" i="22"/>
  <c r="R84" i="22"/>
  <c r="R82" i="22"/>
  <c r="R83" i="22"/>
  <c r="I67" i="22"/>
  <c r="I69" i="22"/>
  <c r="I68" i="22"/>
  <c r="E340" i="10" l="1"/>
  <c r="I340" i="10"/>
  <c r="M340" i="10"/>
  <c r="AA340" i="10"/>
  <c r="T340" i="10"/>
  <c r="H340" i="10"/>
  <c r="R340" i="10"/>
  <c r="U340" i="10"/>
  <c r="Y340" i="10"/>
  <c r="F340" i="10"/>
  <c r="V340" i="10"/>
  <c r="P340" i="10"/>
  <c r="N32" i="21"/>
  <c r="I405" i="26" s="1"/>
  <c r="F405" i="26" s="1"/>
  <c r="FJ6" i="18"/>
  <c r="FJ7" i="18"/>
  <c r="FJ8" i="18" s="1"/>
  <c r="ET6" i="18"/>
  <c r="ET7" i="18"/>
  <c r="ET8" i="18" s="1"/>
  <c r="ED7" i="18"/>
  <c r="ED8" i="18" s="1"/>
  <c r="ED6" i="18"/>
  <c r="DI6" i="18"/>
  <c r="DI7" i="18"/>
  <c r="DI8" i="18" s="1"/>
  <c r="CS7" i="18"/>
  <c r="CS8" i="18" s="1"/>
  <c r="CS6" i="18"/>
  <c r="CC6" i="18"/>
  <c r="CC7" i="18"/>
  <c r="CC8" i="18" s="1"/>
  <c r="BM6" i="18"/>
  <c r="BM7" i="18"/>
  <c r="BM8" i="18" s="1"/>
  <c r="AW7" i="18"/>
  <c r="AW8" i="18" s="1"/>
  <c r="AW6" i="18"/>
  <c r="AG6" i="18"/>
  <c r="AG7" i="18"/>
  <c r="AG8" i="18" s="1"/>
  <c r="Q7" i="18"/>
  <c r="Q8" i="18" s="1"/>
  <c r="Q6" i="18"/>
  <c r="DK6" i="18"/>
  <c r="DK7" i="18"/>
  <c r="DK8" i="18" s="1"/>
  <c r="FC6" i="18"/>
  <c r="FC7" i="18"/>
  <c r="FC8" i="18" s="1"/>
  <c r="EM7" i="18"/>
  <c r="EM8" i="18" s="1"/>
  <c r="EM6" i="18"/>
  <c r="DW6" i="18"/>
  <c r="DW7" i="18"/>
  <c r="DW8" i="18" s="1"/>
  <c r="DB6" i="18"/>
  <c r="DB7" i="18"/>
  <c r="DB8" i="18" s="1"/>
  <c r="CL6" i="18"/>
  <c r="CL7" i="18"/>
  <c r="CL8" i="18" s="1"/>
  <c r="BV7" i="18"/>
  <c r="BV8" i="18" s="1"/>
  <c r="BV6" i="18"/>
  <c r="BF6" i="18"/>
  <c r="BF7" i="18"/>
  <c r="BF8" i="18" s="1"/>
  <c r="AP6" i="18"/>
  <c r="AP7" i="18"/>
  <c r="AP8" i="18" s="1"/>
  <c r="Z7" i="18"/>
  <c r="Z8" i="18" s="1"/>
  <c r="Z6" i="18"/>
  <c r="J7" i="18"/>
  <c r="J8" i="18" s="1"/>
  <c r="J6" i="18"/>
  <c r="FI7" i="18"/>
  <c r="FI8" i="18" s="1"/>
  <c r="FI6" i="18"/>
  <c r="ES6" i="18"/>
  <c r="ES7" i="18"/>
  <c r="ES8" i="18" s="1"/>
  <c r="EC6" i="18"/>
  <c r="EC7" i="18"/>
  <c r="EC8" i="18" s="1"/>
  <c r="DH6" i="18"/>
  <c r="DH7" i="18"/>
  <c r="DH8" i="18" s="1"/>
  <c r="CR7" i="18"/>
  <c r="CR8" i="18" s="1"/>
  <c r="CR6" i="18"/>
  <c r="CB6" i="18"/>
  <c r="CB7" i="18"/>
  <c r="CB8" i="18" s="1"/>
  <c r="BL6" i="18"/>
  <c r="BL7" i="18"/>
  <c r="BL8" i="18" s="1"/>
  <c r="AV7" i="18"/>
  <c r="AV8" i="18" s="1"/>
  <c r="AV6" i="18"/>
  <c r="AF7" i="18"/>
  <c r="AF8" i="18" s="1"/>
  <c r="AF6" i="18"/>
  <c r="P7" i="18"/>
  <c r="P8" i="18" s="1"/>
  <c r="P6" i="18"/>
  <c r="DL7" i="18"/>
  <c r="DL8" i="18" s="1"/>
  <c r="DL6" i="18"/>
  <c r="EZ6" i="18"/>
  <c r="EZ7" i="18"/>
  <c r="EZ8" i="18" s="1"/>
  <c r="EJ6" i="18"/>
  <c r="EJ7" i="18"/>
  <c r="EJ8" i="18" s="1"/>
  <c r="DT6" i="18"/>
  <c r="DT7" i="18"/>
  <c r="DT8" i="18" s="1"/>
  <c r="CY6" i="18"/>
  <c r="CY7" i="18"/>
  <c r="CY8" i="18" s="1"/>
  <c r="CI6" i="18"/>
  <c r="CI7" i="18"/>
  <c r="CI8" i="18" s="1"/>
  <c r="BS6" i="18"/>
  <c r="BS7" i="18"/>
  <c r="BS8" i="18" s="1"/>
  <c r="BC7" i="18"/>
  <c r="BC8" i="18" s="1"/>
  <c r="BC6" i="18"/>
  <c r="AM7" i="18"/>
  <c r="AM8" i="18" s="1"/>
  <c r="AM6" i="18"/>
  <c r="W7" i="18"/>
  <c r="W8" i="18" s="1"/>
  <c r="W6" i="18"/>
  <c r="G6" i="18"/>
  <c r="G7" i="18"/>
  <c r="G8" i="18" s="1"/>
  <c r="J340" i="10"/>
  <c r="N340" i="10"/>
  <c r="D340" i="10" a="1"/>
  <c r="D340" i="10" s="1"/>
  <c r="D341" i="10" a="1"/>
  <c r="D342" i="10" a="1"/>
  <c r="C9" i="18" a="1"/>
  <c r="Q37" i="21"/>
  <c r="I536" i="26" s="1"/>
  <c r="F536" i="26" s="1"/>
  <c r="K41" i="21"/>
  <c r="I288" i="26" s="1"/>
  <c r="F288" i="26" s="1"/>
  <c r="N45" i="21"/>
  <c r="I418" i="26" s="1"/>
  <c r="M418" i="26" s="1"/>
  <c r="N28" i="21"/>
  <c r="I401" i="26" s="1"/>
  <c r="F401" i="26" s="1"/>
  <c r="N33" i="21"/>
  <c r="I406" i="26" s="1"/>
  <c r="F35" i="21"/>
  <c r="I72" i="26" s="1"/>
  <c r="M72" i="26" s="1"/>
  <c r="O12" i="21"/>
  <c r="I427" i="26" s="1"/>
  <c r="F427" i="26" s="1"/>
  <c r="V37" i="21"/>
  <c r="I746" i="26" s="1"/>
  <c r="M746" i="26" s="1"/>
  <c r="S32" i="21"/>
  <c r="I615" i="26" s="1"/>
  <c r="M615" i="26" s="1"/>
  <c r="G42" i="21"/>
  <c r="I121" i="26" s="1"/>
  <c r="F121" i="26" s="1"/>
  <c r="K25" i="21"/>
  <c r="I272" i="26" s="1"/>
  <c r="F272" i="26" s="1"/>
  <c r="M16" i="21"/>
  <c r="I347" i="26" s="1"/>
  <c r="F347" i="26" s="1"/>
  <c r="V32" i="21"/>
  <c r="I741" i="26" s="1"/>
  <c r="F741" i="26" s="1"/>
  <c r="Q36" i="21"/>
  <c r="I535" i="26" s="1"/>
  <c r="M535" i="26" s="1"/>
  <c r="T38" i="21"/>
  <c r="I663" i="26" s="1"/>
  <c r="M663" i="26" s="1"/>
  <c r="M47" i="21"/>
  <c r="I378" i="26" s="1"/>
  <c r="M378" i="26" s="1"/>
  <c r="U12" i="21"/>
  <c r="I679" i="26" s="1"/>
  <c r="F679" i="26" s="1"/>
  <c r="J10" i="21"/>
  <c r="I215" i="26" s="1"/>
  <c r="M215" i="26" s="1"/>
  <c r="U40" i="21"/>
  <c r="I707" i="26" s="1"/>
  <c r="F707" i="26" s="1"/>
  <c r="R12" i="21"/>
  <c r="I553" i="26" s="1"/>
  <c r="F553" i="26" s="1"/>
  <c r="Q26" i="21"/>
  <c r="I525" i="26" s="1"/>
  <c r="F525" i="26" s="1"/>
  <c r="J20" i="21"/>
  <c r="I225" i="26" s="1"/>
  <c r="F225" i="26" s="1"/>
  <c r="E43" i="21"/>
  <c r="I38" i="26" s="1"/>
  <c r="M38" i="26" s="1"/>
  <c r="I24" i="21"/>
  <c r="I187" i="26" s="1"/>
  <c r="M187" i="26" s="1"/>
  <c r="F9" i="21"/>
  <c r="I46" i="26" s="1"/>
  <c r="M46" i="26" s="1"/>
  <c r="G15" i="21"/>
  <c r="I94" i="26" s="1"/>
  <c r="F94" i="26" s="1"/>
  <c r="P13" i="21"/>
  <c r="I470" i="26" s="1"/>
  <c r="F470" i="26" s="1"/>
  <c r="U29" i="21"/>
  <c r="I696" i="26" s="1"/>
  <c r="M696" i="26" s="1"/>
  <c r="P28" i="21"/>
  <c r="I485" i="26" s="1"/>
  <c r="F485" i="26" s="1"/>
  <c r="I21" i="21"/>
  <c r="I184" i="26" s="1"/>
  <c r="M184" i="26" s="1"/>
  <c r="Q20" i="21"/>
  <c r="I519" i="26" s="1"/>
  <c r="M519" i="26" s="1"/>
  <c r="S47" i="21"/>
  <c r="I630" i="26" s="1"/>
  <c r="F630" i="26" s="1"/>
  <c r="W8" i="21"/>
  <c r="I759" i="26" s="1"/>
  <c r="M759" i="26" s="1"/>
  <c r="K46" i="21"/>
  <c r="I293" i="26" s="1"/>
  <c r="M293" i="26" s="1"/>
  <c r="M12" i="21"/>
  <c r="I343" i="26" s="1"/>
  <c r="F343" i="26" s="1"/>
  <c r="T17" i="21"/>
  <c r="I642" i="26" s="1"/>
  <c r="M642" i="26" s="1"/>
  <c r="K12" i="21"/>
  <c r="I259" i="26" s="1"/>
  <c r="F259" i="26" s="1"/>
  <c r="F32" i="21"/>
  <c r="I69" i="26" s="1"/>
  <c r="F69" i="26" s="1"/>
  <c r="O17" i="21"/>
  <c r="I432" i="26" s="1"/>
  <c r="M432" i="26" s="1"/>
  <c r="H47" i="21"/>
  <c r="I168" i="26" s="1"/>
  <c r="M168" i="26" s="1"/>
  <c r="S15" i="21"/>
  <c r="I598" i="26" s="1"/>
  <c r="M598" i="26" s="1"/>
  <c r="F29" i="21"/>
  <c r="I66" i="26" s="1"/>
  <c r="M66" i="26" s="1"/>
  <c r="F23" i="21"/>
  <c r="I60" i="26" s="1"/>
  <c r="F60" i="26" s="1"/>
  <c r="G28" i="21"/>
  <c r="I107" i="26" s="1"/>
  <c r="F107" i="26" s="1"/>
  <c r="R24" i="21"/>
  <c r="I565" i="26" s="1"/>
  <c r="J8" i="21"/>
  <c r="I213" i="26" s="1"/>
  <c r="M213" i="26" s="1"/>
  <c r="S9" i="21"/>
  <c r="I592" i="26" s="1"/>
  <c r="M592" i="26" s="1"/>
  <c r="F25" i="21"/>
  <c r="I62" i="26" s="1"/>
  <c r="F62" i="26" s="1"/>
  <c r="T44" i="21"/>
  <c r="I669" i="26" s="1"/>
  <c r="F669" i="26" s="1"/>
  <c r="L29" i="21"/>
  <c r="I318" i="26" s="1"/>
  <c r="F318" i="26" s="1"/>
  <c r="N46" i="21"/>
  <c r="I419" i="26" s="1"/>
  <c r="F419" i="26" s="1"/>
  <c r="L27" i="21"/>
  <c r="I316" i="26" s="1"/>
  <c r="S37" i="21"/>
  <c r="I620" i="26" s="1"/>
  <c r="M620" i="26" s="1"/>
  <c r="P35" i="21"/>
  <c r="I492" i="26" s="1"/>
  <c r="F492" i="26" s="1"/>
  <c r="E22" i="21"/>
  <c r="I17" i="26" s="1"/>
  <c r="M17" i="26" s="1"/>
  <c r="K39" i="21"/>
  <c r="I286" i="26" s="1"/>
  <c r="F286" i="26" s="1"/>
  <c r="G33" i="21"/>
  <c r="I112" i="26" s="1"/>
  <c r="I12" i="21"/>
  <c r="I175" i="26" s="1"/>
  <c r="M175" i="26" s="1"/>
  <c r="I40" i="21"/>
  <c r="I203" i="26" s="1"/>
  <c r="F203" i="26" s="1"/>
  <c r="E36" i="21"/>
  <c r="I31" i="26" s="1"/>
  <c r="F31" i="26" s="1"/>
  <c r="U9" i="21"/>
  <c r="I676" i="26" s="1"/>
  <c r="E38" i="21"/>
  <c r="I33" i="26" s="1"/>
  <c r="F33" i="26" s="1"/>
  <c r="O24" i="21"/>
  <c r="I439" i="26" s="1"/>
  <c r="M439" i="26" s="1"/>
  <c r="K31" i="21"/>
  <c r="I278" i="26" s="1"/>
  <c r="F278" i="26" s="1"/>
  <c r="H26" i="21"/>
  <c r="I147" i="26" s="1"/>
  <c r="L17" i="21"/>
  <c r="I306" i="26" s="1"/>
  <c r="F306" i="26" s="1"/>
  <c r="M37" i="21"/>
  <c r="I368" i="26" s="1"/>
  <c r="F368" i="26" s="1"/>
  <c r="K35" i="21"/>
  <c r="I282" i="26" s="1"/>
  <c r="F282" i="26" s="1"/>
  <c r="J13" i="21"/>
  <c r="I218" i="26" s="1"/>
  <c r="M29" i="21"/>
  <c r="I360" i="26" s="1"/>
  <c r="F360" i="26" s="1"/>
  <c r="U47" i="21"/>
  <c r="I714" i="26" s="1"/>
  <c r="F714" i="26" s="1"/>
  <c r="V35" i="21"/>
  <c r="I744" i="26" s="1"/>
  <c r="M744" i="26" s="1"/>
  <c r="U35" i="21"/>
  <c r="I702" i="26" s="1"/>
  <c r="F702" i="26" s="1"/>
  <c r="U38" i="21"/>
  <c r="I705" i="26" s="1"/>
  <c r="M705" i="26" s="1"/>
  <c r="K28" i="21"/>
  <c r="I275" i="26" s="1"/>
  <c r="M275" i="26" s="1"/>
  <c r="U14" i="21"/>
  <c r="I681" i="26" s="1"/>
  <c r="F681" i="26" s="1"/>
  <c r="R17" i="21"/>
  <c r="I558" i="26" s="1"/>
  <c r="M558" i="26" s="1"/>
  <c r="L14" i="21"/>
  <c r="I303" i="26" s="1"/>
  <c r="F303" i="26" s="1"/>
  <c r="M25" i="21"/>
  <c r="I356" i="26" s="1"/>
  <c r="F356" i="26" s="1"/>
  <c r="S44" i="21"/>
  <c r="I627" i="26" s="1"/>
  <c r="M627" i="26" s="1"/>
  <c r="Q41" i="21"/>
  <c r="I540" i="26" s="1"/>
  <c r="M31" i="21"/>
  <c r="I362" i="26" s="1"/>
  <c r="M362" i="26" s="1"/>
  <c r="W16" i="21"/>
  <c r="I767" i="26" s="1"/>
  <c r="F767" i="26" s="1"/>
  <c r="P16" i="21"/>
  <c r="I473" i="26" s="1"/>
  <c r="F473" i="26" s="1"/>
  <c r="H20" i="21"/>
  <c r="I141" i="26" s="1"/>
  <c r="L23" i="21"/>
  <c r="I312" i="26" s="1"/>
  <c r="M312" i="26" s="1"/>
  <c r="N23" i="21"/>
  <c r="I396" i="26" s="1"/>
  <c r="F396" i="26" s="1"/>
  <c r="W35" i="21"/>
  <c r="I786" i="26" s="1"/>
  <c r="F786" i="26" s="1"/>
  <c r="R37" i="21"/>
  <c r="I578" i="26" s="1"/>
  <c r="F578" i="26" s="1"/>
  <c r="W40" i="21"/>
  <c r="I791" i="26" s="1"/>
  <c r="F791" i="26" s="1"/>
  <c r="G12" i="21"/>
  <c r="I91" i="26" s="1"/>
  <c r="M91" i="26" s="1"/>
  <c r="K19" i="21"/>
  <c r="I266" i="26" s="1"/>
  <c r="M266" i="26" s="1"/>
  <c r="V12" i="21"/>
  <c r="I721" i="26" s="1"/>
  <c r="F721" i="26" s="1"/>
  <c r="W32" i="21"/>
  <c r="I783" i="26" s="1"/>
  <c r="F783" i="26" s="1"/>
  <c r="O44" i="21"/>
  <c r="I459" i="26" s="1"/>
  <c r="F459" i="26" s="1"/>
  <c r="I34" i="21"/>
  <c r="I197" i="26" s="1"/>
  <c r="S34" i="21"/>
  <c r="I617" i="26" s="1"/>
  <c r="S10" i="21"/>
  <c r="I593" i="26" s="1"/>
  <c r="F593" i="26" s="1"/>
  <c r="T14" i="21"/>
  <c r="I639" i="26" s="1"/>
  <c r="M639" i="26" s="1"/>
  <c r="Q28" i="21"/>
  <c r="I527" i="26" s="1"/>
  <c r="F527" i="26" s="1"/>
  <c r="L47" i="21"/>
  <c r="I336" i="26" s="1"/>
  <c r="M336" i="26" s="1"/>
  <c r="W15" i="21"/>
  <c r="I766" i="26" s="1"/>
  <c r="M766" i="26" s="1"/>
  <c r="W37" i="21"/>
  <c r="I788" i="26" s="1"/>
  <c r="M788" i="26" s="1"/>
  <c r="J30" i="21"/>
  <c r="I235" i="26" s="1"/>
  <c r="W27" i="21"/>
  <c r="I778" i="26" s="1"/>
  <c r="R15" i="21"/>
  <c r="I556" i="26" s="1"/>
  <c r="M556" i="26" s="1"/>
  <c r="O39" i="21"/>
  <c r="I454" i="26" s="1"/>
  <c r="F454" i="26" s="1"/>
  <c r="P20" i="21"/>
  <c r="I477" i="26" s="1"/>
  <c r="M477" i="26" s="1"/>
  <c r="R47" i="21"/>
  <c r="I588" i="26" s="1"/>
  <c r="F588" i="26" s="1"/>
  <c r="V29" i="21"/>
  <c r="I738" i="26" s="1"/>
  <c r="F738" i="26" s="1"/>
  <c r="W19" i="21"/>
  <c r="I770" i="26" s="1"/>
  <c r="F770" i="26" s="1"/>
  <c r="K7" i="21"/>
  <c r="I254" i="26" s="1"/>
  <c r="M254" i="26" s="1"/>
  <c r="J46" i="21"/>
  <c r="I251" i="26" s="1"/>
  <c r="U44" i="21"/>
  <c r="I711" i="26" s="1"/>
  <c r="M711" i="26" s="1"/>
  <c r="M22" i="21"/>
  <c r="I353" i="26" s="1"/>
  <c r="M353" i="26" s="1"/>
  <c r="W11" i="21"/>
  <c r="I762" i="26" s="1"/>
  <c r="F762" i="26" s="1"/>
  <c r="O48" i="21"/>
  <c r="I463" i="26" s="1"/>
  <c r="P33" i="21"/>
  <c r="I490" i="26" s="1"/>
  <c r="M490" i="26" s="1"/>
  <c r="H29" i="21"/>
  <c r="I150" i="26" s="1"/>
  <c r="M150" i="26" s="1"/>
  <c r="V13" i="21"/>
  <c r="I722" i="26" s="1"/>
  <c r="F722" i="26" s="1"/>
  <c r="G26" i="21"/>
  <c r="I105" i="26" s="1"/>
  <c r="F105" i="26" s="1"/>
  <c r="L42" i="21"/>
  <c r="I331" i="26" s="1"/>
  <c r="F331" i="26" s="1"/>
  <c r="S22" i="21"/>
  <c r="I605" i="26" s="1"/>
  <c r="M605" i="26" s="1"/>
  <c r="V43" i="21"/>
  <c r="I752" i="26" s="1"/>
  <c r="F752" i="26" s="1"/>
  <c r="I7" i="21"/>
  <c r="I170" i="26" s="1"/>
  <c r="P43" i="21"/>
  <c r="I500" i="26" s="1"/>
  <c r="F500" i="26" s="1"/>
  <c r="K23" i="21"/>
  <c r="I270" i="26" s="1"/>
  <c r="M270" i="26" s="1"/>
  <c r="G39" i="21"/>
  <c r="I118" i="26" s="1"/>
  <c r="W23" i="21"/>
  <c r="I774" i="26" s="1"/>
  <c r="J43" i="21"/>
  <c r="I248" i="26" s="1"/>
  <c r="M248" i="26" s="1"/>
  <c r="U22" i="21"/>
  <c r="I689" i="26" s="1"/>
  <c r="F689" i="26" s="1"/>
  <c r="E33" i="21"/>
  <c r="I28" i="26" s="1"/>
  <c r="F28" i="26" s="1"/>
  <c r="G46" i="21"/>
  <c r="I125" i="26" s="1"/>
  <c r="M125" i="26" s="1"/>
  <c r="N11" i="21"/>
  <c r="I384" i="26" s="1"/>
  <c r="F384" i="26" s="1"/>
  <c r="G20" i="21"/>
  <c r="I99" i="26" s="1"/>
  <c r="M99" i="26" s="1"/>
  <c r="L31" i="21"/>
  <c r="I320" i="26" s="1"/>
  <c r="F320" i="26" s="1"/>
  <c r="M320" i="26"/>
  <c r="K16" i="21"/>
  <c r="I263" i="26" s="1"/>
  <c r="P40" i="21"/>
  <c r="I497" i="26" s="1"/>
  <c r="F497" i="26" s="1"/>
  <c r="Q33" i="21"/>
  <c r="I532" i="26" s="1"/>
  <c r="F532" i="26" s="1"/>
  <c r="I17" i="21"/>
  <c r="I180" i="26" s="1"/>
  <c r="M180" i="26" s="1"/>
  <c r="V22" i="21"/>
  <c r="I731" i="26" s="1"/>
  <c r="E9" i="21"/>
  <c r="I4" i="26" s="1"/>
  <c r="F4" i="26" s="1"/>
  <c r="L11" i="21"/>
  <c r="I300" i="26" s="1"/>
  <c r="F300" i="26" s="1"/>
  <c r="M300" i="26"/>
  <c r="R26" i="21"/>
  <c r="I567" i="26" s="1"/>
  <c r="M567" i="26" s="1"/>
  <c r="V21" i="21"/>
  <c r="I730" i="26" s="1"/>
  <c r="S16" i="21"/>
  <c r="I599" i="26" s="1"/>
  <c r="F599" i="26" s="1"/>
  <c r="G34" i="21"/>
  <c r="I113" i="26" s="1"/>
  <c r="F113" i="26" s="1"/>
  <c r="I28" i="21"/>
  <c r="I191" i="26" s="1"/>
  <c r="F191" i="26" s="1"/>
  <c r="O25" i="21"/>
  <c r="I440" i="26" s="1"/>
  <c r="H36" i="21"/>
  <c r="I157" i="26" s="1"/>
  <c r="F157" i="26" s="1"/>
  <c r="P24" i="21"/>
  <c r="I481" i="26" s="1"/>
  <c r="M481" i="26" s="1"/>
  <c r="AA322" i="10"/>
  <c r="AA324" i="10"/>
  <c r="Q324" i="10"/>
  <c r="Q322" i="10"/>
  <c r="O324" i="10"/>
  <c r="O322" i="10"/>
  <c r="P322" i="10"/>
  <c r="P324" i="10"/>
  <c r="N324" i="10"/>
  <c r="N322" i="10"/>
  <c r="S324" i="10"/>
  <c r="S322" i="10"/>
  <c r="F43" i="21"/>
  <c r="I80" i="26" s="1"/>
  <c r="F80" i="26" s="1"/>
  <c r="E41" i="21"/>
  <c r="I36" i="26" s="1"/>
  <c r="E10" i="21"/>
  <c r="I5" i="26" s="1"/>
  <c r="F5" i="26" s="1"/>
  <c r="P11" i="21"/>
  <c r="I468" i="26" s="1"/>
  <c r="F468" i="26" s="1"/>
  <c r="N40" i="21"/>
  <c r="I413" i="26" s="1"/>
  <c r="F413" i="26" s="1"/>
  <c r="J32" i="21"/>
  <c r="I237" i="26" s="1"/>
  <c r="M237" i="26" s="1"/>
  <c r="I13" i="21"/>
  <c r="I176" i="26" s="1"/>
  <c r="F176" i="26" s="1"/>
  <c r="T21" i="21"/>
  <c r="I646" i="26" s="1"/>
  <c r="F646" i="26" s="1"/>
  <c r="J42" i="21"/>
  <c r="I247" i="26" s="1"/>
  <c r="M247" i="26" s="1"/>
  <c r="L20" i="21"/>
  <c r="I309" i="26" s="1"/>
  <c r="H13" i="21"/>
  <c r="I134" i="26" s="1"/>
  <c r="M134" i="26" s="1"/>
  <c r="I38" i="21"/>
  <c r="I201" i="26" s="1"/>
  <c r="M201" i="26" s="1"/>
  <c r="N27" i="21"/>
  <c r="I400" i="26" s="1"/>
  <c r="F400" i="26" s="1"/>
  <c r="P39" i="21"/>
  <c r="I496" i="26" s="1"/>
  <c r="F496" i="26" s="1"/>
  <c r="I45" i="21"/>
  <c r="I208" i="26" s="1"/>
  <c r="F208" i="26" s="1"/>
  <c r="N8" i="21"/>
  <c r="I381" i="26" s="1"/>
  <c r="M381" i="26" s="1"/>
  <c r="H45" i="21"/>
  <c r="I166" i="26" s="1"/>
  <c r="M166" i="26" s="1"/>
  <c r="R7" i="21"/>
  <c r="I548" i="26" s="1"/>
  <c r="F37" i="21"/>
  <c r="I74" i="26" s="1"/>
  <c r="M74" i="26" s="1"/>
  <c r="V48" i="21"/>
  <c r="I757" i="26" s="1"/>
  <c r="F757" i="26" s="1"/>
  <c r="H10" i="21"/>
  <c r="I131" i="26" s="1"/>
  <c r="F131" i="26" s="1"/>
  <c r="P9" i="21"/>
  <c r="I466" i="26" s="1"/>
  <c r="M466" i="26" s="1"/>
  <c r="R35" i="21"/>
  <c r="I576" i="26" s="1"/>
  <c r="F576" i="26" s="1"/>
  <c r="O32" i="21"/>
  <c r="I447" i="26" s="1"/>
  <c r="M447" i="26" s="1"/>
  <c r="T22" i="21"/>
  <c r="I647" i="26" s="1"/>
  <c r="F647" i="26" s="1"/>
  <c r="L37" i="21"/>
  <c r="I326" i="26" s="1"/>
  <c r="P25" i="21"/>
  <c r="I482" i="26" s="1"/>
  <c r="F482" i="26" s="1"/>
  <c r="V26" i="21"/>
  <c r="I735" i="26" s="1"/>
  <c r="M735" i="26" s="1"/>
  <c r="Q44" i="21"/>
  <c r="I543" i="26" s="1"/>
  <c r="T27" i="21"/>
  <c r="I652" i="26" s="1"/>
  <c r="M652" i="26" s="1"/>
  <c r="Q13" i="21"/>
  <c r="I512" i="26" s="1"/>
  <c r="F512" i="26" s="1"/>
  <c r="U18" i="21"/>
  <c r="I685" i="26" s="1"/>
  <c r="F685" i="26" s="1"/>
  <c r="F16" i="21"/>
  <c r="I53" i="26" s="1"/>
  <c r="M53" i="26" s="1"/>
  <c r="J34" i="21"/>
  <c r="I239" i="26" s="1"/>
  <c r="M239" i="26" s="1"/>
  <c r="G23" i="21"/>
  <c r="I102" i="26" s="1"/>
  <c r="F102" i="26" s="1"/>
  <c r="N21" i="21"/>
  <c r="I394" i="26" s="1"/>
  <c r="M394" i="26" s="1"/>
  <c r="E14" i="21"/>
  <c r="I9" i="26" s="1"/>
  <c r="F9" i="26" s="1"/>
  <c r="H8" i="21"/>
  <c r="I129" i="26" s="1"/>
  <c r="T33" i="21"/>
  <c r="I658" i="26" s="1"/>
  <c r="M658" i="26" s="1"/>
  <c r="R28" i="21"/>
  <c r="I569" i="26" s="1"/>
  <c r="M569" i="26" s="1"/>
  <c r="O20" i="21"/>
  <c r="I435" i="26" s="1"/>
  <c r="M435" i="26" s="1"/>
  <c r="S41" i="21"/>
  <c r="I624" i="26" s="1"/>
  <c r="E30" i="21"/>
  <c r="I25" i="26" s="1"/>
  <c r="M25" i="26" s="1"/>
  <c r="T9" i="21"/>
  <c r="I634" i="26" s="1"/>
  <c r="M634" i="26" s="1"/>
  <c r="W28" i="21"/>
  <c r="I779" i="26" s="1"/>
  <c r="F779" i="26" s="1"/>
  <c r="S19" i="21"/>
  <c r="I602" i="26" s="1"/>
  <c r="H39" i="21"/>
  <c r="I160" i="26" s="1"/>
  <c r="M160" i="26" s="1"/>
  <c r="P47" i="21"/>
  <c r="I504" i="26" s="1"/>
  <c r="F504" i="26" s="1"/>
  <c r="T10" i="21"/>
  <c r="I635" i="26" s="1"/>
  <c r="F635" i="26" s="1"/>
  <c r="Q39" i="21"/>
  <c r="I538" i="26" s="1"/>
  <c r="N30" i="21"/>
  <c r="I403" i="26" s="1"/>
  <c r="F403" i="26" s="1"/>
  <c r="V38" i="21"/>
  <c r="I747" i="26" s="1"/>
  <c r="F747" i="26" s="1"/>
  <c r="G40" i="21"/>
  <c r="I119" i="26" s="1"/>
  <c r="M119" i="26" s="1"/>
  <c r="J22" i="21"/>
  <c r="I227" i="26" s="1"/>
  <c r="M227" i="26" s="1"/>
  <c r="V33" i="21"/>
  <c r="I742" i="26" s="1"/>
  <c r="F742" i="26" s="1"/>
  <c r="Q34" i="21"/>
  <c r="I533" i="26" s="1"/>
  <c r="M533" i="26" s="1"/>
  <c r="I26" i="21"/>
  <c r="I189" i="26" s="1"/>
  <c r="M46" i="21"/>
  <c r="I377" i="26" s="1"/>
  <c r="M377" i="26" s="1"/>
  <c r="U10" i="21"/>
  <c r="I677" i="26" s="1"/>
  <c r="F677" i="26" s="1"/>
  <c r="Q7" i="21"/>
  <c r="I506" i="26" s="1"/>
  <c r="M506" i="26" s="1"/>
  <c r="U41" i="21"/>
  <c r="I708" i="26" s="1"/>
  <c r="M708" i="26" s="1"/>
  <c r="R10" i="21"/>
  <c r="I551" i="26" s="1"/>
  <c r="H32" i="21"/>
  <c r="I153" i="26" s="1"/>
  <c r="F153" i="26" s="1"/>
  <c r="J21" i="21"/>
  <c r="I226" i="26" s="1"/>
  <c r="M226" i="26" s="1"/>
  <c r="E44" i="21"/>
  <c r="I39" i="26" s="1"/>
  <c r="F39" i="26" s="1"/>
  <c r="M9" i="21"/>
  <c r="I340" i="26" s="1"/>
  <c r="F8" i="21"/>
  <c r="I45" i="26" s="1"/>
  <c r="M45" i="26" s="1"/>
  <c r="G14" i="21"/>
  <c r="I93" i="26" s="1"/>
  <c r="F93" i="26" s="1"/>
  <c r="V41" i="21"/>
  <c r="I750" i="26" s="1"/>
  <c r="F750" i="26" s="1"/>
  <c r="U30" i="21"/>
  <c r="I697" i="26" s="1"/>
  <c r="P29" i="21"/>
  <c r="I486" i="26" s="1"/>
  <c r="F486" i="26" s="1"/>
  <c r="M14" i="21"/>
  <c r="I345" i="26" s="1"/>
  <c r="F345" i="26" s="1"/>
  <c r="Q19" i="21"/>
  <c r="I518" i="26" s="1"/>
  <c r="F518" i="26" s="1"/>
  <c r="S48" i="21"/>
  <c r="I631" i="26" s="1"/>
  <c r="F631" i="26" s="1"/>
  <c r="M43" i="21"/>
  <c r="I374" i="26" s="1"/>
  <c r="F374" i="26" s="1"/>
  <c r="K48" i="21"/>
  <c r="I295" i="26" s="1"/>
  <c r="F295" i="26" s="1"/>
  <c r="M10" i="21"/>
  <c r="I341" i="26" s="1"/>
  <c r="M341" i="26" s="1"/>
  <c r="L43" i="21"/>
  <c r="I332" i="26" s="1"/>
  <c r="M332" i="26" s="1"/>
  <c r="K10" i="21"/>
  <c r="I257" i="26" s="1"/>
  <c r="M257" i="26" s="1"/>
  <c r="F31" i="21"/>
  <c r="I68" i="26" s="1"/>
  <c r="M68" i="26" s="1"/>
  <c r="W46" i="21"/>
  <c r="I797" i="26" s="1"/>
  <c r="F797" i="26" s="1"/>
  <c r="H46" i="21"/>
  <c r="I167" i="26" s="1"/>
  <c r="S14" i="21"/>
  <c r="I597" i="26" s="1"/>
  <c r="M597" i="26" s="1"/>
  <c r="U25" i="21"/>
  <c r="I692" i="26" s="1"/>
  <c r="M692" i="26" s="1"/>
  <c r="F22" i="21"/>
  <c r="I59" i="26" s="1"/>
  <c r="F59" i="26" s="1"/>
  <c r="G30" i="21"/>
  <c r="I109" i="26" s="1"/>
  <c r="F109" i="26" s="1"/>
  <c r="F11" i="21"/>
  <c r="I48" i="26" s="1"/>
  <c r="F48" i="26" s="1"/>
  <c r="J7" i="21"/>
  <c r="I212" i="26" s="1"/>
  <c r="F212" i="26" s="1"/>
  <c r="S8" i="21"/>
  <c r="I591" i="26" s="1"/>
  <c r="M591" i="26" s="1"/>
  <c r="F46" i="21"/>
  <c r="I83" i="26" s="1"/>
  <c r="F83" i="26" s="1"/>
  <c r="T45" i="21"/>
  <c r="I670" i="26" s="1"/>
  <c r="F670" i="26" s="1"/>
  <c r="L30" i="21"/>
  <c r="I319" i="26" s="1"/>
  <c r="M319" i="26" s="1"/>
  <c r="S25" i="21"/>
  <c r="I608" i="26" s="1"/>
  <c r="F608" i="26" s="1"/>
  <c r="L25" i="21"/>
  <c r="I314" i="26" s="1"/>
  <c r="F314" i="26" s="1"/>
  <c r="S38" i="21"/>
  <c r="I621" i="26" s="1"/>
  <c r="F621" i="26" s="1"/>
  <c r="T30" i="21"/>
  <c r="I655" i="26" s="1"/>
  <c r="M655" i="26" s="1"/>
  <c r="E23" i="21"/>
  <c r="I18" i="26" s="1"/>
  <c r="F18" i="26" s="1"/>
  <c r="K37" i="21"/>
  <c r="I284" i="26" s="1"/>
  <c r="M284" i="26" s="1"/>
  <c r="T35" i="21"/>
  <c r="I660" i="26" s="1"/>
  <c r="M660" i="26" s="1"/>
  <c r="I11" i="21"/>
  <c r="I174" i="26" s="1"/>
  <c r="F174" i="26" s="1"/>
  <c r="I42" i="21"/>
  <c r="I205" i="26" s="1"/>
  <c r="F205" i="26" s="1"/>
  <c r="R33" i="21"/>
  <c r="I574" i="26" s="1"/>
  <c r="F574" i="26" s="1"/>
  <c r="U7" i="21"/>
  <c r="I674" i="26" s="1"/>
  <c r="F674" i="26" s="1"/>
  <c r="E39" i="21"/>
  <c r="I34" i="26" s="1"/>
  <c r="M34" i="26" s="1"/>
  <c r="M20" i="21"/>
  <c r="I351" i="26" s="1"/>
  <c r="K32" i="21"/>
  <c r="I279" i="26" s="1"/>
  <c r="F279" i="26" s="1"/>
  <c r="H27" i="21"/>
  <c r="I148" i="26" s="1"/>
  <c r="F148" i="26" s="1"/>
  <c r="L7" i="21"/>
  <c r="I296" i="26" s="1"/>
  <c r="M296" i="26" s="1"/>
  <c r="M39" i="21"/>
  <c r="I370" i="26" s="1"/>
  <c r="K36" i="21"/>
  <c r="I283" i="26" s="1"/>
  <c r="G17" i="21"/>
  <c r="I96" i="26" s="1"/>
  <c r="M96" i="26" s="1"/>
  <c r="M30" i="21"/>
  <c r="I361" i="26" s="1"/>
  <c r="F361" i="26" s="1"/>
  <c r="U48" i="21"/>
  <c r="I715" i="26" s="1"/>
  <c r="F715" i="26" s="1"/>
  <c r="E46" i="21"/>
  <c r="I41" i="26" s="1"/>
  <c r="F41" i="26" s="1"/>
  <c r="U36" i="21"/>
  <c r="I703" i="26" s="1"/>
  <c r="M703" i="26" s="1"/>
  <c r="U39" i="21"/>
  <c r="I706" i="26" s="1"/>
  <c r="M706" i="26" s="1"/>
  <c r="N13" i="21"/>
  <c r="I386" i="26" s="1"/>
  <c r="U13" i="21"/>
  <c r="I680" i="26" s="1"/>
  <c r="F680" i="26" s="1"/>
  <c r="R18" i="21"/>
  <c r="I559" i="26" s="1"/>
  <c r="M559" i="26" s="1"/>
  <c r="R44" i="21"/>
  <c r="I585" i="26" s="1"/>
  <c r="F585" i="26" s="1"/>
  <c r="M27" i="21"/>
  <c r="I358" i="26" s="1"/>
  <c r="M358" i="26" s="1"/>
  <c r="S43" i="21"/>
  <c r="I626" i="26" s="1"/>
  <c r="V9" i="21"/>
  <c r="I718" i="26" s="1"/>
  <c r="F718" i="26" s="1"/>
  <c r="M33" i="21"/>
  <c r="I364" i="26" s="1"/>
  <c r="M364" i="26" s="1"/>
  <c r="W18" i="21"/>
  <c r="I769" i="26" s="1"/>
  <c r="M769" i="26" s="1"/>
  <c r="O42" i="21"/>
  <c r="I457" i="26" s="1"/>
  <c r="F457" i="26" s="1"/>
  <c r="H19" i="21"/>
  <c r="I140" i="26" s="1"/>
  <c r="M140" i="26" s="1"/>
  <c r="L22" i="21"/>
  <c r="I311" i="26" s="1"/>
  <c r="F311" i="26" s="1"/>
  <c r="Q11" i="21"/>
  <c r="I510" i="26" s="1"/>
  <c r="F510" i="26" s="1"/>
  <c r="W36" i="21"/>
  <c r="I787" i="26" s="1"/>
  <c r="R39" i="21"/>
  <c r="I580" i="26" s="1"/>
  <c r="M580" i="26" s="1"/>
  <c r="F20" i="21"/>
  <c r="I57" i="26" s="1"/>
  <c r="M57" i="26" s="1"/>
  <c r="G10" i="21"/>
  <c r="I89" i="26" s="1"/>
  <c r="M89" i="26" s="1"/>
  <c r="K21" i="21"/>
  <c r="I268" i="26" s="1"/>
  <c r="F268" i="26" s="1"/>
  <c r="U20" i="21"/>
  <c r="I687" i="26" s="1"/>
  <c r="F687" i="26" s="1"/>
  <c r="W33" i="21"/>
  <c r="I784" i="26" s="1"/>
  <c r="F784" i="26" s="1"/>
  <c r="O43" i="21"/>
  <c r="I458" i="26" s="1"/>
  <c r="M458" i="26" s="1"/>
  <c r="J38" i="21"/>
  <c r="I243" i="26" s="1"/>
  <c r="S36" i="21"/>
  <c r="I619" i="26" s="1"/>
  <c r="F619" i="26" s="1"/>
  <c r="S11" i="21"/>
  <c r="I594" i="26" s="1"/>
  <c r="M594" i="26" s="1"/>
  <c r="F14" i="21"/>
  <c r="I51" i="26" s="1"/>
  <c r="F51" i="26" s="1"/>
  <c r="Q29" i="21"/>
  <c r="I528" i="26" s="1"/>
  <c r="L46" i="21"/>
  <c r="I335" i="26" s="1"/>
  <c r="M335" i="26" s="1"/>
  <c r="W14" i="21"/>
  <c r="I765" i="26" s="1"/>
  <c r="M765" i="26" s="1"/>
  <c r="N37" i="21"/>
  <c r="I410" i="26" s="1"/>
  <c r="M410" i="26" s="1"/>
  <c r="J29" i="21"/>
  <c r="I234" i="26" s="1"/>
  <c r="F234" i="26" s="1"/>
  <c r="W26" i="21"/>
  <c r="I777" i="26" s="1"/>
  <c r="F777" i="26" s="1"/>
  <c r="O28" i="21"/>
  <c r="I443" i="26" s="1"/>
  <c r="F443" i="26" s="1"/>
  <c r="O38" i="21"/>
  <c r="I453" i="26" s="1"/>
  <c r="F453" i="26" s="1"/>
  <c r="P21" i="21"/>
  <c r="I478" i="26" s="1"/>
  <c r="G7" i="21"/>
  <c r="I86" i="26" s="1"/>
  <c r="F86" i="26" s="1"/>
  <c r="V30" i="21"/>
  <c r="I739" i="26" s="1"/>
  <c r="F739" i="26" s="1"/>
  <c r="W20" i="21"/>
  <c r="I771" i="26" s="1"/>
  <c r="M771" i="26" s="1"/>
  <c r="I46" i="21"/>
  <c r="I209" i="26" s="1"/>
  <c r="J48" i="21"/>
  <c r="I253" i="26" s="1"/>
  <c r="F253" i="26" s="1"/>
  <c r="U43" i="21"/>
  <c r="I710" i="26" s="1"/>
  <c r="M710" i="26" s="1"/>
  <c r="T48" i="21"/>
  <c r="I673" i="26" s="1"/>
  <c r="M673" i="26" s="1"/>
  <c r="W12" i="21"/>
  <c r="I763" i="26" s="1"/>
  <c r="O46" i="21"/>
  <c r="I461" i="26" s="1"/>
  <c r="M461" i="26" s="1"/>
  <c r="M34" i="21"/>
  <c r="I365" i="26" s="1"/>
  <c r="F365" i="26" s="1"/>
  <c r="H28" i="21"/>
  <c r="I149" i="26" s="1"/>
  <c r="F149" i="26" s="1"/>
  <c r="V15" i="21"/>
  <c r="I724" i="26" s="1"/>
  <c r="O8" i="21"/>
  <c r="I423" i="26" s="1"/>
  <c r="M423" i="26" s="1"/>
  <c r="L40" i="21"/>
  <c r="I329" i="26" s="1"/>
  <c r="M329" i="26" s="1"/>
  <c r="S24" i="21"/>
  <c r="I607" i="26" s="1"/>
  <c r="F607" i="26" s="1"/>
  <c r="T40" i="21"/>
  <c r="I665" i="26" s="1"/>
  <c r="I8" i="21"/>
  <c r="I171" i="26" s="1"/>
  <c r="F171" i="26" s="1"/>
  <c r="P45" i="21"/>
  <c r="I502" i="26" s="1"/>
  <c r="M502" i="26" s="1"/>
  <c r="O15" i="21"/>
  <c r="I430" i="26" s="1"/>
  <c r="F430" i="26" s="1"/>
  <c r="G37" i="21"/>
  <c r="I116" i="26" s="1"/>
  <c r="M116" i="26" s="1"/>
  <c r="W22" i="21"/>
  <c r="I773" i="26" s="1"/>
  <c r="F773" i="26" s="1"/>
  <c r="U33" i="21"/>
  <c r="I700" i="26" s="1"/>
  <c r="F700" i="26" s="1"/>
  <c r="U24" i="21"/>
  <c r="I691" i="26" s="1"/>
  <c r="F691" i="26" s="1"/>
  <c r="E32" i="21"/>
  <c r="I27" i="26" s="1"/>
  <c r="F27" i="26" s="1"/>
  <c r="Q23" i="21"/>
  <c r="I522" i="26" s="1"/>
  <c r="M522" i="26" s="1"/>
  <c r="N12" i="21"/>
  <c r="I385" i="26" s="1"/>
  <c r="M385" i="26" s="1"/>
  <c r="G21" i="21"/>
  <c r="I100" i="26" s="1"/>
  <c r="F100" i="26" s="1"/>
  <c r="R19" i="21"/>
  <c r="I560" i="26" s="1"/>
  <c r="K18" i="21"/>
  <c r="I265" i="26" s="1"/>
  <c r="M265" i="26" s="1"/>
  <c r="P42" i="21"/>
  <c r="I499" i="26" s="1"/>
  <c r="F499" i="26" s="1"/>
  <c r="I32" i="21"/>
  <c r="I195" i="26" s="1"/>
  <c r="M195" i="26" s="1"/>
  <c r="I16" i="21"/>
  <c r="I179" i="26" s="1"/>
  <c r="V24" i="21"/>
  <c r="I733" i="26" s="1"/>
  <c r="M733" i="26" s="1"/>
  <c r="J25" i="21"/>
  <c r="I230" i="26" s="1"/>
  <c r="M230" i="26" s="1"/>
  <c r="L12" i="21"/>
  <c r="I301" i="26" s="1"/>
  <c r="M301" i="26" s="1"/>
  <c r="R25" i="21"/>
  <c r="I566" i="26" s="1"/>
  <c r="M40" i="21"/>
  <c r="I371" i="26" s="1"/>
  <c r="M371" i="26" s="1"/>
  <c r="S17" i="21"/>
  <c r="I600" i="26" s="1"/>
  <c r="M600" i="26" s="1"/>
  <c r="G35" i="21"/>
  <c r="I114" i="26" s="1"/>
  <c r="M114" i="26" s="1"/>
  <c r="N16" i="21"/>
  <c r="I389" i="26" s="1"/>
  <c r="F389" i="26" s="1"/>
  <c r="O26" i="21"/>
  <c r="I441" i="26" s="1"/>
  <c r="F441" i="26" s="1"/>
  <c r="H35" i="21"/>
  <c r="I156" i="26" s="1"/>
  <c r="M156" i="26" s="1"/>
  <c r="D322" i="10"/>
  <c r="D324" i="10"/>
  <c r="D323" i="10" a="1"/>
  <c r="D400" i="10" a="1"/>
  <c r="W324" i="10"/>
  <c r="W322" i="10"/>
  <c r="T324" i="10"/>
  <c r="T322" i="10"/>
  <c r="Y322" i="10"/>
  <c r="Y324" i="10"/>
  <c r="Z322" i="10"/>
  <c r="Z324" i="10"/>
  <c r="R322" i="10"/>
  <c r="R324" i="10"/>
  <c r="F40" i="21"/>
  <c r="I77" i="26" s="1"/>
  <c r="M77" i="26" s="1"/>
  <c r="E42" i="21"/>
  <c r="I37" i="26" s="1"/>
  <c r="M37" i="26" s="1"/>
  <c r="E11" i="21"/>
  <c r="I6" i="26" s="1"/>
  <c r="M6" i="26" s="1"/>
  <c r="G44" i="21"/>
  <c r="I123" i="26" s="1"/>
  <c r="N42" i="21"/>
  <c r="I415" i="26" s="1"/>
  <c r="M415" i="26" s="1"/>
  <c r="J33" i="21"/>
  <c r="I238" i="26" s="1"/>
  <c r="F238" i="26" s="1"/>
  <c r="E21" i="21"/>
  <c r="I16" i="26" s="1"/>
  <c r="F16" i="26" s="1"/>
  <c r="T19" i="21"/>
  <c r="I644" i="26" s="1"/>
  <c r="J41" i="21"/>
  <c r="I246" i="26" s="1"/>
  <c r="M246" i="26" s="1"/>
  <c r="W45" i="21"/>
  <c r="I796" i="26" s="1"/>
  <c r="M796" i="26" s="1"/>
  <c r="H14" i="21"/>
  <c r="I135" i="26" s="1"/>
  <c r="M135" i="26" s="1"/>
  <c r="I39" i="21"/>
  <c r="I202" i="26" s="1"/>
  <c r="J18" i="21"/>
  <c r="I223" i="26" s="1"/>
  <c r="M223" i="26" s="1"/>
  <c r="P37" i="21"/>
  <c r="I494" i="26" s="1"/>
  <c r="F494" i="26" s="1"/>
  <c r="I44" i="21"/>
  <c r="I207" i="26" s="1"/>
  <c r="F207" i="26" s="1"/>
  <c r="S29" i="21"/>
  <c r="I612" i="26" s="1"/>
  <c r="F612" i="26" s="1"/>
  <c r="H44" i="21"/>
  <c r="I165" i="26" s="1"/>
  <c r="F165" i="26" s="1"/>
  <c r="R9" i="21"/>
  <c r="I550" i="26" s="1"/>
  <c r="M550" i="26" s="1"/>
  <c r="E26" i="21"/>
  <c r="I21" i="26" s="1"/>
  <c r="F21" i="26" s="1"/>
  <c r="V46" i="21"/>
  <c r="I755" i="26" s="1"/>
  <c r="H11" i="21"/>
  <c r="I132" i="26" s="1"/>
  <c r="F132" i="26" s="1"/>
  <c r="H24" i="21"/>
  <c r="I145" i="26" s="1"/>
  <c r="F145" i="26" s="1"/>
  <c r="R34" i="21"/>
  <c r="I575" i="26" s="1"/>
  <c r="M575" i="26" s="1"/>
  <c r="O33" i="21"/>
  <c r="I448" i="26" s="1"/>
  <c r="F448" i="26" s="1"/>
  <c r="V18" i="21"/>
  <c r="I727" i="26" s="1"/>
  <c r="F727" i="26" s="1"/>
  <c r="L38" i="21"/>
  <c r="I327" i="26" s="1"/>
  <c r="F327" i="26" s="1"/>
  <c r="P26" i="21"/>
  <c r="I483" i="26" s="1"/>
  <c r="F483" i="26" s="1"/>
  <c r="Q48" i="21"/>
  <c r="I547" i="26" s="1"/>
  <c r="Q45" i="21"/>
  <c r="I544" i="26" s="1"/>
  <c r="M544" i="26" s="1"/>
  <c r="T26" i="21"/>
  <c r="I651" i="26" s="1"/>
  <c r="F651" i="26" s="1"/>
  <c r="H17" i="21"/>
  <c r="I138" i="26" s="1"/>
  <c r="M138" i="26" s="1"/>
  <c r="U17" i="21"/>
  <c r="I684" i="26" s="1"/>
  <c r="F17" i="21"/>
  <c r="I54" i="26" s="1"/>
  <c r="M54" i="26" s="1"/>
  <c r="E18" i="21"/>
  <c r="I13" i="26" s="1"/>
  <c r="M13" i="26" s="1"/>
  <c r="G22" i="21"/>
  <c r="I101" i="26" s="1"/>
  <c r="F101" i="26" s="1"/>
  <c r="N19" i="21"/>
  <c r="I392" i="26" s="1"/>
  <c r="F392" i="26" s="1"/>
  <c r="R41" i="21"/>
  <c r="I582" i="26" s="1"/>
  <c r="M582" i="26" s="1"/>
  <c r="H7" i="21"/>
  <c r="I128" i="26" s="1"/>
  <c r="F128" i="26" s="1"/>
  <c r="T31" i="21"/>
  <c r="I656" i="26" s="1"/>
  <c r="F656" i="26" s="1"/>
  <c r="O36" i="21"/>
  <c r="I451" i="26" s="1"/>
  <c r="O21" i="21"/>
  <c r="I436" i="26" s="1"/>
  <c r="M436" i="26" s="1"/>
  <c r="S42" i="21"/>
  <c r="I625" i="26" s="1"/>
  <c r="M625" i="26" s="1"/>
  <c r="Q18" i="21"/>
  <c r="I517" i="26" s="1"/>
  <c r="F517" i="26" s="1"/>
  <c r="T7" i="21"/>
  <c r="I632" i="26" s="1"/>
  <c r="W29" i="21"/>
  <c r="I780" i="26" s="1"/>
  <c r="M780" i="26" s="1"/>
  <c r="K43" i="21"/>
  <c r="I290" i="26" s="1"/>
  <c r="F290" i="26" s="1"/>
  <c r="H37" i="21"/>
  <c r="I158" i="26" s="1"/>
  <c r="F158" i="26" s="1"/>
  <c r="P48" i="21"/>
  <c r="I505" i="26" s="1"/>
  <c r="M505" i="26" s="1"/>
  <c r="L36" i="21"/>
  <c r="I325" i="26" s="1"/>
  <c r="M325" i="26" s="1"/>
  <c r="EP7" i="18"/>
  <c r="EP8" i="18" s="1"/>
  <c r="EP6" i="18"/>
  <c r="DE6" i="18"/>
  <c r="DE7" i="18"/>
  <c r="DE8" i="18" s="1"/>
  <c r="BY7" i="18"/>
  <c r="BY8" i="18" s="1"/>
  <c r="BY6" i="18"/>
  <c r="AS6" i="18"/>
  <c r="AS7" i="18"/>
  <c r="AS8" i="18" s="1"/>
  <c r="M6" i="18"/>
  <c r="M7" i="18"/>
  <c r="M8" i="18" s="1"/>
  <c r="EY6" i="18"/>
  <c r="EY7" i="18"/>
  <c r="EY8" i="18" s="1"/>
  <c r="CH7" i="18"/>
  <c r="CH8" i="18" s="1"/>
  <c r="CH6" i="18"/>
  <c r="BB7" i="18"/>
  <c r="BB8" i="18" s="1"/>
  <c r="BB6" i="18"/>
  <c r="V6" i="18"/>
  <c r="V7" i="18"/>
  <c r="V8" i="18" s="1"/>
  <c r="FE6" i="18"/>
  <c r="FE7" i="18"/>
  <c r="FE8" i="18" s="1"/>
  <c r="DY7" i="18"/>
  <c r="DY8" i="18" s="1"/>
  <c r="DY6" i="18"/>
  <c r="CN6" i="18"/>
  <c r="CN7" i="18"/>
  <c r="CN8" i="18" s="1"/>
  <c r="BH7" i="18"/>
  <c r="BH8" i="18" s="1"/>
  <c r="BH6" i="18"/>
  <c r="L7" i="18"/>
  <c r="L8" i="18" s="1"/>
  <c r="L6" i="18"/>
  <c r="EV6" i="18"/>
  <c r="EV7" i="18"/>
  <c r="EV8" i="18" s="1"/>
  <c r="CE7" i="18"/>
  <c r="CE8" i="18" s="1"/>
  <c r="CE6" i="18"/>
  <c r="AY6" i="18"/>
  <c r="AY7" i="18"/>
  <c r="AY8" i="18" s="1"/>
  <c r="AI6" i="18"/>
  <c r="AI7" i="18"/>
  <c r="AI8" i="18" s="1"/>
  <c r="C6" i="18"/>
  <c r="C7" i="18"/>
  <c r="C8" i="18" s="1"/>
  <c r="K13" i="21"/>
  <c r="I260" i="26" s="1"/>
  <c r="M260" i="26" s="1"/>
  <c r="O11" i="21"/>
  <c r="I426" i="26" s="1"/>
  <c r="F426" i="26" s="1"/>
  <c r="N36" i="21"/>
  <c r="I409" i="26" s="1"/>
  <c r="F409" i="26" s="1"/>
  <c r="K26" i="21"/>
  <c r="I273" i="26" s="1"/>
  <c r="M273" i="26" s="1"/>
  <c r="FB6" i="18"/>
  <c r="FB7" i="18"/>
  <c r="FB8" i="18" s="1"/>
  <c r="EL7" i="18"/>
  <c r="EL8" i="18" s="1"/>
  <c r="EL6" i="18"/>
  <c r="DV7" i="18"/>
  <c r="DV8" i="18" s="1"/>
  <c r="DV6" i="18"/>
  <c r="DA7" i="18"/>
  <c r="DA8" i="18" s="1"/>
  <c r="DA6" i="18"/>
  <c r="CK6" i="18"/>
  <c r="CK7" i="18"/>
  <c r="CK8" i="18" s="1"/>
  <c r="BU6" i="18"/>
  <c r="BU7" i="18"/>
  <c r="BU8" i="18" s="1"/>
  <c r="BE6" i="18"/>
  <c r="BE7" i="18"/>
  <c r="BE8" i="18" s="1"/>
  <c r="AO7" i="18"/>
  <c r="AO8" i="18" s="1"/>
  <c r="AO6" i="18"/>
  <c r="Y6" i="18"/>
  <c r="Y7" i="18"/>
  <c r="Y8" i="18" s="1"/>
  <c r="I7" i="18"/>
  <c r="I8" i="18" s="1"/>
  <c r="I6" i="18"/>
  <c r="FK7" i="18"/>
  <c r="FK8" i="18" s="1"/>
  <c r="FK6" i="18"/>
  <c r="EU6" i="18"/>
  <c r="EU7" i="18"/>
  <c r="EU8" i="18" s="1"/>
  <c r="EE7" i="18"/>
  <c r="EE8" i="18" s="1"/>
  <c r="EE6" i="18"/>
  <c r="DO6" i="18"/>
  <c r="DO7" i="18"/>
  <c r="DO8" i="18" s="1"/>
  <c r="CT7" i="18"/>
  <c r="CT8" i="18" s="1"/>
  <c r="CT6" i="18"/>
  <c r="CD6" i="18"/>
  <c r="CD7" i="18"/>
  <c r="CD8" i="18" s="1"/>
  <c r="BN6" i="18"/>
  <c r="BN7" i="18"/>
  <c r="BN8" i="18" s="1"/>
  <c r="AX6" i="18"/>
  <c r="AX7" i="18"/>
  <c r="AX8" i="18" s="1"/>
  <c r="AH6" i="18"/>
  <c r="AH7" i="18"/>
  <c r="AH8" i="18" s="1"/>
  <c r="R6" i="18"/>
  <c r="R7" i="18"/>
  <c r="R8" i="18" s="1"/>
  <c r="DJ7" i="18"/>
  <c r="DJ8" i="18" s="1"/>
  <c r="DJ6" i="18"/>
  <c r="FA7" i="18"/>
  <c r="FA8" i="18" s="1"/>
  <c r="FA6" i="18"/>
  <c r="EK7" i="18"/>
  <c r="EK8" i="18" s="1"/>
  <c r="EK6" i="18"/>
  <c r="DU7" i="18"/>
  <c r="DU8" i="18" s="1"/>
  <c r="DU6" i="18"/>
  <c r="CZ6" i="18"/>
  <c r="CZ7" i="18"/>
  <c r="CZ8" i="18" s="1"/>
  <c r="CJ7" i="18"/>
  <c r="CJ8" i="18" s="1"/>
  <c r="CJ6" i="18"/>
  <c r="BT6" i="18"/>
  <c r="BT7" i="18"/>
  <c r="BT8" i="18" s="1"/>
  <c r="BD7" i="18"/>
  <c r="BD8" i="18" s="1"/>
  <c r="BD6" i="18"/>
  <c r="AN6" i="18"/>
  <c r="AN7" i="18"/>
  <c r="AN8" i="18" s="1"/>
  <c r="X7" i="18"/>
  <c r="X8" i="18" s="1"/>
  <c r="X6" i="18"/>
  <c r="H6" i="18"/>
  <c r="H7" i="18"/>
  <c r="H8" i="18" s="1"/>
  <c r="FH7" i="18"/>
  <c r="FH8" i="18" s="1"/>
  <c r="FH6" i="18"/>
  <c r="ER7" i="18"/>
  <c r="ER8" i="18" s="1"/>
  <c r="ER6" i="18"/>
  <c r="EB6" i="18"/>
  <c r="EB7" i="18"/>
  <c r="EB8" i="18" s="1"/>
  <c r="DG7" i="18"/>
  <c r="DG8" i="18" s="1"/>
  <c r="DG6" i="18"/>
  <c r="CQ7" i="18"/>
  <c r="CQ8" i="18" s="1"/>
  <c r="CQ6" i="18"/>
  <c r="CA6" i="18"/>
  <c r="CA7" i="18"/>
  <c r="CA8" i="18" s="1"/>
  <c r="BK7" i="18"/>
  <c r="BK8" i="18" s="1"/>
  <c r="BK6" i="18"/>
  <c r="AU6" i="18"/>
  <c r="AU7" i="18"/>
  <c r="AU8" i="18" s="1"/>
  <c r="AE6" i="18"/>
  <c r="AE7" i="18"/>
  <c r="AE8" i="18" s="1"/>
  <c r="O7" i="18"/>
  <c r="O8" i="18" s="1"/>
  <c r="O6" i="18"/>
  <c r="DM7" i="18"/>
  <c r="DM8" i="18" s="1"/>
  <c r="DM6" i="18"/>
  <c r="G340" i="10"/>
  <c r="L340" i="10"/>
  <c r="Q340" i="10"/>
  <c r="X340" i="10"/>
  <c r="Z340" i="10"/>
  <c r="S340" i="10"/>
  <c r="Q38" i="21"/>
  <c r="I537" i="26" s="1"/>
  <c r="F537" i="26" s="1"/>
  <c r="N43" i="21"/>
  <c r="I416" i="26" s="1"/>
  <c r="M416" i="26" s="1"/>
  <c r="K15" i="21"/>
  <c r="I262" i="26" s="1"/>
  <c r="F262" i="26" s="1"/>
  <c r="N29" i="21"/>
  <c r="I402" i="26" s="1"/>
  <c r="F402" i="26" s="1"/>
  <c r="F34" i="21"/>
  <c r="I71" i="26" s="1"/>
  <c r="M71" i="26" s="1"/>
  <c r="H40" i="21"/>
  <c r="I161" i="26" s="1"/>
  <c r="F161" i="26" s="1"/>
  <c r="O10" i="21"/>
  <c r="I425" i="26" s="1"/>
  <c r="M425" i="26" s="1"/>
  <c r="S31" i="21"/>
  <c r="I614" i="26" s="1"/>
  <c r="M614" i="26" s="1"/>
  <c r="N35" i="21"/>
  <c r="I408" i="26" s="1"/>
  <c r="F408" i="26" s="1"/>
  <c r="G41" i="21"/>
  <c r="I120" i="26" s="1"/>
  <c r="M120" i="26" s="1"/>
  <c r="M17" i="21"/>
  <c r="I348" i="26" s="1"/>
  <c r="M348" i="26" s="1"/>
  <c r="J24" i="21"/>
  <c r="I229" i="26" s="1"/>
  <c r="F229" i="26" s="1"/>
  <c r="V31" i="21"/>
  <c r="I740" i="26" s="1"/>
  <c r="F740" i="26" s="1"/>
  <c r="T37" i="21"/>
  <c r="I662" i="26" s="1"/>
  <c r="F662" i="26" s="1"/>
  <c r="I25" i="21"/>
  <c r="I188" i="26" s="1"/>
  <c r="M188" i="26" s="1"/>
  <c r="M48" i="21"/>
  <c r="I379" i="26" s="1"/>
  <c r="F379" i="26" s="1"/>
  <c r="J12" i="21"/>
  <c r="I217" i="26" s="1"/>
  <c r="F217" i="26" s="1"/>
  <c r="Q9" i="21"/>
  <c r="I508" i="26" s="1"/>
  <c r="F508" i="26" s="1"/>
  <c r="U42" i="21"/>
  <c r="I709" i="26" s="1"/>
  <c r="Q25" i="21"/>
  <c r="I524" i="26" s="1"/>
  <c r="F524" i="26" s="1"/>
  <c r="H31" i="21"/>
  <c r="I152" i="26" s="1"/>
  <c r="F152" i="26" s="1"/>
  <c r="J19" i="21"/>
  <c r="I224" i="26" s="1"/>
  <c r="F224" i="26" s="1"/>
  <c r="I23" i="21"/>
  <c r="I186" i="26" s="1"/>
  <c r="F186" i="26" s="1"/>
  <c r="M8" i="21"/>
  <c r="I339" i="26" s="1"/>
  <c r="F339" i="26" s="1"/>
  <c r="F7" i="21"/>
  <c r="I44" i="26" s="1"/>
  <c r="M44" i="26" s="1"/>
  <c r="P14" i="21"/>
  <c r="I471" i="26" s="1"/>
  <c r="F471" i="26" s="1"/>
  <c r="V40" i="21"/>
  <c r="I749" i="26" s="1"/>
  <c r="M749" i="26" s="1"/>
  <c r="U28" i="21"/>
  <c r="I695" i="26" s="1"/>
  <c r="F695" i="26" s="1"/>
  <c r="I20" i="21"/>
  <c r="I183" i="26" s="1"/>
  <c r="F183" i="26" s="1"/>
  <c r="M15" i="21"/>
  <c r="I346" i="26" s="1"/>
  <c r="F346" i="26" s="1"/>
  <c r="Q21" i="21"/>
  <c r="I520" i="26" s="1"/>
  <c r="W9" i="21"/>
  <c r="I760" i="26" s="1"/>
  <c r="M760" i="26" s="1"/>
  <c r="M45" i="21"/>
  <c r="I376" i="26" s="1"/>
  <c r="M376" i="26" s="1"/>
  <c r="K47" i="21"/>
  <c r="I294" i="26" s="1"/>
  <c r="F294" i="26" s="1"/>
  <c r="T16" i="21"/>
  <c r="I641" i="26" s="1"/>
  <c r="F641" i="26" s="1"/>
  <c r="L45" i="21"/>
  <c r="I334" i="26" s="1"/>
  <c r="F334" i="26" s="1"/>
  <c r="K11" i="21"/>
  <c r="I258" i="26" s="1"/>
  <c r="F258" i="26" s="1"/>
  <c r="M258" i="26"/>
  <c r="O16" i="21"/>
  <c r="I431" i="26" s="1"/>
  <c r="M431" i="26" s="1"/>
  <c r="W47" i="21"/>
  <c r="I798" i="26" s="1"/>
  <c r="H48" i="21"/>
  <c r="I169" i="26" s="1"/>
  <c r="M169" i="26" s="1"/>
  <c r="F30" i="21"/>
  <c r="I67" i="26" s="1"/>
  <c r="F67" i="26" s="1"/>
  <c r="U27" i="21"/>
  <c r="I694" i="26" s="1"/>
  <c r="M694" i="26" s="1"/>
  <c r="F24" i="21"/>
  <c r="I61" i="26" s="1"/>
  <c r="R22" i="21"/>
  <c r="I563" i="26" s="1"/>
  <c r="M563" i="26" s="1"/>
  <c r="F12" i="21"/>
  <c r="I49" i="26" s="1"/>
  <c r="M49" i="26" s="1"/>
  <c r="J9" i="21"/>
  <c r="I214" i="26" s="1"/>
  <c r="F214" i="26" s="1"/>
  <c r="F26" i="21"/>
  <c r="I63" i="26" s="1"/>
  <c r="F47" i="21"/>
  <c r="I84" i="26" s="1"/>
  <c r="F84" i="26" s="1"/>
  <c r="T43" i="21"/>
  <c r="I668" i="26" s="1"/>
  <c r="M668" i="26" s="1"/>
  <c r="N47" i="21"/>
  <c r="I420" i="26" s="1"/>
  <c r="F420" i="26" s="1"/>
  <c r="S26" i="21"/>
  <c r="I609" i="26" s="1"/>
  <c r="L26" i="21"/>
  <c r="I315" i="26" s="1"/>
  <c r="F315" i="26" s="1"/>
  <c r="P36" i="21"/>
  <c r="I493" i="26" s="1"/>
  <c r="M493" i="26" s="1"/>
  <c r="T28" i="21"/>
  <c r="I653" i="26" s="1"/>
  <c r="M653" i="26" s="1"/>
  <c r="E24" i="21"/>
  <c r="I19" i="26" s="1"/>
  <c r="M19" i="26" s="1"/>
  <c r="G32" i="21"/>
  <c r="I111" i="26" s="1"/>
  <c r="M111" i="26" s="1"/>
  <c r="T34" i="21"/>
  <c r="I659" i="26" s="1"/>
  <c r="F659" i="26" s="1"/>
  <c r="I10" i="21"/>
  <c r="I173" i="26" s="1"/>
  <c r="F173" i="26" s="1"/>
  <c r="E34" i="21"/>
  <c r="I29" i="26" s="1"/>
  <c r="R32" i="21"/>
  <c r="I573" i="26" s="1"/>
  <c r="M573" i="26" s="1"/>
  <c r="U8" i="21"/>
  <c r="I675" i="26" s="1"/>
  <c r="F675" i="26" s="1"/>
  <c r="O23" i="21"/>
  <c r="I438" i="26" s="1"/>
  <c r="F438" i="26" s="1"/>
  <c r="M19" i="21"/>
  <c r="I350" i="26" s="1"/>
  <c r="K33" i="21"/>
  <c r="I280" i="26" s="1"/>
  <c r="M280" i="26" s="1"/>
  <c r="L18" i="21"/>
  <c r="I307" i="26" s="1"/>
  <c r="M307" i="26" s="1"/>
  <c r="L8" i="21"/>
  <c r="I297" i="26" s="1"/>
  <c r="F297" i="26" s="1"/>
  <c r="M38" i="21"/>
  <c r="I369" i="26" s="1"/>
  <c r="M369" i="26" s="1"/>
  <c r="J14" i="21"/>
  <c r="I219" i="26" s="1"/>
  <c r="M219" i="26" s="1"/>
  <c r="G18" i="21"/>
  <c r="I97" i="26" s="1"/>
  <c r="M97" i="26" s="1"/>
  <c r="M28" i="21"/>
  <c r="I359" i="26" s="1"/>
  <c r="M359" i="26" s="1"/>
  <c r="V36" i="21"/>
  <c r="I745" i="26" s="1"/>
  <c r="F745" i="26" s="1"/>
  <c r="E47" i="21"/>
  <c r="I42" i="26" s="1"/>
  <c r="F42" i="26" s="1"/>
  <c r="U34" i="21"/>
  <c r="I701" i="26" s="1"/>
  <c r="M701" i="26" s="1"/>
  <c r="K30" i="21"/>
  <c r="I277" i="26" s="1"/>
  <c r="M277" i="26" s="1"/>
  <c r="N14" i="21"/>
  <c r="I387" i="26" s="1"/>
  <c r="U15" i="21"/>
  <c r="I682" i="26" s="1"/>
  <c r="F682" i="26" s="1"/>
  <c r="L13" i="21"/>
  <c r="I302" i="26" s="1"/>
  <c r="F302" i="26" s="1"/>
  <c r="M302" i="26"/>
  <c r="R43" i="21"/>
  <c r="I584" i="26" s="1"/>
  <c r="M584" i="26" s="1"/>
  <c r="M26" i="21"/>
  <c r="I357" i="26" s="1"/>
  <c r="M357" i="26" s="1"/>
  <c r="Q40" i="21"/>
  <c r="I539" i="26" s="1"/>
  <c r="M539" i="26" s="1"/>
  <c r="V8" i="21"/>
  <c r="I717" i="26" s="1"/>
  <c r="M717" i="26" s="1"/>
  <c r="M32" i="21"/>
  <c r="I363" i="26" s="1"/>
  <c r="F363" i="26" s="1"/>
  <c r="P17" i="21"/>
  <c r="I474" i="26" s="1"/>
  <c r="O41" i="21"/>
  <c r="I456" i="26" s="1"/>
  <c r="F456" i="26" s="1"/>
  <c r="H21" i="21"/>
  <c r="I142" i="26" s="1"/>
  <c r="F142" i="26" s="1"/>
  <c r="N22" i="21"/>
  <c r="I395" i="26" s="1"/>
  <c r="M395" i="26" s="1"/>
  <c r="Q12" i="21"/>
  <c r="I511" i="26" s="1"/>
  <c r="F511" i="26" s="1"/>
  <c r="W34" i="21"/>
  <c r="I785" i="26" s="1"/>
  <c r="F785" i="26" s="1"/>
  <c r="W42" i="21"/>
  <c r="I793" i="26" s="1"/>
  <c r="M793" i="26" s="1"/>
  <c r="F19" i="21"/>
  <c r="I56" i="26" s="1"/>
  <c r="F56" i="26" s="1"/>
  <c r="G11" i="21"/>
  <c r="I90" i="26" s="1"/>
  <c r="M90" i="26" s="1"/>
  <c r="V11" i="21"/>
  <c r="I720" i="26" s="1"/>
  <c r="F720" i="26" s="1"/>
  <c r="U21" i="21"/>
  <c r="I688" i="26" s="1"/>
  <c r="F688" i="26" s="1"/>
  <c r="W31" i="21"/>
  <c r="I782" i="26" s="1"/>
  <c r="M782" i="26" s="1"/>
  <c r="I36" i="21"/>
  <c r="I199" i="26" s="1"/>
  <c r="J39" i="21"/>
  <c r="I244" i="26" s="1"/>
  <c r="F244" i="26" s="1"/>
  <c r="S35" i="21"/>
  <c r="I618" i="26" s="1"/>
  <c r="F618" i="26" s="1"/>
  <c r="T15" i="21"/>
  <c r="I640" i="26" s="1"/>
  <c r="M640" i="26" s="1"/>
  <c r="F15" i="21"/>
  <c r="I52" i="26" s="1"/>
  <c r="M52" i="26" s="1"/>
  <c r="Q30" i="21"/>
  <c r="I529" i="26" s="1"/>
  <c r="M529" i="26" s="1"/>
  <c r="L48" i="21"/>
  <c r="I337" i="26" s="1"/>
  <c r="M337" i="26" s="1"/>
  <c r="W38" i="21"/>
  <c r="I789" i="26" s="1"/>
  <c r="F789" i="26" s="1"/>
  <c r="N38" i="21"/>
  <c r="I411" i="26" s="1"/>
  <c r="M411" i="26" s="1"/>
  <c r="J28" i="21"/>
  <c r="I233" i="26" s="1"/>
  <c r="F233" i="26" s="1"/>
  <c r="R13" i="21"/>
  <c r="I554" i="26" s="1"/>
  <c r="M554" i="26" s="1"/>
  <c r="O29" i="21"/>
  <c r="I444" i="26" s="1"/>
  <c r="O37" i="21"/>
  <c r="I452" i="26" s="1"/>
  <c r="M452" i="26" s="1"/>
  <c r="R46" i="21"/>
  <c r="I587" i="26" s="1"/>
  <c r="F587" i="26" s="1"/>
  <c r="G9" i="21"/>
  <c r="I88" i="26" s="1"/>
  <c r="M88" i="26" s="1"/>
  <c r="V28" i="21"/>
  <c r="I737" i="26" s="1"/>
  <c r="M737" i="26" s="1"/>
  <c r="K8" i="21"/>
  <c r="I255" i="26" s="1"/>
  <c r="I47" i="21"/>
  <c r="I210" i="26" s="1"/>
  <c r="F210" i="26" s="1"/>
  <c r="J47" i="21"/>
  <c r="I252" i="26" s="1"/>
  <c r="F252" i="26" s="1"/>
  <c r="M24" i="21"/>
  <c r="I355" i="26" s="1"/>
  <c r="T46" i="21"/>
  <c r="I671" i="26" s="1"/>
  <c r="W10" i="21"/>
  <c r="I761" i="26" s="1"/>
  <c r="F761" i="26" s="1"/>
  <c r="P31" i="21"/>
  <c r="I488" i="26" s="1"/>
  <c r="F488" i="26" s="1"/>
  <c r="M35" i="21"/>
  <c r="I366" i="26" s="1"/>
  <c r="M366" i="26" s="1"/>
  <c r="H30" i="21"/>
  <c r="I151" i="26" s="1"/>
  <c r="G25" i="21"/>
  <c r="I104" i="26" s="1"/>
  <c r="F104" i="26" s="1"/>
  <c r="O9" i="21"/>
  <c r="I424" i="26" s="1"/>
  <c r="F424" i="26" s="1"/>
  <c r="L41" i="21"/>
  <c r="I330" i="26" s="1"/>
  <c r="F330" i="26" s="1"/>
  <c r="V45" i="21"/>
  <c r="I754" i="26" s="1"/>
  <c r="M754" i="26" s="1"/>
  <c r="T41" i="21"/>
  <c r="I666" i="26" s="1"/>
  <c r="F666" i="26" s="1"/>
  <c r="I9" i="21"/>
  <c r="I172" i="26" s="1"/>
  <c r="M172" i="26" s="1"/>
  <c r="K22" i="21"/>
  <c r="I269" i="26" s="1"/>
  <c r="O14" i="21"/>
  <c r="I429" i="26" s="1"/>
  <c r="G38" i="21"/>
  <c r="I117" i="26" s="1"/>
  <c r="M117" i="26" s="1"/>
  <c r="J44" i="21"/>
  <c r="I249" i="26" s="1"/>
  <c r="M249" i="26" s="1"/>
  <c r="U32" i="21"/>
  <c r="I699" i="26" s="1"/>
  <c r="M699" i="26" s="1"/>
  <c r="U23" i="21"/>
  <c r="I690" i="26" s="1"/>
  <c r="G47" i="21"/>
  <c r="I126" i="26" s="1"/>
  <c r="M126" i="26" s="1"/>
  <c r="Q22" i="21"/>
  <c r="I521" i="26" s="1"/>
  <c r="F521" i="26" s="1"/>
  <c r="N10" i="21"/>
  <c r="I383" i="26" s="1"/>
  <c r="F383" i="26" s="1"/>
  <c r="L33" i="21"/>
  <c r="I322" i="26" s="1"/>
  <c r="M322" i="26" s="1"/>
  <c r="R21" i="21"/>
  <c r="I562" i="26" s="1"/>
  <c r="M562" i="26" s="1"/>
  <c r="K17" i="21"/>
  <c r="I264" i="26" s="1"/>
  <c r="M264" i="26" s="1"/>
  <c r="Q31" i="21"/>
  <c r="I530" i="26" s="1"/>
  <c r="I31" i="21"/>
  <c r="I194" i="26" s="1"/>
  <c r="I18" i="21"/>
  <c r="I181" i="26" s="1"/>
  <c r="M181" i="26" s="1"/>
  <c r="E7" i="21"/>
  <c r="I2" i="26" s="1"/>
  <c r="F2" i="26" s="1"/>
  <c r="J26" i="21"/>
  <c r="I231" i="26" s="1"/>
  <c r="F231" i="26" s="1"/>
  <c r="L10" i="21"/>
  <c r="I299" i="26" s="1"/>
  <c r="V19" i="21"/>
  <c r="I728" i="26" s="1"/>
  <c r="M728" i="26" s="1"/>
  <c r="M41" i="21"/>
  <c r="I372" i="26" s="1"/>
  <c r="M372" i="26" s="1"/>
  <c r="S18" i="21"/>
  <c r="I601" i="26" s="1"/>
  <c r="M601" i="26" s="1"/>
  <c r="I30" i="21"/>
  <c r="I193" i="26" s="1"/>
  <c r="F193" i="26" s="1"/>
  <c r="N18" i="21"/>
  <c r="I391" i="26" s="1"/>
  <c r="F391" i="26" s="1"/>
  <c r="O27" i="21"/>
  <c r="I442" i="26" s="1"/>
  <c r="F442" i="26" s="1"/>
  <c r="P23" i="21"/>
  <c r="I480" i="26" s="1"/>
  <c r="I322" i="10"/>
  <c r="I324" i="10"/>
  <c r="E322" i="10"/>
  <c r="E324" i="10"/>
  <c r="M324" i="10"/>
  <c r="M322" i="10"/>
  <c r="K322" i="10"/>
  <c r="K324" i="10"/>
  <c r="X324" i="10"/>
  <c r="X322" i="10"/>
  <c r="L324" i="10"/>
  <c r="L322" i="10"/>
  <c r="F44" i="21"/>
  <c r="I81" i="26" s="1"/>
  <c r="M81" i="26" s="1"/>
  <c r="F42" i="21"/>
  <c r="I79" i="26" s="1"/>
  <c r="M79" i="26" s="1"/>
  <c r="E40" i="21"/>
  <c r="I35" i="26" s="1"/>
  <c r="F35" i="26" s="1"/>
  <c r="P10" i="21"/>
  <c r="I467" i="26" s="1"/>
  <c r="G45" i="21"/>
  <c r="I124" i="26" s="1"/>
  <c r="N41" i="21"/>
  <c r="I414" i="26" s="1"/>
  <c r="M414" i="26" s="1"/>
  <c r="I15" i="21"/>
  <c r="I178" i="26" s="1"/>
  <c r="M178" i="26" s="1"/>
  <c r="E19" i="21"/>
  <c r="I14" i="26" s="1"/>
  <c r="F14" i="26" s="1"/>
  <c r="T20" i="21"/>
  <c r="I645" i="26" s="1"/>
  <c r="M645" i="26" s="1"/>
  <c r="L21" i="21"/>
  <c r="I310" i="26" s="1"/>
  <c r="F310" i="26" s="1"/>
  <c r="W43" i="21"/>
  <c r="I794" i="26" s="1"/>
  <c r="M794" i="26" s="1"/>
  <c r="H15" i="21"/>
  <c r="I136" i="26" s="1"/>
  <c r="F136" i="26" s="1"/>
  <c r="N26" i="21"/>
  <c r="I399" i="26" s="1"/>
  <c r="F399" i="26" s="1"/>
  <c r="J16" i="21"/>
  <c r="I221" i="26" s="1"/>
  <c r="M221" i="26" s="1"/>
  <c r="P38" i="21"/>
  <c r="I495" i="26" s="1"/>
  <c r="F495" i="26" s="1"/>
  <c r="N9" i="21"/>
  <c r="I382" i="26" s="1"/>
  <c r="M382" i="26" s="1"/>
  <c r="S30" i="21"/>
  <c r="I613" i="26" s="1"/>
  <c r="F613" i="26" s="1"/>
  <c r="H43" i="21"/>
  <c r="I164" i="26" s="1"/>
  <c r="M164" i="26" s="1"/>
  <c r="F38" i="21"/>
  <c r="I75" i="26" s="1"/>
  <c r="M75" i="26" s="1"/>
  <c r="E27" i="21"/>
  <c r="I22" i="26" s="1"/>
  <c r="M22" i="26" s="1"/>
  <c r="F22" i="26"/>
  <c r="V47" i="21"/>
  <c r="I756" i="26" s="1"/>
  <c r="M756" i="26" s="1"/>
  <c r="P8" i="21"/>
  <c r="I465" i="26" s="1"/>
  <c r="F465" i="26" s="1"/>
  <c r="H23" i="21"/>
  <c r="I144" i="26" s="1"/>
  <c r="M144" i="26" s="1"/>
  <c r="R36" i="21"/>
  <c r="I577" i="26" s="1"/>
  <c r="M577" i="26" s="1"/>
  <c r="T24" i="21"/>
  <c r="I649" i="26" s="1"/>
  <c r="V16" i="21"/>
  <c r="I725" i="26" s="1"/>
  <c r="M725" i="26" s="1"/>
  <c r="L39" i="21"/>
  <c r="I328" i="26" s="1"/>
  <c r="F328" i="26" s="1"/>
  <c r="V25" i="21"/>
  <c r="I734" i="26" s="1"/>
  <c r="F734" i="26" s="1"/>
  <c r="Q47" i="21"/>
  <c r="I546" i="26" s="1"/>
  <c r="Q43" i="21"/>
  <c r="I542" i="26" s="1"/>
  <c r="M542" i="26" s="1"/>
  <c r="Q14" i="21"/>
  <c r="I513" i="26" s="1"/>
  <c r="M513" i="26" s="1"/>
  <c r="H16" i="21"/>
  <c r="I137" i="26" s="1"/>
  <c r="F137" i="26" s="1"/>
  <c r="U16" i="21"/>
  <c r="I683" i="26" s="1"/>
  <c r="J36" i="21"/>
  <c r="I241" i="26" s="1"/>
  <c r="F241" i="26" s="1"/>
  <c r="E17" i="21"/>
  <c r="I12" i="26" s="1"/>
  <c r="M12" i="26" s="1"/>
  <c r="G24" i="21"/>
  <c r="I103" i="26" s="1"/>
  <c r="F103" i="26" s="1"/>
  <c r="E13" i="21"/>
  <c r="I8" i="26" s="1"/>
  <c r="R40" i="21"/>
  <c r="I581" i="26" s="1"/>
  <c r="F581" i="26" s="1"/>
  <c r="H9" i="21"/>
  <c r="I130" i="26" s="1"/>
  <c r="M130" i="26" s="1"/>
  <c r="R30" i="21"/>
  <c r="I571" i="26" s="1"/>
  <c r="F571" i="26" s="1"/>
  <c r="O34" i="21"/>
  <c r="I449" i="26" s="1"/>
  <c r="O19" i="21"/>
  <c r="I434" i="26" s="1"/>
  <c r="M434" i="26" s="1"/>
  <c r="E28" i="21"/>
  <c r="I23" i="26" s="1"/>
  <c r="F23" i="26" s="1"/>
  <c r="Q16" i="21"/>
  <c r="I515" i="26" s="1"/>
  <c r="M515" i="26" s="1"/>
  <c r="T8" i="21"/>
  <c r="I633" i="26" s="1"/>
  <c r="S21" i="21"/>
  <c r="I604" i="26" s="1"/>
  <c r="M604" i="26" s="1"/>
  <c r="K45" i="21"/>
  <c r="I292" i="26" s="1"/>
  <c r="M292" i="26" s="1"/>
  <c r="H38" i="21"/>
  <c r="I159" i="26" s="1"/>
  <c r="F159" i="26" s="1"/>
  <c r="T11" i="21"/>
  <c r="I636" i="26" s="1"/>
  <c r="F636" i="26" s="1"/>
  <c r="L34" i="21"/>
  <c r="I323" i="26" s="1"/>
  <c r="M323" i="26" s="1"/>
  <c r="FF7" i="18"/>
  <c r="FF8" i="18" s="1"/>
  <c r="FF6" i="18"/>
  <c r="DZ7" i="18"/>
  <c r="DZ8" i="18" s="1"/>
  <c r="DZ6" i="18"/>
  <c r="CO6" i="18"/>
  <c r="CO7" i="18"/>
  <c r="CO8" i="18" s="1"/>
  <c r="BI7" i="18"/>
  <c r="BI8" i="18" s="1"/>
  <c r="BI6" i="18"/>
  <c r="AC6" i="18"/>
  <c r="AC7" i="18"/>
  <c r="AC8" i="18" s="1"/>
  <c r="DN6" i="18"/>
  <c r="DN7" i="18"/>
  <c r="DN8" i="18" s="1"/>
  <c r="EI6" i="18"/>
  <c r="EI7" i="18"/>
  <c r="EI8" i="18" s="1"/>
  <c r="DS7" i="18"/>
  <c r="DS8" i="18" s="1"/>
  <c r="DS6" i="18"/>
  <c r="CX7" i="18"/>
  <c r="CX8" i="18" s="1"/>
  <c r="CX6" i="18"/>
  <c r="BR7" i="18"/>
  <c r="BR8" i="18" s="1"/>
  <c r="BR6" i="18"/>
  <c r="AL7" i="18"/>
  <c r="AL8" i="18" s="1"/>
  <c r="AL6" i="18"/>
  <c r="F6" i="18"/>
  <c r="F7" i="18"/>
  <c r="F8" i="18" s="1"/>
  <c r="EO7" i="18"/>
  <c r="EO8" i="18" s="1"/>
  <c r="EO6" i="18"/>
  <c r="DD7" i="18"/>
  <c r="DD8" i="18" s="1"/>
  <c r="DD6" i="18"/>
  <c r="BX7" i="18"/>
  <c r="BX8" i="18" s="1"/>
  <c r="BX6" i="18"/>
  <c r="AR7" i="18"/>
  <c r="AR8" i="18" s="1"/>
  <c r="AR6" i="18"/>
  <c r="AB7" i="18"/>
  <c r="AB8" i="18" s="1"/>
  <c r="AB6" i="18"/>
  <c r="FL7" i="18"/>
  <c r="FL8" i="18" s="1"/>
  <c r="FL6" i="18"/>
  <c r="EF7" i="18"/>
  <c r="EF8" i="18" s="1"/>
  <c r="EF6" i="18"/>
  <c r="DP6" i="18"/>
  <c r="DP7" i="18"/>
  <c r="DP8" i="18" s="1"/>
  <c r="CU7" i="18"/>
  <c r="CU8" i="18" s="1"/>
  <c r="CU6" i="18"/>
  <c r="BO7" i="18"/>
  <c r="BO8" i="18" s="1"/>
  <c r="BO6" i="18"/>
  <c r="S6" i="18"/>
  <c r="S7" i="18"/>
  <c r="S8" i="18" s="1"/>
  <c r="K40" i="21"/>
  <c r="I287" i="26" s="1"/>
  <c r="H42" i="21"/>
  <c r="I163" i="26" s="1"/>
  <c r="F163" i="26" s="1"/>
  <c r="FN7" i="18"/>
  <c r="FN8" i="18" s="1"/>
  <c r="FN6" i="18"/>
  <c r="EX7" i="18"/>
  <c r="EX8" i="18" s="1"/>
  <c r="EX6" i="18"/>
  <c r="EH6" i="18"/>
  <c r="EH7" i="18"/>
  <c r="EH8" i="18" s="1"/>
  <c r="DR6" i="18"/>
  <c r="DR7" i="18"/>
  <c r="DR8" i="18" s="1"/>
  <c r="CW7" i="18"/>
  <c r="CW8" i="18" s="1"/>
  <c r="CW6" i="18"/>
  <c r="CG6" i="18"/>
  <c r="CG7" i="18"/>
  <c r="CG8" i="18" s="1"/>
  <c r="BQ6" i="18"/>
  <c r="BQ7" i="18"/>
  <c r="BQ8" i="18" s="1"/>
  <c r="BA7" i="18"/>
  <c r="BA8" i="18" s="1"/>
  <c r="BA6" i="18"/>
  <c r="AK7" i="18"/>
  <c r="AK8" i="18" s="1"/>
  <c r="AK6" i="18"/>
  <c r="U7" i="18"/>
  <c r="U8" i="18" s="1"/>
  <c r="U6" i="18"/>
  <c r="E7" i="18"/>
  <c r="E8" i="18" s="1"/>
  <c r="E6" i="18"/>
  <c r="FG7" i="18"/>
  <c r="FG8" i="18" s="1"/>
  <c r="FG6" i="18"/>
  <c r="EQ6" i="18"/>
  <c r="EQ7" i="18"/>
  <c r="EQ8" i="18" s="1"/>
  <c r="EA6" i="18"/>
  <c r="EA7" i="18"/>
  <c r="EA8" i="18" s="1"/>
  <c r="DF6" i="18"/>
  <c r="DF7" i="18"/>
  <c r="DF8" i="18" s="1"/>
  <c r="CP7" i="18"/>
  <c r="CP8" i="18" s="1"/>
  <c r="CP6" i="18"/>
  <c r="BZ7" i="18"/>
  <c r="BZ8" i="18" s="1"/>
  <c r="BZ6" i="18"/>
  <c r="BJ6" i="18"/>
  <c r="BJ7" i="18"/>
  <c r="BJ8" i="18" s="1"/>
  <c r="AT7" i="18"/>
  <c r="AT8" i="18" s="1"/>
  <c r="AT6" i="18"/>
  <c r="AD6" i="18"/>
  <c r="AD7" i="18"/>
  <c r="AD8" i="18" s="1"/>
  <c r="N7" i="18"/>
  <c r="N8" i="18" s="1"/>
  <c r="N6" i="18"/>
  <c r="FM7" i="18"/>
  <c r="FM8" i="18" s="1"/>
  <c r="FM6" i="18"/>
  <c r="EW7" i="18"/>
  <c r="EW8" i="18" s="1"/>
  <c r="EW6" i="18"/>
  <c r="EG7" i="18"/>
  <c r="EG8" i="18" s="1"/>
  <c r="EG6" i="18"/>
  <c r="DQ7" i="18"/>
  <c r="DQ8" i="18" s="1"/>
  <c r="DQ6" i="18"/>
  <c r="CV6" i="18"/>
  <c r="CV7" i="18"/>
  <c r="CV8" i="18" s="1"/>
  <c r="CF6" i="18"/>
  <c r="CF7" i="18"/>
  <c r="CF8" i="18" s="1"/>
  <c r="BP6" i="18"/>
  <c r="BP7" i="18"/>
  <c r="BP8" i="18" s="1"/>
  <c r="AZ7" i="18"/>
  <c r="AZ8" i="18" s="1"/>
  <c r="AZ6" i="18"/>
  <c r="AJ7" i="18"/>
  <c r="AJ8" i="18" s="1"/>
  <c r="AJ6" i="18"/>
  <c r="T7" i="18"/>
  <c r="T8" i="18" s="1"/>
  <c r="T6" i="18"/>
  <c r="D7" i="18"/>
  <c r="D8" i="18" s="1"/>
  <c r="D6" i="18"/>
  <c r="FD6" i="18"/>
  <c r="FD7" i="18"/>
  <c r="FD8" i="18" s="1"/>
  <c r="EN6" i="18"/>
  <c r="EN7" i="18"/>
  <c r="EN8" i="18" s="1"/>
  <c r="DX6" i="18"/>
  <c r="DX7" i="18"/>
  <c r="DX8" i="18" s="1"/>
  <c r="DC7" i="18"/>
  <c r="DC8" i="18" s="1"/>
  <c r="DC6" i="18"/>
  <c r="CM7" i="18"/>
  <c r="CM8" i="18" s="1"/>
  <c r="CM6" i="18"/>
  <c r="BW7" i="18"/>
  <c r="BW8" i="18" s="1"/>
  <c r="BW6" i="18"/>
  <c r="BG7" i="18"/>
  <c r="BG8" i="18" s="1"/>
  <c r="BG6" i="18"/>
  <c r="AQ7" i="18"/>
  <c r="AQ8" i="18" s="1"/>
  <c r="AQ6" i="18"/>
  <c r="AA6" i="18"/>
  <c r="AA7" i="18"/>
  <c r="AA8" i="18" s="1"/>
  <c r="K7" i="18"/>
  <c r="K8" i="18" s="1"/>
  <c r="K6" i="18"/>
  <c r="W340" i="10"/>
  <c r="K42" i="21"/>
  <c r="I289" i="26" s="1"/>
  <c r="M289" i="26" s="1"/>
  <c r="N44" i="21"/>
  <c r="I417" i="26" s="1"/>
  <c r="F417" i="26" s="1"/>
  <c r="K14" i="21"/>
  <c r="I261" i="26" s="1"/>
  <c r="F261" i="26" s="1"/>
  <c r="N31" i="21"/>
  <c r="I404" i="26" s="1"/>
  <c r="M404" i="26" s="1"/>
  <c r="F36" i="21"/>
  <c r="I73" i="26" s="1"/>
  <c r="F73" i="26" s="1"/>
  <c r="H41" i="21"/>
  <c r="I162" i="26" s="1"/>
  <c r="M162" i="26" s="1"/>
  <c r="V39" i="21"/>
  <c r="I748" i="26" s="1"/>
  <c r="M748" i="26" s="1"/>
  <c r="S33" i="21"/>
  <c r="I616" i="26" s="1"/>
  <c r="N34" i="21"/>
  <c r="I407" i="26" s="1"/>
  <c r="F407" i="26" s="1"/>
  <c r="K27" i="21"/>
  <c r="I274" i="26" s="1"/>
  <c r="M274" i="26" s="1"/>
  <c r="M18" i="21"/>
  <c r="I349" i="26" s="1"/>
  <c r="J23" i="21"/>
  <c r="I228" i="26" s="1"/>
  <c r="Q35" i="21"/>
  <c r="I534" i="26" s="1"/>
  <c r="M534" i="26" s="1"/>
  <c r="T39" i="21"/>
  <c r="I664" i="26" s="1"/>
  <c r="M664" i="26" s="1"/>
  <c r="I27" i="21"/>
  <c r="I190" i="26" s="1"/>
  <c r="M190" i="26" s="1"/>
  <c r="U11" i="21"/>
  <c r="I678" i="26" s="1"/>
  <c r="F678" i="26" s="1"/>
  <c r="J11" i="21"/>
  <c r="I216" i="26" s="1"/>
  <c r="F216" i="26" s="1"/>
  <c r="Q8" i="21"/>
  <c r="I507" i="26" s="1"/>
  <c r="M507" i="26" s="1"/>
  <c r="R11" i="21"/>
  <c r="I552" i="26" s="1"/>
  <c r="F552" i="26" s="1"/>
  <c r="Q27" i="21"/>
  <c r="I526" i="26" s="1"/>
  <c r="M526" i="26" s="1"/>
  <c r="H33" i="21"/>
  <c r="I154" i="26" s="1"/>
  <c r="M154" i="26" s="1"/>
  <c r="E45" i="21"/>
  <c r="I40" i="26" s="1"/>
  <c r="F40" i="26" s="1"/>
  <c r="I22" i="21"/>
  <c r="I185" i="26" s="1"/>
  <c r="M185" i="26" s="1"/>
  <c r="M7" i="21"/>
  <c r="I338" i="26" s="1"/>
  <c r="G13" i="21"/>
  <c r="I92" i="26" s="1"/>
  <c r="F92" i="26" s="1"/>
  <c r="P15" i="21"/>
  <c r="I472" i="26" s="1"/>
  <c r="M472" i="26" s="1"/>
  <c r="V42" i="21"/>
  <c r="I751" i="26" s="1"/>
  <c r="F751" i="26" s="1"/>
  <c r="P30" i="21"/>
  <c r="I487" i="26" s="1"/>
  <c r="I19" i="21"/>
  <c r="I182" i="26" s="1"/>
  <c r="F182" i="26" s="1"/>
  <c r="M13" i="21"/>
  <c r="I344" i="26" s="1"/>
  <c r="F344" i="26" s="1"/>
  <c r="S46" i="21"/>
  <c r="I629" i="26" s="1"/>
  <c r="F629" i="26" s="1"/>
  <c r="W7" i="21"/>
  <c r="I758" i="26" s="1"/>
  <c r="M44" i="21"/>
  <c r="I375" i="26" s="1"/>
  <c r="F375" i="26" s="1"/>
  <c r="M11" i="21"/>
  <c r="I342" i="26" s="1"/>
  <c r="F342" i="26" s="1"/>
  <c r="T18" i="21"/>
  <c r="I643" i="26" s="1"/>
  <c r="F643" i="26" s="1"/>
  <c r="L44" i="21"/>
  <c r="I333" i="26" s="1"/>
  <c r="F333" i="26" s="1"/>
  <c r="F33" i="21"/>
  <c r="I70" i="26" s="1"/>
  <c r="F70" i="26" s="1"/>
  <c r="O18" i="21"/>
  <c r="I433" i="26" s="1"/>
  <c r="F433" i="26" s="1"/>
  <c r="W48" i="21"/>
  <c r="I799" i="26" s="1"/>
  <c r="M799" i="26" s="1"/>
  <c r="S13" i="21"/>
  <c r="I596" i="26" s="1"/>
  <c r="F28" i="21"/>
  <c r="I65" i="26" s="1"/>
  <c r="F65" i="26" s="1"/>
  <c r="U26" i="21"/>
  <c r="I693" i="26" s="1"/>
  <c r="F693" i="26" s="1"/>
  <c r="G29" i="21"/>
  <c r="I108" i="26" s="1"/>
  <c r="F108" i="26" s="1"/>
  <c r="R23" i="21"/>
  <c r="I564" i="26" s="1"/>
  <c r="F10" i="21"/>
  <c r="I47" i="26" s="1"/>
  <c r="F47" i="26" s="1"/>
  <c r="S7" i="21"/>
  <c r="I590" i="26" s="1"/>
  <c r="M590" i="26" s="1"/>
  <c r="F27" i="21"/>
  <c r="I64" i="26" s="1"/>
  <c r="M64" i="26" s="1"/>
  <c r="F48" i="21"/>
  <c r="I85" i="26" s="1"/>
  <c r="F85" i="26" s="1"/>
  <c r="L28" i="21"/>
  <c r="I317" i="26" s="1"/>
  <c r="F317" i="26" s="1"/>
  <c r="N48" i="21"/>
  <c r="I421" i="26" s="1"/>
  <c r="F421" i="26" s="1"/>
  <c r="S27" i="21"/>
  <c r="I610" i="26" s="1"/>
  <c r="M610" i="26" s="1"/>
  <c r="S39" i="21"/>
  <c r="I622" i="26" s="1"/>
  <c r="F622" i="26" s="1"/>
  <c r="P34" i="21"/>
  <c r="I491" i="26" s="1"/>
  <c r="M491" i="26" s="1"/>
  <c r="T29" i="21"/>
  <c r="I654" i="26" s="1"/>
  <c r="F654" i="26" s="1"/>
  <c r="K38" i="21"/>
  <c r="I285" i="26" s="1"/>
  <c r="M285" i="26" s="1"/>
  <c r="G31" i="21"/>
  <c r="I110" i="26" s="1"/>
  <c r="M110" i="26" s="1"/>
  <c r="T36" i="21"/>
  <c r="I661" i="26" s="1"/>
  <c r="F661" i="26" s="1"/>
  <c r="I41" i="21"/>
  <c r="I204" i="26" s="1"/>
  <c r="M204" i="26" s="1"/>
  <c r="E35" i="21"/>
  <c r="I30" i="26" s="1"/>
  <c r="F30" i="26" s="1"/>
  <c r="R31" i="21"/>
  <c r="I572" i="26" s="1"/>
  <c r="E37" i="21"/>
  <c r="I32" i="26" s="1"/>
  <c r="F32" i="26" s="1"/>
  <c r="O22" i="21"/>
  <c r="I437" i="26" s="1"/>
  <c r="F437" i="26" s="1"/>
  <c r="M21" i="21"/>
  <c r="I352" i="26" s="1"/>
  <c r="F352" i="26" s="1"/>
  <c r="H25" i="21"/>
  <c r="I146" i="26" s="1"/>
  <c r="L16" i="21"/>
  <c r="I305" i="26" s="1"/>
  <c r="F305" i="26" s="1"/>
  <c r="L9" i="21"/>
  <c r="I298" i="26" s="1"/>
  <c r="M298" i="26" s="1"/>
  <c r="K34" i="21"/>
  <c r="I281" i="26" s="1"/>
  <c r="M281" i="26" s="1"/>
  <c r="J15" i="21"/>
  <c r="I220" i="26" s="1"/>
  <c r="G16" i="21"/>
  <c r="I95" i="26" s="1"/>
  <c r="F95" i="26" s="1"/>
  <c r="U46" i="21"/>
  <c r="I713" i="26" s="1"/>
  <c r="F713" i="26" s="1"/>
  <c r="V34" i="21"/>
  <c r="I743" i="26" s="1"/>
  <c r="F743" i="26" s="1"/>
  <c r="E48" i="21"/>
  <c r="I43" i="26" s="1"/>
  <c r="F43" i="26" s="1"/>
  <c r="U37" i="21"/>
  <c r="I704" i="26" s="1"/>
  <c r="F704" i="26" s="1"/>
  <c r="K29" i="21"/>
  <c r="I276" i="26" s="1"/>
  <c r="M276" i="26" s="1"/>
  <c r="N15" i="21"/>
  <c r="I388" i="26" s="1"/>
  <c r="F388" i="26" s="1"/>
  <c r="R16" i="21"/>
  <c r="I557" i="26" s="1"/>
  <c r="L15" i="21"/>
  <c r="I304" i="26" s="1"/>
  <c r="M304" i="26" s="1"/>
  <c r="R45" i="21"/>
  <c r="I586" i="26" s="1"/>
  <c r="F586" i="26" s="1"/>
  <c r="S45" i="21"/>
  <c r="I628" i="26" s="1"/>
  <c r="F628" i="26" s="1"/>
  <c r="Q42" i="21"/>
  <c r="I541" i="26" s="1"/>
  <c r="V7" i="21"/>
  <c r="I716" i="26" s="1"/>
  <c r="M716" i="26" s="1"/>
  <c r="W17" i="21"/>
  <c r="I768" i="26" s="1"/>
  <c r="F768" i="26" s="1"/>
  <c r="P18" i="21"/>
  <c r="I475" i="26" s="1"/>
  <c r="F475" i="26" s="1"/>
  <c r="O40" i="21"/>
  <c r="I455" i="26" s="1"/>
  <c r="F455" i="26" s="1"/>
  <c r="L24" i="21"/>
  <c r="I313" i="26" s="1"/>
  <c r="F313" i="26" s="1"/>
  <c r="N24" i="21"/>
  <c r="I397" i="26" s="1"/>
  <c r="M397" i="26" s="1"/>
  <c r="Q10" i="21"/>
  <c r="I509" i="26" s="1"/>
  <c r="M509" i="26" s="1"/>
  <c r="R38" i="21"/>
  <c r="I579" i="26" s="1"/>
  <c r="W41" i="21"/>
  <c r="I792" i="26" s="1"/>
  <c r="M792" i="26" s="1"/>
  <c r="F21" i="21"/>
  <c r="I58" i="26" s="1"/>
  <c r="M58" i="26" s="1"/>
  <c r="K20" i="21"/>
  <c r="I267" i="26" s="1"/>
  <c r="M267" i="26" s="1"/>
  <c r="V10" i="21"/>
  <c r="I719" i="26" s="1"/>
  <c r="U19" i="21"/>
  <c r="I686" i="26" s="1"/>
  <c r="F686" i="26" s="1"/>
  <c r="O45" i="21"/>
  <c r="I460" i="26" s="1"/>
  <c r="M460" i="26" s="1"/>
  <c r="I35" i="21"/>
  <c r="I198" i="26" s="1"/>
  <c r="M198" i="26" s="1"/>
  <c r="J37" i="21"/>
  <c r="I242" i="26" s="1"/>
  <c r="F242" i="26" s="1"/>
  <c r="S12" i="21"/>
  <c r="I595" i="26" s="1"/>
  <c r="F595" i="26" s="1"/>
  <c r="T13" i="21"/>
  <c r="I638" i="26" s="1"/>
  <c r="F638" i="26" s="1"/>
  <c r="F13" i="21"/>
  <c r="I50" i="26" s="1"/>
  <c r="F50" i="26" s="1"/>
  <c r="W13" i="21"/>
  <c r="I764" i="26" s="1"/>
  <c r="W39" i="21"/>
  <c r="I790" i="26" s="1"/>
  <c r="M790" i="26" s="1"/>
  <c r="N39" i="21"/>
  <c r="I412" i="26" s="1"/>
  <c r="F412" i="26" s="1"/>
  <c r="W25" i="21"/>
  <c r="I776" i="26" s="1"/>
  <c r="M776" i="26" s="1"/>
  <c r="R14" i="21"/>
  <c r="I555" i="26" s="1"/>
  <c r="O30" i="21"/>
  <c r="I445" i="26" s="1"/>
  <c r="M445" i="26" s="1"/>
  <c r="P19" i="21"/>
  <c r="I476" i="26" s="1"/>
  <c r="F476" i="26" s="1"/>
  <c r="R48" i="21"/>
  <c r="I589" i="26" s="1"/>
  <c r="M589" i="26" s="1"/>
  <c r="G8" i="21"/>
  <c r="I87" i="26" s="1"/>
  <c r="M87" i="26" s="1"/>
  <c r="W21" i="21"/>
  <c r="I772" i="26" s="1"/>
  <c r="F772" i="26" s="1"/>
  <c r="K9" i="21"/>
  <c r="I256" i="26" s="1"/>
  <c r="M256" i="26" s="1"/>
  <c r="I48" i="21"/>
  <c r="I211" i="26" s="1"/>
  <c r="U45" i="21"/>
  <c r="I712" i="26" s="1"/>
  <c r="M23" i="21"/>
  <c r="I354" i="26" s="1"/>
  <c r="M354" i="26" s="1"/>
  <c r="T47" i="21"/>
  <c r="I672" i="26" s="1"/>
  <c r="F672" i="26" s="1"/>
  <c r="O47" i="21"/>
  <c r="I462" i="26" s="1"/>
  <c r="P32" i="21"/>
  <c r="I489" i="26" s="1"/>
  <c r="M36" i="21"/>
  <c r="I367" i="26" s="1"/>
  <c r="F367" i="26" s="1"/>
  <c r="V14" i="21"/>
  <c r="I723" i="26" s="1"/>
  <c r="F723" i="26" s="1"/>
  <c r="G27" i="21"/>
  <c r="I106" i="26" s="1"/>
  <c r="F106" i="26" s="1"/>
  <c r="O7" i="21"/>
  <c r="I422" i="26" s="1"/>
  <c r="F422" i="26" s="1"/>
  <c r="S23" i="21"/>
  <c r="I606" i="26" s="1"/>
  <c r="M606" i="26" s="1"/>
  <c r="V44" i="21"/>
  <c r="I753" i="26" s="1"/>
  <c r="M753" i="26" s="1"/>
  <c r="T42" i="21"/>
  <c r="I667" i="26" s="1"/>
  <c r="F667" i="26" s="1"/>
  <c r="P44" i="21"/>
  <c r="I501" i="26" s="1"/>
  <c r="M501" i="26" s="1"/>
  <c r="K24" i="21"/>
  <c r="I271" i="26" s="1"/>
  <c r="M271" i="26" s="1"/>
  <c r="O13" i="21"/>
  <c r="I428" i="26" s="1"/>
  <c r="M428" i="26" s="1"/>
  <c r="W24" i="21"/>
  <c r="I775" i="26" s="1"/>
  <c r="F775" i="26" s="1"/>
  <c r="J45" i="21"/>
  <c r="I250" i="26" s="1"/>
  <c r="U31" i="21"/>
  <c r="I698" i="26" s="1"/>
  <c r="F698" i="26" s="1"/>
  <c r="E31" i="21"/>
  <c r="I26" i="26" s="1"/>
  <c r="M26" i="26" s="1"/>
  <c r="G48" i="21"/>
  <c r="I127" i="26" s="1"/>
  <c r="Q24" i="21"/>
  <c r="I523" i="26" s="1"/>
  <c r="G19" i="21"/>
  <c r="I98" i="26" s="1"/>
  <c r="M98" i="26" s="1"/>
  <c r="L32" i="21"/>
  <c r="I321" i="26" s="1"/>
  <c r="M321" i="26" s="1"/>
  <c r="R20" i="21"/>
  <c r="I561" i="26" s="1"/>
  <c r="M561" i="26" s="1"/>
  <c r="P41" i="21"/>
  <c r="I498" i="26" s="1"/>
  <c r="Q32" i="21"/>
  <c r="I531" i="26" s="1"/>
  <c r="M531" i="26" s="1"/>
  <c r="I33" i="21"/>
  <c r="I196" i="26" s="1"/>
  <c r="F196" i="26" s="1"/>
  <c r="V23" i="21"/>
  <c r="I732" i="26" s="1"/>
  <c r="F732" i="26" s="1"/>
  <c r="E8" i="21"/>
  <c r="I3" i="26" s="1"/>
  <c r="J27" i="21"/>
  <c r="I232" i="26" s="1"/>
  <c r="F232" i="26" s="1"/>
  <c r="R27" i="21"/>
  <c r="I568" i="26" s="1"/>
  <c r="M568" i="26" s="1"/>
  <c r="V20" i="21"/>
  <c r="I729" i="26" s="1"/>
  <c r="M729" i="26" s="1"/>
  <c r="M42" i="21"/>
  <c r="I373" i="26" s="1"/>
  <c r="F373" i="26" s="1"/>
  <c r="G36" i="21"/>
  <c r="I115" i="26" s="1"/>
  <c r="F115" i="26" s="1"/>
  <c r="I29" i="21"/>
  <c r="I192" i="26" s="1"/>
  <c r="F192" i="26" s="1"/>
  <c r="N17" i="21"/>
  <c r="I390" i="26" s="1"/>
  <c r="F390" i="26" s="1"/>
  <c r="H34" i="21"/>
  <c r="I155" i="26" s="1"/>
  <c r="M155" i="26" s="1"/>
  <c r="P22" i="21"/>
  <c r="I479" i="26" s="1"/>
  <c r="F479" i="26" s="1"/>
  <c r="J322" i="10"/>
  <c r="J324" i="10"/>
  <c r="U324" i="10"/>
  <c r="U322" i="10"/>
  <c r="G324" i="10"/>
  <c r="G322" i="10"/>
  <c r="F322" i="10"/>
  <c r="F324" i="10"/>
  <c r="H324" i="10"/>
  <c r="H322" i="10"/>
  <c r="V322" i="10"/>
  <c r="V324" i="10"/>
  <c r="F45" i="21"/>
  <c r="I82" i="26" s="1"/>
  <c r="M82" i="26" s="1"/>
  <c r="D306" i="10" a="1"/>
  <c r="F41" i="21"/>
  <c r="I78" i="26" s="1"/>
  <c r="F78" i="26" s="1"/>
  <c r="E12" i="21"/>
  <c r="I7" i="26" s="1"/>
  <c r="M7" i="26" s="1"/>
  <c r="P12" i="21"/>
  <c r="I469" i="26" s="1"/>
  <c r="G43" i="21"/>
  <c r="I122" i="26" s="1"/>
  <c r="M122" i="26" s="1"/>
  <c r="J31" i="21"/>
  <c r="I236" i="26" s="1"/>
  <c r="F236" i="26" s="1"/>
  <c r="I14" i="21"/>
  <c r="I177" i="26" s="1"/>
  <c r="M177" i="26" s="1"/>
  <c r="E20" i="21"/>
  <c r="I15" i="26" s="1"/>
  <c r="J40" i="21"/>
  <c r="I245" i="26" s="1"/>
  <c r="F245" i="26" s="1"/>
  <c r="L19" i="21"/>
  <c r="I308" i="26" s="1"/>
  <c r="M308" i="26" s="1"/>
  <c r="W44" i="21"/>
  <c r="I795" i="26" s="1"/>
  <c r="M795" i="26" s="1"/>
  <c r="I37" i="21"/>
  <c r="I200" i="26" s="1"/>
  <c r="F200" i="26" s="1"/>
  <c r="N25" i="21"/>
  <c r="I398" i="26" s="1"/>
  <c r="M398" i="26" s="1"/>
  <c r="J17" i="21"/>
  <c r="I222" i="26" s="1"/>
  <c r="M222" i="26" s="1"/>
  <c r="I43" i="21"/>
  <c r="I206" i="26" s="1"/>
  <c r="M206" i="26" s="1"/>
  <c r="N7" i="21"/>
  <c r="I380" i="26" s="1"/>
  <c r="S28" i="21"/>
  <c r="I611" i="26" s="1"/>
  <c r="F611" i="26" s="1"/>
  <c r="R8" i="21"/>
  <c r="I549" i="26" s="1"/>
  <c r="M549" i="26" s="1"/>
  <c r="F39" i="21"/>
  <c r="I76" i="26" s="1"/>
  <c r="M76" i="26" s="1"/>
  <c r="E25" i="21"/>
  <c r="I20" i="26" s="1"/>
  <c r="H12" i="21"/>
  <c r="I133" i="26" s="1"/>
  <c r="M133" i="26" s="1"/>
  <c r="P7" i="21"/>
  <c r="I464" i="26" s="1"/>
  <c r="M464" i="26" s="1"/>
  <c r="H22" i="21"/>
  <c r="I143" i="26" s="1"/>
  <c r="M143" i="26" s="1"/>
  <c r="O31" i="21"/>
  <c r="I446" i="26" s="1"/>
  <c r="F446" i="26" s="1"/>
  <c r="T23" i="21"/>
  <c r="I648" i="26" s="1"/>
  <c r="M648" i="26" s="1"/>
  <c r="V17" i="21"/>
  <c r="I726" i="26" s="1"/>
  <c r="M726" i="26" s="1"/>
  <c r="P27" i="21"/>
  <c r="I484" i="26" s="1"/>
  <c r="F484" i="26" s="1"/>
  <c r="V27" i="21"/>
  <c r="I736" i="26" s="1"/>
  <c r="F736" i="26" s="1"/>
  <c r="Q46" i="21"/>
  <c r="I545" i="26" s="1"/>
  <c r="M545" i="26" s="1"/>
  <c r="T25" i="21"/>
  <c r="I650" i="26" s="1"/>
  <c r="F650" i="26" s="1"/>
  <c r="Q15" i="21"/>
  <c r="I514" i="26" s="1"/>
  <c r="M514" i="26" s="1"/>
  <c r="H18" i="21"/>
  <c r="I139" i="26" s="1"/>
  <c r="M139" i="26" s="1"/>
  <c r="F18" i="21"/>
  <c r="I55" i="26" s="1"/>
  <c r="F55" i="26" s="1"/>
  <c r="J35" i="21"/>
  <c r="I240" i="26" s="1"/>
  <c r="F240" i="26" s="1"/>
  <c r="E16" i="21"/>
  <c r="I11" i="26" s="1"/>
  <c r="F11" i="26" s="1"/>
  <c r="N20" i="21"/>
  <c r="I393" i="26" s="1"/>
  <c r="M393" i="26" s="1"/>
  <c r="E15" i="21"/>
  <c r="I10" i="26" s="1"/>
  <c r="F10" i="26" s="1"/>
  <c r="R42" i="21"/>
  <c r="I583" i="26" s="1"/>
  <c r="M583" i="26" s="1"/>
  <c r="T32" i="21"/>
  <c r="I657" i="26" s="1"/>
  <c r="F657" i="26" s="1"/>
  <c r="R29" i="21"/>
  <c r="I570" i="26" s="1"/>
  <c r="F570" i="26" s="1"/>
  <c r="O35" i="21"/>
  <c r="I450" i="26" s="1"/>
  <c r="F450" i="26" s="1"/>
  <c r="S40" i="21"/>
  <c r="I623" i="26" s="1"/>
  <c r="F623" i="26" s="1"/>
  <c r="E29" i="21"/>
  <c r="I24" i="26" s="1"/>
  <c r="M24" i="26"/>
  <c r="Q17" i="21"/>
  <c r="I516" i="26" s="1"/>
  <c r="W30" i="21"/>
  <c r="I781" i="26" s="1"/>
  <c r="M781" i="26" s="1"/>
  <c r="S20" i="21"/>
  <c r="I603" i="26" s="1"/>
  <c r="M603" i="26" s="1"/>
  <c r="K44" i="21"/>
  <c r="I291" i="26" s="1"/>
  <c r="F291" i="26" s="1"/>
  <c r="P46" i="21"/>
  <c r="I503" i="26" s="1"/>
  <c r="T12" i="21"/>
  <c r="I637" i="26" s="1"/>
  <c r="M637" i="26" s="1"/>
  <c r="L35" i="21"/>
  <c r="I324" i="26" s="1"/>
  <c r="F324" i="26" s="1"/>
  <c r="M200" i="26" l="1"/>
  <c r="M476" i="26"/>
  <c r="M2" i="26"/>
  <c r="M158" i="26"/>
  <c r="M205" i="26"/>
  <c r="M62" i="26"/>
  <c r="M413" i="26"/>
  <c r="F49" i="26"/>
  <c r="F749" i="26"/>
  <c r="F135" i="26"/>
  <c r="M680" i="26"/>
  <c r="M576" i="26"/>
  <c r="F460" i="26"/>
  <c r="M475" i="26"/>
  <c r="M30" i="26"/>
  <c r="F222" i="26"/>
  <c r="F12" i="26"/>
  <c r="M137" i="26"/>
  <c r="M35" i="26"/>
  <c r="F44" i="26"/>
  <c r="F188" i="26"/>
  <c r="M392" i="26"/>
  <c r="M41" i="26"/>
  <c r="F567" i="26"/>
  <c r="F150" i="26"/>
  <c r="M527" i="26"/>
  <c r="M736" i="26"/>
  <c r="F308" i="26"/>
  <c r="M743" i="26"/>
  <c r="M136" i="26"/>
  <c r="F372" i="26"/>
  <c r="F701" i="26"/>
  <c r="M183" i="26"/>
  <c r="F71" i="26"/>
  <c r="F505" i="26"/>
  <c r="F77" i="26"/>
  <c r="M453" i="26"/>
  <c r="F458" i="26"/>
  <c r="M608" i="26"/>
  <c r="F620" i="26"/>
  <c r="F143" i="26"/>
  <c r="F501" i="26"/>
  <c r="F87" i="26"/>
  <c r="M586" i="26"/>
  <c r="M388" i="26"/>
  <c r="F281" i="26"/>
  <c r="M654" i="26"/>
  <c r="F610" i="26"/>
  <c r="M85" i="26"/>
  <c r="M333" i="26"/>
  <c r="F664" i="26"/>
  <c r="M261" i="26"/>
  <c r="F577" i="26"/>
  <c r="F322" i="26"/>
  <c r="M330" i="26"/>
  <c r="M210" i="26"/>
  <c r="M651" i="26"/>
  <c r="M483" i="26"/>
  <c r="F796" i="26"/>
  <c r="M691" i="26"/>
  <c r="M59" i="26"/>
  <c r="M295" i="26"/>
  <c r="M518" i="26"/>
  <c r="F239" i="26"/>
  <c r="F447" i="26"/>
  <c r="F605" i="26"/>
  <c r="M722" i="26"/>
  <c r="M454" i="26"/>
  <c r="F336" i="26"/>
  <c r="M396" i="26"/>
  <c r="M681" i="26"/>
  <c r="F111" i="26"/>
  <c r="F464" i="26"/>
  <c r="M43" i="26"/>
  <c r="M342" i="26"/>
  <c r="F190" i="26"/>
  <c r="F75" i="26"/>
  <c r="M613" i="26"/>
  <c r="F411" i="26"/>
  <c r="F694" i="26"/>
  <c r="M740" i="26"/>
  <c r="F120" i="26"/>
  <c r="F273" i="26"/>
  <c r="F260" i="26"/>
  <c r="M145" i="26"/>
  <c r="F156" i="26"/>
  <c r="M365" i="26"/>
  <c r="F771" i="26"/>
  <c r="M268" i="26"/>
  <c r="F692" i="26"/>
  <c r="F332" i="26"/>
  <c r="M345" i="26"/>
  <c r="F377" i="26"/>
  <c r="M685" i="26"/>
  <c r="M191" i="26"/>
  <c r="F125" i="26"/>
  <c r="F439" i="26"/>
  <c r="M31" i="26"/>
  <c r="M343" i="26"/>
  <c r="F187" i="26"/>
  <c r="F625" i="26"/>
  <c r="F600" i="26"/>
  <c r="F89" i="26"/>
  <c r="F435" i="26"/>
  <c r="M240" i="26"/>
  <c r="F76" i="26"/>
  <c r="F729" i="26"/>
  <c r="F531" i="26"/>
  <c r="F26" i="26"/>
  <c r="M667" i="26"/>
  <c r="M672" i="26"/>
  <c r="F204" i="26"/>
  <c r="M163" i="26"/>
  <c r="F79" i="26"/>
  <c r="F728" i="26"/>
  <c r="F668" i="26"/>
  <c r="M186" i="26"/>
  <c r="M662" i="26"/>
  <c r="M262" i="26"/>
  <c r="M100" i="26"/>
  <c r="F358" i="26"/>
  <c r="M18" i="26"/>
  <c r="M212" i="26"/>
  <c r="M93" i="26"/>
  <c r="F708" i="26"/>
  <c r="F119" i="26"/>
  <c r="M9" i="26"/>
  <c r="M102" i="26"/>
  <c r="F652" i="26"/>
  <c r="M770" i="26"/>
  <c r="F266" i="26"/>
  <c r="M714" i="26"/>
  <c r="F696" i="26"/>
  <c r="M775" i="26"/>
  <c r="M412" i="26"/>
  <c r="M628" i="26"/>
  <c r="M622" i="26"/>
  <c r="M433" i="26"/>
  <c r="M751" i="26"/>
  <c r="M571" i="26"/>
  <c r="F645" i="26"/>
  <c r="M931" i="26"/>
  <c r="J942" i="26"/>
  <c r="F264" i="26"/>
  <c r="M252" i="26"/>
  <c r="F52" i="26"/>
  <c r="M618" i="26"/>
  <c r="M511" i="26"/>
  <c r="M214" i="26"/>
  <c r="M294" i="26"/>
  <c r="M508" i="26"/>
  <c r="F416" i="26"/>
  <c r="M128" i="26"/>
  <c r="M327" i="26"/>
  <c r="F116" i="26"/>
  <c r="F673" i="26"/>
  <c r="F765" i="26"/>
  <c r="M51" i="26"/>
  <c r="M784" i="26"/>
  <c r="M457" i="26"/>
  <c r="M585" i="26"/>
  <c r="M715" i="26"/>
  <c r="F34" i="26"/>
  <c r="F394" i="26"/>
  <c r="F466" i="26"/>
  <c r="F166" i="26"/>
  <c r="M80" i="26"/>
  <c r="M623" i="26"/>
  <c r="M484" i="26"/>
  <c r="F82" i="26"/>
  <c r="F155" i="26"/>
  <c r="M115" i="26"/>
  <c r="F589" i="26"/>
  <c r="M693" i="26"/>
  <c r="M424" i="26"/>
  <c r="F737" i="26"/>
  <c r="F554" i="26"/>
  <c r="M420" i="26"/>
  <c r="M67" i="26"/>
  <c r="F431" i="26"/>
  <c r="M607" i="26"/>
  <c r="M83" i="26"/>
  <c r="F506" i="26"/>
  <c r="M635" i="26"/>
  <c r="F25" i="26"/>
  <c r="F201" i="26"/>
  <c r="M578" i="26"/>
  <c r="M702" i="26"/>
  <c r="M107" i="26"/>
  <c r="M630" i="26"/>
  <c r="M347" i="26"/>
  <c r="F172" i="26"/>
  <c r="F366" i="26"/>
  <c r="M56" i="26"/>
  <c r="M203" i="26"/>
  <c r="M657" i="26"/>
  <c r="F514" i="26"/>
  <c r="M650" i="26"/>
  <c r="M446" i="26"/>
  <c r="F206" i="26"/>
  <c r="F795" i="26"/>
  <c r="F177" i="26"/>
  <c r="M390" i="26"/>
  <c r="M373" i="26"/>
  <c r="M422" i="26"/>
  <c r="F198" i="26"/>
  <c r="F509" i="26"/>
  <c r="M455" i="26"/>
  <c r="F110" i="26"/>
  <c r="F526" i="26"/>
  <c r="M552" i="26"/>
  <c r="M678" i="26"/>
  <c r="F748" i="26"/>
  <c r="F404" i="26"/>
  <c r="F515" i="26"/>
  <c r="M241" i="26"/>
  <c r="F756" i="26"/>
  <c r="F382" i="26"/>
  <c r="M310" i="26"/>
  <c r="M14" i="26"/>
  <c r="M193" i="26"/>
  <c r="F754" i="26"/>
  <c r="F452" i="26"/>
  <c r="M244" i="26"/>
  <c r="F90" i="26"/>
  <c r="F357" i="26"/>
  <c r="M745" i="26"/>
  <c r="F369" i="26"/>
  <c r="M438" i="26"/>
  <c r="F19" i="26"/>
  <c r="M641" i="26"/>
  <c r="F425" i="26"/>
  <c r="M448" i="26"/>
  <c r="F6" i="26"/>
  <c r="F114" i="26"/>
  <c r="F301" i="26"/>
  <c r="F195" i="26"/>
  <c r="F329" i="26"/>
  <c r="M149" i="26"/>
  <c r="M234" i="26"/>
  <c r="M510" i="26"/>
  <c r="F591" i="26"/>
  <c r="M109" i="26"/>
  <c r="M797" i="26"/>
  <c r="F341" i="26"/>
  <c r="M631" i="26"/>
  <c r="M750" i="26"/>
  <c r="M39" i="26"/>
  <c r="M779" i="26"/>
  <c r="M647" i="26"/>
  <c r="M131" i="26"/>
  <c r="M496" i="26"/>
  <c r="F237" i="26"/>
  <c r="F180" i="26"/>
  <c r="M28" i="26"/>
  <c r="M762" i="26"/>
  <c r="M721" i="26"/>
  <c r="M786" i="26"/>
  <c r="M473" i="26"/>
  <c r="F558" i="26"/>
  <c r="F744" i="26"/>
  <c r="M282" i="26"/>
  <c r="M286" i="26"/>
  <c r="F168" i="26"/>
  <c r="M69" i="26"/>
  <c r="F642" i="26"/>
  <c r="F293" i="26"/>
  <c r="F184" i="26"/>
  <c r="M225" i="26"/>
  <c r="F378" i="26"/>
  <c r="F535" i="26"/>
  <c r="M741" i="26"/>
  <c r="F418" i="26"/>
  <c r="F256" i="26"/>
  <c r="F58" i="26"/>
  <c r="M437" i="26"/>
  <c r="M108" i="26"/>
  <c r="F472" i="26"/>
  <c r="F130" i="26"/>
  <c r="M495" i="26"/>
  <c r="F88" i="26"/>
  <c r="M363" i="26"/>
  <c r="F584" i="26"/>
  <c r="F277" i="26"/>
  <c r="F493" i="26"/>
  <c r="M217" i="26"/>
  <c r="M161" i="26"/>
  <c r="M409" i="26"/>
  <c r="M290" i="26"/>
  <c r="F138" i="26"/>
  <c r="M499" i="26"/>
  <c r="F710" i="26"/>
  <c r="F655" i="26"/>
  <c r="F319" i="26"/>
  <c r="F68" i="26"/>
  <c r="F481" i="26"/>
  <c r="M419" i="26"/>
  <c r="F519" i="26"/>
  <c r="M288" i="26"/>
  <c r="F139" i="26"/>
  <c r="F7" i="26"/>
  <c r="M732" i="26"/>
  <c r="M629" i="26"/>
  <c r="F185" i="26"/>
  <c r="M636" i="26"/>
  <c r="M103" i="26"/>
  <c r="M399" i="26"/>
  <c r="F81" i="26"/>
  <c r="M16" i="26"/>
  <c r="M389" i="26"/>
  <c r="M27" i="26"/>
  <c r="M430" i="26"/>
  <c r="M171" i="26"/>
  <c r="F410" i="26"/>
  <c r="F769" i="26"/>
  <c r="M279" i="26"/>
  <c r="M574" i="26"/>
  <c r="F284" i="26"/>
  <c r="M314" i="26"/>
  <c r="F227" i="26"/>
  <c r="F53" i="26"/>
  <c r="M400" i="26"/>
  <c r="F247" i="26"/>
  <c r="M752" i="26"/>
  <c r="M105" i="26"/>
  <c r="F254" i="26"/>
  <c r="F477" i="26"/>
  <c r="F627" i="26"/>
  <c r="M278" i="26"/>
  <c r="M669" i="26"/>
  <c r="M553" i="26"/>
  <c r="F746" i="26"/>
  <c r="O503" i="26"/>
  <c r="G503" i="26"/>
  <c r="Q503" i="26"/>
  <c r="L503" i="26"/>
  <c r="J503" i="26"/>
  <c r="E503" i="26"/>
  <c r="F603" i="26"/>
  <c r="Q781" i="26"/>
  <c r="L781" i="26"/>
  <c r="O781" i="26"/>
  <c r="J781" i="26"/>
  <c r="G781" i="26"/>
  <c r="E781" i="26"/>
  <c r="O516" i="26"/>
  <c r="Q516" i="26"/>
  <c r="J516" i="26"/>
  <c r="L516" i="26"/>
  <c r="G516" i="26"/>
  <c r="E516" i="26"/>
  <c r="Q10" i="26"/>
  <c r="O10" i="26"/>
  <c r="L10" i="26"/>
  <c r="G10" i="26"/>
  <c r="J10" i="26"/>
  <c r="E10" i="26"/>
  <c r="K10" i="26" s="1"/>
  <c r="O545" i="26"/>
  <c r="G545" i="26"/>
  <c r="Q545" i="26"/>
  <c r="J545" i="26"/>
  <c r="L545" i="26"/>
  <c r="E545" i="26"/>
  <c r="O133" i="26"/>
  <c r="J133" i="26"/>
  <c r="Q133" i="26"/>
  <c r="L133" i="26"/>
  <c r="E133" i="26"/>
  <c r="G133" i="26"/>
  <c r="O20" i="26"/>
  <c r="J20" i="26"/>
  <c r="G20" i="26"/>
  <c r="L20" i="26"/>
  <c r="E20" i="26"/>
  <c r="Q20" i="26"/>
  <c r="F549" i="26"/>
  <c r="O611" i="26"/>
  <c r="G611" i="26"/>
  <c r="L611" i="26"/>
  <c r="Q611" i="26"/>
  <c r="J611" i="26"/>
  <c r="E611" i="26"/>
  <c r="K611" i="26" s="1"/>
  <c r="L380" i="26"/>
  <c r="Q380" i="26"/>
  <c r="J380" i="26"/>
  <c r="O380" i="26"/>
  <c r="E380" i="26"/>
  <c r="G380" i="26"/>
  <c r="G15" i="26"/>
  <c r="L15" i="26"/>
  <c r="Q15" i="26"/>
  <c r="J15" i="26"/>
  <c r="O15" i="26"/>
  <c r="E15" i="26"/>
  <c r="M236" i="26"/>
  <c r="J122" i="26"/>
  <c r="L122" i="26"/>
  <c r="G122" i="26"/>
  <c r="O122" i="26"/>
  <c r="Q122" i="26"/>
  <c r="E122" i="26"/>
  <c r="L469" i="26"/>
  <c r="J469" i="26"/>
  <c r="Q469" i="26"/>
  <c r="G469" i="26"/>
  <c r="O469" i="26"/>
  <c r="E469" i="26"/>
  <c r="F568" i="26"/>
  <c r="Q3" i="26"/>
  <c r="J3" i="26"/>
  <c r="O3" i="26"/>
  <c r="G3" i="26"/>
  <c r="L3" i="26"/>
  <c r="E3" i="26"/>
  <c r="L498" i="26"/>
  <c r="G498" i="26"/>
  <c r="Q498" i="26"/>
  <c r="J498" i="26"/>
  <c r="O498" i="26"/>
  <c r="E498" i="26"/>
  <c r="O523" i="26"/>
  <c r="Q523" i="26"/>
  <c r="L523" i="26"/>
  <c r="J523" i="26"/>
  <c r="E523" i="26"/>
  <c r="G523" i="26"/>
  <c r="G698" i="26"/>
  <c r="J698" i="26"/>
  <c r="O698" i="26"/>
  <c r="Q698" i="26"/>
  <c r="L698" i="26"/>
  <c r="E698" i="26"/>
  <c r="G250" i="26"/>
  <c r="J250" i="26"/>
  <c r="E250" i="26"/>
  <c r="O250" i="26"/>
  <c r="L250" i="26"/>
  <c r="Q250" i="26"/>
  <c r="F428" i="26"/>
  <c r="G606" i="26"/>
  <c r="O606" i="26"/>
  <c r="Q606" i="26"/>
  <c r="L606" i="26"/>
  <c r="J606" i="26"/>
  <c r="E606" i="26"/>
  <c r="M723" i="26"/>
  <c r="L489" i="26"/>
  <c r="E489" i="26"/>
  <c r="J489" i="26"/>
  <c r="Q489" i="26"/>
  <c r="G489" i="26"/>
  <c r="O489" i="26"/>
  <c r="O712" i="26"/>
  <c r="Q712" i="26"/>
  <c r="G712" i="26"/>
  <c r="J712" i="26"/>
  <c r="L712" i="26"/>
  <c r="E712" i="26"/>
  <c r="O555" i="26"/>
  <c r="J555" i="26"/>
  <c r="G555" i="26"/>
  <c r="Q555" i="26"/>
  <c r="E555" i="26"/>
  <c r="L555" i="26"/>
  <c r="G764" i="26"/>
  <c r="J764" i="26"/>
  <c r="O764" i="26"/>
  <c r="Q764" i="26"/>
  <c r="L764" i="26"/>
  <c r="E764" i="26"/>
  <c r="J686" i="26"/>
  <c r="O686" i="26"/>
  <c r="Q686" i="26"/>
  <c r="G686" i="26"/>
  <c r="L686" i="26"/>
  <c r="E686" i="26"/>
  <c r="G719" i="26"/>
  <c r="O719" i="26"/>
  <c r="E719" i="26"/>
  <c r="Q719" i="26"/>
  <c r="J719" i="26"/>
  <c r="L719" i="26"/>
  <c r="Q579" i="26"/>
  <c r="L579" i="26"/>
  <c r="J579" i="26"/>
  <c r="E579" i="26"/>
  <c r="O579" i="26"/>
  <c r="G579" i="26"/>
  <c r="L716" i="26"/>
  <c r="J716" i="26"/>
  <c r="Q716" i="26"/>
  <c r="E716" i="26"/>
  <c r="G716" i="26"/>
  <c r="O716" i="26"/>
  <c r="G541" i="26"/>
  <c r="J541" i="26"/>
  <c r="Q541" i="26"/>
  <c r="O541" i="26"/>
  <c r="L541" i="26"/>
  <c r="E541" i="26"/>
  <c r="G557" i="26"/>
  <c r="J557" i="26"/>
  <c r="O557" i="26"/>
  <c r="L557" i="26"/>
  <c r="Q557" i="26"/>
  <c r="E557" i="26"/>
  <c r="L276" i="26"/>
  <c r="Q276" i="26"/>
  <c r="O276" i="26"/>
  <c r="G276" i="26"/>
  <c r="J276" i="26"/>
  <c r="E276" i="26"/>
  <c r="L713" i="26"/>
  <c r="Q713" i="26"/>
  <c r="J713" i="26"/>
  <c r="G713" i="26"/>
  <c r="O713" i="26"/>
  <c r="E713" i="26"/>
  <c r="K713" i="26" s="1"/>
  <c r="Q95" i="26"/>
  <c r="G95" i="26"/>
  <c r="O95" i="26"/>
  <c r="L95" i="26"/>
  <c r="J95" i="26"/>
  <c r="E95" i="26"/>
  <c r="K95" i="26" s="1"/>
  <c r="L220" i="26"/>
  <c r="O220" i="26"/>
  <c r="J220" i="26"/>
  <c r="G220" i="26"/>
  <c r="Q220" i="26"/>
  <c r="E220" i="26"/>
  <c r="L305" i="26"/>
  <c r="J305" i="26"/>
  <c r="G305" i="26"/>
  <c r="E305" i="26"/>
  <c r="Q305" i="26"/>
  <c r="O305" i="26"/>
  <c r="L146" i="26"/>
  <c r="Q146" i="26"/>
  <c r="G146" i="26"/>
  <c r="J146" i="26"/>
  <c r="O146" i="26"/>
  <c r="E146" i="26"/>
  <c r="J32" i="26"/>
  <c r="Q32" i="26"/>
  <c r="O32" i="26"/>
  <c r="G32" i="26"/>
  <c r="L32" i="26"/>
  <c r="E32" i="26"/>
  <c r="Q572" i="26"/>
  <c r="O572" i="26"/>
  <c r="L572" i="26"/>
  <c r="G572" i="26"/>
  <c r="E572" i="26"/>
  <c r="J572" i="26"/>
  <c r="G590" i="26"/>
  <c r="Q590" i="26"/>
  <c r="J590" i="26"/>
  <c r="L590" i="26"/>
  <c r="O590" i="26"/>
  <c r="E590" i="26"/>
  <c r="J47" i="26"/>
  <c r="L47" i="26"/>
  <c r="O47" i="26"/>
  <c r="Q47" i="26"/>
  <c r="G47" i="26"/>
  <c r="E47" i="26"/>
  <c r="G564" i="26"/>
  <c r="O564" i="26"/>
  <c r="Q564" i="26"/>
  <c r="L564" i="26"/>
  <c r="J564" i="26"/>
  <c r="E564" i="26"/>
  <c r="L596" i="26"/>
  <c r="J596" i="26"/>
  <c r="Q596" i="26"/>
  <c r="G596" i="26"/>
  <c r="O596" i="26"/>
  <c r="E596" i="26"/>
  <c r="Q375" i="26"/>
  <c r="G375" i="26"/>
  <c r="O375" i="26"/>
  <c r="L375" i="26"/>
  <c r="J375" i="26"/>
  <c r="E375" i="26"/>
  <c r="K375" i="26" s="1"/>
  <c r="Q758" i="26"/>
  <c r="G758" i="26"/>
  <c r="L758" i="26"/>
  <c r="O758" i="26"/>
  <c r="E758" i="26"/>
  <c r="J758" i="26"/>
  <c r="Q487" i="26"/>
  <c r="L487" i="26"/>
  <c r="J487" i="26"/>
  <c r="E487" i="26"/>
  <c r="O487" i="26"/>
  <c r="G487" i="26"/>
  <c r="G338" i="26"/>
  <c r="J338" i="26"/>
  <c r="L338" i="26"/>
  <c r="E338" i="26"/>
  <c r="Q338" i="26"/>
  <c r="O338" i="26"/>
  <c r="G154" i="26"/>
  <c r="J154" i="26"/>
  <c r="L154" i="26"/>
  <c r="Q154" i="26"/>
  <c r="O154" i="26"/>
  <c r="E154" i="26"/>
  <c r="Q534" i="26"/>
  <c r="L534" i="26"/>
  <c r="G534" i="26"/>
  <c r="J534" i="26"/>
  <c r="O534" i="26"/>
  <c r="E534" i="26"/>
  <c r="G228" i="26"/>
  <c r="L228" i="26"/>
  <c r="J228" i="26"/>
  <c r="O228" i="26"/>
  <c r="Q228" i="26"/>
  <c r="E228" i="26"/>
  <c r="L274" i="26"/>
  <c r="Q274" i="26"/>
  <c r="J274" i="26"/>
  <c r="G274" i="26"/>
  <c r="O274" i="26"/>
  <c r="E274" i="26"/>
  <c r="L616" i="26"/>
  <c r="G616" i="26"/>
  <c r="J616" i="26"/>
  <c r="O616" i="26"/>
  <c r="Q616" i="26"/>
  <c r="E616" i="26"/>
  <c r="Q287" i="26"/>
  <c r="G287" i="26"/>
  <c r="L287" i="26"/>
  <c r="O287" i="26"/>
  <c r="J287" i="26"/>
  <c r="E287" i="26"/>
  <c r="J633" i="26"/>
  <c r="O633" i="26"/>
  <c r="G633" i="26"/>
  <c r="Q633" i="26"/>
  <c r="L633" i="26"/>
  <c r="E633" i="26"/>
  <c r="G434" i="26"/>
  <c r="J434" i="26"/>
  <c r="L434" i="26"/>
  <c r="Q434" i="26"/>
  <c r="O434" i="26"/>
  <c r="E434" i="26"/>
  <c r="O449" i="26"/>
  <c r="L449" i="26"/>
  <c r="Q449" i="26"/>
  <c r="G449" i="26"/>
  <c r="J449" i="26"/>
  <c r="E449" i="26"/>
  <c r="G8" i="26"/>
  <c r="Q8" i="26"/>
  <c r="O8" i="26"/>
  <c r="J8" i="26"/>
  <c r="L8" i="26"/>
  <c r="E8" i="26"/>
  <c r="J683" i="26"/>
  <c r="E683" i="26"/>
  <c r="L683" i="26"/>
  <c r="G683" i="26"/>
  <c r="O683" i="26"/>
  <c r="Q683" i="26"/>
  <c r="J546" i="26"/>
  <c r="O546" i="26"/>
  <c r="L546" i="26"/>
  <c r="G546" i="26"/>
  <c r="Q546" i="26"/>
  <c r="E546" i="26"/>
  <c r="O649" i="26"/>
  <c r="L649" i="26"/>
  <c r="G649" i="26"/>
  <c r="J649" i="26"/>
  <c r="Q649" i="26"/>
  <c r="E649" i="26"/>
  <c r="L465" i="26"/>
  <c r="O465" i="26"/>
  <c r="J465" i="26"/>
  <c r="G465" i="26"/>
  <c r="Q465" i="26"/>
  <c r="E465" i="26"/>
  <c r="K465" i="26" s="1"/>
  <c r="L178" i="26"/>
  <c r="G178" i="26"/>
  <c r="J178" i="26"/>
  <c r="O178" i="26"/>
  <c r="E178" i="26"/>
  <c r="Q178" i="26"/>
  <c r="L124" i="26"/>
  <c r="G124" i="26"/>
  <c r="J124" i="26"/>
  <c r="Q124" i="26"/>
  <c r="O124" i="26"/>
  <c r="E124" i="26"/>
  <c r="Q299" i="26"/>
  <c r="G299" i="26"/>
  <c r="L299" i="26"/>
  <c r="O299" i="26"/>
  <c r="J299" i="26"/>
  <c r="E299" i="26"/>
  <c r="O194" i="26"/>
  <c r="Q194" i="26"/>
  <c r="J194" i="26"/>
  <c r="L194" i="26"/>
  <c r="G194" i="26"/>
  <c r="E194" i="26"/>
  <c r="O562" i="26"/>
  <c r="J562" i="26"/>
  <c r="G562" i="26"/>
  <c r="L562" i="26"/>
  <c r="Q562" i="26"/>
  <c r="E562" i="26"/>
  <c r="J521" i="26"/>
  <c r="G521" i="26"/>
  <c r="O521" i="26"/>
  <c r="L521" i="26"/>
  <c r="E521" i="26"/>
  <c r="K521" i="26" s="1"/>
  <c r="Q521" i="26"/>
  <c r="J126" i="26"/>
  <c r="O126" i="26"/>
  <c r="L126" i="26"/>
  <c r="G126" i="26"/>
  <c r="Q126" i="26"/>
  <c r="E126" i="26"/>
  <c r="L690" i="26"/>
  <c r="Q690" i="26"/>
  <c r="J690" i="26"/>
  <c r="E690" i="26"/>
  <c r="G690" i="26"/>
  <c r="O690" i="26"/>
  <c r="E429" i="26"/>
  <c r="G429" i="26"/>
  <c r="J429" i="26"/>
  <c r="L429" i="26"/>
  <c r="O429" i="26"/>
  <c r="Q429" i="26"/>
  <c r="L666" i="26"/>
  <c r="G666" i="26"/>
  <c r="O666" i="26"/>
  <c r="Q666" i="26"/>
  <c r="J666" i="26"/>
  <c r="E666" i="26"/>
  <c r="K666" i="26" s="1"/>
  <c r="J104" i="26"/>
  <c r="Q104" i="26"/>
  <c r="O104" i="26"/>
  <c r="L104" i="26"/>
  <c r="G104" i="26"/>
  <c r="E104" i="26"/>
  <c r="O151" i="26"/>
  <c r="L151" i="26"/>
  <c r="G151" i="26"/>
  <c r="J151" i="26"/>
  <c r="Q151" i="26"/>
  <c r="E151" i="26"/>
  <c r="O671" i="26"/>
  <c r="G671" i="26"/>
  <c r="L671" i="26"/>
  <c r="Q671" i="26"/>
  <c r="J671" i="26"/>
  <c r="E671" i="26"/>
  <c r="L255" i="26"/>
  <c r="E255" i="26"/>
  <c r="Q255" i="26"/>
  <c r="O255" i="26"/>
  <c r="G255" i="26"/>
  <c r="J255" i="26"/>
  <c r="G587" i="26"/>
  <c r="Q587" i="26"/>
  <c r="O587" i="26"/>
  <c r="J587" i="26"/>
  <c r="L587" i="26"/>
  <c r="E587" i="26"/>
  <c r="J233" i="26"/>
  <c r="L233" i="26"/>
  <c r="G233" i="26"/>
  <c r="O233" i="26"/>
  <c r="Q233" i="26"/>
  <c r="E233" i="26"/>
  <c r="O337" i="26"/>
  <c r="J337" i="26"/>
  <c r="Q337" i="26"/>
  <c r="E337" i="26"/>
  <c r="L337" i="26"/>
  <c r="G337" i="26"/>
  <c r="Q199" i="26"/>
  <c r="O199" i="26"/>
  <c r="L199" i="26"/>
  <c r="J199" i="26"/>
  <c r="G199" i="26"/>
  <c r="E199" i="26"/>
  <c r="O720" i="26"/>
  <c r="G720" i="26"/>
  <c r="Q720" i="26"/>
  <c r="J720" i="26"/>
  <c r="L720" i="26"/>
  <c r="E720" i="26"/>
  <c r="K720" i="26" s="1"/>
  <c r="L785" i="26"/>
  <c r="O785" i="26"/>
  <c r="J785" i="26"/>
  <c r="Q785" i="26"/>
  <c r="G785" i="26"/>
  <c r="E785" i="26"/>
  <c r="O474" i="26"/>
  <c r="L474" i="26"/>
  <c r="Q474" i="26"/>
  <c r="J474" i="26"/>
  <c r="G474" i="26"/>
  <c r="E474" i="26"/>
  <c r="J387" i="26"/>
  <c r="L387" i="26"/>
  <c r="Q387" i="26"/>
  <c r="G387" i="26"/>
  <c r="O387" i="26"/>
  <c r="E387" i="26"/>
  <c r="L307" i="26"/>
  <c r="J307" i="26"/>
  <c r="G307" i="26"/>
  <c r="O307" i="26"/>
  <c r="Q307" i="26"/>
  <c r="E307" i="26"/>
  <c r="J280" i="26"/>
  <c r="Q280" i="26"/>
  <c r="L280" i="26"/>
  <c r="O280" i="26"/>
  <c r="G280" i="26"/>
  <c r="E280" i="26"/>
  <c r="Q350" i="26"/>
  <c r="L350" i="26"/>
  <c r="J350" i="26"/>
  <c r="G350" i="26"/>
  <c r="O350" i="26"/>
  <c r="E350" i="26"/>
  <c r="L29" i="26"/>
  <c r="O29" i="26"/>
  <c r="J29" i="26"/>
  <c r="Q29" i="26"/>
  <c r="G29" i="26"/>
  <c r="E29" i="26"/>
  <c r="Q659" i="26"/>
  <c r="L659" i="26"/>
  <c r="O659" i="26"/>
  <c r="J659" i="26"/>
  <c r="G659" i="26"/>
  <c r="E659" i="26"/>
  <c r="O315" i="26"/>
  <c r="G315" i="26"/>
  <c r="Q315" i="26"/>
  <c r="L315" i="26"/>
  <c r="J315" i="26"/>
  <c r="E315" i="26"/>
  <c r="K315" i="26" s="1"/>
  <c r="Q609" i="26"/>
  <c r="L609" i="26"/>
  <c r="J609" i="26"/>
  <c r="O609" i="26"/>
  <c r="G609" i="26"/>
  <c r="E609" i="26"/>
  <c r="J63" i="26"/>
  <c r="G63" i="26"/>
  <c r="L63" i="26"/>
  <c r="O63" i="26"/>
  <c r="Q63" i="26"/>
  <c r="E63" i="26"/>
  <c r="G563" i="26"/>
  <c r="L563" i="26"/>
  <c r="O563" i="26"/>
  <c r="J563" i="26"/>
  <c r="Q563" i="26"/>
  <c r="E563" i="26"/>
  <c r="G61" i="26"/>
  <c r="O61" i="26"/>
  <c r="L61" i="26"/>
  <c r="J61" i="26"/>
  <c r="Q61" i="26"/>
  <c r="E61" i="26"/>
  <c r="G798" i="26"/>
  <c r="L798" i="26"/>
  <c r="E798" i="26"/>
  <c r="Q798" i="26"/>
  <c r="J798" i="26"/>
  <c r="O798" i="26"/>
  <c r="J334" i="26"/>
  <c r="G334" i="26"/>
  <c r="Q334" i="26"/>
  <c r="L334" i="26"/>
  <c r="O334" i="26"/>
  <c r="E334" i="26"/>
  <c r="K334" i="26" s="1"/>
  <c r="O520" i="26"/>
  <c r="L520" i="26"/>
  <c r="J520" i="26"/>
  <c r="Q520" i="26"/>
  <c r="G520" i="26"/>
  <c r="E520" i="26"/>
  <c r="G709" i="26"/>
  <c r="Q709" i="26"/>
  <c r="J709" i="26"/>
  <c r="L709" i="26"/>
  <c r="O709" i="26"/>
  <c r="E709" i="26"/>
  <c r="L379" i="26"/>
  <c r="J379" i="26"/>
  <c r="O379" i="26"/>
  <c r="Q379" i="26"/>
  <c r="E379" i="26"/>
  <c r="K379" i="26" s="1"/>
  <c r="G379" i="26"/>
  <c r="J614" i="26"/>
  <c r="L614" i="26"/>
  <c r="Q614" i="26"/>
  <c r="O614" i="26"/>
  <c r="G614" i="26"/>
  <c r="E614" i="26"/>
  <c r="O402" i="26"/>
  <c r="G402" i="26"/>
  <c r="Q402" i="26"/>
  <c r="L402" i="26"/>
  <c r="J402" i="26"/>
  <c r="E402" i="26"/>
  <c r="K402" i="26" s="1"/>
  <c r="O632" i="26"/>
  <c r="J632" i="26"/>
  <c r="Q632" i="26"/>
  <c r="L632" i="26"/>
  <c r="G632" i="26"/>
  <c r="E632" i="26"/>
  <c r="Q451" i="26"/>
  <c r="L451" i="26"/>
  <c r="J451" i="26"/>
  <c r="O451" i="26"/>
  <c r="G451" i="26"/>
  <c r="E451" i="26"/>
  <c r="G13" i="26"/>
  <c r="J13" i="26"/>
  <c r="O13" i="26"/>
  <c r="L13" i="26"/>
  <c r="Q13" i="26"/>
  <c r="E13" i="26"/>
  <c r="Q54" i="26"/>
  <c r="O54" i="26"/>
  <c r="J54" i="26"/>
  <c r="L54" i="26"/>
  <c r="G54" i="26"/>
  <c r="E54" i="26"/>
  <c r="Q684" i="26"/>
  <c r="L684" i="26"/>
  <c r="G684" i="26"/>
  <c r="J684" i="26"/>
  <c r="O684" i="26"/>
  <c r="E684" i="26"/>
  <c r="L547" i="26"/>
  <c r="O547" i="26"/>
  <c r="Q547" i="26"/>
  <c r="G547" i="26"/>
  <c r="J547" i="26"/>
  <c r="E547" i="26"/>
  <c r="O755" i="26"/>
  <c r="J755" i="26"/>
  <c r="L755" i="26"/>
  <c r="G755" i="26"/>
  <c r="Q755" i="26"/>
  <c r="E755" i="26"/>
  <c r="G202" i="26"/>
  <c r="O202" i="26"/>
  <c r="Q202" i="26"/>
  <c r="J202" i="26"/>
  <c r="L202" i="26"/>
  <c r="E202" i="26"/>
  <c r="L246" i="26"/>
  <c r="Q246" i="26"/>
  <c r="O246" i="26"/>
  <c r="G246" i="26"/>
  <c r="J246" i="26"/>
  <c r="E246" i="26"/>
  <c r="Q644" i="26"/>
  <c r="G644" i="26"/>
  <c r="L644" i="26"/>
  <c r="O644" i="26"/>
  <c r="J644" i="26"/>
  <c r="E644" i="26"/>
  <c r="O415" i="26"/>
  <c r="Q415" i="26"/>
  <c r="J415" i="26"/>
  <c r="L415" i="26"/>
  <c r="G415" i="26"/>
  <c r="E415" i="26"/>
  <c r="O123" i="26"/>
  <c r="L123" i="26"/>
  <c r="G123" i="26"/>
  <c r="J123" i="26"/>
  <c r="Q123" i="26"/>
  <c r="E123" i="26"/>
  <c r="F400" i="10"/>
  <c r="AA400" i="10"/>
  <c r="Z400" i="10"/>
  <c r="W400" i="10"/>
  <c r="D400" i="10"/>
  <c r="I400" i="10"/>
  <c r="H400" i="10"/>
  <c r="L400" i="10"/>
  <c r="Q400" i="10"/>
  <c r="N400" i="10"/>
  <c r="O400" i="10"/>
  <c r="P400" i="10"/>
  <c r="U400" i="10"/>
  <c r="K400" i="10"/>
  <c r="G400" i="10"/>
  <c r="V400" i="10"/>
  <c r="R400" i="10"/>
  <c r="J400" i="10"/>
  <c r="T400" i="10"/>
  <c r="X400" i="10"/>
  <c r="Y400" i="10"/>
  <c r="S400" i="10"/>
  <c r="M400" i="10"/>
  <c r="E400" i="10"/>
  <c r="G441" i="26"/>
  <c r="L441" i="26"/>
  <c r="J441" i="26"/>
  <c r="O441" i="26"/>
  <c r="Q441" i="26"/>
  <c r="E441" i="26"/>
  <c r="J371" i="26"/>
  <c r="L371" i="26"/>
  <c r="Q371" i="26"/>
  <c r="O371" i="26"/>
  <c r="G371" i="26"/>
  <c r="E371" i="26"/>
  <c r="G566" i="26"/>
  <c r="J566" i="26"/>
  <c r="L566" i="26"/>
  <c r="Q566" i="26"/>
  <c r="E566" i="26"/>
  <c r="O566" i="26"/>
  <c r="G230" i="26"/>
  <c r="J230" i="26"/>
  <c r="L230" i="26"/>
  <c r="O230" i="26"/>
  <c r="Q230" i="26"/>
  <c r="E230" i="26"/>
  <c r="J179" i="26"/>
  <c r="G179" i="26"/>
  <c r="Q179" i="26"/>
  <c r="L179" i="26"/>
  <c r="O179" i="26"/>
  <c r="E179" i="26"/>
  <c r="Q265" i="26"/>
  <c r="L265" i="26"/>
  <c r="O265" i="26"/>
  <c r="G265" i="26"/>
  <c r="J265" i="26"/>
  <c r="E265" i="26"/>
  <c r="L560" i="26"/>
  <c r="E560" i="26"/>
  <c r="J560" i="26"/>
  <c r="G560" i="26"/>
  <c r="O560" i="26"/>
  <c r="Q560" i="26"/>
  <c r="G522" i="26"/>
  <c r="J522" i="26"/>
  <c r="O522" i="26"/>
  <c r="L522" i="26"/>
  <c r="Q522" i="26"/>
  <c r="E522" i="26"/>
  <c r="J700" i="26"/>
  <c r="Q700" i="26"/>
  <c r="G700" i="26"/>
  <c r="L700" i="26"/>
  <c r="O700" i="26"/>
  <c r="E700" i="26"/>
  <c r="O665" i="26"/>
  <c r="J665" i="26"/>
  <c r="Q665" i="26"/>
  <c r="E665" i="26"/>
  <c r="L665" i="26"/>
  <c r="G665" i="26"/>
  <c r="G724" i="26"/>
  <c r="L724" i="26"/>
  <c r="O724" i="26"/>
  <c r="J724" i="26"/>
  <c r="Q724" i="26"/>
  <c r="E724" i="26"/>
  <c r="L763" i="26"/>
  <c r="O763" i="26"/>
  <c r="Q763" i="26"/>
  <c r="E763" i="26"/>
  <c r="G763" i="26"/>
  <c r="J763" i="26"/>
  <c r="J253" i="26"/>
  <c r="G253" i="26"/>
  <c r="Q253" i="26"/>
  <c r="L253" i="26"/>
  <c r="E253" i="26"/>
  <c r="K253" i="26" s="1"/>
  <c r="O253" i="26"/>
  <c r="G209" i="26"/>
  <c r="L209" i="26"/>
  <c r="O209" i="26"/>
  <c r="J209" i="26"/>
  <c r="Q209" i="26"/>
  <c r="E209" i="26"/>
  <c r="E86" i="26"/>
  <c r="L86" i="26"/>
  <c r="J86" i="26"/>
  <c r="O86" i="26"/>
  <c r="G86" i="26"/>
  <c r="Q86" i="26"/>
  <c r="J478" i="26"/>
  <c r="G478" i="26"/>
  <c r="L478" i="26"/>
  <c r="O478" i="26"/>
  <c r="Q478" i="26"/>
  <c r="E478" i="26"/>
  <c r="O443" i="26"/>
  <c r="G443" i="26"/>
  <c r="L443" i="26"/>
  <c r="J443" i="26"/>
  <c r="Q443" i="26"/>
  <c r="E443" i="26"/>
  <c r="K443" i="26" s="1"/>
  <c r="G528" i="26"/>
  <c r="Q528" i="26"/>
  <c r="O528" i="26"/>
  <c r="J528" i="26"/>
  <c r="L528" i="26"/>
  <c r="E528" i="26"/>
  <c r="L619" i="26"/>
  <c r="G619" i="26"/>
  <c r="Q619" i="26"/>
  <c r="O619" i="26"/>
  <c r="J619" i="26"/>
  <c r="E619" i="26"/>
  <c r="K619" i="26" s="1"/>
  <c r="Q243" i="26"/>
  <c r="O243" i="26"/>
  <c r="J243" i="26"/>
  <c r="G243" i="26"/>
  <c r="L243" i="26"/>
  <c r="E243" i="26"/>
  <c r="J687" i="26"/>
  <c r="G687" i="26"/>
  <c r="L687" i="26"/>
  <c r="O687" i="26"/>
  <c r="Q687" i="26"/>
  <c r="E687" i="26"/>
  <c r="K687" i="26" s="1"/>
  <c r="O580" i="26"/>
  <c r="L580" i="26"/>
  <c r="J580" i="26"/>
  <c r="Q580" i="26"/>
  <c r="G580" i="26"/>
  <c r="E580" i="26"/>
  <c r="G787" i="26"/>
  <c r="L787" i="26"/>
  <c r="Q787" i="26"/>
  <c r="J787" i="26"/>
  <c r="O787" i="26"/>
  <c r="E787" i="26"/>
  <c r="G626" i="26"/>
  <c r="J626" i="26"/>
  <c r="Q626" i="26"/>
  <c r="O626" i="26"/>
  <c r="L626" i="26"/>
  <c r="E626" i="26"/>
  <c r="O96" i="26"/>
  <c r="Q96" i="26"/>
  <c r="L96" i="26"/>
  <c r="J96" i="26"/>
  <c r="G96" i="26"/>
  <c r="E96" i="26"/>
  <c r="J283" i="26"/>
  <c r="O283" i="26"/>
  <c r="E283" i="26"/>
  <c r="G283" i="26"/>
  <c r="L283" i="26"/>
  <c r="Q283" i="26"/>
  <c r="Q296" i="26"/>
  <c r="G296" i="26"/>
  <c r="O296" i="26"/>
  <c r="J296" i="26"/>
  <c r="E296" i="26"/>
  <c r="L296" i="26"/>
  <c r="O674" i="26"/>
  <c r="J674" i="26"/>
  <c r="G674" i="26"/>
  <c r="Q674" i="26"/>
  <c r="L674" i="26"/>
  <c r="E674" i="26"/>
  <c r="L174" i="26"/>
  <c r="J174" i="26"/>
  <c r="Q174" i="26"/>
  <c r="G174" i="26"/>
  <c r="O174" i="26"/>
  <c r="E174" i="26"/>
  <c r="K174" i="26" s="1"/>
  <c r="J597" i="26"/>
  <c r="L597" i="26"/>
  <c r="G597" i="26"/>
  <c r="O597" i="26"/>
  <c r="Q597" i="26"/>
  <c r="E597" i="26"/>
  <c r="Q167" i="26"/>
  <c r="G167" i="26"/>
  <c r="L167" i="26"/>
  <c r="J167" i="26"/>
  <c r="O167" i="26"/>
  <c r="E167" i="26"/>
  <c r="G697" i="26"/>
  <c r="J697" i="26"/>
  <c r="O697" i="26"/>
  <c r="L697" i="26"/>
  <c r="Q697" i="26"/>
  <c r="E697" i="26"/>
  <c r="O340" i="26"/>
  <c r="J340" i="26"/>
  <c r="L340" i="26"/>
  <c r="E340" i="26"/>
  <c r="G340" i="26"/>
  <c r="Q340" i="26"/>
  <c r="O551" i="26"/>
  <c r="Q551" i="26"/>
  <c r="G551" i="26"/>
  <c r="L551" i="26"/>
  <c r="J551" i="26"/>
  <c r="E551" i="26"/>
  <c r="L677" i="26"/>
  <c r="O677" i="26"/>
  <c r="G677" i="26"/>
  <c r="J677" i="26"/>
  <c r="Q677" i="26"/>
  <c r="E677" i="26"/>
  <c r="O538" i="26"/>
  <c r="Q538" i="26"/>
  <c r="J538" i="26"/>
  <c r="L538" i="26"/>
  <c r="G538" i="26"/>
  <c r="E538" i="26"/>
  <c r="L504" i="26"/>
  <c r="G504" i="26"/>
  <c r="J504" i="26"/>
  <c r="Q504" i="26"/>
  <c r="O504" i="26"/>
  <c r="E504" i="26"/>
  <c r="K504" i="26" s="1"/>
  <c r="O160" i="26"/>
  <c r="G160" i="26"/>
  <c r="L160" i="26"/>
  <c r="J160" i="26"/>
  <c r="Q160" i="26"/>
  <c r="E160" i="26"/>
  <c r="L602" i="26"/>
  <c r="J602" i="26"/>
  <c r="Q602" i="26"/>
  <c r="G602" i="26"/>
  <c r="O602" i="26"/>
  <c r="E602" i="26"/>
  <c r="J634" i="26"/>
  <c r="G634" i="26"/>
  <c r="O634" i="26"/>
  <c r="L634" i="26"/>
  <c r="Q634" i="26"/>
  <c r="E634" i="26"/>
  <c r="J624" i="26"/>
  <c r="O624" i="26"/>
  <c r="G624" i="26"/>
  <c r="L624" i="26"/>
  <c r="E624" i="26"/>
  <c r="Q624" i="26"/>
  <c r="J129" i="26"/>
  <c r="G129" i="26"/>
  <c r="O129" i="26"/>
  <c r="Q129" i="26"/>
  <c r="L129" i="26"/>
  <c r="E129" i="26"/>
  <c r="L482" i="26"/>
  <c r="O482" i="26"/>
  <c r="G482" i="26"/>
  <c r="J482" i="26"/>
  <c r="Q482" i="26"/>
  <c r="E482" i="26"/>
  <c r="G326" i="26"/>
  <c r="O326" i="26"/>
  <c r="Q326" i="26"/>
  <c r="J326" i="26"/>
  <c r="L326" i="26"/>
  <c r="E326" i="26"/>
  <c r="O74" i="26"/>
  <c r="L74" i="26"/>
  <c r="J74" i="26"/>
  <c r="Q74" i="26"/>
  <c r="G74" i="26"/>
  <c r="E74" i="26"/>
  <c r="O548" i="26"/>
  <c r="Q548" i="26"/>
  <c r="G548" i="26"/>
  <c r="L548" i="26"/>
  <c r="J548" i="26"/>
  <c r="E548" i="26"/>
  <c r="G208" i="26"/>
  <c r="O208" i="26"/>
  <c r="J208" i="26"/>
  <c r="Q208" i="26"/>
  <c r="L208" i="26"/>
  <c r="E208" i="26"/>
  <c r="L134" i="26"/>
  <c r="G134" i="26"/>
  <c r="Q134" i="26"/>
  <c r="J134" i="26"/>
  <c r="E134" i="26"/>
  <c r="O134" i="26"/>
  <c r="Q309" i="26"/>
  <c r="O309" i="26"/>
  <c r="G309" i="26"/>
  <c r="J309" i="26"/>
  <c r="E309" i="26"/>
  <c r="L309" i="26"/>
  <c r="J646" i="26"/>
  <c r="G646" i="26"/>
  <c r="L646" i="26"/>
  <c r="Q646" i="26"/>
  <c r="O646" i="26"/>
  <c r="E646" i="26"/>
  <c r="K646" i="26" s="1"/>
  <c r="L36" i="26"/>
  <c r="Q36" i="26"/>
  <c r="J36" i="26"/>
  <c r="O36" i="26"/>
  <c r="G36" i="26"/>
  <c r="E36" i="26"/>
  <c r="J157" i="26"/>
  <c r="Q157" i="26"/>
  <c r="O157" i="26"/>
  <c r="G157" i="26"/>
  <c r="L157" i="26"/>
  <c r="E157" i="26"/>
  <c r="Q440" i="26"/>
  <c r="J440" i="26"/>
  <c r="G440" i="26"/>
  <c r="E440" i="26"/>
  <c r="O440" i="26"/>
  <c r="L440" i="26"/>
  <c r="E730" i="26"/>
  <c r="O730" i="26"/>
  <c r="L730" i="26"/>
  <c r="J730" i="26"/>
  <c r="G730" i="26"/>
  <c r="Q730" i="26"/>
  <c r="O731" i="26"/>
  <c r="G731" i="26"/>
  <c r="L731" i="26"/>
  <c r="J731" i="26"/>
  <c r="Q731" i="26"/>
  <c r="E731" i="26"/>
  <c r="L263" i="26"/>
  <c r="G263" i="26"/>
  <c r="Q263" i="26"/>
  <c r="O263" i="26"/>
  <c r="E263" i="26"/>
  <c r="J263" i="26"/>
  <c r="J248" i="26"/>
  <c r="O248" i="26"/>
  <c r="Q248" i="26"/>
  <c r="G248" i="26"/>
  <c r="L248" i="26"/>
  <c r="E248" i="26"/>
  <c r="Q774" i="26"/>
  <c r="G774" i="26"/>
  <c r="L774" i="26"/>
  <c r="O774" i="26"/>
  <c r="J774" i="26"/>
  <c r="E774" i="26"/>
  <c r="Q170" i="26"/>
  <c r="G170" i="26"/>
  <c r="J170" i="26"/>
  <c r="L170" i="26"/>
  <c r="O170" i="26"/>
  <c r="E170" i="26"/>
  <c r="Q331" i="26"/>
  <c r="L331" i="26"/>
  <c r="G331" i="26"/>
  <c r="E331" i="26"/>
  <c r="J331" i="26"/>
  <c r="O331" i="26"/>
  <c r="J490" i="26"/>
  <c r="G490" i="26"/>
  <c r="O490" i="26"/>
  <c r="L490" i="26"/>
  <c r="E490" i="26"/>
  <c r="Q490" i="26"/>
  <c r="G463" i="26"/>
  <c r="Q463" i="26"/>
  <c r="O463" i="26"/>
  <c r="L463" i="26"/>
  <c r="J463" i="26"/>
  <c r="E463" i="26"/>
  <c r="O251" i="26"/>
  <c r="L251" i="26"/>
  <c r="Q251" i="26"/>
  <c r="J251" i="26"/>
  <c r="G251" i="26"/>
  <c r="E251" i="26"/>
  <c r="L738" i="26"/>
  <c r="G738" i="26"/>
  <c r="J738" i="26"/>
  <c r="O738" i="26"/>
  <c r="Q738" i="26"/>
  <c r="E738" i="26"/>
  <c r="K738" i="26" s="1"/>
  <c r="M588" i="26"/>
  <c r="O778" i="26"/>
  <c r="L778" i="26"/>
  <c r="G778" i="26"/>
  <c r="E778" i="26"/>
  <c r="Q778" i="26"/>
  <c r="J778" i="26"/>
  <c r="O617" i="26"/>
  <c r="G617" i="26"/>
  <c r="L617" i="26"/>
  <c r="Q617" i="26"/>
  <c r="J617" i="26"/>
  <c r="E617" i="26"/>
  <c r="L791" i="26"/>
  <c r="J791" i="26"/>
  <c r="Q791" i="26"/>
  <c r="G791" i="26"/>
  <c r="O791" i="26"/>
  <c r="E791" i="26"/>
  <c r="Q312" i="26"/>
  <c r="J312" i="26"/>
  <c r="L312" i="26"/>
  <c r="G312" i="26"/>
  <c r="O312" i="26"/>
  <c r="E312" i="26"/>
  <c r="E141" i="26"/>
  <c r="Q141" i="26"/>
  <c r="L141" i="26"/>
  <c r="J141" i="26"/>
  <c r="G141" i="26"/>
  <c r="O141" i="26"/>
  <c r="J540" i="26"/>
  <c r="G540" i="26"/>
  <c r="Q540" i="26"/>
  <c r="L540" i="26"/>
  <c r="O540" i="26"/>
  <c r="E540" i="26"/>
  <c r="J303" i="26"/>
  <c r="G303" i="26"/>
  <c r="L303" i="26"/>
  <c r="Q303" i="26"/>
  <c r="O303" i="26"/>
  <c r="E303" i="26"/>
  <c r="K303" i="26" s="1"/>
  <c r="O218" i="26"/>
  <c r="L218" i="26"/>
  <c r="J218" i="26"/>
  <c r="G218" i="26"/>
  <c r="Q218" i="26"/>
  <c r="E218" i="26"/>
  <c r="O306" i="26"/>
  <c r="G306" i="26"/>
  <c r="E306" i="26"/>
  <c r="J306" i="26"/>
  <c r="L306" i="26"/>
  <c r="Q306" i="26"/>
  <c r="Q147" i="26"/>
  <c r="G147" i="26"/>
  <c r="J147" i="26"/>
  <c r="O147" i="26"/>
  <c r="L147" i="26"/>
  <c r="E147" i="26"/>
  <c r="G676" i="26"/>
  <c r="Q676" i="26"/>
  <c r="O676" i="26"/>
  <c r="J676" i="26"/>
  <c r="L676" i="26"/>
  <c r="E676" i="26"/>
  <c r="J112" i="26"/>
  <c r="Q112" i="26"/>
  <c r="O112" i="26"/>
  <c r="L112" i="26"/>
  <c r="E112" i="26"/>
  <c r="G112" i="26"/>
  <c r="L492" i="26"/>
  <c r="G492" i="26"/>
  <c r="O492" i="26"/>
  <c r="Q492" i="26"/>
  <c r="J492" i="26"/>
  <c r="E492" i="26"/>
  <c r="K492" i="26" s="1"/>
  <c r="Q592" i="26"/>
  <c r="L592" i="26"/>
  <c r="J592" i="26"/>
  <c r="G592" i="26"/>
  <c r="O592" i="26"/>
  <c r="E592" i="26"/>
  <c r="Q565" i="26"/>
  <c r="L565" i="26"/>
  <c r="G565" i="26"/>
  <c r="O565" i="26"/>
  <c r="J565" i="26"/>
  <c r="E565" i="26"/>
  <c r="L66" i="26"/>
  <c r="O66" i="26"/>
  <c r="G66" i="26"/>
  <c r="Q66" i="26"/>
  <c r="J66" i="26"/>
  <c r="E66" i="26"/>
  <c r="L598" i="26"/>
  <c r="Q598" i="26"/>
  <c r="G598" i="26"/>
  <c r="O598" i="26"/>
  <c r="J598" i="26"/>
  <c r="E598" i="26"/>
  <c r="J69" i="26"/>
  <c r="Q69" i="26"/>
  <c r="O69" i="26"/>
  <c r="G69" i="26"/>
  <c r="L69" i="26"/>
  <c r="E69" i="26"/>
  <c r="K69" i="26" s="1"/>
  <c r="M259" i="26"/>
  <c r="O293" i="26"/>
  <c r="G293" i="26"/>
  <c r="L293" i="26"/>
  <c r="J293" i="26"/>
  <c r="Q293" i="26"/>
  <c r="E293" i="26"/>
  <c r="K293" i="26" s="1"/>
  <c r="O759" i="26"/>
  <c r="L759" i="26"/>
  <c r="Q759" i="26"/>
  <c r="G759" i="26"/>
  <c r="J759" i="26"/>
  <c r="E759" i="26"/>
  <c r="J184" i="26"/>
  <c r="O184" i="26"/>
  <c r="Q184" i="26"/>
  <c r="E184" i="26"/>
  <c r="K184" i="26" s="1"/>
  <c r="G184" i="26"/>
  <c r="L184" i="26"/>
  <c r="Q485" i="26"/>
  <c r="L485" i="26"/>
  <c r="G485" i="26"/>
  <c r="J485" i="26"/>
  <c r="O485" i="26"/>
  <c r="E485" i="26"/>
  <c r="K485" i="26" s="1"/>
  <c r="J470" i="26"/>
  <c r="Q470" i="26"/>
  <c r="O470" i="26"/>
  <c r="G470" i="26"/>
  <c r="L470" i="26"/>
  <c r="E470" i="26"/>
  <c r="F46" i="26"/>
  <c r="O225" i="26"/>
  <c r="Q225" i="26"/>
  <c r="J225" i="26"/>
  <c r="L225" i="26"/>
  <c r="E225" i="26"/>
  <c r="K225" i="26" s="1"/>
  <c r="G225" i="26"/>
  <c r="M525" i="26"/>
  <c r="L679" i="26"/>
  <c r="G679" i="26"/>
  <c r="O679" i="26"/>
  <c r="J679" i="26"/>
  <c r="Q679" i="26"/>
  <c r="E679" i="26"/>
  <c r="K679" i="26" s="1"/>
  <c r="Q535" i="26"/>
  <c r="J535" i="26"/>
  <c r="O535" i="26"/>
  <c r="L535" i="26"/>
  <c r="G535" i="26"/>
  <c r="E535" i="26"/>
  <c r="F615" i="26"/>
  <c r="Q406" i="26"/>
  <c r="E406" i="26"/>
  <c r="O406" i="26"/>
  <c r="J406" i="26"/>
  <c r="G406" i="26"/>
  <c r="L406" i="26"/>
  <c r="J288" i="26"/>
  <c r="O288" i="26"/>
  <c r="Q288" i="26"/>
  <c r="G288" i="26"/>
  <c r="L288" i="26"/>
  <c r="E288" i="26"/>
  <c r="K288" i="26" s="1"/>
  <c r="M536" i="26"/>
  <c r="G324" i="26"/>
  <c r="J324" i="26"/>
  <c r="O324" i="26"/>
  <c r="Q324" i="26"/>
  <c r="L324" i="26"/>
  <c r="E324" i="26"/>
  <c r="G450" i="26"/>
  <c r="O450" i="26"/>
  <c r="Q450" i="26"/>
  <c r="L450" i="26"/>
  <c r="J450" i="26"/>
  <c r="E450" i="26"/>
  <c r="G726" i="26"/>
  <c r="O726" i="26"/>
  <c r="J726" i="26"/>
  <c r="Q726" i="26"/>
  <c r="L726" i="26"/>
  <c r="E726" i="26"/>
  <c r="L398" i="26"/>
  <c r="Q398" i="26"/>
  <c r="O398" i="26"/>
  <c r="G398" i="26"/>
  <c r="J398" i="26"/>
  <c r="E398" i="26"/>
  <c r="L321" i="26"/>
  <c r="Q321" i="26"/>
  <c r="G321" i="26"/>
  <c r="O321" i="26"/>
  <c r="J321" i="26"/>
  <c r="E321" i="26"/>
  <c r="Q127" i="26"/>
  <c r="L127" i="26"/>
  <c r="O127" i="26"/>
  <c r="G127" i="26"/>
  <c r="J127" i="26"/>
  <c r="E127" i="26"/>
  <c r="L271" i="26"/>
  <c r="O271" i="26"/>
  <c r="Q271" i="26"/>
  <c r="G271" i="26"/>
  <c r="J271" i="26"/>
  <c r="E271" i="26"/>
  <c r="Q462" i="26"/>
  <c r="O462" i="26"/>
  <c r="J462" i="26"/>
  <c r="L462" i="26"/>
  <c r="G462" i="26"/>
  <c r="E462" i="26"/>
  <c r="L211" i="26"/>
  <c r="J211" i="26"/>
  <c r="Q211" i="26"/>
  <c r="G211" i="26"/>
  <c r="E211" i="26"/>
  <c r="O211" i="26"/>
  <c r="O790" i="26"/>
  <c r="J790" i="26"/>
  <c r="G790" i="26"/>
  <c r="L790" i="26"/>
  <c r="Q790" i="26"/>
  <c r="E790" i="26"/>
  <c r="Q595" i="26"/>
  <c r="L595" i="26"/>
  <c r="G595" i="26"/>
  <c r="J595" i="26"/>
  <c r="O595" i="26"/>
  <c r="E595" i="26"/>
  <c r="L397" i="26"/>
  <c r="O397" i="26"/>
  <c r="Q397" i="26"/>
  <c r="G397" i="26"/>
  <c r="J397" i="26"/>
  <c r="E397" i="26"/>
  <c r="L768" i="26"/>
  <c r="J768" i="26"/>
  <c r="G768" i="26"/>
  <c r="Q768" i="26"/>
  <c r="O768" i="26"/>
  <c r="E768" i="26"/>
  <c r="Q298" i="26"/>
  <c r="O298" i="26"/>
  <c r="G298" i="26"/>
  <c r="J298" i="26"/>
  <c r="L298" i="26"/>
  <c r="E298" i="26"/>
  <c r="O421" i="26"/>
  <c r="J421" i="26"/>
  <c r="Q421" i="26"/>
  <c r="L421" i="26"/>
  <c r="G421" i="26"/>
  <c r="E421" i="26"/>
  <c r="Q317" i="26"/>
  <c r="G317" i="26"/>
  <c r="O317" i="26"/>
  <c r="J317" i="26"/>
  <c r="L317" i="26"/>
  <c r="E317" i="26"/>
  <c r="K317" i="26" s="1"/>
  <c r="O65" i="26"/>
  <c r="G65" i="26"/>
  <c r="Q65" i="26"/>
  <c r="J65" i="26"/>
  <c r="L65" i="26"/>
  <c r="E65" i="26"/>
  <c r="K65" i="26" s="1"/>
  <c r="G70" i="26"/>
  <c r="O70" i="26"/>
  <c r="Q70" i="26"/>
  <c r="J70" i="26"/>
  <c r="E70" i="26"/>
  <c r="K70" i="26" s="1"/>
  <c r="L70" i="26"/>
  <c r="L344" i="26"/>
  <c r="Q344" i="26"/>
  <c r="G344" i="26"/>
  <c r="J344" i="26"/>
  <c r="O344" i="26"/>
  <c r="E344" i="26"/>
  <c r="O182" i="26"/>
  <c r="L182" i="26"/>
  <c r="Q182" i="26"/>
  <c r="J182" i="26"/>
  <c r="G182" i="26"/>
  <c r="E182" i="26"/>
  <c r="J92" i="26"/>
  <c r="L92" i="26"/>
  <c r="O92" i="26"/>
  <c r="G92" i="26"/>
  <c r="Q92" i="26"/>
  <c r="E92" i="26"/>
  <c r="Q40" i="26"/>
  <c r="L40" i="26"/>
  <c r="G40" i="26"/>
  <c r="J40" i="26"/>
  <c r="O40" i="26"/>
  <c r="E40" i="26"/>
  <c r="K40" i="26" s="1"/>
  <c r="G507" i="26"/>
  <c r="J507" i="26"/>
  <c r="Q507" i="26"/>
  <c r="O507" i="26"/>
  <c r="E507" i="26"/>
  <c r="L507" i="26"/>
  <c r="O216" i="26"/>
  <c r="G216" i="26"/>
  <c r="J216" i="26"/>
  <c r="L216" i="26"/>
  <c r="Q216" i="26"/>
  <c r="E216" i="26"/>
  <c r="K216" i="26" s="1"/>
  <c r="J349" i="26"/>
  <c r="L349" i="26"/>
  <c r="Q349" i="26"/>
  <c r="G349" i="26"/>
  <c r="O349" i="26"/>
  <c r="E349" i="26"/>
  <c r="G407" i="26"/>
  <c r="J407" i="26"/>
  <c r="L407" i="26"/>
  <c r="O407" i="26"/>
  <c r="E407" i="26"/>
  <c r="K407" i="26" s="1"/>
  <c r="Q407" i="26"/>
  <c r="O162" i="26"/>
  <c r="L162" i="26"/>
  <c r="Q162" i="26"/>
  <c r="J162" i="26"/>
  <c r="E162" i="26"/>
  <c r="G162" i="26"/>
  <c r="O73" i="26"/>
  <c r="J73" i="26"/>
  <c r="L73" i="26"/>
  <c r="G73" i="26"/>
  <c r="E73" i="26"/>
  <c r="K73" i="26" s="1"/>
  <c r="Q73" i="26"/>
  <c r="L417" i="26"/>
  <c r="Q417" i="26"/>
  <c r="G417" i="26"/>
  <c r="E417" i="26"/>
  <c r="O417" i="26"/>
  <c r="J417" i="26"/>
  <c r="O289" i="26"/>
  <c r="L289" i="26"/>
  <c r="E289" i="26"/>
  <c r="J289" i="26"/>
  <c r="G289" i="26"/>
  <c r="Q289" i="26"/>
  <c r="G323" i="26"/>
  <c r="J323" i="26"/>
  <c r="L323" i="26"/>
  <c r="O323" i="26"/>
  <c r="Q323" i="26"/>
  <c r="E323" i="26"/>
  <c r="L292" i="26"/>
  <c r="J292" i="26"/>
  <c r="O292" i="26"/>
  <c r="G292" i="26"/>
  <c r="Q292" i="26"/>
  <c r="E292" i="26"/>
  <c r="O604" i="26"/>
  <c r="G604" i="26"/>
  <c r="L604" i="26"/>
  <c r="Q604" i="26"/>
  <c r="J604" i="26"/>
  <c r="E604" i="26"/>
  <c r="L23" i="26"/>
  <c r="O23" i="26"/>
  <c r="Q23" i="26"/>
  <c r="G23" i="26"/>
  <c r="J23" i="26"/>
  <c r="E23" i="26"/>
  <c r="K23" i="26" s="1"/>
  <c r="J581" i="26"/>
  <c r="Q581" i="26"/>
  <c r="O581" i="26"/>
  <c r="G581" i="26"/>
  <c r="L581" i="26"/>
  <c r="E581" i="26"/>
  <c r="O513" i="26"/>
  <c r="L513" i="26"/>
  <c r="Q513" i="26"/>
  <c r="J513" i="26"/>
  <c r="E513" i="26"/>
  <c r="G513" i="26"/>
  <c r="O542" i="26"/>
  <c r="Q542" i="26"/>
  <c r="L542" i="26"/>
  <c r="G542" i="26"/>
  <c r="J542" i="26"/>
  <c r="E542" i="26"/>
  <c r="G328" i="26"/>
  <c r="J328" i="26"/>
  <c r="O328" i="26"/>
  <c r="Q328" i="26"/>
  <c r="L328" i="26"/>
  <c r="E328" i="26"/>
  <c r="Q725" i="26"/>
  <c r="L725" i="26"/>
  <c r="G725" i="26"/>
  <c r="J725" i="26"/>
  <c r="E725" i="26"/>
  <c r="O725" i="26"/>
  <c r="G144" i="26"/>
  <c r="O144" i="26"/>
  <c r="J144" i="26"/>
  <c r="Q144" i="26"/>
  <c r="L144" i="26"/>
  <c r="E144" i="26"/>
  <c r="Q164" i="26"/>
  <c r="J164" i="26"/>
  <c r="G164" i="26"/>
  <c r="O164" i="26"/>
  <c r="L164" i="26"/>
  <c r="E164" i="26"/>
  <c r="L221" i="26"/>
  <c r="O221" i="26"/>
  <c r="G221" i="26"/>
  <c r="J221" i="26"/>
  <c r="Q221" i="26"/>
  <c r="E221" i="26"/>
  <c r="Q794" i="26"/>
  <c r="O794" i="26"/>
  <c r="G794" i="26"/>
  <c r="L794" i="26"/>
  <c r="J794" i="26"/>
  <c r="E794" i="26"/>
  <c r="O414" i="26"/>
  <c r="J414" i="26"/>
  <c r="G414" i="26"/>
  <c r="L414" i="26"/>
  <c r="Q414" i="26"/>
  <c r="E414" i="26"/>
  <c r="O467" i="26"/>
  <c r="L467" i="26"/>
  <c r="G467" i="26"/>
  <c r="Q467" i="26"/>
  <c r="J467" i="26"/>
  <c r="E467" i="26"/>
  <c r="O480" i="26"/>
  <c r="G480" i="26"/>
  <c r="Q480" i="26"/>
  <c r="L480" i="26"/>
  <c r="J480" i="26"/>
  <c r="E480" i="26"/>
  <c r="Q442" i="26"/>
  <c r="L442" i="26"/>
  <c r="O442" i="26"/>
  <c r="G442" i="26"/>
  <c r="J442" i="26"/>
  <c r="E442" i="26"/>
  <c r="L391" i="26"/>
  <c r="Q391" i="26"/>
  <c r="O391" i="26"/>
  <c r="J391" i="26"/>
  <c r="G391" i="26"/>
  <c r="E391" i="26"/>
  <c r="L181" i="26"/>
  <c r="Q181" i="26"/>
  <c r="J181" i="26"/>
  <c r="G181" i="26"/>
  <c r="E181" i="26"/>
  <c r="O181" i="26"/>
  <c r="L530" i="26"/>
  <c r="J530" i="26"/>
  <c r="O530" i="26"/>
  <c r="G530" i="26"/>
  <c r="Q530" i="26"/>
  <c r="E530" i="26"/>
  <c r="Q249" i="26"/>
  <c r="E249" i="26"/>
  <c r="O249" i="26"/>
  <c r="J249" i="26"/>
  <c r="L249" i="26"/>
  <c r="G249" i="26"/>
  <c r="J117" i="26"/>
  <c r="O117" i="26"/>
  <c r="L117" i="26"/>
  <c r="G117" i="26"/>
  <c r="Q117" i="26"/>
  <c r="E117" i="26"/>
  <c r="L269" i="26"/>
  <c r="Q269" i="26"/>
  <c r="O269" i="26"/>
  <c r="G269" i="26"/>
  <c r="J269" i="26"/>
  <c r="E269" i="26"/>
  <c r="J488" i="26"/>
  <c r="O488" i="26"/>
  <c r="Q488" i="26"/>
  <c r="L488" i="26"/>
  <c r="G488" i="26"/>
  <c r="E488" i="26"/>
  <c r="O761" i="26"/>
  <c r="J761" i="26"/>
  <c r="G761" i="26"/>
  <c r="E761" i="26"/>
  <c r="L761" i="26"/>
  <c r="Q761" i="26"/>
  <c r="Q355" i="26"/>
  <c r="O355" i="26"/>
  <c r="L355" i="26"/>
  <c r="G355" i="26"/>
  <c r="J355" i="26"/>
  <c r="E355" i="26"/>
  <c r="G444" i="26"/>
  <c r="J444" i="26"/>
  <c r="L444" i="26"/>
  <c r="Q444" i="26"/>
  <c r="O444" i="26"/>
  <c r="E444" i="26"/>
  <c r="L529" i="26"/>
  <c r="G529" i="26"/>
  <c r="Q529" i="26"/>
  <c r="O529" i="26"/>
  <c r="E529" i="26"/>
  <c r="J529" i="26"/>
  <c r="Q688" i="26"/>
  <c r="L688" i="26"/>
  <c r="J688" i="26"/>
  <c r="G688" i="26"/>
  <c r="O688" i="26"/>
  <c r="E688" i="26"/>
  <c r="L793" i="26"/>
  <c r="G793" i="26"/>
  <c r="O793" i="26"/>
  <c r="E793" i="26"/>
  <c r="Q793" i="26"/>
  <c r="J793" i="26"/>
  <c r="O142" i="26"/>
  <c r="Q142" i="26"/>
  <c r="J142" i="26"/>
  <c r="L142" i="26"/>
  <c r="G142" i="26"/>
  <c r="E142" i="26"/>
  <c r="J456" i="26"/>
  <c r="O456" i="26"/>
  <c r="Q456" i="26"/>
  <c r="G456" i="26"/>
  <c r="E456" i="26"/>
  <c r="K456" i="26" s="1"/>
  <c r="L456" i="26"/>
  <c r="L717" i="26"/>
  <c r="G717" i="26"/>
  <c r="Q717" i="26"/>
  <c r="E717" i="26"/>
  <c r="J717" i="26"/>
  <c r="O717" i="26"/>
  <c r="J539" i="26"/>
  <c r="L539" i="26"/>
  <c r="G539" i="26"/>
  <c r="Q539" i="26"/>
  <c r="O539" i="26"/>
  <c r="E539" i="26"/>
  <c r="G682" i="26"/>
  <c r="J682" i="26"/>
  <c r="L682" i="26"/>
  <c r="O682" i="26"/>
  <c r="E682" i="26"/>
  <c r="K682" i="26" s="1"/>
  <c r="Q682" i="26"/>
  <c r="G42" i="26"/>
  <c r="J42" i="26"/>
  <c r="E42" i="26"/>
  <c r="L42" i="26"/>
  <c r="O42" i="26"/>
  <c r="Q42" i="26"/>
  <c r="Q97" i="26"/>
  <c r="J97" i="26"/>
  <c r="L97" i="26"/>
  <c r="E97" i="26"/>
  <c r="G97" i="26"/>
  <c r="O97" i="26"/>
  <c r="J219" i="26"/>
  <c r="O219" i="26"/>
  <c r="Q219" i="26"/>
  <c r="E219" i="26"/>
  <c r="L219" i="26"/>
  <c r="G219" i="26"/>
  <c r="Q675" i="26"/>
  <c r="O675" i="26"/>
  <c r="G675" i="26"/>
  <c r="L675" i="26"/>
  <c r="E675" i="26"/>
  <c r="J675" i="26"/>
  <c r="G573" i="26"/>
  <c r="J573" i="26"/>
  <c r="Q573" i="26"/>
  <c r="L573" i="26"/>
  <c r="O573" i="26"/>
  <c r="E573" i="26"/>
  <c r="O84" i="26"/>
  <c r="G84" i="26"/>
  <c r="L84" i="26"/>
  <c r="Q84" i="26"/>
  <c r="J84" i="26"/>
  <c r="E84" i="26"/>
  <c r="K84" i="26" s="1"/>
  <c r="Q169" i="26"/>
  <c r="L169" i="26"/>
  <c r="G169" i="26"/>
  <c r="J169" i="26"/>
  <c r="O169" i="26"/>
  <c r="E169" i="26"/>
  <c r="Q376" i="26"/>
  <c r="G376" i="26"/>
  <c r="L376" i="26"/>
  <c r="O376" i="26"/>
  <c r="J376" i="26"/>
  <c r="E376" i="26"/>
  <c r="L760" i="26"/>
  <c r="G760" i="26"/>
  <c r="O760" i="26"/>
  <c r="J760" i="26"/>
  <c r="Q760" i="26"/>
  <c r="E760" i="26"/>
  <c r="G695" i="26"/>
  <c r="Q695" i="26"/>
  <c r="E695" i="26"/>
  <c r="K695" i="26" s="1"/>
  <c r="J695" i="26"/>
  <c r="O695" i="26"/>
  <c r="L695" i="26"/>
  <c r="J339" i="26"/>
  <c r="Q339" i="26"/>
  <c r="G339" i="26"/>
  <c r="L339" i="26"/>
  <c r="O339" i="26"/>
  <c r="E339" i="26"/>
  <c r="Q152" i="26"/>
  <c r="O152" i="26"/>
  <c r="G152" i="26"/>
  <c r="L152" i="26"/>
  <c r="J152" i="26"/>
  <c r="E152" i="26"/>
  <c r="G524" i="26"/>
  <c r="O524" i="26"/>
  <c r="J524" i="26"/>
  <c r="E524" i="26"/>
  <c r="Q524" i="26"/>
  <c r="L524" i="26"/>
  <c r="Q229" i="26"/>
  <c r="O229" i="26"/>
  <c r="G229" i="26"/>
  <c r="E229" i="26"/>
  <c r="L229" i="26"/>
  <c r="J229" i="26"/>
  <c r="Q408" i="26"/>
  <c r="G408" i="26"/>
  <c r="J408" i="26"/>
  <c r="O408" i="26"/>
  <c r="L408" i="26"/>
  <c r="E408" i="26"/>
  <c r="K408" i="26" s="1"/>
  <c r="Q537" i="26"/>
  <c r="J537" i="26"/>
  <c r="G537" i="26"/>
  <c r="O537" i="26"/>
  <c r="L537" i="26"/>
  <c r="E537" i="26"/>
  <c r="O426" i="26"/>
  <c r="G426" i="26"/>
  <c r="Q426" i="26"/>
  <c r="J426" i="26"/>
  <c r="L426" i="26"/>
  <c r="E426" i="26"/>
  <c r="K426" i="26" s="1"/>
  <c r="L325" i="26"/>
  <c r="Q325" i="26"/>
  <c r="G325" i="26"/>
  <c r="O325" i="26"/>
  <c r="J325" i="26"/>
  <c r="E325" i="26"/>
  <c r="G780" i="26"/>
  <c r="J780" i="26"/>
  <c r="O780" i="26"/>
  <c r="Q780" i="26"/>
  <c r="L780" i="26"/>
  <c r="E780" i="26"/>
  <c r="J436" i="26"/>
  <c r="G436" i="26"/>
  <c r="O436" i="26"/>
  <c r="Q436" i="26"/>
  <c r="L436" i="26"/>
  <c r="E436" i="26"/>
  <c r="Q582" i="26"/>
  <c r="J582" i="26"/>
  <c r="G582" i="26"/>
  <c r="O582" i="26"/>
  <c r="L582" i="26"/>
  <c r="E582" i="26"/>
  <c r="G544" i="26"/>
  <c r="J544" i="26"/>
  <c r="L544" i="26"/>
  <c r="Q544" i="26"/>
  <c r="O544" i="26"/>
  <c r="E544" i="26"/>
  <c r="Q727" i="26"/>
  <c r="L727" i="26"/>
  <c r="E727" i="26"/>
  <c r="O727" i="26"/>
  <c r="G727" i="26"/>
  <c r="J727" i="26"/>
  <c r="L132" i="26"/>
  <c r="Q132" i="26"/>
  <c r="E132" i="26"/>
  <c r="K132" i="26" s="1"/>
  <c r="G132" i="26"/>
  <c r="J132" i="26"/>
  <c r="O132" i="26"/>
  <c r="O550" i="26"/>
  <c r="G550" i="26"/>
  <c r="L550" i="26"/>
  <c r="J550" i="26"/>
  <c r="Q550" i="26"/>
  <c r="E550" i="26"/>
  <c r="G165" i="26"/>
  <c r="J165" i="26"/>
  <c r="Q165" i="26"/>
  <c r="L165" i="26"/>
  <c r="O165" i="26"/>
  <c r="E165" i="26"/>
  <c r="O494" i="26"/>
  <c r="J494" i="26"/>
  <c r="G494" i="26"/>
  <c r="L494" i="26"/>
  <c r="Q494" i="26"/>
  <c r="E494" i="26"/>
  <c r="G223" i="26"/>
  <c r="Q223" i="26"/>
  <c r="E223" i="26"/>
  <c r="O223" i="26"/>
  <c r="L223" i="26"/>
  <c r="J223" i="26"/>
  <c r="E238" i="26"/>
  <c r="K238" i="26" s="1"/>
  <c r="O238" i="26"/>
  <c r="J238" i="26"/>
  <c r="Q238" i="26"/>
  <c r="L238" i="26"/>
  <c r="G238" i="26"/>
  <c r="G37" i="26"/>
  <c r="J37" i="26"/>
  <c r="Q37" i="26"/>
  <c r="L37" i="26"/>
  <c r="O37" i="26"/>
  <c r="E37" i="26"/>
  <c r="D323" i="10"/>
  <c r="P323" i="10"/>
  <c r="U323" i="10"/>
  <c r="Y323" i="10"/>
  <c r="N323" i="10"/>
  <c r="G323" i="10"/>
  <c r="AA323" i="10"/>
  <c r="M323" i="10"/>
  <c r="X323" i="10"/>
  <c r="H323" i="10"/>
  <c r="T323" i="10"/>
  <c r="R323" i="10"/>
  <c r="V323" i="10"/>
  <c r="S323" i="10"/>
  <c r="K323" i="10"/>
  <c r="W323" i="10"/>
  <c r="O323" i="10"/>
  <c r="L323" i="10"/>
  <c r="E323" i="10"/>
  <c r="Z323" i="10"/>
  <c r="F323" i="10"/>
  <c r="J323" i="10"/>
  <c r="I323" i="10"/>
  <c r="Q323" i="10"/>
  <c r="G733" i="26"/>
  <c r="O733" i="26"/>
  <c r="J733" i="26"/>
  <c r="L733" i="26"/>
  <c r="Q733" i="26"/>
  <c r="E733" i="26"/>
  <c r="Q385" i="26"/>
  <c r="O385" i="26"/>
  <c r="L385" i="26"/>
  <c r="G385" i="26"/>
  <c r="J385" i="26"/>
  <c r="E385" i="26"/>
  <c r="L773" i="26"/>
  <c r="O773" i="26"/>
  <c r="J773" i="26"/>
  <c r="G773" i="26"/>
  <c r="Q773" i="26"/>
  <c r="E773" i="26"/>
  <c r="K773" i="26" s="1"/>
  <c r="O502" i="26"/>
  <c r="L502" i="26"/>
  <c r="G502" i="26"/>
  <c r="J502" i="26"/>
  <c r="Q502" i="26"/>
  <c r="E502" i="26"/>
  <c r="L423" i="26"/>
  <c r="G423" i="26"/>
  <c r="Q423" i="26"/>
  <c r="E423" i="26"/>
  <c r="O423" i="26"/>
  <c r="J423" i="26"/>
  <c r="O461" i="26"/>
  <c r="Q461" i="26"/>
  <c r="L461" i="26"/>
  <c r="J461" i="26"/>
  <c r="G461" i="26"/>
  <c r="E461" i="26"/>
  <c r="J739" i="26"/>
  <c r="L739" i="26"/>
  <c r="G739" i="26"/>
  <c r="Q739" i="26"/>
  <c r="O739" i="26"/>
  <c r="E739" i="26"/>
  <c r="J777" i="26"/>
  <c r="O777" i="26"/>
  <c r="L777" i="26"/>
  <c r="E777" i="26"/>
  <c r="G777" i="26"/>
  <c r="Q777" i="26"/>
  <c r="O335" i="26"/>
  <c r="G335" i="26"/>
  <c r="Q335" i="26"/>
  <c r="J335" i="26"/>
  <c r="L335" i="26"/>
  <c r="E335" i="26"/>
  <c r="O594" i="26"/>
  <c r="L594" i="26"/>
  <c r="Q594" i="26"/>
  <c r="G594" i="26"/>
  <c r="J594" i="26"/>
  <c r="E594" i="26"/>
  <c r="Q57" i="26"/>
  <c r="G57" i="26"/>
  <c r="J57" i="26"/>
  <c r="O57" i="26"/>
  <c r="L57" i="26"/>
  <c r="E57" i="26"/>
  <c r="G311" i="26"/>
  <c r="Q311" i="26"/>
  <c r="L311" i="26"/>
  <c r="J311" i="26"/>
  <c r="E311" i="26"/>
  <c r="K311" i="26" s="1"/>
  <c r="O311" i="26"/>
  <c r="Q140" i="26"/>
  <c r="O140" i="26"/>
  <c r="E140" i="26"/>
  <c r="G140" i="26"/>
  <c r="J140" i="26"/>
  <c r="L140" i="26"/>
  <c r="O364" i="26"/>
  <c r="L364" i="26"/>
  <c r="G364" i="26"/>
  <c r="Q364" i="26"/>
  <c r="J364" i="26"/>
  <c r="E364" i="26"/>
  <c r="O718" i="26"/>
  <c r="J718" i="26"/>
  <c r="G718" i="26"/>
  <c r="L718" i="26"/>
  <c r="Q718" i="26"/>
  <c r="E718" i="26"/>
  <c r="Q559" i="26"/>
  <c r="O559" i="26"/>
  <c r="J559" i="26"/>
  <c r="G559" i="26"/>
  <c r="L559" i="26"/>
  <c r="E559" i="26"/>
  <c r="G386" i="26"/>
  <c r="Q386" i="26"/>
  <c r="J386" i="26"/>
  <c r="O386" i="26"/>
  <c r="L386" i="26"/>
  <c r="E386" i="26"/>
  <c r="O706" i="26"/>
  <c r="Q706" i="26"/>
  <c r="G706" i="26"/>
  <c r="L706" i="26"/>
  <c r="E706" i="26"/>
  <c r="J706" i="26"/>
  <c r="L703" i="26"/>
  <c r="Q703" i="26"/>
  <c r="O703" i="26"/>
  <c r="G703" i="26"/>
  <c r="J703" i="26"/>
  <c r="E703" i="26"/>
  <c r="Q361" i="26"/>
  <c r="J361" i="26"/>
  <c r="G361" i="26"/>
  <c r="O361" i="26"/>
  <c r="E361" i="26"/>
  <c r="L361" i="26"/>
  <c r="O370" i="26"/>
  <c r="L370" i="26"/>
  <c r="Q370" i="26"/>
  <c r="J370" i="26"/>
  <c r="G370" i="26"/>
  <c r="E370" i="26"/>
  <c r="G148" i="26"/>
  <c r="O148" i="26"/>
  <c r="L148" i="26"/>
  <c r="E148" i="26"/>
  <c r="Q148" i="26"/>
  <c r="J148" i="26"/>
  <c r="Q351" i="26"/>
  <c r="G351" i="26"/>
  <c r="J351" i="26"/>
  <c r="L351" i="26"/>
  <c r="O351" i="26"/>
  <c r="E351" i="26"/>
  <c r="O660" i="26"/>
  <c r="L660" i="26"/>
  <c r="Q660" i="26"/>
  <c r="J660" i="26"/>
  <c r="G660" i="26"/>
  <c r="E660" i="26"/>
  <c r="G621" i="26"/>
  <c r="J621" i="26"/>
  <c r="Q621" i="26"/>
  <c r="L621" i="26"/>
  <c r="E621" i="26"/>
  <c r="K621" i="26" s="1"/>
  <c r="O621" i="26"/>
  <c r="G670" i="26"/>
  <c r="O670" i="26"/>
  <c r="Q670" i="26"/>
  <c r="J670" i="26"/>
  <c r="L670" i="26"/>
  <c r="E670" i="26"/>
  <c r="Q48" i="26"/>
  <c r="G48" i="26"/>
  <c r="O48" i="26"/>
  <c r="L48" i="26"/>
  <c r="J48" i="26"/>
  <c r="E48" i="26"/>
  <c r="K48" i="26" s="1"/>
  <c r="O257" i="26"/>
  <c r="E257" i="26"/>
  <c r="J257" i="26"/>
  <c r="G257" i="26"/>
  <c r="Q257" i="26"/>
  <c r="L257" i="26"/>
  <c r="L374" i="26"/>
  <c r="O374" i="26"/>
  <c r="G374" i="26"/>
  <c r="Q374" i="26"/>
  <c r="J374" i="26"/>
  <c r="E374" i="26"/>
  <c r="Q486" i="26"/>
  <c r="O486" i="26"/>
  <c r="L486" i="26"/>
  <c r="G486" i="26"/>
  <c r="J486" i="26"/>
  <c r="E486" i="26"/>
  <c r="O45" i="26"/>
  <c r="G45" i="26"/>
  <c r="E45" i="26"/>
  <c r="L45" i="26"/>
  <c r="Q45" i="26"/>
  <c r="J45" i="26"/>
  <c r="J226" i="26"/>
  <c r="L226" i="26"/>
  <c r="Q226" i="26"/>
  <c r="E226" i="26"/>
  <c r="G226" i="26"/>
  <c r="O226" i="26"/>
  <c r="Q153" i="26"/>
  <c r="O153" i="26"/>
  <c r="G153" i="26"/>
  <c r="J153" i="26"/>
  <c r="L153" i="26"/>
  <c r="E153" i="26"/>
  <c r="L189" i="26"/>
  <c r="J189" i="26"/>
  <c r="Q189" i="26"/>
  <c r="O189" i="26"/>
  <c r="G189" i="26"/>
  <c r="E189" i="26"/>
  <c r="J533" i="26"/>
  <c r="G533" i="26"/>
  <c r="L533" i="26"/>
  <c r="Q533" i="26"/>
  <c r="O533" i="26"/>
  <c r="E533" i="26"/>
  <c r="E742" i="26"/>
  <c r="K742" i="26" s="1"/>
  <c r="G742" i="26"/>
  <c r="O742" i="26"/>
  <c r="L742" i="26"/>
  <c r="J742" i="26"/>
  <c r="Q742" i="26"/>
  <c r="J747" i="26"/>
  <c r="G747" i="26"/>
  <c r="Q747" i="26"/>
  <c r="O747" i="26"/>
  <c r="L747" i="26"/>
  <c r="E747" i="26"/>
  <c r="K747" i="26" s="1"/>
  <c r="J403" i="26"/>
  <c r="L403" i="26"/>
  <c r="G403" i="26"/>
  <c r="Q403" i="26"/>
  <c r="O403" i="26"/>
  <c r="E403" i="26"/>
  <c r="L569" i="26"/>
  <c r="G569" i="26"/>
  <c r="J569" i="26"/>
  <c r="O569" i="26"/>
  <c r="Q569" i="26"/>
  <c r="E569" i="26"/>
  <c r="O658" i="26"/>
  <c r="L658" i="26"/>
  <c r="Q658" i="26"/>
  <c r="G658" i="26"/>
  <c r="E658" i="26"/>
  <c r="J658" i="26"/>
  <c r="Q512" i="26"/>
  <c r="L512" i="26"/>
  <c r="G512" i="26"/>
  <c r="O512" i="26"/>
  <c r="J512" i="26"/>
  <c r="E512" i="26"/>
  <c r="G543" i="26"/>
  <c r="Q543" i="26"/>
  <c r="O543" i="26"/>
  <c r="L543" i="26"/>
  <c r="J543" i="26"/>
  <c r="E543" i="26"/>
  <c r="Q735" i="26"/>
  <c r="O735" i="26"/>
  <c r="G735" i="26"/>
  <c r="J735" i="26"/>
  <c r="L735" i="26"/>
  <c r="E735" i="26"/>
  <c r="Q757" i="26"/>
  <c r="L757" i="26"/>
  <c r="O757" i="26"/>
  <c r="J757" i="26"/>
  <c r="G757" i="26"/>
  <c r="E757" i="26"/>
  <c r="L381" i="26"/>
  <c r="G381" i="26"/>
  <c r="Q381" i="26"/>
  <c r="O381" i="26"/>
  <c r="J381" i="26"/>
  <c r="E381" i="26"/>
  <c r="O176" i="26"/>
  <c r="J176" i="26"/>
  <c r="Q176" i="26"/>
  <c r="L176" i="26"/>
  <c r="G176" i="26"/>
  <c r="E176" i="26"/>
  <c r="E468" i="26"/>
  <c r="K468" i="26" s="1"/>
  <c r="J468" i="26"/>
  <c r="Q468" i="26"/>
  <c r="G468" i="26"/>
  <c r="O468" i="26"/>
  <c r="L468" i="26"/>
  <c r="Q5" i="26"/>
  <c r="G5" i="26"/>
  <c r="O5" i="26"/>
  <c r="L5" i="26"/>
  <c r="J5" i="26"/>
  <c r="E5" i="26"/>
  <c r="K5" i="26" s="1"/>
  <c r="G113" i="26"/>
  <c r="J113" i="26"/>
  <c r="Q113" i="26"/>
  <c r="L113" i="26"/>
  <c r="E113" i="26"/>
  <c r="K113" i="26" s="1"/>
  <c r="O113" i="26"/>
  <c r="Q599" i="26"/>
  <c r="J599" i="26"/>
  <c r="G599" i="26"/>
  <c r="L599" i="26"/>
  <c r="O599" i="26"/>
  <c r="E599" i="26"/>
  <c r="G4" i="26"/>
  <c r="L4" i="26"/>
  <c r="O4" i="26"/>
  <c r="Q4" i="26"/>
  <c r="E4" i="26"/>
  <c r="K4" i="26" s="1"/>
  <c r="J4" i="26"/>
  <c r="O532" i="26"/>
  <c r="J532" i="26"/>
  <c r="L532" i="26"/>
  <c r="Q532" i="26"/>
  <c r="G532" i="26"/>
  <c r="E532" i="26"/>
  <c r="J497" i="26"/>
  <c r="O497" i="26"/>
  <c r="L497" i="26"/>
  <c r="G497" i="26"/>
  <c r="Q497" i="26"/>
  <c r="E497" i="26"/>
  <c r="K497" i="26" s="1"/>
  <c r="J99" i="26"/>
  <c r="G99" i="26"/>
  <c r="L99" i="26"/>
  <c r="Q99" i="26"/>
  <c r="O99" i="26"/>
  <c r="E99" i="26"/>
  <c r="G384" i="26"/>
  <c r="O384" i="26"/>
  <c r="Q384" i="26"/>
  <c r="L384" i="26"/>
  <c r="J384" i="26"/>
  <c r="E384" i="26"/>
  <c r="Q689" i="26"/>
  <c r="O689" i="26"/>
  <c r="J689" i="26"/>
  <c r="G689" i="26"/>
  <c r="E689" i="26"/>
  <c r="L689" i="26"/>
  <c r="O118" i="26"/>
  <c r="Q118" i="26"/>
  <c r="J118" i="26"/>
  <c r="L118" i="26"/>
  <c r="G118" i="26"/>
  <c r="E118" i="26"/>
  <c r="Q270" i="26"/>
  <c r="G270" i="26"/>
  <c r="L270" i="26"/>
  <c r="O270" i="26"/>
  <c r="J270" i="26"/>
  <c r="E270" i="26"/>
  <c r="O500" i="26"/>
  <c r="G500" i="26"/>
  <c r="J500" i="26"/>
  <c r="Q500" i="26"/>
  <c r="L500" i="26"/>
  <c r="E500" i="26"/>
  <c r="K500" i="26" s="1"/>
  <c r="O353" i="26"/>
  <c r="G353" i="26"/>
  <c r="J353" i="26"/>
  <c r="L353" i="26"/>
  <c r="Q353" i="26"/>
  <c r="E353" i="26"/>
  <c r="L711" i="26"/>
  <c r="O711" i="26"/>
  <c r="G711" i="26"/>
  <c r="E711" i="26"/>
  <c r="Q711" i="26"/>
  <c r="J711" i="26"/>
  <c r="G556" i="26"/>
  <c r="L556" i="26"/>
  <c r="Q556" i="26"/>
  <c r="O556" i="26"/>
  <c r="E556" i="26"/>
  <c r="J556" i="26"/>
  <c r="Q235" i="26"/>
  <c r="L235" i="26"/>
  <c r="O235" i="26"/>
  <c r="G235" i="26"/>
  <c r="E235" i="26"/>
  <c r="J235" i="26"/>
  <c r="G788" i="26"/>
  <c r="Q788" i="26"/>
  <c r="J788" i="26"/>
  <c r="O788" i="26"/>
  <c r="L788" i="26"/>
  <c r="E788" i="26"/>
  <c r="J766" i="26"/>
  <c r="L766" i="26"/>
  <c r="G766" i="26"/>
  <c r="Q766" i="26"/>
  <c r="O766" i="26"/>
  <c r="E766" i="26"/>
  <c r="Q639" i="26"/>
  <c r="J639" i="26"/>
  <c r="O639" i="26"/>
  <c r="L639" i="26"/>
  <c r="G639" i="26"/>
  <c r="E639" i="26"/>
  <c r="L593" i="26"/>
  <c r="J593" i="26"/>
  <c r="Q593" i="26"/>
  <c r="G593" i="26"/>
  <c r="O593" i="26"/>
  <c r="E593" i="26"/>
  <c r="K593" i="26" s="1"/>
  <c r="L197" i="26"/>
  <c r="O197" i="26"/>
  <c r="G197" i="26"/>
  <c r="Q197" i="26"/>
  <c r="E197" i="26"/>
  <c r="J197" i="26"/>
  <c r="J459" i="26"/>
  <c r="Q459" i="26"/>
  <c r="L459" i="26"/>
  <c r="G459" i="26"/>
  <c r="E459" i="26"/>
  <c r="K459" i="26" s="1"/>
  <c r="O459" i="26"/>
  <c r="Q783" i="26"/>
  <c r="L783" i="26"/>
  <c r="G783" i="26"/>
  <c r="E783" i="26"/>
  <c r="O783" i="26"/>
  <c r="J783" i="26"/>
  <c r="Q91" i="26"/>
  <c r="G91" i="26"/>
  <c r="L91" i="26"/>
  <c r="J91" i="26"/>
  <c r="O91" i="26"/>
  <c r="E91" i="26"/>
  <c r="L767" i="26"/>
  <c r="J767" i="26"/>
  <c r="G767" i="26"/>
  <c r="Q767" i="26"/>
  <c r="O767" i="26"/>
  <c r="E767" i="26"/>
  <c r="L362" i="26"/>
  <c r="J362" i="26"/>
  <c r="Q362" i="26"/>
  <c r="O362" i="26"/>
  <c r="E362" i="26"/>
  <c r="G362" i="26"/>
  <c r="G356" i="26"/>
  <c r="O356" i="26"/>
  <c r="L356" i="26"/>
  <c r="J356" i="26"/>
  <c r="Q356" i="26"/>
  <c r="E356" i="26"/>
  <c r="G275" i="26"/>
  <c r="Q275" i="26"/>
  <c r="L275" i="26"/>
  <c r="J275" i="26"/>
  <c r="O275" i="26"/>
  <c r="E275" i="26"/>
  <c r="L705" i="26"/>
  <c r="J705" i="26"/>
  <c r="G705" i="26"/>
  <c r="E705" i="26"/>
  <c r="Q705" i="26"/>
  <c r="O705" i="26"/>
  <c r="Q360" i="26"/>
  <c r="L360" i="26"/>
  <c r="G360" i="26"/>
  <c r="O360" i="26"/>
  <c r="J360" i="26"/>
  <c r="E360" i="26"/>
  <c r="Q368" i="26"/>
  <c r="L368" i="26"/>
  <c r="G368" i="26"/>
  <c r="O368" i="26"/>
  <c r="J368" i="26"/>
  <c r="E368" i="26"/>
  <c r="J33" i="26"/>
  <c r="Q33" i="26"/>
  <c r="O33" i="26"/>
  <c r="G33" i="26"/>
  <c r="E33" i="26"/>
  <c r="K33" i="26" s="1"/>
  <c r="L33" i="26"/>
  <c r="L175" i="26"/>
  <c r="O175" i="26"/>
  <c r="E175" i="26"/>
  <c r="Q175" i="26"/>
  <c r="J175" i="26"/>
  <c r="G175" i="26"/>
  <c r="Q17" i="26"/>
  <c r="L17" i="26"/>
  <c r="O17" i="26"/>
  <c r="G17" i="26"/>
  <c r="J17" i="26"/>
  <c r="E17" i="26"/>
  <c r="Q316" i="26"/>
  <c r="L316" i="26"/>
  <c r="G316" i="26"/>
  <c r="J316" i="26"/>
  <c r="E316" i="26"/>
  <c r="O316" i="26"/>
  <c r="O318" i="26"/>
  <c r="J318" i="26"/>
  <c r="G318" i="26"/>
  <c r="L318" i="26"/>
  <c r="E318" i="26"/>
  <c r="K318" i="26" s="1"/>
  <c r="Q318" i="26"/>
  <c r="L213" i="26"/>
  <c r="J213" i="26"/>
  <c r="O213" i="26"/>
  <c r="E213" i="26"/>
  <c r="Q213" i="26"/>
  <c r="G213" i="26"/>
  <c r="O60" i="26"/>
  <c r="G60" i="26"/>
  <c r="L60" i="26"/>
  <c r="J60" i="26"/>
  <c r="Q60" i="26"/>
  <c r="E60" i="26"/>
  <c r="K60" i="26" s="1"/>
  <c r="Q432" i="26"/>
  <c r="L432" i="26"/>
  <c r="O432" i="26"/>
  <c r="G432" i="26"/>
  <c r="J432" i="26"/>
  <c r="E432" i="26"/>
  <c r="L94" i="26"/>
  <c r="G94" i="26"/>
  <c r="O94" i="26"/>
  <c r="Q94" i="26"/>
  <c r="J94" i="26"/>
  <c r="E94" i="26"/>
  <c r="K94" i="26" s="1"/>
  <c r="O38" i="26"/>
  <c r="Q38" i="26"/>
  <c r="G38" i="26"/>
  <c r="L38" i="26"/>
  <c r="J38" i="26"/>
  <c r="E38" i="26"/>
  <c r="G707" i="26"/>
  <c r="J707" i="26"/>
  <c r="Q707" i="26"/>
  <c r="L707" i="26"/>
  <c r="E707" i="26"/>
  <c r="K707" i="26" s="1"/>
  <c r="O707" i="26"/>
  <c r="J215" i="26"/>
  <c r="L215" i="26"/>
  <c r="G215" i="26"/>
  <c r="Q215" i="26"/>
  <c r="O215" i="26"/>
  <c r="E215" i="26"/>
  <c r="L663" i="26"/>
  <c r="G663" i="26"/>
  <c r="Q663" i="26"/>
  <c r="O663" i="26"/>
  <c r="E663" i="26"/>
  <c r="J663" i="26"/>
  <c r="L272" i="26"/>
  <c r="G272" i="26"/>
  <c r="J272" i="26"/>
  <c r="O272" i="26"/>
  <c r="Q272" i="26"/>
  <c r="E272" i="26"/>
  <c r="K272" i="26" s="1"/>
  <c r="O121" i="26"/>
  <c r="L121" i="26"/>
  <c r="G121" i="26"/>
  <c r="J121" i="26"/>
  <c r="Q121" i="26"/>
  <c r="E121" i="26"/>
  <c r="G427" i="26"/>
  <c r="O427" i="26"/>
  <c r="Q427" i="26"/>
  <c r="L427" i="26"/>
  <c r="J427" i="26"/>
  <c r="E427" i="26"/>
  <c r="G72" i="26"/>
  <c r="L72" i="26"/>
  <c r="J72" i="26"/>
  <c r="O72" i="26"/>
  <c r="Q72" i="26"/>
  <c r="E72" i="26"/>
  <c r="J9" i="18"/>
  <c r="J10" i="18" s="1"/>
  <c r="J11" i="18" s="1"/>
  <c r="CQ9" i="18"/>
  <c r="CQ10" i="18" s="1"/>
  <c r="CQ11" i="18" s="1"/>
  <c r="CA9" i="18"/>
  <c r="CA10" i="18" s="1"/>
  <c r="CA11" i="18" s="1"/>
  <c r="U9" i="18"/>
  <c r="U10" i="18" s="1"/>
  <c r="U11" i="18" s="1"/>
  <c r="ES9" i="18"/>
  <c r="ES10" i="18" s="1"/>
  <c r="ES11" i="18" s="1"/>
  <c r="N9" i="18"/>
  <c r="N10" i="18" s="1"/>
  <c r="N11" i="18" s="1"/>
  <c r="BE9" i="18"/>
  <c r="BE10" i="18" s="1"/>
  <c r="BE11" i="18" s="1"/>
  <c r="BP9" i="18"/>
  <c r="BP10" i="18" s="1"/>
  <c r="BP11" i="18" s="1"/>
  <c r="EY9" i="18"/>
  <c r="EY10" i="18" s="1"/>
  <c r="EY11" i="18" s="1"/>
  <c r="CC9" i="18"/>
  <c r="CC10" i="18" s="1"/>
  <c r="CC11" i="18" s="1"/>
  <c r="FF9" i="18"/>
  <c r="FF10" i="18" s="1"/>
  <c r="FF11" i="18" s="1"/>
  <c r="F9" i="18"/>
  <c r="F10" i="18" s="1"/>
  <c r="F11" i="18" s="1"/>
  <c r="BT9" i="18"/>
  <c r="BT10" i="18" s="1"/>
  <c r="BT11" i="18" s="1"/>
  <c r="AN9" i="18"/>
  <c r="AN10" i="18" s="1"/>
  <c r="AN11" i="18" s="1"/>
  <c r="BQ9" i="18"/>
  <c r="BQ10" i="18" s="1"/>
  <c r="BQ11" i="18" s="1"/>
  <c r="EZ9" i="18"/>
  <c r="EZ10" i="18" s="1"/>
  <c r="EZ11" i="18" s="1"/>
  <c r="AS9" i="18"/>
  <c r="AS10" i="18" s="1"/>
  <c r="AS11" i="18" s="1"/>
  <c r="BW9" i="18"/>
  <c r="BW10" i="18" s="1"/>
  <c r="BW11" i="18" s="1"/>
  <c r="AQ9" i="18"/>
  <c r="AQ10" i="18" s="1"/>
  <c r="AQ11" i="18" s="1"/>
  <c r="CO9" i="18"/>
  <c r="CO10" i="18" s="1"/>
  <c r="CO11" i="18" s="1"/>
  <c r="V9" i="18"/>
  <c r="V10" i="18" s="1"/>
  <c r="V11" i="18" s="1"/>
  <c r="EI9" i="18"/>
  <c r="EI10" i="18" s="1"/>
  <c r="EI11" i="18" s="1"/>
  <c r="DU9" i="18"/>
  <c r="DU10" i="18" s="1"/>
  <c r="DU11" i="18" s="1"/>
  <c r="ET9" i="18"/>
  <c r="ET10" i="18" s="1"/>
  <c r="ET11" i="18" s="1"/>
  <c r="CX9" i="18"/>
  <c r="CX10" i="18" s="1"/>
  <c r="CX11" i="18" s="1"/>
  <c r="BB9" i="18"/>
  <c r="BB10" i="18" s="1"/>
  <c r="BB11" i="18" s="1"/>
  <c r="AA9" i="18"/>
  <c r="AA10" i="18" s="1"/>
  <c r="AA11" i="18" s="1"/>
  <c r="AH9" i="18"/>
  <c r="AH10" i="18" s="1"/>
  <c r="AH11" i="18" s="1"/>
  <c r="DR9" i="18"/>
  <c r="DR10" i="18" s="1"/>
  <c r="DR11" i="18" s="1"/>
  <c r="DI9" i="18"/>
  <c r="DI10" i="18" s="1"/>
  <c r="DI11" i="18" s="1"/>
  <c r="L9" i="18"/>
  <c r="L10" i="18" s="1"/>
  <c r="L11" i="18" s="1"/>
  <c r="DQ9" i="18"/>
  <c r="DQ10" i="18" s="1"/>
  <c r="DQ11" i="18" s="1"/>
  <c r="DO9" i="18"/>
  <c r="DO10" i="18" s="1"/>
  <c r="DO11" i="18" s="1"/>
  <c r="CH9" i="18"/>
  <c r="CH10" i="18" s="1"/>
  <c r="CH11" i="18" s="1"/>
  <c r="EP9" i="18"/>
  <c r="EP10" i="18" s="1"/>
  <c r="EP11" i="18" s="1"/>
  <c r="BR9" i="18"/>
  <c r="BR10" i="18" s="1"/>
  <c r="BR11" i="18" s="1"/>
  <c r="CG9" i="18"/>
  <c r="CG10" i="18" s="1"/>
  <c r="CG11" i="18" s="1"/>
  <c r="DB9" i="18"/>
  <c r="DB10" i="18" s="1"/>
  <c r="DB11" i="18" s="1"/>
  <c r="BN9" i="18"/>
  <c r="BN10" i="18" s="1"/>
  <c r="BN11" i="18" s="1"/>
  <c r="BH9" i="18"/>
  <c r="BH10" i="18" s="1"/>
  <c r="BH11" i="18" s="1"/>
  <c r="CJ9" i="18"/>
  <c r="CJ10" i="18" s="1"/>
  <c r="CJ11" i="18" s="1"/>
  <c r="FE9" i="18"/>
  <c r="FE10" i="18" s="1"/>
  <c r="FE11" i="18" s="1"/>
  <c r="FG9" i="18"/>
  <c r="FG10" i="18" s="1"/>
  <c r="FG11" i="18" s="1"/>
  <c r="EK9" i="18"/>
  <c r="EK10" i="18" s="1"/>
  <c r="EK11" i="18" s="1"/>
  <c r="FA9" i="18"/>
  <c r="FA10" i="18" s="1"/>
  <c r="FA11" i="18" s="1"/>
  <c r="R9" i="18"/>
  <c r="R10" i="18" s="1"/>
  <c r="R11" i="18" s="1"/>
  <c r="DV9" i="18"/>
  <c r="DV10" i="18" s="1"/>
  <c r="DV11" i="18" s="1"/>
  <c r="CU9" i="18"/>
  <c r="CU10" i="18" s="1"/>
  <c r="CU11" i="18" s="1"/>
  <c r="DG9" i="18"/>
  <c r="DG10" i="18" s="1"/>
  <c r="DG11" i="18" s="1"/>
  <c r="CB9" i="18"/>
  <c r="CB10" i="18" s="1"/>
  <c r="CB11" i="18" s="1"/>
  <c r="CM9" i="18"/>
  <c r="CM10" i="18" s="1"/>
  <c r="CM11" i="18" s="1"/>
  <c r="CP9" i="18"/>
  <c r="CP10" i="18" s="1"/>
  <c r="CP11" i="18" s="1"/>
  <c r="BF9" i="18"/>
  <c r="BF10" i="18" s="1"/>
  <c r="BF11" i="18" s="1"/>
  <c r="CN9" i="18"/>
  <c r="CN10" i="18" s="1"/>
  <c r="CN11" i="18" s="1"/>
  <c r="BK9" i="18"/>
  <c r="BK10" i="18" s="1"/>
  <c r="BK11" i="18" s="1"/>
  <c r="CI9" i="18"/>
  <c r="CI10" i="18" s="1"/>
  <c r="CI11" i="18" s="1"/>
  <c r="FH9" i="18"/>
  <c r="FH10" i="18" s="1"/>
  <c r="FH11" i="18" s="1"/>
  <c r="BS9" i="18"/>
  <c r="BS10" i="18" s="1"/>
  <c r="BS11" i="18" s="1"/>
  <c r="CF9" i="18"/>
  <c r="CF10" i="18" s="1"/>
  <c r="CF11" i="18" s="1"/>
  <c r="K9" i="18"/>
  <c r="K10" i="18" s="1"/>
  <c r="K11" i="18" s="1"/>
  <c r="EV9" i="18"/>
  <c r="EV10" i="18" s="1"/>
  <c r="EV11" i="18" s="1"/>
  <c r="AX9" i="18"/>
  <c r="AX10" i="18" s="1"/>
  <c r="AX11" i="18" s="1"/>
  <c r="ED9" i="18"/>
  <c r="ED10" i="18" s="1"/>
  <c r="ED11" i="18" s="1"/>
  <c r="I9" i="18"/>
  <c r="I10" i="18" s="1"/>
  <c r="I11" i="18" s="1"/>
  <c r="AO9" i="18"/>
  <c r="AO10" i="18" s="1"/>
  <c r="AO11" i="18" s="1"/>
  <c r="FJ9" i="18"/>
  <c r="FJ10" i="18" s="1"/>
  <c r="FJ11" i="18" s="1"/>
  <c r="CY9" i="18"/>
  <c r="CY10" i="18" s="1"/>
  <c r="CY11" i="18" s="1"/>
  <c r="EG9" i="18"/>
  <c r="EG10" i="18" s="1"/>
  <c r="EG11" i="18" s="1"/>
  <c r="C9" i="18"/>
  <c r="C10" i="18" s="1"/>
  <c r="C11" i="18" s="1"/>
  <c r="EL9" i="18"/>
  <c r="EL10" i="18" s="1"/>
  <c r="EL11" i="18" s="1"/>
  <c r="E9" i="18"/>
  <c r="E10" i="18" s="1"/>
  <c r="E11" i="18" s="1"/>
  <c r="FD9" i="18"/>
  <c r="FD10" i="18" s="1"/>
  <c r="FD11" i="18" s="1"/>
  <c r="BG9" i="18"/>
  <c r="BG10" i="18" s="1"/>
  <c r="BG11" i="18" s="1"/>
  <c r="T9" i="18"/>
  <c r="T10" i="18" s="1"/>
  <c r="T11" i="18" s="1"/>
  <c r="AR9" i="18"/>
  <c r="AR10" i="18" s="1"/>
  <c r="AR11" i="18" s="1"/>
  <c r="AU9" i="18"/>
  <c r="AU10" i="18" s="1"/>
  <c r="AU11" i="18" s="1"/>
  <c r="FB9" i="18"/>
  <c r="FB10" i="18" s="1"/>
  <c r="FB11" i="18" s="1"/>
  <c r="CK9" i="18"/>
  <c r="CK10" i="18" s="1"/>
  <c r="CK11" i="18" s="1"/>
  <c r="CS9" i="18"/>
  <c r="CS10" i="18" s="1"/>
  <c r="CS11" i="18" s="1"/>
  <c r="FM9" i="18"/>
  <c r="FM10" i="18" s="1"/>
  <c r="FM11" i="18" s="1"/>
  <c r="BM9" i="18"/>
  <c r="BM10" i="18" s="1"/>
  <c r="BM11" i="18" s="1"/>
  <c r="EW9" i="18"/>
  <c r="EW10" i="18" s="1"/>
  <c r="EW11" i="18" s="1"/>
  <c r="DL9" i="18"/>
  <c r="DL10" i="18" s="1"/>
  <c r="DL11" i="18" s="1"/>
  <c r="BI9" i="18"/>
  <c r="BI10" i="18" s="1"/>
  <c r="BI11" i="18" s="1"/>
  <c r="EA9" i="18"/>
  <c r="EA10" i="18" s="1"/>
  <c r="EA11" i="18" s="1"/>
  <c r="BZ9" i="18"/>
  <c r="BZ10" i="18" s="1"/>
  <c r="BZ11" i="18" s="1"/>
  <c r="DA9" i="18"/>
  <c r="DA10" i="18" s="1"/>
  <c r="DA11" i="18" s="1"/>
  <c r="DM9" i="18"/>
  <c r="DM10" i="18" s="1"/>
  <c r="DM11" i="18" s="1"/>
  <c r="DT9" i="18"/>
  <c r="DT10" i="18" s="1"/>
  <c r="DT11" i="18" s="1"/>
  <c r="Y9" i="18"/>
  <c r="Y10" i="18" s="1"/>
  <c r="Y11" i="18" s="1"/>
  <c r="AP9" i="18"/>
  <c r="AP10" i="18" s="1"/>
  <c r="AP11" i="18" s="1"/>
  <c r="BL9" i="18"/>
  <c r="BL10" i="18" s="1"/>
  <c r="BL11" i="18" s="1"/>
  <c r="EE9" i="18"/>
  <c r="EE10" i="18" s="1"/>
  <c r="EE11" i="18" s="1"/>
  <c r="AT9" i="18"/>
  <c r="AT10" i="18" s="1"/>
  <c r="AT11" i="18" s="1"/>
  <c r="DK9" i="18"/>
  <c r="DK10" i="18" s="1"/>
  <c r="DK11" i="18" s="1"/>
  <c r="H9" i="18"/>
  <c r="H10" i="18" s="1"/>
  <c r="H11" i="18" s="1"/>
  <c r="Q9" i="18"/>
  <c r="Q10" i="18" s="1"/>
  <c r="Q11" i="18" s="1"/>
  <c r="DH9" i="18"/>
  <c r="DH10" i="18" s="1"/>
  <c r="DH11" i="18" s="1"/>
  <c r="S9" i="18"/>
  <c r="S10" i="18" s="1"/>
  <c r="S11" i="18" s="1"/>
  <c r="O9" i="18"/>
  <c r="O10" i="18" s="1"/>
  <c r="O11" i="18" s="1"/>
  <c r="EH9" i="18"/>
  <c r="EH10" i="18" s="1"/>
  <c r="EH11" i="18" s="1"/>
  <c r="AK9" i="18"/>
  <c r="AK10" i="18" s="1"/>
  <c r="AK11" i="18" s="1"/>
  <c r="BJ9" i="18"/>
  <c r="BJ10" i="18" s="1"/>
  <c r="BJ11" i="18" s="1"/>
  <c r="DC9" i="18"/>
  <c r="DC10" i="18" s="1"/>
  <c r="DC11" i="18" s="1"/>
  <c r="DE9" i="18"/>
  <c r="DE10" i="18" s="1"/>
  <c r="DE11" i="18" s="1"/>
  <c r="W9" i="18"/>
  <c r="W10" i="18" s="1"/>
  <c r="W11" i="18" s="1"/>
  <c r="EM9" i="18"/>
  <c r="EM10" i="18" s="1"/>
  <c r="EM11" i="18" s="1"/>
  <c r="AM9" i="18"/>
  <c r="AM10" i="18" s="1"/>
  <c r="AM11" i="18" s="1"/>
  <c r="EO9" i="18"/>
  <c r="EO10" i="18" s="1"/>
  <c r="EO11" i="18" s="1"/>
  <c r="BV9" i="18"/>
  <c r="BV10" i="18" s="1"/>
  <c r="BV11" i="18" s="1"/>
  <c r="AI9" i="18"/>
  <c r="AI10" i="18" s="1"/>
  <c r="AI11" i="18" s="1"/>
  <c r="BX9" i="18"/>
  <c r="BX10" i="18" s="1"/>
  <c r="BX11" i="18" s="1"/>
  <c r="DJ9" i="18"/>
  <c r="DJ10" i="18" s="1"/>
  <c r="DJ11" i="18" s="1"/>
  <c r="AB9" i="18"/>
  <c r="AB10" i="18" s="1"/>
  <c r="AB11" i="18" s="1"/>
  <c r="CR9" i="18"/>
  <c r="CR10" i="18" s="1"/>
  <c r="CR11" i="18" s="1"/>
  <c r="EU9" i="18"/>
  <c r="EU10" i="18" s="1"/>
  <c r="EU11" i="18" s="1"/>
  <c r="ER9" i="18"/>
  <c r="ER10" i="18" s="1"/>
  <c r="ER11" i="18" s="1"/>
  <c r="DD9" i="18"/>
  <c r="DD10" i="18" s="1"/>
  <c r="DD11" i="18" s="1"/>
  <c r="AJ9" i="18"/>
  <c r="AJ10" i="18" s="1"/>
  <c r="AJ11" i="18" s="1"/>
  <c r="AV9" i="18"/>
  <c r="AV10" i="18" s="1"/>
  <c r="AV11" i="18" s="1"/>
  <c r="AL9" i="18"/>
  <c r="AL10" i="18" s="1"/>
  <c r="AL11" i="18" s="1"/>
  <c r="BA9" i="18"/>
  <c r="BA10" i="18" s="1"/>
  <c r="BA11" i="18" s="1"/>
  <c r="AD9" i="18"/>
  <c r="AD10" i="18" s="1"/>
  <c r="AD11" i="18" s="1"/>
  <c r="AG9" i="18"/>
  <c r="AG10" i="18" s="1"/>
  <c r="AG11" i="18" s="1"/>
  <c r="G9" i="18"/>
  <c r="G10" i="18" s="1"/>
  <c r="G11" i="18" s="1"/>
  <c r="EC9" i="18"/>
  <c r="EC10" i="18" s="1"/>
  <c r="EC11" i="18" s="1"/>
  <c r="M9" i="18"/>
  <c r="M10" i="18" s="1"/>
  <c r="M11" i="18" s="1"/>
  <c r="FL9" i="18"/>
  <c r="FL10" i="18" s="1"/>
  <c r="FL11" i="18" s="1"/>
  <c r="DN9" i="18"/>
  <c r="DN10" i="18" s="1"/>
  <c r="DN11" i="18" s="1"/>
  <c r="DX9" i="18"/>
  <c r="DX10" i="18" s="1"/>
  <c r="DX11" i="18" s="1"/>
  <c r="AY9" i="18"/>
  <c r="AY10" i="18" s="1"/>
  <c r="AY11" i="18" s="1"/>
  <c r="BD9" i="18"/>
  <c r="BD10" i="18" s="1"/>
  <c r="BD11" i="18" s="1"/>
  <c r="CZ9" i="18"/>
  <c r="CZ10" i="18" s="1"/>
  <c r="CZ11" i="18" s="1"/>
  <c r="DS9" i="18"/>
  <c r="DS10" i="18" s="1"/>
  <c r="DS11" i="18" s="1"/>
  <c r="EB9" i="18"/>
  <c r="EB10" i="18" s="1"/>
  <c r="EB11" i="18" s="1"/>
  <c r="DF9" i="18"/>
  <c r="DF10" i="18" s="1"/>
  <c r="DF11" i="18" s="1"/>
  <c r="DZ9" i="18"/>
  <c r="DZ10" i="18" s="1"/>
  <c r="DZ11" i="18" s="1"/>
  <c r="CE9" i="18"/>
  <c r="CE10" i="18" s="1"/>
  <c r="CE11" i="18" s="1"/>
  <c r="CL9" i="18"/>
  <c r="CL10" i="18" s="1"/>
  <c r="CL11" i="18" s="1"/>
  <c r="BU9" i="18"/>
  <c r="BU10" i="18" s="1"/>
  <c r="BU11" i="18" s="1"/>
  <c r="BY9" i="18"/>
  <c r="BY10" i="18" s="1"/>
  <c r="BY11" i="18" s="1"/>
  <c r="EJ9" i="18"/>
  <c r="EJ10" i="18" s="1"/>
  <c r="EJ11" i="18" s="1"/>
  <c r="CW9" i="18"/>
  <c r="CW10" i="18" s="1"/>
  <c r="CW11" i="18" s="1"/>
  <c r="BO9" i="18"/>
  <c r="BO10" i="18" s="1"/>
  <c r="BO11" i="18" s="1"/>
  <c r="FK9" i="18"/>
  <c r="FK10" i="18" s="1"/>
  <c r="FK11" i="18" s="1"/>
  <c r="AW9" i="18"/>
  <c r="AW10" i="18" s="1"/>
  <c r="AW11" i="18" s="1"/>
  <c r="FC9" i="18"/>
  <c r="FC10" i="18" s="1"/>
  <c r="FC11" i="18" s="1"/>
  <c r="DY9" i="18"/>
  <c r="DY10" i="18" s="1"/>
  <c r="DY11" i="18" s="1"/>
  <c r="CT9" i="18"/>
  <c r="CT10" i="18" s="1"/>
  <c r="CT11" i="18" s="1"/>
  <c r="FN9" i="18"/>
  <c r="FN10" i="18" s="1"/>
  <c r="FN11" i="18" s="1"/>
  <c r="CD9" i="18"/>
  <c r="CD10" i="18" s="1"/>
  <c r="CD11" i="18" s="1"/>
  <c r="AC9" i="18"/>
  <c r="AC10" i="18" s="1"/>
  <c r="AC11" i="18" s="1"/>
  <c r="EX9" i="18"/>
  <c r="EX10" i="18" s="1"/>
  <c r="EX11" i="18" s="1"/>
  <c r="EF9" i="18"/>
  <c r="EF10" i="18" s="1"/>
  <c r="EF11" i="18" s="1"/>
  <c r="BC9" i="18"/>
  <c r="BC10" i="18" s="1"/>
  <c r="BC11" i="18" s="1"/>
  <c r="DP9" i="18"/>
  <c r="DP10" i="18" s="1"/>
  <c r="DP11" i="18" s="1"/>
  <c r="AZ9" i="18"/>
  <c r="AZ10" i="18" s="1"/>
  <c r="AZ11" i="18" s="1"/>
  <c r="X9" i="18"/>
  <c r="X10" i="18" s="1"/>
  <c r="X11" i="18" s="1"/>
  <c r="DW9" i="18"/>
  <c r="DW10" i="18" s="1"/>
  <c r="DW11" i="18" s="1"/>
  <c r="CV9" i="18"/>
  <c r="CV10" i="18" s="1"/>
  <c r="CV11" i="18" s="1"/>
  <c r="FI9" i="18"/>
  <c r="FI10" i="18" s="1"/>
  <c r="FI11" i="18" s="1"/>
  <c r="EQ9" i="18"/>
  <c r="EQ10" i="18" s="1"/>
  <c r="EQ11" i="18" s="1"/>
  <c r="P9" i="18"/>
  <c r="P10" i="18" s="1"/>
  <c r="P11" i="18" s="1"/>
  <c r="D9" i="18"/>
  <c r="D10" i="18" s="1"/>
  <c r="D11" i="18" s="1"/>
  <c r="AE9" i="18"/>
  <c r="AE10" i="18" s="1"/>
  <c r="AE11" i="18" s="1"/>
  <c r="AF9" i="18"/>
  <c r="AF10" i="18" s="1"/>
  <c r="AF11" i="18" s="1"/>
  <c r="EN9" i="18"/>
  <c r="EN10" i="18" s="1"/>
  <c r="EN11" i="18" s="1"/>
  <c r="Z9" i="18"/>
  <c r="Z10" i="18" s="1"/>
  <c r="Z11" i="18" s="1"/>
  <c r="Q405" i="26"/>
  <c r="G405" i="26"/>
  <c r="O405" i="26"/>
  <c r="L405" i="26"/>
  <c r="J405" i="26"/>
  <c r="E405" i="26"/>
  <c r="K405" i="26" s="1"/>
  <c r="G637" i="26"/>
  <c r="Q637" i="26"/>
  <c r="L637" i="26"/>
  <c r="O637" i="26"/>
  <c r="J637" i="26"/>
  <c r="E637" i="26"/>
  <c r="O583" i="26"/>
  <c r="L583" i="26"/>
  <c r="J583" i="26"/>
  <c r="G583" i="26"/>
  <c r="Q583" i="26"/>
  <c r="E583" i="26"/>
  <c r="G648" i="26"/>
  <c r="L648" i="26"/>
  <c r="O648" i="26"/>
  <c r="Q648" i="26"/>
  <c r="J648" i="26"/>
  <c r="E648" i="26"/>
  <c r="O245" i="26"/>
  <c r="L245" i="26"/>
  <c r="J245" i="26"/>
  <c r="Q245" i="26"/>
  <c r="G245" i="26"/>
  <c r="E245" i="26"/>
  <c r="O78" i="26"/>
  <c r="G78" i="26"/>
  <c r="Q78" i="26"/>
  <c r="L78" i="26"/>
  <c r="J78" i="26"/>
  <c r="E78" i="26"/>
  <c r="K78" i="26" s="1"/>
  <c r="O192" i="26"/>
  <c r="J192" i="26"/>
  <c r="G192" i="26"/>
  <c r="Q192" i="26"/>
  <c r="L192" i="26"/>
  <c r="E192" i="26"/>
  <c r="L232" i="26"/>
  <c r="Q232" i="26"/>
  <c r="E232" i="26"/>
  <c r="K232" i="26" s="1"/>
  <c r="G232" i="26"/>
  <c r="O232" i="26"/>
  <c r="J232" i="26"/>
  <c r="L196" i="26"/>
  <c r="J196" i="26"/>
  <c r="G196" i="26"/>
  <c r="Q196" i="26"/>
  <c r="O196" i="26"/>
  <c r="E196" i="26"/>
  <c r="Q98" i="26"/>
  <c r="L98" i="26"/>
  <c r="G98" i="26"/>
  <c r="J98" i="26"/>
  <c r="O98" i="26"/>
  <c r="E98" i="26"/>
  <c r="G753" i="26"/>
  <c r="L753" i="26"/>
  <c r="J753" i="26"/>
  <c r="Q753" i="26"/>
  <c r="O753" i="26"/>
  <c r="E753" i="26"/>
  <c r="G367" i="26"/>
  <c r="O367" i="26"/>
  <c r="J367" i="26"/>
  <c r="Q367" i="26"/>
  <c r="L367" i="26"/>
  <c r="E367" i="26"/>
  <c r="L445" i="26"/>
  <c r="J445" i="26"/>
  <c r="E445" i="26"/>
  <c r="Q445" i="26"/>
  <c r="G445" i="26"/>
  <c r="O445" i="26"/>
  <c r="J638" i="26"/>
  <c r="Q638" i="26"/>
  <c r="L638" i="26"/>
  <c r="G638" i="26"/>
  <c r="O638" i="26"/>
  <c r="E638" i="26"/>
  <c r="K638" i="26" s="1"/>
  <c r="G792" i="26"/>
  <c r="J792" i="26"/>
  <c r="Q792" i="26"/>
  <c r="O792" i="26"/>
  <c r="L792" i="26"/>
  <c r="E792" i="26"/>
  <c r="J304" i="26"/>
  <c r="Q304" i="26"/>
  <c r="G304" i="26"/>
  <c r="O304" i="26"/>
  <c r="E304" i="26"/>
  <c r="L304" i="26"/>
  <c r="Q491" i="26"/>
  <c r="L491" i="26"/>
  <c r="J491" i="26"/>
  <c r="E491" i="26"/>
  <c r="G491" i="26"/>
  <c r="O491" i="26"/>
  <c r="J291" i="26"/>
  <c r="Q291" i="26"/>
  <c r="L291" i="26"/>
  <c r="G291" i="26"/>
  <c r="O291" i="26"/>
  <c r="E291" i="26"/>
  <c r="K291" i="26" s="1"/>
  <c r="F516" i="26"/>
  <c r="F583" i="26"/>
  <c r="O11" i="26"/>
  <c r="L11" i="26"/>
  <c r="J11" i="26"/>
  <c r="G11" i="26"/>
  <c r="Q11" i="26"/>
  <c r="E11" i="26"/>
  <c r="K11" i="26" s="1"/>
  <c r="L240" i="26"/>
  <c r="G240" i="26"/>
  <c r="Q240" i="26"/>
  <c r="O240" i="26"/>
  <c r="J240" i="26"/>
  <c r="E240" i="26"/>
  <c r="K240" i="26" s="1"/>
  <c r="G139" i="26"/>
  <c r="O139" i="26"/>
  <c r="E139" i="26"/>
  <c r="Q139" i="26"/>
  <c r="L139" i="26"/>
  <c r="J139" i="26"/>
  <c r="L514" i="26"/>
  <c r="Q514" i="26"/>
  <c r="G514" i="26"/>
  <c r="E514" i="26"/>
  <c r="J514" i="26"/>
  <c r="O514" i="26"/>
  <c r="Q650" i="26"/>
  <c r="G650" i="26"/>
  <c r="O650" i="26"/>
  <c r="E650" i="26"/>
  <c r="L650" i="26"/>
  <c r="J650" i="26"/>
  <c r="L736" i="26"/>
  <c r="O736" i="26"/>
  <c r="J736" i="26"/>
  <c r="Q736" i="26"/>
  <c r="G736" i="26"/>
  <c r="E736" i="26"/>
  <c r="F726" i="26"/>
  <c r="J464" i="26"/>
  <c r="L464" i="26"/>
  <c r="O464" i="26"/>
  <c r="Q464" i="26"/>
  <c r="G464" i="26"/>
  <c r="E464" i="26"/>
  <c r="K464" i="26" s="1"/>
  <c r="F20" i="26"/>
  <c r="J76" i="26"/>
  <c r="O76" i="26"/>
  <c r="Q76" i="26"/>
  <c r="L76" i="26"/>
  <c r="G76" i="26"/>
  <c r="E76" i="26"/>
  <c r="M380" i="26"/>
  <c r="G222" i="26"/>
  <c r="O222" i="26"/>
  <c r="Q222" i="26"/>
  <c r="J222" i="26"/>
  <c r="E222" i="26"/>
  <c r="K222" i="26" s="1"/>
  <c r="L222" i="26"/>
  <c r="G795" i="26"/>
  <c r="O795" i="26"/>
  <c r="L795" i="26"/>
  <c r="J795" i="26"/>
  <c r="Q795" i="26"/>
  <c r="E795" i="26"/>
  <c r="K795" i="26" s="1"/>
  <c r="Q308" i="26"/>
  <c r="G308" i="26"/>
  <c r="J308" i="26"/>
  <c r="E308" i="26"/>
  <c r="L308" i="26"/>
  <c r="O308" i="26"/>
  <c r="F15" i="26"/>
  <c r="F469" i="26"/>
  <c r="M78" i="26"/>
  <c r="G82" i="26"/>
  <c r="J82" i="26"/>
  <c r="L82" i="26"/>
  <c r="Q82" i="26"/>
  <c r="O82" i="26"/>
  <c r="E82" i="26"/>
  <c r="J390" i="26"/>
  <c r="Q390" i="26"/>
  <c r="L390" i="26"/>
  <c r="O390" i="26"/>
  <c r="G390" i="26"/>
  <c r="E390" i="26"/>
  <c r="M192" i="26"/>
  <c r="F3" i="26"/>
  <c r="M196" i="26"/>
  <c r="M498" i="26"/>
  <c r="O561" i="26"/>
  <c r="J561" i="26"/>
  <c r="L561" i="26"/>
  <c r="G561" i="26"/>
  <c r="Q561" i="26"/>
  <c r="E561" i="26"/>
  <c r="F321" i="26"/>
  <c r="M523" i="26"/>
  <c r="F127" i="26"/>
  <c r="G26" i="26"/>
  <c r="O26" i="26"/>
  <c r="Q26" i="26"/>
  <c r="L26" i="26"/>
  <c r="J26" i="26"/>
  <c r="E26" i="26"/>
  <c r="K26" i="26" s="1"/>
  <c r="M250" i="26"/>
  <c r="F753" i="26"/>
  <c r="L106" i="26"/>
  <c r="J106" i="26"/>
  <c r="Q106" i="26"/>
  <c r="E106" i="26"/>
  <c r="K106" i="26" s="1"/>
  <c r="G106" i="26"/>
  <c r="O106" i="26"/>
  <c r="M489" i="26"/>
  <c r="F462" i="26"/>
  <c r="Q672" i="26"/>
  <c r="O672" i="26"/>
  <c r="L672" i="26"/>
  <c r="J672" i="26"/>
  <c r="G672" i="26"/>
  <c r="E672" i="26"/>
  <c r="K672" i="26" s="1"/>
  <c r="M712" i="26"/>
  <c r="M211" i="26"/>
  <c r="L256" i="26"/>
  <c r="G256" i="26"/>
  <c r="O256" i="26"/>
  <c r="Q256" i="26"/>
  <c r="J256" i="26"/>
  <c r="E256" i="26"/>
  <c r="K256" i="26" s="1"/>
  <c r="G476" i="26"/>
  <c r="E476" i="26"/>
  <c r="K476" i="26" s="1"/>
  <c r="O476" i="26"/>
  <c r="Q476" i="26"/>
  <c r="L476" i="26"/>
  <c r="J476" i="26"/>
  <c r="M555" i="26"/>
  <c r="L776" i="26"/>
  <c r="Q776" i="26"/>
  <c r="O776" i="26"/>
  <c r="G776" i="26"/>
  <c r="J776" i="26"/>
  <c r="E776" i="26"/>
  <c r="L412" i="26"/>
  <c r="E412" i="26"/>
  <c r="K412" i="26" s="1"/>
  <c r="J412" i="26"/>
  <c r="G412" i="26"/>
  <c r="O412" i="26"/>
  <c r="Q412" i="26"/>
  <c r="F764" i="26"/>
  <c r="M638" i="26"/>
  <c r="L242" i="26"/>
  <c r="Q242" i="26"/>
  <c r="G242" i="26"/>
  <c r="O242" i="26"/>
  <c r="J242" i="26"/>
  <c r="E242" i="26"/>
  <c r="Q460" i="26"/>
  <c r="L460" i="26"/>
  <c r="O460" i="26"/>
  <c r="J460" i="26"/>
  <c r="G460" i="26"/>
  <c r="E460" i="26"/>
  <c r="M719" i="26"/>
  <c r="E58" i="26"/>
  <c r="L58" i="26"/>
  <c r="Q58" i="26"/>
  <c r="O58" i="26"/>
  <c r="J58" i="26"/>
  <c r="G58" i="26"/>
  <c r="M579" i="26"/>
  <c r="Q509" i="26"/>
  <c r="J509" i="26"/>
  <c r="L509" i="26"/>
  <c r="E509" i="26"/>
  <c r="O509" i="26"/>
  <c r="G509" i="26"/>
  <c r="F397" i="26"/>
  <c r="M768" i="26"/>
  <c r="M541" i="26"/>
  <c r="J586" i="26"/>
  <c r="L586" i="26"/>
  <c r="G586" i="26"/>
  <c r="O586" i="26"/>
  <c r="Q586" i="26"/>
  <c r="E586" i="26"/>
  <c r="K586" i="26" s="1"/>
  <c r="F557" i="26"/>
  <c r="F276" i="26"/>
  <c r="M713" i="26"/>
  <c r="M220" i="26"/>
  <c r="F298" i="26"/>
  <c r="M146" i="26"/>
  <c r="O352" i="26"/>
  <c r="G352" i="26"/>
  <c r="J352" i="26"/>
  <c r="L352" i="26"/>
  <c r="Q352" i="26"/>
  <c r="E352" i="26"/>
  <c r="K352" i="26" s="1"/>
  <c r="L437" i="26"/>
  <c r="J437" i="26"/>
  <c r="Q437" i="26"/>
  <c r="G437" i="26"/>
  <c r="O437" i="26"/>
  <c r="E437" i="26"/>
  <c r="K437" i="26" s="1"/>
  <c r="F572" i="26"/>
  <c r="Q204" i="26"/>
  <c r="O204" i="26"/>
  <c r="L204" i="26"/>
  <c r="G204" i="26"/>
  <c r="J204" i="26"/>
  <c r="E204" i="26"/>
  <c r="O285" i="26"/>
  <c r="Q285" i="26"/>
  <c r="G285" i="26"/>
  <c r="L285" i="26"/>
  <c r="E285" i="26"/>
  <c r="J285" i="26"/>
  <c r="O654" i="26"/>
  <c r="G654" i="26"/>
  <c r="Q654" i="26"/>
  <c r="E654" i="26"/>
  <c r="K654" i="26" s="1"/>
  <c r="J654" i="26"/>
  <c r="L654" i="26"/>
  <c r="M421" i="26"/>
  <c r="L64" i="26"/>
  <c r="J64" i="26"/>
  <c r="Q64" i="26"/>
  <c r="G64" i="26"/>
  <c r="E64" i="26"/>
  <c r="O64" i="26"/>
  <c r="F590" i="26"/>
  <c r="F564" i="26"/>
  <c r="Q693" i="26"/>
  <c r="G693" i="26"/>
  <c r="J693" i="26"/>
  <c r="O693" i="26"/>
  <c r="L693" i="26"/>
  <c r="E693" i="26"/>
  <c r="K693" i="26" s="1"/>
  <c r="F596" i="26"/>
  <c r="L799" i="26"/>
  <c r="Q799" i="26"/>
  <c r="J799" i="26"/>
  <c r="G799" i="26"/>
  <c r="O799" i="26"/>
  <c r="E799" i="26"/>
  <c r="Q433" i="26"/>
  <c r="G433" i="26"/>
  <c r="J433" i="26"/>
  <c r="O433" i="26"/>
  <c r="E433" i="26"/>
  <c r="K433" i="26" s="1"/>
  <c r="L433" i="26"/>
  <c r="L643" i="26"/>
  <c r="Q643" i="26"/>
  <c r="J643" i="26"/>
  <c r="O643" i="26"/>
  <c r="G643" i="26"/>
  <c r="E643" i="26"/>
  <c r="G342" i="26"/>
  <c r="L342" i="26"/>
  <c r="Q342" i="26"/>
  <c r="O342" i="26"/>
  <c r="J342" i="26"/>
  <c r="E342" i="26"/>
  <c r="M758" i="26"/>
  <c r="M344" i="26"/>
  <c r="M487" i="26"/>
  <c r="L472" i="26"/>
  <c r="J472" i="26"/>
  <c r="Q472" i="26"/>
  <c r="O472" i="26"/>
  <c r="G472" i="26"/>
  <c r="E472" i="26"/>
  <c r="K472" i="26" s="1"/>
  <c r="M338" i="26"/>
  <c r="M40" i="26"/>
  <c r="Q526" i="26"/>
  <c r="L526" i="26"/>
  <c r="G526" i="26"/>
  <c r="O526" i="26"/>
  <c r="J526" i="26"/>
  <c r="E526" i="26"/>
  <c r="K526" i="26" s="1"/>
  <c r="Q552" i="26"/>
  <c r="J552" i="26"/>
  <c r="L552" i="26"/>
  <c r="O552" i="26"/>
  <c r="G552" i="26"/>
  <c r="E552" i="26"/>
  <c r="K552" i="26" s="1"/>
  <c r="F507" i="26"/>
  <c r="O664" i="26"/>
  <c r="J664" i="26"/>
  <c r="Q664" i="26"/>
  <c r="L664" i="26"/>
  <c r="G664" i="26"/>
  <c r="E664" i="26"/>
  <c r="F228" i="26"/>
  <c r="F349" i="26"/>
  <c r="F274" i="26"/>
  <c r="M616" i="26"/>
  <c r="E748" i="26"/>
  <c r="J748" i="26"/>
  <c r="G748" i="26"/>
  <c r="L748" i="26"/>
  <c r="Q748" i="26"/>
  <c r="O748" i="26"/>
  <c r="F162" i="26"/>
  <c r="M417" i="26"/>
  <c r="M287" i="26"/>
  <c r="G159" i="26"/>
  <c r="J159" i="26"/>
  <c r="O159" i="26"/>
  <c r="E159" i="26"/>
  <c r="K159" i="26" s="1"/>
  <c r="Q159" i="26"/>
  <c r="L159" i="26"/>
  <c r="F292" i="26"/>
  <c r="M633" i="26"/>
  <c r="J515" i="26"/>
  <c r="L515" i="26"/>
  <c r="O515" i="26"/>
  <c r="Q515" i="26"/>
  <c r="E515" i="26"/>
  <c r="G515" i="26"/>
  <c r="M23" i="26"/>
  <c r="F449" i="26"/>
  <c r="O130" i="26"/>
  <c r="L130" i="26"/>
  <c r="Q130" i="26"/>
  <c r="J130" i="26"/>
  <c r="G130" i="26"/>
  <c r="E130" i="26"/>
  <c r="K130" i="26" s="1"/>
  <c r="F8" i="26"/>
  <c r="Q12" i="26"/>
  <c r="J12" i="26"/>
  <c r="O12" i="26"/>
  <c r="E12" i="26"/>
  <c r="G12" i="26"/>
  <c r="L12" i="26"/>
  <c r="M683" i="26"/>
  <c r="F513" i="26"/>
  <c r="M546" i="26"/>
  <c r="Q734" i="26"/>
  <c r="G734" i="26"/>
  <c r="O734" i="26"/>
  <c r="L734" i="26"/>
  <c r="J734" i="26"/>
  <c r="E734" i="26"/>
  <c r="K734" i="26" s="1"/>
  <c r="M328" i="26"/>
  <c r="F649" i="26"/>
  <c r="J577" i="26"/>
  <c r="L577" i="26"/>
  <c r="Q577" i="26"/>
  <c r="O577" i="26"/>
  <c r="G577" i="26"/>
  <c r="E577" i="26"/>
  <c r="K577" i="26" s="1"/>
  <c r="F144" i="26"/>
  <c r="Q22" i="26"/>
  <c r="G22" i="26"/>
  <c r="O22" i="26"/>
  <c r="L22" i="26"/>
  <c r="J22" i="26"/>
  <c r="E22" i="26"/>
  <c r="K22" i="26" s="1"/>
  <c r="O75" i="26"/>
  <c r="Q75" i="26"/>
  <c r="G75" i="26"/>
  <c r="J75" i="26"/>
  <c r="L75" i="26"/>
  <c r="E75" i="26"/>
  <c r="G382" i="26"/>
  <c r="Q382" i="26"/>
  <c r="L382" i="26"/>
  <c r="O382" i="26"/>
  <c r="J382" i="26"/>
  <c r="E382" i="26"/>
  <c r="E495" i="26"/>
  <c r="Q495" i="26"/>
  <c r="L495" i="26"/>
  <c r="J495" i="26"/>
  <c r="G495" i="26"/>
  <c r="O495" i="26"/>
  <c r="O136" i="26"/>
  <c r="Q136" i="26"/>
  <c r="J136" i="26"/>
  <c r="L136" i="26"/>
  <c r="G136" i="26"/>
  <c r="E136" i="26"/>
  <c r="F794" i="26"/>
  <c r="F178" i="26"/>
  <c r="M124" i="26"/>
  <c r="F467" i="26"/>
  <c r="Q35" i="26"/>
  <c r="G35" i="26"/>
  <c r="O35" i="26"/>
  <c r="E35" i="26"/>
  <c r="L35" i="26"/>
  <c r="J35" i="26"/>
  <c r="M480" i="26"/>
  <c r="M442" i="26"/>
  <c r="J601" i="26"/>
  <c r="O601" i="26"/>
  <c r="G601" i="26"/>
  <c r="Q601" i="26"/>
  <c r="L601" i="26"/>
  <c r="E601" i="26"/>
  <c r="L372" i="26"/>
  <c r="O372" i="26"/>
  <c r="G372" i="26"/>
  <c r="J372" i="26"/>
  <c r="E372" i="26"/>
  <c r="Q372" i="26"/>
  <c r="F299" i="26"/>
  <c r="Q231" i="26"/>
  <c r="L231" i="26"/>
  <c r="J231" i="26"/>
  <c r="G231" i="26"/>
  <c r="O231" i="26"/>
  <c r="E231" i="26"/>
  <c r="M951" i="26"/>
  <c r="O999" i="26"/>
  <c r="M941" i="26"/>
  <c r="Q887" i="26"/>
  <c r="M878" i="26"/>
  <c r="O957" i="26"/>
  <c r="O832" i="26"/>
  <c r="G2" i="26"/>
  <c r="L2" i="26"/>
  <c r="Q2" i="26"/>
  <c r="J2" i="26"/>
  <c r="O2" i="26"/>
  <c r="E2" i="26"/>
  <c r="F194" i="26"/>
  <c r="F530" i="26"/>
  <c r="Q264" i="26"/>
  <c r="G264" i="26"/>
  <c r="O264" i="26"/>
  <c r="L264" i="26"/>
  <c r="J264" i="26"/>
  <c r="E264" i="26"/>
  <c r="K264" i="26" s="1"/>
  <c r="L383" i="26"/>
  <c r="Q383" i="26"/>
  <c r="O383" i="26"/>
  <c r="G383" i="26"/>
  <c r="J383" i="26"/>
  <c r="E383" i="26"/>
  <c r="K383" i="26" s="1"/>
  <c r="M521" i="26"/>
  <c r="F690" i="26"/>
  <c r="L699" i="26"/>
  <c r="J699" i="26"/>
  <c r="G699" i="26"/>
  <c r="Q699" i="26"/>
  <c r="O699" i="26"/>
  <c r="E699" i="26"/>
  <c r="F249" i="26"/>
  <c r="F429" i="26"/>
  <c r="M269" i="26"/>
  <c r="G172" i="26"/>
  <c r="O172" i="26"/>
  <c r="J172" i="26"/>
  <c r="L172" i="26"/>
  <c r="Q172" i="26"/>
  <c r="E172" i="26"/>
  <c r="K172" i="26" s="1"/>
  <c r="O424" i="26"/>
  <c r="Q424" i="26"/>
  <c r="G424" i="26"/>
  <c r="L424" i="26"/>
  <c r="J424" i="26"/>
  <c r="E424" i="26"/>
  <c r="K424" i="26" s="1"/>
  <c r="M151" i="26"/>
  <c r="M488" i="26"/>
  <c r="M671" i="26"/>
  <c r="M355" i="26"/>
  <c r="G252" i="26"/>
  <c r="O252" i="26"/>
  <c r="J252" i="26"/>
  <c r="Q252" i="26"/>
  <c r="L252" i="26"/>
  <c r="E252" i="26"/>
  <c r="K252" i="26" s="1"/>
  <c r="M255" i="26"/>
  <c r="O88" i="26"/>
  <c r="L88" i="26"/>
  <c r="G88" i="26"/>
  <c r="Q88" i="26"/>
  <c r="J88" i="26"/>
  <c r="E88" i="26"/>
  <c r="M444" i="26"/>
  <c r="O554" i="26"/>
  <c r="J554" i="26"/>
  <c r="L554" i="26"/>
  <c r="Q554" i="26"/>
  <c r="E554" i="26"/>
  <c r="G554" i="26"/>
  <c r="Q789" i="26"/>
  <c r="O789" i="26"/>
  <c r="J789" i="26"/>
  <c r="L789" i="26"/>
  <c r="G789" i="26"/>
  <c r="E789" i="26"/>
  <c r="K789" i="26" s="1"/>
  <c r="F337" i="26"/>
  <c r="O640" i="26"/>
  <c r="Q640" i="26"/>
  <c r="G640" i="26"/>
  <c r="J640" i="26"/>
  <c r="L640" i="26"/>
  <c r="E640" i="26"/>
  <c r="Q618" i="26"/>
  <c r="L618" i="26"/>
  <c r="G618" i="26"/>
  <c r="J618" i="26"/>
  <c r="O618" i="26"/>
  <c r="E618" i="26"/>
  <c r="F199" i="26"/>
  <c r="Q782" i="26"/>
  <c r="J782" i="26"/>
  <c r="O782" i="26"/>
  <c r="L782" i="26"/>
  <c r="G782" i="26"/>
  <c r="E782" i="26"/>
  <c r="M688" i="26"/>
  <c r="F793" i="26"/>
  <c r="G395" i="26"/>
  <c r="L395" i="26"/>
  <c r="J395" i="26"/>
  <c r="E395" i="26"/>
  <c r="O395" i="26"/>
  <c r="Q395" i="26"/>
  <c r="M142" i="26"/>
  <c r="M474" i="26"/>
  <c r="F717" i="26"/>
  <c r="O302" i="26"/>
  <c r="G302" i="26"/>
  <c r="L302" i="26"/>
  <c r="J302" i="26"/>
  <c r="Q302" i="26"/>
  <c r="E302" i="26"/>
  <c r="K302" i="26" s="1"/>
  <c r="M387" i="26"/>
  <c r="O701" i="26"/>
  <c r="L701" i="26"/>
  <c r="G701" i="26"/>
  <c r="Q701" i="26"/>
  <c r="J701" i="26"/>
  <c r="E701" i="26"/>
  <c r="K701" i="26" s="1"/>
  <c r="J359" i="26"/>
  <c r="O359" i="26"/>
  <c r="L359" i="26"/>
  <c r="Q359" i="26"/>
  <c r="G359" i="26"/>
  <c r="E359" i="26"/>
  <c r="F97" i="26"/>
  <c r="Q297" i="26"/>
  <c r="L297" i="26"/>
  <c r="J297" i="26"/>
  <c r="E297" i="26"/>
  <c r="K297" i="26" s="1"/>
  <c r="O297" i="26"/>
  <c r="G297" i="26"/>
  <c r="F307" i="26"/>
  <c r="M350" i="26"/>
  <c r="M675" i="26"/>
  <c r="M29" i="26"/>
  <c r="L173" i="26"/>
  <c r="G173" i="26"/>
  <c r="O173" i="26"/>
  <c r="Q173" i="26"/>
  <c r="E173" i="26"/>
  <c r="K173" i="26" s="1"/>
  <c r="J173" i="26"/>
  <c r="M659" i="26"/>
  <c r="O653" i="26"/>
  <c r="L653" i="26"/>
  <c r="G653" i="26"/>
  <c r="Q653" i="26"/>
  <c r="J653" i="26"/>
  <c r="E653" i="26"/>
  <c r="J493" i="26"/>
  <c r="O493" i="26"/>
  <c r="L493" i="26"/>
  <c r="Q493" i="26"/>
  <c r="E493" i="26"/>
  <c r="G493" i="26"/>
  <c r="M609" i="26"/>
  <c r="J668" i="26"/>
  <c r="L668" i="26"/>
  <c r="G668" i="26"/>
  <c r="O668" i="26"/>
  <c r="Q668" i="26"/>
  <c r="E668" i="26"/>
  <c r="F63" i="26"/>
  <c r="O49" i="26"/>
  <c r="J49" i="26"/>
  <c r="L49" i="26"/>
  <c r="E49" i="26"/>
  <c r="K49" i="26" s="1"/>
  <c r="G49" i="26"/>
  <c r="Q49" i="26"/>
  <c r="M61" i="26"/>
  <c r="Q67" i="26"/>
  <c r="L67" i="26"/>
  <c r="J67" i="26"/>
  <c r="G67" i="26"/>
  <c r="E67" i="26"/>
  <c r="K67" i="26" s="1"/>
  <c r="O67" i="26"/>
  <c r="F798" i="26"/>
  <c r="G258" i="26"/>
  <c r="Q258" i="26"/>
  <c r="O258" i="26"/>
  <c r="L258" i="26"/>
  <c r="J258" i="26"/>
  <c r="E258" i="26"/>
  <c r="K258" i="26" s="1"/>
  <c r="F376" i="26"/>
  <c r="F520" i="26"/>
  <c r="J346" i="26"/>
  <c r="Q346" i="26"/>
  <c r="L346" i="26"/>
  <c r="O346" i="26"/>
  <c r="G346" i="26"/>
  <c r="E346" i="26"/>
  <c r="K346" i="26" s="1"/>
  <c r="Q183" i="26"/>
  <c r="O183" i="26"/>
  <c r="G183" i="26"/>
  <c r="L183" i="26"/>
  <c r="J183" i="26"/>
  <c r="E183" i="26"/>
  <c r="K183" i="26" s="1"/>
  <c r="G471" i="26"/>
  <c r="J471" i="26"/>
  <c r="L471" i="26"/>
  <c r="Q471" i="26"/>
  <c r="O471" i="26"/>
  <c r="E471" i="26"/>
  <c r="K471" i="26" s="1"/>
  <c r="Q44" i="26"/>
  <c r="O44" i="26"/>
  <c r="J44" i="26"/>
  <c r="L44" i="26"/>
  <c r="G44" i="26"/>
  <c r="E44" i="26"/>
  <c r="K44" i="26" s="1"/>
  <c r="O224" i="26"/>
  <c r="J224" i="26"/>
  <c r="G224" i="26"/>
  <c r="Q224" i="26"/>
  <c r="E224" i="26"/>
  <c r="K224" i="26" s="1"/>
  <c r="L224" i="26"/>
  <c r="M152" i="26"/>
  <c r="F709" i="26"/>
  <c r="J217" i="26"/>
  <c r="Q217" i="26"/>
  <c r="G217" i="26"/>
  <c r="L217" i="26"/>
  <c r="O217" i="26"/>
  <c r="E217" i="26"/>
  <c r="K217" i="26" s="1"/>
  <c r="L740" i="26"/>
  <c r="J740" i="26"/>
  <c r="G740" i="26"/>
  <c r="E740" i="26"/>
  <c r="K740" i="26" s="1"/>
  <c r="O740" i="26"/>
  <c r="Q740" i="26"/>
  <c r="J348" i="26"/>
  <c r="G348" i="26"/>
  <c r="L348" i="26"/>
  <c r="Q348" i="26"/>
  <c r="O348" i="26"/>
  <c r="E348" i="26"/>
  <c r="M408" i="26"/>
  <c r="O71" i="26"/>
  <c r="L71" i="26"/>
  <c r="G71" i="26"/>
  <c r="Q71" i="26"/>
  <c r="E71" i="26"/>
  <c r="K71" i="26" s="1"/>
  <c r="J71" i="26"/>
  <c r="M537" i="26"/>
  <c r="L409" i="26"/>
  <c r="E409" i="26"/>
  <c r="K409" i="26" s="1"/>
  <c r="J409" i="26"/>
  <c r="G409" i="26"/>
  <c r="O409" i="26"/>
  <c r="Q409" i="26"/>
  <c r="J290" i="26"/>
  <c r="O290" i="26"/>
  <c r="Q290" i="26"/>
  <c r="L290" i="26"/>
  <c r="G290" i="26"/>
  <c r="E290" i="26"/>
  <c r="K290" i="26" s="1"/>
  <c r="M632" i="26"/>
  <c r="L517" i="26"/>
  <c r="O517" i="26"/>
  <c r="J517" i="26"/>
  <c r="G517" i="26"/>
  <c r="Q517" i="26"/>
  <c r="E517" i="26"/>
  <c r="K517" i="26" s="1"/>
  <c r="L625" i="26"/>
  <c r="J625" i="26"/>
  <c r="Q625" i="26"/>
  <c r="G625" i="26"/>
  <c r="O625" i="26"/>
  <c r="E625" i="26"/>
  <c r="F451" i="26"/>
  <c r="G656" i="26"/>
  <c r="Q656" i="26"/>
  <c r="J656" i="26"/>
  <c r="O656" i="26"/>
  <c r="L656" i="26"/>
  <c r="E656" i="26"/>
  <c r="K656" i="26" s="1"/>
  <c r="O128" i="26"/>
  <c r="G128" i="26"/>
  <c r="Q128" i="26"/>
  <c r="J128" i="26"/>
  <c r="L128" i="26"/>
  <c r="E128" i="26"/>
  <c r="K128" i="26" s="1"/>
  <c r="O101" i="26"/>
  <c r="L101" i="26"/>
  <c r="J101" i="26"/>
  <c r="G101" i="26"/>
  <c r="Q101" i="26"/>
  <c r="E101" i="26"/>
  <c r="F13" i="26"/>
  <c r="M684" i="26"/>
  <c r="J651" i="26"/>
  <c r="L651" i="26"/>
  <c r="Q651" i="26"/>
  <c r="G651" i="26"/>
  <c r="O651" i="26"/>
  <c r="E651" i="26"/>
  <c r="M547" i="26"/>
  <c r="G327" i="26"/>
  <c r="L327" i="26"/>
  <c r="Q327" i="26"/>
  <c r="J327" i="26"/>
  <c r="O327" i="26"/>
  <c r="E327" i="26"/>
  <c r="G575" i="26"/>
  <c r="O575" i="26"/>
  <c r="L575" i="26"/>
  <c r="E575" i="26"/>
  <c r="J575" i="26"/>
  <c r="Q575" i="26"/>
  <c r="O145" i="26"/>
  <c r="G145" i="26"/>
  <c r="L145" i="26"/>
  <c r="Q145" i="26"/>
  <c r="J145" i="26"/>
  <c r="E145" i="26"/>
  <c r="K145" i="26" s="1"/>
  <c r="F755" i="26"/>
  <c r="G21" i="26"/>
  <c r="Q21" i="26"/>
  <c r="J21" i="26"/>
  <c r="L21" i="26"/>
  <c r="O21" i="26"/>
  <c r="E21" i="26"/>
  <c r="K21" i="26" s="1"/>
  <c r="F550" i="26"/>
  <c r="G612" i="26"/>
  <c r="J612" i="26"/>
  <c r="L612" i="26"/>
  <c r="Q612" i="26"/>
  <c r="O612" i="26"/>
  <c r="E612" i="26"/>
  <c r="O207" i="26"/>
  <c r="G207" i="26"/>
  <c r="Q207" i="26"/>
  <c r="L207" i="26"/>
  <c r="J207" i="26"/>
  <c r="E207" i="26"/>
  <c r="K207" i="26" s="1"/>
  <c r="M494" i="26"/>
  <c r="F202" i="26"/>
  <c r="J135" i="26"/>
  <c r="O135" i="26"/>
  <c r="Q135" i="26"/>
  <c r="G135" i="26"/>
  <c r="L135" i="26"/>
  <c r="E135" i="26"/>
  <c r="K135" i="26" s="1"/>
  <c r="L796" i="26"/>
  <c r="Q796" i="26"/>
  <c r="J796" i="26"/>
  <c r="G796" i="26"/>
  <c r="O796" i="26"/>
  <c r="E796" i="26"/>
  <c r="M644" i="26"/>
  <c r="M238" i="26"/>
  <c r="F123" i="26"/>
  <c r="F37" i="26"/>
  <c r="L156" i="26"/>
  <c r="G156" i="26"/>
  <c r="O156" i="26"/>
  <c r="Q156" i="26"/>
  <c r="J156" i="26"/>
  <c r="E156" i="26"/>
  <c r="K156" i="26" s="1"/>
  <c r="G389" i="26"/>
  <c r="J389" i="26"/>
  <c r="L389" i="26"/>
  <c r="O389" i="26"/>
  <c r="E389" i="26"/>
  <c r="K389" i="26" s="1"/>
  <c r="Q389" i="26"/>
  <c r="Q600" i="26"/>
  <c r="G600" i="26"/>
  <c r="O600" i="26"/>
  <c r="J600" i="26"/>
  <c r="L600" i="26"/>
  <c r="E600" i="26"/>
  <c r="K600" i="26" s="1"/>
  <c r="M566" i="26"/>
  <c r="F230" i="26"/>
  <c r="F179" i="26"/>
  <c r="Q195" i="26"/>
  <c r="O195" i="26"/>
  <c r="J195" i="26"/>
  <c r="L195" i="26"/>
  <c r="E195" i="26"/>
  <c r="G195" i="26"/>
  <c r="L499" i="26"/>
  <c r="E499" i="26"/>
  <c r="K499" i="26" s="1"/>
  <c r="G499" i="26"/>
  <c r="O499" i="26"/>
  <c r="J499" i="26"/>
  <c r="Q499" i="26"/>
  <c r="M560" i="26"/>
  <c r="J100" i="26"/>
  <c r="L100" i="26"/>
  <c r="Q100" i="26"/>
  <c r="G100" i="26"/>
  <c r="O100" i="26"/>
  <c r="E100" i="26"/>
  <c r="F385" i="26"/>
  <c r="M700" i="26"/>
  <c r="F502" i="26"/>
  <c r="M665" i="26"/>
  <c r="G329" i="26"/>
  <c r="Q329" i="26"/>
  <c r="J329" i="26"/>
  <c r="L329" i="26"/>
  <c r="O329" i="26"/>
  <c r="E329" i="26"/>
  <c r="F724" i="26"/>
  <c r="L365" i="26"/>
  <c r="J365" i="26"/>
  <c r="Q365" i="26"/>
  <c r="G365" i="26"/>
  <c r="O365" i="26"/>
  <c r="E365" i="26"/>
  <c r="K365" i="26" s="1"/>
  <c r="M763" i="26"/>
  <c r="G710" i="26"/>
  <c r="Q710" i="26"/>
  <c r="J710" i="26"/>
  <c r="O710" i="26"/>
  <c r="L710" i="26"/>
  <c r="E710" i="26"/>
  <c r="M209" i="26"/>
  <c r="M739" i="26"/>
  <c r="M478" i="26"/>
  <c r="J453" i="26"/>
  <c r="Q453" i="26"/>
  <c r="O453" i="26"/>
  <c r="L453" i="26"/>
  <c r="G453" i="26"/>
  <c r="E453" i="26"/>
  <c r="K453" i="26" s="1"/>
  <c r="M443" i="26"/>
  <c r="L234" i="26"/>
  <c r="O234" i="26"/>
  <c r="Q234" i="26"/>
  <c r="G234" i="26"/>
  <c r="J234" i="26"/>
  <c r="E234" i="26"/>
  <c r="J765" i="26"/>
  <c r="Q765" i="26"/>
  <c r="G765" i="26"/>
  <c r="O765" i="26"/>
  <c r="L765" i="26"/>
  <c r="E765" i="26"/>
  <c r="F528" i="26"/>
  <c r="F594" i="26"/>
  <c r="F243" i="26"/>
  <c r="L784" i="26"/>
  <c r="J784" i="26"/>
  <c r="Q784" i="26"/>
  <c r="G784" i="26"/>
  <c r="E784" i="26"/>
  <c r="O784" i="26"/>
  <c r="O268" i="26"/>
  <c r="G268" i="26"/>
  <c r="Q268" i="26"/>
  <c r="L268" i="26"/>
  <c r="J268" i="26"/>
  <c r="E268" i="26"/>
  <c r="K268" i="26" s="1"/>
  <c r="Q89" i="26"/>
  <c r="O89" i="26"/>
  <c r="L89" i="26"/>
  <c r="G89" i="26"/>
  <c r="J89" i="26"/>
  <c r="E89" i="26"/>
  <c r="F57" i="26"/>
  <c r="F787" i="26"/>
  <c r="M311" i="26"/>
  <c r="F364" i="26"/>
  <c r="F626" i="26"/>
  <c r="J358" i="26"/>
  <c r="O358" i="26"/>
  <c r="G358" i="26"/>
  <c r="Q358" i="26"/>
  <c r="L358" i="26"/>
  <c r="E358" i="26"/>
  <c r="Q585" i="26"/>
  <c r="J585" i="26"/>
  <c r="L585" i="26"/>
  <c r="O585" i="26"/>
  <c r="G585" i="26"/>
  <c r="E585" i="26"/>
  <c r="G680" i="26"/>
  <c r="L680" i="26"/>
  <c r="Q680" i="26"/>
  <c r="J680" i="26"/>
  <c r="E680" i="26"/>
  <c r="K680" i="26" s="1"/>
  <c r="O680" i="26"/>
  <c r="M386" i="26"/>
  <c r="F706" i="26"/>
  <c r="L41" i="26"/>
  <c r="J41" i="26"/>
  <c r="O41" i="26"/>
  <c r="Q41" i="26"/>
  <c r="G41" i="26"/>
  <c r="E41" i="26"/>
  <c r="M361" i="26"/>
  <c r="M283" i="26"/>
  <c r="M370" i="26"/>
  <c r="F296" i="26"/>
  <c r="M351" i="26"/>
  <c r="J34" i="26"/>
  <c r="O34" i="26"/>
  <c r="Q34" i="26"/>
  <c r="L34" i="26"/>
  <c r="E34" i="26"/>
  <c r="G34" i="26"/>
  <c r="Q205" i="26"/>
  <c r="G205" i="26"/>
  <c r="O205" i="26"/>
  <c r="J205" i="26"/>
  <c r="L205" i="26"/>
  <c r="E205" i="26"/>
  <c r="K205" i="26" s="1"/>
  <c r="M174" i="26"/>
  <c r="G655" i="26"/>
  <c r="Q655" i="26"/>
  <c r="J655" i="26"/>
  <c r="L655" i="26"/>
  <c r="O655" i="26"/>
  <c r="E655" i="26"/>
  <c r="J319" i="26"/>
  <c r="L319" i="26"/>
  <c r="O319" i="26"/>
  <c r="Q319" i="26"/>
  <c r="G319" i="26"/>
  <c r="E319" i="26"/>
  <c r="G83" i="26"/>
  <c r="L83" i="26"/>
  <c r="J83" i="26"/>
  <c r="Q83" i="26"/>
  <c r="O83" i="26"/>
  <c r="E83" i="26"/>
  <c r="G591" i="26"/>
  <c r="J591" i="26"/>
  <c r="O591" i="26"/>
  <c r="L591" i="26"/>
  <c r="Q591" i="26"/>
  <c r="E591" i="26"/>
  <c r="G212" i="26"/>
  <c r="L212" i="26"/>
  <c r="O212" i="26"/>
  <c r="J212" i="26"/>
  <c r="Q212" i="26"/>
  <c r="E212" i="26"/>
  <c r="Q59" i="26"/>
  <c r="O59" i="26"/>
  <c r="L59" i="26"/>
  <c r="J59" i="26"/>
  <c r="E59" i="26"/>
  <c r="K59" i="26" s="1"/>
  <c r="G59" i="26"/>
  <c r="Q692" i="26"/>
  <c r="L692" i="26"/>
  <c r="O692" i="26"/>
  <c r="G692" i="26"/>
  <c r="J692" i="26"/>
  <c r="E692" i="26"/>
  <c r="K692" i="26" s="1"/>
  <c r="M167" i="26"/>
  <c r="L797" i="26"/>
  <c r="J797" i="26"/>
  <c r="O797" i="26"/>
  <c r="G797" i="26"/>
  <c r="Q797" i="26"/>
  <c r="E797" i="26"/>
  <c r="K797" i="26" s="1"/>
  <c r="E68" i="26"/>
  <c r="Q68" i="26"/>
  <c r="O68" i="26"/>
  <c r="G68" i="26"/>
  <c r="L68" i="26"/>
  <c r="J68" i="26"/>
  <c r="O332" i="26"/>
  <c r="G332" i="26"/>
  <c r="J332" i="26"/>
  <c r="L332" i="26"/>
  <c r="E332" i="26"/>
  <c r="Q332" i="26"/>
  <c r="G341" i="26"/>
  <c r="O341" i="26"/>
  <c r="J341" i="26"/>
  <c r="L341" i="26"/>
  <c r="Q341" i="26"/>
  <c r="E341" i="26"/>
  <c r="K341" i="26" s="1"/>
  <c r="O295" i="26"/>
  <c r="G295" i="26"/>
  <c r="J295" i="26"/>
  <c r="E295" i="26"/>
  <c r="Q295" i="26"/>
  <c r="L295" i="26"/>
  <c r="J345" i="26"/>
  <c r="Q345" i="26"/>
  <c r="G345" i="26"/>
  <c r="L345" i="26"/>
  <c r="O345" i="26"/>
  <c r="E345" i="26"/>
  <c r="K345" i="26" s="1"/>
  <c r="F697" i="26"/>
  <c r="L750" i="26"/>
  <c r="G750" i="26"/>
  <c r="Q750" i="26"/>
  <c r="J750" i="26"/>
  <c r="O750" i="26"/>
  <c r="E750" i="26"/>
  <c r="K750" i="26" s="1"/>
  <c r="O93" i="26"/>
  <c r="E93" i="26"/>
  <c r="G93" i="26"/>
  <c r="Q93" i="26"/>
  <c r="L93" i="26"/>
  <c r="J93" i="26"/>
  <c r="M340" i="26"/>
  <c r="F226" i="26"/>
  <c r="M551" i="26"/>
  <c r="J506" i="26"/>
  <c r="L506" i="26"/>
  <c r="G506" i="26"/>
  <c r="Q506" i="26"/>
  <c r="O506" i="26"/>
  <c r="E506" i="26"/>
  <c r="K506" i="26" s="1"/>
  <c r="F189" i="26"/>
  <c r="F533" i="26"/>
  <c r="G119" i="26"/>
  <c r="Q119" i="26"/>
  <c r="J119" i="26"/>
  <c r="O119" i="26"/>
  <c r="L119" i="26"/>
  <c r="E119" i="26"/>
  <c r="K119" i="26" s="1"/>
  <c r="M747" i="26"/>
  <c r="F538" i="26"/>
  <c r="M504" i="26"/>
  <c r="F602" i="26"/>
  <c r="O779" i="26"/>
  <c r="J779" i="26"/>
  <c r="Q779" i="26"/>
  <c r="G779" i="26"/>
  <c r="L779" i="26"/>
  <c r="E779" i="26"/>
  <c r="F634" i="26"/>
  <c r="M624" i="26"/>
  <c r="Q435" i="26"/>
  <c r="G435" i="26"/>
  <c r="O435" i="26"/>
  <c r="J435" i="26"/>
  <c r="L435" i="26"/>
  <c r="E435" i="26"/>
  <c r="K435" i="26" s="1"/>
  <c r="F569" i="26"/>
  <c r="M129" i="26"/>
  <c r="Q9" i="26"/>
  <c r="L9" i="26"/>
  <c r="O9" i="26"/>
  <c r="J9" i="26"/>
  <c r="G9" i="26"/>
  <c r="E9" i="26"/>
  <c r="K9" i="26" s="1"/>
  <c r="L394" i="26"/>
  <c r="J394" i="26"/>
  <c r="G394" i="26"/>
  <c r="Q394" i="26"/>
  <c r="O394" i="26"/>
  <c r="E394" i="26"/>
  <c r="K394" i="26" s="1"/>
  <c r="O685" i="26"/>
  <c r="Q685" i="26"/>
  <c r="J685" i="26"/>
  <c r="L685" i="26"/>
  <c r="G685" i="26"/>
  <c r="E685" i="26"/>
  <c r="K685" i="26" s="1"/>
  <c r="Q652" i="26"/>
  <c r="J652" i="26"/>
  <c r="L652" i="26"/>
  <c r="O652" i="26"/>
  <c r="G652" i="26"/>
  <c r="E652" i="26"/>
  <c r="K652" i="26" s="1"/>
  <c r="M543" i="26"/>
  <c r="F735" i="26"/>
  <c r="M326" i="26"/>
  <c r="O447" i="26"/>
  <c r="L447" i="26"/>
  <c r="G447" i="26"/>
  <c r="J447" i="26"/>
  <c r="Q447" i="26"/>
  <c r="E447" i="26"/>
  <c r="Q131" i="26"/>
  <c r="J131" i="26"/>
  <c r="O131" i="26"/>
  <c r="L131" i="26"/>
  <c r="G131" i="26"/>
  <c r="E131" i="26"/>
  <c r="M757" i="26"/>
  <c r="F548" i="26"/>
  <c r="L166" i="26"/>
  <c r="Q166" i="26"/>
  <c r="G166" i="26"/>
  <c r="O166" i="26"/>
  <c r="J166" i="26"/>
  <c r="E166" i="26"/>
  <c r="F381" i="26"/>
  <c r="L496" i="26"/>
  <c r="Q496" i="26"/>
  <c r="J496" i="26"/>
  <c r="O496" i="26"/>
  <c r="G496" i="26"/>
  <c r="E496" i="26"/>
  <c r="K496" i="26" s="1"/>
  <c r="O201" i="26"/>
  <c r="J201" i="26"/>
  <c r="L201" i="26"/>
  <c r="E201" i="26"/>
  <c r="K201" i="26" s="1"/>
  <c r="G201" i="26"/>
  <c r="Q201" i="26"/>
  <c r="F309" i="26"/>
  <c r="M646" i="26"/>
  <c r="Q413" i="26"/>
  <c r="L413" i="26"/>
  <c r="G413" i="26"/>
  <c r="O413" i="26"/>
  <c r="J413" i="26"/>
  <c r="E413" i="26"/>
  <c r="K413" i="26" s="1"/>
  <c r="M468" i="26"/>
  <c r="F36" i="26"/>
  <c r="O481" i="26"/>
  <c r="L481" i="26"/>
  <c r="G481" i="26"/>
  <c r="Q481" i="26"/>
  <c r="J481" i="26"/>
  <c r="E481" i="26"/>
  <c r="K481" i="26" s="1"/>
  <c r="M440" i="26"/>
  <c r="L191" i="26"/>
  <c r="G191" i="26"/>
  <c r="O191" i="26"/>
  <c r="Q191" i="26"/>
  <c r="J191" i="26"/>
  <c r="E191" i="26"/>
  <c r="K191" i="26" s="1"/>
  <c r="M113" i="26"/>
  <c r="F730" i="26"/>
  <c r="G300" i="26"/>
  <c r="Q300" i="26"/>
  <c r="O300" i="26"/>
  <c r="L300" i="26"/>
  <c r="J300" i="26"/>
  <c r="E300" i="26"/>
  <c r="M731" i="26"/>
  <c r="M532" i="26"/>
  <c r="F263" i="26"/>
  <c r="E320" i="26"/>
  <c r="G320" i="26"/>
  <c r="J320" i="26"/>
  <c r="Q320" i="26"/>
  <c r="O320" i="26"/>
  <c r="L320" i="26"/>
  <c r="F99" i="26"/>
  <c r="M689" i="26"/>
  <c r="F774" i="26"/>
  <c r="F118" i="26"/>
  <c r="F270" i="26"/>
  <c r="F170" i="26"/>
  <c r="O605" i="26"/>
  <c r="G605" i="26"/>
  <c r="L605" i="26"/>
  <c r="E605" i="26"/>
  <c r="Q605" i="26"/>
  <c r="J605" i="26"/>
  <c r="J722" i="26"/>
  <c r="G722" i="26"/>
  <c r="L722" i="26"/>
  <c r="O722" i="26"/>
  <c r="E722" i="26"/>
  <c r="Q722" i="26"/>
  <c r="G150" i="26"/>
  <c r="J150" i="26"/>
  <c r="L150" i="26"/>
  <c r="Q150" i="26"/>
  <c r="O150" i="26"/>
  <c r="E150" i="26"/>
  <c r="K150" i="26" s="1"/>
  <c r="M463" i="26"/>
  <c r="G762" i="26"/>
  <c r="O762" i="26"/>
  <c r="L762" i="26"/>
  <c r="J762" i="26"/>
  <c r="Q762" i="26"/>
  <c r="E762" i="26"/>
  <c r="F353" i="26"/>
  <c r="F251" i="26"/>
  <c r="Q770" i="26"/>
  <c r="O770" i="26"/>
  <c r="L770" i="26"/>
  <c r="G770" i="26"/>
  <c r="J770" i="26"/>
  <c r="E770" i="26"/>
  <c r="O454" i="26"/>
  <c r="G454" i="26"/>
  <c r="J454" i="26"/>
  <c r="L454" i="26"/>
  <c r="Q454" i="26"/>
  <c r="E454" i="26"/>
  <c r="K454" i="26" s="1"/>
  <c r="M778" i="26"/>
  <c r="M235" i="26"/>
  <c r="F788" i="26"/>
  <c r="Q336" i="26"/>
  <c r="O336" i="26"/>
  <c r="J336" i="26"/>
  <c r="L336" i="26"/>
  <c r="G336" i="26"/>
  <c r="E336" i="26"/>
  <c r="K336" i="26" s="1"/>
  <c r="F639" i="26"/>
  <c r="M617" i="26"/>
  <c r="M197" i="26"/>
  <c r="M459" i="26"/>
  <c r="F91" i="26"/>
  <c r="L396" i="26"/>
  <c r="O396" i="26"/>
  <c r="J396" i="26"/>
  <c r="G396" i="26"/>
  <c r="E396" i="26"/>
  <c r="K396" i="26" s="1"/>
  <c r="Q396" i="26"/>
  <c r="M141" i="26"/>
  <c r="Q473" i="26"/>
  <c r="G473" i="26"/>
  <c r="O473" i="26"/>
  <c r="L473" i="26"/>
  <c r="E473" i="26"/>
  <c r="J473" i="26"/>
  <c r="M767" i="26"/>
  <c r="F540" i="26"/>
  <c r="M356" i="26"/>
  <c r="F275" i="26"/>
  <c r="Q702" i="26"/>
  <c r="L702" i="26"/>
  <c r="J702" i="26"/>
  <c r="G702" i="26"/>
  <c r="O702" i="26"/>
  <c r="E702" i="26"/>
  <c r="Q744" i="26"/>
  <c r="J744" i="26"/>
  <c r="L744" i="26"/>
  <c r="G744" i="26"/>
  <c r="O744" i="26"/>
  <c r="E744" i="26"/>
  <c r="K744" i="26" s="1"/>
  <c r="L714" i="26"/>
  <c r="J714" i="26"/>
  <c r="E714" i="26"/>
  <c r="G714" i="26"/>
  <c r="Q714" i="26"/>
  <c r="O714" i="26"/>
  <c r="M218" i="26"/>
  <c r="M368" i="26"/>
  <c r="M147" i="26"/>
  <c r="J439" i="26"/>
  <c r="Q439" i="26"/>
  <c r="L439" i="26"/>
  <c r="G439" i="26"/>
  <c r="O439" i="26"/>
  <c r="E439" i="26"/>
  <c r="F676" i="26"/>
  <c r="Q203" i="26"/>
  <c r="L203" i="26"/>
  <c r="G203" i="26"/>
  <c r="O203" i="26"/>
  <c r="J203" i="26"/>
  <c r="E203" i="26"/>
  <c r="K203" i="26" s="1"/>
  <c r="M112" i="26"/>
  <c r="O286" i="26"/>
  <c r="G286" i="26"/>
  <c r="L286" i="26"/>
  <c r="Q286" i="26"/>
  <c r="E286" i="26"/>
  <c r="K286" i="26" s="1"/>
  <c r="J286" i="26"/>
  <c r="F17" i="26"/>
  <c r="M316" i="26"/>
  <c r="G419" i="26"/>
  <c r="L419" i="26"/>
  <c r="Q419" i="26"/>
  <c r="J419" i="26"/>
  <c r="E419" i="26"/>
  <c r="K419" i="26" s="1"/>
  <c r="O419" i="26"/>
  <c r="F592" i="26"/>
  <c r="M565" i="26"/>
  <c r="M60" i="26"/>
  <c r="F598" i="26"/>
  <c r="O168" i="26"/>
  <c r="E168" i="26"/>
  <c r="Q168" i="26"/>
  <c r="J168" i="26"/>
  <c r="L168" i="26"/>
  <c r="G168" i="26"/>
  <c r="F432" i="26"/>
  <c r="O642" i="26"/>
  <c r="L642" i="26"/>
  <c r="G642" i="26"/>
  <c r="Q642" i="26"/>
  <c r="E642" i="26"/>
  <c r="K642" i="26" s="1"/>
  <c r="J642" i="26"/>
  <c r="Q343" i="26"/>
  <c r="G343" i="26"/>
  <c r="O343" i="26"/>
  <c r="J343" i="26"/>
  <c r="L343" i="26"/>
  <c r="E343" i="26"/>
  <c r="K343" i="26" s="1"/>
  <c r="F759" i="26"/>
  <c r="Q519" i="26"/>
  <c r="O519" i="26"/>
  <c r="G519" i="26"/>
  <c r="J519" i="26"/>
  <c r="L519" i="26"/>
  <c r="E519" i="26"/>
  <c r="M485" i="26"/>
  <c r="M470" i="26"/>
  <c r="F38" i="26"/>
  <c r="M707" i="26"/>
  <c r="M679" i="26"/>
  <c r="O378" i="26"/>
  <c r="Q378" i="26"/>
  <c r="L378" i="26"/>
  <c r="G378" i="26"/>
  <c r="J378" i="26"/>
  <c r="E378" i="26"/>
  <c r="F663" i="26"/>
  <c r="O741" i="26"/>
  <c r="J741" i="26"/>
  <c r="G741" i="26"/>
  <c r="L741" i="26"/>
  <c r="E741" i="26"/>
  <c r="K741" i="26" s="1"/>
  <c r="Q741" i="26"/>
  <c r="M272" i="26"/>
  <c r="M427" i="26"/>
  <c r="M406" i="26"/>
  <c r="Q401" i="26"/>
  <c r="O401" i="26"/>
  <c r="G401" i="26"/>
  <c r="J401" i="26"/>
  <c r="L401" i="26"/>
  <c r="E401" i="26"/>
  <c r="K401" i="26" s="1"/>
  <c r="Q418" i="26"/>
  <c r="G418" i="26"/>
  <c r="O418" i="26"/>
  <c r="L418" i="26"/>
  <c r="J418" i="26"/>
  <c r="E418" i="26"/>
  <c r="K418" i="26" s="1"/>
  <c r="M342" i="10"/>
  <c r="L342" i="10"/>
  <c r="D342" i="10"/>
  <c r="O342" i="10"/>
  <c r="I342" i="10"/>
  <c r="T342" i="10"/>
  <c r="E342" i="10"/>
  <c r="Z342" i="10"/>
  <c r="X342" i="10"/>
  <c r="U342" i="10"/>
  <c r="V342" i="10"/>
  <c r="AA342" i="10"/>
  <c r="R342" i="10"/>
  <c r="G342" i="10"/>
  <c r="S342" i="10"/>
  <c r="Y342" i="10"/>
  <c r="N342" i="10"/>
  <c r="K342" i="10"/>
  <c r="P342" i="10"/>
  <c r="Q342" i="10"/>
  <c r="W342" i="10"/>
  <c r="J342" i="10"/>
  <c r="F342" i="10"/>
  <c r="H342" i="10"/>
  <c r="L603" i="26"/>
  <c r="Q603" i="26"/>
  <c r="G603" i="26"/>
  <c r="O603" i="26"/>
  <c r="J603" i="26"/>
  <c r="E603" i="26"/>
  <c r="K603" i="26" s="1"/>
  <c r="G55" i="26"/>
  <c r="J55" i="26"/>
  <c r="O55" i="26"/>
  <c r="E55" i="26"/>
  <c r="K55" i="26" s="1"/>
  <c r="Q55" i="26"/>
  <c r="L55" i="26"/>
  <c r="J549" i="26"/>
  <c r="G549" i="26"/>
  <c r="L549" i="26"/>
  <c r="O549" i="26"/>
  <c r="Q549" i="26"/>
  <c r="E549" i="26"/>
  <c r="K549" i="26" s="1"/>
  <c r="E236" i="26"/>
  <c r="O236" i="26"/>
  <c r="Q236" i="26"/>
  <c r="G236" i="26"/>
  <c r="J236" i="26"/>
  <c r="L236" i="26"/>
  <c r="J479" i="26"/>
  <c r="Q479" i="26"/>
  <c r="G479" i="26"/>
  <c r="E479" i="26"/>
  <c r="K479" i="26" s="1"/>
  <c r="L479" i="26"/>
  <c r="O479" i="26"/>
  <c r="J568" i="26"/>
  <c r="L568" i="26"/>
  <c r="G568" i="26"/>
  <c r="O568" i="26"/>
  <c r="Q568" i="26"/>
  <c r="E568" i="26"/>
  <c r="K568" i="26" s="1"/>
  <c r="G428" i="26"/>
  <c r="O428" i="26"/>
  <c r="J428" i="26"/>
  <c r="Q428" i="26"/>
  <c r="L428" i="26"/>
  <c r="E428" i="26"/>
  <c r="K428" i="26" s="1"/>
  <c r="G723" i="26"/>
  <c r="L723" i="26"/>
  <c r="O723" i="26"/>
  <c r="J723" i="26"/>
  <c r="Q723" i="26"/>
  <c r="E723" i="26"/>
  <c r="K723" i="26" s="1"/>
  <c r="G354" i="26"/>
  <c r="L354" i="26"/>
  <c r="O354" i="26"/>
  <c r="E354" i="26"/>
  <c r="J354" i="26"/>
  <c r="Q354" i="26"/>
  <c r="L772" i="26"/>
  <c r="Q772" i="26"/>
  <c r="J772" i="26"/>
  <c r="G772" i="26"/>
  <c r="E772" i="26"/>
  <c r="O772" i="26"/>
  <c r="G50" i="26"/>
  <c r="O50" i="26"/>
  <c r="Q50" i="26"/>
  <c r="E50" i="26"/>
  <c r="K50" i="26" s="1"/>
  <c r="J50" i="26"/>
  <c r="L50" i="26"/>
  <c r="G267" i="26"/>
  <c r="J267" i="26"/>
  <c r="Q267" i="26"/>
  <c r="O267" i="26"/>
  <c r="L267" i="26"/>
  <c r="E267" i="26"/>
  <c r="G313" i="26"/>
  <c r="O313" i="26"/>
  <c r="J313" i="26"/>
  <c r="L313" i="26"/>
  <c r="Q313" i="26"/>
  <c r="E313" i="26"/>
  <c r="K313" i="26" s="1"/>
  <c r="Q704" i="26"/>
  <c r="G704" i="26"/>
  <c r="O704" i="26"/>
  <c r="L704" i="26"/>
  <c r="J704" i="26"/>
  <c r="E704" i="26"/>
  <c r="K704" i="26" s="1"/>
  <c r="O661" i="26"/>
  <c r="E661" i="26"/>
  <c r="Q661" i="26"/>
  <c r="G661" i="26"/>
  <c r="L661" i="26"/>
  <c r="J661" i="26"/>
  <c r="M324" i="26"/>
  <c r="M503" i="26"/>
  <c r="Q24" i="26"/>
  <c r="L24" i="26"/>
  <c r="G24" i="26"/>
  <c r="J24" i="26"/>
  <c r="O24" i="26"/>
  <c r="E24" i="26"/>
  <c r="J623" i="26"/>
  <c r="L623" i="26"/>
  <c r="O623" i="26"/>
  <c r="G623" i="26"/>
  <c r="Q623" i="26"/>
  <c r="E623" i="26"/>
  <c r="K623" i="26" s="1"/>
  <c r="O570" i="26"/>
  <c r="J570" i="26"/>
  <c r="L570" i="26"/>
  <c r="G570" i="26"/>
  <c r="Q570" i="26"/>
  <c r="E570" i="26"/>
  <c r="Q393" i="26"/>
  <c r="L393" i="26"/>
  <c r="G393" i="26"/>
  <c r="J393" i="26"/>
  <c r="O393" i="26"/>
  <c r="E393" i="26"/>
  <c r="F637" i="26"/>
  <c r="F503" i="26"/>
  <c r="M291" i="26"/>
  <c r="F781" i="26"/>
  <c r="M516" i="26"/>
  <c r="F24" i="26"/>
  <c r="M450" i="26"/>
  <c r="M570" i="26"/>
  <c r="Q657" i="26"/>
  <c r="O657" i="26"/>
  <c r="L657" i="26"/>
  <c r="J657" i="26"/>
  <c r="G657" i="26"/>
  <c r="E657" i="26"/>
  <c r="K657" i="26" s="1"/>
  <c r="M10" i="26"/>
  <c r="F393" i="26"/>
  <c r="M11" i="26"/>
  <c r="M55" i="26"/>
  <c r="F545" i="26"/>
  <c r="G484" i="26"/>
  <c r="E484" i="26"/>
  <c r="L484" i="26"/>
  <c r="J484" i="26"/>
  <c r="Q484" i="26"/>
  <c r="O484" i="26"/>
  <c r="F648" i="26"/>
  <c r="G446" i="26"/>
  <c r="L446" i="26"/>
  <c r="J446" i="26"/>
  <c r="Q446" i="26"/>
  <c r="O446" i="26"/>
  <c r="E446" i="26"/>
  <c r="K446" i="26" s="1"/>
  <c r="O143" i="26"/>
  <c r="L143" i="26"/>
  <c r="J143" i="26"/>
  <c r="G143" i="26"/>
  <c r="Q143" i="26"/>
  <c r="E143" i="26"/>
  <c r="F133" i="26"/>
  <c r="M20" i="26"/>
  <c r="M611" i="26"/>
  <c r="F380" i="26"/>
  <c r="G206" i="26"/>
  <c r="J206" i="26"/>
  <c r="L206" i="26"/>
  <c r="Q206" i="26"/>
  <c r="O206" i="26"/>
  <c r="E206" i="26"/>
  <c r="K206" i="26" s="1"/>
  <c r="F398" i="26"/>
  <c r="L200" i="26"/>
  <c r="J200" i="26"/>
  <c r="G200" i="26"/>
  <c r="Q200" i="26"/>
  <c r="O200" i="26"/>
  <c r="E200" i="26"/>
  <c r="M245" i="26"/>
  <c r="M15" i="26"/>
  <c r="J177" i="26"/>
  <c r="L177" i="26"/>
  <c r="G177" i="26"/>
  <c r="O177" i="26"/>
  <c r="Q177" i="26"/>
  <c r="E177" i="26"/>
  <c r="F122" i="26"/>
  <c r="M469" i="26"/>
  <c r="O7" i="26"/>
  <c r="J7" i="26"/>
  <c r="Q7" i="26"/>
  <c r="G7" i="26"/>
  <c r="L7" i="26"/>
  <c r="E7" i="26"/>
  <c r="Q313" i="10"/>
  <c r="V759" i="8" s="1"/>
  <c r="T313" i="10"/>
  <c r="V927" i="8" s="1"/>
  <c r="O313" i="10"/>
  <c r="V647" i="8" s="1"/>
  <c r="R313" i="10"/>
  <c r="V815" i="8" s="1"/>
  <c r="S313" i="10"/>
  <c r="V871" i="8" s="1"/>
  <c r="P313" i="10"/>
  <c r="V703" i="8" s="1"/>
  <c r="M315" i="10"/>
  <c r="AA535" i="8" s="1"/>
  <c r="L311" i="10"/>
  <c r="Q479" i="8" s="1"/>
  <c r="P319" i="10"/>
  <c r="AK703" i="8" s="1"/>
  <c r="U313" i="10"/>
  <c r="V983" i="8" s="1"/>
  <c r="J318" i="10"/>
  <c r="AK340" i="8" s="1"/>
  <c r="G319" i="10"/>
  <c r="AK199" i="8" s="1"/>
  <c r="F306" i="10"/>
  <c r="G116" i="8" s="1"/>
  <c r="U312" i="10"/>
  <c r="V956" i="8" s="1"/>
  <c r="D316" i="10"/>
  <c r="AF4" i="8" s="1"/>
  <c r="AA317" i="10"/>
  <c r="AF1319" i="8" s="1"/>
  <c r="J307" i="10"/>
  <c r="G367" i="8" s="1"/>
  <c r="M310" i="10"/>
  <c r="Q508" i="8" s="1"/>
  <c r="H315" i="10"/>
  <c r="AA255" i="8" s="1"/>
  <c r="J315" i="10"/>
  <c r="AA367" i="8" s="1"/>
  <c r="D311" i="10"/>
  <c r="Q31" i="8" s="1"/>
  <c r="S316" i="10"/>
  <c r="AF844" i="8" s="1"/>
  <c r="X307" i="10"/>
  <c r="G1151" i="8" s="1"/>
  <c r="X309" i="10"/>
  <c r="L1151" i="8" s="1"/>
  <c r="F307" i="10"/>
  <c r="G143" i="8" s="1"/>
  <c r="Z308" i="10"/>
  <c r="L1236" i="8" s="1"/>
  <c r="W307" i="10"/>
  <c r="G1095" i="8" s="1"/>
  <c r="V318" i="10"/>
  <c r="AK1012" i="8" s="1"/>
  <c r="Y316" i="10"/>
  <c r="AF1180" i="8" s="1"/>
  <c r="D308" i="10"/>
  <c r="L4" i="8" s="1"/>
  <c r="U316" i="10"/>
  <c r="AF956" i="8" s="1"/>
  <c r="R310" i="10"/>
  <c r="Q788" i="8" s="1"/>
  <c r="Q307" i="10"/>
  <c r="G759" i="8" s="1"/>
  <c r="L313" i="10"/>
  <c r="V479" i="8" s="1"/>
  <c r="P311" i="10"/>
  <c r="Q703" i="8" s="1"/>
  <c r="U318" i="10"/>
  <c r="AK956" i="8" s="1"/>
  <c r="N311" i="10"/>
  <c r="Q591" i="8" s="1"/>
  <c r="K309" i="10"/>
  <c r="L423" i="8" s="1"/>
  <c r="U315" i="10"/>
  <c r="AA983" i="8" s="1"/>
  <c r="AA312" i="10"/>
  <c r="V1292" i="8" s="1"/>
  <c r="U306" i="10"/>
  <c r="G956" i="8" s="1"/>
  <c r="N314" i="10"/>
  <c r="AA564" i="8" s="1"/>
  <c r="N308" i="10"/>
  <c r="L564" i="8" s="1"/>
  <c r="I319" i="10"/>
  <c r="AK311" i="8" s="1"/>
  <c r="Z314" i="10"/>
  <c r="AA1236" i="8" s="1"/>
  <c r="Z316" i="10"/>
  <c r="AF1236" i="8" s="1"/>
  <c r="Z312" i="10"/>
  <c r="V1236" i="8" s="1"/>
  <c r="L318" i="10"/>
  <c r="AK452" i="8" s="1"/>
  <c r="I317" i="10"/>
  <c r="AF311" i="8" s="1"/>
  <c r="Y315" i="10"/>
  <c r="AA1207" i="8" s="1"/>
  <c r="I310" i="10"/>
  <c r="Q284" i="8" s="1"/>
  <c r="N307" i="10"/>
  <c r="G591" i="8" s="1"/>
  <c r="T317" i="10"/>
  <c r="AF927" i="8" s="1"/>
  <c r="V307" i="10"/>
  <c r="G1039" i="8" s="1"/>
  <c r="Z309" i="10"/>
  <c r="L1263" i="8" s="1"/>
  <c r="L317" i="10"/>
  <c r="AF479" i="8" s="1"/>
  <c r="F308" i="10"/>
  <c r="L116" i="8" s="1"/>
  <c r="H317" i="10"/>
  <c r="AF255" i="8" s="1"/>
  <c r="L306" i="10"/>
  <c r="G452" i="8" s="1"/>
  <c r="N315" i="10"/>
  <c r="AA591" i="8" s="1"/>
  <c r="J311" i="10"/>
  <c r="Q367" i="8" s="1"/>
  <c r="J309" i="10"/>
  <c r="L367" i="8" s="1"/>
  <c r="R307" i="10"/>
  <c r="G815" i="8" s="1"/>
  <c r="AA315" i="10"/>
  <c r="AA1319" i="8" s="1"/>
  <c r="V317" i="10"/>
  <c r="AF1039" i="8" s="1"/>
  <c r="W311" i="10"/>
  <c r="Q1095" i="8" s="1"/>
  <c r="F312" i="10"/>
  <c r="V116" i="8" s="1"/>
  <c r="H316" i="10"/>
  <c r="AF228" i="8" s="1"/>
  <c r="Y313" i="10"/>
  <c r="V1207" i="8" s="1"/>
  <c r="I315" i="10"/>
  <c r="AA311" i="8" s="1"/>
  <c r="J306" i="10"/>
  <c r="G340" i="8" s="1"/>
  <c r="D317" i="10"/>
  <c r="AF31" i="8" s="1"/>
  <c r="AA310" i="10"/>
  <c r="Q1292" i="8" s="1"/>
  <c r="R309" i="10"/>
  <c r="L815" i="8" s="1"/>
  <c r="T309" i="10"/>
  <c r="L927" i="8" s="1"/>
  <c r="V314" i="10"/>
  <c r="AA1012" i="8" s="1"/>
  <c r="K313" i="10"/>
  <c r="V423" i="8" s="1"/>
  <c r="L314" i="10"/>
  <c r="AA452" i="8" s="1"/>
  <c r="K318" i="10"/>
  <c r="AK396" i="8" s="1"/>
  <c r="O308" i="10"/>
  <c r="L620" i="8" s="1"/>
  <c r="K311" i="10"/>
  <c r="Q423" i="8" s="1"/>
  <c r="P307" i="10"/>
  <c r="G703" i="8" s="1"/>
  <c r="G308" i="10"/>
  <c r="L172" i="8" s="1"/>
  <c r="U314" i="10"/>
  <c r="AA956" i="8" s="1"/>
  <c r="I318" i="10"/>
  <c r="AK284" i="8" s="1"/>
  <c r="T315" i="10"/>
  <c r="AA927" i="8" s="1"/>
  <c r="V309" i="10"/>
  <c r="L1039" i="8" s="1"/>
  <c r="R311" i="10"/>
  <c r="Q815" i="8" s="1"/>
  <c r="G316" i="10"/>
  <c r="AF172" i="8" s="1"/>
  <c r="O317" i="10"/>
  <c r="AF647" i="8" s="1"/>
  <c r="V312" i="10"/>
  <c r="V1012" i="8" s="1"/>
  <c r="T316" i="10"/>
  <c r="AF900" i="8" s="1"/>
  <c r="E306" i="10"/>
  <c r="G60" i="8" s="1"/>
  <c r="T306" i="10"/>
  <c r="G900" i="8" s="1"/>
  <c r="O311" i="10"/>
  <c r="Q647" i="8" s="1"/>
  <c r="E317" i="10"/>
  <c r="AF87" i="8" s="1"/>
  <c r="L316" i="10"/>
  <c r="AF452" i="8" s="1"/>
  <c r="H307" i="10"/>
  <c r="G255" i="8" s="1"/>
  <c r="E308" i="10"/>
  <c r="L60" i="8" s="1"/>
  <c r="P318" i="10"/>
  <c r="AK676" i="8" s="1"/>
  <c r="E313" i="10"/>
  <c r="V87" i="8" s="1"/>
  <c r="Y319" i="10"/>
  <c r="AK1207" i="8" s="1"/>
  <c r="R316" i="10"/>
  <c r="AF788" i="8" s="1"/>
  <c r="D318" i="10"/>
  <c r="AK4" i="8" s="1"/>
  <c r="J316" i="10"/>
  <c r="AF340" i="8" s="1"/>
  <c r="S306" i="10"/>
  <c r="G844" i="8" s="1"/>
  <c r="E310" i="10"/>
  <c r="Q60" i="8" s="1"/>
  <c r="F310" i="10"/>
  <c r="Q116" i="8" s="1"/>
  <c r="D306" i="10"/>
  <c r="AA309" i="10"/>
  <c r="L1319" i="8" s="1"/>
  <c r="X312" i="10"/>
  <c r="V1124" i="8" s="1"/>
  <c r="X306" i="10"/>
  <c r="G1124" i="8" s="1"/>
  <c r="X315" i="10"/>
  <c r="AA1151" i="8" s="1"/>
  <c r="Z307" i="10"/>
  <c r="G1263" i="8" s="1"/>
  <c r="D309" i="10"/>
  <c r="L31" i="8" s="1"/>
  <c r="AA308" i="10"/>
  <c r="L1292" i="8" s="1"/>
  <c r="S314" i="10"/>
  <c r="AA844" i="8" s="1"/>
  <c r="Y317" i="10"/>
  <c r="AF1207" i="8" s="1"/>
  <c r="R317" i="10"/>
  <c r="AF815" i="8" s="1"/>
  <c r="T308" i="10"/>
  <c r="L900" i="8" s="1"/>
  <c r="G317" i="10"/>
  <c r="AF199" i="8" s="1"/>
  <c r="X317" i="10"/>
  <c r="AF1151" i="8" s="1"/>
  <c r="P315" i="10"/>
  <c r="AA703" i="8" s="1"/>
  <c r="L319" i="10"/>
  <c r="AK479" i="8" s="1"/>
  <c r="AA316" i="10"/>
  <c r="AF1292" i="8" s="1"/>
  <c r="N306" i="10"/>
  <c r="G564" i="8" s="1"/>
  <c r="G313" i="10"/>
  <c r="V199" i="8" s="1"/>
  <c r="D307" i="10"/>
  <c r="G31" i="8" s="1"/>
  <c r="H308" i="10"/>
  <c r="L228" i="8" s="1"/>
  <c r="H310" i="10"/>
  <c r="Q228" i="8" s="1"/>
  <c r="O315" i="10"/>
  <c r="AA647" i="8" s="1"/>
  <c r="M311" i="10"/>
  <c r="Q535" i="8" s="1"/>
  <c r="S310" i="10"/>
  <c r="Q844" i="8" s="1"/>
  <c r="Q310" i="10"/>
  <c r="Q732" i="8" s="1"/>
  <c r="S311" i="10"/>
  <c r="Q871" i="8" s="1"/>
  <c r="I311" i="10"/>
  <c r="Q311" i="8" s="1"/>
  <c r="M313" i="10"/>
  <c r="V535" i="8" s="1"/>
  <c r="S309" i="10"/>
  <c r="L871" i="8" s="1"/>
  <c r="M314" i="10"/>
  <c r="AA508" i="8" s="1"/>
  <c r="AA319" i="10"/>
  <c r="AK1319" i="8" s="1"/>
  <c r="W316" i="10"/>
  <c r="AF1068" i="8" s="1"/>
  <c r="M316" i="10"/>
  <c r="AF508" i="8" s="1"/>
  <c r="S308" i="10"/>
  <c r="L844" i="8" s="1"/>
  <c r="W308" i="10"/>
  <c r="L1068" i="8" s="1"/>
  <c r="K310" i="10"/>
  <c r="Q396" i="8" s="1"/>
  <c r="J319" i="10"/>
  <c r="AK367" i="8" s="1"/>
  <c r="M318" i="10"/>
  <c r="AK508" i="8" s="1"/>
  <c r="L307" i="10"/>
  <c r="G479" i="8" s="1"/>
  <c r="N316" i="10"/>
  <c r="AF564" i="8" s="1"/>
  <c r="D313" i="10"/>
  <c r="V31" i="8" s="1"/>
  <c r="E311" i="10"/>
  <c r="Q87" i="8" s="1"/>
  <c r="G307" i="10"/>
  <c r="G199" i="8" s="1"/>
  <c r="D315" i="10"/>
  <c r="AA31" i="8" s="1"/>
  <c r="X314" i="10"/>
  <c r="AA1124" i="8" s="1"/>
  <c r="N309" i="10"/>
  <c r="L591" i="8" s="1"/>
  <c r="M312" i="10"/>
  <c r="V508" i="8" s="1"/>
  <c r="L312" i="10"/>
  <c r="V452" i="8" s="1"/>
  <c r="X308" i="10"/>
  <c r="L1124" i="8" s="1"/>
  <c r="W319" i="10"/>
  <c r="AK1095" i="8" s="1"/>
  <c r="D319" i="10"/>
  <c r="AK31" i="8" s="1"/>
  <c r="E312" i="10"/>
  <c r="V60" i="8" s="1"/>
  <c r="Z319" i="10"/>
  <c r="AK1263" i="8" s="1"/>
  <c r="F317" i="10"/>
  <c r="AF143" i="8" s="1"/>
  <c r="D310" i="10"/>
  <c r="Q4" i="8" s="1"/>
  <c r="S319" i="10"/>
  <c r="AK871" i="8" s="1"/>
  <c r="N317" i="10"/>
  <c r="AF591" i="8" s="1"/>
  <c r="V306" i="10"/>
  <c r="G1012" i="8" s="1"/>
  <c r="X311" i="10"/>
  <c r="Q1151" i="8" s="1"/>
  <c r="S312" i="10"/>
  <c r="V844" i="8" s="1"/>
  <c r="L315" i="10"/>
  <c r="AA479" i="8" s="1"/>
  <c r="X313" i="10"/>
  <c r="V1151" i="8" s="1"/>
  <c r="N319" i="10"/>
  <c r="AK591" i="8" s="1"/>
  <c r="G315" i="10"/>
  <c r="AA199" i="8" s="1"/>
  <c r="G312" i="10"/>
  <c r="V172" i="8" s="1"/>
  <c r="M308" i="10"/>
  <c r="L508" i="8" s="1"/>
  <c r="W312" i="10"/>
  <c r="V1068" i="8" s="1"/>
  <c r="E318" i="10"/>
  <c r="AK60" i="8" s="1"/>
  <c r="M309" i="10"/>
  <c r="L535" i="8" s="1"/>
  <c r="K314" i="10"/>
  <c r="AA396" i="8" s="1"/>
  <c r="L310" i="10"/>
  <c r="Q452" i="8" s="1"/>
  <c r="Y308" i="10"/>
  <c r="L1180" i="8" s="1"/>
  <c r="Y309" i="10"/>
  <c r="L1207" i="8" s="1"/>
  <c r="E307" i="10"/>
  <c r="G87" i="8" s="1"/>
  <c r="K312" i="10"/>
  <c r="V396" i="8" s="1"/>
  <c r="Q319" i="10"/>
  <c r="AK759" i="8" s="1"/>
  <c r="W317" i="10"/>
  <c r="AF1095" i="8" s="1"/>
  <c r="T312" i="10"/>
  <c r="V900" i="8" s="1"/>
  <c r="T310" i="10"/>
  <c r="Q900" i="8" s="1"/>
  <c r="G310" i="10"/>
  <c r="Q172" i="8" s="1"/>
  <c r="Z306" i="10"/>
  <c r="G1236" i="8" s="1"/>
  <c r="X316" i="10"/>
  <c r="AF1124" i="8" s="1"/>
  <c r="U308" i="10"/>
  <c r="L956" i="8" s="1"/>
  <c r="M307" i="10"/>
  <c r="G535" i="8" s="1"/>
  <c r="W318" i="10"/>
  <c r="AK1068" i="8" s="1"/>
  <c r="V315" i="10"/>
  <c r="AA1039" i="8" s="1"/>
  <c r="O319" i="10"/>
  <c r="AK647" i="8" s="1"/>
  <c r="V313" i="10"/>
  <c r="V1039" i="8" s="1"/>
  <c r="W310" i="10"/>
  <c r="Q1068" i="8" s="1"/>
  <c r="AA314" i="10"/>
  <c r="AA1292" i="8" s="1"/>
  <c r="J310" i="10"/>
  <c r="Q340" i="8" s="1"/>
  <c r="H319" i="10"/>
  <c r="AK255" i="8" s="1"/>
  <c r="X319" i="10"/>
  <c r="AK1151" i="8" s="1"/>
  <c r="W313" i="10"/>
  <c r="V1095" i="8" s="1"/>
  <c r="P310" i="10"/>
  <c r="Q676" i="8" s="1"/>
  <c r="Y311" i="10"/>
  <c r="Q1207" i="8" s="1"/>
  <c r="J312" i="10"/>
  <c r="V340" i="8" s="1"/>
  <c r="T311" i="10"/>
  <c r="Q927" i="8" s="1"/>
  <c r="AA307" i="10"/>
  <c r="G1319" i="8" s="1"/>
  <c r="AA318" i="10"/>
  <c r="AK1292" i="8" s="1"/>
  <c r="U317" i="10"/>
  <c r="AF983" i="8" s="1"/>
  <c r="O314" i="10"/>
  <c r="AA620" i="8" s="1"/>
  <c r="S315" i="10"/>
  <c r="AA871" i="8" s="1"/>
  <c r="S317" i="10"/>
  <c r="AF871" i="8" s="1"/>
  <c r="V308" i="10"/>
  <c r="L1012" i="8" s="1"/>
  <c r="P312" i="10"/>
  <c r="V676" i="8" s="1"/>
  <c r="R306" i="10"/>
  <c r="G788" i="8" s="1"/>
  <c r="R315" i="10"/>
  <c r="AA815" i="8" s="1"/>
  <c r="H309" i="10"/>
  <c r="L255" i="8" s="1"/>
  <c r="Y314" i="10"/>
  <c r="AA1180" i="8" s="1"/>
  <c r="Z318" i="10"/>
  <c r="AK1236" i="8" s="1"/>
  <c r="Z317" i="10"/>
  <c r="AF1263" i="8" s="1"/>
  <c r="M319" i="10"/>
  <c r="AK535" i="8" s="1"/>
  <c r="H314" i="10"/>
  <c r="AA228" i="8" s="1"/>
  <c r="P314" i="10"/>
  <c r="AA676" i="8" s="1"/>
  <c r="H312" i="10"/>
  <c r="V228" i="8" s="1"/>
  <c r="K306" i="10"/>
  <c r="G396" i="8" s="1"/>
  <c r="Q306" i="10"/>
  <c r="G732" i="8" s="1"/>
  <c r="U309" i="10"/>
  <c r="L983" i="8" s="1"/>
  <c r="T318" i="10"/>
  <c r="AK900" i="8" s="1"/>
  <c r="G306" i="10"/>
  <c r="G172" i="8" s="1"/>
  <c r="E314" i="10"/>
  <c r="AA60" i="8" s="1"/>
  <c r="P316" i="10"/>
  <c r="AF676" i="8" s="1"/>
  <c r="O318" i="10"/>
  <c r="AK620" i="8" s="1"/>
  <c r="R318" i="10"/>
  <c r="AK788" i="8" s="1"/>
  <c r="I308" i="10"/>
  <c r="L284" i="8" s="1"/>
  <c r="Y307" i="10"/>
  <c r="G1207" i="8" s="1"/>
  <c r="K307" i="10"/>
  <c r="G423" i="8" s="1"/>
  <c r="G309" i="10"/>
  <c r="L199" i="8" s="1"/>
  <c r="V311" i="10"/>
  <c r="Q1039" i="8" s="1"/>
  <c r="F313" i="10"/>
  <c r="V143" i="8" s="1"/>
  <c r="H313" i="10"/>
  <c r="V255" i="8" s="1"/>
  <c r="D312" i="10"/>
  <c r="V4" i="8" s="1"/>
  <c r="I313" i="10"/>
  <c r="V311" i="8" s="1"/>
  <c r="S307" i="10"/>
  <c r="G871" i="8" s="1"/>
  <c r="M317" i="10"/>
  <c r="AF535" i="8" s="1"/>
  <c r="P317" i="10"/>
  <c r="AF703" i="8" s="1"/>
  <c r="U310" i="10"/>
  <c r="Q956" i="8" s="1"/>
  <c r="N318" i="10"/>
  <c r="AK564" i="8" s="1"/>
  <c r="I309" i="10"/>
  <c r="L311" i="8" s="1"/>
  <c r="Y306" i="10"/>
  <c r="G1180" i="8" s="1"/>
  <c r="F319" i="10"/>
  <c r="AK143" i="8" s="1"/>
  <c r="I314" i="10"/>
  <c r="AA284" i="8" s="1"/>
  <c r="P309" i="10"/>
  <c r="L703" i="8" s="1"/>
  <c r="F315" i="10"/>
  <c r="AA143" i="8" s="1"/>
  <c r="Q311" i="10"/>
  <c r="Q759" i="8" s="1"/>
  <c r="I312" i="10"/>
  <c r="V284" i="8" s="1"/>
  <c r="X318" i="10"/>
  <c r="AK1124" i="8" s="1"/>
  <c r="Y310" i="10"/>
  <c r="Q1180" i="8" s="1"/>
  <c r="F314" i="10"/>
  <c r="AA116" i="8" s="1"/>
  <c r="V310" i="10"/>
  <c r="Q1012" i="8" s="1"/>
  <c r="E319" i="10"/>
  <c r="AK87" i="8" s="1"/>
  <c r="V319" i="10"/>
  <c r="AK1039" i="8" s="1"/>
  <c r="G314" i="10"/>
  <c r="AA172" i="8" s="1"/>
  <c r="R308" i="10"/>
  <c r="L788" i="8" s="1"/>
  <c r="T319" i="10"/>
  <c r="AK927" i="8" s="1"/>
  <c r="U311" i="10"/>
  <c r="Q983" i="8" s="1"/>
  <c r="O310" i="10"/>
  <c r="Q620" i="8" s="1"/>
  <c r="W309" i="10"/>
  <c r="L1095" i="8" s="1"/>
  <c r="N312" i="10"/>
  <c r="V564" i="8" s="1"/>
  <c r="AA306" i="10"/>
  <c r="G1292" i="8" s="1"/>
  <c r="E309" i="10"/>
  <c r="L87" i="8" s="1"/>
  <c r="G318" i="10"/>
  <c r="AK172" i="8" s="1"/>
  <c r="L309" i="10"/>
  <c r="L479" i="8" s="1"/>
  <c r="N310" i="10"/>
  <c r="Q564" i="8" s="1"/>
  <c r="Q314" i="10"/>
  <c r="AA732" i="8" s="1"/>
  <c r="V316" i="10"/>
  <c r="AF1012" i="8" s="1"/>
  <c r="R314" i="10"/>
  <c r="AA788" i="8" s="1"/>
  <c r="T307" i="10"/>
  <c r="G927" i="8" s="1"/>
  <c r="AA313" i="10"/>
  <c r="V1319" i="8" s="1"/>
  <c r="K319" i="10"/>
  <c r="AK423" i="8" s="1"/>
  <c r="Z313" i="10"/>
  <c r="V1263" i="8" s="1"/>
  <c r="Z310" i="10"/>
  <c r="Q1236" i="8" s="1"/>
  <c r="AA311" i="10"/>
  <c r="Q1319" i="8" s="1"/>
  <c r="M306" i="10"/>
  <c r="G508" i="8" s="1"/>
  <c r="K308" i="10"/>
  <c r="L396" i="8" s="1"/>
  <c r="J313" i="10"/>
  <c r="V367" i="8" s="1"/>
  <c r="W306" i="10"/>
  <c r="G1068" i="8" s="1"/>
  <c r="L308" i="10"/>
  <c r="L452" i="8" s="1"/>
  <c r="U319" i="10"/>
  <c r="AK983" i="8" s="1"/>
  <c r="P306" i="10"/>
  <c r="G676" i="8" s="1"/>
  <c r="J308" i="10"/>
  <c r="L340" i="8" s="1"/>
  <c r="I306" i="10"/>
  <c r="G284" i="8" s="1"/>
  <c r="Z315" i="10"/>
  <c r="AA1263" i="8" s="1"/>
  <c r="W315" i="10"/>
  <c r="AA1095" i="8" s="1"/>
  <c r="X310" i="10"/>
  <c r="Q1124" i="8" s="1"/>
  <c r="O306" i="10"/>
  <c r="G620" i="8" s="1"/>
  <c r="O316" i="10"/>
  <c r="AF620" i="8" s="1"/>
  <c r="Z311" i="10"/>
  <c r="Q1263" i="8" s="1"/>
  <c r="R319" i="10"/>
  <c r="AK815" i="8" s="1"/>
  <c r="Y312" i="10"/>
  <c r="V1180" i="8" s="1"/>
  <c r="R312" i="10"/>
  <c r="V788" i="8" s="1"/>
  <c r="T314" i="10"/>
  <c r="AA900" i="8" s="1"/>
  <c r="Q309" i="10"/>
  <c r="L759" i="8" s="1"/>
  <c r="Q312" i="10"/>
  <c r="V732" i="8" s="1"/>
  <c r="K315" i="10"/>
  <c r="AA423" i="8" s="1"/>
  <c r="Y318" i="10"/>
  <c r="AK1180" i="8" s="1"/>
  <c r="W314" i="10"/>
  <c r="AA1068" i="8" s="1"/>
  <c r="J314" i="10"/>
  <c r="AA340" i="8" s="1"/>
  <c r="H318" i="10"/>
  <c r="AK228" i="8" s="1"/>
  <c r="I316" i="10"/>
  <c r="AF284" i="8" s="1"/>
  <c r="F311" i="10"/>
  <c r="Q143" i="8" s="1"/>
  <c r="Q308" i="10"/>
  <c r="L732" i="8" s="1"/>
  <c r="G311" i="10"/>
  <c r="Q199" i="8" s="1"/>
  <c r="E315" i="10"/>
  <c r="AA87" i="8" s="1"/>
  <c r="O312" i="10"/>
  <c r="V620" i="8" s="1"/>
  <c r="U307" i="10"/>
  <c r="G983" i="8" s="1"/>
  <c r="F309" i="10"/>
  <c r="L143" i="8" s="1"/>
  <c r="H311" i="10"/>
  <c r="Q255" i="8" s="1"/>
  <c r="H306" i="10"/>
  <c r="G228" i="8" s="1"/>
  <c r="D314" i="10"/>
  <c r="AA4" i="8" s="1"/>
  <c r="F318" i="10"/>
  <c r="AK116" i="8" s="1"/>
  <c r="P308" i="10"/>
  <c r="L676" i="8" s="1"/>
  <c r="K317" i="10"/>
  <c r="AF423" i="8" s="1"/>
  <c r="J317" i="10"/>
  <c r="AF367" i="8" s="1"/>
  <c r="F316" i="10"/>
  <c r="AF116" i="8" s="1"/>
  <c r="I307" i="10"/>
  <c r="G311" i="8" s="1"/>
  <c r="O309" i="10"/>
  <c r="L647" i="8" s="1"/>
  <c r="Q315" i="10"/>
  <c r="AA759" i="8" s="1"/>
  <c r="E316" i="10"/>
  <c r="AF60" i="8" s="1"/>
  <c r="N313" i="10"/>
  <c r="V591" i="8" s="1"/>
  <c r="Q318" i="10"/>
  <c r="AK732" i="8" s="1"/>
  <c r="O307" i="10"/>
  <c r="G647" i="8" s="1"/>
  <c r="K316" i="10"/>
  <c r="AF396" i="8" s="1"/>
  <c r="Q317" i="10"/>
  <c r="AF759" i="8" s="1"/>
  <c r="S318" i="10"/>
  <c r="AK844" i="8" s="1"/>
  <c r="Q316" i="10"/>
  <c r="AF732" i="8" s="1"/>
  <c r="M479" i="26"/>
  <c r="L155" i="26"/>
  <c r="J155" i="26"/>
  <c r="O155" i="26"/>
  <c r="E155" i="26"/>
  <c r="K155" i="26" s="1"/>
  <c r="Q155" i="26"/>
  <c r="G155" i="26"/>
  <c r="J115" i="26"/>
  <c r="L115" i="26"/>
  <c r="Q115" i="26"/>
  <c r="G115" i="26"/>
  <c r="O115" i="26"/>
  <c r="E115" i="26"/>
  <c r="K115" i="26" s="1"/>
  <c r="L373" i="26"/>
  <c r="Q373" i="26"/>
  <c r="J373" i="26"/>
  <c r="O373" i="26"/>
  <c r="G373" i="26"/>
  <c r="E373" i="26"/>
  <c r="K373" i="26" s="1"/>
  <c r="Q729" i="26"/>
  <c r="G729" i="26"/>
  <c r="J729" i="26"/>
  <c r="O729" i="26"/>
  <c r="L729" i="26"/>
  <c r="E729" i="26"/>
  <c r="K729" i="26" s="1"/>
  <c r="M232" i="26"/>
  <c r="M3" i="26"/>
  <c r="Q732" i="26"/>
  <c r="G732" i="26"/>
  <c r="O732" i="26"/>
  <c r="J732" i="26"/>
  <c r="L732" i="26"/>
  <c r="E732" i="26"/>
  <c r="K732" i="26" s="1"/>
  <c r="O531" i="26"/>
  <c r="G531" i="26"/>
  <c r="J531" i="26"/>
  <c r="E531" i="26"/>
  <c r="K531" i="26" s="1"/>
  <c r="Q531" i="26"/>
  <c r="L531" i="26"/>
  <c r="F498" i="26"/>
  <c r="F561" i="26"/>
  <c r="F98" i="26"/>
  <c r="F523" i="26"/>
  <c r="M127" i="26"/>
  <c r="M698" i="26"/>
  <c r="F250" i="26"/>
  <c r="J775" i="26"/>
  <c r="G775" i="26"/>
  <c r="L775" i="26"/>
  <c r="E775" i="26"/>
  <c r="K775" i="26" s="1"/>
  <c r="O775" i="26"/>
  <c r="Q775" i="26"/>
  <c r="F271" i="26"/>
  <c r="L501" i="26"/>
  <c r="G501" i="26"/>
  <c r="Q501" i="26"/>
  <c r="E501" i="26"/>
  <c r="K501" i="26" s="1"/>
  <c r="O501" i="26"/>
  <c r="J501" i="26"/>
  <c r="Q667" i="26"/>
  <c r="O667" i="26"/>
  <c r="J667" i="26"/>
  <c r="L667" i="26"/>
  <c r="G667" i="26"/>
  <c r="E667" i="26"/>
  <c r="K667" i="26" s="1"/>
  <c r="F606" i="26"/>
  <c r="J422" i="26"/>
  <c r="O422" i="26"/>
  <c r="Q422" i="26"/>
  <c r="G422" i="26"/>
  <c r="L422" i="26"/>
  <c r="E422" i="26"/>
  <c r="M106" i="26"/>
  <c r="M367" i="26"/>
  <c r="F489" i="26"/>
  <c r="M462" i="26"/>
  <c r="F354" i="26"/>
  <c r="F712" i="26"/>
  <c r="F211" i="26"/>
  <c r="M772" i="26"/>
  <c r="G87" i="26"/>
  <c r="O87" i="26"/>
  <c r="Q87" i="26"/>
  <c r="J87" i="26"/>
  <c r="L87" i="26"/>
  <c r="E87" i="26"/>
  <c r="J589" i="26"/>
  <c r="O589" i="26"/>
  <c r="L589" i="26"/>
  <c r="Q589" i="26"/>
  <c r="G589" i="26"/>
  <c r="E589" i="26"/>
  <c r="F445" i="26"/>
  <c r="F555" i="26"/>
  <c r="F776" i="26"/>
  <c r="F790" i="26"/>
  <c r="M764" i="26"/>
  <c r="M50" i="26"/>
  <c r="M595" i="26"/>
  <c r="M242" i="26"/>
  <c r="O198" i="26"/>
  <c r="L198" i="26"/>
  <c r="Q198" i="26"/>
  <c r="J198" i="26"/>
  <c r="G198" i="26"/>
  <c r="E198" i="26"/>
  <c r="M686" i="26"/>
  <c r="F719" i="26"/>
  <c r="F267" i="26"/>
  <c r="F792" i="26"/>
  <c r="F579" i="26"/>
  <c r="M313" i="26"/>
  <c r="G455" i="26"/>
  <c r="J455" i="26"/>
  <c r="O455" i="26"/>
  <c r="Q455" i="26"/>
  <c r="E455" i="26"/>
  <c r="K455" i="26" s="1"/>
  <c r="L455" i="26"/>
  <c r="G475" i="26"/>
  <c r="L475" i="26"/>
  <c r="O475" i="26"/>
  <c r="J475" i="26"/>
  <c r="Q475" i="26"/>
  <c r="E475" i="26"/>
  <c r="F716" i="26"/>
  <c r="F541" i="26"/>
  <c r="G628" i="26"/>
  <c r="L628" i="26"/>
  <c r="Q628" i="26"/>
  <c r="J628" i="26"/>
  <c r="O628" i="26"/>
  <c r="E628" i="26"/>
  <c r="F304" i="26"/>
  <c r="M557" i="26"/>
  <c r="G388" i="26"/>
  <c r="J388" i="26"/>
  <c r="O388" i="26"/>
  <c r="L388" i="26"/>
  <c r="Q388" i="26"/>
  <c r="E388" i="26"/>
  <c r="M704" i="26"/>
  <c r="G43" i="26"/>
  <c r="L43" i="26"/>
  <c r="Q43" i="26"/>
  <c r="O43" i="26"/>
  <c r="E43" i="26"/>
  <c r="K43" i="26" s="1"/>
  <c r="J43" i="26"/>
  <c r="O743" i="26"/>
  <c r="L743" i="26"/>
  <c r="G743" i="26"/>
  <c r="Q743" i="26"/>
  <c r="J743" i="26"/>
  <c r="E743" i="26"/>
  <c r="K743" i="26" s="1"/>
  <c r="M95" i="26"/>
  <c r="F220" i="26"/>
  <c r="O281" i="26"/>
  <c r="Q281" i="26"/>
  <c r="J281" i="26"/>
  <c r="L281" i="26"/>
  <c r="G281" i="26"/>
  <c r="E281" i="26"/>
  <c r="K281" i="26" s="1"/>
  <c r="M305" i="26"/>
  <c r="F146" i="26"/>
  <c r="M352" i="26"/>
  <c r="M32" i="26"/>
  <c r="M572" i="26"/>
  <c r="L30" i="26"/>
  <c r="O30" i="26"/>
  <c r="J30" i="26"/>
  <c r="Q30" i="26"/>
  <c r="G30" i="26"/>
  <c r="E30" i="26"/>
  <c r="M661" i="26"/>
  <c r="G110" i="26"/>
  <c r="Q110" i="26"/>
  <c r="J110" i="26"/>
  <c r="O110" i="26"/>
  <c r="L110" i="26"/>
  <c r="E110" i="26"/>
  <c r="K110" i="26" s="1"/>
  <c r="F285" i="26"/>
  <c r="F491" i="26"/>
  <c r="G622" i="26"/>
  <c r="O622" i="26"/>
  <c r="Q622" i="26"/>
  <c r="J622" i="26"/>
  <c r="L622" i="26"/>
  <c r="E622" i="26"/>
  <c r="K622" i="26" s="1"/>
  <c r="G610" i="26"/>
  <c r="L610" i="26"/>
  <c r="Q610" i="26"/>
  <c r="J610" i="26"/>
  <c r="O610" i="26"/>
  <c r="E610" i="26"/>
  <c r="K610" i="26" s="1"/>
  <c r="M317" i="26"/>
  <c r="O85" i="26"/>
  <c r="L85" i="26"/>
  <c r="G85" i="26"/>
  <c r="Q85" i="26"/>
  <c r="J85" i="26"/>
  <c r="E85" i="26"/>
  <c r="F64" i="26"/>
  <c r="M47" i="26"/>
  <c r="M564" i="26"/>
  <c r="G108" i="26"/>
  <c r="O108" i="26"/>
  <c r="J108" i="26"/>
  <c r="L108" i="26"/>
  <c r="Q108" i="26"/>
  <c r="E108" i="26"/>
  <c r="K108" i="26" s="1"/>
  <c r="M65" i="26"/>
  <c r="M596" i="26"/>
  <c r="F799" i="26"/>
  <c r="M70" i="26"/>
  <c r="Q333" i="26"/>
  <c r="O333" i="26"/>
  <c r="G333" i="26"/>
  <c r="E333" i="26"/>
  <c r="K333" i="26" s="1"/>
  <c r="J333" i="26"/>
  <c r="L333" i="26"/>
  <c r="M643" i="26"/>
  <c r="M375" i="26"/>
  <c r="F758" i="26"/>
  <c r="Q629" i="26"/>
  <c r="G629" i="26"/>
  <c r="O629" i="26"/>
  <c r="J629" i="26"/>
  <c r="L629" i="26"/>
  <c r="E629" i="26"/>
  <c r="K629" i="26" s="1"/>
  <c r="M182" i="26"/>
  <c r="F487" i="26"/>
  <c r="J751" i="26"/>
  <c r="O751" i="26"/>
  <c r="L751" i="26"/>
  <c r="E751" i="26"/>
  <c r="G751" i="26"/>
  <c r="Q751" i="26"/>
  <c r="M92" i="26"/>
  <c r="F338" i="26"/>
  <c r="O185" i="26"/>
  <c r="J185" i="26"/>
  <c r="G185" i="26"/>
  <c r="Q185" i="26"/>
  <c r="L185" i="26"/>
  <c r="E185" i="26"/>
  <c r="F154" i="26"/>
  <c r="M216" i="26"/>
  <c r="E678" i="26"/>
  <c r="Q678" i="26"/>
  <c r="G678" i="26"/>
  <c r="L678" i="26"/>
  <c r="O678" i="26"/>
  <c r="J678" i="26"/>
  <c r="G190" i="26"/>
  <c r="O190" i="26"/>
  <c r="J190" i="26"/>
  <c r="Q190" i="26"/>
  <c r="L190" i="26"/>
  <c r="E190" i="26"/>
  <c r="F534" i="26"/>
  <c r="M228" i="26"/>
  <c r="M349" i="26"/>
  <c r="M407" i="26"/>
  <c r="F616" i="26"/>
  <c r="M73" i="26"/>
  <c r="L404" i="26"/>
  <c r="J404" i="26"/>
  <c r="G404" i="26"/>
  <c r="Q404" i="26"/>
  <c r="O404" i="26"/>
  <c r="E404" i="26"/>
  <c r="L261" i="26"/>
  <c r="J261" i="26"/>
  <c r="O261" i="26"/>
  <c r="Q261" i="26"/>
  <c r="G261" i="26"/>
  <c r="E261" i="26"/>
  <c r="F289" i="26"/>
  <c r="G163" i="26"/>
  <c r="J163" i="26"/>
  <c r="O163" i="26"/>
  <c r="Q163" i="26"/>
  <c r="L163" i="26"/>
  <c r="E163" i="26"/>
  <c r="K163" i="26" s="1"/>
  <c r="F287" i="26"/>
  <c r="F323" i="26"/>
  <c r="O636" i="26"/>
  <c r="J636" i="26"/>
  <c r="L636" i="26"/>
  <c r="G636" i="26"/>
  <c r="Q636" i="26"/>
  <c r="E636" i="26"/>
  <c r="M159" i="26"/>
  <c r="F604" i="26"/>
  <c r="F633" i="26"/>
  <c r="F434" i="26"/>
  <c r="M449" i="26"/>
  <c r="Q571" i="26"/>
  <c r="J571" i="26"/>
  <c r="L571" i="26"/>
  <c r="G571" i="26"/>
  <c r="O571" i="26"/>
  <c r="E571" i="26"/>
  <c r="K571" i="26" s="1"/>
  <c r="M581" i="26"/>
  <c r="M8" i="26"/>
  <c r="G103" i="26"/>
  <c r="E103" i="26"/>
  <c r="J103" i="26"/>
  <c r="L103" i="26"/>
  <c r="O103" i="26"/>
  <c r="Q103" i="26"/>
  <c r="J241" i="26"/>
  <c r="G241" i="26"/>
  <c r="O241" i="26"/>
  <c r="Q241" i="26"/>
  <c r="L241" i="26"/>
  <c r="E241" i="26"/>
  <c r="K241" i="26" s="1"/>
  <c r="F683" i="26"/>
  <c r="G137" i="26"/>
  <c r="L137" i="26"/>
  <c r="O137" i="26"/>
  <c r="E137" i="26"/>
  <c r="K137" i="26" s="1"/>
  <c r="J137" i="26"/>
  <c r="Q137" i="26"/>
  <c r="F542" i="26"/>
  <c r="F546" i="26"/>
  <c r="M734" i="26"/>
  <c r="F725" i="26"/>
  <c r="M649" i="26"/>
  <c r="M465" i="26"/>
  <c r="G756" i="26"/>
  <c r="E756" i="26"/>
  <c r="K756" i="26" s="1"/>
  <c r="Q756" i="26"/>
  <c r="L756" i="26"/>
  <c r="J756" i="26"/>
  <c r="O756" i="26"/>
  <c r="F164" i="26"/>
  <c r="O613" i="26"/>
  <c r="J613" i="26"/>
  <c r="G613" i="26"/>
  <c r="Q613" i="26"/>
  <c r="L613" i="26"/>
  <c r="E613" i="26"/>
  <c r="F221" i="26"/>
  <c r="L399" i="26"/>
  <c r="J399" i="26"/>
  <c r="O399" i="26"/>
  <c r="G399" i="26"/>
  <c r="Q399" i="26"/>
  <c r="E399" i="26"/>
  <c r="K399" i="26" s="1"/>
  <c r="L310" i="26"/>
  <c r="G310" i="26"/>
  <c r="Q310" i="26"/>
  <c r="J310" i="26"/>
  <c r="O310" i="26"/>
  <c r="E310" i="26"/>
  <c r="K310" i="26" s="1"/>
  <c r="J645" i="26"/>
  <c r="O645" i="26"/>
  <c r="G645" i="26"/>
  <c r="Q645" i="26"/>
  <c r="E645" i="26"/>
  <c r="L645" i="26"/>
  <c r="G14" i="26"/>
  <c r="Q14" i="26"/>
  <c r="J14" i="26"/>
  <c r="L14" i="26"/>
  <c r="E14" i="26"/>
  <c r="K14" i="26" s="1"/>
  <c r="O14" i="26"/>
  <c r="F414" i="26"/>
  <c r="F124" i="26"/>
  <c r="M467" i="26"/>
  <c r="O79" i="26"/>
  <c r="G79" i="26"/>
  <c r="J79" i="26"/>
  <c r="Q79" i="26"/>
  <c r="E79" i="26"/>
  <c r="K79" i="26" s="1"/>
  <c r="L79" i="26"/>
  <c r="Q81" i="26"/>
  <c r="J81" i="26"/>
  <c r="O81" i="26"/>
  <c r="G81" i="26"/>
  <c r="L81" i="26"/>
  <c r="E81" i="26"/>
  <c r="K81" i="26" s="1"/>
  <c r="F480" i="26"/>
  <c r="M391" i="26"/>
  <c r="O193" i="26"/>
  <c r="Q193" i="26"/>
  <c r="L193" i="26"/>
  <c r="G193" i="26"/>
  <c r="J193" i="26"/>
  <c r="E193" i="26"/>
  <c r="K193" i="26" s="1"/>
  <c r="F601" i="26"/>
  <c r="Q728" i="26"/>
  <c r="L728" i="26"/>
  <c r="J728" i="26"/>
  <c r="O728" i="26"/>
  <c r="G728" i="26"/>
  <c r="E728" i="26"/>
  <c r="K728" i="26" s="1"/>
  <c r="M299" i="26"/>
  <c r="M231" i="26"/>
  <c r="F181" i="26"/>
  <c r="M194" i="26"/>
  <c r="M530" i="26"/>
  <c r="F562" i="26"/>
  <c r="O322" i="26"/>
  <c r="G322" i="26"/>
  <c r="L322" i="26"/>
  <c r="J322" i="26"/>
  <c r="Q322" i="26"/>
  <c r="E322" i="26"/>
  <c r="K322" i="26" s="1"/>
  <c r="M383" i="26"/>
  <c r="F126" i="26"/>
  <c r="M690" i="26"/>
  <c r="F699" i="26"/>
  <c r="F117" i="26"/>
  <c r="M429" i="26"/>
  <c r="F269" i="26"/>
  <c r="M666" i="26"/>
  <c r="Q754" i="26"/>
  <c r="J754" i="26"/>
  <c r="L754" i="26"/>
  <c r="E754" i="26"/>
  <c r="K754" i="26" s="1"/>
  <c r="G754" i="26"/>
  <c r="O754" i="26"/>
  <c r="J330" i="26"/>
  <c r="G330" i="26"/>
  <c r="O330" i="26"/>
  <c r="Q330" i="26"/>
  <c r="L330" i="26"/>
  <c r="E330" i="26"/>
  <c r="K330" i="26" s="1"/>
  <c r="M104" i="26"/>
  <c r="F151" i="26"/>
  <c r="O366" i="26"/>
  <c r="Q366" i="26"/>
  <c r="G366" i="26"/>
  <c r="L366" i="26"/>
  <c r="J366" i="26"/>
  <c r="E366" i="26"/>
  <c r="K366" i="26" s="1"/>
  <c r="M761" i="26"/>
  <c r="F671" i="26"/>
  <c r="F355" i="26"/>
  <c r="G210" i="26"/>
  <c r="Q210" i="26"/>
  <c r="L210" i="26"/>
  <c r="E210" i="26"/>
  <c r="J210" i="26"/>
  <c r="O210" i="26"/>
  <c r="F255" i="26"/>
  <c r="G737" i="26"/>
  <c r="Q737" i="26"/>
  <c r="O737" i="26"/>
  <c r="L737" i="26"/>
  <c r="J737" i="26"/>
  <c r="E737" i="26"/>
  <c r="K737" i="26" s="1"/>
  <c r="M587" i="26"/>
  <c r="G452" i="26"/>
  <c r="Q452" i="26"/>
  <c r="L452" i="26"/>
  <c r="O452" i="26"/>
  <c r="J452" i="26"/>
  <c r="E452" i="26"/>
  <c r="F444" i="26"/>
  <c r="M233" i="26"/>
  <c r="G411" i="26"/>
  <c r="O411" i="26"/>
  <c r="J411" i="26"/>
  <c r="L411" i="26"/>
  <c r="Q411" i="26"/>
  <c r="E411" i="26"/>
  <c r="M789" i="26"/>
  <c r="F529" i="26"/>
  <c r="O52" i="26"/>
  <c r="J52" i="26"/>
  <c r="L52" i="26"/>
  <c r="E52" i="26"/>
  <c r="K52" i="26" s="1"/>
  <c r="Q52" i="26"/>
  <c r="G52" i="26"/>
  <c r="F640" i="26"/>
  <c r="G244" i="26"/>
  <c r="Q244" i="26"/>
  <c r="J244" i="26"/>
  <c r="L244" i="26"/>
  <c r="O244" i="26"/>
  <c r="E244" i="26"/>
  <c r="K244" i="26" s="1"/>
  <c r="M199" i="26"/>
  <c r="F782" i="26"/>
  <c r="M720" i="26"/>
  <c r="G90" i="26"/>
  <c r="O90" i="26"/>
  <c r="E90" i="26"/>
  <c r="K90" i="26" s="1"/>
  <c r="L90" i="26"/>
  <c r="J90" i="26"/>
  <c r="Q90" i="26"/>
  <c r="E56" i="26"/>
  <c r="K56" i="26" s="1"/>
  <c r="Q56" i="26"/>
  <c r="O56" i="26"/>
  <c r="G56" i="26"/>
  <c r="J56" i="26"/>
  <c r="L56" i="26"/>
  <c r="M785" i="26"/>
  <c r="J511" i="26"/>
  <c r="Q511" i="26"/>
  <c r="O511" i="26"/>
  <c r="G511" i="26"/>
  <c r="L511" i="26"/>
  <c r="E511" i="26"/>
  <c r="K511" i="26" s="1"/>
  <c r="F395" i="26"/>
  <c r="M456" i="26"/>
  <c r="F474" i="26"/>
  <c r="O363" i="26"/>
  <c r="L363" i="26"/>
  <c r="J363" i="26"/>
  <c r="G363" i="26"/>
  <c r="Q363" i="26"/>
  <c r="E363" i="26"/>
  <c r="K363" i="26" s="1"/>
  <c r="F539" i="26"/>
  <c r="G357" i="26"/>
  <c r="L357" i="26"/>
  <c r="J357" i="26"/>
  <c r="O357" i="26"/>
  <c r="E357" i="26"/>
  <c r="K357" i="26" s="1"/>
  <c r="Q357" i="26"/>
  <c r="Q584" i="26"/>
  <c r="O584" i="26"/>
  <c r="L584" i="26"/>
  <c r="G584" i="26"/>
  <c r="J584" i="26"/>
  <c r="E584" i="26"/>
  <c r="M682" i="26"/>
  <c r="F387" i="26"/>
  <c r="E277" i="26"/>
  <c r="L277" i="26"/>
  <c r="Q277" i="26"/>
  <c r="G277" i="26"/>
  <c r="J277" i="26"/>
  <c r="O277" i="26"/>
  <c r="M42" i="26"/>
  <c r="L745" i="26"/>
  <c r="G745" i="26"/>
  <c r="J745" i="26"/>
  <c r="E745" i="26"/>
  <c r="Q745" i="26"/>
  <c r="O745" i="26"/>
  <c r="F359" i="26"/>
  <c r="F219" i="26"/>
  <c r="O369" i="26"/>
  <c r="G369" i="26"/>
  <c r="E369" i="26"/>
  <c r="K369" i="26" s="1"/>
  <c r="J369" i="26"/>
  <c r="L369" i="26"/>
  <c r="Q369" i="26"/>
  <c r="M297" i="26"/>
  <c r="F280" i="26"/>
  <c r="F350" i="26"/>
  <c r="E438" i="26"/>
  <c r="O438" i="26"/>
  <c r="L438" i="26"/>
  <c r="G438" i="26"/>
  <c r="Q438" i="26"/>
  <c r="J438" i="26"/>
  <c r="F573" i="26"/>
  <c r="F29" i="26"/>
  <c r="M173" i="26"/>
  <c r="L111" i="26"/>
  <c r="G111" i="26"/>
  <c r="J111" i="26"/>
  <c r="O111" i="26"/>
  <c r="Q111" i="26"/>
  <c r="E111" i="26"/>
  <c r="K111" i="26" s="1"/>
  <c r="L19" i="26"/>
  <c r="G19" i="26"/>
  <c r="Q19" i="26"/>
  <c r="J19" i="26"/>
  <c r="E19" i="26"/>
  <c r="K19" i="26" s="1"/>
  <c r="O19" i="26"/>
  <c r="F653" i="26"/>
  <c r="M315" i="26"/>
  <c r="F609" i="26"/>
  <c r="G420" i="26"/>
  <c r="O420" i="26"/>
  <c r="J420" i="26"/>
  <c r="L420" i="26"/>
  <c r="Q420" i="26"/>
  <c r="E420" i="26"/>
  <c r="K420" i="26" s="1"/>
  <c r="M84" i="26"/>
  <c r="M63" i="26"/>
  <c r="Q214" i="26"/>
  <c r="J214" i="26"/>
  <c r="O214" i="26"/>
  <c r="G214" i="26"/>
  <c r="L214" i="26"/>
  <c r="E214" i="26"/>
  <c r="F563" i="26"/>
  <c r="F61" i="26"/>
  <c r="Q694" i="26"/>
  <c r="J694" i="26"/>
  <c r="L694" i="26"/>
  <c r="G694" i="26"/>
  <c r="O694" i="26"/>
  <c r="E694" i="26"/>
  <c r="F169" i="26"/>
  <c r="M798" i="26"/>
  <c r="J431" i="26"/>
  <c r="Q431" i="26"/>
  <c r="G431" i="26"/>
  <c r="E431" i="26"/>
  <c r="K431" i="26" s="1"/>
  <c r="O431" i="26"/>
  <c r="L431" i="26"/>
  <c r="M334" i="26"/>
  <c r="G641" i="26"/>
  <c r="J641" i="26"/>
  <c r="Q641" i="26"/>
  <c r="L641" i="26"/>
  <c r="O641" i="26"/>
  <c r="E641" i="26"/>
  <c r="Q294" i="26"/>
  <c r="L294" i="26"/>
  <c r="J294" i="26"/>
  <c r="O294" i="26"/>
  <c r="G294" i="26"/>
  <c r="E294" i="26"/>
  <c r="F760" i="26"/>
  <c r="M520" i="26"/>
  <c r="M346" i="26"/>
  <c r="M695" i="26"/>
  <c r="Q749" i="26"/>
  <c r="L749" i="26"/>
  <c r="J749" i="26"/>
  <c r="G749" i="26"/>
  <c r="O749" i="26"/>
  <c r="E749" i="26"/>
  <c r="K749" i="26" s="1"/>
  <c r="M471" i="26"/>
  <c r="M339" i="26"/>
  <c r="Q186" i="26"/>
  <c r="J186" i="26"/>
  <c r="L186" i="26"/>
  <c r="G186" i="26"/>
  <c r="O186" i="26"/>
  <c r="E186" i="26"/>
  <c r="K186" i="26" s="1"/>
  <c r="M224" i="26"/>
  <c r="M524" i="26"/>
  <c r="M709" i="26"/>
  <c r="L508" i="26"/>
  <c r="J508" i="26"/>
  <c r="G508" i="26"/>
  <c r="O508" i="26"/>
  <c r="Q508" i="26"/>
  <c r="E508" i="26"/>
  <c r="K508" i="26" s="1"/>
  <c r="M379" i="26"/>
  <c r="G188" i="26"/>
  <c r="J188" i="26"/>
  <c r="L188" i="26"/>
  <c r="E188" i="26"/>
  <c r="O188" i="26"/>
  <c r="Q188" i="26"/>
  <c r="L662" i="26"/>
  <c r="O662" i="26"/>
  <c r="Q662" i="26"/>
  <c r="G662" i="26"/>
  <c r="E662" i="26"/>
  <c r="K662" i="26" s="1"/>
  <c r="J662" i="26"/>
  <c r="M229" i="26"/>
  <c r="F348" i="26"/>
  <c r="J120" i="26"/>
  <c r="L120" i="26"/>
  <c r="Q120" i="26"/>
  <c r="G120" i="26"/>
  <c r="O120" i="26"/>
  <c r="E120" i="26"/>
  <c r="F614" i="26"/>
  <c r="J425" i="26"/>
  <c r="L425" i="26"/>
  <c r="Q425" i="26"/>
  <c r="G425" i="26"/>
  <c r="O425" i="26"/>
  <c r="E425" i="26"/>
  <c r="O161" i="26"/>
  <c r="J161" i="26"/>
  <c r="G161" i="26"/>
  <c r="Q161" i="26"/>
  <c r="L161" i="26"/>
  <c r="E161" i="26"/>
  <c r="K161" i="26" s="1"/>
  <c r="M402" i="26"/>
  <c r="O262" i="26"/>
  <c r="Q262" i="26"/>
  <c r="G262" i="26"/>
  <c r="L262" i="26"/>
  <c r="J262" i="26"/>
  <c r="E262" i="26"/>
  <c r="O416" i="26"/>
  <c r="L416" i="26"/>
  <c r="G416" i="26"/>
  <c r="J416" i="26"/>
  <c r="Q416" i="26"/>
  <c r="E416" i="26"/>
  <c r="O273" i="26"/>
  <c r="J273" i="26"/>
  <c r="L273" i="26"/>
  <c r="G273" i="26"/>
  <c r="E273" i="26"/>
  <c r="K273" i="26" s="1"/>
  <c r="Q273" i="26"/>
  <c r="M426" i="26"/>
  <c r="O260" i="26"/>
  <c r="G260" i="26"/>
  <c r="L260" i="26"/>
  <c r="J260" i="26"/>
  <c r="Q260" i="26"/>
  <c r="E260" i="26"/>
  <c r="K260" i="26" s="1"/>
  <c r="F325" i="26"/>
  <c r="J505" i="26"/>
  <c r="L505" i="26"/>
  <c r="O505" i="26"/>
  <c r="Q505" i="26"/>
  <c r="E505" i="26"/>
  <c r="K505" i="26" s="1"/>
  <c r="G505" i="26"/>
  <c r="Q158" i="26"/>
  <c r="J158" i="26"/>
  <c r="O158" i="26"/>
  <c r="G158" i="26"/>
  <c r="L158" i="26"/>
  <c r="E158" i="26"/>
  <c r="F780" i="26"/>
  <c r="F632" i="26"/>
  <c r="M517" i="26"/>
  <c r="F436" i="26"/>
  <c r="M451" i="26"/>
  <c r="M656" i="26"/>
  <c r="F582" i="26"/>
  <c r="L392" i="26"/>
  <c r="Q392" i="26"/>
  <c r="O392" i="26"/>
  <c r="G392" i="26"/>
  <c r="J392" i="26"/>
  <c r="E392" i="26"/>
  <c r="K392" i="26" s="1"/>
  <c r="M101" i="26"/>
  <c r="F54" i="26"/>
  <c r="F684" i="26"/>
  <c r="L138" i="26"/>
  <c r="O138" i="26"/>
  <c r="E138" i="26"/>
  <c r="K138" i="26" s="1"/>
  <c r="G138" i="26"/>
  <c r="Q138" i="26"/>
  <c r="J138" i="26"/>
  <c r="F544" i="26"/>
  <c r="F547" i="26"/>
  <c r="Q483" i="26"/>
  <c r="O483" i="26"/>
  <c r="G483" i="26"/>
  <c r="J483" i="26"/>
  <c r="L483" i="26"/>
  <c r="E483" i="26"/>
  <c r="M727" i="26"/>
  <c r="G448" i="26"/>
  <c r="Q448" i="26"/>
  <c r="O448" i="26"/>
  <c r="J448" i="26"/>
  <c r="L448" i="26"/>
  <c r="E448" i="26"/>
  <c r="K448" i="26" s="1"/>
  <c r="F575" i="26"/>
  <c r="M132" i="26"/>
  <c r="M755" i="26"/>
  <c r="M21" i="26"/>
  <c r="M165" i="26"/>
  <c r="M612" i="26"/>
  <c r="M207" i="26"/>
  <c r="F223" i="26"/>
  <c r="M202" i="26"/>
  <c r="F246" i="26"/>
  <c r="F644" i="26"/>
  <c r="Q16" i="26"/>
  <c r="O16" i="26"/>
  <c r="J16" i="26"/>
  <c r="G16" i="26"/>
  <c r="L16" i="26"/>
  <c r="E16" i="26"/>
  <c r="K16" i="26" s="1"/>
  <c r="F415" i="26"/>
  <c r="M123" i="26"/>
  <c r="O6" i="26"/>
  <c r="G6" i="26"/>
  <c r="Q6" i="26"/>
  <c r="J6" i="26"/>
  <c r="L6" i="26"/>
  <c r="E6" i="26"/>
  <c r="K6" i="26" s="1"/>
  <c r="J77" i="26"/>
  <c r="G77" i="26"/>
  <c r="O77" i="26"/>
  <c r="L77" i="26"/>
  <c r="Q77" i="26"/>
  <c r="E77" i="26"/>
  <c r="K77" i="26" s="1"/>
  <c r="M441" i="26"/>
  <c r="L114" i="26"/>
  <c r="O114" i="26"/>
  <c r="G114" i="26"/>
  <c r="J114" i="26"/>
  <c r="Q114" i="26"/>
  <c r="E114" i="26"/>
  <c r="K114" i="26" s="1"/>
  <c r="F371" i="26"/>
  <c r="F566" i="26"/>
  <c r="G301" i="26"/>
  <c r="Q301" i="26"/>
  <c r="L301" i="26"/>
  <c r="E301" i="26"/>
  <c r="K301" i="26" s="1"/>
  <c r="J301" i="26"/>
  <c r="O301" i="26"/>
  <c r="F733" i="26"/>
  <c r="M179" i="26"/>
  <c r="F265" i="26"/>
  <c r="F560" i="26"/>
  <c r="F522" i="26"/>
  <c r="G27" i="26"/>
  <c r="O27" i="26"/>
  <c r="Q27" i="26"/>
  <c r="E27" i="26"/>
  <c r="J27" i="26"/>
  <c r="L27" i="26"/>
  <c r="L691" i="26"/>
  <c r="G691" i="26"/>
  <c r="J691" i="26"/>
  <c r="O691" i="26"/>
  <c r="Q691" i="26"/>
  <c r="E691" i="26"/>
  <c r="K691" i="26" s="1"/>
  <c r="M773" i="26"/>
  <c r="Q116" i="26"/>
  <c r="L116" i="26"/>
  <c r="O116" i="26"/>
  <c r="G116" i="26"/>
  <c r="J116" i="26"/>
  <c r="E116" i="26"/>
  <c r="Q430" i="26"/>
  <c r="G430" i="26"/>
  <c r="L430" i="26"/>
  <c r="J430" i="26"/>
  <c r="O430" i="26"/>
  <c r="E430" i="26"/>
  <c r="K430" i="26" s="1"/>
  <c r="J171" i="26"/>
  <c r="O171" i="26"/>
  <c r="Q171" i="26"/>
  <c r="E171" i="26"/>
  <c r="K171" i="26" s="1"/>
  <c r="G171" i="26"/>
  <c r="L171" i="26"/>
  <c r="F665" i="26"/>
  <c r="Q607" i="26"/>
  <c r="L607" i="26"/>
  <c r="O607" i="26"/>
  <c r="G607" i="26"/>
  <c r="J607" i="26"/>
  <c r="E607" i="26"/>
  <c r="K607" i="26" s="1"/>
  <c r="F423" i="26"/>
  <c r="M724" i="26"/>
  <c r="Q149" i="26"/>
  <c r="G149" i="26"/>
  <c r="O149" i="26"/>
  <c r="J149" i="26"/>
  <c r="L149" i="26"/>
  <c r="E149" i="26"/>
  <c r="K149" i="26" s="1"/>
  <c r="F461" i="26"/>
  <c r="F763" i="26"/>
  <c r="J673" i="26"/>
  <c r="Q673" i="26"/>
  <c r="G673" i="26"/>
  <c r="O673" i="26"/>
  <c r="L673" i="26"/>
  <c r="E673" i="26"/>
  <c r="M253" i="26"/>
  <c r="F209" i="26"/>
  <c r="J771" i="26"/>
  <c r="L771" i="26"/>
  <c r="O771" i="26"/>
  <c r="Q771" i="26"/>
  <c r="G771" i="26"/>
  <c r="E771" i="26"/>
  <c r="M86" i="26"/>
  <c r="F478" i="26"/>
  <c r="M777" i="26"/>
  <c r="G410" i="26"/>
  <c r="O410" i="26"/>
  <c r="L410" i="26"/>
  <c r="Q410" i="26"/>
  <c r="J410" i="26"/>
  <c r="E410" i="26"/>
  <c r="K410" i="26" s="1"/>
  <c r="F335" i="26"/>
  <c r="M528" i="26"/>
  <c r="G51" i="26"/>
  <c r="L51" i="26"/>
  <c r="Q51" i="26"/>
  <c r="J51" i="26"/>
  <c r="O51" i="26"/>
  <c r="E51" i="26"/>
  <c r="K51" i="26" s="1"/>
  <c r="M619" i="26"/>
  <c r="M243" i="26"/>
  <c r="L458" i="26"/>
  <c r="Q458" i="26"/>
  <c r="O458" i="26"/>
  <c r="E458" i="26"/>
  <c r="J458" i="26"/>
  <c r="G458" i="26"/>
  <c r="M687" i="26"/>
  <c r="F580" i="26"/>
  <c r="M787" i="26"/>
  <c r="J510" i="26"/>
  <c r="O510" i="26"/>
  <c r="Q510" i="26"/>
  <c r="L510" i="26"/>
  <c r="E510" i="26"/>
  <c r="K510" i="26" s="1"/>
  <c r="G510" i="26"/>
  <c r="F140" i="26"/>
  <c r="O457" i="26"/>
  <c r="L457" i="26"/>
  <c r="Q457" i="26"/>
  <c r="J457" i="26"/>
  <c r="G457" i="26"/>
  <c r="E457" i="26"/>
  <c r="K457" i="26" s="1"/>
  <c r="L769" i="26"/>
  <c r="J769" i="26"/>
  <c r="G769" i="26"/>
  <c r="E769" i="26"/>
  <c r="K769" i="26" s="1"/>
  <c r="Q769" i="26"/>
  <c r="O769" i="26"/>
  <c r="M718" i="26"/>
  <c r="M626" i="26"/>
  <c r="F559" i="26"/>
  <c r="F386" i="26"/>
  <c r="F703" i="26"/>
  <c r="Q715" i="26"/>
  <c r="G715" i="26"/>
  <c r="J715" i="26"/>
  <c r="L715" i="26"/>
  <c r="O715" i="26"/>
  <c r="E715" i="26"/>
  <c r="K715" i="26" s="1"/>
  <c r="F96" i="26"/>
  <c r="F283" i="26"/>
  <c r="F370" i="26"/>
  <c r="M148" i="26"/>
  <c r="J279" i="26"/>
  <c r="O279" i="26"/>
  <c r="G279" i="26"/>
  <c r="Q279" i="26"/>
  <c r="L279" i="26"/>
  <c r="E279" i="26"/>
  <c r="F351" i="26"/>
  <c r="M674" i="26"/>
  <c r="L574" i="26"/>
  <c r="Q574" i="26"/>
  <c r="G574" i="26"/>
  <c r="J574" i="26"/>
  <c r="O574" i="26"/>
  <c r="E574" i="26"/>
  <c r="F660" i="26"/>
  <c r="J284" i="26"/>
  <c r="O284" i="26"/>
  <c r="L284" i="26"/>
  <c r="E284" i="26"/>
  <c r="Q284" i="26"/>
  <c r="G284" i="26"/>
  <c r="L18" i="26"/>
  <c r="J18" i="26"/>
  <c r="G18" i="26"/>
  <c r="O18" i="26"/>
  <c r="Q18" i="26"/>
  <c r="E18" i="26"/>
  <c r="K18" i="26" s="1"/>
  <c r="M621" i="26"/>
  <c r="G314" i="26"/>
  <c r="J314" i="26"/>
  <c r="Q314" i="26"/>
  <c r="L314" i="26"/>
  <c r="O314" i="26"/>
  <c r="E314" i="26"/>
  <c r="Q608" i="26"/>
  <c r="J608" i="26"/>
  <c r="L608" i="26"/>
  <c r="G608" i="26"/>
  <c r="O608" i="26"/>
  <c r="E608" i="26"/>
  <c r="M670" i="26"/>
  <c r="M48" i="26"/>
  <c r="Q109" i="26"/>
  <c r="O109" i="26"/>
  <c r="J109" i="26"/>
  <c r="L109" i="26"/>
  <c r="G109" i="26"/>
  <c r="E109" i="26"/>
  <c r="F597" i="26"/>
  <c r="F167" i="26"/>
  <c r="F257" i="26"/>
  <c r="M374" i="26"/>
  <c r="J631" i="26"/>
  <c r="L631" i="26"/>
  <c r="Q631" i="26"/>
  <c r="O631" i="26"/>
  <c r="G631" i="26"/>
  <c r="E631" i="26"/>
  <c r="L518" i="26"/>
  <c r="Q518" i="26"/>
  <c r="J518" i="26"/>
  <c r="G518" i="26"/>
  <c r="O518" i="26"/>
  <c r="E518" i="26"/>
  <c r="M486" i="26"/>
  <c r="M697" i="26"/>
  <c r="F45" i="26"/>
  <c r="F340" i="26"/>
  <c r="Q39" i="26"/>
  <c r="G39" i="26"/>
  <c r="J39" i="26"/>
  <c r="L39" i="26"/>
  <c r="O39" i="26"/>
  <c r="E39" i="26"/>
  <c r="K39" i="26" s="1"/>
  <c r="M153" i="26"/>
  <c r="F551" i="26"/>
  <c r="Q708" i="26"/>
  <c r="O708" i="26"/>
  <c r="J708" i="26"/>
  <c r="G708" i="26"/>
  <c r="L708" i="26"/>
  <c r="E708" i="26"/>
  <c r="K708" i="26" s="1"/>
  <c r="M677" i="26"/>
  <c r="O377" i="26"/>
  <c r="G377" i="26"/>
  <c r="L377" i="26"/>
  <c r="J377" i="26"/>
  <c r="Q377" i="26"/>
  <c r="E377" i="26"/>
  <c r="K377" i="26" s="1"/>
  <c r="M189" i="26"/>
  <c r="M742" i="26"/>
  <c r="E227" i="26"/>
  <c r="L227" i="26"/>
  <c r="J227" i="26"/>
  <c r="G227" i="26"/>
  <c r="Q227" i="26"/>
  <c r="O227" i="26"/>
  <c r="M403" i="26"/>
  <c r="M538" i="26"/>
  <c r="E635" i="26"/>
  <c r="L635" i="26"/>
  <c r="O635" i="26"/>
  <c r="G635" i="26"/>
  <c r="Q635" i="26"/>
  <c r="J635" i="26"/>
  <c r="F160" i="26"/>
  <c r="M602" i="26"/>
  <c r="L25" i="26"/>
  <c r="Q25" i="26"/>
  <c r="O25" i="26"/>
  <c r="G25" i="26"/>
  <c r="E25" i="26"/>
  <c r="J25" i="26"/>
  <c r="F624" i="26"/>
  <c r="F658" i="26"/>
  <c r="F129" i="26"/>
  <c r="G102" i="26"/>
  <c r="O102" i="26"/>
  <c r="Q102" i="26"/>
  <c r="L102" i="26"/>
  <c r="J102" i="26"/>
  <c r="E102" i="26"/>
  <c r="O239" i="26"/>
  <c r="Q239" i="26"/>
  <c r="G239" i="26"/>
  <c r="E239" i="26"/>
  <c r="L239" i="26"/>
  <c r="J239" i="26"/>
  <c r="L53" i="26"/>
  <c r="O53" i="26"/>
  <c r="J53" i="26"/>
  <c r="G53" i="26"/>
  <c r="Q53" i="26"/>
  <c r="E53" i="26"/>
  <c r="K53" i="26" s="1"/>
  <c r="M512" i="26"/>
  <c r="F543" i="26"/>
  <c r="M482" i="26"/>
  <c r="F326" i="26"/>
  <c r="L647" i="26"/>
  <c r="J647" i="26"/>
  <c r="Q647" i="26"/>
  <c r="G647" i="26"/>
  <c r="E647" i="26"/>
  <c r="K647" i="26" s="1"/>
  <c r="O647" i="26"/>
  <c r="G576" i="26"/>
  <c r="O576" i="26"/>
  <c r="J576" i="26"/>
  <c r="E576" i="26"/>
  <c r="Q576" i="26"/>
  <c r="L576" i="26"/>
  <c r="O466" i="26"/>
  <c r="G466" i="26"/>
  <c r="L466" i="26"/>
  <c r="J466" i="26"/>
  <c r="Q466" i="26"/>
  <c r="E466" i="26"/>
  <c r="K466" i="26" s="1"/>
  <c r="F74" i="26"/>
  <c r="M548" i="26"/>
  <c r="M208" i="26"/>
  <c r="G400" i="26"/>
  <c r="L400" i="26"/>
  <c r="O400" i="26"/>
  <c r="Q400" i="26"/>
  <c r="J400" i="26"/>
  <c r="E400" i="26"/>
  <c r="K400" i="26" s="1"/>
  <c r="F134" i="26"/>
  <c r="M309" i="26"/>
  <c r="G247" i="26"/>
  <c r="E247" i="26"/>
  <c r="K247" i="26" s="1"/>
  <c r="J247" i="26"/>
  <c r="L247" i="26"/>
  <c r="Q247" i="26"/>
  <c r="O247" i="26"/>
  <c r="M176" i="26"/>
  <c r="Q237" i="26"/>
  <c r="O237" i="26"/>
  <c r="G237" i="26"/>
  <c r="E237" i="26"/>
  <c r="J237" i="26"/>
  <c r="L237" i="26"/>
  <c r="M5" i="26"/>
  <c r="M36" i="26"/>
  <c r="Q80" i="26"/>
  <c r="O80" i="26"/>
  <c r="L80" i="26"/>
  <c r="G80" i="26"/>
  <c r="J80" i="26"/>
  <c r="E80" i="26"/>
  <c r="M157" i="26"/>
  <c r="F440" i="26"/>
  <c r="M599" i="26"/>
  <c r="M730" i="26"/>
  <c r="G567" i="26"/>
  <c r="J567" i="26"/>
  <c r="L567" i="26"/>
  <c r="O567" i="26"/>
  <c r="Q567" i="26"/>
  <c r="E567" i="26"/>
  <c r="M4" i="26"/>
  <c r="F731" i="26"/>
  <c r="O180" i="26"/>
  <c r="Q180" i="26"/>
  <c r="L180" i="26"/>
  <c r="G180" i="26"/>
  <c r="J180" i="26"/>
  <c r="E180" i="26"/>
  <c r="K180" i="26" s="1"/>
  <c r="M497" i="26"/>
  <c r="M263" i="26"/>
  <c r="M384" i="26"/>
  <c r="O125" i="26"/>
  <c r="Q125" i="26"/>
  <c r="L125" i="26"/>
  <c r="J125" i="26"/>
  <c r="G125" i="26"/>
  <c r="E125" i="26"/>
  <c r="O28" i="26"/>
  <c r="J28" i="26"/>
  <c r="G28" i="26"/>
  <c r="Q28" i="26"/>
  <c r="L28" i="26"/>
  <c r="E28" i="26"/>
  <c r="F248" i="26"/>
  <c r="M774" i="26"/>
  <c r="M118" i="26"/>
  <c r="M500" i="26"/>
  <c r="M170" i="26"/>
  <c r="E752" i="26"/>
  <c r="L752" i="26"/>
  <c r="G752" i="26"/>
  <c r="J752" i="26"/>
  <c r="Q752" i="26"/>
  <c r="O752" i="26"/>
  <c r="M331" i="26"/>
  <c r="L105" i="26"/>
  <c r="O105" i="26"/>
  <c r="G105" i="26"/>
  <c r="E105" i="26"/>
  <c r="K105" i="26" s="1"/>
  <c r="Q105" i="26"/>
  <c r="J105" i="26"/>
  <c r="F490" i="26"/>
  <c r="F463" i="26"/>
  <c r="F711" i="26"/>
  <c r="M251" i="26"/>
  <c r="J254" i="26"/>
  <c r="O254" i="26"/>
  <c r="Q254" i="26"/>
  <c r="G254" i="26"/>
  <c r="L254" i="26"/>
  <c r="E254" i="26"/>
  <c r="M738" i="26"/>
  <c r="J588" i="26"/>
  <c r="L588" i="26"/>
  <c r="G588" i="26"/>
  <c r="O588" i="26"/>
  <c r="Q588" i="26"/>
  <c r="E588" i="26"/>
  <c r="G477" i="26"/>
  <c r="E477" i="26"/>
  <c r="J477" i="26"/>
  <c r="L477" i="26"/>
  <c r="Q477" i="26"/>
  <c r="O477" i="26"/>
  <c r="F556" i="26"/>
  <c r="F778" i="26"/>
  <c r="F235" i="26"/>
  <c r="F766" i="26"/>
  <c r="L527" i="26"/>
  <c r="Q527" i="26"/>
  <c r="G527" i="26"/>
  <c r="O527" i="26"/>
  <c r="E527" i="26"/>
  <c r="J527" i="26"/>
  <c r="M593" i="26"/>
  <c r="F617" i="26"/>
  <c r="F197" i="26"/>
  <c r="M783" i="26"/>
  <c r="G721" i="26"/>
  <c r="Q721" i="26"/>
  <c r="L721" i="26"/>
  <c r="J721" i="26"/>
  <c r="E721" i="26"/>
  <c r="K721" i="26" s="1"/>
  <c r="O721" i="26"/>
  <c r="G266" i="26"/>
  <c r="L266" i="26"/>
  <c r="J266" i="26"/>
  <c r="O266" i="26"/>
  <c r="Q266" i="26"/>
  <c r="E266" i="26"/>
  <c r="M791" i="26"/>
  <c r="O578" i="26"/>
  <c r="L578" i="26"/>
  <c r="J578" i="26"/>
  <c r="G578" i="26"/>
  <c r="Q578" i="26"/>
  <c r="E578" i="26"/>
  <c r="G786" i="26"/>
  <c r="Q786" i="26"/>
  <c r="E786" i="26"/>
  <c r="K786" i="26" s="1"/>
  <c r="L786" i="26"/>
  <c r="O786" i="26"/>
  <c r="J786" i="26"/>
  <c r="F312" i="26"/>
  <c r="F141" i="26"/>
  <c r="F362" i="26"/>
  <c r="M540" i="26"/>
  <c r="G627" i="26"/>
  <c r="J627" i="26"/>
  <c r="L627" i="26"/>
  <c r="O627" i="26"/>
  <c r="Q627" i="26"/>
  <c r="E627" i="26"/>
  <c r="M303" i="26"/>
  <c r="L558" i="26"/>
  <c r="J558" i="26"/>
  <c r="Q558" i="26"/>
  <c r="O558" i="26"/>
  <c r="G558" i="26"/>
  <c r="E558" i="26"/>
  <c r="Q681" i="26"/>
  <c r="O681" i="26"/>
  <c r="J681" i="26"/>
  <c r="L681" i="26"/>
  <c r="G681" i="26"/>
  <c r="E681" i="26"/>
  <c r="F705" i="26"/>
  <c r="M360" i="26"/>
  <c r="F218" i="26"/>
  <c r="O282" i="26"/>
  <c r="L282" i="26"/>
  <c r="J282" i="26"/>
  <c r="G282" i="26"/>
  <c r="Q282" i="26"/>
  <c r="E282" i="26"/>
  <c r="M306" i="26"/>
  <c r="F147" i="26"/>
  <c r="G278" i="26"/>
  <c r="L278" i="26"/>
  <c r="J278" i="26"/>
  <c r="Q278" i="26"/>
  <c r="O278" i="26"/>
  <c r="E278" i="26"/>
  <c r="K278" i="26" s="1"/>
  <c r="M33" i="26"/>
  <c r="M676" i="26"/>
  <c r="G31" i="26"/>
  <c r="E31" i="26"/>
  <c r="K31" i="26" s="1"/>
  <c r="O31" i="26"/>
  <c r="J31" i="26"/>
  <c r="L31" i="26"/>
  <c r="Q31" i="26"/>
  <c r="F175" i="26"/>
  <c r="F112" i="26"/>
  <c r="M492" i="26"/>
  <c r="L620" i="26"/>
  <c r="G620" i="26"/>
  <c r="J620" i="26"/>
  <c r="Q620" i="26"/>
  <c r="O620" i="26"/>
  <c r="E620" i="26"/>
  <c r="K620" i="26" s="1"/>
  <c r="F316" i="26"/>
  <c r="M318" i="26"/>
  <c r="L669" i="26"/>
  <c r="G669" i="26"/>
  <c r="Q669" i="26"/>
  <c r="O669" i="26"/>
  <c r="J669" i="26"/>
  <c r="E669" i="26"/>
  <c r="K669" i="26" s="1"/>
  <c r="Q62" i="26"/>
  <c r="E62" i="26"/>
  <c r="J62" i="26"/>
  <c r="G62" i="26"/>
  <c r="L62" i="26"/>
  <c r="O62" i="26"/>
  <c r="F213" i="26"/>
  <c r="F565" i="26"/>
  <c r="L107" i="26"/>
  <c r="Q107" i="26"/>
  <c r="E107" i="26"/>
  <c r="O107" i="26"/>
  <c r="G107" i="26"/>
  <c r="J107" i="26"/>
  <c r="F66" i="26"/>
  <c r="L259" i="26"/>
  <c r="G259" i="26"/>
  <c r="O259" i="26"/>
  <c r="Q259" i="26"/>
  <c r="J259" i="26"/>
  <c r="E259" i="26"/>
  <c r="K259" i="26" s="1"/>
  <c r="O630" i="26"/>
  <c r="J630" i="26"/>
  <c r="G630" i="26"/>
  <c r="L630" i="26"/>
  <c r="Q630" i="26"/>
  <c r="E630" i="26"/>
  <c r="J696" i="26"/>
  <c r="O696" i="26"/>
  <c r="Q696" i="26"/>
  <c r="L696" i="26"/>
  <c r="G696" i="26"/>
  <c r="E696" i="26"/>
  <c r="K696" i="26" s="1"/>
  <c r="M94" i="26"/>
  <c r="J46" i="26"/>
  <c r="E46" i="26"/>
  <c r="Q46" i="26"/>
  <c r="O46" i="26"/>
  <c r="L46" i="26"/>
  <c r="G46" i="26"/>
  <c r="Q187" i="26"/>
  <c r="G187" i="26"/>
  <c r="O187" i="26"/>
  <c r="J187" i="26"/>
  <c r="L187" i="26"/>
  <c r="E187" i="26"/>
  <c r="K187" i="26" s="1"/>
  <c r="G525" i="26"/>
  <c r="J525" i="26"/>
  <c r="Q525" i="26"/>
  <c r="O525" i="26"/>
  <c r="L525" i="26"/>
  <c r="E525" i="26"/>
  <c r="J553" i="26"/>
  <c r="G553" i="26"/>
  <c r="L553" i="26"/>
  <c r="Q553" i="26"/>
  <c r="O553" i="26"/>
  <c r="E553" i="26"/>
  <c r="K553" i="26" s="1"/>
  <c r="F215" i="26"/>
  <c r="E347" i="26"/>
  <c r="J347" i="26"/>
  <c r="Q347" i="26"/>
  <c r="G347" i="26"/>
  <c r="O347" i="26"/>
  <c r="L347" i="26"/>
  <c r="M121" i="26"/>
  <c r="O615" i="26"/>
  <c r="L615" i="26"/>
  <c r="J615" i="26"/>
  <c r="G615" i="26"/>
  <c r="E615" i="26"/>
  <c r="K615" i="26" s="1"/>
  <c r="Q615" i="26"/>
  <c r="Q746" i="26"/>
  <c r="L746" i="26"/>
  <c r="O746" i="26"/>
  <c r="G746" i="26"/>
  <c r="J746" i="26"/>
  <c r="E746" i="26"/>
  <c r="F72" i="26"/>
  <c r="F406" i="26"/>
  <c r="M401" i="26"/>
  <c r="G536" i="26"/>
  <c r="Q536" i="26"/>
  <c r="O536" i="26"/>
  <c r="J536" i="26"/>
  <c r="L536" i="26"/>
  <c r="E536" i="26"/>
  <c r="K536" i="26" s="1"/>
  <c r="R341" i="10"/>
  <c r="AA341" i="10"/>
  <c r="S341" i="10"/>
  <c r="O341" i="10"/>
  <c r="G341" i="10"/>
  <c r="I341" i="10"/>
  <c r="M341" i="10"/>
  <c r="E341" i="10"/>
  <c r="F341" i="10"/>
  <c r="K341" i="10"/>
  <c r="L341" i="10"/>
  <c r="W341" i="10"/>
  <c r="Z341" i="10"/>
  <c r="T341" i="10"/>
  <c r="Y341" i="10"/>
  <c r="X341" i="10"/>
  <c r="D341" i="10"/>
  <c r="H341" i="10"/>
  <c r="N341" i="10"/>
  <c r="Q341" i="10"/>
  <c r="U341" i="10"/>
  <c r="V341" i="10"/>
  <c r="P341" i="10"/>
  <c r="J341" i="10"/>
  <c r="M405" i="26"/>
  <c r="U763" i="8"/>
  <c r="U875" i="8"/>
  <c r="U931" i="8"/>
  <c r="U707" i="8"/>
  <c r="U987" i="8"/>
  <c r="U651" i="8"/>
  <c r="K1043" i="8"/>
  <c r="U819" i="8"/>
  <c r="K527" i="26" l="1"/>
  <c r="K752" i="26"/>
  <c r="K578" i="26"/>
  <c r="K347" i="26"/>
  <c r="K525" i="26"/>
  <c r="K558" i="26"/>
  <c r="K284" i="26"/>
  <c r="K512" i="26"/>
  <c r="K153" i="26"/>
  <c r="K148" i="26"/>
  <c r="K718" i="26"/>
  <c r="K777" i="26"/>
  <c r="K739" i="26"/>
  <c r="K494" i="26"/>
  <c r="K339" i="26"/>
  <c r="K477" i="26"/>
  <c r="K360" i="26"/>
  <c r="K567" i="26"/>
  <c r="K237" i="26"/>
  <c r="K121" i="26"/>
  <c r="K374" i="26"/>
  <c r="K482" i="26"/>
  <c r="K677" i="26"/>
  <c r="K700" i="26"/>
  <c r="K233" i="26"/>
  <c r="K46" i="26"/>
  <c r="K282" i="26"/>
  <c r="K458" i="26"/>
  <c r="K746" i="26"/>
  <c r="K62" i="26"/>
  <c r="K681" i="26"/>
  <c r="K266" i="26"/>
  <c r="K588" i="26"/>
  <c r="K80" i="26"/>
  <c r="K576" i="26"/>
  <c r="K25" i="26"/>
  <c r="K635" i="26"/>
  <c r="K227" i="26"/>
  <c r="K518" i="26"/>
  <c r="K109" i="26"/>
  <c r="K608" i="26"/>
  <c r="K27" i="26"/>
  <c r="K158" i="26"/>
  <c r="K262" i="26"/>
  <c r="K120" i="26"/>
  <c r="K188" i="26"/>
  <c r="K294" i="26"/>
  <c r="K745" i="26"/>
  <c r="K411" i="26"/>
  <c r="K452" i="26"/>
  <c r="K210" i="26"/>
  <c r="K645" i="26"/>
  <c r="K261" i="26"/>
  <c r="K185" i="26"/>
  <c r="K85" i="26"/>
  <c r="K30" i="26"/>
  <c r="K388" i="26"/>
  <c r="K628" i="26"/>
  <c r="K475" i="26"/>
  <c r="K589" i="26"/>
  <c r="K422" i="26"/>
  <c r="AC737" i="8"/>
  <c r="AE737" i="8"/>
  <c r="AE736" i="8"/>
  <c r="AC736" i="8"/>
  <c r="AC733" i="8"/>
  <c r="AC738" i="8"/>
  <c r="AC735" i="8"/>
  <c r="AC734" i="8"/>
  <c r="AE735" i="8"/>
  <c r="AC752" i="8"/>
  <c r="D648" i="8"/>
  <c r="D652" i="8"/>
  <c r="D649" i="8"/>
  <c r="D651" i="8"/>
  <c r="F651" i="8"/>
  <c r="F652" i="8"/>
  <c r="D667" i="8"/>
  <c r="D653" i="8"/>
  <c r="D650" i="8"/>
  <c r="F650" i="8"/>
  <c r="Z763" i="8"/>
  <c r="X762" i="8"/>
  <c r="X760" i="8"/>
  <c r="X763" i="8"/>
  <c r="X764" i="8"/>
  <c r="X779" i="8"/>
  <c r="X761" i="8"/>
  <c r="Z762" i="8"/>
  <c r="X765" i="8"/>
  <c r="Z764" i="8"/>
  <c r="AE372" i="8"/>
  <c r="AE371" i="8"/>
  <c r="AC371" i="8"/>
  <c r="AC387" i="8"/>
  <c r="AE370" i="8"/>
  <c r="AC370" i="8"/>
  <c r="AC373" i="8"/>
  <c r="AC372" i="8"/>
  <c r="AC368" i="8"/>
  <c r="AC369" i="8"/>
  <c r="X10" i="8"/>
  <c r="X5" i="8"/>
  <c r="Z9" i="8"/>
  <c r="X6" i="8"/>
  <c r="X7" i="8"/>
  <c r="X24" i="8"/>
  <c r="X8" i="8"/>
  <c r="Z7" i="8"/>
  <c r="X9" i="8"/>
  <c r="Z8" i="8"/>
  <c r="D986" i="8"/>
  <c r="F987" i="8"/>
  <c r="D989" i="8"/>
  <c r="D987" i="8"/>
  <c r="D1003" i="8"/>
  <c r="F986" i="8"/>
  <c r="D985" i="8"/>
  <c r="F988" i="8"/>
  <c r="D984" i="8"/>
  <c r="D988" i="8"/>
  <c r="K736" i="8"/>
  <c r="I736" i="8"/>
  <c r="K735" i="8"/>
  <c r="I734" i="8"/>
  <c r="I735" i="8"/>
  <c r="I752" i="8"/>
  <c r="I737" i="8"/>
  <c r="I733" i="8"/>
  <c r="I738" i="8"/>
  <c r="K737" i="8"/>
  <c r="X341" i="8"/>
  <c r="Z343" i="8"/>
  <c r="Z344" i="8"/>
  <c r="X344" i="8"/>
  <c r="X360" i="8"/>
  <c r="Z345" i="8"/>
  <c r="X345" i="8"/>
  <c r="X343" i="8"/>
  <c r="X346" i="8"/>
  <c r="X342" i="8"/>
  <c r="S736" i="8"/>
  <c r="S752" i="8"/>
  <c r="U737" i="8"/>
  <c r="U735" i="8"/>
  <c r="S735" i="8"/>
  <c r="S738" i="8"/>
  <c r="S737" i="8"/>
  <c r="S733" i="8"/>
  <c r="U736" i="8"/>
  <c r="S734" i="8"/>
  <c r="S1181" i="8"/>
  <c r="U1183" i="8"/>
  <c r="U1182" i="8"/>
  <c r="S1185" i="8"/>
  <c r="S1186" i="8"/>
  <c r="S1182" i="8"/>
  <c r="U1184" i="8"/>
  <c r="S1200" i="8"/>
  <c r="S1184" i="8"/>
  <c r="U1185" i="8"/>
  <c r="S1183" i="8"/>
  <c r="D626" i="8"/>
  <c r="F623" i="8"/>
  <c r="D621" i="8"/>
  <c r="D624" i="8"/>
  <c r="D625" i="8"/>
  <c r="D622" i="8"/>
  <c r="F624" i="8"/>
  <c r="D640" i="8"/>
  <c r="D623" i="8"/>
  <c r="F625" i="8"/>
  <c r="F287" i="8"/>
  <c r="D289" i="8"/>
  <c r="D304" i="8"/>
  <c r="D285" i="8"/>
  <c r="D288" i="8"/>
  <c r="D286" i="8"/>
  <c r="D287" i="8"/>
  <c r="D290" i="8"/>
  <c r="F289" i="8"/>
  <c r="F288" i="8"/>
  <c r="I457" i="8"/>
  <c r="I455" i="8"/>
  <c r="K457" i="8"/>
  <c r="K454" i="8"/>
  <c r="I458" i="8"/>
  <c r="I472" i="8"/>
  <c r="I456" i="8"/>
  <c r="I453" i="8"/>
  <c r="K455" i="8"/>
  <c r="K456" i="8"/>
  <c r="I454" i="8"/>
  <c r="D512" i="8"/>
  <c r="D513" i="8"/>
  <c r="F512" i="8"/>
  <c r="F510" i="8"/>
  <c r="D511" i="8"/>
  <c r="D528" i="8"/>
  <c r="D510" i="8"/>
  <c r="D514" i="8"/>
  <c r="D509" i="8"/>
  <c r="F511" i="8"/>
  <c r="F513" i="8"/>
  <c r="AH424" i="8"/>
  <c r="AJ425" i="8"/>
  <c r="AJ427" i="8"/>
  <c r="AJ426" i="8"/>
  <c r="AH425" i="8"/>
  <c r="AJ428" i="8"/>
  <c r="AH443" i="8"/>
  <c r="AH426" i="8"/>
  <c r="AH427" i="8"/>
  <c r="AH428" i="8"/>
  <c r="AH429" i="8"/>
  <c r="AE1017" i="8"/>
  <c r="AC1032" i="8"/>
  <c r="AC1013" i="8"/>
  <c r="AC1015" i="8"/>
  <c r="AC1016" i="8"/>
  <c r="AE1015" i="8"/>
  <c r="AC1018" i="8"/>
  <c r="AC1017" i="8"/>
  <c r="AE1016" i="8"/>
  <c r="AC1014" i="8"/>
  <c r="AH192" i="8"/>
  <c r="AJ176" i="8"/>
  <c r="AH173" i="8"/>
  <c r="AH175" i="8"/>
  <c r="AH174" i="8"/>
  <c r="AH176" i="8"/>
  <c r="AJ175" i="8"/>
  <c r="AJ177" i="8"/>
  <c r="AH177" i="8"/>
  <c r="AH178" i="8"/>
  <c r="I1100" i="8"/>
  <c r="I1099" i="8"/>
  <c r="I1097" i="8"/>
  <c r="I1098" i="8"/>
  <c r="K1097" i="8"/>
  <c r="I1101" i="8"/>
  <c r="I1096" i="8"/>
  <c r="K1098" i="8"/>
  <c r="K1099" i="8"/>
  <c r="I1115" i="8"/>
  <c r="K1100" i="8"/>
  <c r="I789" i="8"/>
  <c r="I792" i="8"/>
  <c r="I793" i="8"/>
  <c r="K793" i="8"/>
  <c r="I808" i="8"/>
  <c r="K790" i="8"/>
  <c r="I791" i="8"/>
  <c r="K792" i="8"/>
  <c r="K791" i="8"/>
  <c r="I790" i="8"/>
  <c r="I794" i="8"/>
  <c r="P1015" i="8"/>
  <c r="N1014" i="8"/>
  <c r="P1014" i="8"/>
  <c r="N1032" i="8"/>
  <c r="N1016" i="8"/>
  <c r="P1016" i="8"/>
  <c r="N1018" i="8"/>
  <c r="N1017" i="8"/>
  <c r="N1015" i="8"/>
  <c r="N1013" i="8"/>
  <c r="P1017" i="8"/>
  <c r="U287" i="8"/>
  <c r="S290" i="8"/>
  <c r="U289" i="8"/>
  <c r="S285" i="8"/>
  <c r="S289" i="8"/>
  <c r="S286" i="8"/>
  <c r="S287" i="8"/>
  <c r="U288" i="8"/>
  <c r="S288" i="8"/>
  <c r="S304" i="8"/>
  <c r="Z289" i="8"/>
  <c r="X290" i="8"/>
  <c r="X288" i="8"/>
  <c r="X286" i="8"/>
  <c r="Z288" i="8"/>
  <c r="X287" i="8"/>
  <c r="X285" i="8"/>
  <c r="Z287" i="8"/>
  <c r="X289" i="8"/>
  <c r="X304" i="8"/>
  <c r="AH569" i="8"/>
  <c r="AJ568" i="8"/>
  <c r="AH567" i="8"/>
  <c r="AH568" i="8"/>
  <c r="AJ569" i="8"/>
  <c r="AH565" i="8"/>
  <c r="AH570" i="8"/>
  <c r="AJ567" i="8"/>
  <c r="AH584" i="8"/>
  <c r="AH566" i="8"/>
  <c r="F876" i="8"/>
  <c r="D875" i="8"/>
  <c r="D877" i="8"/>
  <c r="F875" i="8"/>
  <c r="D891" i="8"/>
  <c r="F874" i="8"/>
  <c r="D876" i="8"/>
  <c r="D872" i="8"/>
  <c r="D873" i="8"/>
  <c r="D874" i="8"/>
  <c r="S145" i="8"/>
  <c r="S146" i="8"/>
  <c r="U147" i="8"/>
  <c r="S149" i="8"/>
  <c r="S147" i="8"/>
  <c r="S144" i="8"/>
  <c r="U146" i="8"/>
  <c r="S148" i="8"/>
  <c r="U148" i="8"/>
  <c r="S163" i="8"/>
  <c r="F1209" i="8"/>
  <c r="D1213" i="8"/>
  <c r="D1227" i="8"/>
  <c r="F1212" i="8"/>
  <c r="D1209" i="8"/>
  <c r="D1211" i="8"/>
  <c r="D1208" i="8"/>
  <c r="D1212" i="8"/>
  <c r="D1210" i="8"/>
  <c r="F1211" i="8"/>
  <c r="F1210" i="8"/>
  <c r="AC680" i="8"/>
  <c r="AC679" i="8"/>
  <c r="AC681" i="8"/>
  <c r="AE680" i="8"/>
  <c r="AE679" i="8"/>
  <c r="AC678" i="8"/>
  <c r="AC696" i="8"/>
  <c r="AE681" i="8"/>
  <c r="AC677" i="8"/>
  <c r="AC682" i="8"/>
  <c r="K986" i="8"/>
  <c r="K985" i="8" s="1"/>
  <c r="I1003" i="8"/>
  <c r="K988" i="8"/>
  <c r="I986" i="8"/>
  <c r="I984" i="8"/>
  <c r="I989" i="8"/>
  <c r="K987" i="8"/>
  <c r="I987" i="8"/>
  <c r="I988" i="8"/>
  <c r="I985" i="8"/>
  <c r="Z680" i="8"/>
  <c r="Z679" i="8"/>
  <c r="X677" i="8"/>
  <c r="X681" i="8"/>
  <c r="X682" i="8"/>
  <c r="Z681" i="8"/>
  <c r="X680" i="8"/>
  <c r="X696" i="8"/>
  <c r="X678" i="8"/>
  <c r="X679" i="8"/>
  <c r="AJ1239" i="8"/>
  <c r="AH1242" i="8"/>
  <c r="AH1256" i="8"/>
  <c r="AJ1238" i="8"/>
  <c r="AH1238" i="8"/>
  <c r="AH1237" i="8"/>
  <c r="AH1240" i="8"/>
  <c r="AJ1240" i="8"/>
  <c r="AJ1241" i="8"/>
  <c r="AH1241" i="8"/>
  <c r="AH1239" i="8"/>
  <c r="F793" i="8"/>
  <c r="D792" i="8"/>
  <c r="D794" i="8"/>
  <c r="F791" i="8"/>
  <c r="F792" i="8"/>
  <c r="D791" i="8"/>
  <c r="D793" i="8"/>
  <c r="D790" i="8"/>
  <c r="D789" i="8"/>
  <c r="D808" i="8"/>
  <c r="X876" i="8"/>
  <c r="Z874" i="8"/>
  <c r="Z875" i="8"/>
  <c r="X873" i="8"/>
  <c r="X872" i="8"/>
  <c r="Z876" i="8"/>
  <c r="X875" i="8"/>
  <c r="X877" i="8"/>
  <c r="X891" i="8"/>
  <c r="X874" i="8"/>
  <c r="D1320" i="8"/>
  <c r="F1323" i="8"/>
  <c r="D1324" i="8"/>
  <c r="D1323" i="8"/>
  <c r="D1322" i="8"/>
  <c r="D1321" i="8"/>
  <c r="D1339" i="8"/>
  <c r="F1324" i="8"/>
  <c r="F1322" i="8"/>
  <c r="F1321" i="8"/>
  <c r="D1325" i="8"/>
  <c r="P678" i="8"/>
  <c r="P681" i="8"/>
  <c r="N680" i="8"/>
  <c r="N679" i="8"/>
  <c r="N677" i="8"/>
  <c r="P680" i="8"/>
  <c r="N696" i="8"/>
  <c r="P679" i="8"/>
  <c r="N682" i="8"/>
  <c r="N681" i="8"/>
  <c r="N678" i="8"/>
  <c r="N360" i="8"/>
  <c r="P343" i="8"/>
  <c r="P342" i="8"/>
  <c r="N341" i="8"/>
  <c r="N343" i="8"/>
  <c r="N345" i="8"/>
  <c r="N346" i="8"/>
  <c r="P344" i="8"/>
  <c r="N342" i="8"/>
  <c r="P345" i="8"/>
  <c r="N344" i="8"/>
  <c r="AH667" i="8"/>
  <c r="AJ650" i="8"/>
  <c r="AJ652" i="8"/>
  <c r="AJ649" i="8"/>
  <c r="AH652" i="8"/>
  <c r="AH653" i="8"/>
  <c r="AH649" i="8"/>
  <c r="AH650" i="8"/>
  <c r="AJ651" i="8"/>
  <c r="AH648" i="8"/>
  <c r="AH651" i="8"/>
  <c r="K959" i="8"/>
  <c r="I957" i="8"/>
  <c r="K960" i="8"/>
  <c r="I976" i="8"/>
  <c r="K961" i="8"/>
  <c r="I960" i="8"/>
  <c r="I958" i="8"/>
  <c r="I959" i="8"/>
  <c r="I961" i="8"/>
  <c r="I962" i="8"/>
  <c r="K958" i="8"/>
  <c r="P902" i="8"/>
  <c r="N920" i="8"/>
  <c r="N903" i="8"/>
  <c r="P904" i="8"/>
  <c r="N902" i="8"/>
  <c r="N904" i="8"/>
  <c r="N901" i="8"/>
  <c r="P903" i="8"/>
  <c r="P905" i="8"/>
  <c r="N905" i="8"/>
  <c r="N906" i="8"/>
  <c r="U398" i="8"/>
  <c r="U399" i="8"/>
  <c r="S402" i="8"/>
  <c r="S400" i="8"/>
  <c r="S399" i="8"/>
  <c r="U400" i="8"/>
  <c r="S401" i="8"/>
  <c r="U401" i="8"/>
  <c r="S398" i="8"/>
  <c r="S397" i="8"/>
  <c r="S416" i="8"/>
  <c r="N457" i="8"/>
  <c r="P457" i="8"/>
  <c r="P456" i="8"/>
  <c r="N454" i="8"/>
  <c r="N455" i="8"/>
  <c r="N453" i="8"/>
  <c r="P454" i="8"/>
  <c r="N456" i="8"/>
  <c r="N458" i="8"/>
  <c r="P455" i="8"/>
  <c r="N472" i="8"/>
  <c r="S1088" i="8"/>
  <c r="U1071" i="8"/>
  <c r="S1070" i="8"/>
  <c r="S1069" i="8"/>
  <c r="S1073" i="8"/>
  <c r="U1073" i="8"/>
  <c r="S1074" i="8"/>
  <c r="U1072" i="8"/>
  <c r="S1072" i="8"/>
  <c r="S1071" i="8"/>
  <c r="U1070" i="8"/>
  <c r="AJ596" i="8"/>
  <c r="AJ595" i="8"/>
  <c r="AH595" i="8"/>
  <c r="AH611" i="8"/>
  <c r="AH597" i="8"/>
  <c r="AH592" i="8"/>
  <c r="AJ594" i="8"/>
  <c r="AH596" i="8"/>
  <c r="AH593" i="8"/>
  <c r="AH594" i="8"/>
  <c r="AJ593" i="8"/>
  <c r="N1154" i="8"/>
  <c r="N1155" i="8"/>
  <c r="N1156" i="8"/>
  <c r="N1152" i="8"/>
  <c r="N1153" i="8"/>
  <c r="P1154" i="8"/>
  <c r="N1171" i="8"/>
  <c r="P1153" i="8"/>
  <c r="N1157" i="8"/>
  <c r="P1155" i="8"/>
  <c r="P1156" i="8"/>
  <c r="N7" i="8"/>
  <c r="P9" i="8"/>
  <c r="N10" i="8"/>
  <c r="P6" i="8"/>
  <c r="N8" i="8"/>
  <c r="N6" i="8"/>
  <c r="P8" i="8"/>
  <c r="N9" i="8"/>
  <c r="N5" i="8"/>
  <c r="P7" i="8"/>
  <c r="N24" i="8"/>
  <c r="AH37" i="8"/>
  <c r="AJ35" i="8"/>
  <c r="AH32" i="8"/>
  <c r="AJ33" i="8"/>
  <c r="AJ36" i="8"/>
  <c r="AH34" i="8"/>
  <c r="AH51" i="8"/>
  <c r="AH36" i="8"/>
  <c r="AJ34" i="8"/>
  <c r="AH35" i="8"/>
  <c r="AH33" i="8"/>
  <c r="S510" i="8"/>
  <c r="S509" i="8"/>
  <c r="S511" i="8"/>
  <c r="S512" i="8"/>
  <c r="U510" i="8"/>
  <c r="S513" i="8"/>
  <c r="U513" i="8"/>
  <c r="U512" i="8"/>
  <c r="S514" i="8"/>
  <c r="S528" i="8"/>
  <c r="U511" i="8"/>
  <c r="D202" i="8"/>
  <c r="F202" i="8"/>
  <c r="D203" i="8"/>
  <c r="D201" i="8"/>
  <c r="D205" i="8"/>
  <c r="F203" i="8"/>
  <c r="D204" i="8"/>
  <c r="D200" i="8"/>
  <c r="F204" i="8"/>
  <c r="D219" i="8"/>
  <c r="F483" i="8"/>
  <c r="D484" i="8"/>
  <c r="D485" i="8"/>
  <c r="D483" i="8"/>
  <c r="F484" i="8"/>
  <c r="D499" i="8"/>
  <c r="D481" i="8"/>
  <c r="D480" i="8"/>
  <c r="F482" i="8"/>
  <c r="F481" i="8" s="1"/>
  <c r="D482" i="8"/>
  <c r="I1072" i="8"/>
  <c r="K1072" i="8"/>
  <c r="I1074" i="8"/>
  <c r="I1088" i="8"/>
  <c r="I1069" i="8"/>
  <c r="K1071" i="8"/>
  <c r="I1070" i="8"/>
  <c r="I1073" i="8"/>
  <c r="K1073" i="8"/>
  <c r="I1071" i="8"/>
  <c r="K1070" i="8"/>
  <c r="AH1324" i="8"/>
  <c r="AH1323" i="8"/>
  <c r="AJ1323" i="8"/>
  <c r="AJ1321" i="8"/>
  <c r="AH1339" i="8"/>
  <c r="AH1322" i="8"/>
  <c r="AH1325" i="8"/>
  <c r="AH1320" i="8"/>
  <c r="AJ1324" i="8"/>
  <c r="AH1321" i="8"/>
  <c r="AJ1322" i="8"/>
  <c r="N331" i="8"/>
  <c r="P315" i="8"/>
  <c r="N315" i="8"/>
  <c r="N317" i="8"/>
  <c r="P316" i="8"/>
  <c r="N314" i="8"/>
  <c r="N316" i="8"/>
  <c r="P314" i="8"/>
  <c r="N313" i="8"/>
  <c r="N312" i="8"/>
  <c r="P538" i="8"/>
  <c r="P539" i="8"/>
  <c r="N537" i="8"/>
  <c r="P540" i="8"/>
  <c r="N539" i="8"/>
  <c r="N540" i="8"/>
  <c r="P537" i="8"/>
  <c r="N538" i="8"/>
  <c r="N555" i="8"/>
  <c r="N541" i="8"/>
  <c r="N536" i="8"/>
  <c r="D33" i="8"/>
  <c r="F36" i="8"/>
  <c r="F34" i="8"/>
  <c r="D35" i="8"/>
  <c r="F35" i="8"/>
  <c r="D36" i="8"/>
  <c r="D34" i="8"/>
  <c r="D32" i="8"/>
  <c r="D51" i="8"/>
  <c r="D37" i="8"/>
  <c r="AH484" i="8"/>
  <c r="AJ482" i="8"/>
  <c r="AH485" i="8"/>
  <c r="AH481" i="8"/>
  <c r="AJ481" i="8"/>
  <c r="AJ483" i="8"/>
  <c r="AJ484" i="8"/>
  <c r="AH482" i="8"/>
  <c r="AH499" i="8"/>
  <c r="AH480" i="8"/>
  <c r="AH483" i="8"/>
  <c r="K902" i="8"/>
  <c r="K904" i="8"/>
  <c r="I904" i="8"/>
  <c r="I905" i="8"/>
  <c r="I902" i="8"/>
  <c r="I920" i="8"/>
  <c r="I901" i="8"/>
  <c r="K905" i="8"/>
  <c r="I903" i="8"/>
  <c r="K903" i="8"/>
  <c r="I906" i="8"/>
  <c r="I1298" i="8"/>
  <c r="I1297" i="8"/>
  <c r="I1296" i="8"/>
  <c r="K1297" i="8"/>
  <c r="K1296" i="8"/>
  <c r="K1295" i="8"/>
  <c r="I1294" i="8"/>
  <c r="I1312" i="8"/>
  <c r="K1294" i="8"/>
  <c r="I1293" i="8"/>
  <c r="I1295" i="8"/>
  <c r="D1125" i="8"/>
  <c r="D1126" i="8"/>
  <c r="F1129" i="8"/>
  <c r="D1127" i="8"/>
  <c r="F1127" i="8"/>
  <c r="D1144" i="8"/>
  <c r="D1129" i="8"/>
  <c r="D1128" i="8"/>
  <c r="D1130" i="8"/>
  <c r="F1128" i="8"/>
  <c r="F1126" i="8"/>
  <c r="N117" i="8"/>
  <c r="P119" i="8"/>
  <c r="P121" i="8"/>
  <c r="N118" i="8"/>
  <c r="N120" i="8"/>
  <c r="N119" i="8"/>
  <c r="N136" i="8"/>
  <c r="P118" i="8"/>
  <c r="N121" i="8"/>
  <c r="N122" i="8"/>
  <c r="P120" i="8"/>
  <c r="AH8" i="8"/>
  <c r="AJ9" i="8"/>
  <c r="AH24" i="8"/>
  <c r="AH6" i="8"/>
  <c r="AJ8" i="8"/>
  <c r="AJ7" i="8"/>
  <c r="AH7" i="8"/>
  <c r="AH10" i="8"/>
  <c r="AH5" i="8"/>
  <c r="AH9" i="8"/>
  <c r="AH680" i="8"/>
  <c r="AJ680" i="8"/>
  <c r="AH696" i="8"/>
  <c r="AH677" i="8"/>
  <c r="AJ679" i="8"/>
  <c r="AH678" i="8"/>
  <c r="AH679" i="8"/>
  <c r="AH681" i="8"/>
  <c r="AJ681" i="8"/>
  <c r="AH682" i="8"/>
  <c r="AE90" i="8"/>
  <c r="AE91" i="8"/>
  <c r="AC90" i="8"/>
  <c r="AE92" i="8"/>
  <c r="AC88" i="8"/>
  <c r="AC91" i="8"/>
  <c r="AC92" i="8"/>
  <c r="AC89" i="8"/>
  <c r="AC107" i="8"/>
  <c r="AC93" i="8"/>
  <c r="AC906" i="8"/>
  <c r="AC920" i="8"/>
  <c r="AC903" i="8"/>
  <c r="AC905" i="8"/>
  <c r="AC904" i="8"/>
  <c r="AE904" i="8"/>
  <c r="AC901" i="8"/>
  <c r="AE905" i="8"/>
  <c r="AE903" i="8"/>
  <c r="AC902" i="8"/>
  <c r="P820" i="8"/>
  <c r="P818" i="8"/>
  <c r="N819" i="8"/>
  <c r="N835" i="8"/>
  <c r="N816" i="8"/>
  <c r="N821" i="8"/>
  <c r="P819" i="8"/>
  <c r="N817" i="8"/>
  <c r="N820" i="8"/>
  <c r="N818" i="8"/>
  <c r="X958" i="8"/>
  <c r="Z959" i="8"/>
  <c r="X961" i="8"/>
  <c r="X959" i="8"/>
  <c r="Z961" i="8"/>
  <c r="X960" i="8"/>
  <c r="X976" i="8"/>
  <c r="X962" i="8"/>
  <c r="Z960" i="8"/>
  <c r="X957" i="8"/>
  <c r="I623" i="8"/>
  <c r="K625" i="8"/>
  <c r="I622" i="8"/>
  <c r="K623" i="8"/>
  <c r="I625" i="8"/>
  <c r="K624" i="8"/>
  <c r="I626" i="8"/>
  <c r="I621" i="8"/>
  <c r="I624" i="8"/>
  <c r="I640" i="8"/>
  <c r="X1032" i="8"/>
  <c r="X1013" i="8"/>
  <c r="Z1016" i="8"/>
  <c r="X1014" i="8"/>
  <c r="Z1015" i="8"/>
  <c r="X1016" i="8"/>
  <c r="X1015" i="8"/>
  <c r="Z1017" i="8"/>
  <c r="X1017" i="8"/>
  <c r="X1018" i="8"/>
  <c r="AE35" i="8"/>
  <c r="AC33" i="8"/>
  <c r="AC36" i="8"/>
  <c r="AC35" i="8"/>
  <c r="AC32" i="8"/>
  <c r="AC51" i="8"/>
  <c r="AE34" i="8"/>
  <c r="AE36" i="8"/>
  <c r="AC37" i="8"/>
  <c r="AC34" i="8"/>
  <c r="AC232" i="8"/>
  <c r="AC248" i="8"/>
  <c r="AC231" i="8"/>
  <c r="AC230" i="8"/>
  <c r="AE233" i="8"/>
  <c r="AE232" i="8"/>
  <c r="AC234" i="8"/>
  <c r="AE231" i="8"/>
  <c r="AC229" i="8"/>
  <c r="AC233" i="8"/>
  <c r="Z1323" i="8"/>
  <c r="X1320" i="8"/>
  <c r="X1324" i="8"/>
  <c r="X1321" i="8"/>
  <c r="X1339" i="8"/>
  <c r="Z1321" i="8"/>
  <c r="Z1322" i="8"/>
  <c r="X1322" i="8"/>
  <c r="X1323" i="8"/>
  <c r="Z1324" i="8"/>
  <c r="X1325" i="8"/>
  <c r="X596" i="8"/>
  <c r="X594" i="8"/>
  <c r="X595" i="8"/>
  <c r="X611" i="8"/>
  <c r="X597" i="8"/>
  <c r="X592" i="8"/>
  <c r="Z595" i="8"/>
  <c r="Z596" i="8"/>
  <c r="X593" i="8"/>
  <c r="Z594" i="8"/>
  <c r="AC482" i="8"/>
  <c r="AC481" i="8"/>
  <c r="AC485" i="8"/>
  <c r="AC499" i="8"/>
  <c r="AE481" i="8"/>
  <c r="AC483" i="8"/>
  <c r="AE484" i="8"/>
  <c r="AC480" i="8"/>
  <c r="AE482" i="8"/>
  <c r="AC484" i="8"/>
  <c r="AE483" i="8"/>
  <c r="F595" i="8"/>
  <c r="D611" i="8"/>
  <c r="D594" i="8"/>
  <c r="F596" i="8"/>
  <c r="D593" i="8"/>
  <c r="D595" i="8"/>
  <c r="D596" i="8"/>
  <c r="D597" i="8"/>
  <c r="F594" i="8"/>
  <c r="D592" i="8"/>
  <c r="AH454" i="8"/>
  <c r="AH472" i="8"/>
  <c r="AH455" i="8"/>
  <c r="AH456" i="8"/>
  <c r="AJ454" i="8"/>
  <c r="AJ456" i="8"/>
  <c r="AH457" i="8"/>
  <c r="AH458" i="8"/>
  <c r="AJ457" i="8"/>
  <c r="AH453" i="8"/>
  <c r="AJ455" i="8"/>
  <c r="AJ313" i="8"/>
  <c r="AH312" i="8"/>
  <c r="AJ314" i="8"/>
  <c r="AJ315" i="8"/>
  <c r="AH315" i="8"/>
  <c r="AH313" i="8"/>
  <c r="AH314" i="8"/>
  <c r="AH316" i="8"/>
  <c r="AJ316" i="8"/>
  <c r="AH317" i="8"/>
  <c r="AH331" i="8"/>
  <c r="S1297" i="8"/>
  <c r="S1295" i="8"/>
  <c r="S1293" i="8"/>
  <c r="U1296" i="8"/>
  <c r="U1294" i="8"/>
  <c r="S1298" i="8"/>
  <c r="S1296" i="8"/>
  <c r="U1297" i="8"/>
  <c r="U1295" i="8"/>
  <c r="S1294" i="8"/>
  <c r="S1312" i="8"/>
  <c r="AH958" i="8"/>
  <c r="AJ959" i="8"/>
  <c r="AJ961" i="8"/>
  <c r="AH959" i="8"/>
  <c r="AH961" i="8"/>
  <c r="AJ960" i="8"/>
  <c r="AH976" i="8"/>
  <c r="AH960" i="8"/>
  <c r="AH957" i="8"/>
  <c r="AH962" i="8"/>
  <c r="N789" i="8"/>
  <c r="N792" i="8"/>
  <c r="N790" i="8"/>
  <c r="N793" i="8"/>
  <c r="N794" i="8"/>
  <c r="N791" i="8"/>
  <c r="P792" i="8"/>
  <c r="P791" i="8"/>
  <c r="P793" i="8"/>
  <c r="P790" i="8"/>
  <c r="N808" i="8"/>
  <c r="AH1015" i="8"/>
  <c r="AH1017" i="8"/>
  <c r="AH1014" i="8"/>
  <c r="AJ1016" i="8"/>
  <c r="AH1013" i="8"/>
  <c r="AJ1017" i="8"/>
  <c r="AJ1014" i="8"/>
  <c r="AH1032" i="8"/>
  <c r="AJ1015" i="8"/>
  <c r="AH1018" i="8"/>
  <c r="AH1016" i="8"/>
  <c r="I1157" i="8"/>
  <c r="I1152" i="8"/>
  <c r="I1154" i="8"/>
  <c r="I1156" i="8"/>
  <c r="K1154" i="8"/>
  <c r="K1155" i="8"/>
  <c r="K1156" i="8"/>
  <c r="I1171" i="8"/>
  <c r="I1155" i="8"/>
  <c r="K1153" i="8"/>
  <c r="I1153" i="8"/>
  <c r="Z370" i="8"/>
  <c r="X368" i="8"/>
  <c r="X373" i="8"/>
  <c r="Z372" i="8"/>
  <c r="X371" i="8"/>
  <c r="Z371" i="8"/>
  <c r="X370" i="8"/>
  <c r="X387" i="8"/>
  <c r="X369" i="8"/>
  <c r="X372" i="8"/>
  <c r="AC1339" i="8"/>
  <c r="AC1324" i="8"/>
  <c r="AE1321" i="8"/>
  <c r="AC1323" i="8"/>
  <c r="AC1320" i="8"/>
  <c r="AE1322" i="8"/>
  <c r="AE1324" i="8"/>
  <c r="AE1323" i="8"/>
  <c r="AC1322" i="8"/>
  <c r="AC1321" i="8"/>
  <c r="AC1325" i="8"/>
  <c r="AJ204" i="8"/>
  <c r="AH204" i="8"/>
  <c r="AH203" i="8"/>
  <c r="AJ201" i="8"/>
  <c r="AH201" i="8"/>
  <c r="AH219" i="8"/>
  <c r="AJ203" i="8"/>
  <c r="AJ202" i="8"/>
  <c r="AH202" i="8"/>
  <c r="AH200" i="8"/>
  <c r="AH205" i="8"/>
  <c r="P482" i="8"/>
  <c r="N480" i="8"/>
  <c r="P483" i="8"/>
  <c r="N484" i="8"/>
  <c r="N499" i="8"/>
  <c r="N485" i="8"/>
  <c r="P484" i="8"/>
  <c r="N483" i="8"/>
  <c r="N481" i="8"/>
  <c r="N482" i="8"/>
  <c r="S820" i="8"/>
  <c r="S821" i="8"/>
  <c r="U818" i="8"/>
  <c r="U820" i="8"/>
  <c r="S816" i="8"/>
  <c r="S818" i="8"/>
  <c r="S819" i="8"/>
  <c r="S835" i="8"/>
  <c r="S817" i="8"/>
  <c r="K7" i="26"/>
  <c r="K177" i="26"/>
  <c r="K200" i="26"/>
  <c r="K772" i="26"/>
  <c r="K236" i="26"/>
  <c r="K519" i="26"/>
  <c r="K168" i="26"/>
  <c r="K439" i="26"/>
  <c r="K714" i="26"/>
  <c r="K473" i="26"/>
  <c r="K770" i="26"/>
  <c r="K762" i="26"/>
  <c r="K320" i="26"/>
  <c r="K300" i="26"/>
  <c r="K166" i="26"/>
  <c r="K131" i="26"/>
  <c r="K93" i="26"/>
  <c r="K332" i="26"/>
  <c r="K591" i="26"/>
  <c r="K319" i="26"/>
  <c r="K34" i="26"/>
  <c r="K585" i="26"/>
  <c r="K234" i="26"/>
  <c r="K710" i="26"/>
  <c r="K100" i="26"/>
  <c r="K796" i="26"/>
  <c r="K612" i="26"/>
  <c r="K625" i="26"/>
  <c r="K618" i="26"/>
  <c r="K554" i="26"/>
  <c r="K2" i="26"/>
  <c r="K35" i="26"/>
  <c r="K136" i="26"/>
  <c r="K382" i="26"/>
  <c r="K515" i="26"/>
  <c r="K342" i="26"/>
  <c r="K204" i="26"/>
  <c r="K509" i="26"/>
  <c r="K460" i="26"/>
  <c r="K776" i="26"/>
  <c r="K390" i="26"/>
  <c r="K736" i="26"/>
  <c r="K650" i="26"/>
  <c r="K792" i="26"/>
  <c r="K753" i="26"/>
  <c r="K196" i="26"/>
  <c r="K192" i="26"/>
  <c r="K245" i="26"/>
  <c r="K583" i="26"/>
  <c r="K427" i="26"/>
  <c r="K215" i="26"/>
  <c r="K38" i="26"/>
  <c r="K432" i="26"/>
  <c r="K368" i="26"/>
  <c r="K356" i="26"/>
  <c r="K767" i="26"/>
  <c r="K639" i="26"/>
  <c r="K788" i="26"/>
  <c r="K711" i="26"/>
  <c r="K353" i="26"/>
  <c r="K270" i="26"/>
  <c r="K99" i="26"/>
  <c r="K532" i="26"/>
  <c r="K599" i="26"/>
  <c r="K176" i="26"/>
  <c r="K757" i="26"/>
  <c r="K543" i="26"/>
  <c r="K403" i="26"/>
  <c r="K189" i="26"/>
  <c r="K486" i="26"/>
  <c r="K257" i="26"/>
  <c r="K670" i="26"/>
  <c r="K660" i="26"/>
  <c r="K559" i="26"/>
  <c r="K364" i="26"/>
  <c r="K594" i="26"/>
  <c r="K461" i="26"/>
  <c r="K423" i="26"/>
  <c r="K502" i="26"/>
  <c r="K385" i="26"/>
  <c r="K37" i="26"/>
  <c r="K165" i="26"/>
  <c r="K544" i="26"/>
  <c r="K436" i="26"/>
  <c r="K325" i="26"/>
  <c r="K537" i="26"/>
  <c r="K524" i="26"/>
  <c r="K152" i="26"/>
  <c r="K376" i="26"/>
  <c r="K219" i="26"/>
  <c r="K142" i="26"/>
  <c r="K793" i="26"/>
  <c r="K688" i="26"/>
  <c r="K444" i="26"/>
  <c r="K269" i="26"/>
  <c r="K249" i="26"/>
  <c r="K442" i="26"/>
  <c r="K467" i="26"/>
  <c r="K794" i="26"/>
  <c r="K164" i="26"/>
  <c r="K542" i="26"/>
  <c r="K581" i="26"/>
  <c r="K604" i="26"/>
  <c r="K323" i="26"/>
  <c r="K349" i="26"/>
  <c r="K92" i="26"/>
  <c r="K344" i="26"/>
  <c r="K421" i="26"/>
  <c r="K768" i="26"/>
  <c r="K595" i="26"/>
  <c r="K271" i="26"/>
  <c r="K321" i="26"/>
  <c r="K726" i="26"/>
  <c r="K324" i="26"/>
  <c r="K535" i="26"/>
  <c r="K470" i="26"/>
  <c r="K112" i="26"/>
  <c r="K306" i="26"/>
  <c r="K463" i="26"/>
  <c r="K774" i="26"/>
  <c r="K440" i="26"/>
  <c r="K157" i="26"/>
  <c r="K548" i="26"/>
  <c r="K326" i="26"/>
  <c r="K129" i="26"/>
  <c r="K634" i="26"/>
  <c r="K160" i="26"/>
  <c r="K538" i="26"/>
  <c r="K551" i="26"/>
  <c r="K340" i="26"/>
  <c r="K697" i="26"/>
  <c r="K597" i="26"/>
  <c r="K674" i="26"/>
  <c r="K626" i="26"/>
  <c r="K580" i="26"/>
  <c r="K243" i="26"/>
  <c r="K528" i="26"/>
  <c r="K478" i="26"/>
  <c r="K209" i="26"/>
  <c r="K522" i="26"/>
  <c r="K265" i="26"/>
  <c r="K230" i="26"/>
  <c r="K371" i="26"/>
  <c r="K123" i="26"/>
  <c r="K644" i="26"/>
  <c r="K202" i="26"/>
  <c r="K547" i="26"/>
  <c r="K54" i="26"/>
  <c r="K451" i="26"/>
  <c r="K520" i="26"/>
  <c r="K563" i="26"/>
  <c r="K609" i="26"/>
  <c r="K659" i="26"/>
  <c r="K350" i="26"/>
  <c r="K307" i="26"/>
  <c r="K474" i="26"/>
  <c r="K587" i="26"/>
  <c r="K671" i="26"/>
  <c r="K104" i="26"/>
  <c r="K690" i="26"/>
  <c r="K126" i="26"/>
  <c r="K562" i="26"/>
  <c r="K299" i="26"/>
  <c r="K649" i="26"/>
  <c r="K683" i="26"/>
  <c r="K449" i="26"/>
  <c r="K633" i="26"/>
  <c r="K616" i="26"/>
  <c r="K228" i="26"/>
  <c r="K154" i="26"/>
  <c r="K338" i="26"/>
  <c r="K564" i="26"/>
  <c r="K590" i="26"/>
  <c r="K32" i="26"/>
  <c r="K276" i="26"/>
  <c r="K541" i="26"/>
  <c r="K716" i="26"/>
  <c r="K686" i="26"/>
  <c r="K489" i="26"/>
  <c r="K698" i="26"/>
  <c r="K498" i="26"/>
  <c r="K133" i="26"/>
  <c r="K627" i="26"/>
  <c r="K125" i="26"/>
  <c r="K116" i="26"/>
  <c r="K425" i="26"/>
  <c r="K694" i="26"/>
  <c r="K214" i="26"/>
  <c r="K584" i="26"/>
  <c r="K636" i="26"/>
  <c r="K678" i="26"/>
  <c r="AJ847" i="8"/>
  <c r="AH847" i="8"/>
  <c r="AH849" i="8"/>
  <c r="AJ848" i="8"/>
  <c r="AH846" i="8"/>
  <c r="AH845" i="8"/>
  <c r="AH850" i="8"/>
  <c r="AJ849" i="8"/>
  <c r="AH864" i="8"/>
  <c r="AH848" i="8"/>
  <c r="AH752" i="8"/>
  <c r="AH735" i="8"/>
  <c r="AJ736" i="8"/>
  <c r="AJ735" i="8"/>
  <c r="AH737" i="8"/>
  <c r="AH736" i="8"/>
  <c r="AH733" i="8"/>
  <c r="AH734" i="8"/>
  <c r="AJ737" i="8"/>
  <c r="AH738" i="8"/>
  <c r="I649" i="8"/>
  <c r="I667" i="8"/>
  <c r="I648" i="8"/>
  <c r="I650" i="8"/>
  <c r="K650" i="8"/>
  <c r="K652" i="8"/>
  <c r="I653" i="8"/>
  <c r="I652" i="8"/>
  <c r="K651" i="8"/>
  <c r="I651" i="8"/>
  <c r="AC428" i="8"/>
  <c r="AC426" i="8"/>
  <c r="AE428" i="8"/>
  <c r="AE427" i="8"/>
  <c r="AE426" i="8"/>
  <c r="AC427" i="8"/>
  <c r="AC443" i="8"/>
  <c r="AC424" i="8"/>
  <c r="AC429" i="8"/>
  <c r="AC425" i="8"/>
  <c r="D230" i="8"/>
  <c r="F233" i="8"/>
  <c r="D231" i="8"/>
  <c r="F232" i="8"/>
  <c r="F231" i="8"/>
  <c r="D232" i="8"/>
  <c r="D229" i="8"/>
  <c r="D248" i="8"/>
  <c r="D233" i="8"/>
  <c r="D234" i="8"/>
  <c r="S626" i="8"/>
  <c r="S640" i="8"/>
  <c r="S621" i="8"/>
  <c r="S624" i="8"/>
  <c r="S625" i="8"/>
  <c r="U624" i="8"/>
  <c r="U625" i="8"/>
  <c r="U623" i="8"/>
  <c r="S623" i="8"/>
  <c r="S622" i="8"/>
  <c r="N147" i="8"/>
  <c r="P148" i="8"/>
  <c r="N148" i="8"/>
  <c r="P146" i="8"/>
  <c r="N163" i="8"/>
  <c r="N144" i="8"/>
  <c r="P147" i="8"/>
  <c r="N146" i="8"/>
  <c r="N145" i="8"/>
  <c r="N149" i="8"/>
  <c r="X1069" i="8"/>
  <c r="X1071" i="8"/>
  <c r="X1073" i="8"/>
  <c r="X1070" i="8"/>
  <c r="Z1072" i="8"/>
  <c r="X1074" i="8"/>
  <c r="Z1071" i="8"/>
  <c r="X1072" i="8"/>
  <c r="X1088" i="8"/>
  <c r="Z1073" i="8"/>
  <c r="Z1070" i="8"/>
  <c r="I761" i="8"/>
  <c r="K763" i="8"/>
  <c r="I762" i="8"/>
  <c r="I765" i="8"/>
  <c r="I779" i="8"/>
  <c r="K764" i="8"/>
  <c r="K761" i="8"/>
  <c r="I763" i="8"/>
  <c r="I760" i="8"/>
  <c r="K762" i="8"/>
  <c r="I764" i="8"/>
  <c r="AH835" i="8"/>
  <c r="AH818" i="8"/>
  <c r="AJ818" i="8"/>
  <c r="AH819" i="8"/>
  <c r="AJ820" i="8"/>
  <c r="AJ819" i="8"/>
  <c r="AH817" i="8"/>
  <c r="AH816" i="8"/>
  <c r="AH821" i="8"/>
  <c r="AH820" i="8"/>
  <c r="AJ817" i="8"/>
  <c r="N1127" i="8"/>
  <c r="N1128" i="8"/>
  <c r="N1144" i="8"/>
  <c r="N1130" i="8"/>
  <c r="P1128" i="8"/>
  <c r="N1126" i="8"/>
  <c r="N1125" i="8"/>
  <c r="N1129" i="8"/>
  <c r="P1126" i="8"/>
  <c r="P1129" i="8"/>
  <c r="P1127" i="8"/>
  <c r="K345" i="8"/>
  <c r="I360" i="8"/>
  <c r="K344" i="8"/>
  <c r="I342" i="8"/>
  <c r="I341" i="8"/>
  <c r="K343" i="8"/>
  <c r="K342" i="8" s="1"/>
  <c r="I344" i="8"/>
  <c r="I345" i="8"/>
  <c r="I343" i="8"/>
  <c r="I346" i="8"/>
  <c r="D1071" i="8"/>
  <c r="D1072" i="8"/>
  <c r="F1072" i="8"/>
  <c r="D1074" i="8"/>
  <c r="D1088" i="8"/>
  <c r="D1069" i="8"/>
  <c r="F1070" i="8"/>
  <c r="F1073" i="8"/>
  <c r="D1073" i="8"/>
  <c r="D1070" i="8"/>
  <c r="F1071" i="8"/>
  <c r="P1323" i="8"/>
  <c r="N1321" i="8"/>
  <c r="N1324" i="8"/>
  <c r="P1322" i="8"/>
  <c r="N1320" i="8"/>
  <c r="N1339" i="8"/>
  <c r="N1323" i="8"/>
  <c r="P1324" i="8"/>
  <c r="P1321" i="8"/>
  <c r="N1325" i="8"/>
  <c r="N1322" i="8"/>
  <c r="S1321" i="8"/>
  <c r="U1324" i="8"/>
  <c r="S1339" i="8"/>
  <c r="S1322" i="8"/>
  <c r="S1323" i="8"/>
  <c r="U1323" i="8"/>
  <c r="S1325" i="8"/>
  <c r="S1320" i="8"/>
  <c r="S1324" i="8"/>
  <c r="U1322" i="8"/>
  <c r="U1321" i="8"/>
  <c r="X733" i="8"/>
  <c r="Z736" i="8"/>
  <c r="X737" i="8"/>
  <c r="X752" i="8"/>
  <c r="Z735" i="8"/>
  <c r="X734" i="8"/>
  <c r="X736" i="8"/>
  <c r="Z737" i="8"/>
  <c r="X738" i="8"/>
  <c r="X735" i="8"/>
  <c r="I89" i="8"/>
  <c r="K92" i="8"/>
  <c r="K91" i="8"/>
  <c r="I92" i="8"/>
  <c r="I91" i="8"/>
  <c r="K90" i="8"/>
  <c r="I93" i="8"/>
  <c r="I90" i="8"/>
  <c r="I88" i="8"/>
  <c r="I107" i="8"/>
  <c r="P625" i="8"/>
  <c r="N624" i="8"/>
  <c r="P622" i="8"/>
  <c r="N626" i="8"/>
  <c r="P624" i="8"/>
  <c r="N622" i="8"/>
  <c r="N623" i="8"/>
  <c r="N621" i="8"/>
  <c r="N625" i="8"/>
  <c r="P623" i="8"/>
  <c r="N640" i="8"/>
  <c r="Z176" i="8"/>
  <c r="X176" i="8"/>
  <c r="X192" i="8"/>
  <c r="Z177" i="8"/>
  <c r="Z175" i="8"/>
  <c r="X175" i="8"/>
  <c r="X174" i="8"/>
  <c r="X173" i="8"/>
  <c r="X178" i="8"/>
  <c r="X177" i="8"/>
  <c r="X122" i="8"/>
  <c r="Z119" i="8"/>
  <c r="X117" i="8"/>
  <c r="X120" i="8"/>
  <c r="X136" i="8"/>
  <c r="Z121" i="8"/>
  <c r="X118" i="8"/>
  <c r="X121" i="8"/>
  <c r="Z120" i="8"/>
  <c r="X119" i="8"/>
  <c r="N764" i="8"/>
  <c r="P763" i="8"/>
  <c r="P762" i="8"/>
  <c r="P764" i="8"/>
  <c r="N761" i="8"/>
  <c r="N760" i="8"/>
  <c r="N779" i="8"/>
  <c r="N763" i="8"/>
  <c r="N765" i="8"/>
  <c r="N762" i="8"/>
  <c r="AJ146" i="8"/>
  <c r="AH163" i="8"/>
  <c r="AH146" i="8"/>
  <c r="AJ148" i="8"/>
  <c r="AH145" i="8"/>
  <c r="AH147" i="8"/>
  <c r="AJ145" i="8"/>
  <c r="AH148" i="8"/>
  <c r="AH149" i="8"/>
  <c r="AJ147" i="8"/>
  <c r="AH144" i="8"/>
  <c r="N961" i="8"/>
  <c r="P960" i="8"/>
  <c r="N962" i="8"/>
  <c r="P959" i="8"/>
  <c r="N976" i="8"/>
  <c r="N958" i="8"/>
  <c r="P961" i="8"/>
  <c r="N957" i="8"/>
  <c r="P958" i="8"/>
  <c r="N959" i="8"/>
  <c r="N960" i="8"/>
  <c r="S331" i="8"/>
  <c r="S314" i="8"/>
  <c r="S315" i="8"/>
  <c r="S313" i="8"/>
  <c r="S317" i="8"/>
  <c r="U316" i="8"/>
  <c r="U315" i="8"/>
  <c r="S316" i="8"/>
  <c r="U314" i="8"/>
  <c r="S312" i="8"/>
  <c r="N1040" i="8"/>
  <c r="N1043" i="8"/>
  <c r="P1043" i="8"/>
  <c r="N1059" i="8"/>
  <c r="P1044" i="8"/>
  <c r="N1045" i="8"/>
  <c r="N1044" i="8"/>
  <c r="N1042" i="8"/>
  <c r="P1042" i="8"/>
  <c r="N1041" i="8"/>
  <c r="I288" i="8"/>
  <c r="I290" i="8"/>
  <c r="I287" i="8"/>
  <c r="K287" i="8"/>
  <c r="K289" i="8"/>
  <c r="I304" i="8"/>
  <c r="I289" i="8"/>
  <c r="I286" i="8"/>
  <c r="I285" i="8"/>
  <c r="K288" i="8"/>
  <c r="X62" i="8"/>
  <c r="X80" i="8"/>
  <c r="Z63" i="8"/>
  <c r="Z65" i="8"/>
  <c r="Z64" i="8"/>
  <c r="X61" i="8"/>
  <c r="X65" i="8"/>
  <c r="X63" i="8"/>
  <c r="X64" i="8"/>
  <c r="X66" i="8"/>
  <c r="F736" i="8"/>
  <c r="D737" i="8"/>
  <c r="D752" i="8"/>
  <c r="D736" i="8"/>
  <c r="D738" i="8"/>
  <c r="D733" i="8"/>
  <c r="D735" i="8"/>
  <c r="F737" i="8"/>
  <c r="D734" i="8"/>
  <c r="F735" i="8"/>
  <c r="Z231" i="8"/>
  <c r="X229" i="8"/>
  <c r="Z232" i="8"/>
  <c r="X231" i="8"/>
  <c r="X232" i="8"/>
  <c r="X233" i="8"/>
  <c r="X230" i="8"/>
  <c r="Z233" i="8"/>
  <c r="X234" i="8"/>
  <c r="X248" i="8"/>
  <c r="Z1183" i="8"/>
  <c r="Z1182" i="8"/>
  <c r="Z1185" i="8"/>
  <c r="X1185" i="8"/>
  <c r="X1181" i="8"/>
  <c r="X1184" i="8"/>
  <c r="Z1184" i="8"/>
  <c r="X1200" i="8"/>
  <c r="X1183" i="8"/>
  <c r="X1186" i="8"/>
  <c r="X1182" i="8"/>
  <c r="U681" i="8"/>
  <c r="S678" i="8"/>
  <c r="S679" i="8"/>
  <c r="U680" i="8"/>
  <c r="S696" i="8"/>
  <c r="U679" i="8"/>
  <c r="S680" i="8"/>
  <c r="S681" i="8"/>
  <c r="S682" i="8"/>
  <c r="S677" i="8"/>
  <c r="X640" i="8"/>
  <c r="Z624" i="8"/>
  <c r="X621" i="8"/>
  <c r="X622" i="8"/>
  <c r="X623" i="8"/>
  <c r="Z625" i="8"/>
  <c r="X625" i="8"/>
  <c r="X624" i="8"/>
  <c r="X626" i="8"/>
  <c r="Z623" i="8"/>
  <c r="Z622" i="8" s="1"/>
  <c r="N928" i="8"/>
  <c r="N930" i="8"/>
  <c r="P932" i="8"/>
  <c r="P931" i="8"/>
  <c r="P930" i="8"/>
  <c r="N947" i="8"/>
  <c r="N932" i="8"/>
  <c r="N929" i="8"/>
  <c r="N933" i="8"/>
  <c r="N931" i="8"/>
  <c r="U1099" i="8"/>
  <c r="U1097" i="8"/>
  <c r="S1100" i="8"/>
  <c r="S1115" i="8"/>
  <c r="S1099" i="8"/>
  <c r="S1098" i="8"/>
  <c r="S1096" i="8"/>
  <c r="U1098" i="8"/>
  <c r="U1100" i="8"/>
  <c r="S1097" i="8"/>
  <c r="S1101" i="8"/>
  <c r="Z1297" i="8"/>
  <c r="Z1296" i="8"/>
  <c r="X1312" i="8"/>
  <c r="X1297" i="8"/>
  <c r="X1298" i="8"/>
  <c r="X1294" i="8"/>
  <c r="X1295" i="8"/>
  <c r="X1296" i="8"/>
  <c r="X1293" i="8"/>
  <c r="Z1294" i="8"/>
  <c r="Z1295" i="8"/>
  <c r="Z1041" i="8"/>
  <c r="X1045" i="8"/>
  <c r="Z1044" i="8"/>
  <c r="X1040" i="8"/>
  <c r="Z1043" i="8"/>
  <c r="Z1042" i="8"/>
  <c r="X1041" i="8"/>
  <c r="X1043" i="8"/>
  <c r="X1059" i="8"/>
  <c r="X1042" i="8"/>
  <c r="X1044" i="8"/>
  <c r="AE1127" i="8"/>
  <c r="AC1127" i="8"/>
  <c r="AC1125" i="8"/>
  <c r="AC1129" i="8"/>
  <c r="AE1126" i="8"/>
  <c r="AC1130" i="8"/>
  <c r="AC1144" i="8"/>
  <c r="AE1129" i="8"/>
  <c r="AC1126" i="8"/>
  <c r="AC1128" i="8"/>
  <c r="AE1128" i="8"/>
  <c r="S901" i="8"/>
  <c r="U903" i="8"/>
  <c r="S920" i="8"/>
  <c r="S904" i="8"/>
  <c r="U902" i="8"/>
  <c r="S902" i="8"/>
  <c r="U904" i="8"/>
  <c r="S905" i="8"/>
  <c r="S903" i="8"/>
  <c r="U905" i="8"/>
  <c r="S906" i="8"/>
  <c r="D91" i="8"/>
  <c r="F91" i="8"/>
  <c r="F92" i="8"/>
  <c r="D107" i="8"/>
  <c r="D88" i="8"/>
  <c r="F90" i="8"/>
  <c r="D93" i="8"/>
  <c r="D89" i="8"/>
  <c r="D92" i="8"/>
  <c r="D90" i="8"/>
  <c r="X398" i="8"/>
  <c r="Z401" i="8"/>
  <c r="X399" i="8"/>
  <c r="Z399" i="8"/>
  <c r="X397" i="8"/>
  <c r="X416" i="8"/>
  <c r="X400" i="8"/>
  <c r="X402" i="8"/>
  <c r="X401" i="8"/>
  <c r="Z400" i="8"/>
  <c r="I513" i="8"/>
  <c r="I511" i="8"/>
  <c r="I510" i="8"/>
  <c r="I512" i="8"/>
  <c r="I509" i="8"/>
  <c r="K511" i="8"/>
  <c r="I528" i="8"/>
  <c r="I514" i="8"/>
  <c r="K510" i="8"/>
  <c r="K512" i="8"/>
  <c r="K513" i="8"/>
  <c r="U1156" i="8"/>
  <c r="U1154" i="8"/>
  <c r="S1156" i="8"/>
  <c r="S1155" i="8"/>
  <c r="S1154" i="8"/>
  <c r="S1153" i="8"/>
  <c r="U1153" i="8"/>
  <c r="S1152" i="8"/>
  <c r="S1157" i="8"/>
  <c r="S1171" i="8"/>
  <c r="U1155" i="8"/>
  <c r="D1013" i="8"/>
  <c r="D1017" i="8"/>
  <c r="D1018" i="8"/>
  <c r="F1017" i="8"/>
  <c r="D1032" i="8"/>
  <c r="F1016" i="8"/>
  <c r="F1015" i="8"/>
  <c r="F1014" i="8"/>
  <c r="D1014" i="8"/>
  <c r="D1015" i="8"/>
  <c r="D1016" i="8"/>
  <c r="AC146" i="8"/>
  <c r="AC148" i="8"/>
  <c r="AC149" i="8"/>
  <c r="AC145" i="8"/>
  <c r="AC144" i="8"/>
  <c r="AE148" i="8"/>
  <c r="AC147" i="8"/>
  <c r="AE146" i="8"/>
  <c r="AE147" i="8"/>
  <c r="AC163" i="8"/>
  <c r="AH1115" i="8"/>
  <c r="AJ1099" i="8"/>
  <c r="AJ1097" i="8"/>
  <c r="AH1098" i="8"/>
  <c r="AH1100" i="8"/>
  <c r="AH1097" i="8"/>
  <c r="AH1101" i="8"/>
  <c r="AH1099" i="8"/>
  <c r="AJ1098" i="8"/>
  <c r="AH1096" i="8"/>
  <c r="AJ1100" i="8"/>
  <c r="K594" i="8"/>
  <c r="K596" i="8"/>
  <c r="I596" i="8"/>
  <c r="I592" i="8"/>
  <c r="I594" i="8"/>
  <c r="I595" i="8"/>
  <c r="I597" i="8"/>
  <c r="K595" i="8"/>
  <c r="I593" i="8"/>
  <c r="I611" i="8"/>
  <c r="N91" i="8"/>
  <c r="P92" i="8"/>
  <c r="N93" i="8"/>
  <c r="N92" i="8"/>
  <c r="P91" i="8"/>
  <c r="P90" i="8"/>
  <c r="N107" i="8"/>
  <c r="N90" i="8"/>
  <c r="N89" i="8"/>
  <c r="N88" i="8"/>
  <c r="AJ513" i="8"/>
  <c r="AH514" i="8"/>
  <c r="AJ512" i="8"/>
  <c r="AH510" i="8"/>
  <c r="AH528" i="8"/>
  <c r="AH511" i="8"/>
  <c r="AH509" i="8"/>
  <c r="AJ510" i="8"/>
  <c r="AH512" i="8"/>
  <c r="AJ511" i="8"/>
  <c r="AH513" i="8"/>
  <c r="K846" i="8"/>
  <c r="I846" i="8"/>
  <c r="I850" i="8"/>
  <c r="I864" i="8"/>
  <c r="K848" i="8"/>
  <c r="I849" i="8"/>
  <c r="I848" i="8"/>
  <c r="K849" i="8"/>
  <c r="I847" i="8"/>
  <c r="I845" i="8"/>
  <c r="K847" i="8"/>
  <c r="X510" i="8"/>
  <c r="X511" i="8"/>
  <c r="Z513" i="8"/>
  <c r="X514" i="8"/>
  <c r="X528" i="8"/>
  <c r="Z510" i="8"/>
  <c r="X512" i="8"/>
  <c r="X509" i="8"/>
  <c r="Z511" i="8"/>
  <c r="X513" i="8"/>
  <c r="Z512" i="8"/>
  <c r="N891" i="8"/>
  <c r="P874" i="8"/>
  <c r="N876" i="8"/>
  <c r="P876" i="8"/>
  <c r="N873" i="8"/>
  <c r="P875" i="8"/>
  <c r="N875" i="8"/>
  <c r="N872" i="8"/>
  <c r="N877" i="8"/>
  <c r="N874" i="8"/>
  <c r="X650" i="8"/>
  <c r="X653" i="8"/>
  <c r="X652" i="8"/>
  <c r="Z652" i="8"/>
  <c r="Z651" i="8"/>
  <c r="Z650" i="8"/>
  <c r="X651" i="8"/>
  <c r="X667" i="8"/>
  <c r="X648" i="8"/>
  <c r="X649" i="8"/>
  <c r="S201" i="8"/>
  <c r="U203" i="8"/>
  <c r="U202" i="8"/>
  <c r="S205" i="8"/>
  <c r="U204" i="8"/>
  <c r="S219" i="8"/>
  <c r="S203" i="8"/>
  <c r="S202" i="8"/>
  <c r="S200" i="8"/>
  <c r="S204" i="8"/>
  <c r="Z706" i="8"/>
  <c r="X723" i="8"/>
  <c r="X706" i="8"/>
  <c r="X705" i="8"/>
  <c r="X709" i="8"/>
  <c r="X708" i="8"/>
  <c r="Z708" i="8"/>
  <c r="X704" i="8"/>
  <c r="Z707" i="8"/>
  <c r="X707" i="8"/>
  <c r="AE820" i="8"/>
  <c r="AC821" i="8"/>
  <c r="AC816" i="8"/>
  <c r="AC818" i="8"/>
  <c r="AC835" i="8"/>
  <c r="AC817" i="8"/>
  <c r="AE817" i="8"/>
  <c r="AE819" i="8"/>
  <c r="AC820" i="8"/>
  <c r="AC819" i="8"/>
  <c r="AE818" i="8"/>
  <c r="K34" i="8"/>
  <c r="I35" i="8"/>
  <c r="K36" i="8"/>
  <c r="I36" i="8"/>
  <c r="I37" i="8"/>
  <c r="K35" i="8"/>
  <c r="I51" i="8"/>
  <c r="I32" i="8"/>
  <c r="I33" i="8"/>
  <c r="I34" i="8"/>
  <c r="U1126" i="8"/>
  <c r="S1129" i="8"/>
  <c r="U1127" i="8"/>
  <c r="U1128" i="8"/>
  <c r="S1125" i="8"/>
  <c r="S1128" i="8"/>
  <c r="S1144" i="8"/>
  <c r="S1130" i="8"/>
  <c r="U1129" i="8"/>
  <c r="S1126" i="8"/>
  <c r="S1127" i="8"/>
  <c r="P63" i="8"/>
  <c r="N62" i="8"/>
  <c r="N61" i="8"/>
  <c r="P64" i="8"/>
  <c r="N63" i="8"/>
  <c r="N80" i="8"/>
  <c r="N66" i="8"/>
  <c r="P65" i="8"/>
  <c r="P62" i="8"/>
  <c r="N65" i="8"/>
  <c r="N64" i="8"/>
  <c r="AE792" i="8"/>
  <c r="AC789" i="8"/>
  <c r="AC794" i="8"/>
  <c r="AC791" i="8"/>
  <c r="AC808" i="8"/>
  <c r="AC792" i="8"/>
  <c r="AE791" i="8"/>
  <c r="AC790" i="8"/>
  <c r="AC793" i="8"/>
  <c r="AE793" i="8"/>
  <c r="I66" i="8"/>
  <c r="K63" i="8"/>
  <c r="I65" i="8"/>
  <c r="I63" i="8"/>
  <c r="I80" i="8"/>
  <c r="K65" i="8"/>
  <c r="I61" i="8"/>
  <c r="I64" i="8"/>
  <c r="K64" i="8"/>
  <c r="I62" i="8"/>
  <c r="N652" i="8"/>
  <c r="P651" i="8"/>
  <c r="N653" i="8"/>
  <c r="N649" i="8"/>
  <c r="P650" i="8"/>
  <c r="N651" i="8"/>
  <c r="P652" i="8"/>
  <c r="N667" i="8"/>
  <c r="N650" i="8"/>
  <c r="N648" i="8"/>
  <c r="U1017" i="8"/>
  <c r="U1015" i="8"/>
  <c r="S1017" i="8"/>
  <c r="S1014" i="8"/>
  <c r="S1032" i="8"/>
  <c r="S1013" i="8"/>
  <c r="S1018" i="8"/>
  <c r="S1015" i="8"/>
  <c r="S1016" i="8"/>
  <c r="U1016" i="8"/>
  <c r="K1042" i="8"/>
  <c r="I1043" i="8"/>
  <c r="K1044" i="8"/>
  <c r="I1045" i="8"/>
  <c r="I1041" i="8"/>
  <c r="I1059" i="8"/>
  <c r="I1040" i="8"/>
  <c r="I1044" i="8"/>
  <c r="I1042" i="8"/>
  <c r="I175" i="8"/>
  <c r="K177" i="8"/>
  <c r="I174" i="8"/>
  <c r="I176" i="8"/>
  <c r="I173" i="8"/>
  <c r="K176" i="8"/>
  <c r="I178" i="8"/>
  <c r="I177" i="8"/>
  <c r="I192" i="8"/>
  <c r="K175" i="8"/>
  <c r="K174" i="8" s="1"/>
  <c r="AH398" i="8"/>
  <c r="AJ401" i="8"/>
  <c r="AH400" i="8"/>
  <c r="AJ399" i="8"/>
  <c r="AJ398" i="8" s="1"/>
  <c r="AH399" i="8"/>
  <c r="AH401" i="8"/>
  <c r="AH416" i="8"/>
  <c r="AH402" i="8"/>
  <c r="AJ400" i="8"/>
  <c r="AH397" i="8"/>
  <c r="I947" i="8"/>
  <c r="K930" i="8"/>
  <c r="I930" i="8"/>
  <c r="I933" i="8"/>
  <c r="I932" i="8"/>
  <c r="K931" i="8"/>
  <c r="I928" i="8"/>
  <c r="I931" i="8"/>
  <c r="K932" i="8"/>
  <c r="I929" i="8"/>
  <c r="D345" i="8"/>
  <c r="D360" i="8"/>
  <c r="D341" i="8"/>
  <c r="F344" i="8"/>
  <c r="F345" i="8"/>
  <c r="D344" i="8"/>
  <c r="D343" i="8"/>
  <c r="D342" i="8"/>
  <c r="D346" i="8"/>
  <c r="F343" i="8"/>
  <c r="U121" i="8"/>
  <c r="U120" i="8"/>
  <c r="S121" i="8"/>
  <c r="S136" i="8"/>
  <c r="S119" i="8"/>
  <c r="S118" i="8"/>
  <c r="U119" i="8"/>
  <c r="S120" i="8"/>
  <c r="S122" i="8"/>
  <c r="S117" i="8"/>
  <c r="D817" i="8"/>
  <c r="D820" i="8"/>
  <c r="D835" i="8"/>
  <c r="F819" i="8"/>
  <c r="D816" i="8"/>
  <c r="F820" i="8"/>
  <c r="D821" i="8"/>
  <c r="D819" i="8"/>
  <c r="F818" i="8"/>
  <c r="D818" i="8"/>
  <c r="D457" i="8"/>
  <c r="D453" i="8"/>
  <c r="D454" i="8"/>
  <c r="D458" i="8"/>
  <c r="D455" i="8"/>
  <c r="F457" i="8"/>
  <c r="F455" i="8"/>
  <c r="F456" i="8"/>
  <c r="D456" i="8"/>
  <c r="D472" i="8"/>
  <c r="I1266" i="8"/>
  <c r="K1268" i="8"/>
  <c r="K1265" i="8"/>
  <c r="I1267" i="8"/>
  <c r="I1264" i="8"/>
  <c r="I1265" i="8"/>
  <c r="I1269" i="8"/>
  <c r="I1268" i="8"/>
  <c r="I1283" i="8"/>
  <c r="K1266" i="8"/>
  <c r="K1267" i="8"/>
  <c r="N288" i="8"/>
  <c r="N289" i="8"/>
  <c r="N304" i="8"/>
  <c r="P286" i="8"/>
  <c r="P287" i="8"/>
  <c r="N286" i="8"/>
  <c r="P289" i="8"/>
  <c r="N287" i="8"/>
  <c r="N290" i="8"/>
  <c r="N285" i="8"/>
  <c r="P288" i="8"/>
  <c r="U1239" i="8"/>
  <c r="S1238" i="8"/>
  <c r="S1241" i="8"/>
  <c r="U1241" i="8"/>
  <c r="U1238" i="8"/>
  <c r="S1242" i="8"/>
  <c r="S1256" i="8"/>
  <c r="S1237" i="8"/>
  <c r="S1239" i="8"/>
  <c r="S1240" i="8"/>
  <c r="U1240" i="8"/>
  <c r="I569" i="8"/>
  <c r="I567" i="8"/>
  <c r="K569" i="8"/>
  <c r="K566" i="8"/>
  <c r="I568" i="8"/>
  <c r="I566" i="8"/>
  <c r="I570" i="8"/>
  <c r="I584" i="8"/>
  <c r="K567" i="8"/>
  <c r="K568" i="8"/>
  <c r="I565" i="8"/>
  <c r="X987" i="8"/>
  <c r="Z986" i="8"/>
  <c r="Z987" i="8"/>
  <c r="X986" i="8"/>
  <c r="X985" i="8"/>
  <c r="Z988" i="8"/>
  <c r="X989" i="8"/>
  <c r="X1003" i="8"/>
  <c r="X984" i="8"/>
  <c r="X988" i="8"/>
  <c r="P707" i="8"/>
  <c r="P708" i="8"/>
  <c r="N708" i="8"/>
  <c r="N706" i="8"/>
  <c r="N707" i="8"/>
  <c r="N709" i="8"/>
  <c r="N704" i="8"/>
  <c r="N705" i="8"/>
  <c r="P706" i="8"/>
  <c r="N723" i="8"/>
  <c r="AC976" i="8"/>
  <c r="AC960" i="8"/>
  <c r="AE960" i="8"/>
  <c r="AE961" i="8"/>
  <c r="AC961" i="8"/>
  <c r="AC958" i="8"/>
  <c r="AC959" i="8"/>
  <c r="AE959" i="8"/>
  <c r="AC962" i="8"/>
  <c r="AC957" i="8"/>
  <c r="D1096" i="8"/>
  <c r="D1098" i="8"/>
  <c r="D1115" i="8"/>
  <c r="D1101" i="8"/>
  <c r="D1099" i="8"/>
  <c r="F1098" i="8"/>
  <c r="F1100" i="8"/>
  <c r="F1097" i="8"/>
  <c r="F1099" i="8"/>
  <c r="D1097" i="8"/>
  <c r="D1100" i="8"/>
  <c r="F1153" i="8"/>
  <c r="D1171" i="8"/>
  <c r="D1152" i="8"/>
  <c r="D1156" i="8"/>
  <c r="D1157" i="8"/>
  <c r="D1155" i="8"/>
  <c r="F1154" i="8"/>
  <c r="D1153" i="8"/>
  <c r="F1156" i="8"/>
  <c r="D1154" i="8"/>
  <c r="F1155" i="8"/>
  <c r="Z259" i="8"/>
  <c r="Z258" i="8"/>
  <c r="Z257" i="8" s="1"/>
  <c r="X260" i="8"/>
  <c r="X258" i="8"/>
  <c r="X259" i="8"/>
  <c r="X275" i="8"/>
  <c r="X261" i="8"/>
  <c r="X257" i="8"/>
  <c r="Z260" i="8"/>
  <c r="X256" i="8"/>
  <c r="AC8" i="8"/>
  <c r="AC9" i="8"/>
  <c r="AE7" i="8"/>
  <c r="AE8" i="8"/>
  <c r="AC10" i="8"/>
  <c r="AC5" i="8"/>
  <c r="AC7" i="8"/>
  <c r="AC24" i="8"/>
  <c r="AC6" i="8"/>
  <c r="AE9" i="8"/>
  <c r="AH360" i="8"/>
  <c r="AH343" i="8"/>
  <c r="AJ345" i="8"/>
  <c r="AH344" i="8"/>
  <c r="AH345" i="8"/>
  <c r="AH341" i="8"/>
  <c r="AJ343" i="8"/>
  <c r="AH342" i="8"/>
  <c r="AH346" i="8"/>
  <c r="AJ344" i="8"/>
  <c r="X539" i="8"/>
  <c r="X536" i="8"/>
  <c r="Z538" i="8"/>
  <c r="X537" i="8"/>
  <c r="X541" i="8"/>
  <c r="X538" i="8"/>
  <c r="Z537" i="8"/>
  <c r="Z540" i="8"/>
  <c r="X555" i="8"/>
  <c r="X540" i="8"/>
  <c r="Z539" i="8"/>
  <c r="S667" i="8"/>
  <c r="S650" i="8"/>
  <c r="U650" i="8"/>
  <c r="U649" i="8" s="1"/>
  <c r="S652" i="8"/>
  <c r="S653" i="8"/>
  <c r="S648" i="8"/>
  <c r="S649" i="8"/>
  <c r="U652" i="8"/>
  <c r="S651" i="8"/>
  <c r="K143" i="26"/>
  <c r="K570" i="26"/>
  <c r="K24" i="26"/>
  <c r="K661" i="26"/>
  <c r="K378" i="26"/>
  <c r="K702" i="26"/>
  <c r="K605" i="26"/>
  <c r="K779" i="26"/>
  <c r="K295" i="26"/>
  <c r="K89" i="26"/>
  <c r="K651" i="26"/>
  <c r="K101" i="26"/>
  <c r="K348" i="26"/>
  <c r="K782" i="26"/>
  <c r="K231" i="26"/>
  <c r="K372" i="26"/>
  <c r="K748" i="26"/>
  <c r="K308" i="26"/>
  <c r="K139" i="26"/>
  <c r="K316" i="26"/>
  <c r="K197" i="26"/>
  <c r="K556" i="26"/>
  <c r="K689" i="26"/>
  <c r="K658" i="26"/>
  <c r="K45" i="26"/>
  <c r="K361" i="26"/>
  <c r="K706" i="26"/>
  <c r="K140" i="26"/>
  <c r="K727" i="26"/>
  <c r="K675" i="26"/>
  <c r="K42" i="26"/>
  <c r="K181" i="26"/>
  <c r="K725" i="26"/>
  <c r="K289" i="26"/>
  <c r="K162" i="26"/>
  <c r="K507" i="26"/>
  <c r="K211" i="26"/>
  <c r="K406" i="26"/>
  <c r="K598" i="26"/>
  <c r="K565" i="26"/>
  <c r="K676" i="26"/>
  <c r="K791" i="26"/>
  <c r="K263" i="26"/>
  <c r="K730" i="26"/>
  <c r="K134" i="26"/>
  <c r="K429" i="26"/>
  <c r="K178" i="26"/>
  <c r="K719" i="26"/>
  <c r="K555" i="26"/>
  <c r="K250" i="26"/>
  <c r="K469" i="26"/>
  <c r="K380" i="26"/>
  <c r="K545" i="26"/>
  <c r="K516" i="26"/>
  <c r="D399" i="10" a="1"/>
  <c r="K239" i="26"/>
  <c r="K102" i="26"/>
  <c r="K631" i="26"/>
  <c r="K314" i="26"/>
  <c r="K574" i="26"/>
  <c r="K279" i="26"/>
  <c r="K771" i="26"/>
  <c r="K673" i="26"/>
  <c r="K483" i="26"/>
  <c r="K416" i="26"/>
  <c r="K641" i="26"/>
  <c r="K438" i="26"/>
  <c r="K277" i="26"/>
  <c r="K613" i="26"/>
  <c r="K103" i="26"/>
  <c r="K404" i="26"/>
  <c r="K190" i="26"/>
  <c r="K751" i="26"/>
  <c r="K198" i="26"/>
  <c r="K87" i="26"/>
  <c r="AC761" i="8"/>
  <c r="AC763" i="8"/>
  <c r="AC765" i="8"/>
  <c r="AE762" i="8"/>
  <c r="AE764" i="8"/>
  <c r="AC779" i="8"/>
  <c r="AC764" i="8"/>
  <c r="AE763" i="8"/>
  <c r="AC760" i="8"/>
  <c r="AC762" i="8"/>
  <c r="U594" i="8"/>
  <c r="S592" i="8"/>
  <c r="U595" i="8"/>
  <c r="S594" i="8"/>
  <c r="S593" i="8"/>
  <c r="U596" i="8"/>
  <c r="S597" i="8"/>
  <c r="S595" i="8"/>
  <c r="S611" i="8"/>
  <c r="S596" i="8"/>
  <c r="F315" i="8"/>
  <c r="D313" i="8"/>
  <c r="D312" i="8"/>
  <c r="D316" i="8"/>
  <c r="D317" i="8"/>
  <c r="F316" i="8"/>
  <c r="D331" i="8"/>
  <c r="F314" i="8"/>
  <c r="D315" i="8"/>
  <c r="D314" i="8"/>
  <c r="I682" i="8"/>
  <c r="K679" i="8"/>
  <c r="I681" i="8"/>
  <c r="I680" i="8"/>
  <c r="K681" i="8"/>
  <c r="K680" i="8"/>
  <c r="I696" i="8"/>
  <c r="I678" i="8"/>
  <c r="I679" i="8"/>
  <c r="I677" i="8"/>
  <c r="N260" i="8"/>
  <c r="P258" i="8"/>
  <c r="N258" i="8"/>
  <c r="N275" i="8"/>
  <c r="N256" i="8"/>
  <c r="N261" i="8"/>
  <c r="P259" i="8"/>
  <c r="N259" i="8"/>
  <c r="N257" i="8"/>
  <c r="P260" i="8"/>
  <c r="Z90" i="8"/>
  <c r="X93" i="8"/>
  <c r="X88" i="8"/>
  <c r="X107" i="8"/>
  <c r="Z91" i="8"/>
  <c r="X92" i="8"/>
  <c r="X91" i="8"/>
  <c r="X89" i="8"/>
  <c r="X90" i="8"/>
  <c r="Z92" i="8"/>
  <c r="AE288" i="8"/>
  <c r="AC288" i="8"/>
  <c r="AC289" i="8"/>
  <c r="AC287" i="8"/>
  <c r="AC304" i="8"/>
  <c r="AC285" i="8"/>
  <c r="AE289" i="8"/>
  <c r="AC290" i="8"/>
  <c r="AE287" i="8"/>
  <c r="AC286" i="8"/>
  <c r="AJ1184" i="8"/>
  <c r="AH1181" i="8"/>
  <c r="AJ1182" i="8"/>
  <c r="AH1182" i="8"/>
  <c r="AH1200" i="8"/>
  <c r="AH1186" i="8"/>
  <c r="AJ1183" i="8"/>
  <c r="AJ1185" i="8"/>
  <c r="AH1183" i="8"/>
  <c r="AH1185" i="8"/>
  <c r="AH1184" i="8"/>
  <c r="X905" i="8"/>
  <c r="Z903" i="8"/>
  <c r="X901" i="8"/>
  <c r="X904" i="8"/>
  <c r="X906" i="8"/>
  <c r="X902" i="8"/>
  <c r="X903" i="8"/>
  <c r="Z904" i="8"/>
  <c r="Z905" i="8"/>
  <c r="X920" i="8"/>
  <c r="Z902" i="8"/>
  <c r="P1265" i="8"/>
  <c r="N1266" i="8"/>
  <c r="P1267" i="8"/>
  <c r="N1264" i="8"/>
  <c r="N1268" i="8"/>
  <c r="P1268" i="8"/>
  <c r="N1269" i="8"/>
  <c r="N1283" i="8"/>
  <c r="N1265" i="8"/>
  <c r="P1266" i="8"/>
  <c r="N1267" i="8"/>
  <c r="Z1098" i="8"/>
  <c r="Z1097" i="8"/>
  <c r="X1115" i="8"/>
  <c r="X1101" i="8"/>
  <c r="X1096" i="8"/>
  <c r="X1098" i="8"/>
  <c r="X1097" i="8"/>
  <c r="Z1100" i="8"/>
  <c r="X1099" i="8"/>
  <c r="X1100" i="8"/>
  <c r="Z1099" i="8"/>
  <c r="D696" i="8"/>
  <c r="F681" i="8"/>
  <c r="D682" i="8"/>
  <c r="F679" i="8"/>
  <c r="D680" i="8"/>
  <c r="D679" i="8"/>
  <c r="D681" i="8"/>
  <c r="D677" i="8"/>
  <c r="D678" i="8"/>
  <c r="F680" i="8"/>
  <c r="S368" i="8"/>
  <c r="S370" i="8"/>
  <c r="S371" i="8"/>
  <c r="S369" i="8"/>
  <c r="U370" i="8"/>
  <c r="S387" i="8"/>
  <c r="S373" i="8"/>
  <c r="U371" i="8"/>
  <c r="S372" i="8"/>
  <c r="U372" i="8"/>
  <c r="P1240" i="8"/>
  <c r="P1241" i="8"/>
  <c r="N1240" i="8"/>
  <c r="N1238" i="8"/>
  <c r="P1239" i="8"/>
  <c r="N1242" i="8"/>
  <c r="N1256" i="8"/>
  <c r="N1239" i="8"/>
  <c r="N1241" i="8"/>
  <c r="P1238" i="8"/>
  <c r="N1237" i="8"/>
  <c r="F930" i="8"/>
  <c r="D931" i="8"/>
  <c r="D933" i="8"/>
  <c r="F932" i="8"/>
  <c r="D929" i="8"/>
  <c r="F931" i="8"/>
  <c r="D928" i="8"/>
  <c r="D932" i="8"/>
  <c r="D930" i="8"/>
  <c r="D947" i="8"/>
  <c r="N584" i="8"/>
  <c r="N565" i="8"/>
  <c r="N566" i="8"/>
  <c r="P566" i="8"/>
  <c r="N570" i="8"/>
  <c r="N567" i="8"/>
  <c r="P569" i="8"/>
  <c r="N568" i="8"/>
  <c r="P567" i="8"/>
  <c r="P568" i="8"/>
  <c r="N569" i="8"/>
  <c r="F1295" i="8"/>
  <c r="F1296" i="8"/>
  <c r="D1294" i="8"/>
  <c r="F1297" i="8"/>
  <c r="D1298" i="8"/>
  <c r="D1293" i="8"/>
  <c r="D1295" i="8"/>
  <c r="F1294" i="8"/>
  <c r="D1312" i="8"/>
  <c r="D1296" i="8"/>
  <c r="D1297" i="8"/>
  <c r="N984" i="8"/>
  <c r="N988" i="8"/>
  <c r="N1003" i="8"/>
  <c r="N987" i="8"/>
  <c r="P986" i="8"/>
  <c r="N989" i="8"/>
  <c r="N985" i="8"/>
  <c r="N986" i="8"/>
  <c r="P988" i="8"/>
  <c r="P987" i="8"/>
  <c r="AH1043" i="8"/>
  <c r="AH1040" i="8"/>
  <c r="AJ1043" i="8"/>
  <c r="AH1044" i="8"/>
  <c r="AJ1042" i="8"/>
  <c r="AH1042" i="8"/>
  <c r="AH1059" i="8"/>
  <c r="AJ1041" i="8"/>
  <c r="AH1041" i="8"/>
  <c r="AH1045" i="8"/>
  <c r="AJ1044" i="8"/>
  <c r="N1182" i="8"/>
  <c r="N1183" i="8"/>
  <c r="P1183" i="8"/>
  <c r="P1184" i="8"/>
  <c r="P1185" i="8"/>
  <c r="N1184" i="8"/>
  <c r="N1185" i="8"/>
  <c r="N1200" i="8"/>
  <c r="P1182" i="8"/>
  <c r="N1181" i="8"/>
  <c r="N1186" i="8"/>
  <c r="Z148" i="8"/>
  <c r="Z147" i="8"/>
  <c r="Z146" i="8"/>
  <c r="X146" i="8"/>
  <c r="X163" i="8"/>
  <c r="X144" i="8"/>
  <c r="X148" i="8"/>
  <c r="X145" i="8"/>
  <c r="X147" i="8"/>
  <c r="X149" i="8"/>
  <c r="D1184" i="8"/>
  <c r="F1182" i="8"/>
  <c r="F1185" i="8"/>
  <c r="D1186" i="8"/>
  <c r="D1181" i="8"/>
  <c r="D1185" i="8"/>
  <c r="D1183" i="8"/>
  <c r="F1183" i="8"/>
  <c r="D1182" i="8"/>
  <c r="F1184" i="8"/>
  <c r="D1200" i="8"/>
  <c r="AE708" i="8"/>
  <c r="AC705" i="8"/>
  <c r="AC708" i="8"/>
  <c r="AC704" i="8"/>
  <c r="AE707" i="8"/>
  <c r="AC706" i="8"/>
  <c r="AE706" i="8"/>
  <c r="AC723" i="8"/>
  <c r="AC707" i="8"/>
  <c r="AC709" i="8"/>
  <c r="U7" i="8"/>
  <c r="U9" i="8"/>
  <c r="S7" i="8"/>
  <c r="S9" i="8"/>
  <c r="S8" i="8"/>
  <c r="U8" i="8"/>
  <c r="S10" i="8"/>
  <c r="S5" i="8"/>
  <c r="S24" i="8"/>
  <c r="S6" i="8"/>
  <c r="I200" i="8"/>
  <c r="I204" i="8"/>
  <c r="K202" i="8"/>
  <c r="I219" i="8"/>
  <c r="I201" i="8"/>
  <c r="I202" i="8"/>
  <c r="K204" i="8"/>
  <c r="I205" i="8"/>
  <c r="I203" i="8"/>
  <c r="K203" i="8"/>
  <c r="AJ791" i="8"/>
  <c r="AH790" i="8"/>
  <c r="AH793" i="8"/>
  <c r="AJ793" i="8"/>
  <c r="AH808" i="8"/>
  <c r="AJ792" i="8"/>
  <c r="AH791" i="8"/>
  <c r="AH789" i="8"/>
  <c r="AH792" i="8"/>
  <c r="AH794" i="8"/>
  <c r="F177" i="8"/>
  <c r="D178" i="8"/>
  <c r="D177" i="8"/>
  <c r="D174" i="8"/>
  <c r="F176" i="8"/>
  <c r="D176" i="8"/>
  <c r="D192" i="8"/>
  <c r="D173" i="8"/>
  <c r="F175" i="8"/>
  <c r="D175" i="8"/>
  <c r="D416" i="8"/>
  <c r="F399" i="8"/>
  <c r="D399" i="8"/>
  <c r="D401" i="8"/>
  <c r="D398" i="8"/>
  <c r="D400" i="8"/>
  <c r="D402" i="8"/>
  <c r="D397" i="8"/>
  <c r="F400" i="8"/>
  <c r="F401" i="8"/>
  <c r="AJ540" i="8"/>
  <c r="AH537" i="8"/>
  <c r="AJ538" i="8"/>
  <c r="AH541" i="8"/>
  <c r="AH536" i="8"/>
  <c r="AH539" i="8"/>
  <c r="AJ539" i="8"/>
  <c r="AH538" i="8"/>
  <c r="AH540" i="8"/>
  <c r="AH555" i="8"/>
  <c r="I257" i="8"/>
  <c r="K258" i="8"/>
  <c r="I259" i="8"/>
  <c r="I258" i="8"/>
  <c r="I260" i="8"/>
  <c r="K259" i="8"/>
  <c r="I261" i="8"/>
  <c r="I275" i="8"/>
  <c r="K260" i="8"/>
  <c r="I256" i="8"/>
  <c r="I1018" i="8"/>
  <c r="I1017" i="8"/>
  <c r="I1032" i="8"/>
  <c r="K1015" i="8"/>
  <c r="K1017" i="8"/>
  <c r="I1014" i="8"/>
  <c r="K1016" i="8"/>
  <c r="K1014" i="8"/>
  <c r="I1016" i="8"/>
  <c r="I1013" i="8"/>
  <c r="I1015" i="8"/>
  <c r="AC987" i="8"/>
  <c r="AC1003" i="8"/>
  <c r="AE987" i="8"/>
  <c r="AE985" i="8"/>
  <c r="AC985" i="8"/>
  <c r="AC984" i="8"/>
  <c r="AE986" i="8"/>
  <c r="AC988" i="8"/>
  <c r="AE988" i="8"/>
  <c r="AC986" i="8"/>
  <c r="AC989" i="8"/>
  <c r="S342" i="8"/>
  <c r="U342" i="8"/>
  <c r="U345" i="8"/>
  <c r="S341" i="8"/>
  <c r="S343" i="8"/>
  <c r="S345" i="8"/>
  <c r="U343" i="8"/>
  <c r="S344" i="8"/>
  <c r="U344" i="8"/>
  <c r="S346" i="8"/>
  <c r="S360" i="8"/>
  <c r="AH1152" i="8"/>
  <c r="AJ1154" i="8"/>
  <c r="AJ1153" i="8"/>
  <c r="AH1153" i="8"/>
  <c r="AH1156" i="8"/>
  <c r="AH1171" i="8"/>
  <c r="AH1155" i="8"/>
  <c r="AH1154" i="8"/>
  <c r="AH1157" i="8"/>
  <c r="AJ1156" i="8"/>
  <c r="AJ1155" i="8"/>
  <c r="N1069" i="8"/>
  <c r="P1073" i="8"/>
  <c r="P1070" i="8"/>
  <c r="P1072" i="8"/>
  <c r="N1088" i="8"/>
  <c r="N1070" i="8"/>
  <c r="P1071" i="8"/>
  <c r="N1074" i="8"/>
  <c r="N1072" i="8"/>
  <c r="N1073" i="8"/>
  <c r="N1071" i="8"/>
  <c r="AJ1070" i="8"/>
  <c r="AH1073" i="8"/>
  <c r="AH1088" i="8"/>
  <c r="AH1070" i="8"/>
  <c r="AH1074" i="8"/>
  <c r="AH1072" i="8"/>
  <c r="AJ1072" i="8"/>
  <c r="AJ1071" i="8"/>
  <c r="AJ1073" i="8"/>
  <c r="AH1071" i="8"/>
  <c r="AH1069" i="8"/>
  <c r="F1240" i="8"/>
  <c r="D1239" i="8"/>
  <c r="F1238" i="8"/>
  <c r="D1242" i="8"/>
  <c r="D1241" i="8"/>
  <c r="F1241" i="8"/>
  <c r="D1256" i="8"/>
  <c r="D1238" i="8"/>
  <c r="D1240" i="8"/>
  <c r="D1237" i="8"/>
  <c r="F1239" i="8"/>
  <c r="AE1097" i="8"/>
  <c r="AE1099" i="8"/>
  <c r="AC1101" i="8"/>
  <c r="AC1115" i="8"/>
  <c r="AC1098" i="8"/>
  <c r="AC1097" i="8"/>
  <c r="AE1098" i="8"/>
  <c r="AC1100" i="8"/>
  <c r="AC1099" i="8"/>
  <c r="AC1096" i="8"/>
  <c r="AE1100" i="8"/>
  <c r="K1210" i="8"/>
  <c r="I1209" i="8"/>
  <c r="K1209" i="8"/>
  <c r="I1210" i="8"/>
  <c r="I1211" i="8"/>
  <c r="I1208" i="8"/>
  <c r="K1211" i="8"/>
  <c r="I1227" i="8"/>
  <c r="I1212" i="8"/>
  <c r="K1212" i="8"/>
  <c r="I1213" i="8"/>
  <c r="K538" i="8"/>
  <c r="I555" i="8"/>
  <c r="I537" i="8"/>
  <c r="I541" i="8"/>
  <c r="K537" i="8"/>
  <c r="K539" i="8"/>
  <c r="I538" i="8"/>
  <c r="I540" i="8"/>
  <c r="I539" i="8"/>
  <c r="I536" i="8"/>
  <c r="K540" i="8"/>
  <c r="S173" i="8"/>
  <c r="S178" i="8"/>
  <c r="U177" i="8"/>
  <c r="S175" i="8"/>
  <c r="S176" i="8"/>
  <c r="S192" i="8"/>
  <c r="U176" i="8"/>
  <c r="S177" i="8"/>
  <c r="S174" i="8"/>
  <c r="U175" i="8"/>
  <c r="X480" i="8"/>
  <c r="Z481" i="8"/>
  <c r="X482" i="8"/>
  <c r="Z482" i="8"/>
  <c r="X485" i="8"/>
  <c r="X499" i="8"/>
  <c r="X481" i="8"/>
  <c r="Z483" i="8"/>
  <c r="X484" i="8"/>
  <c r="Z484" i="8"/>
  <c r="X483" i="8"/>
  <c r="AC596" i="8"/>
  <c r="AE593" i="8"/>
  <c r="AE594" i="8"/>
  <c r="AE596" i="8"/>
  <c r="AE595" i="8"/>
  <c r="AC592" i="8"/>
  <c r="AC594" i="8"/>
  <c r="AC595" i="8"/>
  <c r="AC611" i="8"/>
  <c r="AC593" i="8"/>
  <c r="AC597" i="8"/>
  <c r="AH1264" i="8"/>
  <c r="AH1283" i="8"/>
  <c r="AJ1268" i="8"/>
  <c r="AJ1266" i="8"/>
  <c r="AJ1267" i="8"/>
  <c r="AH1268" i="8"/>
  <c r="AH1266" i="8"/>
  <c r="AH1267" i="8"/>
  <c r="AJ1265" i="8"/>
  <c r="AH1265" i="8"/>
  <c r="AH1269" i="8"/>
  <c r="I1126" i="8"/>
  <c r="K1127" i="8"/>
  <c r="I1127" i="8"/>
  <c r="I1130" i="8"/>
  <c r="I1128" i="8"/>
  <c r="I1144" i="8"/>
  <c r="K1128" i="8"/>
  <c r="K1129" i="8"/>
  <c r="K1126" i="8"/>
  <c r="I1129" i="8"/>
  <c r="I1125" i="8"/>
  <c r="Z1127" i="8"/>
  <c r="X1144" i="8"/>
  <c r="Z1129" i="8"/>
  <c r="X1128" i="8"/>
  <c r="X1126" i="8"/>
  <c r="X1129" i="8"/>
  <c r="X1127" i="8"/>
  <c r="Z1126" i="8"/>
  <c r="X1125" i="8"/>
  <c r="Z1128" i="8"/>
  <c r="X1130" i="8"/>
  <c r="U35" i="8"/>
  <c r="S32" i="8"/>
  <c r="U34" i="8"/>
  <c r="S37" i="8"/>
  <c r="S36" i="8"/>
  <c r="S51" i="8"/>
  <c r="S33" i="8"/>
  <c r="S35" i="8"/>
  <c r="U36" i="8"/>
  <c r="S34" i="8"/>
  <c r="AJ370" i="8"/>
  <c r="AH387" i="8"/>
  <c r="AH368" i="8"/>
  <c r="AJ372" i="8"/>
  <c r="AH373" i="8"/>
  <c r="AH370" i="8"/>
  <c r="AH369" i="8"/>
  <c r="AJ371" i="8"/>
  <c r="AJ369" i="8"/>
  <c r="AH372" i="8"/>
  <c r="AH371" i="8"/>
  <c r="AE513" i="8"/>
  <c r="AE510" i="8"/>
  <c r="AE511" i="8"/>
  <c r="AE512" i="8"/>
  <c r="AC514" i="8"/>
  <c r="AC513" i="8"/>
  <c r="AC509" i="8"/>
  <c r="AC511" i="8"/>
  <c r="AC528" i="8"/>
  <c r="AC512" i="8"/>
  <c r="AC510" i="8"/>
  <c r="I874" i="8"/>
  <c r="I877" i="8"/>
  <c r="I891" i="8"/>
  <c r="I873" i="8"/>
  <c r="I876" i="8"/>
  <c r="I872" i="8"/>
  <c r="K875" i="8"/>
  <c r="K874" i="8"/>
  <c r="I875" i="8"/>
  <c r="K876" i="8"/>
  <c r="P737" i="8"/>
  <c r="P736" i="8"/>
  <c r="N734" i="8"/>
  <c r="N752" i="8"/>
  <c r="P735" i="8"/>
  <c r="N733" i="8"/>
  <c r="N736" i="8"/>
  <c r="N737" i="8"/>
  <c r="P734" i="8"/>
  <c r="N735" i="8"/>
  <c r="N738" i="8"/>
  <c r="N248" i="8"/>
  <c r="N230" i="8"/>
  <c r="N233" i="8"/>
  <c r="P231" i="8"/>
  <c r="N232" i="8"/>
  <c r="N231" i="8"/>
  <c r="N229" i="8"/>
  <c r="N234" i="8"/>
  <c r="P232" i="8"/>
  <c r="P230" i="8"/>
  <c r="P233" i="8"/>
  <c r="F567" i="8"/>
  <c r="F566" i="8"/>
  <c r="D569" i="8"/>
  <c r="D584" i="8"/>
  <c r="D566" i="8"/>
  <c r="D565" i="8"/>
  <c r="D570" i="8"/>
  <c r="D568" i="8"/>
  <c r="F568" i="8"/>
  <c r="F569" i="8"/>
  <c r="D567" i="8"/>
  <c r="AE1154" i="8"/>
  <c r="AC1155" i="8"/>
  <c r="AC1157" i="8"/>
  <c r="AC1154" i="8"/>
  <c r="AC1156" i="8"/>
  <c r="AC1171" i="8"/>
  <c r="AC1153" i="8"/>
  <c r="AC1152" i="8"/>
  <c r="AE1153" i="8"/>
  <c r="AE1155" i="8"/>
  <c r="AE1156" i="8"/>
  <c r="AC1227" i="8"/>
  <c r="AC1211" i="8"/>
  <c r="AC1210" i="8"/>
  <c r="AE1212" i="8"/>
  <c r="AE1210" i="8"/>
  <c r="AC1208" i="8"/>
  <c r="AE1209" i="8"/>
  <c r="AC1212" i="8"/>
  <c r="AE1211" i="8"/>
  <c r="AC1209" i="8"/>
  <c r="AC1213" i="8"/>
  <c r="F1266" i="8"/>
  <c r="D1265" i="8"/>
  <c r="D1269" i="8"/>
  <c r="D1268" i="8"/>
  <c r="F1268" i="8"/>
  <c r="D1283" i="8"/>
  <c r="D1264" i="8"/>
  <c r="F1267" i="8"/>
  <c r="F1265" i="8"/>
  <c r="D1267" i="8"/>
  <c r="D1266" i="8"/>
  <c r="I1320" i="8"/>
  <c r="K1322" i="8"/>
  <c r="I1339" i="8"/>
  <c r="K1324" i="8"/>
  <c r="I1324" i="8"/>
  <c r="I1321" i="8"/>
  <c r="I1322" i="8"/>
  <c r="I1325" i="8"/>
  <c r="K1321" i="8"/>
  <c r="K1323" i="8"/>
  <c r="I1323" i="8"/>
  <c r="D847" i="8"/>
  <c r="D864" i="8"/>
  <c r="F849" i="8"/>
  <c r="F848" i="8"/>
  <c r="D850" i="8"/>
  <c r="F847" i="8"/>
  <c r="D846" i="8"/>
  <c r="D848" i="8"/>
  <c r="D849" i="8"/>
  <c r="D845" i="8"/>
  <c r="AJ1209" i="8"/>
  <c r="AH1211" i="8"/>
  <c r="AH1212" i="8"/>
  <c r="AH1227" i="8"/>
  <c r="AH1213" i="8"/>
  <c r="AJ1210" i="8"/>
  <c r="AH1208" i="8"/>
  <c r="AJ1212" i="8"/>
  <c r="AH1209" i="8"/>
  <c r="AH1210" i="8"/>
  <c r="AJ1211" i="8"/>
  <c r="D275" i="8"/>
  <c r="F258" i="8"/>
  <c r="D259" i="8"/>
  <c r="D260" i="8"/>
  <c r="F260" i="8"/>
  <c r="D258" i="8"/>
  <c r="D257" i="8"/>
  <c r="D256" i="8"/>
  <c r="F259" i="8"/>
  <c r="D261" i="8"/>
  <c r="D906" i="8"/>
  <c r="D920" i="8"/>
  <c r="F904" i="8"/>
  <c r="D905" i="8"/>
  <c r="D901" i="8"/>
  <c r="D902" i="8"/>
  <c r="F905" i="8"/>
  <c r="D903" i="8"/>
  <c r="F903" i="8"/>
  <c r="D904" i="8"/>
  <c r="AC667" i="8"/>
  <c r="AE650" i="8"/>
  <c r="AC648" i="8"/>
  <c r="AC653" i="8"/>
  <c r="AC651" i="8"/>
  <c r="AC652" i="8"/>
  <c r="AE651" i="8"/>
  <c r="AC650" i="8"/>
  <c r="AC649" i="8"/>
  <c r="AE652" i="8"/>
  <c r="X932" i="8"/>
  <c r="Z932" i="8"/>
  <c r="X933" i="8"/>
  <c r="X930" i="8"/>
  <c r="Z931" i="8"/>
  <c r="X947" i="8"/>
  <c r="X929" i="8"/>
  <c r="X928" i="8"/>
  <c r="X931" i="8"/>
  <c r="Z930" i="8"/>
  <c r="D709" i="8"/>
  <c r="D706" i="8"/>
  <c r="D704" i="8"/>
  <c r="D708" i="8"/>
  <c r="D707" i="8"/>
  <c r="F708" i="8"/>
  <c r="D705" i="8"/>
  <c r="F706" i="8"/>
  <c r="D723" i="8"/>
  <c r="F707" i="8"/>
  <c r="X472" i="8"/>
  <c r="X458" i="8"/>
  <c r="X454" i="8"/>
  <c r="X456" i="8"/>
  <c r="X457" i="8"/>
  <c r="X453" i="8"/>
  <c r="X455" i="8"/>
  <c r="Z457" i="8"/>
  <c r="Z455" i="8"/>
  <c r="Z456" i="8"/>
  <c r="K819" i="8"/>
  <c r="I816" i="8"/>
  <c r="I821" i="8"/>
  <c r="K820" i="8"/>
  <c r="I819" i="8"/>
  <c r="I820" i="8"/>
  <c r="I817" i="8"/>
  <c r="I835" i="8"/>
  <c r="K818" i="8"/>
  <c r="I818" i="8"/>
  <c r="Z314" i="8"/>
  <c r="X312" i="8"/>
  <c r="X331" i="8"/>
  <c r="X315" i="8"/>
  <c r="X313" i="8"/>
  <c r="X317" i="8"/>
  <c r="Z315" i="8"/>
  <c r="X316" i="8"/>
  <c r="X314" i="8"/>
  <c r="Z316" i="8"/>
  <c r="N1097" i="8"/>
  <c r="P1097" i="8"/>
  <c r="P1098" i="8"/>
  <c r="N1100" i="8"/>
  <c r="P1099" i="8"/>
  <c r="N1101" i="8"/>
  <c r="N1096" i="8"/>
  <c r="N1115" i="8"/>
  <c r="P1100" i="8"/>
  <c r="N1098" i="8"/>
  <c r="N1099" i="8"/>
  <c r="I369" i="8"/>
  <c r="K371" i="8"/>
  <c r="I387" i="8"/>
  <c r="I373" i="8"/>
  <c r="I370" i="8"/>
  <c r="I371" i="8"/>
  <c r="K370" i="8"/>
  <c r="I368" i="8"/>
  <c r="K372" i="8"/>
  <c r="I372" i="8"/>
  <c r="AE258" i="8"/>
  <c r="AC261" i="8"/>
  <c r="AC257" i="8"/>
  <c r="AC260" i="8"/>
  <c r="AC258" i="8"/>
  <c r="AC275" i="8"/>
  <c r="AE260" i="8"/>
  <c r="AE259" i="8"/>
  <c r="AC259" i="8"/>
  <c r="AC256" i="8"/>
  <c r="D1045" i="8"/>
  <c r="D1040" i="8"/>
  <c r="F1041" i="8"/>
  <c r="D1042" i="8"/>
  <c r="D1043" i="8"/>
  <c r="F1042" i="8"/>
  <c r="F1044" i="8"/>
  <c r="F1043" i="8"/>
  <c r="D1044" i="8"/>
  <c r="D1041" i="8"/>
  <c r="D1059" i="8"/>
  <c r="X1213" i="8"/>
  <c r="X1211" i="8"/>
  <c r="Z1212" i="8"/>
  <c r="X1208" i="8"/>
  <c r="X1212" i="8"/>
  <c r="X1227" i="8"/>
  <c r="Z1211" i="8"/>
  <c r="X1210" i="8"/>
  <c r="Z1209" i="8"/>
  <c r="X1209" i="8"/>
  <c r="Z1210" i="8"/>
  <c r="AC1240" i="8"/>
  <c r="AE1239" i="8"/>
  <c r="AC1241" i="8"/>
  <c r="AC1239" i="8"/>
  <c r="AE1240" i="8"/>
  <c r="AE1241" i="8"/>
  <c r="AC1237" i="8"/>
  <c r="AC1256" i="8"/>
  <c r="AC1238" i="8"/>
  <c r="AC1242" i="8"/>
  <c r="AE1238" i="8"/>
  <c r="X584" i="8"/>
  <c r="Z567" i="8"/>
  <c r="X566" i="8"/>
  <c r="X568" i="8"/>
  <c r="Z568" i="8"/>
  <c r="X567" i="8"/>
  <c r="Z566" i="8"/>
  <c r="X570" i="8"/>
  <c r="Z569" i="8"/>
  <c r="X569" i="8"/>
  <c r="X565" i="8"/>
  <c r="I443" i="8"/>
  <c r="K428" i="8"/>
  <c r="K427" i="8"/>
  <c r="I429" i="8"/>
  <c r="I428" i="8"/>
  <c r="I427" i="8"/>
  <c r="I425" i="8"/>
  <c r="I424" i="8"/>
  <c r="I426" i="8"/>
  <c r="K426" i="8"/>
  <c r="K425" i="8" s="1"/>
  <c r="S499" i="8"/>
  <c r="U482" i="8"/>
  <c r="S484" i="8"/>
  <c r="S483" i="8"/>
  <c r="S482" i="8"/>
  <c r="U484" i="8"/>
  <c r="S481" i="8"/>
  <c r="S480" i="8"/>
  <c r="U483" i="8"/>
  <c r="U481" i="8"/>
  <c r="S485" i="8"/>
  <c r="I8" i="8"/>
  <c r="K9" i="8"/>
  <c r="I10" i="8"/>
  <c r="I6" i="8"/>
  <c r="K8" i="8"/>
  <c r="I7" i="8"/>
  <c r="I9" i="8"/>
  <c r="K7" i="8"/>
  <c r="I24" i="8"/>
  <c r="I5" i="8"/>
  <c r="K1240" i="8"/>
  <c r="I1241" i="8"/>
  <c r="I1256" i="8"/>
  <c r="K1238" i="8"/>
  <c r="I1242" i="8"/>
  <c r="K1241" i="8"/>
  <c r="I1239" i="8"/>
  <c r="K1239" i="8"/>
  <c r="I1237" i="8"/>
  <c r="I1240" i="8"/>
  <c r="I1238" i="8"/>
  <c r="AE848" i="8"/>
  <c r="AC847" i="8"/>
  <c r="AC849" i="8"/>
  <c r="AC848" i="8"/>
  <c r="AE849" i="8"/>
  <c r="AC850" i="8"/>
  <c r="AC845" i="8"/>
  <c r="AE847" i="8"/>
  <c r="AC864" i="8"/>
  <c r="AC846" i="8"/>
  <c r="N528" i="8"/>
  <c r="N513" i="8"/>
  <c r="N510" i="8"/>
  <c r="P513" i="8"/>
  <c r="N511" i="8"/>
  <c r="P510" i="8"/>
  <c r="P512" i="8"/>
  <c r="N512" i="8"/>
  <c r="P511" i="8"/>
  <c r="N509" i="8"/>
  <c r="N514" i="8"/>
  <c r="S959" i="8"/>
  <c r="S960" i="8"/>
  <c r="U960" i="8"/>
  <c r="S962" i="8"/>
  <c r="S976" i="8"/>
  <c r="S958" i="8"/>
  <c r="U958" i="8"/>
  <c r="U961" i="8"/>
  <c r="S957" i="8"/>
  <c r="S961" i="8"/>
  <c r="U959" i="8"/>
  <c r="S985" i="8"/>
  <c r="U986" i="8"/>
  <c r="S1003" i="8"/>
  <c r="S986" i="8"/>
  <c r="U988" i="8"/>
  <c r="S987" i="8"/>
  <c r="S989" i="8"/>
  <c r="S988" i="8"/>
  <c r="S984" i="8"/>
  <c r="U706" i="8"/>
  <c r="U708" i="8"/>
  <c r="S708" i="8"/>
  <c r="S723" i="8"/>
  <c r="S705" i="8"/>
  <c r="S707" i="8"/>
  <c r="S706" i="8"/>
  <c r="S704" i="8"/>
  <c r="S709" i="8"/>
  <c r="S931" i="8"/>
  <c r="U930" i="8"/>
  <c r="S929" i="8"/>
  <c r="S947" i="8"/>
  <c r="S930" i="8"/>
  <c r="S933" i="8"/>
  <c r="S928" i="8"/>
  <c r="S932" i="8"/>
  <c r="U929" i="8"/>
  <c r="U932" i="8"/>
  <c r="K484" i="26"/>
  <c r="K722" i="26"/>
  <c r="K447" i="26"/>
  <c r="K68" i="26"/>
  <c r="K212" i="26"/>
  <c r="K83" i="26"/>
  <c r="K655" i="26"/>
  <c r="K41" i="26"/>
  <c r="K358" i="26"/>
  <c r="K784" i="26"/>
  <c r="K765" i="26"/>
  <c r="K329" i="26"/>
  <c r="K195" i="26"/>
  <c r="K575" i="26"/>
  <c r="K327" i="26"/>
  <c r="K668" i="26"/>
  <c r="K493" i="26"/>
  <c r="K640" i="26"/>
  <c r="K88" i="26"/>
  <c r="K699" i="26"/>
  <c r="K601" i="26"/>
  <c r="K75" i="26"/>
  <c r="K12" i="26"/>
  <c r="K664" i="26"/>
  <c r="K643" i="26"/>
  <c r="K799" i="26"/>
  <c r="K64" i="26"/>
  <c r="K58" i="26"/>
  <c r="K242" i="26"/>
  <c r="K561" i="26"/>
  <c r="K82" i="26"/>
  <c r="K76" i="26"/>
  <c r="K514" i="26"/>
  <c r="K491" i="26"/>
  <c r="K367" i="26"/>
  <c r="K98" i="26"/>
  <c r="K648" i="26"/>
  <c r="K637" i="26"/>
  <c r="K72" i="26"/>
  <c r="K213" i="26"/>
  <c r="K17" i="26"/>
  <c r="K705" i="26"/>
  <c r="K275" i="26"/>
  <c r="K91" i="26"/>
  <c r="K783" i="26"/>
  <c r="K766" i="26"/>
  <c r="K118" i="26"/>
  <c r="K384" i="26"/>
  <c r="K381" i="26"/>
  <c r="K735" i="26"/>
  <c r="K569" i="26"/>
  <c r="K533" i="26"/>
  <c r="K226" i="26"/>
  <c r="K351" i="26"/>
  <c r="K370" i="26"/>
  <c r="K703" i="26"/>
  <c r="K386" i="26"/>
  <c r="K57" i="26"/>
  <c r="K335" i="26"/>
  <c r="K733" i="26"/>
  <c r="K550" i="26"/>
  <c r="K582" i="26"/>
  <c r="K780" i="26"/>
  <c r="K229" i="26"/>
  <c r="K760" i="26"/>
  <c r="K169" i="26"/>
  <c r="K573" i="26"/>
  <c r="K97" i="26"/>
  <c r="K539" i="26"/>
  <c r="K717" i="26"/>
  <c r="K355" i="26"/>
  <c r="K761" i="26"/>
  <c r="K488" i="26"/>
  <c r="K117" i="26"/>
  <c r="K530" i="26"/>
  <c r="K391" i="26"/>
  <c r="K480" i="26"/>
  <c r="K414" i="26"/>
  <c r="K221" i="26"/>
  <c r="K144" i="26"/>
  <c r="K328" i="26"/>
  <c r="K292" i="26"/>
  <c r="K417" i="26"/>
  <c r="K182" i="26"/>
  <c r="K298" i="26"/>
  <c r="K397" i="26"/>
  <c r="K790" i="26"/>
  <c r="K462" i="26"/>
  <c r="K127" i="26"/>
  <c r="K398" i="26"/>
  <c r="K450" i="26"/>
  <c r="K759" i="26"/>
  <c r="K141" i="26"/>
  <c r="K251" i="26"/>
  <c r="K331" i="26"/>
  <c r="K170" i="26"/>
  <c r="K248" i="26"/>
  <c r="K731" i="26"/>
  <c r="K36" i="26"/>
  <c r="K208" i="26"/>
  <c r="K74" i="26"/>
  <c r="K602" i="26"/>
  <c r="K167" i="26"/>
  <c r="K96" i="26"/>
  <c r="K787" i="26"/>
  <c r="K763" i="26"/>
  <c r="K724" i="26"/>
  <c r="K665" i="26"/>
  <c r="K560" i="26"/>
  <c r="K179" i="26"/>
  <c r="K441" i="26"/>
  <c r="K415" i="26"/>
  <c r="K246" i="26"/>
  <c r="K755" i="26"/>
  <c r="K684" i="26"/>
  <c r="K13" i="26"/>
  <c r="K632" i="26"/>
  <c r="K614" i="26"/>
  <c r="K709" i="26"/>
  <c r="K61" i="26"/>
  <c r="K63" i="26"/>
  <c r="K29" i="26"/>
  <c r="K280" i="26"/>
  <c r="K387" i="26"/>
  <c r="K785" i="26"/>
  <c r="K199" i="26"/>
  <c r="K337" i="26"/>
  <c r="K255" i="26"/>
  <c r="K151" i="26"/>
  <c r="K194" i="26"/>
  <c r="K124" i="26"/>
  <c r="K546" i="26"/>
  <c r="K8" i="26"/>
  <c r="K434" i="26"/>
  <c r="K287" i="26"/>
  <c r="K274" i="26"/>
  <c r="K534" i="26"/>
  <c r="K487" i="26"/>
  <c r="K596" i="26"/>
  <c r="K47" i="26"/>
  <c r="K146" i="26"/>
  <c r="K305" i="26"/>
  <c r="K220" i="26"/>
  <c r="K557" i="26"/>
  <c r="K579" i="26"/>
  <c r="K764" i="26"/>
  <c r="K712" i="26"/>
  <c r="K3" i="26"/>
  <c r="K15" i="26"/>
  <c r="K20" i="26"/>
  <c r="K503" i="26"/>
  <c r="K630" i="26"/>
  <c r="K107" i="26"/>
  <c r="K254" i="26"/>
  <c r="K28" i="26"/>
  <c r="AC398" i="8"/>
  <c r="AC400" i="8"/>
  <c r="AC401" i="8"/>
  <c r="AC402" i="8"/>
  <c r="AE400" i="8"/>
  <c r="AE401" i="8"/>
  <c r="AC416" i="8"/>
  <c r="AC397" i="8"/>
  <c r="AE399" i="8"/>
  <c r="AC399" i="8"/>
  <c r="AC64" i="8"/>
  <c r="AE63" i="8"/>
  <c r="AC63" i="8"/>
  <c r="AE64" i="8"/>
  <c r="AE65" i="8"/>
  <c r="AC80" i="8"/>
  <c r="AC62" i="8"/>
  <c r="AC65" i="8"/>
  <c r="AC66" i="8"/>
  <c r="AC61" i="8"/>
  <c r="AC121" i="8"/>
  <c r="AC117" i="8"/>
  <c r="AE121" i="8"/>
  <c r="AE119" i="8"/>
  <c r="AC120" i="8"/>
  <c r="AC119" i="8"/>
  <c r="AC136" i="8"/>
  <c r="AC122" i="8"/>
  <c r="AE120" i="8"/>
  <c r="AC118" i="8"/>
  <c r="AH119" i="8"/>
  <c r="AH118" i="8"/>
  <c r="AJ121" i="8"/>
  <c r="AJ120" i="8"/>
  <c r="AH120" i="8"/>
  <c r="AH122" i="8"/>
  <c r="AH121" i="8"/>
  <c r="AH136" i="8"/>
  <c r="AH117" i="8"/>
  <c r="AJ119" i="8"/>
  <c r="I144" i="8"/>
  <c r="I146" i="8"/>
  <c r="I163" i="8"/>
  <c r="I148" i="8"/>
  <c r="K146" i="8"/>
  <c r="I145" i="8"/>
  <c r="I149" i="8"/>
  <c r="I147" i="8"/>
  <c r="K147" i="8"/>
  <c r="K148" i="8"/>
  <c r="P203" i="8"/>
  <c r="N219" i="8"/>
  <c r="N204" i="8"/>
  <c r="N200" i="8"/>
  <c r="N202" i="8"/>
  <c r="P202" i="8"/>
  <c r="P204" i="8"/>
  <c r="N201" i="8"/>
  <c r="N205" i="8"/>
  <c r="N203" i="8"/>
  <c r="AJ231" i="8"/>
  <c r="AH248" i="8"/>
  <c r="AH234" i="8"/>
  <c r="AH231" i="8"/>
  <c r="AH229" i="8"/>
  <c r="AJ233" i="8"/>
  <c r="AH232" i="8"/>
  <c r="AJ232" i="8"/>
  <c r="AH233" i="8"/>
  <c r="AH230" i="8"/>
  <c r="X426" i="8"/>
  <c r="Z428" i="8"/>
  <c r="X428" i="8"/>
  <c r="X429" i="8"/>
  <c r="X427" i="8"/>
  <c r="X425" i="8"/>
  <c r="X424" i="8"/>
  <c r="Z427" i="8"/>
  <c r="X443" i="8"/>
  <c r="Z426" i="8"/>
  <c r="U792" i="8"/>
  <c r="S808" i="8"/>
  <c r="S790" i="8"/>
  <c r="S789" i="8"/>
  <c r="S793" i="8"/>
  <c r="S794" i="8"/>
  <c r="U790" i="8"/>
  <c r="S792" i="8"/>
  <c r="S791" i="8"/>
  <c r="U791" i="8"/>
  <c r="U793" i="8"/>
  <c r="AE625" i="8"/>
  <c r="AC624" i="8"/>
  <c r="AE623" i="8"/>
  <c r="AE624" i="8"/>
  <c r="AC621" i="8"/>
  <c r="AC626" i="8"/>
  <c r="AC640" i="8"/>
  <c r="AC623" i="8"/>
  <c r="AC622" i="8"/>
  <c r="AC625" i="8"/>
  <c r="X1283" i="8"/>
  <c r="X1265" i="8"/>
  <c r="Z1268" i="8"/>
  <c r="X1267" i="8"/>
  <c r="X1268" i="8"/>
  <c r="Z1267" i="8"/>
  <c r="Z1266" i="8"/>
  <c r="X1266" i="8"/>
  <c r="X1269" i="8"/>
  <c r="Z1265" i="8"/>
  <c r="X1264" i="8"/>
  <c r="AH989" i="8"/>
  <c r="AH984" i="8"/>
  <c r="AH986" i="8"/>
  <c r="AJ987" i="8"/>
  <c r="AH988" i="8"/>
  <c r="AJ986" i="8"/>
  <c r="AJ988" i="8"/>
  <c r="AH985" i="8"/>
  <c r="AH1003" i="8"/>
  <c r="AH987" i="8"/>
  <c r="AJ985" i="8"/>
  <c r="K401" i="8"/>
  <c r="I401" i="8"/>
  <c r="I400" i="8"/>
  <c r="I399" i="8"/>
  <c r="K399" i="8"/>
  <c r="K400" i="8"/>
  <c r="I402" i="8"/>
  <c r="I397" i="8"/>
  <c r="I416" i="8"/>
  <c r="I398" i="8"/>
  <c r="K398" i="8"/>
  <c r="S1269" i="8"/>
  <c r="U1268" i="8"/>
  <c r="S1267" i="8"/>
  <c r="U1265" i="8"/>
  <c r="S1268" i="8"/>
  <c r="U1267" i="8"/>
  <c r="S1266" i="8"/>
  <c r="S1264" i="8"/>
  <c r="S1265" i="8"/>
  <c r="S1283" i="8"/>
  <c r="U1266" i="8"/>
  <c r="Z792" i="8"/>
  <c r="X791" i="8"/>
  <c r="X794" i="8"/>
  <c r="X790" i="8"/>
  <c r="Z791" i="8"/>
  <c r="X808" i="8"/>
  <c r="Z793" i="8"/>
  <c r="X789" i="8"/>
  <c r="X793" i="8"/>
  <c r="X792" i="8"/>
  <c r="K484" i="8"/>
  <c r="I482" i="8"/>
  <c r="I480" i="8"/>
  <c r="I481" i="8"/>
  <c r="I483" i="8"/>
  <c r="I485" i="8"/>
  <c r="K482" i="8"/>
  <c r="K483" i="8"/>
  <c r="I499" i="8"/>
  <c r="I484" i="8"/>
  <c r="S567" i="8"/>
  <c r="S584" i="8"/>
  <c r="U568" i="8"/>
  <c r="S565" i="8"/>
  <c r="S568" i="8"/>
  <c r="S566" i="8"/>
  <c r="S570" i="8"/>
  <c r="U569" i="8"/>
  <c r="S569" i="8"/>
  <c r="U567" i="8"/>
  <c r="U566" i="8"/>
  <c r="AH929" i="8"/>
  <c r="AH933" i="8"/>
  <c r="AJ932" i="8"/>
  <c r="AH928" i="8"/>
  <c r="AJ931" i="8"/>
  <c r="AJ930" i="8"/>
  <c r="AH931" i="8"/>
  <c r="AH947" i="8"/>
  <c r="AH930" i="8"/>
  <c r="AH932" i="8"/>
  <c r="AJ929" i="8"/>
  <c r="AH92" i="8"/>
  <c r="AJ91" i="8"/>
  <c r="AJ92" i="8"/>
  <c r="AJ89" i="8"/>
  <c r="AH107" i="8"/>
  <c r="AH88" i="8"/>
  <c r="AH89" i="8"/>
  <c r="AH93" i="8"/>
  <c r="AH91" i="8"/>
  <c r="AJ90" i="8"/>
  <c r="AH90" i="8"/>
  <c r="AH1128" i="8"/>
  <c r="AH1129" i="8"/>
  <c r="AH1127" i="8"/>
  <c r="AH1125" i="8"/>
  <c r="AJ1129" i="8"/>
  <c r="AH1126" i="8"/>
  <c r="AJ1126" i="8"/>
  <c r="AJ1127" i="8"/>
  <c r="AJ1128" i="8"/>
  <c r="AH1144" i="8"/>
  <c r="AH1130" i="8"/>
  <c r="I704" i="8"/>
  <c r="I706" i="8"/>
  <c r="K706" i="8"/>
  <c r="K707" i="8"/>
  <c r="I723" i="8"/>
  <c r="K708" i="8"/>
  <c r="I705" i="8"/>
  <c r="I708" i="8"/>
  <c r="I709" i="8"/>
  <c r="I707" i="8"/>
  <c r="K315" i="8"/>
  <c r="I314" i="8"/>
  <c r="I315" i="8"/>
  <c r="I316" i="8"/>
  <c r="K314" i="8"/>
  <c r="I313" i="8"/>
  <c r="I331" i="8"/>
  <c r="K316" i="8"/>
  <c r="I317" i="8"/>
  <c r="I312" i="8"/>
  <c r="AC540" i="8"/>
  <c r="AC537" i="8"/>
  <c r="AE539" i="8"/>
  <c r="AC555" i="8"/>
  <c r="AE538" i="8"/>
  <c r="AC536" i="8"/>
  <c r="AE537" i="8"/>
  <c r="AE540" i="8"/>
  <c r="AC541" i="8"/>
  <c r="AC539" i="8"/>
  <c r="AC538" i="8"/>
  <c r="S259" i="8"/>
  <c r="S257" i="8"/>
  <c r="S256" i="8"/>
  <c r="S258" i="8"/>
  <c r="U259" i="8"/>
  <c r="S260" i="8"/>
  <c r="S261" i="8"/>
  <c r="S275" i="8"/>
  <c r="U260" i="8"/>
  <c r="U258" i="8"/>
  <c r="D426" i="8"/>
  <c r="F428" i="8"/>
  <c r="F427" i="8"/>
  <c r="D424" i="8"/>
  <c r="D428" i="8"/>
  <c r="D429" i="8"/>
  <c r="D427" i="8"/>
  <c r="F426" i="8"/>
  <c r="D443" i="8"/>
  <c r="D425" i="8"/>
  <c r="AH625" i="8"/>
  <c r="AJ623" i="8"/>
  <c r="AH623" i="8"/>
  <c r="AH621" i="8"/>
  <c r="AH622" i="8"/>
  <c r="AH624" i="8"/>
  <c r="AH626" i="8"/>
  <c r="AH640" i="8"/>
  <c r="AJ624" i="8"/>
  <c r="AJ625" i="8"/>
  <c r="AH903" i="8"/>
  <c r="AJ905" i="8"/>
  <c r="AH905" i="8"/>
  <c r="AH901" i="8"/>
  <c r="AH902" i="8"/>
  <c r="AJ904" i="8"/>
  <c r="AJ903" i="8"/>
  <c r="AH920" i="8"/>
  <c r="AH906" i="8"/>
  <c r="AH904" i="8"/>
  <c r="U232" i="8"/>
  <c r="U233" i="8"/>
  <c r="S248" i="8"/>
  <c r="S231" i="8"/>
  <c r="S234" i="8"/>
  <c r="S230" i="8"/>
  <c r="U231" i="8"/>
  <c r="S229" i="8"/>
  <c r="S233" i="8"/>
  <c r="S232" i="8"/>
  <c r="AC1268" i="8"/>
  <c r="AC1283" i="8"/>
  <c r="AC1264" i="8"/>
  <c r="AC1265" i="8"/>
  <c r="AC1266" i="8"/>
  <c r="AC1267" i="8"/>
  <c r="AE1267" i="8"/>
  <c r="AE1266" i="8"/>
  <c r="AC1269" i="8"/>
  <c r="AE1268" i="8"/>
  <c r="AE1265" i="8"/>
  <c r="X821" i="8"/>
  <c r="X819" i="8"/>
  <c r="X835" i="8"/>
  <c r="X816" i="8"/>
  <c r="X817" i="8"/>
  <c r="Z820" i="8"/>
  <c r="Z819" i="8"/>
  <c r="Z818" i="8"/>
  <c r="X818" i="8"/>
  <c r="X820" i="8"/>
  <c r="AC873" i="8"/>
  <c r="AC875" i="8"/>
  <c r="AE873" i="8"/>
  <c r="AE874" i="8"/>
  <c r="AC877" i="8"/>
  <c r="AC891" i="8"/>
  <c r="AE876" i="8"/>
  <c r="AE875" i="8"/>
  <c r="AC874" i="8"/>
  <c r="AC876" i="8"/>
  <c r="AC872" i="8"/>
  <c r="AJ1295" i="8"/>
  <c r="AH1294" i="8"/>
  <c r="AJ1297" i="8"/>
  <c r="AH1297" i="8"/>
  <c r="AJ1296" i="8"/>
  <c r="AH1296" i="8"/>
  <c r="AH1298" i="8"/>
  <c r="AH1295" i="8"/>
  <c r="AH1293" i="8"/>
  <c r="AH1312" i="8"/>
  <c r="AJ1294" i="8"/>
  <c r="N1212" i="8"/>
  <c r="P1212" i="8"/>
  <c r="N1211" i="8"/>
  <c r="N1208" i="8"/>
  <c r="N1209" i="8"/>
  <c r="P1210" i="8"/>
  <c r="N1210" i="8"/>
  <c r="P1211" i="8"/>
  <c r="N1213" i="8"/>
  <c r="P1209" i="8"/>
  <c r="N1227" i="8"/>
  <c r="AJ258" i="8"/>
  <c r="AH257" i="8"/>
  <c r="AH259" i="8"/>
  <c r="AJ260" i="8"/>
  <c r="AH258" i="8"/>
  <c r="AH275" i="8"/>
  <c r="AJ259" i="8"/>
  <c r="AH260" i="8"/>
  <c r="AH261" i="8"/>
  <c r="AJ257" i="8"/>
  <c r="AH256" i="8"/>
  <c r="U1041" i="8"/>
  <c r="S1059" i="8"/>
  <c r="S1042" i="8"/>
  <c r="S1043" i="8"/>
  <c r="U1042" i="8"/>
  <c r="U1044" i="8"/>
  <c r="U1043" i="8"/>
  <c r="S1045" i="8"/>
  <c r="S1040" i="8"/>
  <c r="S1041" i="8"/>
  <c r="S1044" i="8"/>
  <c r="D540" i="8"/>
  <c r="D537" i="8"/>
  <c r="F539" i="8"/>
  <c r="F540" i="8"/>
  <c r="D539" i="8"/>
  <c r="D541" i="8"/>
  <c r="D536" i="8"/>
  <c r="F538" i="8"/>
  <c r="F537" i="8"/>
  <c r="D555" i="8"/>
  <c r="D538" i="8"/>
  <c r="N175" i="8"/>
  <c r="P177" i="8"/>
  <c r="N178" i="8"/>
  <c r="N173" i="8"/>
  <c r="P174" i="8"/>
  <c r="N177" i="8"/>
  <c r="N176" i="8"/>
  <c r="P175" i="8"/>
  <c r="N192" i="8"/>
  <c r="N174" i="8"/>
  <c r="P176" i="8"/>
  <c r="AH760" i="8"/>
  <c r="AJ761" i="8"/>
  <c r="AH762" i="8"/>
  <c r="AJ764" i="8"/>
  <c r="AH764" i="8"/>
  <c r="AJ762" i="8"/>
  <c r="AH765" i="8"/>
  <c r="AH763" i="8"/>
  <c r="AH761" i="8"/>
  <c r="AJ763" i="8"/>
  <c r="AH779" i="8"/>
  <c r="I1181" i="8"/>
  <c r="I1182" i="8"/>
  <c r="I1200" i="8"/>
  <c r="K1183" i="8"/>
  <c r="K1185" i="8"/>
  <c r="K1182" i="8"/>
  <c r="K1184" i="8"/>
  <c r="I1185" i="8"/>
  <c r="I1184" i="8"/>
  <c r="I1186" i="8"/>
  <c r="I1183" i="8"/>
  <c r="AH66" i="8"/>
  <c r="AH80" i="8"/>
  <c r="AJ63" i="8"/>
  <c r="AH61" i="8"/>
  <c r="AJ64" i="8"/>
  <c r="AH62" i="8"/>
  <c r="AJ65" i="8"/>
  <c r="AH64" i="8"/>
  <c r="AH65" i="8"/>
  <c r="AH63" i="8"/>
  <c r="X200" i="8"/>
  <c r="X203" i="8"/>
  <c r="Z204" i="8"/>
  <c r="Z202" i="8"/>
  <c r="X205" i="8"/>
  <c r="X219" i="8"/>
  <c r="X204" i="8"/>
  <c r="Z203" i="8"/>
  <c r="X201" i="8"/>
  <c r="X202" i="8"/>
  <c r="U848" i="8"/>
  <c r="S846" i="8"/>
  <c r="U846" i="8"/>
  <c r="S849" i="8"/>
  <c r="S845" i="8"/>
  <c r="S850" i="8"/>
  <c r="S864" i="8"/>
  <c r="S848" i="8"/>
  <c r="U847" i="8"/>
  <c r="U849" i="8"/>
  <c r="S847" i="8"/>
  <c r="AJ876" i="8"/>
  <c r="AH874" i="8"/>
  <c r="AH875" i="8"/>
  <c r="AJ875" i="8"/>
  <c r="AH872" i="8"/>
  <c r="AJ874" i="8"/>
  <c r="AH877" i="8"/>
  <c r="AH891" i="8"/>
  <c r="AJ873" i="8"/>
  <c r="AH873" i="8"/>
  <c r="AH876" i="8"/>
  <c r="U65" i="8"/>
  <c r="S61" i="8"/>
  <c r="S66" i="8"/>
  <c r="S80" i="8"/>
  <c r="S65" i="8"/>
  <c r="U63" i="8"/>
  <c r="S64" i="8"/>
  <c r="U64" i="8"/>
  <c r="S63" i="8"/>
  <c r="S62" i="8"/>
  <c r="S455" i="8"/>
  <c r="U457" i="8"/>
  <c r="S457" i="8"/>
  <c r="S458" i="8"/>
  <c r="U456" i="8"/>
  <c r="S456" i="8"/>
  <c r="U455" i="8"/>
  <c r="U454" i="8"/>
  <c r="S454" i="8"/>
  <c r="S453" i="8"/>
  <c r="S472" i="8"/>
  <c r="X32" i="8"/>
  <c r="X35" i="8"/>
  <c r="X34" i="8"/>
  <c r="Z36" i="8"/>
  <c r="X37" i="8"/>
  <c r="X33" i="8"/>
  <c r="Z35" i="8"/>
  <c r="X36" i="8"/>
  <c r="Z34" i="8"/>
  <c r="X51" i="8"/>
  <c r="AC569" i="8"/>
  <c r="AC567" i="8"/>
  <c r="AC565" i="8"/>
  <c r="AC584" i="8"/>
  <c r="AE569" i="8"/>
  <c r="AC568" i="8"/>
  <c r="AE567" i="8"/>
  <c r="AE568" i="8"/>
  <c r="AC570" i="8"/>
  <c r="AC566" i="8"/>
  <c r="N401" i="8"/>
  <c r="P399" i="8"/>
  <c r="N402" i="8"/>
  <c r="N416" i="8"/>
  <c r="N397" i="8"/>
  <c r="P400" i="8"/>
  <c r="P401" i="8"/>
  <c r="N398" i="8"/>
  <c r="N400" i="8"/>
  <c r="P398" i="8"/>
  <c r="N399" i="8"/>
  <c r="AC1071" i="8"/>
  <c r="AC1072" i="8"/>
  <c r="AE1073" i="8"/>
  <c r="AE1071" i="8"/>
  <c r="AC1070" i="8"/>
  <c r="AC1088" i="8"/>
  <c r="AC1074" i="8"/>
  <c r="AC1073" i="8"/>
  <c r="AE1070" i="8"/>
  <c r="AC1069" i="8"/>
  <c r="AE1072" i="8"/>
  <c r="U540" i="8"/>
  <c r="U539" i="8"/>
  <c r="S536" i="8"/>
  <c r="S541" i="8"/>
  <c r="U537" i="8"/>
  <c r="S555" i="8"/>
  <c r="U538" i="8"/>
  <c r="S540" i="8"/>
  <c r="S537" i="8"/>
  <c r="S539" i="8"/>
  <c r="S538" i="8"/>
  <c r="N850" i="8"/>
  <c r="N846" i="8"/>
  <c r="N864" i="8"/>
  <c r="N847" i="8"/>
  <c r="P849" i="8"/>
  <c r="N848" i="8"/>
  <c r="P848" i="8"/>
  <c r="P846" i="8"/>
  <c r="N849" i="8"/>
  <c r="N845" i="8"/>
  <c r="P847" i="8"/>
  <c r="K231" i="8"/>
  <c r="I233" i="8"/>
  <c r="I234" i="8"/>
  <c r="K233" i="8"/>
  <c r="I248" i="8"/>
  <c r="I232" i="8"/>
  <c r="K232" i="8"/>
  <c r="I229" i="8"/>
  <c r="I231" i="8"/>
  <c r="I230" i="8"/>
  <c r="AC1297" i="8"/>
  <c r="AC1298" i="8"/>
  <c r="AC1294" i="8"/>
  <c r="AE1297" i="8"/>
  <c r="AE1294" i="8"/>
  <c r="AE1296" i="8"/>
  <c r="AC1296" i="8"/>
  <c r="AE1295" i="8"/>
  <c r="AC1293" i="8"/>
  <c r="AC1312" i="8"/>
  <c r="AC1295" i="8"/>
  <c r="AC205" i="8"/>
  <c r="AC203" i="8"/>
  <c r="AE204" i="8"/>
  <c r="AC219" i="8"/>
  <c r="AE203" i="8"/>
  <c r="AC202" i="8"/>
  <c r="AC201" i="8"/>
  <c r="AC200" i="8"/>
  <c r="AC204" i="8"/>
  <c r="AE202" i="8"/>
  <c r="X864" i="8"/>
  <c r="X849" i="8"/>
  <c r="X846" i="8"/>
  <c r="X848" i="8"/>
  <c r="X845" i="8"/>
  <c r="Z849" i="8"/>
  <c r="Z847" i="8"/>
  <c r="X850" i="8"/>
  <c r="Z848" i="8"/>
  <c r="X847" i="8"/>
  <c r="Z1156" i="8"/>
  <c r="X1157" i="8"/>
  <c r="Z1155" i="8"/>
  <c r="X1155" i="8"/>
  <c r="Z1154" i="8"/>
  <c r="Z1153" i="8"/>
  <c r="X1154" i="8"/>
  <c r="X1153" i="8"/>
  <c r="X1156" i="8"/>
  <c r="X1171" i="8"/>
  <c r="X1152" i="8"/>
  <c r="D405" i="10"/>
  <c r="V414" i="10"/>
  <c r="G409" i="10"/>
  <c r="G15" i="16" s="1"/>
  <c r="W414" i="10"/>
  <c r="R403" i="10"/>
  <c r="S408" i="10"/>
  <c r="T20" i="16"/>
  <c r="F410" i="10"/>
  <c r="I404" i="10"/>
  <c r="O11" i="16"/>
  <c r="W10" i="16"/>
  <c r="N407" i="10"/>
  <c r="AA401" i="10"/>
  <c r="M407" i="10"/>
  <c r="E404" i="10"/>
  <c r="G413" i="10"/>
  <c r="L404" i="10"/>
  <c r="N11" i="16"/>
  <c r="O408" i="10"/>
  <c r="E408" i="10"/>
  <c r="V20" i="16"/>
  <c r="F412" i="10"/>
  <c r="Q409" i="10"/>
  <c r="P20" i="16"/>
  <c r="V411" i="10"/>
  <c r="R409" i="10"/>
  <c r="T402" i="10"/>
  <c r="AA412" i="10"/>
  <c r="N405" i="10"/>
  <c r="AA408" i="10"/>
  <c r="K414" i="10"/>
  <c r="Z408" i="10"/>
  <c r="Z405" i="10"/>
  <c r="AA406" i="10"/>
  <c r="M7" i="16"/>
  <c r="K9" i="16"/>
  <c r="T9" i="16"/>
  <c r="T14" i="16"/>
  <c r="F401" i="10"/>
  <c r="F7" i="16" s="1"/>
  <c r="U13" i="16"/>
  <c r="J408" i="10"/>
  <c r="X409" i="10"/>
  <c r="W401" i="10"/>
  <c r="M403" i="10"/>
  <c r="L9" i="16"/>
  <c r="W19" i="16"/>
  <c r="AA409" i="10"/>
  <c r="U414" i="10"/>
  <c r="Q414" i="10"/>
  <c r="W412" i="10"/>
  <c r="P401" i="10"/>
  <c r="Z17" i="16"/>
  <c r="I401" i="10"/>
  <c r="Z16" i="16"/>
  <c r="Z15" i="16"/>
  <c r="W16" i="16"/>
  <c r="R9" i="16"/>
  <c r="P404" i="10"/>
  <c r="X11" i="16"/>
  <c r="O401" i="10"/>
  <c r="Y20" i="16"/>
  <c r="O411" i="10"/>
  <c r="O17" i="16" s="1"/>
  <c r="Z406" i="10"/>
  <c r="R414" i="10"/>
  <c r="Y407" i="10"/>
  <c r="R407" i="10"/>
  <c r="N414" i="10"/>
  <c r="T409" i="10"/>
  <c r="Q404" i="10"/>
  <c r="I407" i="10"/>
  <c r="D406" i="10"/>
  <c r="D12" i="16" s="1"/>
  <c r="T11" i="16"/>
  <c r="AA7" i="16"/>
  <c r="Q407" i="10"/>
  <c r="K410" i="10"/>
  <c r="M11" i="16"/>
  <c r="Y413" i="10"/>
  <c r="W409" i="10"/>
  <c r="I403" i="10"/>
  <c r="Y402" i="10"/>
  <c r="U412" i="10"/>
  <c r="K402" i="10"/>
  <c r="G404" i="10"/>
  <c r="V406" i="10"/>
  <c r="H408" i="10"/>
  <c r="S402" i="10"/>
  <c r="S8" i="16" s="1"/>
  <c r="M412" i="10"/>
  <c r="U11" i="16"/>
  <c r="O406" i="10"/>
  <c r="O403" i="10"/>
  <c r="P411" i="10"/>
  <c r="P17" i="16" s="1"/>
  <c r="X402" i="10"/>
  <c r="X404" i="10"/>
  <c r="E414" i="10"/>
  <c r="F402" i="10"/>
  <c r="Z403" i="10"/>
  <c r="W402" i="10"/>
  <c r="V19" i="16"/>
  <c r="Y17" i="16"/>
  <c r="D403" i="10"/>
  <c r="U411" i="10"/>
  <c r="R11" i="16"/>
  <c r="F16" i="16"/>
  <c r="M13" i="16"/>
  <c r="I10" i="16"/>
  <c r="Q402" i="10"/>
  <c r="S411" i="10"/>
  <c r="L408" i="10"/>
  <c r="X413" i="10"/>
  <c r="E10" i="16"/>
  <c r="P406" i="10"/>
  <c r="G19" i="16"/>
  <c r="S14" i="16"/>
  <c r="U413" i="10"/>
  <c r="L10" i="16"/>
  <c r="X19" i="16"/>
  <c r="R411" i="10"/>
  <c r="O14" i="16"/>
  <c r="E14" i="16"/>
  <c r="F18" i="16"/>
  <c r="N406" i="10"/>
  <c r="Q15" i="16"/>
  <c r="I409" i="10"/>
  <c r="V17" i="16"/>
  <c r="G20" i="16"/>
  <c r="K404" i="10"/>
  <c r="R15" i="16"/>
  <c r="U410" i="10"/>
  <c r="AA13" i="16"/>
  <c r="U401" i="10"/>
  <c r="T8" i="16"/>
  <c r="N409" i="10"/>
  <c r="M410" i="10"/>
  <c r="N403" i="10"/>
  <c r="I414" i="10"/>
  <c r="D414" i="10"/>
  <c r="Z409" i="10"/>
  <c r="Y403" i="10"/>
  <c r="Z411" i="10"/>
  <c r="P414" i="10"/>
  <c r="Z407" i="10"/>
  <c r="L413" i="10"/>
  <c r="I412" i="10"/>
  <c r="Y410" i="10"/>
  <c r="Y404" i="10"/>
  <c r="E407" i="10"/>
  <c r="I11" i="16"/>
  <c r="N402" i="10"/>
  <c r="N8" i="16" s="1"/>
  <c r="T18" i="16"/>
  <c r="V8" i="16"/>
  <c r="J14" i="16"/>
  <c r="Z404" i="10"/>
  <c r="X403" i="10"/>
  <c r="M404" i="10"/>
  <c r="Q408" i="10"/>
  <c r="T414" i="10"/>
  <c r="L18" i="16"/>
  <c r="F403" i="10"/>
  <c r="H412" i="10"/>
  <c r="S20" i="16"/>
  <c r="Q406" i="10"/>
  <c r="Q12" i="16" s="1"/>
  <c r="I7" i="16"/>
  <c r="L401" i="10"/>
  <c r="AA18" i="16"/>
  <c r="N410" i="10"/>
  <c r="N16" i="16" s="1"/>
  <c r="J406" i="10"/>
  <c r="J404" i="10"/>
  <c r="P10" i="16"/>
  <c r="R402" i="10"/>
  <c r="O7" i="16"/>
  <c r="D20" i="16"/>
  <c r="AA410" i="10"/>
  <c r="V412" i="10"/>
  <c r="W406" i="10"/>
  <c r="V408" i="10"/>
  <c r="G414" i="10"/>
  <c r="Q10" i="16"/>
  <c r="I13" i="16"/>
  <c r="M16" i="16"/>
  <c r="D413" i="10"/>
  <c r="J410" i="10"/>
  <c r="X15" i="16"/>
  <c r="Q13" i="16"/>
  <c r="H411" i="10"/>
  <c r="K16" i="16"/>
  <c r="AA414" i="10"/>
  <c r="Y408" i="10"/>
  <c r="I9" i="16"/>
  <c r="X408" i="10"/>
  <c r="J407" i="10"/>
  <c r="G10" i="16"/>
  <c r="V12" i="16"/>
  <c r="D412" i="10"/>
  <c r="H14" i="16"/>
  <c r="AA11" i="16"/>
  <c r="R404" i="10"/>
  <c r="T404" i="10"/>
  <c r="AA405" i="10"/>
  <c r="O12" i="16"/>
  <c r="D401" i="10"/>
  <c r="E20" i="16" s="1"/>
  <c r="AA10" i="16"/>
  <c r="X407" i="10"/>
  <c r="X401" i="10"/>
  <c r="F8" i="16"/>
  <c r="X410" i="10"/>
  <c r="Z402" i="10"/>
  <c r="D404" i="10"/>
  <c r="D10" i="16" s="1"/>
  <c r="D9" i="16"/>
  <c r="U17" i="16"/>
  <c r="AA9" i="16"/>
  <c r="H402" i="10"/>
  <c r="S409" i="10"/>
  <c r="Q8" i="16"/>
  <c r="Y18" i="16"/>
  <c r="S17" i="16"/>
  <c r="R412" i="10"/>
  <c r="T408" i="10"/>
  <c r="T403" i="10"/>
  <c r="L406" i="10"/>
  <c r="G412" i="10"/>
  <c r="P12" i="16"/>
  <c r="U19" i="16"/>
  <c r="L13" i="16"/>
  <c r="X18" i="16"/>
  <c r="R17" i="16"/>
  <c r="P413" i="10"/>
  <c r="P410" i="10"/>
  <c r="N12" i="16"/>
  <c r="I15" i="16"/>
  <c r="K10" i="16"/>
  <c r="J402" i="10"/>
  <c r="U16" i="16"/>
  <c r="L20" i="16"/>
  <c r="U7" i="16"/>
  <c r="AA411" i="10"/>
  <c r="M405" i="10"/>
  <c r="K407" i="10"/>
  <c r="N401" i="10"/>
  <c r="Y405" i="10"/>
  <c r="L407" i="10"/>
  <c r="E13" i="16"/>
  <c r="AA17" i="16"/>
  <c r="G408" i="10"/>
  <c r="D402" i="10"/>
  <c r="H403" i="10"/>
  <c r="U408" i="10"/>
  <c r="H11" i="16"/>
  <c r="V401" i="10"/>
  <c r="Q14" i="16"/>
  <c r="O410" i="10"/>
  <c r="M406" i="10"/>
  <c r="S405" i="10"/>
  <c r="Q405" i="10"/>
  <c r="S406" i="10"/>
  <c r="F9" i="16"/>
  <c r="H18" i="16"/>
  <c r="Y7" i="16"/>
  <c r="W20" i="16"/>
  <c r="I406" i="10"/>
  <c r="I12" i="16" s="1"/>
  <c r="M14" i="16"/>
  <c r="L7" i="16"/>
  <c r="S404" i="10"/>
  <c r="J12" i="16"/>
  <c r="J10" i="16"/>
  <c r="S401" i="10"/>
  <c r="R8" i="16"/>
  <c r="M15" i="16"/>
  <c r="AA20" i="16"/>
  <c r="Z7" i="16"/>
  <c r="W411" i="10"/>
  <c r="M411" i="10"/>
  <c r="P405" i="10"/>
  <c r="S403" i="10"/>
  <c r="W403" i="10"/>
  <c r="Y414" i="10"/>
  <c r="F414" i="10"/>
  <c r="F20" i="16"/>
  <c r="N18" i="16"/>
  <c r="D19" i="16"/>
  <c r="J16" i="16"/>
  <c r="Y11" i="16"/>
  <c r="L411" i="10"/>
  <c r="H17" i="16"/>
  <c r="K405" i="10"/>
  <c r="Y401" i="10"/>
  <c r="J414" i="10"/>
  <c r="F11" i="16"/>
  <c r="Y411" i="10"/>
  <c r="W410" i="10"/>
  <c r="M413" i="10"/>
  <c r="G18" i="16"/>
  <c r="D18" i="16"/>
  <c r="R10" i="16"/>
  <c r="T10" i="16"/>
  <c r="P7" i="16"/>
  <c r="K8" i="16"/>
  <c r="R405" i="10"/>
  <c r="O9" i="16"/>
  <c r="V403" i="10"/>
  <c r="U407" i="10"/>
  <c r="R410" i="10"/>
  <c r="R16" i="16" s="1"/>
  <c r="Z19" i="16"/>
  <c r="P409" i="10"/>
  <c r="P15" i="16" s="1"/>
  <c r="D7" i="16"/>
  <c r="U405" i="10"/>
  <c r="D411" i="10"/>
  <c r="Z414" i="10"/>
  <c r="S414" i="10"/>
  <c r="N412" i="10"/>
  <c r="V7" i="16"/>
  <c r="X12" i="16"/>
  <c r="S407" i="10"/>
  <c r="L410" i="10"/>
  <c r="N404" i="10"/>
  <c r="R408" i="10"/>
  <c r="R14" i="16" s="1"/>
  <c r="X14" i="16"/>
  <c r="N20" i="16"/>
  <c r="W8" i="16"/>
  <c r="H8" i="16"/>
  <c r="G410" i="10"/>
  <c r="G16" i="16" s="1"/>
  <c r="G407" i="10"/>
  <c r="G13" i="16" s="1"/>
  <c r="S15" i="16"/>
  <c r="M9" i="16"/>
  <c r="E403" i="10"/>
  <c r="E9" i="16" s="1"/>
  <c r="F405" i="10"/>
  <c r="L12" i="16"/>
  <c r="W13" i="16"/>
  <c r="E413" i="10"/>
  <c r="E19" i="16" s="1"/>
  <c r="M10" i="16"/>
  <c r="K409" i="10"/>
  <c r="K15" i="16" s="1"/>
  <c r="F409" i="10"/>
  <c r="F15" i="16" s="1"/>
  <c r="H410" i="10"/>
  <c r="H16" i="16" s="1"/>
  <c r="P19" i="16"/>
  <c r="L11" i="16"/>
  <c r="P16" i="16"/>
  <c r="Y9" i="16"/>
  <c r="Y10" i="16"/>
  <c r="E402" i="10"/>
  <c r="E8" i="16" s="1"/>
  <c r="K13" i="16"/>
  <c r="J8" i="16"/>
  <c r="P408" i="10"/>
  <c r="P14" i="16" s="1"/>
  <c r="V11" i="16"/>
  <c r="Q20" i="16"/>
  <c r="W18" i="16"/>
  <c r="T407" i="10"/>
  <c r="T405" i="10"/>
  <c r="G405" i="10"/>
  <c r="Z401" i="10"/>
  <c r="X411" i="10"/>
  <c r="U403" i="10"/>
  <c r="M402" i="10"/>
  <c r="W413" i="10"/>
  <c r="V410" i="10"/>
  <c r="O414" i="10"/>
  <c r="J411" i="10"/>
  <c r="J17" i="16" s="1"/>
  <c r="G14" i="16"/>
  <c r="D8" i="16"/>
  <c r="V14" i="16"/>
  <c r="J413" i="10"/>
  <c r="J19" i="16" s="1"/>
  <c r="H9" i="16"/>
  <c r="U14" i="16"/>
  <c r="W11" i="16"/>
  <c r="AA15" i="16"/>
  <c r="J405" i="10"/>
  <c r="H414" i="10"/>
  <c r="X414" i="10"/>
  <c r="O16" i="16"/>
  <c r="AA403" i="10"/>
  <c r="W408" i="10"/>
  <c r="E405" i="10"/>
  <c r="V405" i="10"/>
  <c r="P11" i="16"/>
  <c r="Q11" i="16"/>
  <c r="D11" i="16"/>
  <c r="Y12" i="16"/>
  <c r="X10" i="16"/>
  <c r="S10" i="16"/>
  <c r="S12" i="16"/>
  <c r="E11" i="16"/>
  <c r="S7" i="16"/>
  <c r="J13" i="16"/>
  <c r="T406" i="10"/>
  <c r="T12" i="16" s="1"/>
  <c r="M401" i="10"/>
  <c r="AA402" i="10"/>
  <c r="AA413" i="10"/>
  <c r="M408" i="10"/>
  <c r="U18" i="16"/>
  <c r="Z20" i="16"/>
  <c r="N10" i="16"/>
  <c r="O409" i="10"/>
  <c r="O15" i="16" s="1"/>
  <c r="S410" i="10"/>
  <c r="S16" i="16" s="1"/>
  <c r="X9" i="16"/>
  <c r="Y16" i="16"/>
  <c r="L17" i="16"/>
  <c r="S18" i="16"/>
  <c r="Y412" i="10"/>
  <c r="Y409" i="10"/>
  <c r="Z18" i="16"/>
  <c r="H407" i="10"/>
  <c r="H13" i="16" s="1"/>
  <c r="U404" i="10"/>
  <c r="U10" i="16" s="1"/>
  <c r="G401" i="10"/>
  <c r="G7" i="16" s="1"/>
  <c r="T411" i="10"/>
  <c r="T17" i="16" s="1"/>
  <c r="E412" i="10"/>
  <c r="V407" i="10"/>
  <c r="K406" i="10"/>
  <c r="T413" i="10"/>
  <c r="T19" i="16" s="1"/>
  <c r="R406" i="10"/>
  <c r="H413" i="10"/>
  <c r="V404" i="10"/>
  <c r="K401" i="10"/>
  <c r="K7" i="16" s="1"/>
  <c r="I413" i="10"/>
  <c r="K408" i="10"/>
  <c r="K14" i="16" s="1"/>
  <c r="H409" i="10"/>
  <c r="M414" i="10"/>
  <c r="M20" i="16" s="1"/>
  <c r="V409" i="10"/>
  <c r="D407" i="10"/>
  <c r="J401" i="10"/>
  <c r="H404" i="10"/>
  <c r="H10" i="16" s="1"/>
  <c r="L402" i="10"/>
  <c r="F408" i="10"/>
  <c r="P407" i="10"/>
  <c r="J403" i="10"/>
  <c r="J9" i="16" s="1"/>
  <c r="T401" i="10"/>
  <c r="Y13" i="16"/>
  <c r="X7" i="16"/>
  <c r="I18" i="16"/>
  <c r="I405" i="10"/>
  <c r="T412" i="10"/>
  <c r="E411" i="10"/>
  <c r="S9" i="16"/>
  <c r="AA8" i="16"/>
  <c r="L14" i="16"/>
  <c r="W15" i="16"/>
  <c r="V18" i="16"/>
  <c r="R18" i="16"/>
  <c r="U402" i="10"/>
  <c r="Q403" i="10"/>
  <c r="I411" i="10"/>
  <c r="AA12" i="16"/>
  <c r="V16" i="16"/>
  <c r="W7" i="16"/>
  <c r="O404" i="10"/>
  <c r="Z12" i="16"/>
  <c r="E401" i="10"/>
  <c r="E7" i="16" s="1"/>
  <c r="Y19" i="16"/>
  <c r="Q410" i="10"/>
  <c r="Q16" i="16" s="1"/>
  <c r="Z11" i="16"/>
  <c r="P403" i="10"/>
  <c r="P9" i="16" s="1"/>
  <c r="S412" i="10"/>
  <c r="M18" i="16"/>
  <c r="L16" i="16"/>
  <c r="R13" i="16"/>
  <c r="H20" i="16"/>
  <c r="H405" i="10"/>
  <c r="F411" i="10"/>
  <c r="AA19" i="16"/>
  <c r="J409" i="10"/>
  <c r="J15" i="16" s="1"/>
  <c r="R401" i="10"/>
  <c r="R7" i="16" s="1"/>
  <c r="U9" i="16"/>
  <c r="R20" i="16"/>
  <c r="W407" i="10"/>
  <c r="N408" i="10"/>
  <c r="F413" i="10"/>
  <c r="E410" i="10"/>
  <c r="Q412" i="10"/>
  <c r="H401" i="10"/>
  <c r="K20" i="16"/>
  <c r="Z410" i="10"/>
  <c r="AA16" i="16"/>
  <c r="Z412" i="10"/>
  <c r="I402" i="10"/>
  <c r="I8" i="16" s="1"/>
  <c r="N9" i="16"/>
  <c r="H406" i="10"/>
  <c r="H12" i="16" s="1"/>
  <c r="Z10" i="16"/>
  <c r="G406" i="10"/>
  <c r="G12" i="16" s="1"/>
  <c r="N15" i="16"/>
  <c r="T15" i="16"/>
  <c r="W405" i="10"/>
  <c r="G4" i="8"/>
  <c r="E18" i="16"/>
  <c r="V13" i="16"/>
  <c r="K12" i="16"/>
  <c r="R12" i="16"/>
  <c r="H19" i="16"/>
  <c r="V10" i="16"/>
  <c r="I19" i="16"/>
  <c r="H15" i="16"/>
  <c r="V15" i="16"/>
  <c r="D13" i="16"/>
  <c r="J7" i="16"/>
  <c r="L8" i="16"/>
  <c r="F14" i="16"/>
  <c r="P13" i="16"/>
  <c r="T7" i="16"/>
  <c r="S11" i="16"/>
  <c r="W14" i="16"/>
  <c r="M12" i="16"/>
  <c r="Z413" i="10"/>
  <c r="W404" i="10"/>
  <c r="E17" i="16"/>
  <c r="O407" i="10"/>
  <c r="O13" i="16" s="1"/>
  <c r="Y15" i="16"/>
  <c r="Y14" i="16"/>
  <c r="D409" i="10"/>
  <c r="D15" i="16" s="1"/>
  <c r="K411" i="10"/>
  <c r="U20" i="16"/>
  <c r="N413" i="10"/>
  <c r="N19" i="16" s="1"/>
  <c r="U8" i="16"/>
  <c r="Q9" i="16"/>
  <c r="AA407" i="10"/>
  <c r="I17" i="16"/>
  <c r="F404" i="10"/>
  <c r="F10" i="16" s="1"/>
  <c r="K412" i="10"/>
  <c r="K18" i="16" s="1"/>
  <c r="X17" i="16"/>
  <c r="Y8" i="16"/>
  <c r="O10" i="16"/>
  <c r="S413" i="10"/>
  <c r="S19" i="16" s="1"/>
  <c r="L19" i="16"/>
  <c r="S13" i="16"/>
  <c r="V402" i="10"/>
  <c r="X412" i="10"/>
  <c r="AA14" i="16"/>
  <c r="T13" i="16"/>
  <c r="R413" i="10"/>
  <c r="R19" i="16" s="1"/>
  <c r="Z9" i="16"/>
  <c r="O20" i="16"/>
  <c r="L414" i="10"/>
  <c r="F17" i="16"/>
  <c r="X20" i="16"/>
  <c r="I410" i="10"/>
  <c r="U406" i="10"/>
  <c r="U12" i="16" s="1"/>
  <c r="J11" i="16"/>
  <c r="AA404" i="10"/>
  <c r="O413" i="10"/>
  <c r="O19" i="16" s="1"/>
  <c r="W17" i="16"/>
  <c r="K403" i="10"/>
  <c r="Q413" i="10"/>
  <c r="Q19" i="16" s="1"/>
  <c r="X13" i="16"/>
  <c r="L403" i="10"/>
  <c r="Q411" i="10"/>
  <c r="Q17" i="16" s="1"/>
  <c r="X16" i="16"/>
  <c r="M409" i="10"/>
  <c r="M8" i="16"/>
  <c r="M17" i="16"/>
  <c r="Z8" i="16"/>
  <c r="J412" i="10"/>
  <c r="J18" i="16" s="1"/>
  <c r="X8" i="16"/>
  <c r="Q18" i="16"/>
  <c r="H7" i="16"/>
  <c r="N13" i="16"/>
  <c r="P402" i="10"/>
  <c r="P8" i="16" s="1"/>
  <c r="E409" i="10"/>
  <c r="E15" i="16" s="1"/>
  <c r="O412" i="10"/>
  <c r="O18" i="16" s="1"/>
  <c r="D410" i="10"/>
  <c r="D16" i="16" s="1"/>
  <c r="G411" i="10"/>
  <c r="G17" i="16" s="1"/>
  <c r="K413" i="10"/>
  <c r="K19" i="16" s="1"/>
  <c r="Q401" i="10"/>
  <c r="Q7" i="16" s="1"/>
  <c r="L409" i="10"/>
  <c r="L15" i="16" s="1"/>
  <c r="T410" i="10"/>
  <c r="G402" i="10"/>
  <c r="G8" i="16" s="1"/>
  <c r="P412" i="10"/>
  <c r="P18" i="16" s="1"/>
  <c r="E406" i="10"/>
  <c r="E12" i="16" s="1"/>
  <c r="U409" i="10"/>
  <c r="U15" i="16" s="1"/>
  <c r="I408" i="10"/>
  <c r="I14" i="16" s="1"/>
  <c r="D408" i="10"/>
  <c r="N411" i="10"/>
  <c r="N17" i="16" s="1"/>
  <c r="F407" i="10"/>
  <c r="F13" i="16" s="1"/>
  <c r="J20" i="16"/>
  <c r="Y406" i="10"/>
  <c r="G11" i="16"/>
  <c r="K17" i="16"/>
  <c r="O402" i="10"/>
  <c r="O8" i="16" s="1"/>
  <c r="Z13" i="16"/>
  <c r="I20" i="16"/>
  <c r="N7" i="16"/>
  <c r="O405" i="10"/>
  <c r="F406" i="10"/>
  <c r="F12" i="16" s="1"/>
  <c r="W9" i="16"/>
  <c r="L405" i="10"/>
  <c r="T16" i="16"/>
  <c r="D14" i="16"/>
  <c r="I16" i="16"/>
  <c r="V9" i="16"/>
  <c r="X405" i="10"/>
  <c r="Z14" i="16"/>
  <c r="W12" i="16"/>
  <c r="M19" i="16"/>
  <c r="N14" i="16"/>
  <c r="K11" i="16"/>
  <c r="F19" i="16"/>
  <c r="E16" i="16"/>
  <c r="L412" i="10"/>
  <c r="G403" i="10"/>
  <c r="G9" i="16" s="1"/>
  <c r="V413" i="10"/>
  <c r="X406" i="10"/>
  <c r="AE345" i="8"/>
  <c r="AC342" i="8"/>
  <c r="AC343" i="8"/>
  <c r="AC346" i="8"/>
  <c r="AC341" i="8"/>
  <c r="AC360" i="8"/>
  <c r="AE343" i="8"/>
  <c r="AE344" i="8"/>
  <c r="AC345" i="8"/>
  <c r="AC344" i="8"/>
  <c r="S90" i="8"/>
  <c r="U92" i="8"/>
  <c r="S91" i="8"/>
  <c r="S93" i="8"/>
  <c r="S107" i="8"/>
  <c r="U91" i="8"/>
  <c r="S92" i="8"/>
  <c r="U90" i="8"/>
  <c r="S89" i="8"/>
  <c r="S88" i="8"/>
  <c r="AE456" i="8"/>
  <c r="AC458" i="8"/>
  <c r="AE457" i="8"/>
  <c r="AC453" i="8"/>
  <c r="AC457" i="8"/>
  <c r="AC455" i="8"/>
  <c r="AC456" i="8"/>
  <c r="AC472" i="8"/>
  <c r="AE455" i="8"/>
  <c r="AC454" i="8"/>
  <c r="F64" i="8"/>
  <c r="D65" i="8"/>
  <c r="F65" i="8"/>
  <c r="D61" i="8"/>
  <c r="D63" i="8"/>
  <c r="D80" i="8"/>
  <c r="D62" i="8"/>
  <c r="F63" i="8"/>
  <c r="D66" i="8"/>
  <c r="D64" i="8"/>
  <c r="AC173" i="8"/>
  <c r="AC176" i="8"/>
  <c r="AE175" i="8"/>
  <c r="AE176" i="8"/>
  <c r="AC178" i="8"/>
  <c r="AE177" i="8"/>
  <c r="AC192" i="8"/>
  <c r="AC174" i="8"/>
  <c r="AC175" i="8"/>
  <c r="AC177" i="8"/>
  <c r="AH286" i="8"/>
  <c r="AH288" i="8"/>
  <c r="AH304" i="8"/>
  <c r="AH285" i="8"/>
  <c r="AJ289" i="8"/>
  <c r="AH289" i="8"/>
  <c r="AH287" i="8"/>
  <c r="AH290" i="8"/>
  <c r="AJ287" i="8"/>
  <c r="AJ288" i="8"/>
  <c r="N426" i="8"/>
  <c r="N443" i="8"/>
  <c r="N424" i="8"/>
  <c r="N428" i="8"/>
  <c r="P428" i="8"/>
  <c r="N425" i="8"/>
  <c r="N429" i="8"/>
  <c r="N427" i="8"/>
  <c r="P426" i="8"/>
  <c r="P427" i="8"/>
  <c r="U427" i="8"/>
  <c r="U428" i="8"/>
  <c r="S443" i="8"/>
  <c r="S426" i="8"/>
  <c r="S429" i="8"/>
  <c r="U426" i="8"/>
  <c r="S428" i="8"/>
  <c r="S424" i="8"/>
  <c r="S427" i="8"/>
  <c r="S425" i="8"/>
  <c r="N1297" i="8"/>
  <c r="P1297" i="8"/>
  <c r="N1298" i="8"/>
  <c r="P1296" i="8"/>
  <c r="P1294" i="8"/>
  <c r="P1295" i="8"/>
  <c r="N1296" i="8"/>
  <c r="N1293" i="8"/>
  <c r="N1295" i="8"/>
  <c r="N1294" i="8"/>
  <c r="N1312" i="8"/>
  <c r="U1209" i="8"/>
  <c r="U1212" i="8"/>
  <c r="S1210" i="8"/>
  <c r="S1209" i="8"/>
  <c r="U1210" i="8"/>
  <c r="S1212" i="8"/>
  <c r="S1208" i="8"/>
  <c r="S1211" i="8"/>
  <c r="S1227" i="8"/>
  <c r="U1211" i="8"/>
  <c r="S1213" i="8"/>
  <c r="AC1040" i="8"/>
  <c r="AE1043" i="8"/>
  <c r="AE1042" i="8"/>
  <c r="AC1044" i="8"/>
  <c r="AC1045" i="8"/>
  <c r="AC1042" i="8"/>
  <c r="AE1041" i="8"/>
  <c r="AC1059" i="8"/>
  <c r="AC1041" i="8"/>
  <c r="AE1044" i="8"/>
  <c r="AC1043" i="8"/>
  <c r="N369" i="8"/>
  <c r="N368" i="8"/>
  <c r="N370" i="8"/>
  <c r="P372" i="8"/>
  <c r="N372" i="8"/>
  <c r="N371" i="8"/>
  <c r="N373" i="8"/>
  <c r="P371" i="8"/>
  <c r="P370" i="8"/>
  <c r="N387" i="8"/>
  <c r="I120" i="8"/>
  <c r="I122" i="8"/>
  <c r="I136" i="8"/>
  <c r="K120" i="8"/>
  <c r="K121" i="8"/>
  <c r="I118" i="8"/>
  <c r="K119" i="8"/>
  <c r="I117" i="8"/>
  <c r="I121" i="8"/>
  <c r="I119" i="8"/>
  <c r="AE932" i="8"/>
  <c r="AC931" i="8"/>
  <c r="AC947" i="8"/>
  <c r="AC933" i="8"/>
  <c r="AE931" i="8"/>
  <c r="AE929" i="8"/>
  <c r="AC928" i="8"/>
  <c r="AC930" i="8"/>
  <c r="AE930" i="8"/>
  <c r="AC929" i="8"/>
  <c r="AC932" i="8"/>
  <c r="AC316" i="8"/>
  <c r="AC315" i="8"/>
  <c r="AC331" i="8"/>
  <c r="AC314" i="8"/>
  <c r="AE315" i="8"/>
  <c r="AC313" i="8"/>
  <c r="AE314" i="8"/>
  <c r="AC312" i="8"/>
  <c r="AE313" i="8"/>
  <c r="AC317" i="8"/>
  <c r="AE316" i="8"/>
  <c r="Z1240" i="8"/>
  <c r="X1237" i="8"/>
  <c r="Z1238" i="8"/>
  <c r="X1241" i="8"/>
  <c r="Z1239" i="8"/>
  <c r="X1239" i="8"/>
  <c r="X1238" i="8"/>
  <c r="X1242" i="8"/>
  <c r="X1240" i="8"/>
  <c r="Z1241" i="8"/>
  <c r="X1256" i="8"/>
  <c r="D961" i="8"/>
  <c r="D958" i="8"/>
  <c r="D976" i="8"/>
  <c r="F961" i="8"/>
  <c r="F959" i="8"/>
  <c r="D959" i="8"/>
  <c r="F960" i="8"/>
  <c r="D957" i="8"/>
  <c r="D960" i="8"/>
  <c r="D962" i="8"/>
  <c r="N594" i="8"/>
  <c r="N611" i="8"/>
  <c r="P596" i="8"/>
  <c r="N592" i="8"/>
  <c r="P594" i="8"/>
  <c r="N595" i="8"/>
  <c r="P595" i="8"/>
  <c r="N597" i="8"/>
  <c r="N596" i="8"/>
  <c r="N593" i="8"/>
  <c r="D761" i="8"/>
  <c r="D762" i="8"/>
  <c r="D765" i="8"/>
  <c r="D760" i="8"/>
  <c r="F763" i="8"/>
  <c r="D764" i="8"/>
  <c r="F762" i="8"/>
  <c r="D779" i="8"/>
  <c r="F764" i="8"/>
  <c r="D763" i="8"/>
  <c r="AC1185" i="8"/>
  <c r="AC1183" i="8"/>
  <c r="AC1184" i="8"/>
  <c r="AC1186" i="8"/>
  <c r="AC1182" i="8"/>
  <c r="AE1182" i="8"/>
  <c r="AC1200" i="8"/>
  <c r="AC1181" i="8"/>
  <c r="AE1185" i="8"/>
  <c r="AE1184" i="8"/>
  <c r="AE1183" i="8"/>
  <c r="D163" i="8"/>
  <c r="D146" i="8"/>
  <c r="F148" i="8"/>
  <c r="D144" i="8"/>
  <c r="F146" i="8"/>
  <c r="D147" i="8"/>
  <c r="F147" i="8"/>
  <c r="D145" i="8"/>
  <c r="D148" i="8"/>
  <c r="D149" i="8"/>
  <c r="N35" i="8"/>
  <c r="N37" i="8"/>
  <c r="N32" i="8"/>
  <c r="N33" i="8"/>
  <c r="P34" i="8"/>
  <c r="P35" i="8"/>
  <c r="N34" i="8"/>
  <c r="N51" i="8"/>
  <c r="P36" i="8"/>
  <c r="N36" i="8"/>
  <c r="D369" i="8"/>
  <c r="F372" i="8"/>
  <c r="D371" i="8"/>
  <c r="D387" i="8"/>
  <c r="D368" i="8"/>
  <c r="F370" i="8"/>
  <c r="D373" i="8"/>
  <c r="D370" i="8"/>
  <c r="F371" i="8"/>
  <c r="D372" i="8"/>
  <c r="F121" i="8"/>
  <c r="D118" i="8"/>
  <c r="D120" i="8"/>
  <c r="D136" i="8"/>
  <c r="F119" i="8"/>
  <c r="D122" i="8"/>
  <c r="D121" i="8"/>
  <c r="F120" i="8"/>
  <c r="D119" i="8"/>
  <c r="D117" i="8"/>
  <c r="AH707" i="8"/>
  <c r="AH705" i="8"/>
  <c r="AH723" i="8"/>
  <c r="AH709" i="8"/>
  <c r="AJ707" i="8"/>
  <c r="AH704" i="8"/>
  <c r="AH708" i="8"/>
  <c r="AJ706" i="8"/>
  <c r="AH706" i="8"/>
  <c r="AJ705" i="8"/>
  <c r="AJ708" i="8"/>
  <c r="S873" i="8"/>
  <c r="U876" i="8"/>
  <c r="S875" i="8"/>
  <c r="S891" i="8"/>
  <c r="S874" i="8"/>
  <c r="S876" i="8"/>
  <c r="S877" i="8"/>
  <c r="S872" i="8"/>
  <c r="U874" i="8"/>
  <c r="S765" i="8"/>
  <c r="S760" i="8"/>
  <c r="U762" i="8"/>
  <c r="S779" i="8"/>
  <c r="S764" i="8"/>
  <c r="U764" i="8"/>
  <c r="S761" i="8"/>
  <c r="S763" i="8"/>
  <c r="S762" i="8"/>
  <c r="K393" i="26"/>
  <c r="K267" i="26"/>
  <c r="K354" i="26"/>
  <c r="K653" i="26"/>
  <c r="K359" i="26"/>
  <c r="K395" i="26"/>
  <c r="K495" i="26"/>
  <c r="K285" i="26"/>
  <c r="K304" i="26"/>
  <c r="K445" i="26"/>
  <c r="K663" i="26"/>
  <c r="K175" i="26"/>
  <c r="K362" i="26"/>
  <c r="K235" i="26"/>
  <c r="K223" i="26"/>
  <c r="K529" i="26"/>
  <c r="K513" i="26"/>
  <c r="K66" i="26"/>
  <c r="K592" i="26"/>
  <c r="K147" i="26"/>
  <c r="K218" i="26"/>
  <c r="K540" i="26"/>
  <c r="K312" i="26"/>
  <c r="K617" i="26"/>
  <c r="K778" i="26"/>
  <c r="K490" i="26"/>
  <c r="K309" i="26"/>
  <c r="K624" i="26"/>
  <c r="K296" i="26"/>
  <c r="K283" i="26"/>
  <c r="K86" i="26"/>
  <c r="K566" i="26"/>
  <c r="D6" i="22" a="1"/>
  <c r="D6" i="16" a="1"/>
  <c r="E6" i="21" a="1"/>
  <c r="K798" i="26"/>
  <c r="K758" i="26"/>
  <c r="K572" i="26"/>
  <c r="K606" i="26"/>
  <c r="K523" i="26"/>
  <c r="K122" i="26"/>
  <c r="K781" i="26"/>
  <c r="AJ230" i="8" l="1"/>
  <c r="U873" i="8"/>
  <c r="Z873" i="8"/>
  <c r="P425" i="8"/>
  <c r="U89" i="8"/>
  <c r="K201" i="8"/>
  <c r="Z398" i="8"/>
  <c r="U761" i="8"/>
  <c r="P985" i="8"/>
  <c r="U118" i="8"/>
  <c r="F593" i="8"/>
  <c r="F622" i="8"/>
  <c r="K230" i="8"/>
  <c r="AJ902" i="8"/>
  <c r="AE846" i="8"/>
  <c r="AE257" i="8"/>
  <c r="P481" i="8"/>
  <c r="AE230" i="8"/>
  <c r="P817" i="8"/>
  <c r="AE902" i="8"/>
  <c r="AJ6" i="8"/>
  <c r="P313" i="8"/>
  <c r="AE678" i="8"/>
  <c r="K734" i="8"/>
  <c r="AE734" i="8"/>
  <c r="K313" i="8"/>
  <c r="AE622" i="8"/>
  <c r="P201" i="8"/>
  <c r="AJ118" i="8"/>
  <c r="AE118" i="8"/>
  <c r="K6" i="8"/>
  <c r="F678" i="8"/>
  <c r="AJ342" i="8"/>
  <c r="P705" i="8"/>
  <c r="K89" i="8"/>
  <c r="K649" i="8"/>
  <c r="AJ846" i="8"/>
  <c r="F761" i="8"/>
  <c r="Z33" i="8"/>
  <c r="U62" i="8"/>
  <c r="Z790" i="8"/>
  <c r="AE286" i="8"/>
  <c r="P649" i="8"/>
  <c r="K33" i="8"/>
  <c r="P873" i="8"/>
  <c r="P929" i="8"/>
  <c r="K286" i="8"/>
  <c r="P145" i="8"/>
  <c r="P593" i="8"/>
  <c r="F958" i="8"/>
  <c r="U425" i="8"/>
  <c r="U230" i="8"/>
  <c r="U1014" i="8"/>
  <c r="Z201" i="8"/>
  <c r="AE649" i="8"/>
  <c r="F174" i="8"/>
  <c r="Z145" i="8"/>
  <c r="K929" i="8"/>
  <c r="P89" i="8"/>
  <c r="F89" i="8"/>
  <c r="Z230" i="8"/>
  <c r="P1041" i="8"/>
  <c r="P761" i="8"/>
  <c r="Z118" i="8"/>
  <c r="AJ958" i="8"/>
  <c r="F790" i="8"/>
  <c r="Z678" i="8"/>
  <c r="AJ566" i="8"/>
  <c r="Z342" i="8"/>
  <c r="F118" i="8"/>
  <c r="F369" i="8"/>
  <c r="U33" i="8"/>
  <c r="U174" i="8"/>
  <c r="K257" i="8"/>
  <c r="AJ790" i="8"/>
  <c r="U6" i="8"/>
  <c r="F342" i="8"/>
  <c r="Z705" i="8"/>
  <c r="AJ734" i="8"/>
  <c r="U817" i="8"/>
  <c r="Z369" i="8"/>
  <c r="U145" i="8"/>
  <c r="AE369" i="8"/>
  <c r="F649" i="8"/>
  <c r="F705" i="8"/>
  <c r="Z929" i="8"/>
  <c r="U593" i="8"/>
  <c r="AE958" i="8"/>
  <c r="Z649" i="8"/>
  <c r="U678" i="8"/>
  <c r="F230" i="8"/>
  <c r="F286" i="8"/>
  <c r="F985" i="8"/>
  <c r="AJ286" i="8"/>
  <c r="AE174" i="8"/>
  <c r="AE342" i="8"/>
  <c r="AE566" i="8"/>
  <c r="AJ622" i="8"/>
  <c r="U257" i="8"/>
  <c r="K481" i="8"/>
  <c r="K145" i="8"/>
  <c r="AE398" i="8"/>
  <c r="Z313" i="8"/>
  <c r="K817" i="8"/>
  <c r="F257" i="8"/>
  <c r="F846" i="8"/>
  <c r="F398" i="8"/>
  <c r="U369" i="8"/>
  <c r="P257" i="8"/>
  <c r="Z985" i="8"/>
  <c r="F454" i="8"/>
  <c r="Z593" i="8"/>
  <c r="Z1014" i="8"/>
  <c r="F873" i="8"/>
  <c r="U286" i="8"/>
  <c r="AJ174" i="8"/>
  <c r="U734" i="8"/>
  <c r="P33" i="8"/>
  <c r="K118" i="8"/>
  <c r="F62" i="8"/>
  <c r="AE201" i="8"/>
  <c r="F425" i="8"/>
  <c r="K705" i="8"/>
  <c r="Z425" i="8"/>
  <c r="AE62" i="8"/>
  <c r="U705" i="8"/>
  <c r="U985" i="8"/>
  <c r="Z454" i="8"/>
  <c r="F902" i="8"/>
  <c r="AJ537" i="8"/>
  <c r="F929" i="8"/>
  <c r="K678" i="8"/>
  <c r="F313" i="8"/>
  <c r="AE761" i="8"/>
  <c r="F817" i="8"/>
  <c r="K62" i="8"/>
  <c r="U201" i="8"/>
  <c r="K593" i="8"/>
  <c r="AE145" i="8"/>
  <c r="F734" i="8"/>
  <c r="AE33" i="8"/>
  <c r="AE89" i="8"/>
  <c r="F33" i="8"/>
  <c r="Z286" i="8"/>
  <c r="Z6" i="8"/>
  <c r="Z761" i="8"/>
  <c r="F145" i="8"/>
  <c r="P369" i="8"/>
  <c r="AE454" i="8"/>
  <c r="D17" i="16"/>
  <c r="Z846" i="8"/>
  <c r="AJ62" i="8"/>
  <c r="Z817" i="8"/>
  <c r="K369" i="8"/>
  <c r="K873" i="8"/>
  <c r="AE705" i="8"/>
  <c r="Z89" i="8"/>
  <c r="AE6" i="8"/>
  <c r="K1041" i="8"/>
  <c r="AE790" i="8"/>
  <c r="Z62" i="8"/>
  <c r="U313" i="8"/>
  <c r="Z174" i="8"/>
  <c r="Z734" i="8"/>
  <c r="U622" i="8"/>
  <c r="AE425" i="8"/>
  <c r="K622" i="8"/>
  <c r="Z958" i="8"/>
  <c r="AJ678" i="8"/>
  <c r="F201" i="8"/>
  <c r="AE1014" i="8"/>
  <c r="E6" i="22"/>
  <c r="R6" i="22"/>
  <c r="G6" i="22"/>
  <c r="I6" i="22"/>
  <c r="F6" i="22"/>
  <c r="H6" i="22"/>
  <c r="O6" i="22"/>
  <c r="Y6" i="22"/>
  <c r="Z6" i="22"/>
  <c r="M6" i="22"/>
  <c r="S6" i="22"/>
  <c r="K6" i="22"/>
  <c r="V6" i="22"/>
  <c r="W6" i="22"/>
  <c r="Q6" i="22"/>
  <c r="X6" i="22"/>
  <c r="L6" i="22"/>
  <c r="D6" i="22"/>
  <c r="T6" i="22"/>
  <c r="N6" i="22"/>
  <c r="U6" i="22"/>
  <c r="P6" i="22"/>
  <c r="AA6" i="22"/>
  <c r="J6" i="22"/>
  <c r="Q6" i="16"/>
  <c r="N6" i="16"/>
  <c r="I6" i="16"/>
  <c r="Y6" i="16"/>
  <c r="D6" i="16"/>
  <c r="L6" i="16"/>
  <c r="P6" i="16"/>
  <c r="Z6" i="16"/>
  <c r="E6" i="16"/>
  <c r="G6" i="16"/>
  <c r="H6" i="16"/>
  <c r="J6" i="16"/>
  <c r="X6" i="16"/>
  <c r="M6" i="16"/>
  <c r="R6" i="16"/>
  <c r="V6" i="16"/>
  <c r="W6" i="16"/>
  <c r="K6" i="16"/>
  <c r="O6" i="16"/>
  <c r="F6" i="16"/>
  <c r="U6" i="16"/>
  <c r="T6" i="16"/>
  <c r="S6" i="16"/>
  <c r="AA6" i="16"/>
  <c r="Y399" i="10"/>
  <c r="P399" i="10"/>
  <c r="E399" i="10"/>
  <c r="Z399" i="10"/>
  <c r="F399" i="10"/>
  <c r="R399" i="10"/>
  <c r="Q399" i="10"/>
  <c r="I399" i="10"/>
  <c r="D399" i="10"/>
  <c r="L399" i="10"/>
  <c r="X399" i="10"/>
  <c r="O399" i="10"/>
  <c r="H399" i="10"/>
  <c r="W399" i="10"/>
  <c r="G399" i="10"/>
  <c r="U399" i="10"/>
  <c r="N399" i="10"/>
  <c r="V399" i="10"/>
  <c r="J399" i="10"/>
  <c r="M399" i="10"/>
  <c r="K399" i="10"/>
  <c r="T399" i="10"/>
  <c r="S399" i="10"/>
  <c r="AA399" i="10"/>
  <c r="AB6" i="21"/>
  <c r="X6" i="21"/>
  <c r="W6" i="21"/>
  <c r="V6" i="21"/>
  <c r="O6" i="21"/>
  <c r="Y6" i="21"/>
  <c r="U6" i="21"/>
  <c r="G6" i="21"/>
  <c r="Z6" i="21"/>
  <c r="R6" i="21"/>
  <c r="T6" i="21"/>
  <c r="H6" i="21"/>
  <c r="Q6" i="21"/>
  <c r="P6" i="21"/>
  <c r="S6" i="21"/>
  <c r="F6" i="21"/>
  <c r="K6" i="21"/>
  <c r="N6" i="21"/>
  <c r="M6" i="21"/>
  <c r="L6" i="21"/>
  <c r="E6" i="21"/>
  <c r="J6" i="21"/>
  <c r="AA6" i="21"/>
  <c r="I6" i="21"/>
  <c r="F8" i="8"/>
  <c r="D24" i="8"/>
  <c r="F7" i="8"/>
  <c r="F6" i="8" s="1"/>
  <c r="D7" i="8"/>
  <c r="D9" i="8"/>
  <c r="F9" i="8"/>
  <c r="D8" i="8"/>
  <c r="D10" i="8"/>
  <c r="D5" i="8"/>
  <c r="D6" i="8"/>
  <c r="D5" i="16" l="1" a="1"/>
  <c r="E5" i="21" a="1"/>
  <c r="D5" i="22" a="1"/>
  <c r="Y5" i="22" l="1"/>
  <c r="Q5" i="22"/>
  <c r="X5" i="22"/>
  <c r="V5" i="22"/>
  <c r="N5" i="22"/>
  <c r="D5" i="22"/>
  <c r="E5" i="22"/>
  <c r="P5" i="22"/>
  <c r="I5" i="22"/>
  <c r="L5" i="22"/>
  <c r="K5" i="22"/>
  <c r="H5" i="22"/>
  <c r="AA5" i="22"/>
  <c r="Z5" i="22"/>
  <c r="J5" i="22"/>
  <c r="R5" i="22"/>
  <c r="U5" i="22"/>
  <c r="S5" i="22"/>
  <c r="F5" i="22"/>
  <c r="T5" i="22"/>
  <c r="M5" i="22"/>
  <c r="G5" i="22"/>
  <c r="O5" i="22"/>
  <c r="W5" i="22"/>
  <c r="H5" i="21"/>
  <c r="T5" i="21"/>
  <c r="L5" i="21"/>
  <c r="I5" i="21"/>
  <c r="AB5" i="21"/>
  <c r="M5" i="21"/>
  <c r="X5" i="21"/>
  <c r="Z5" i="21"/>
  <c r="S5" i="21"/>
  <c r="G5" i="21"/>
  <c r="K5" i="21"/>
  <c r="V5" i="21"/>
  <c r="U5" i="21"/>
  <c r="R5" i="21"/>
  <c r="E5" i="21"/>
  <c r="Q5" i="21"/>
  <c r="W5" i="21"/>
  <c r="Y5" i="21"/>
  <c r="AA5" i="21"/>
  <c r="J5" i="21"/>
  <c r="F5" i="21"/>
  <c r="O5" i="21"/>
  <c r="N5" i="21"/>
  <c r="P5" i="21"/>
  <c r="S5" i="16"/>
  <c r="Y5" i="16"/>
  <c r="AA5" i="16"/>
  <c r="M5" i="16"/>
  <c r="N5" i="16"/>
  <c r="F5" i="16"/>
  <c r="L5" i="16"/>
  <c r="I5" i="16"/>
  <c r="J5" i="16"/>
  <c r="O5" i="16"/>
  <c r="U5" i="16"/>
  <c r="K5" i="16"/>
  <c r="D5" i="16"/>
  <c r="H5" i="16"/>
  <c r="R5" i="16"/>
  <c r="Z5" i="16"/>
  <c r="W5" i="16"/>
  <c r="X5" i="16"/>
  <c r="E5" i="16"/>
  <c r="P5" i="16"/>
  <c r="T5" i="16"/>
  <c r="G5" i="16"/>
  <c r="Q5" i="16"/>
  <c r="V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B18" authorId="0" shapeId="0" xr:uid="{00000000-0006-0000-0200-000001000000}">
      <text>
        <r>
          <rPr>
            <sz val="9"/>
            <color indexed="81"/>
            <rFont val="Tahoma"/>
            <family val="2"/>
          </rPr>
          <t xml:space="preserve">Universal definition
</t>
        </r>
      </text>
    </comment>
    <comment ref="B21" authorId="0" shapeId="0" xr:uid="{00000000-0006-0000-0200-000002000000}">
      <text>
        <r>
          <rPr>
            <b/>
            <sz val="9"/>
            <color indexed="81"/>
            <rFont val="Tahoma"/>
            <family val="2"/>
          </rPr>
          <t>Jack Daneils:
"</t>
        </r>
        <r>
          <rPr>
            <sz val="9"/>
            <color indexed="81"/>
            <rFont val="Tahoma"/>
            <family val="2"/>
          </rPr>
          <t xml:space="preserve">DabielsTables3-00-00.xls, </t>
        </r>
        <r>
          <rPr>
            <b/>
            <sz val="9"/>
            <color indexed="81"/>
            <rFont val="Tahoma"/>
            <family val="2"/>
          </rPr>
          <t xml:space="preserve">
</t>
        </r>
        <r>
          <rPr>
            <sz val="9"/>
            <color indexed="81"/>
            <rFont val="Tahoma"/>
            <family val="2"/>
          </rPr>
          <t xml:space="preserve">Daniels' Calculated % of VO2max"
</t>
        </r>
      </text>
    </comment>
    <comment ref="B24" authorId="0" shapeId="0" xr:uid="{00000000-0006-0000-0200-000003000000}">
      <text>
        <r>
          <rPr>
            <b/>
            <sz val="9"/>
            <color indexed="81"/>
            <rFont val="Tahoma"/>
            <family val="2"/>
          </rPr>
          <t>Jack Daneils:
"</t>
        </r>
        <r>
          <rPr>
            <sz val="9"/>
            <color indexed="81"/>
            <rFont val="Tahoma"/>
            <family val="2"/>
          </rPr>
          <t xml:space="preserve">DabielsTables3-00-00.xls, </t>
        </r>
        <r>
          <rPr>
            <b/>
            <sz val="9"/>
            <color indexed="81"/>
            <rFont val="Tahoma"/>
            <family val="2"/>
          </rPr>
          <t xml:space="preserve">
</t>
        </r>
        <r>
          <rPr>
            <sz val="9"/>
            <color indexed="81"/>
            <rFont val="Tahoma"/>
            <family val="2"/>
          </rPr>
          <t xml:space="preserve">Daniels' Calculated % of VO2max"
</t>
        </r>
      </text>
    </comment>
    <comment ref="B27" authorId="0" shapeId="0" xr:uid="{00000000-0006-0000-0200-000004000000}">
      <text>
        <r>
          <rPr>
            <b/>
            <sz val="9"/>
            <color indexed="81"/>
            <rFont val="Tahoma"/>
            <family val="2"/>
          </rPr>
          <t xml:space="preserve">Original:
</t>
        </r>
        <r>
          <rPr>
            <sz val="9"/>
            <color indexed="81"/>
            <rFont val="Tahoma"/>
            <family val="2"/>
          </rPr>
          <t xml:space="preserve">=IF(element_heart_rate_percent_max=0,"",
IFERROR(0.621371192/(29.54+5.000663*(athlete_VDOT*(0.59+0.41*(element_heart_rate_percent_max-0.65)/0.35))-0.007546*(athlete_VDOT*(0.59+0.41*(element_heart_rate_percent_max-0.65)/0.35))^2)*1609.344/1440,"")
)
</t>
        </r>
        <r>
          <rPr>
            <b/>
            <sz val="9"/>
            <color indexed="81"/>
            <rFont val="Tahoma"/>
            <family val="2"/>
          </rPr>
          <t xml:space="preserve">Version 2:
</t>
        </r>
        <r>
          <rPr>
            <sz val="9"/>
            <color indexed="81"/>
            <rFont val="Tahoma"/>
            <family val="2"/>
          </rPr>
          <t>=IF(element_HR_percent=0,"",
IFERROR(0.621371192/(29.54+5.000663*(athlete_VDOT*(athlete_calibration_VDOT+(1-athlete_calibration_VDOT)*(element_HR_percent-(athlete_calibration_HR/athlete_HR_max))/(1-(athlete_calibration_HR/athlete_HR_max))))-0.007546*(athlete_VDOT*(athlete_calibration_VDOT+(1-athlete_calibration_VDOT)*(element_HR_percent-(athlete_calibration_HR/athlete_HR_max))/(1-(athlete_calibration_HR/athlete_HR_max))))^2)*1609.344/1440,"")
)</t>
        </r>
      </text>
    </comment>
    <comment ref="B37" authorId="0" shapeId="0" xr:uid="{00000000-0006-0000-0200-000005000000}">
      <text>
        <r>
          <rPr>
            <b/>
            <sz val="9"/>
            <color indexed="81"/>
            <rFont val="Tahoma"/>
            <family val="2"/>
          </rPr>
          <t>Jack Daniels:</t>
        </r>
        <r>
          <rPr>
            <sz val="9"/>
            <color indexed="81"/>
            <rFont val="Tahoma"/>
            <family val="2"/>
          </rPr>
          <t xml:space="preserve">
"DanielsTables3-00-00.xls, Point Value"</t>
        </r>
      </text>
    </comment>
    <comment ref="B43" authorId="0" shapeId="0" xr:uid="{00000000-0006-0000-0200-000006000000}">
      <text>
        <r>
          <rPr>
            <b/>
            <sz val="9"/>
            <color indexed="81"/>
            <rFont val="Tahoma"/>
            <family val="2"/>
          </rPr>
          <t>Training Peaks:</t>
        </r>
        <r>
          <rPr>
            <sz val="9"/>
            <color indexed="81"/>
            <rFont val="Tahoma"/>
            <family val="2"/>
          </rPr>
          <t xml:space="preserve">
</t>
        </r>
      </text>
    </comment>
    <comment ref="B46" authorId="0" shapeId="0" xr:uid="{00000000-0006-0000-0200-000007000000}">
      <text>
        <r>
          <rPr>
            <b/>
            <sz val="9"/>
            <color indexed="81"/>
            <rFont val="Tahoma"/>
            <family val="2"/>
          </rPr>
          <t>Training Peaks:</t>
        </r>
        <r>
          <rPr>
            <sz val="9"/>
            <color indexed="81"/>
            <rFont val="Tahoma"/>
            <family val="2"/>
          </rPr>
          <t xml:space="preserve">
</t>
        </r>
      </text>
    </comment>
    <comment ref="B49" authorId="0" shapeId="0" xr:uid="{00000000-0006-0000-0200-000008000000}">
      <text>
        <r>
          <rPr>
            <b/>
            <sz val="9"/>
            <color indexed="81"/>
            <rFont val="Tahoma"/>
            <family val="2"/>
          </rPr>
          <t>Training Peaks:</t>
        </r>
        <r>
          <rPr>
            <sz val="9"/>
            <color indexed="81"/>
            <rFont val="Tahoma"/>
            <family val="2"/>
          </rPr>
          <t xml:space="preserve">
</t>
        </r>
      </text>
    </comment>
    <comment ref="B52" authorId="0" shapeId="0" xr:uid="{00000000-0006-0000-0200-000009000000}">
      <text>
        <r>
          <rPr>
            <b/>
            <sz val="9"/>
            <color indexed="81"/>
            <rFont val="Tahoma"/>
            <family val="2"/>
          </rPr>
          <t>Training Peaks: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Gene</author>
    <author>Gene Beveridge</author>
  </authors>
  <commentList>
    <comment ref="C6" authorId="0" shapeId="0" xr:uid="{00000000-0006-0000-0700-000001000000}">
      <text>
        <r>
          <rPr>
            <b/>
            <sz val="9"/>
            <color indexed="81"/>
            <rFont val="Tahoma"/>
            <family val="2"/>
          </rPr>
          <t>Gene:</t>
        </r>
        <r>
          <rPr>
            <sz val="9"/>
            <color indexed="81"/>
            <rFont val="Tahoma"/>
            <family val="2"/>
          </rPr>
          <t xml:space="preserve">
Add conditional formatting for Monday and sunday</t>
        </r>
      </text>
    </comment>
    <comment ref="C14" authorId="0" shapeId="0" xr:uid="{00000000-0006-0000-0700-000002000000}">
      <text>
        <r>
          <rPr>
            <b/>
            <sz val="9"/>
            <color indexed="81"/>
            <rFont val="Tahoma"/>
            <family val="2"/>
          </rPr>
          <t>Gene:</t>
        </r>
        <r>
          <rPr>
            <sz val="9"/>
            <color indexed="81"/>
            <rFont val="Tahoma"/>
            <family val="2"/>
          </rPr>
          <t xml:space="preserve">
Add conditional formatting for Monday and sunday</t>
        </r>
      </text>
    </comment>
    <comment ref="H22" authorId="1" shapeId="0" xr:uid="{00000000-0006-0000-0700-000003000000}">
      <text>
        <r>
          <rPr>
            <sz val="9"/>
            <color indexed="81"/>
            <rFont val="Tahoma"/>
            <family val="2"/>
          </rPr>
          <t>NZ Champs Relay</t>
        </r>
      </text>
    </comment>
    <comment ref="G30" authorId="1" shapeId="0" xr:uid="{00000000-0006-0000-0700-000004000000}">
      <text>
        <r>
          <rPr>
            <sz val="9"/>
            <color indexed="81"/>
            <rFont val="Tahoma"/>
            <family val="2"/>
          </rPr>
          <t>NZ Champs Sprint</t>
        </r>
      </text>
    </comment>
    <comment ref="G32" authorId="1" shapeId="0" xr:uid="{00000000-0006-0000-0700-000005000000}">
      <text>
        <r>
          <rPr>
            <sz val="9"/>
            <color indexed="81"/>
            <rFont val="Tahoma"/>
            <family val="2"/>
          </rPr>
          <t>NZ Champs Middle</t>
        </r>
      </text>
    </comment>
    <comment ref="H32" authorId="1" shapeId="0" xr:uid="{00000000-0006-0000-0700-000006000000}">
      <text>
        <r>
          <rPr>
            <sz val="9"/>
            <color indexed="81"/>
            <rFont val="Tahoma"/>
            <family val="2"/>
          </rPr>
          <t>Ring of Fire</t>
        </r>
      </text>
    </comment>
    <comment ref="G34" authorId="1" shapeId="0" xr:uid="{00000000-0006-0000-0700-000007000000}">
      <text>
        <r>
          <rPr>
            <sz val="9"/>
            <color indexed="81"/>
            <rFont val="Tahoma"/>
            <family val="2"/>
          </rPr>
          <t>NZ Champs Long</t>
        </r>
      </text>
    </comment>
    <comment ref="Q48" authorId="0" shapeId="0" xr:uid="{00000000-0006-0000-0700-000008000000}">
      <text>
        <r>
          <rPr>
            <sz val="9"/>
            <color indexed="81"/>
            <rFont val="Tahoma"/>
            <family val="2"/>
          </rPr>
          <t>Xterra Duathlon Long Course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Gene</author>
    <author>Gene Beveridge</author>
  </authors>
  <commentList>
    <comment ref="B6" authorId="0" shapeId="0" xr:uid="{00000000-0006-0000-0800-000001000000}">
      <text>
        <r>
          <rPr>
            <sz val="9"/>
            <color indexed="81"/>
            <rFont val="Tahoma"/>
            <family val="2"/>
          </rPr>
          <t>What is the maximum heart rate you have achieved? Subsequent 4-6 minute efforts can be a good way to achieve this.</t>
        </r>
      </text>
    </comment>
    <comment ref="B8" authorId="0" shapeId="0" xr:uid="{00000000-0006-0000-0800-000002000000}">
      <text>
        <r>
          <rPr>
            <sz val="9"/>
            <color indexed="81"/>
            <rFont val="Tahoma"/>
            <family val="2"/>
          </rPr>
          <t>What is your heart rate first thing in the morning? Ideally fully awake, but sitting still and before eating.</t>
        </r>
      </text>
    </comment>
    <comment ref="B9" authorId="0" shapeId="0" xr:uid="{00000000-0006-0000-0800-000003000000}">
      <text>
        <r>
          <rPr>
            <sz val="9"/>
            <color indexed="81"/>
            <rFont val="Tahoma"/>
            <family val="2"/>
          </rPr>
          <t>What is the distance of the test race that you are using to represent your current level of fitness</t>
        </r>
      </text>
    </comment>
    <comment ref="B10" authorId="0" shapeId="0" xr:uid="{00000000-0006-0000-0800-000004000000}">
      <text>
        <r>
          <rPr>
            <sz val="9"/>
            <color indexed="81"/>
            <rFont val="Tahoma"/>
            <family val="2"/>
          </rPr>
          <t>What is the time for the test race that you are using to represent your current level of fitness</t>
        </r>
      </text>
    </comment>
    <comment ref="B12" authorId="0" shapeId="0" xr:uid="{00000000-0006-0000-0800-000005000000}">
      <text>
        <r>
          <rPr>
            <sz val="9"/>
            <color indexed="81"/>
            <rFont val="Tahoma"/>
            <family val="2"/>
          </rPr>
          <t>What weekly training duration would you describe as easy? Think back to previous weeks that haven't left you feeling tired at all.</t>
        </r>
      </text>
    </comment>
    <comment ref="B18" authorId="0" shapeId="0" xr:uid="{00000000-0006-0000-0800-000006000000}">
      <text>
        <r>
          <rPr>
            <sz val="9"/>
            <color indexed="81"/>
            <rFont val="Tahoma"/>
            <family val="2"/>
          </rPr>
          <t xml:space="preserve">What weekly training duration would you describe as "massive, but possible"? Imagine a perfect week wher you could just train eat sleep repeat. </t>
        </r>
      </text>
    </comment>
    <comment ref="B20" authorId="0" shapeId="0" xr:uid="{00000000-0006-0000-0800-000007000000}">
      <text>
        <r>
          <rPr>
            <sz val="9"/>
            <color indexed="81"/>
            <rFont val="Tahoma"/>
            <family val="2"/>
          </rPr>
          <t>What is your HR at your slowest running pace? Think of running as easy as possible, but still running.</t>
        </r>
      </text>
    </comment>
    <comment ref="B21" authorId="0" shapeId="0" xr:uid="{00000000-0006-0000-0800-000008000000}">
      <text>
        <r>
          <rPr>
            <sz val="9"/>
            <color indexed="81"/>
            <rFont val="Tahoma"/>
            <family val="2"/>
          </rPr>
          <t>What is your slowest running pace? Think of running as easy as possible, but still running.</t>
        </r>
      </text>
    </comment>
    <comment ref="B24" authorId="0" shapeId="0" xr:uid="{00000000-0006-0000-0800-000009000000}">
      <text>
        <r>
          <rPr>
            <sz val="9"/>
            <color indexed="81"/>
            <rFont val="Tahoma"/>
            <family val="2"/>
          </rPr>
          <t>Do you have a favoured percentage drop for tapering from past experience?</t>
        </r>
      </text>
    </comment>
    <comment ref="B25" authorId="0" shapeId="0" xr:uid="{00000000-0006-0000-0800-00000A000000}">
      <text>
        <r>
          <rPr>
            <sz val="9"/>
            <color indexed="81"/>
            <rFont val="Tahoma"/>
            <family val="2"/>
          </rPr>
          <t xml:space="preserve">Do you have a warm up and warm down length from past experience </t>
        </r>
      </text>
    </comment>
    <comment ref="B26" authorId="1" shapeId="0" xr:uid="{00000000-0006-0000-0800-00000B000000}">
      <text>
        <r>
          <rPr>
            <sz val="9"/>
            <color indexed="81"/>
            <rFont val="Tahoma"/>
            <family val="2"/>
          </rPr>
          <t>How many grams of carbohydrates can you consume while running per hour in a long race?</t>
        </r>
      </text>
    </comment>
    <comment ref="B28" authorId="1" shapeId="0" xr:uid="{A89D9126-6896-40B9-BB54-9EFFBA43DC0F}">
      <text>
        <r>
          <rPr>
            <sz val="9"/>
            <color indexed="81"/>
            <rFont val="Tahoma"/>
            <family val="2"/>
          </rPr>
          <t xml:space="preserve">Do you have a preferred amount to back off on recovery weeks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C385" authorId="0" shapeId="0" xr:uid="{00000000-0006-0000-0B00-000001000000}">
      <text>
        <r>
          <rPr>
            <sz val="9"/>
            <color indexed="81"/>
            <rFont val="Tahoma"/>
          </rPr>
          <t>=IF(INDEX(sessions_nutrition,, plan_session_allocation)="","",
CONCATENATE(
IF(quantity_pre="", "", CONCATENATE( "Pre: ", quantity_pre, "gms. ")),
IF(quantity_during="", "", CONCATENATE( "During: ", quantity_during, "gms/hr. ")),
IF(quantity_post="", "", CONCATENATE( "Post: ", quantity_post, "gms.")),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Gene Beveridge</author>
  </authors>
  <commentList>
    <comment ref="A1" authorId="0" shapeId="0" xr:uid="{00000000-0006-0000-1200-000001000000}">
      <text>
        <r>
          <rPr>
            <sz val="9"/>
            <color indexed="81"/>
            <rFont val="Tahoma"/>
            <family val="2"/>
          </rPr>
          <t>=TRUNC((ROW()-2)/(7*3*2)) +1</t>
        </r>
      </text>
    </comment>
    <comment ref="B1" authorId="0" shapeId="0" xr:uid="{00000000-0006-0000-1200-000002000000}">
      <text>
        <r>
          <rPr>
            <sz val="9"/>
            <color indexed="81"/>
            <rFont val="Tahoma"/>
            <family val="2"/>
          </rPr>
          <t>=TRUNC((TT_export_slot_TT-1)/3) +1</t>
        </r>
      </text>
    </comment>
    <comment ref="C1" authorId="0" shapeId="0" xr:uid="{00000000-0006-0000-1200-000003000000}">
      <text>
        <r>
          <rPr>
            <sz val="9"/>
            <color indexed="81"/>
            <rFont val="Tahoma"/>
            <family val="2"/>
          </rPr>
          <t>= (3) * ( ((ROW()-2) / (3)) - TRUNC((ROW()-2)/(3)) ) +1</t>
        </r>
      </text>
    </comment>
    <comment ref="D1" authorId="0" shapeId="0" xr:uid="{00000000-0006-0000-1200-000004000000}">
      <text>
        <r>
          <rPr>
            <sz val="9"/>
            <color indexed="81"/>
            <rFont val="Tahoma"/>
            <family val="2"/>
          </rPr>
          <t>= (7*3*2) * ( ((ROW()-2) / (7*3*2)) - TRUNC((ROW()-2)/(7*3*2)) ) +1</t>
        </r>
      </text>
    </comment>
  </commentList>
</comments>
</file>

<file path=xl/sharedStrings.xml><?xml version="1.0" encoding="utf-8"?>
<sst xmlns="http://schemas.openxmlformats.org/spreadsheetml/2006/main" count="5998" uniqueCount="802">
  <si>
    <t>ID</t>
  </si>
  <si>
    <t>Road Running (&lt; 3 hours)</t>
  </si>
  <si>
    <t>Trail Running (&lt; 3 hours)</t>
  </si>
  <si>
    <t>Orienteering</t>
  </si>
  <si>
    <t>Triathlon (70.4)</t>
  </si>
  <si>
    <t>Multisport (3+ hours)</t>
  </si>
  <si>
    <t>Selection</t>
  </si>
  <si>
    <t>Relative Stress</t>
  </si>
  <si>
    <t>Portion</t>
  </si>
  <si>
    <t>Max</t>
  </si>
  <si>
    <t>Constant</t>
  </si>
  <si>
    <t>Recovery</t>
  </si>
  <si>
    <t/>
  </si>
  <si>
    <t>Easy</t>
  </si>
  <si>
    <t>Male</t>
  </si>
  <si>
    <t>Steady Run</t>
  </si>
  <si>
    <t>Steady Cycle</t>
  </si>
  <si>
    <t>Long Run</t>
  </si>
  <si>
    <t>Test Distance</t>
  </si>
  <si>
    <t>Long Cycle</t>
  </si>
  <si>
    <t>Test time [H:MM:SS]</t>
  </si>
  <si>
    <t>Subthreshold</t>
  </si>
  <si>
    <t>Starting Duration (minutes)</t>
  </si>
  <si>
    <t>Tempo</t>
  </si>
  <si>
    <t>Starting Duration [HH:MM]</t>
  </si>
  <si>
    <t>Hill Tempo</t>
  </si>
  <si>
    <t>Running</t>
  </si>
  <si>
    <t>Run</t>
  </si>
  <si>
    <t>Fartlek</t>
  </si>
  <si>
    <t>Road Run</t>
  </si>
  <si>
    <t>Intervals</t>
  </si>
  <si>
    <t>Flat Trail Run</t>
  </si>
  <si>
    <t>Reps</t>
  </si>
  <si>
    <t>Hilly Trail Run</t>
  </si>
  <si>
    <t>Drills</t>
  </si>
  <si>
    <t>Terrain Run</t>
  </si>
  <si>
    <t>Strength &amp; Conditioning</t>
  </si>
  <si>
    <t>Ride</t>
  </si>
  <si>
    <t>Maintenance</t>
  </si>
  <si>
    <t>Maximum Duration [HH:MM]</t>
  </si>
  <si>
    <t>Cycling</t>
  </si>
  <si>
    <t>Road Ride</t>
  </si>
  <si>
    <t>Maximum Duration (minutes)</t>
  </si>
  <si>
    <t>MTB Ride</t>
  </si>
  <si>
    <t>Eliptical Run</t>
  </si>
  <si>
    <t>Aqua Jog</t>
  </si>
  <si>
    <t>Swimming</t>
  </si>
  <si>
    <t>Pool Swim</t>
  </si>
  <si>
    <t>Open Water Swim</t>
  </si>
  <si>
    <t>Other</t>
  </si>
  <si>
    <t>Indoor</t>
  </si>
  <si>
    <t>Maintain</t>
  </si>
  <si>
    <t>Taper</t>
  </si>
  <si>
    <t>Race</t>
  </si>
  <si>
    <t>Phase</t>
  </si>
  <si>
    <t>Pre-macro (phase 0)</t>
  </si>
  <si>
    <t>When required in core-macro</t>
  </si>
  <si>
    <t>Core-macro (phase 1-3 of 4)</t>
  </si>
  <si>
    <t>Core-macro (phase 1 of 4)</t>
  </si>
  <si>
    <t>Core-macro (phase 2 of 4)</t>
  </si>
  <si>
    <t>Core-macro (phase 3 of 4)</t>
  </si>
  <si>
    <t>Core-macro (phase 4 of 4)</t>
  </si>
  <si>
    <t>Post-macro (phase 5)</t>
  </si>
  <si>
    <t>Aim</t>
  </si>
  <si>
    <t xml:space="preserve">Reduce training stress but maintain a good base level of conditioning and metabolism. </t>
  </si>
  <si>
    <t>Build volume by targeting slow sessions which allow increased duration for relatively low stress.</t>
  </si>
  <si>
    <t xml:space="preserve">Build leg strength by adding extra resistance to medium and long runs. </t>
  </si>
  <si>
    <t>Stress aerobic power and develop racing level speed.</t>
  </si>
  <si>
    <t>Freshen up leading into a race without confusing your body.</t>
  </si>
  <si>
    <t>Balance the stresses of frequent racing with sufficient recovery and appropriate sessions to stay sharp.</t>
  </si>
  <si>
    <t>Description</t>
  </si>
  <si>
    <t>Stick mostly to easy and steady runs with the occasional unstructured fartlek. Continue a good routine of maintenance tasks. Use a mix of surfaces and terrains.</t>
  </si>
  <si>
    <t>Spread time across different stressors by adding interval, tempo and long elements separated by easy and steady sessions.</t>
  </si>
  <si>
    <t>Aim for that pleasantly tired feeling; train but don’t strain. Add short reps once per week and light stride outs after some easy runs. Use a mix of surfaces and terrains. Engage in light strength and conditioning work 2 to 3 times per week.</t>
  </si>
  <si>
    <t>Decrease total duration from previous weeks and proportionally decrease session durations, and additionally remove all anaerobic rep-pace running, hills and soft terrain.</t>
  </si>
  <si>
    <t>N/A</t>
  </si>
  <si>
    <t>4 - 24 weeks</t>
  </si>
  <si>
    <t>4 - 12 weeks</t>
  </si>
  <si>
    <t>4 - 6 weeks</t>
  </si>
  <si>
    <t>2 weeks</t>
  </si>
  <si>
    <t>Rest</t>
  </si>
  <si>
    <t>Steady</t>
  </si>
  <si>
    <t>Long</t>
  </si>
  <si>
    <t>Uphill Tempo</t>
  </si>
  <si>
    <t>Duration Code</t>
  </si>
  <si>
    <t>duration_rest</t>
  </si>
  <si>
    <t>duration_recovery</t>
  </si>
  <si>
    <t>duration_steady</t>
  </si>
  <si>
    <t>duration_steady_cycle</t>
  </si>
  <si>
    <t>duration_long</t>
  </si>
  <si>
    <t>duration_long_cycle</t>
  </si>
  <si>
    <t>duration_subthreshold</t>
  </si>
  <si>
    <t>duration_tempo</t>
  </si>
  <si>
    <t>duration_hilltempo</t>
  </si>
  <si>
    <t>duration_fartlek</t>
  </si>
  <si>
    <t>duration_intervals</t>
  </si>
  <si>
    <t>duration_reps</t>
  </si>
  <si>
    <t>duration_drills</t>
  </si>
  <si>
    <t>duration_strength</t>
  </si>
  <si>
    <t>duration_maint</t>
  </si>
  <si>
    <t xml:space="preserve">Allow safest recovery of the whole body. </t>
  </si>
  <si>
    <t xml:space="preserve">Promote recovery by lightly stimulating energy pathways and improving circulation. </t>
  </si>
  <si>
    <t xml:space="preserve">Improve aerobic fitness while minimising the chance of injury. </t>
  </si>
  <si>
    <t xml:space="preserve">Improve aerobic fitness and energy utilisation. </t>
  </si>
  <si>
    <t xml:space="preserve">Improve aerobic fitness and pacing control. </t>
  </si>
  <si>
    <t xml:space="preserve">Improve endurance by increasing lactate threshold and developing mental toughness. </t>
  </si>
  <si>
    <t xml:space="preserve">Improve endurance, VO2 max, and economy in varying amounts depending on the combination of efforts. </t>
  </si>
  <si>
    <t xml:space="preserve">Improve VO2 max and develop metal toughness. </t>
  </si>
  <si>
    <t xml:space="preserve">Improve anaerobic power and running mechanics. </t>
  </si>
  <si>
    <t xml:space="preserve">Improve running economy and injury resistance. </t>
  </si>
  <si>
    <t xml:space="preserve">Increase strength of specific muscle groups, running economy and injury resistance. </t>
  </si>
  <si>
    <t xml:space="preserve">Release tension that develops in soft tissue from training and non-training stresses. </t>
  </si>
  <si>
    <t>Push your physical and mental limits and put tactics and techniques to the test.</t>
  </si>
  <si>
    <t>Rest from continuous exercise.</t>
  </si>
  <si>
    <t>Stay at a comfortable and controlled intensity where you should be able to have a conversation without large pauses. Keep an even intensity and accept that your pace may change as the terrain changes.</t>
  </si>
  <si>
    <t>Use a hands, rollers, or balls on all major muscle groups with extra time on more sensitive or problematic areas or as guided by a coach or physio. Finish with 20 minutes of lower-limb stretching.</t>
  </si>
  <si>
    <t>The exact intensity will change depending on the length of the race. This optimum intensity can be found though a mix of natural urgency and reasoning with what your body is telling you.</t>
  </si>
  <si>
    <t>Physiology</t>
  </si>
  <si>
    <t>Rest places no further stress on your body and allows all systems to recover at their own pace.</t>
  </si>
  <si>
    <t>Light exercise engages your aerobic energy system at an intensity with very low musculoskeletal stress and helps to clear metabolic by-products out of muscles and bring nutrients into muscles.</t>
  </si>
  <si>
    <t>This low intensity exercise lightly stresses the aerobic energy system and metabolic pathway, and relevant musculoskeletal systems.  This strengthens your heart, increases amount of haemoglobin in your blood, the number of capillaries in your muscles, number and size of mitochondria in your cells, conditions soft tissue, and improves neuromuscular connections. The low intensity also minimises the chance of overtraining.</t>
  </si>
  <si>
    <t>The higher the intensity the faster metabolic byproducts from anaerobic energy systems must be cleared to maintain optimal biochemistry for aerobic energy production, such as the removal and reuse of lactate from anaerobic glycolysis. Training at this intensity is quite stressful on musculoskeletal tissue so must be done in moderation.</t>
  </si>
  <si>
    <t>Spreading stress across a multiple energy of systems in the same run has its place either when transitioning towards faster training or maintaining some top-end speed during high volume phases. Shorter, faster efforts demand powerful muscle activation improving your mechanics and anaerobic power while longer efforts stress VO2 max. The medium session durations help develop aerobic fitness and endurance.</t>
  </si>
  <si>
    <t>When performing at you maximum aerobic power a number of systems are under high levels of stress to deliver the oxygen to the working muscles and will adapt to handle more oxygen. Training at this intensity is very stressful on musculoskeletal tissue so must be done in moderation.</t>
  </si>
  <si>
    <t>By engaging muscle at a higher intensity you stress your motor nervous system to utilise muscles effectively.  Training at this intensity is extremely stressful on musculoskeletal tissue so must be done sparingly</t>
  </si>
  <si>
    <t>Strengthening weak muscles can help improve technique deficiencies stemming from an unstable core or peripheral stabilisers, or poorly developed prime movers. The improved control improves injury resistance and increased muscle strength improved energy return in the loaded muscles.</t>
  </si>
  <si>
    <t>Under conditioned or overused muscles will develop tension, easily observed as tightness and sensitivity to pressure. This puts the muscles and tendons at risk of damage and can increased forces applied to nearby soft tissues contributing to further issues.</t>
  </si>
  <si>
    <t>Your body's systems will be tested differently depending on the durations, as you push your physical limit. You will also improve your sense of pacing. Racing may cause significant fatigue and is extremely stressful on musculoskeletal tissue so must be done in moderation.</t>
  </si>
  <si>
    <t>Summary Description</t>
  </si>
  <si>
    <t>Warm Up / Warm Down</t>
  </si>
  <si>
    <t>No</t>
  </si>
  <si>
    <t>Yes</t>
  </si>
  <si>
    <t>Recoveries</t>
  </si>
  <si>
    <t>Limits</t>
  </si>
  <si>
    <t>Maximum of 30 minutes per session.</t>
  </si>
  <si>
    <t>Less than 25% of weekly duration or 150 minutes per session.
Maximum of 1 session per week.</t>
  </si>
  <si>
    <t>Less than 10% of weekly duration and 70 minutes per session.
Maximum of 2 session per week.</t>
  </si>
  <si>
    <t>Less than 4% of weekly duration and 24 minutes per session.
Maximum of 1 session per week.</t>
  </si>
  <si>
    <t>Less than 6% of weekly duration and 36 minutes per session.
Maximum of 2 session per week.</t>
  </si>
  <si>
    <t>Less than 2% of weekly duration and 12 minutes per session.
Maximum of 1 session per week.</t>
  </si>
  <si>
    <t>Less than 60 minutes per session.
Maximum of 1 session per week.</t>
  </si>
  <si>
    <t>Minimum</t>
  </si>
  <si>
    <t>Target</t>
  </si>
  <si>
    <t>Maximum</t>
  </si>
  <si>
    <t>Effective Heart Rate (BPM)</t>
  </si>
  <si>
    <t>Heart Rate Reserve (%)</t>
  </si>
  <si>
    <t>VO2 (%)</t>
  </si>
  <si>
    <t>Flat Road Equivalent Pace (min/km)</t>
  </si>
  <si>
    <t xml:space="preserve">TRIMP (Points/min) </t>
  </si>
  <si>
    <t>Element</t>
  </si>
  <si>
    <t>Type</t>
  </si>
  <si>
    <t>Code</t>
  </si>
  <si>
    <t>Index</t>
  </si>
  <si>
    <t>Name</t>
  </si>
  <si>
    <t>Description of Intensity</t>
  </si>
  <si>
    <t>Duration at Intensity</t>
  </si>
  <si>
    <t>Distance at Intensity</t>
  </si>
  <si>
    <t>Description of Recoveries</t>
  </si>
  <si>
    <t>Duration at Recovery</t>
  </si>
  <si>
    <t>Descrption</t>
  </si>
  <si>
    <t>tempo_split_6min</t>
  </si>
  <si>
    <t>hilltempo_split_6min</t>
  </si>
  <si>
    <t>Split Hill Tempo</t>
  </si>
  <si>
    <t>hilltempo_split_12min</t>
  </si>
  <si>
    <t>Full Sweep</t>
  </si>
  <si>
    <t>fartlek_fullsweep</t>
  </si>
  <si>
    <t>15sec, 30sec, 1min, 1:30min, 2min, 3min, 6min. Repeat</t>
  </si>
  <si>
    <t>50% of session</t>
  </si>
  <si>
    <t>Equal duration to previous effort</t>
  </si>
  <si>
    <t>Uphill-Downhill</t>
  </si>
  <si>
    <t>fartlek_uphill_downhill</t>
  </si>
  <si>
    <t>Push the pace when running uphill, even if the gradient is slight.</t>
  </si>
  <si>
    <t>Steady running on the downhills</t>
  </si>
  <si>
    <t>Randomiser</t>
  </si>
  <si>
    <t>fartlek_randomiser</t>
  </si>
  <si>
    <t>1min, 2min, 3min, or 4min in any order you feel like.</t>
  </si>
  <si>
    <t>Unstructured</t>
  </si>
  <si>
    <t>fartlek_unstructured</t>
  </si>
  <si>
    <t>Do any length efforts from 15 seconds to 6 minutes as you feel at the time.</t>
  </si>
  <si>
    <t>Moneghetti</t>
  </si>
  <si>
    <t>intervals_moneghetti</t>
  </si>
  <si>
    <t>Half Moneghetti</t>
  </si>
  <si>
    <t>1:30 x2, 1:00 x2, 0:30 x2, 0:15 x2</t>
  </si>
  <si>
    <t>Equal duration to previous effort at a STEADY pace</t>
  </si>
  <si>
    <t xml:space="preserve">Original Moneghetti </t>
  </si>
  <si>
    <t>1:30 x2, 1:00 x4, 0:30 x4, 0:15 x4</t>
  </si>
  <si>
    <t>Moneghetti Fours</t>
  </si>
  <si>
    <t>1:30 x4, 1:00 x4, 0:30 x4, 0:15 x4</t>
  </si>
  <si>
    <t>500m x1</t>
  </si>
  <si>
    <t>1 minute</t>
  </si>
  <si>
    <t>500m x2</t>
  </si>
  <si>
    <t>500m x3</t>
  </si>
  <si>
    <t>500m x4</t>
  </si>
  <si>
    <t>500m x5</t>
  </si>
  <si>
    <t>500m x6</t>
  </si>
  <si>
    <t>500m x7</t>
  </si>
  <si>
    <t>500m x8</t>
  </si>
  <si>
    <t>500m x9</t>
  </si>
  <si>
    <t>500m x10</t>
  </si>
  <si>
    <t>500m x11</t>
  </si>
  <si>
    <t>500m x12</t>
  </si>
  <si>
    <t>1km x1</t>
  </si>
  <si>
    <t>2 minutes</t>
  </si>
  <si>
    <t>1km x2</t>
  </si>
  <si>
    <t>1km x3</t>
  </si>
  <si>
    <t>1km x4</t>
  </si>
  <si>
    <t>1km x5</t>
  </si>
  <si>
    <t>1km x6</t>
  </si>
  <si>
    <t>1.5km x1</t>
  </si>
  <si>
    <t>1.5km x2</t>
  </si>
  <si>
    <t>1.5km x3</t>
  </si>
  <si>
    <t>1.5km x4</t>
  </si>
  <si>
    <t>2km x1</t>
  </si>
  <si>
    <t>2km x2</t>
  </si>
  <si>
    <t>2km x3</t>
  </si>
  <si>
    <t>2km x4</t>
  </si>
  <si>
    <t>1-2-1</t>
  </si>
  <si>
    <t>1km, 2km, 1km</t>
  </si>
  <si>
    <t>1-2-2-1</t>
  </si>
  <si>
    <t>1km, 2km, 2km, 1km</t>
  </si>
  <si>
    <t>Pyramid</t>
  </si>
  <si>
    <t>intervals_pyramid</t>
  </si>
  <si>
    <t>Sprint Pyramid</t>
  </si>
  <si>
    <t>100m, 200m, 400m, 400m, 200m, 100m</t>
  </si>
  <si>
    <t>jogging for half the distance of the previous interval</t>
  </si>
  <si>
    <t>Small Pyramid</t>
  </si>
  <si>
    <t>100m, 200m, 400m, 800m, 400m, 200m, 100m</t>
  </si>
  <si>
    <t>Medium Pyramid</t>
  </si>
  <si>
    <t>100m, 200m, 400m, 800m, 800m, 400m, 200m, 100m</t>
  </si>
  <si>
    <t>Great Pyramid</t>
  </si>
  <si>
    <t>100m, 200m, 400m, 800m, 1600m, 800m, 400m, 200m, 100m</t>
  </si>
  <si>
    <t>TrackO2 Max</t>
  </si>
  <si>
    <t>interval_trackO2_max</t>
  </si>
  <si>
    <t>800m x2, 400m x1</t>
  </si>
  <si>
    <t>800m x3, 400m x1</t>
  </si>
  <si>
    <t>800m x4, 400m x2</t>
  </si>
  <si>
    <t>800m x5, 400m x2</t>
  </si>
  <si>
    <t>800m x6, 400m x2</t>
  </si>
  <si>
    <t>800m x7, 400m x2</t>
  </si>
  <si>
    <t>800m x8, 400m x2</t>
  </si>
  <si>
    <t>Ladder 800</t>
  </si>
  <si>
    <t>reps_ladder_800</t>
  </si>
  <si>
    <t>100 x8, 200 x4, 400 x2, 800 x1</t>
  </si>
  <si>
    <t>Equal distance to previous interval. Walk to recover fully.</t>
  </si>
  <si>
    <t>Ladder 800 Short</t>
  </si>
  <si>
    <t>100 x8, 200 x4, 400 x2</t>
  </si>
  <si>
    <t>Intensive Hill Reps</t>
  </si>
  <si>
    <t>reps_intensive_hills</t>
  </si>
  <si>
    <t>15s x4</t>
  </si>
  <si>
    <t>a slow walk back down</t>
  </si>
  <si>
    <t>15s x6</t>
  </si>
  <si>
    <t>15s x8</t>
  </si>
  <si>
    <t>15s x10</t>
  </si>
  <si>
    <t>15s x12</t>
  </si>
  <si>
    <t>Extensive Hill Reps</t>
  </si>
  <si>
    <t>reps_extensive_hills</t>
  </si>
  <si>
    <t>30s x4</t>
  </si>
  <si>
    <t>30s x6</t>
  </si>
  <si>
    <t>30s x8</t>
  </si>
  <si>
    <t>30s x10</t>
  </si>
  <si>
    <t>30s x12</t>
  </si>
  <si>
    <t>Lactic Sprint Reps</t>
  </si>
  <si>
    <t>reps_lactic_hills</t>
  </si>
  <si>
    <t>Lactic Hill Reps</t>
  </si>
  <si>
    <t>75s x4</t>
  </si>
  <si>
    <t>75s x6</t>
  </si>
  <si>
    <t>75s x8</t>
  </si>
  <si>
    <t>75s x10</t>
  </si>
  <si>
    <t>75s x12</t>
  </si>
  <si>
    <t>Intensive Sprint Reps</t>
  </si>
  <si>
    <t>reps_complete_progression_hills</t>
  </si>
  <si>
    <t>Extensive Sprint Reps</t>
  </si>
  <si>
    <t>reps_intensive_sprints</t>
  </si>
  <si>
    <t>reps_extensive_sprints</t>
  </si>
  <si>
    <t>reps_lactic_sprints</t>
  </si>
  <si>
    <t>reps_complete_progression_sprints</t>
  </si>
  <si>
    <t>Tabata</t>
  </si>
  <si>
    <t>reps_tabata</t>
  </si>
  <si>
    <t>(15sec hard, 15sec  easy) x8, 2 minutes easy,  (15sec hard, 15sec  easy) x8</t>
  </si>
  <si>
    <t>Jog</t>
  </si>
  <si>
    <t>Category</t>
  </si>
  <si>
    <t>Strength and Maintenance</t>
  </si>
  <si>
    <t xml:space="preserve">Easy </t>
  </si>
  <si>
    <t>Split Tempo</t>
  </si>
  <si>
    <t>Subthreshold, Extended WD</t>
  </si>
  <si>
    <t>Split Tempo, Extended WD</t>
  </si>
  <si>
    <t>Hill Tempo, Extended WD</t>
  </si>
  <si>
    <t>Split Hill Tempo, Extended WD</t>
  </si>
  <si>
    <t>Full Sweep Fartlek</t>
  </si>
  <si>
    <t>Uphill-Downhill Fartlek</t>
  </si>
  <si>
    <t>Randomiser Fartlek</t>
  </si>
  <si>
    <t xml:space="preserve">Unstructured Fartlek </t>
  </si>
  <si>
    <t>Sprint Reps Progression</t>
  </si>
  <si>
    <t>Reps: Ladder 800</t>
  </si>
  <si>
    <t>Drills and Reps</t>
  </si>
  <si>
    <t>Race: 15 minutes</t>
  </si>
  <si>
    <t>Race: 30 minutes</t>
  </si>
  <si>
    <t>Race: 45 minutes</t>
  </si>
  <si>
    <t>Race: 60 minutes</t>
  </si>
  <si>
    <t>Race: 75 minutes</t>
  </si>
  <si>
    <t>Race: 90 minutes</t>
  </si>
  <si>
    <t>Race: 105 minutes</t>
  </si>
  <si>
    <t>Race: 2 hours</t>
  </si>
  <si>
    <t>Race: 3 hours</t>
  </si>
  <si>
    <t>Sport</t>
  </si>
  <si>
    <t>Element Selection</t>
  </si>
  <si>
    <t>Primary</t>
  </si>
  <si>
    <t>Secondary</t>
  </si>
  <si>
    <t>Tertiary</t>
  </si>
  <si>
    <t>Custom Duration 
(minutes)</t>
  </si>
  <si>
    <t>Intervals Code</t>
  </si>
  <si>
    <t>TRIMP</t>
  </si>
  <si>
    <t>Heart Rate Target</t>
  </si>
  <si>
    <t>Heart Rate Range</t>
  </si>
  <si>
    <t>Flat Road Equivalent Pace</t>
  </si>
  <si>
    <t>Session Aim</t>
  </si>
  <si>
    <t>Full Description</t>
  </si>
  <si>
    <t>Week Beginning</t>
  </si>
  <si>
    <t>Weeks of Program</t>
  </si>
  <si>
    <t>Weeks to A Goal</t>
  </si>
  <si>
    <t>Duration Progression Relative (%)</t>
  </si>
  <si>
    <t>Duration Plan (minutes)</t>
  </si>
  <si>
    <t>Duration Plan [HH:MM]</t>
  </si>
  <si>
    <t>Plan Progression Rate</t>
  </si>
  <si>
    <t>PLAN: Session Allocation</t>
  </si>
  <si>
    <t>Monday</t>
  </si>
  <si>
    <t>AM</t>
  </si>
  <si>
    <t>PM</t>
  </si>
  <si>
    <t>Tuesday</t>
  </si>
  <si>
    <t>Wednesday</t>
  </si>
  <si>
    <t>Thursday</t>
  </si>
  <si>
    <t>Friday</t>
  </si>
  <si>
    <t>Saturday</t>
  </si>
  <si>
    <t>Sunday</t>
  </si>
  <si>
    <t>PLAN: Primary Element Duration</t>
  </si>
  <si>
    <t>PLAN: Tertiary Element Duration</t>
  </si>
  <si>
    <t>PLAN: Session Recoveries Duration</t>
  </si>
  <si>
    <t>EVALUATION: Total Duration</t>
  </si>
  <si>
    <t>Total Duration (minutes)</t>
  </si>
  <si>
    <t>Progression Rate (%)</t>
  </si>
  <si>
    <t>Error (Evaluation - Plan)</t>
  </si>
  <si>
    <t>Relative Progression (%)</t>
  </si>
  <si>
    <t>FINAL: Adjusted Session Durations</t>
  </si>
  <si>
    <t>FINAL: Total Effort Duration</t>
  </si>
  <si>
    <t>FINAL: Total Session Durations</t>
  </si>
  <si>
    <t>Duration (minutes)</t>
  </si>
  <si>
    <t>Duration Progression Rate (%)</t>
  </si>
  <si>
    <t>Duration Error (Final - Plan)</t>
  </si>
  <si>
    <t>Program Overview</t>
  </si>
  <si>
    <t>Weekly Difficulty</t>
  </si>
  <si>
    <t>Weekly Duration [hh:mm]</t>
  </si>
  <si>
    <t>Morning</t>
  </si>
  <si>
    <t>Afternoon</t>
  </si>
  <si>
    <t>rTSS
(Points/min)</t>
  </si>
  <si>
    <t>rIF
[GNP/FTP]</t>
  </si>
  <si>
    <t>cIF
[NP/FTP]</t>
  </si>
  <si>
    <t>VDOT</t>
  </si>
  <si>
    <t>Load Plan</t>
  </si>
  <si>
    <t>Starting Load</t>
  </si>
  <si>
    <t>Load</t>
  </si>
  <si>
    <t>Push your physical limits in extremely intense reps with long recoveries. Forget about your HR and pace data, and focus on your speed and mechanics. Warm up and warm down for 10 minutes each.</t>
  </si>
  <si>
    <t>Perform a variety of specialised exercises to engage specific muscles and apply them in functional movements. These sessions must be learned with a coach first. Warm up and warm down for 10 minutes each.</t>
  </si>
  <si>
    <t>EVALUATION: Training Load</t>
  </si>
  <si>
    <t>Load Progression Rate (%)</t>
  </si>
  <si>
    <t>Training Load</t>
  </si>
  <si>
    <t>Load Relative Progression (%)</t>
  </si>
  <si>
    <t>Load Error (Final - Plan)</t>
  </si>
  <si>
    <t>Form</t>
  </si>
  <si>
    <t>FINAL: Total Session Load</t>
  </si>
  <si>
    <t>Coefficient</t>
  </si>
  <si>
    <t>No. of days</t>
  </si>
  <si>
    <t>Days Prior</t>
  </si>
  <si>
    <t>Day Total</t>
  </si>
  <si>
    <t>Fatigue Coefficients</t>
  </si>
  <si>
    <t>Fitness Coefficients</t>
  </si>
  <si>
    <t>No. of weeks</t>
  </si>
  <si>
    <t>Weeks Prior</t>
  </si>
  <si>
    <t>Allow additional recovery of all systems.</t>
  </si>
  <si>
    <t>Tightly control variables towards achieving greater predictability and consistency.</t>
  </si>
  <si>
    <t>Accumulative Fitness</t>
  </si>
  <si>
    <t>Accumulative Fatigue</t>
  </si>
  <si>
    <t>Hill Reps Progression + 30 Minutes</t>
  </si>
  <si>
    <t>FARTLEK</t>
  </si>
  <si>
    <t>INTERVALS</t>
  </si>
  <si>
    <t>REPS</t>
  </si>
  <si>
    <t>RACE</t>
  </si>
  <si>
    <t>Duration of fillers</t>
  </si>
  <si>
    <t>Sport Symbol</t>
  </si>
  <si>
    <t>-</t>
  </si>
  <si>
    <t>Week</t>
  </si>
  <si>
    <t>Duration [HH:MM]</t>
  </si>
  <si>
    <t>Duration (mins)</t>
  </si>
  <si>
    <t>Progression Rate</t>
  </si>
  <si>
    <t>Race: 5 hours</t>
  </si>
  <si>
    <t>Plan Relative Progression (%)</t>
  </si>
  <si>
    <t>Training Load (Points/min)</t>
  </si>
  <si>
    <t>Use light activity to raise your heart rate but keep your power output low. You may have to actively concentrate on slowing down.</t>
  </si>
  <si>
    <t>Single Element Duration (minutes)</t>
  </si>
  <si>
    <t>PLAN: Element Durations &amp; Progression</t>
  </si>
  <si>
    <t>Part 1</t>
  </si>
  <si>
    <t>Part 3</t>
  </si>
  <si>
    <t>Part 2</t>
  </si>
  <si>
    <t>Full</t>
  </si>
  <si>
    <t>FINAL: Element Duration for TrainingTilt</t>
  </si>
  <si>
    <t>Monday AM</t>
  </si>
  <si>
    <t>Tuesday AM</t>
  </si>
  <si>
    <t>Tuesday PM</t>
  </si>
  <si>
    <t>Wednesday AM</t>
  </si>
  <si>
    <t>Thursday AM</t>
  </si>
  <si>
    <t>Friday AM</t>
  </si>
  <si>
    <t>Saturday AM</t>
  </si>
  <si>
    <t>Sunday AM</t>
  </si>
  <si>
    <t>Monday PM</t>
  </si>
  <si>
    <t>Wednesday PM</t>
  </si>
  <si>
    <t>Thursday PM</t>
  </si>
  <si>
    <t>Friday PM</t>
  </si>
  <si>
    <t>Saturday PM</t>
  </si>
  <si>
    <t>Sunday PM</t>
  </si>
  <si>
    <t>Gene Beveridge</t>
  </si>
  <si>
    <t>Ben Grew</t>
  </si>
  <si>
    <t>Imogene Scott</t>
  </si>
  <si>
    <t>Gender</t>
  </si>
  <si>
    <t>Resting heart rate</t>
  </si>
  <si>
    <t>Max heart rate</t>
  </si>
  <si>
    <t>Female</t>
  </si>
  <si>
    <t>Starting Progression Rate</t>
  </si>
  <si>
    <t>VO2 max</t>
  </si>
  <si>
    <t>Maximum Progression Rate</t>
  </si>
  <si>
    <t>Trail Ultra (3+ hours)</t>
  </si>
  <si>
    <t>Road Ultra (3+ hours)</t>
  </si>
  <si>
    <t>Triathlon (Olympic)</t>
  </si>
  <si>
    <t>Event</t>
  </si>
  <si>
    <t>Start Date</t>
  </si>
  <si>
    <t>Finishing Date</t>
  </si>
  <si>
    <t>VDOT-G Points
(Points/min)</t>
  </si>
  <si>
    <t>Calibration Heart Rate</t>
  </si>
  <si>
    <t>Calibration Pace [MM:SS]</t>
  </si>
  <si>
    <t>Calibration VDOT (%)</t>
  </si>
  <si>
    <t xml:space="preserve">VDOT Points
(Points/min) </t>
  </si>
  <si>
    <t>Athlete Profile: Basic Requirements</t>
  </si>
  <si>
    <t>Calibration Pace [M:SS]</t>
  </si>
  <si>
    <t>Athlete Profile: Advanced Requirements</t>
  </si>
  <si>
    <t>Duncan Darroch</t>
  </si>
  <si>
    <t>Plan</t>
  </si>
  <si>
    <t>Beginner Marathon</t>
  </si>
  <si>
    <t>Plan Array</t>
  </si>
  <si>
    <t>Plan Start Date</t>
  </si>
  <si>
    <t>Plan Finish Date</t>
  </si>
  <si>
    <t>Improve aerobic fitness at an optimal rate.</t>
  </si>
  <si>
    <t>Steady and long runs should be on hills and/or terrain, but no more than 2 hilly runs and 2 terrain runs per week. Add a tempo once per week.</t>
  </si>
  <si>
    <t>Do intervals twice per week, ideally one with shorter intervals (1.5 to 3 minutes) and one with longer intervals (3-6 minutes) . These high stress sessions must be buffered by easy running and diligent body maintenance. Long runs should be on goal-specific surfaces and terrains .</t>
  </si>
  <si>
    <t>Decrease training duration based on the difficulty completed and upcoming races and remove all anaerobic rep-pace running, hills and soft terrain.</t>
  </si>
  <si>
    <t>Recover</t>
  </si>
  <si>
    <t>Strategy</t>
  </si>
  <si>
    <t>Stretegy Array</t>
  </si>
  <si>
    <t>Strategy Array</t>
  </si>
  <si>
    <t>Options</t>
  </si>
  <si>
    <t>Recommended Period</t>
  </si>
  <si>
    <t>Progression Rule</t>
  </si>
  <si>
    <t>starting_duration</t>
  </si>
  <si>
    <t>Conservative Speed</t>
  </si>
  <si>
    <t>plan_progression_rate_conservative</t>
  </si>
  <si>
    <t>Aggressive Balance</t>
  </si>
  <si>
    <t>Conservative Balance</t>
  </si>
  <si>
    <t>Conservative Base</t>
  </si>
  <si>
    <t>Conservative Strength</t>
  </si>
  <si>
    <t>Aggressive Base</t>
  </si>
  <si>
    <t>Aggressive Strength</t>
  </si>
  <si>
    <t>Aggressive Speed</t>
  </si>
  <si>
    <t>plan_progression_rate_aggressive</t>
  </si>
  <si>
    <t>Taper Rate (%)</t>
  </si>
  <si>
    <t xml:space="preserve">For general formulea relating heart rate, paces and VDOT values, credit to Jack Daniels and the Run Smart Project.
The specific adaptations of the above formulea are my own.
For formulea relating to heart rate and power to IF and TSS values, credit to Andrew Coggan and Training Peaks.
For formulea relating to TRIMP (training impulse), credit to </t>
  </si>
  <si>
    <t>Perform a variety of specialised exercises to engage specific muscles. These sessions must be learned with a coach first but are relatively easy to continue with on your own. Demonstrate control and focus on posture and muscle activation.</t>
  </si>
  <si>
    <t>duration_easy</t>
  </si>
  <si>
    <t>Event (A Goal)</t>
  </si>
  <si>
    <t>Consistency is key in endurance sport and training with the right rate of progression is paramount to long term success and enjoyment. This training program is a tool to provide guidance on relevant sessions and durations, and specific, measureable aims for each session.</t>
  </si>
  <si>
    <t>WU / WD Duration</t>
  </si>
  <si>
    <t>Race: 2.5 hours</t>
  </si>
  <si>
    <t>Race: 4 hours</t>
  </si>
  <si>
    <t>Race: 6 hours</t>
  </si>
  <si>
    <t>Race: 7 hours</t>
  </si>
  <si>
    <t>Race: 8 hours</t>
  </si>
  <si>
    <t>DRILLS and STRENGTH, Maintenance</t>
  </si>
  <si>
    <t>EASY and STEADY</t>
  </si>
  <si>
    <t>EASY and STEADY with Custom Durations</t>
  </si>
  <si>
    <t>SUBTHRESHOLD and TEMPO</t>
  </si>
  <si>
    <t>Flat Tempo</t>
  </si>
  <si>
    <t>Flat Tempo, Extended WD</t>
  </si>
  <si>
    <t>Race: 3.5 hours</t>
  </si>
  <si>
    <t>Race: 9 hours</t>
  </si>
  <si>
    <t>Race: 10 hours</t>
  </si>
  <si>
    <t>Race: 10 minutes</t>
  </si>
  <si>
    <t>Element Index</t>
  </si>
  <si>
    <t>To do:</t>
  </si>
  <si>
    <t>logic around WD with multi-element sessions</t>
  </si>
  <si>
    <t>No limit</t>
  </si>
  <si>
    <t>Cruise, Stength and Maintenance</t>
  </si>
  <si>
    <t>Intervals Index</t>
  </si>
  <si>
    <t>Intervals Selections</t>
  </si>
  <si>
    <t>recoveries on link to primary element intervals</t>
  </si>
  <si>
    <t>Split Tempo: 6mins w/ 1min</t>
  </si>
  <si>
    <t>Split Tempo: 12mins w/ 1min</t>
  </si>
  <si>
    <t>tempo_split_12min</t>
  </si>
  <si>
    <t>12 mins x1</t>
  </si>
  <si>
    <t>12 mins x2</t>
  </si>
  <si>
    <t>12 mins x3</t>
  </si>
  <si>
    <t>12 mins x4</t>
  </si>
  <si>
    <t>6 mins x1</t>
  </si>
  <si>
    <t>6 mins x2</t>
  </si>
  <si>
    <t>6 mins x3</t>
  </si>
  <si>
    <t>6 mins x4</t>
  </si>
  <si>
    <t>intervals_500m_r1min</t>
  </si>
  <si>
    <t>intervals_500m_r30sec</t>
  </si>
  <si>
    <t>30 seconds</t>
  </si>
  <si>
    <t>500m w/ 1min</t>
  </si>
  <si>
    <t>500m w/ 30sec</t>
  </si>
  <si>
    <t>1km w/ 2min</t>
  </si>
  <si>
    <t>1km w/ 1min</t>
  </si>
  <si>
    <t>intervals_1km_r2min</t>
  </si>
  <si>
    <t>intervals_1km_r1min</t>
  </si>
  <si>
    <t>1 minutes</t>
  </si>
  <si>
    <t>3 minutes</t>
  </si>
  <si>
    <t>1.5 minutes</t>
  </si>
  <si>
    <t>intervals_1500m_r3min</t>
  </si>
  <si>
    <t>intervals_1500m_r90sec</t>
  </si>
  <si>
    <t>intervals_2km_r3min</t>
  </si>
  <si>
    <t>2km w/ 3mins</t>
  </si>
  <si>
    <t>1500m w/ 3min</t>
  </si>
  <si>
    <t>1500m w/ 90sec</t>
  </si>
  <si>
    <t>2km w/ 90sec</t>
  </si>
  <si>
    <t>3km x3</t>
  </si>
  <si>
    <t>4km x4</t>
  </si>
  <si>
    <t>intervals_2km_r90sec</t>
  </si>
  <si>
    <t>1-2-1 w/ 2mins</t>
  </si>
  <si>
    <t>intervals_121_r2min</t>
  </si>
  <si>
    <t>Interval Array</t>
  </si>
  <si>
    <t>Hill Reps Progression</t>
  </si>
  <si>
    <t>Extensive Sprints Reps</t>
  </si>
  <si>
    <t>Number of Variants</t>
  </si>
  <si>
    <t>Split Hill Tempo: 12 mins</t>
  </si>
  <si>
    <t>Split Hill Tempo: 6mins</t>
  </si>
  <si>
    <t>Maintain currect training load</t>
  </si>
  <si>
    <t>Active</t>
  </si>
  <si>
    <t>Same as previous week, so not following the pregression</t>
  </si>
  <si>
    <t>rIF = 1/(elements_pace/pace_tempo)</t>
  </si>
  <si>
    <t>VDOT Points = 0.0147*0.65*element_HR_percent*EXP(2.44*1.92*element_HR_percent)-0.0305</t>
  </si>
  <si>
    <t>TRIMP Points = elements_HR_reserve*0.64*EXP(IF(athlete_gender="female",1.67,1.92)*elements_HR_reserve)</t>
  </si>
  <si>
    <t>rTSS = ((60/(1400*elements_pace))*elements_rIF)/((60/(1400*pace_tempo)))/60*100</t>
  </si>
  <si>
    <t>Race Simulation</t>
  </si>
  <si>
    <t>Tune into and practice race-day intensity.</t>
  </si>
  <si>
    <t>Use technology and your body to tune into the intensity and/or pace you will be experiancing on race day.</t>
  </si>
  <si>
    <t>The physiology will vary depending on the intensity. This is more a mental calibration to prepare for race day.</t>
  </si>
  <si>
    <t>Half Marathon Simulation</t>
  </si>
  <si>
    <t>Race Simulations</t>
  </si>
  <si>
    <t>simulation_10k</t>
  </si>
  <si>
    <t>10K Simulation</t>
  </si>
  <si>
    <t>2km x1 at 10K Pace</t>
  </si>
  <si>
    <t>VDOT (%)</t>
  </si>
  <si>
    <t>Default</t>
  </si>
  <si>
    <t>PLAN: Secondary Element Duration</t>
  </si>
  <si>
    <t>Filler 2</t>
  </si>
  <si>
    <t>Filler 1</t>
  </si>
  <si>
    <t>Easy (Filler2)</t>
  </si>
  <si>
    <t>duration_filler2</t>
  </si>
  <si>
    <t>Number of Filler1s</t>
  </si>
  <si>
    <t>Number of Filler2s</t>
  </si>
  <si>
    <t>DRILLS and STRENGTH, MAINTENANCE</t>
  </si>
  <si>
    <t>Georgia Skelton</t>
  </si>
  <si>
    <t>Jessica Sewell</t>
  </si>
  <si>
    <t>Oliva Collins</t>
  </si>
  <si>
    <t>Cara Bradding</t>
  </si>
  <si>
    <t>Katie Ryan</t>
  </si>
  <si>
    <t>Lauren Dunne</t>
  </si>
  <si>
    <t>Hockey</t>
  </si>
  <si>
    <t>Swim</t>
  </si>
  <si>
    <t>Hockey Training</t>
  </si>
  <si>
    <t>ONZ Champs</t>
  </si>
  <si>
    <t>Max Biking HR</t>
  </si>
  <si>
    <t>Max Running HR</t>
  </si>
  <si>
    <t>Subthreshold SS: TT minutes + WU/WD</t>
  </si>
  <si>
    <t>Rest from continuous exercise</t>
  </si>
  <si>
    <t>Recovery SS: TT minutes</t>
  </si>
  <si>
    <t>Easy SS: TT minutes</t>
  </si>
  <si>
    <t>Steady SS: TT minutes</t>
  </si>
  <si>
    <t>Long SS: TT minutes</t>
  </si>
  <si>
    <t>Tempo SS: TT minutes + WU/WD</t>
  </si>
  <si>
    <t>Hilly tempo SS: TT minutes + WU/WD</t>
  </si>
  <si>
    <t>Fartlek SS: TT minutes + WU/WD</t>
  </si>
  <si>
    <t>Race intensity simulation: TT minutes + WU/WD</t>
  </si>
  <si>
    <t>Heart Rate (%)</t>
  </si>
  <si>
    <t>Strength and conditioning</t>
  </si>
  <si>
    <t>cTSS (HR)
(Points/min)</t>
  </si>
  <si>
    <t>rTSS</t>
  </si>
  <si>
    <t>cTSS (HR)</t>
  </si>
  <si>
    <t>cTSS (P)</t>
  </si>
  <si>
    <t>HR</t>
  </si>
  <si>
    <t>Comparison of Load Calculation Methods for Different Elements</t>
  </si>
  <si>
    <t>Comparison of Load Calculation Methods for Different Heart Rates</t>
  </si>
  <si>
    <t>Race: TT minutes + WU/WD</t>
  </si>
  <si>
    <t>Aggressive Progression Rate (%)</t>
  </si>
  <si>
    <t>WorkoutType</t>
  </si>
  <si>
    <t>WorkoutDescription</t>
  </si>
  <si>
    <t>PlannedDuration</t>
  </si>
  <si>
    <t>PlannedDistanceInMeters</t>
  </si>
  <si>
    <t>WorkoutDay</t>
  </si>
  <si>
    <t>CoachComments</t>
  </si>
  <si>
    <t>Part</t>
  </si>
  <si>
    <t xml:space="preserve">Fundamentally a steady, but you can be less strict at controlling your intensity as long as your average intensity is close to it's target by the end of the session </t>
  </si>
  <si>
    <t>Same as steady, but the longer duration provides additional stresses as more biochemical changes accumulate as the run continues, such as reduced availability of carbohydrates and increased muscle acidosis.</t>
  </si>
  <si>
    <t>This is only a small increased benefit over training at a steady pace, and comes with greater musculoskeletal stress so must be done in moderation.</t>
  </si>
  <si>
    <t>A subthreshold requires more concentration than a steady but you should still be in control of your rhythm, keeping close to your target intensity, and able to increase your pace if you had to. Warm up and warm down for 10 minutes each.</t>
  </si>
  <si>
    <t>Use 15 sec to 6 min efforts  separated by periods at an easy intensity. These can be spontaneous or structured, but see that your average intensity is relatively close to it's target by the end of the session. Warm up and warm down for 10 minutes each.</t>
  </si>
  <si>
    <t>FINAL: Secondary Element Duration</t>
  </si>
  <si>
    <t>FINAL: Primary Element Duration</t>
  </si>
  <si>
    <t>FINAL: Tertiary Element Duration</t>
  </si>
  <si>
    <t>TT Description</t>
  </si>
  <si>
    <t>Slot Normal</t>
  </si>
  <si>
    <t>Slot TT</t>
  </si>
  <si>
    <t>Xterra Duathlon</t>
  </si>
  <si>
    <t>Paddle</t>
  </si>
  <si>
    <t>SWIM</t>
  </si>
  <si>
    <t>KAYAKING</t>
  </si>
  <si>
    <t>Ashleigh Neave</t>
  </si>
  <si>
    <t>Easy (Filler1)</t>
  </si>
  <si>
    <t>duration_filler1</t>
  </si>
  <si>
    <t>Number of Fillers</t>
  </si>
  <si>
    <t>WOC</t>
  </si>
  <si>
    <t>Overload</t>
  </si>
  <si>
    <t>A maximal week, should be fascilitated by maximal recovery and nutrition.</t>
  </si>
  <si>
    <t>Do a complete mix of sessions accululating towards the maximum weekly training load.</t>
  </si>
  <si>
    <t>1 week</t>
  </si>
  <si>
    <t>Duration of Fillers</t>
  </si>
  <si>
    <t>Sport Group</t>
  </si>
  <si>
    <t>Running Focus</t>
  </si>
  <si>
    <t>Cycling Focus</t>
  </si>
  <si>
    <t>Swimming Focus</t>
  </si>
  <si>
    <t>Split Flat Tempo</t>
  </si>
  <si>
    <t>Alternative sport: TT minutes</t>
  </si>
  <si>
    <t>Improve general fitness and develop other skills</t>
  </si>
  <si>
    <t>Take part in another sport or physical acticity</t>
  </si>
  <si>
    <t>The relevant physiology depends on the specific sport</t>
  </si>
  <si>
    <t>No Limit</t>
  </si>
  <si>
    <t>Strides</t>
  </si>
  <si>
    <t>TT stride outs</t>
  </si>
  <si>
    <t>Improve running mechanics.</t>
  </si>
  <si>
    <t>Showing your body optimum movement patterns will improve biomechancs in later sessions without requiring the high stress of reps.</t>
  </si>
  <si>
    <t>Cross Train</t>
  </si>
  <si>
    <t>Alternative Sport</t>
  </si>
  <si>
    <t>Sports Selection (Optional)</t>
  </si>
  <si>
    <t>★</t>
  </si>
  <si>
    <t>Cross-training</t>
  </si>
  <si>
    <t>🏃</t>
  </si>
  <si>
    <t>🚲</t>
  </si>
  <si>
    <t>🏊</t>
  </si>
  <si>
    <t>💪</t>
  </si>
  <si>
    <t>Symbol</t>
  </si>
  <si>
    <t>Group</t>
  </si>
  <si>
    <t>Do these either in the middlle or at the end of the session. Accelerate to just below sprint speed for 50 - 100 meters and use form focuses to enhance your technique. Walk back to the start before starting the next stride out.</t>
  </si>
  <si>
    <t>Easy + Strides</t>
  </si>
  <si>
    <t>PLAN: Sessions WU Duration</t>
  </si>
  <si>
    <t>PLAN: Sessions WD Duration</t>
  </si>
  <si>
    <t>WU / WD</t>
  </si>
  <si>
    <t>hide filler when time = 0</t>
  </si>
  <si>
    <t>FINAL: Raw Program Overview</t>
  </si>
  <si>
    <t>FINAL: Sessions WU Duration</t>
  </si>
  <si>
    <t>FINAL: Sessions WD Duration</t>
  </si>
  <si>
    <t>Drills + WU/WD</t>
  </si>
  <si>
    <t>Title</t>
  </si>
  <si>
    <t>AdditionalCategory</t>
  </si>
  <si>
    <t>TT Summary</t>
  </si>
  <si>
    <t>FINAL: WU Duration for TrainingTilt</t>
  </si>
  <si>
    <t>FINAL: WD Duration for TrainingTilt</t>
  </si>
  <si>
    <t>TT Type</t>
  </si>
  <si>
    <t>Mountain Biking</t>
  </si>
  <si>
    <t>Lap Swimming</t>
  </si>
  <si>
    <t>Kayaking</t>
  </si>
  <si>
    <t>Strength</t>
  </si>
  <si>
    <t>Trail Running</t>
  </si>
  <si>
    <t>Sports TT Type</t>
  </si>
  <si>
    <t>Intervals are hard, but don't start so hard that you can't run the same pace for all intervals in the session. Forget about HR, and focus on feeling your intensity. Do the recoveries at an easy intensity. Warm up and warm down for 10 minutes each.</t>
  </si>
  <si>
    <t>Accelerate to a fast pace which you should be able to hold for 50 minutes in a race situation. This will take concentration, but it's important to keep the intensity even, so do not start too hard. Warm up and warm down for 10 minutes each.</t>
  </si>
  <si>
    <t>Session Durations with Progression with Current Specialisation</t>
  </si>
  <si>
    <t>Session Durations at Specific Weekly Duration with Current Specialisation</t>
  </si>
  <si>
    <t>Element Duration for all Specialisation</t>
  </si>
  <si>
    <t>Chose Specialisation</t>
  </si>
  <si>
    <t>Intervals Counter</t>
  </si>
  <si>
    <t>PLAN: Intervals Counter</t>
  </si>
  <si>
    <t>Sum</t>
  </si>
  <si>
    <t>Weekday</t>
  </si>
  <si>
    <t>Tracker Tester</t>
  </si>
  <si>
    <t>Test</t>
  </si>
  <si>
    <t>Normalised Fatigue</t>
  </si>
  <si>
    <t>Normalised Fitness</t>
  </si>
  <si>
    <t>Load Calculation Method</t>
  </si>
  <si>
    <t>Method</t>
  </si>
  <si>
    <t>Meethod</t>
  </si>
  <si>
    <t>Linear</t>
  </si>
  <si>
    <t>Exponential</t>
  </si>
  <si>
    <t>Fatigue half life (exponential only)</t>
  </si>
  <si>
    <t>Factor</t>
  </si>
  <si>
    <t>EYOC</t>
  </si>
  <si>
    <t>Full Name</t>
  </si>
  <si>
    <t>DISPLAY: Intervals Name</t>
  </si>
  <si>
    <t>Reps: II + WU/WD</t>
  </si>
  <si>
    <t>Intervals: II + WU/WD</t>
  </si>
  <si>
    <t>Track VO2 Max</t>
  </si>
  <si>
    <t>DISPLAY: Intervals Braekdown</t>
  </si>
  <si>
    <t>Strength and Conditioning</t>
  </si>
  <si>
    <t>Sex</t>
  </si>
  <si>
    <t>Fueling (grams of carbs per hour)</t>
  </si>
  <si>
    <t>Pre</t>
  </si>
  <si>
    <t>During</t>
  </si>
  <si>
    <t>Post</t>
  </si>
  <si>
    <t>Snack</t>
  </si>
  <si>
    <t>Optimal</t>
  </si>
  <si>
    <t>Other Info</t>
  </si>
  <si>
    <t>Fuelling</t>
  </si>
  <si>
    <t>No carbs</t>
  </si>
  <si>
    <t>Nothing</t>
  </si>
  <si>
    <t>Short Race</t>
  </si>
  <si>
    <t>Medium Race</t>
  </si>
  <si>
    <t>Long Race</t>
  </si>
  <si>
    <t>Nutrition: Fat</t>
  </si>
  <si>
    <t>Nutrition: Protein</t>
  </si>
  <si>
    <t>Nutrition</t>
  </si>
  <si>
    <t>Carbs</t>
  </si>
  <si>
    <t>Fat</t>
  </si>
  <si>
    <t>Protein</t>
  </si>
  <si>
    <t>Other Sports</t>
  </si>
  <si>
    <t>Nutrition Sessions</t>
  </si>
  <si>
    <t>Long HC</t>
  </si>
  <si>
    <t>Long LC</t>
  </si>
  <si>
    <t>High Carb</t>
  </si>
  <si>
    <t>Low Carb</t>
  </si>
  <si>
    <t>PLAN: Nutrition Counter</t>
  </si>
  <si>
    <t>Nutrition Counter</t>
  </si>
  <si>
    <t>Kepler</t>
  </si>
  <si>
    <t>Gene Beveridge 2</t>
  </si>
  <si>
    <t>High Intensity</t>
  </si>
  <si>
    <t>Improve carb uptake</t>
  </si>
  <si>
    <t>This will improve your subconscious timing of muscle activation and your conscious awareness of the muscles you are using. These exercises will also identify motor patterns which are underdeveloped and need to be worked on.</t>
  </si>
  <si>
    <t>Adapt gut to absorb carbs faster</t>
  </si>
  <si>
    <t>Easy LC</t>
  </si>
  <si>
    <t>Easy HC</t>
  </si>
  <si>
    <t>Steady LC</t>
  </si>
  <si>
    <t>Steady HC</t>
  </si>
  <si>
    <t>Improve fat utilisation</t>
  </si>
  <si>
    <t>Adapt your body to use more fat as a fuel</t>
  </si>
  <si>
    <t>Fuelling: Pre</t>
  </si>
  <si>
    <t>Fuelling: During</t>
  </si>
  <si>
    <t>Fuelling: Post</t>
  </si>
  <si>
    <t>Nutrition: Carbs</t>
  </si>
  <si>
    <t>Do not consume carbs, but cary some in case you need them.</t>
  </si>
  <si>
    <t>Consume TT grams of carbs per hour.</t>
  </si>
  <si>
    <t>Fuelling: No carbs</t>
  </si>
  <si>
    <t>🏑</t>
  </si>
  <si>
    <t>Football</t>
  </si>
  <si>
    <t>⚽</t>
  </si>
  <si>
    <t>DISPLAY: Nutrition Description</t>
  </si>
  <si>
    <t>DISPLAY: Nutrition Summary</t>
  </si>
  <si>
    <t>Fueling: High carbs</t>
  </si>
  <si>
    <t>🛶</t>
  </si>
  <si>
    <t>Light Day</t>
  </si>
  <si>
    <t>Medium Day</t>
  </si>
  <si>
    <t>Heavy Day</t>
  </si>
  <si>
    <t>Meal Plan</t>
  </si>
  <si>
    <t>Off</t>
  </si>
  <si>
    <t>On</t>
  </si>
  <si>
    <t>a midpack Kepler runner</t>
  </si>
  <si>
    <t>Kepler Sub-9</t>
  </si>
  <si>
    <t>Moderate Day</t>
  </si>
  <si>
    <t>Increase fueling in balance with increased training load</t>
  </si>
  <si>
    <t>Maintain healthy nutrition</t>
  </si>
  <si>
    <t>Pick from any of the Light Day meal plans.</t>
  </si>
  <si>
    <t>Pick from any of the Moderate Day meal plans.</t>
  </si>
  <si>
    <t>Pick from any of the Heavy Day meal plans.</t>
  </si>
  <si>
    <t>With a lower training load nutrition focus on health with energy replenishment not as high a prioriy.</t>
  </si>
  <si>
    <t>Energy intake must be increased in accordance with training load. Your body will also need optimal nutrients for complete recovery.</t>
  </si>
  <si>
    <t>Ensure you have enough fuel to complete and recover from a heavy training load</t>
  </si>
  <si>
    <t>Nutrition: Heavy day</t>
  </si>
  <si>
    <t>Nutrition: Medium day</t>
  </si>
  <si>
    <t>Nutrition: Light day</t>
  </si>
  <si>
    <t>Coast to Coast</t>
  </si>
  <si>
    <t>Race: 12 hours</t>
  </si>
  <si>
    <t>Recovery Rate (%)</t>
  </si>
  <si>
    <t>Ruapehu Expresss</t>
  </si>
  <si>
    <t>Jason Reid</t>
  </si>
  <si>
    <t>Mountain to Surf</t>
  </si>
  <si>
    <t>Overload Progression Rate (%)</t>
  </si>
  <si>
    <t>plan_progression_rate_overload</t>
  </si>
  <si>
    <t>Maintain Pression Rate (%)</t>
  </si>
  <si>
    <t>Recover Progression Rate (%)</t>
  </si>
  <si>
    <t>Conservative Progression Rate (%)</t>
  </si>
  <si>
    <t>plan_progression_rate_recover</t>
  </si>
  <si>
    <t>plan_progression_rate_maintain</t>
  </si>
  <si>
    <t>Taper Progression Rate (%)</t>
  </si>
  <si>
    <t>plan_progression_rate_taper</t>
  </si>
  <si>
    <t>Tarawera 50km</t>
  </si>
  <si>
    <t>Dio Girls</t>
  </si>
  <si>
    <t>WSOC</t>
  </si>
  <si>
    <t>Blind Progression Rate</t>
  </si>
  <si>
    <t>Blind Load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</si>
</sst>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64" formatCode="_(&quot;$&quot;* #,##0.00_);_(&quot;$&quot;* \(#,##0.00\);_(&quot;$&quot;* &quot;-&quot;??_);_(@_)"/>
    <numFmt numFmtId="165" formatCode="hh:mm"/>
    <numFmt numFmtId="166" formatCode="&quot;Week &quot;0"/>
    <numFmt numFmtId="167" formatCode="&quot;Duration: &quot;#&quot; minutes&quot;"/>
    <numFmt numFmtId="168" formatCode="dddd"/>
    <numFmt numFmtId="169" formatCode="[$-1409]d\ mmmm\ yyyy;@"/>
    <numFmt numFmtId="170" formatCode="&quot;WU/WD: &quot;0&quot; minutes&quot;"/>
    <numFmt numFmtId="171" formatCode="m:ss"/>
    <numFmt numFmtId="172" formatCode="#&quot; km&quot;"/>
    <numFmt numFmtId="173" formatCode="#.0&quot; minutes&quot;"/>
    <numFmt numFmtId="174" formatCode="0.0&quot; km&quot;"/>
    <numFmt numFmtId="175" formatCode="&quot;Week: &quot;0"/>
    <numFmt numFmtId="176" formatCode="&quot;Session: &quot;0"/>
    <numFmt numFmtId="177" formatCode="&quot;Recoveries Total: &quot;0&quot; minutes&quot;"/>
    <numFmt numFmtId="178" formatCode="&quot;Effort Total: &quot;0&quot; minutes&quot;"/>
    <numFmt numFmtId="179" formatCode="&quot;Session Total: &quot;0&quot; minutes&quot;"/>
    <numFmt numFmtId="180" formatCode="0.0&quot; minutes&quot;"/>
    <numFmt numFmtId="181" formatCode="ddd"/>
    <numFmt numFmtId="182" formatCode="0.00000"/>
    <numFmt numFmtId="183" formatCode="000"/>
    <numFmt numFmtId="184" formatCode="\P\a\r\t\ #"/>
    <numFmt numFmtId="185" formatCode="0.0"/>
  </numFmts>
  <fonts count="23" x14ac:knownFonts="1">
    <font>
      <sz val="11"/>
      <color theme="1"/>
      <name val="Calibri"/>
      <family val="2"/>
      <scheme val="minor"/>
    </font>
    <font>
      <b/>
      <sz val="11"/>
      <color theme="1"/>
      <name val="Calibri"/>
      <family val="2"/>
      <scheme val="minor"/>
    </font>
    <font>
      <sz val="11"/>
      <color theme="1"/>
      <name val="Calibri"/>
      <family val="2"/>
      <scheme val="minor"/>
    </font>
    <font>
      <sz val="9"/>
      <color indexed="81"/>
      <name val="Tahoma"/>
      <family val="2"/>
    </font>
    <font>
      <b/>
      <sz val="11"/>
      <color theme="0"/>
      <name val="Calibri"/>
      <family val="2"/>
      <scheme val="minor"/>
    </font>
    <font>
      <sz val="11"/>
      <name val="Calibri"/>
      <family val="2"/>
      <scheme val="minor"/>
    </font>
    <font>
      <b/>
      <sz val="11"/>
      <name val="Calibri"/>
      <family val="2"/>
      <scheme val="minor"/>
    </font>
    <font>
      <sz val="11"/>
      <color theme="0" tint="-0.499984740745262"/>
      <name val="Calibri"/>
      <family val="2"/>
      <scheme val="minor"/>
    </font>
    <font>
      <u/>
      <sz val="11"/>
      <color theme="10"/>
      <name val="Calibri"/>
      <family val="2"/>
      <scheme val="minor"/>
    </font>
    <font>
      <b/>
      <sz val="9"/>
      <color indexed="81"/>
      <name val="Tahoma"/>
      <family val="2"/>
    </font>
    <font>
      <sz val="11"/>
      <color theme="0"/>
      <name val="Calibri"/>
      <family val="2"/>
      <scheme val="minor"/>
    </font>
    <font>
      <b/>
      <sz val="11"/>
      <color theme="0" tint="-0.499984740745262"/>
      <name val="Calibri"/>
      <family val="2"/>
      <scheme val="minor"/>
    </font>
    <font>
      <sz val="11"/>
      <color rgb="FFFFFFFF"/>
      <name val="Calibri"/>
      <family val="2"/>
      <scheme val="minor"/>
    </font>
    <font>
      <sz val="9"/>
      <color theme="1"/>
      <name val="Calibri"/>
      <family val="2"/>
      <scheme val="minor"/>
    </font>
    <font>
      <sz val="7"/>
      <color theme="1"/>
      <name val="Calibri"/>
      <family val="2"/>
      <scheme val="minor"/>
    </font>
    <font>
      <sz val="11"/>
      <color rgb="FF00066B"/>
      <name val="Calibri"/>
      <family val="2"/>
      <scheme val="minor"/>
    </font>
    <font>
      <sz val="14"/>
      <color rgb="FF00066B"/>
      <name val="Calibri"/>
      <family val="2"/>
      <scheme val="minor"/>
    </font>
    <font>
      <b/>
      <sz val="11"/>
      <color rgb="FF00066B"/>
      <name val="Calibri"/>
      <family val="2"/>
      <scheme val="minor"/>
    </font>
    <font>
      <sz val="10"/>
      <color rgb="FF79C5FF"/>
      <name val="Calibri"/>
      <family val="2"/>
      <scheme val="minor"/>
    </font>
    <font>
      <b/>
      <sz val="13"/>
      <color theme="0"/>
      <name val="Calibri"/>
      <family val="2"/>
      <scheme val="minor"/>
    </font>
    <font>
      <sz val="13"/>
      <color theme="0"/>
      <name val="Calibri"/>
      <family val="2"/>
      <scheme val="minor"/>
    </font>
    <font>
      <sz val="10"/>
      <color rgb="FF00066B"/>
      <name val="Calibri"/>
      <family val="2"/>
      <scheme val="minor"/>
    </font>
    <font>
      <sz val="9"/>
      <color indexed="81"/>
      <name val="Tahoma"/>
    </font>
  </fonts>
  <fills count="37">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theme="4"/>
      </patternFill>
    </fill>
    <fill>
      <patternFill patternType="solid">
        <fgColor theme="8" tint="0.59999389629810485"/>
        <bgColor indexed="64"/>
      </patternFill>
    </fill>
    <fill>
      <patternFill patternType="solid">
        <fgColor rgb="FF000000"/>
        <bgColor indexed="64"/>
      </patternFill>
    </fill>
    <fill>
      <patternFill patternType="solid">
        <fgColor rgb="FFE8CBAE"/>
        <bgColor indexed="64"/>
      </patternFill>
    </fill>
    <fill>
      <patternFill patternType="solid">
        <fgColor rgb="FFE8AEAE"/>
        <bgColor indexed="64"/>
      </patternFill>
    </fill>
    <fill>
      <gradientFill>
        <stop position="0">
          <color rgb="FFE8AECB"/>
        </stop>
        <stop position="1">
          <color rgb="FFE8AEE8"/>
        </stop>
      </gradientFill>
    </fill>
    <fill>
      <patternFill patternType="solid">
        <fgColor rgb="FFCBE8AE"/>
        <bgColor indexed="64"/>
      </patternFill>
    </fill>
    <fill>
      <patternFill patternType="solid">
        <fgColor rgb="FFCBE8AE"/>
        <bgColor theme="4"/>
      </patternFill>
    </fill>
    <fill>
      <patternFill patternType="solid">
        <fgColor rgb="FFCBE8AE"/>
        <bgColor theme="4" tint="0.79998168889431442"/>
      </patternFill>
    </fill>
    <fill>
      <patternFill patternType="solid">
        <fgColor rgb="FFE8CBAE"/>
        <bgColor theme="4" tint="0.79998168889431442"/>
      </patternFill>
    </fill>
    <fill>
      <patternFill patternType="solid">
        <fgColor rgb="FFE8AEAE"/>
        <bgColor theme="4" tint="0.79998168889431442"/>
      </patternFill>
    </fill>
    <fill>
      <patternFill patternType="solid">
        <fgColor rgb="FFE8E8AE"/>
        <bgColor indexed="64"/>
      </patternFill>
    </fill>
    <fill>
      <patternFill patternType="solid">
        <fgColor rgb="FFE8E8AE"/>
        <bgColor theme="4" tint="0.79998168889431442"/>
      </patternFill>
    </fill>
    <fill>
      <patternFill patternType="solid">
        <fgColor theme="0" tint="-0.14999847407452621"/>
        <bgColor theme="4" tint="0.79998168889431442"/>
      </patternFill>
    </fill>
    <fill>
      <patternFill patternType="solid">
        <fgColor rgb="FFAECBE8"/>
        <bgColor indexed="64"/>
      </patternFill>
    </fill>
    <fill>
      <gradientFill>
        <stop position="0">
          <color rgb="FFAECBE8"/>
        </stop>
        <stop position="1">
          <color rgb="FFAEE8CB"/>
        </stop>
      </gradientFill>
    </fill>
    <fill>
      <gradientFill>
        <stop position="0">
          <color rgb="FFAEE8AE"/>
        </stop>
        <stop position="1">
          <color rgb="FFCBE8AE"/>
        </stop>
      </gradientFill>
    </fill>
    <fill>
      <patternFill patternType="solid">
        <fgColor rgb="FFE8AECB"/>
        <bgColor indexed="64"/>
      </patternFill>
    </fill>
    <fill>
      <patternFill patternType="solid">
        <fgColor rgb="FFAEE8AE"/>
        <bgColor indexed="64"/>
      </patternFill>
    </fill>
    <fill>
      <patternFill patternType="solid">
        <fgColor theme="1"/>
        <bgColor indexed="64"/>
      </patternFill>
    </fill>
    <fill>
      <patternFill patternType="solid">
        <fgColor theme="5" tint="0.59999389629810485"/>
        <bgColor auto="1"/>
      </patternFill>
    </fill>
    <fill>
      <patternFill patternType="solid">
        <fgColor rgb="FFAADAFF"/>
        <bgColor indexed="64"/>
      </patternFill>
    </fill>
    <fill>
      <patternFill patternType="solid">
        <fgColor rgb="FF79C5FF"/>
        <bgColor indexed="64"/>
      </patternFill>
    </fill>
    <fill>
      <patternFill patternType="solid">
        <fgColor rgb="FF00066B"/>
        <bgColor indexed="64"/>
      </patternFill>
    </fill>
    <fill>
      <patternFill patternType="solid">
        <fgColor theme="3" tint="0.79998168889431442"/>
        <bgColor auto="1"/>
      </patternFill>
    </fill>
    <fill>
      <patternFill patternType="solid">
        <fgColor theme="3" tint="0.79998168889431442"/>
        <bgColor indexed="64"/>
      </patternFill>
    </fill>
  </fills>
  <borders count="21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theme="0"/>
      </top>
      <bottom style="thin">
        <color theme="0"/>
      </bottom>
      <diagonal/>
    </border>
    <border>
      <left/>
      <right/>
      <top style="thin">
        <color theme="0"/>
      </top>
      <bottom style="thin">
        <color theme="0"/>
      </bottom>
      <diagonal/>
    </border>
    <border>
      <left/>
      <right/>
      <top/>
      <bottom style="thin">
        <color theme="0"/>
      </bottom>
      <diagonal/>
    </border>
    <border>
      <left/>
      <right style="medium">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right style="medium">
        <color indexed="64"/>
      </right>
      <top/>
      <bottom style="thin">
        <color theme="0"/>
      </bottom>
      <diagonal/>
    </border>
    <border>
      <left/>
      <right/>
      <top style="thin">
        <color theme="0"/>
      </top>
      <bottom style="thin">
        <color indexed="64"/>
      </bottom>
      <diagonal/>
    </border>
    <border>
      <left/>
      <right style="medium">
        <color indexed="64"/>
      </right>
      <top/>
      <bottom style="thin">
        <color indexed="64"/>
      </bottom>
      <diagonal/>
    </border>
    <border>
      <left/>
      <right/>
      <top style="thin">
        <color indexed="64"/>
      </top>
      <bottom style="thin">
        <color theme="0"/>
      </bottom>
      <diagonal/>
    </border>
    <border>
      <left/>
      <right style="medium">
        <color indexed="64"/>
      </right>
      <top style="thin">
        <color indexed="64"/>
      </top>
      <bottom style="thin">
        <color theme="0"/>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thin">
        <color theme="0"/>
      </left>
      <right style="thin">
        <color theme="0"/>
      </right>
      <top/>
      <bottom style="thin">
        <color theme="0"/>
      </bottom>
      <diagonal/>
    </border>
    <border>
      <left style="thin">
        <color theme="0"/>
      </left>
      <right style="thin">
        <color theme="0"/>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indexed="64"/>
      </left>
      <right style="thin">
        <color indexed="64"/>
      </right>
      <top/>
      <bottom style="thin">
        <color indexed="64"/>
      </bottom>
      <diagonal/>
    </border>
    <border>
      <left/>
      <right style="thin">
        <color indexed="64"/>
      </right>
      <top style="thin">
        <color indexed="64"/>
      </top>
      <bottom style="thin">
        <color theme="0"/>
      </bottom>
      <diagonal/>
    </border>
    <border>
      <left/>
      <right style="thin">
        <color auto="1"/>
      </right>
      <top style="thin">
        <color theme="0"/>
      </top>
      <bottom style="thin">
        <color theme="0"/>
      </bottom>
      <diagonal/>
    </border>
    <border>
      <left style="thin">
        <color theme="0"/>
      </left>
      <right style="thin">
        <color theme="0"/>
      </right>
      <top/>
      <bottom/>
      <diagonal/>
    </border>
    <border>
      <left/>
      <right style="thin">
        <color theme="0"/>
      </right>
      <top style="thin">
        <color theme="0"/>
      </top>
      <bottom/>
      <diagonal/>
    </border>
    <border>
      <left/>
      <right style="thin">
        <color indexed="64"/>
      </right>
      <top style="thin">
        <color theme="0"/>
      </top>
      <bottom style="thin">
        <color indexed="64"/>
      </bottom>
      <diagonal/>
    </border>
    <border>
      <left/>
      <right style="thin">
        <color theme="0"/>
      </right>
      <top/>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style="thin">
        <color theme="0"/>
      </bottom>
      <diagonal/>
    </border>
    <border>
      <left/>
      <right/>
      <top style="thin">
        <color theme="0"/>
      </top>
      <bottom/>
      <diagonal/>
    </border>
    <border>
      <left/>
      <right style="thin">
        <color indexed="64"/>
      </right>
      <top style="thin">
        <color theme="0"/>
      </top>
      <bottom/>
      <diagonal/>
    </border>
    <border>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bottom style="thin">
        <color indexed="64"/>
      </bottom>
      <diagonal/>
    </border>
    <border>
      <left style="thin">
        <color theme="0"/>
      </left>
      <right style="thin">
        <color indexed="64"/>
      </right>
      <top/>
      <bottom/>
      <diagonal/>
    </border>
    <border>
      <left style="thin">
        <color theme="0"/>
      </left>
      <right style="thin">
        <color indexed="64"/>
      </right>
      <top/>
      <bottom style="thin">
        <color theme="0"/>
      </bottom>
      <diagonal/>
    </border>
    <border>
      <left style="thin">
        <color theme="0"/>
      </left>
      <right style="thin">
        <color indexed="64"/>
      </right>
      <top style="thin">
        <color theme="0"/>
      </top>
      <bottom/>
      <diagonal/>
    </border>
    <border>
      <left style="thin">
        <color indexed="64"/>
      </left>
      <right/>
      <top style="thin">
        <color indexed="64"/>
      </top>
      <bottom style="thin">
        <color theme="0"/>
      </bottom>
      <diagonal/>
    </border>
    <border>
      <left/>
      <right style="thin">
        <color theme="0"/>
      </right>
      <top/>
      <bottom style="thin">
        <color theme="0"/>
      </bottom>
      <diagonal/>
    </border>
    <border>
      <left style="thin">
        <color theme="0"/>
      </left>
      <right style="thin">
        <color indexed="64"/>
      </right>
      <top style="thin">
        <color indexed="64"/>
      </top>
      <bottom/>
      <diagonal/>
    </border>
    <border>
      <left style="thin">
        <color indexed="64"/>
      </left>
      <right/>
      <top/>
      <bottom style="thin">
        <color theme="0"/>
      </bottom>
      <diagonal/>
    </border>
    <border>
      <left style="thin">
        <color indexed="64"/>
      </left>
      <right style="thin">
        <color theme="0"/>
      </right>
      <top/>
      <bottom/>
      <diagonal/>
    </border>
    <border>
      <left style="thin">
        <color indexed="64"/>
      </left>
      <right style="thin">
        <color theme="0"/>
      </right>
      <top style="thin">
        <color indexed="64"/>
      </top>
      <bottom style="thin">
        <color theme="0"/>
      </bottom>
      <diagonal/>
    </border>
    <border>
      <left style="thin">
        <color indexed="64"/>
      </left>
      <right/>
      <top style="thin">
        <color theme="0"/>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top style="thin">
        <color theme="0"/>
      </top>
      <bottom style="thin">
        <color theme="0"/>
      </bottom>
      <diagonal/>
    </border>
    <border>
      <left style="thin">
        <color theme="0"/>
      </left>
      <right/>
      <top style="thin">
        <color theme="0"/>
      </top>
      <bottom/>
      <diagonal/>
    </border>
    <border>
      <left style="thin">
        <color theme="0"/>
      </left>
      <right style="thin">
        <color theme="0"/>
      </right>
      <top/>
      <bottom style="medium">
        <color indexed="64"/>
      </bottom>
      <diagonal/>
    </border>
    <border>
      <left style="thin">
        <color theme="0"/>
      </left>
      <right style="thin">
        <color theme="0"/>
      </right>
      <top style="thin">
        <color theme="0"/>
      </top>
      <bottom style="medium">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theme="0"/>
      </left>
      <right style="medium">
        <color indexed="64"/>
      </right>
      <top style="thin">
        <color theme="0"/>
      </top>
      <bottom style="thin">
        <color theme="0"/>
      </bottom>
      <diagonal/>
    </border>
    <border>
      <left style="thin">
        <color theme="0"/>
      </left>
      <right style="medium">
        <color indexed="64"/>
      </right>
      <top style="thin">
        <color theme="0"/>
      </top>
      <bottom style="medium">
        <color indexed="64"/>
      </bottom>
      <diagonal/>
    </border>
    <border>
      <left style="thin">
        <color theme="0"/>
      </left>
      <right style="medium">
        <color indexed="64"/>
      </right>
      <top/>
      <bottom style="thin">
        <color theme="0"/>
      </bottom>
      <diagonal/>
    </border>
    <border>
      <left style="thin">
        <color theme="0"/>
      </left>
      <right style="medium">
        <color indexed="64"/>
      </right>
      <top style="thin">
        <color theme="0"/>
      </top>
      <bottom style="thin">
        <color indexed="64"/>
      </bottom>
      <diagonal/>
    </border>
    <border>
      <left/>
      <right/>
      <top style="medium">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theme="0"/>
      </bottom>
      <diagonal/>
    </border>
    <border>
      <left style="medium">
        <color indexed="64"/>
      </left>
      <right/>
      <top style="medium">
        <color indexed="64"/>
      </top>
      <bottom style="thin">
        <color theme="0"/>
      </bottom>
      <diagonal/>
    </border>
    <border>
      <left/>
      <right style="thin">
        <color indexed="64"/>
      </right>
      <top style="medium">
        <color indexed="64"/>
      </top>
      <bottom style="thin">
        <color theme="0"/>
      </bottom>
      <diagonal/>
    </border>
    <border>
      <left style="medium">
        <color indexed="64"/>
      </left>
      <right/>
      <top style="thin">
        <color theme="0"/>
      </top>
      <bottom style="thin">
        <color indexed="64"/>
      </bottom>
      <diagonal/>
    </border>
    <border>
      <left style="medium">
        <color indexed="64"/>
      </left>
      <right/>
      <top style="thin">
        <color indexed="64"/>
      </top>
      <bottom style="thin">
        <color theme="0"/>
      </bottom>
      <diagonal/>
    </border>
    <border>
      <left style="medium">
        <color indexed="64"/>
      </left>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right style="thin">
        <color theme="0"/>
      </right>
      <top style="medium">
        <color indexed="64"/>
      </top>
      <bottom style="thin">
        <color theme="0"/>
      </bottom>
      <diagonal/>
    </border>
    <border>
      <left/>
      <right style="thin">
        <color theme="0"/>
      </right>
      <top style="thin">
        <color theme="0"/>
      </top>
      <bottom style="medium">
        <color indexed="64"/>
      </bottom>
      <diagonal/>
    </border>
    <border>
      <left style="medium">
        <color indexed="64"/>
      </left>
      <right style="thin">
        <color theme="0"/>
      </right>
      <top/>
      <bottom/>
      <diagonal/>
    </border>
    <border>
      <left style="thin">
        <color theme="0"/>
      </left>
      <right/>
      <top style="medium">
        <color indexed="64"/>
      </top>
      <bottom style="thin">
        <color theme="0"/>
      </bottom>
      <diagonal/>
    </border>
    <border>
      <left style="medium">
        <color indexed="64"/>
      </left>
      <right style="thin">
        <color theme="0"/>
      </right>
      <top style="thin">
        <color theme="0"/>
      </top>
      <bottom/>
      <diagonal/>
    </border>
    <border>
      <left style="medium">
        <color indexed="64"/>
      </left>
      <right style="thin">
        <color theme="0"/>
      </right>
      <top/>
      <bottom style="thin">
        <color theme="0"/>
      </bottom>
      <diagonal/>
    </border>
    <border>
      <left style="thin">
        <color theme="0"/>
      </left>
      <right style="medium">
        <color indexed="64"/>
      </right>
      <top/>
      <bottom/>
      <diagonal/>
    </border>
    <border>
      <left style="medium">
        <color indexed="64"/>
      </left>
      <right style="thin">
        <color theme="0"/>
      </right>
      <top style="thin">
        <color theme="0"/>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theme="0"/>
      </bottom>
      <diagonal/>
    </border>
    <border>
      <left/>
      <right style="medium">
        <color indexed="64"/>
      </right>
      <top style="thin">
        <color theme="0"/>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theme="0"/>
      </right>
      <top/>
      <bottom style="medium">
        <color indexed="64"/>
      </bottom>
      <diagonal/>
    </border>
    <border>
      <left style="thin">
        <color theme="0"/>
      </left>
      <right style="medium">
        <color indexed="64"/>
      </right>
      <top/>
      <bottom style="medium">
        <color indexed="64"/>
      </bottom>
      <diagonal/>
    </border>
    <border>
      <left style="thin">
        <color theme="0"/>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theme="0"/>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thin">
        <color theme="0"/>
      </bottom>
      <diagonal/>
    </border>
    <border>
      <left/>
      <right/>
      <top style="thin">
        <color theme="0"/>
      </top>
      <bottom style="medium">
        <color indexed="64"/>
      </bottom>
      <diagonal/>
    </border>
    <border>
      <left style="thin">
        <color indexed="64"/>
      </left>
      <right style="thin">
        <color indexed="64"/>
      </right>
      <top/>
      <bottom style="thin">
        <color theme="0"/>
      </bottom>
      <diagonal/>
    </border>
    <border>
      <left style="thin">
        <color indexed="64"/>
      </left>
      <right style="thin">
        <color indexed="64"/>
      </right>
      <top/>
      <bottom style="medium">
        <color indexed="64"/>
      </bottom>
      <diagonal/>
    </border>
    <border>
      <left style="thin">
        <color theme="0"/>
      </left>
      <right style="thin">
        <color theme="0"/>
      </right>
      <top style="thin">
        <color indexed="64"/>
      </top>
      <bottom style="thin">
        <color indexed="64"/>
      </bottom>
      <diagonal/>
    </border>
    <border>
      <left style="thin">
        <color theme="0"/>
      </left>
      <right style="thin">
        <color theme="0"/>
      </right>
      <top style="medium">
        <color indexed="64"/>
      </top>
      <bottom/>
      <diagonal/>
    </border>
    <border>
      <left/>
      <right style="thin">
        <color theme="0"/>
      </right>
      <top style="medium">
        <color indexed="64"/>
      </top>
      <bottom/>
      <diagonal/>
    </border>
    <border>
      <left/>
      <right style="thin">
        <color theme="0"/>
      </right>
      <top style="thin">
        <color indexed="64"/>
      </top>
      <bottom style="thin">
        <color indexed="64"/>
      </bottom>
      <diagonal/>
    </border>
    <border>
      <left/>
      <right style="thin">
        <color theme="0"/>
      </right>
      <top/>
      <bottom style="medium">
        <color indexed="64"/>
      </bottom>
      <diagonal/>
    </border>
    <border>
      <left style="thin">
        <color theme="0"/>
      </left>
      <right/>
      <top/>
      <bottom style="thin">
        <color theme="0"/>
      </bottom>
      <diagonal/>
    </border>
    <border>
      <left style="thin">
        <color indexed="64"/>
      </left>
      <right style="thin">
        <color indexed="64"/>
      </right>
      <top/>
      <bottom/>
      <diagonal/>
    </border>
    <border>
      <left style="thin">
        <color theme="0"/>
      </left>
      <right/>
      <top style="thin">
        <color indexed="64"/>
      </top>
      <bottom/>
      <diagonal/>
    </border>
    <border>
      <left style="thin">
        <color theme="0"/>
      </left>
      <right/>
      <top/>
      <bottom style="thick">
        <color theme="0"/>
      </bottom>
      <diagonal/>
    </border>
    <border>
      <left style="thin">
        <color theme="0"/>
      </left>
      <right/>
      <top style="thick">
        <color theme="0"/>
      </top>
      <bottom/>
      <diagonal/>
    </border>
    <border>
      <left/>
      <right/>
      <top/>
      <bottom style="thick">
        <color theme="0"/>
      </bottom>
      <diagonal/>
    </border>
    <border>
      <left style="medium">
        <color indexed="64"/>
      </left>
      <right style="thin">
        <color theme="0"/>
      </right>
      <top style="thin">
        <color indexed="64"/>
      </top>
      <bottom/>
      <diagonal/>
    </border>
    <border>
      <left style="medium">
        <color indexed="64"/>
      </left>
      <right style="thin">
        <color theme="0"/>
      </right>
      <top style="thin">
        <color indexed="64"/>
      </top>
      <bottom style="thin">
        <color theme="0"/>
      </bottom>
      <diagonal/>
    </border>
    <border>
      <left style="thin">
        <color theme="0"/>
      </left>
      <right/>
      <top/>
      <bottom/>
      <diagonal/>
    </border>
    <border>
      <left/>
      <right/>
      <top/>
      <bottom style="medium">
        <color theme="0"/>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indexed="64"/>
      </right>
      <top style="thin">
        <color theme="0"/>
      </top>
      <bottom style="medium">
        <color theme="0"/>
      </bottom>
      <diagonal/>
    </border>
    <border>
      <left style="thin">
        <color theme="0"/>
      </left>
      <right style="thin">
        <color theme="0"/>
      </right>
      <top style="medium">
        <color theme="0"/>
      </top>
      <bottom style="thin">
        <color theme="0"/>
      </bottom>
      <diagonal/>
    </border>
    <border>
      <left style="thin">
        <color theme="0"/>
      </left>
      <right style="medium">
        <color indexed="64"/>
      </right>
      <top style="medium">
        <color theme="0"/>
      </top>
      <bottom style="thin">
        <color theme="0"/>
      </bottom>
      <diagonal/>
    </border>
    <border>
      <left/>
      <right/>
      <top style="thin">
        <color theme="0"/>
      </top>
      <bottom style="medium">
        <color theme="0"/>
      </bottom>
      <diagonal/>
    </border>
    <border>
      <left style="thin">
        <color theme="0"/>
      </left>
      <right/>
      <top/>
      <bottom style="medium">
        <color theme="0"/>
      </bottom>
      <diagonal/>
    </border>
    <border>
      <left style="thin">
        <color theme="0"/>
      </left>
      <right/>
      <top style="medium">
        <color theme="0"/>
      </top>
      <bottom/>
      <diagonal/>
    </border>
    <border>
      <left/>
      <right/>
      <top style="medium">
        <color theme="0"/>
      </top>
      <bottom/>
      <diagonal/>
    </border>
    <border>
      <left/>
      <right style="thin">
        <color theme="0"/>
      </right>
      <top style="medium">
        <color theme="0"/>
      </top>
      <bottom style="thin">
        <color theme="0"/>
      </bottom>
      <diagonal/>
    </border>
    <border>
      <left style="medium">
        <color indexed="64"/>
      </left>
      <right style="thin">
        <color indexed="64"/>
      </right>
      <top style="thin">
        <color theme="0"/>
      </top>
      <bottom style="thin">
        <color theme="0"/>
      </bottom>
      <diagonal/>
    </border>
    <border>
      <left style="thin">
        <color indexed="64"/>
      </left>
      <right style="medium">
        <color indexed="64"/>
      </right>
      <top style="thin">
        <color theme="0"/>
      </top>
      <bottom style="thin">
        <color theme="0"/>
      </bottom>
      <diagonal/>
    </border>
    <border>
      <left style="thin">
        <color indexed="64"/>
      </left>
      <right style="thin">
        <color indexed="64"/>
      </right>
      <top style="thin">
        <color theme="0"/>
      </top>
      <bottom style="thin">
        <color theme="0"/>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style="thin">
        <color indexed="64"/>
      </top>
      <bottom style="thin">
        <color theme="0"/>
      </bottom>
      <diagonal/>
    </border>
    <border>
      <left style="thin">
        <color indexed="64"/>
      </left>
      <right style="medium">
        <color indexed="64"/>
      </right>
      <top/>
      <bottom style="thin">
        <color theme="0"/>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style="thin">
        <color theme="0"/>
      </top>
      <bottom style="medium">
        <color indexed="64"/>
      </bottom>
      <diagonal/>
    </border>
    <border>
      <left style="thin">
        <color indexed="64"/>
      </left>
      <right style="thin">
        <color indexed="64"/>
      </right>
      <top style="thin">
        <color theme="0"/>
      </top>
      <bottom style="medium">
        <color indexed="64"/>
      </bottom>
      <diagonal/>
    </border>
    <border>
      <left style="thin">
        <color indexed="64"/>
      </left>
      <right style="medium">
        <color indexed="64"/>
      </right>
      <top style="thin">
        <color theme="0"/>
      </top>
      <bottom style="medium">
        <color indexed="64"/>
      </bottom>
      <diagonal/>
    </border>
    <border>
      <left style="thin">
        <color theme="0"/>
      </left>
      <right/>
      <top style="medium">
        <color indexed="64"/>
      </top>
      <bottom/>
      <diagonal/>
    </border>
    <border>
      <left style="thin">
        <color theme="0"/>
      </left>
      <right/>
      <top style="thin">
        <color theme="0"/>
      </top>
      <bottom style="thin">
        <color indexed="64"/>
      </bottom>
      <diagonal/>
    </border>
    <border>
      <left style="medium">
        <color indexed="64"/>
      </left>
      <right style="thin">
        <color indexed="64"/>
      </right>
      <top/>
      <bottom/>
      <diagonal/>
    </border>
    <border>
      <left/>
      <right style="thin">
        <color indexed="64"/>
      </right>
      <top style="thin">
        <color theme="0"/>
      </top>
      <bottom style="medium">
        <color indexed="64"/>
      </bottom>
      <diagonal/>
    </border>
    <border>
      <left style="thin">
        <color indexed="64"/>
      </left>
      <right style="medium">
        <color indexed="64"/>
      </right>
      <top/>
      <bottom style="thin">
        <color indexed="64"/>
      </bottom>
      <diagonal/>
    </border>
    <border>
      <left style="medium">
        <color indexed="64"/>
      </left>
      <right style="thin">
        <color theme="0"/>
      </right>
      <top/>
      <bottom style="thin">
        <color indexed="64"/>
      </bottom>
      <diagonal/>
    </border>
    <border>
      <left style="thin">
        <color theme="0"/>
      </left>
      <right style="medium">
        <color indexed="64"/>
      </right>
      <top style="thin">
        <color indexed="64"/>
      </top>
      <bottom/>
      <diagonal/>
    </border>
    <border>
      <left style="thin">
        <color theme="0"/>
      </left>
      <right style="medium">
        <color indexed="64"/>
      </right>
      <top style="thin">
        <color theme="0"/>
      </top>
      <bottom/>
      <diagonal/>
    </border>
    <border>
      <left style="thin">
        <color theme="0"/>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style="thin">
        <color theme="0"/>
      </left>
      <right/>
      <top style="thin">
        <color indexed="64"/>
      </top>
      <bottom style="thin">
        <color theme="0"/>
      </bottom>
      <diagonal/>
    </border>
    <border>
      <left style="thin">
        <color indexed="64"/>
      </left>
      <right/>
      <top style="thin">
        <color theme="0"/>
      </top>
      <bottom style="medium">
        <color indexed="64"/>
      </bottom>
      <diagonal/>
    </border>
    <border>
      <left style="thin">
        <color theme="0"/>
      </left>
      <right style="thin">
        <color indexed="64"/>
      </right>
      <top/>
      <bottom style="thin">
        <color indexed="64"/>
      </bottom>
      <diagonal/>
    </border>
    <border>
      <left/>
      <right style="thin">
        <color theme="0"/>
      </right>
      <top style="thin">
        <color theme="0"/>
      </top>
      <bottom style="thick">
        <color theme="0"/>
      </bottom>
      <diagonal/>
    </border>
    <border>
      <left/>
      <right style="thin">
        <color theme="0"/>
      </right>
      <top style="thick">
        <color theme="0"/>
      </top>
      <bottom/>
      <diagonal/>
    </border>
    <border>
      <left style="medium">
        <color indexed="64"/>
      </left>
      <right style="thin">
        <color theme="0"/>
      </right>
      <top style="thin">
        <color theme="0"/>
      </top>
      <bottom style="medium">
        <color indexed="64"/>
      </bottom>
      <diagonal/>
    </border>
    <border>
      <left style="thin">
        <color theme="0"/>
      </left>
      <right/>
      <top style="thin">
        <color theme="0"/>
      </top>
      <bottom style="medium">
        <color indexed="64"/>
      </bottom>
      <diagonal/>
    </border>
    <border>
      <left style="thin">
        <color indexed="64"/>
      </left>
      <right style="thin">
        <color theme="0"/>
      </right>
      <top style="medium">
        <color indexed="64"/>
      </top>
      <bottom style="thin">
        <color theme="0"/>
      </bottom>
      <diagonal/>
    </border>
    <border>
      <left style="thin">
        <color indexed="64"/>
      </left>
      <right style="thin">
        <color theme="0"/>
      </right>
      <top style="thin">
        <color theme="0"/>
      </top>
      <bottom style="medium">
        <color indexed="64"/>
      </bottom>
      <diagonal/>
    </border>
    <border>
      <left style="thin">
        <color theme="0"/>
      </left>
      <right style="thin">
        <color indexed="64"/>
      </right>
      <top style="thin">
        <color theme="0"/>
      </top>
      <bottom style="medium">
        <color indexed="64"/>
      </bottom>
      <diagonal/>
    </border>
    <border>
      <left style="medium">
        <color rgb="FF00066B"/>
      </left>
      <right/>
      <top style="medium">
        <color rgb="FF00066B"/>
      </top>
      <bottom style="thin">
        <color indexed="64"/>
      </bottom>
      <diagonal/>
    </border>
    <border>
      <left/>
      <right style="medium">
        <color rgb="FF00066B"/>
      </right>
      <top style="medium">
        <color rgb="FF00066B"/>
      </top>
      <bottom style="thin">
        <color indexed="64"/>
      </bottom>
      <diagonal/>
    </border>
    <border>
      <left style="medium">
        <color rgb="FF00066B"/>
      </left>
      <right/>
      <top/>
      <bottom/>
      <diagonal/>
    </border>
    <border>
      <left/>
      <right style="medium">
        <color rgb="FF00066B"/>
      </right>
      <top/>
      <bottom style="thin">
        <color theme="0"/>
      </bottom>
      <diagonal/>
    </border>
    <border>
      <left/>
      <right style="medium">
        <color rgb="FF00066B"/>
      </right>
      <top/>
      <bottom/>
      <diagonal/>
    </border>
    <border>
      <left/>
      <right style="medium">
        <color rgb="FF00066B"/>
      </right>
      <top style="thin">
        <color theme="0"/>
      </top>
      <bottom/>
      <diagonal/>
    </border>
    <border>
      <left style="medium">
        <color rgb="FF00066B"/>
      </left>
      <right/>
      <top/>
      <bottom style="medium">
        <color rgb="FF00066B"/>
      </bottom>
      <diagonal/>
    </border>
    <border>
      <left/>
      <right style="medium">
        <color rgb="FF00066B"/>
      </right>
      <top style="thin">
        <color theme="0"/>
      </top>
      <bottom style="medium">
        <color rgb="FF00066B"/>
      </bottom>
      <diagonal/>
    </border>
    <border>
      <left/>
      <right style="medium">
        <color rgb="FF00066B"/>
      </right>
      <top style="thin">
        <color theme="0"/>
      </top>
      <bottom style="thin">
        <color theme="0"/>
      </bottom>
      <diagonal/>
    </border>
    <border>
      <left/>
      <right/>
      <top/>
      <bottom style="medium">
        <color rgb="FF00066B"/>
      </bottom>
      <diagonal/>
    </border>
    <border>
      <left style="medium">
        <color indexed="64"/>
      </left>
      <right style="thin">
        <color theme="0"/>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theme="0"/>
      </bottom>
      <diagonal/>
    </border>
    <border>
      <left style="medium">
        <color indexed="64"/>
      </left>
      <right style="medium">
        <color indexed="64"/>
      </right>
      <top/>
      <bottom style="thin">
        <color theme="0"/>
      </bottom>
      <diagonal/>
    </border>
    <border>
      <left style="medium">
        <color indexed="64"/>
      </left>
      <right style="medium">
        <color indexed="64"/>
      </right>
      <top/>
      <bottom/>
      <diagonal/>
    </border>
    <border>
      <left style="medium">
        <color indexed="64"/>
      </left>
      <right style="medium">
        <color indexed="64"/>
      </right>
      <top style="thin">
        <color theme="0"/>
      </top>
      <bottom style="medium">
        <color indexed="64"/>
      </bottom>
      <diagonal/>
    </border>
    <border>
      <left style="medium">
        <color indexed="64"/>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style="medium">
        <color indexed="64"/>
      </right>
      <top style="thin">
        <color theme="0"/>
      </top>
      <bottom/>
      <diagonal/>
    </border>
    <border>
      <left/>
      <right style="thin">
        <color indexed="64"/>
      </right>
      <top style="thick">
        <color theme="0"/>
      </top>
      <bottom style="thin">
        <color theme="0"/>
      </bottom>
      <diagonal/>
    </border>
  </borders>
  <cellStyleXfs count="4">
    <xf numFmtId="0" fontId="0" fillId="0" borderId="0"/>
    <xf numFmtId="9" fontId="2" fillId="0" borderId="0" applyFont="0" applyFill="0" applyBorder="0" applyAlignment="0" applyProtection="0"/>
    <xf numFmtId="164" fontId="2" fillId="0" borderId="0" applyFont="0" applyFill="0" applyBorder="0" applyAlignment="0" applyProtection="0"/>
    <xf numFmtId="0" fontId="8" fillId="0" borderId="0" applyNumberFormat="0" applyFill="0" applyBorder="0" applyAlignment="0" applyProtection="0"/>
  </cellStyleXfs>
  <cellXfs count="1951">
    <xf numFmtId="0" fontId="0" fillId="0" borderId="0" xfId="0"/>
    <xf numFmtId="0" fontId="0" fillId="0" borderId="0" xfId="0" applyFill="1" applyBorder="1" applyAlignment="1">
      <alignment vertical="top" wrapText="1"/>
    </xf>
    <xf numFmtId="0" fontId="1" fillId="0" borderId="0" xfId="0" applyFont="1" applyFill="1" applyBorder="1" applyAlignment="1">
      <alignment vertical="top" wrapText="1"/>
    </xf>
    <xf numFmtId="0" fontId="0" fillId="0" borderId="0" xfId="0" applyFill="1" applyBorder="1" applyAlignment="1">
      <alignment horizontal="left" vertical="top" wrapText="1"/>
    </xf>
    <xf numFmtId="0" fontId="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3" borderId="23" xfId="0" applyFill="1" applyBorder="1" applyAlignment="1">
      <alignment horizontal="center" vertical="center" wrapText="1"/>
    </xf>
    <xf numFmtId="0" fontId="0" fillId="4" borderId="27" xfId="0" applyFill="1" applyBorder="1" applyAlignment="1">
      <alignment horizontal="center" vertical="center" wrapText="1"/>
    </xf>
    <xf numFmtId="0" fontId="0" fillId="3" borderId="27" xfId="0" applyFill="1" applyBorder="1" applyAlignment="1">
      <alignment horizontal="center" vertical="center" wrapText="1"/>
    </xf>
    <xf numFmtId="0" fontId="0" fillId="0" borderId="21" xfId="0" applyBorder="1" applyAlignment="1">
      <alignment vertical="top" wrapText="1"/>
    </xf>
    <xf numFmtId="0" fontId="0" fillId="0" borderId="21" xfId="0" applyFill="1" applyBorder="1" applyAlignment="1">
      <alignment vertical="top" wrapText="1"/>
    </xf>
    <xf numFmtId="0" fontId="0" fillId="0" borderId="21" xfId="0" applyBorder="1" applyAlignment="1">
      <alignment vertical="top"/>
    </xf>
    <xf numFmtId="0" fontId="0" fillId="0" borderId="35" xfId="0" applyBorder="1" applyAlignment="1">
      <alignment vertical="top"/>
    </xf>
    <xf numFmtId="0" fontId="0" fillId="0" borderId="37" xfId="0" applyBorder="1" applyAlignment="1">
      <alignment vertical="top" wrapText="1"/>
    </xf>
    <xf numFmtId="0" fontId="0" fillId="0" borderId="37" xfId="0" applyFill="1" applyBorder="1" applyAlignment="1">
      <alignment vertical="top" wrapText="1"/>
    </xf>
    <xf numFmtId="1" fontId="0" fillId="6" borderId="45" xfId="0" quotePrefix="1" applyNumberFormat="1" applyFill="1" applyBorder="1" applyAlignment="1">
      <alignment horizontal="center" vertical="top" wrapText="1"/>
    </xf>
    <xf numFmtId="1" fontId="0" fillId="6" borderId="38" xfId="0" quotePrefix="1" applyNumberFormat="1" applyFill="1" applyBorder="1" applyAlignment="1">
      <alignment horizontal="center" vertical="top" wrapText="1"/>
    </xf>
    <xf numFmtId="1" fontId="0" fillId="6" borderId="38" xfId="0" applyNumberFormat="1" applyFill="1" applyBorder="1" applyAlignment="1">
      <alignment horizontal="center" vertical="top" wrapText="1"/>
    </xf>
    <xf numFmtId="1" fontId="0" fillId="6" borderId="60" xfId="0" applyNumberFormat="1" applyFill="1" applyBorder="1" applyAlignment="1">
      <alignment horizontal="center" vertical="top" wrapText="1"/>
    </xf>
    <xf numFmtId="9" fontId="0" fillId="6" borderId="21" xfId="1" quotePrefix="1" applyFont="1" applyFill="1" applyBorder="1" applyAlignment="1">
      <alignment horizontal="center" vertical="top" wrapText="1"/>
    </xf>
    <xf numFmtId="9" fontId="0" fillId="6" borderId="21" xfId="1" applyFont="1" applyFill="1" applyBorder="1" applyAlignment="1">
      <alignment horizontal="center" vertical="top" wrapText="1"/>
    </xf>
    <xf numFmtId="9" fontId="0" fillId="6" borderId="27" xfId="1" applyFont="1" applyFill="1" applyBorder="1" applyAlignment="1">
      <alignment horizontal="center" vertical="top" wrapText="1"/>
    </xf>
    <xf numFmtId="1" fontId="0" fillId="6" borderId="47" xfId="0" quotePrefix="1" applyNumberFormat="1" applyFill="1" applyBorder="1" applyAlignment="1">
      <alignment horizontal="center" vertical="top" wrapText="1"/>
    </xf>
    <xf numFmtId="1" fontId="0" fillId="6" borderId="44" xfId="1" quotePrefix="1" applyNumberFormat="1" applyFont="1" applyFill="1" applyBorder="1" applyAlignment="1">
      <alignment horizontal="center" vertical="top" wrapText="1"/>
    </xf>
    <xf numFmtId="1" fontId="0" fillId="6" borderId="44" xfId="1" applyNumberFormat="1" applyFont="1" applyFill="1" applyBorder="1" applyAlignment="1">
      <alignment horizontal="center" vertical="top" wrapText="1"/>
    </xf>
    <xf numFmtId="1" fontId="0" fillId="6" borderId="58" xfId="1" applyNumberFormat="1" applyFont="1" applyFill="1" applyBorder="1" applyAlignment="1">
      <alignment horizontal="center" vertical="top" wrapText="1"/>
    </xf>
    <xf numFmtId="9" fontId="0" fillId="6" borderId="21" xfId="1" applyNumberFormat="1" applyFont="1" applyFill="1" applyBorder="1" applyAlignment="1">
      <alignment horizontal="center" vertical="top" wrapText="1"/>
    </xf>
    <xf numFmtId="9" fontId="0" fillId="6" borderId="27" xfId="1" applyNumberFormat="1" applyFont="1" applyFill="1" applyBorder="1" applyAlignment="1">
      <alignment horizontal="center" vertical="top" wrapText="1"/>
    </xf>
    <xf numFmtId="1" fontId="0" fillId="6" borderId="37" xfId="1" applyNumberFormat="1" applyFont="1" applyFill="1" applyBorder="1" applyAlignment="1">
      <alignment horizontal="center" vertical="top" wrapText="1"/>
    </xf>
    <xf numFmtId="1" fontId="0" fillId="6" borderId="21" xfId="1" applyNumberFormat="1" applyFont="1" applyFill="1" applyBorder="1" applyAlignment="1">
      <alignment horizontal="center" vertical="top" wrapText="1"/>
    </xf>
    <xf numFmtId="9" fontId="0" fillId="6" borderId="21" xfId="1" quotePrefix="1" applyNumberFormat="1" applyFont="1" applyFill="1" applyBorder="1" applyAlignment="1">
      <alignment horizontal="center" vertical="top" wrapText="1"/>
    </xf>
    <xf numFmtId="1" fontId="0" fillId="6" borderId="55" xfId="0" quotePrefix="1" applyNumberFormat="1" applyFill="1" applyBorder="1" applyAlignment="1">
      <alignment horizontal="center" vertical="top" wrapText="1"/>
    </xf>
    <xf numFmtId="1" fontId="0" fillId="6" borderId="56" xfId="0" quotePrefix="1" applyNumberFormat="1" applyFill="1" applyBorder="1" applyAlignment="1">
      <alignment horizontal="center" vertical="top" wrapText="1"/>
    </xf>
    <xf numFmtId="1" fontId="0" fillId="6" borderId="56" xfId="0" applyNumberFormat="1" applyFill="1" applyBorder="1" applyAlignment="1">
      <alignment horizontal="center" vertical="top" wrapText="1"/>
    </xf>
    <xf numFmtId="1" fontId="0" fillId="6" borderId="63" xfId="0" applyNumberFormat="1" applyFill="1" applyBorder="1" applyAlignment="1">
      <alignment horizontal="center" vertical="top" wrapText="1"/>
    </xf>
    <xf numFmtId="9" fontId="0" fillId="6" borderId="37" xfId="1" applyNumberFormat="1" applyFont="1" applyFill="1" applyBorder="1" applyAlignment="1">
      <alignment horizontal="center" vertical="top" wrapText="1"/>
    </xf>
    <xf numFmtId="9" fontId="0" fillId="6" borderId="37" xfId="1" quotePrefix="1" applyNumberFormat="1" applyFont="1" applyFill="1" applyBorder="1" applyAlignment="1">
      <alignment horizontal="center" vertical="top" wrapText="1"/>
    </xf>
    <xf numFmtId="0" fontId="0" fillId="5" borderId="62" xfId="0" applyFill="1" applyBorder="1" applyAlignment="1">
      <alignment horizontal="center" vertical="top" wrapText="1"/>
    </xf>
    <xf numFmtId="0" fontId="0" fillId="5" borderId="35" xfId="0" applyFill="1" applyBorder="1" applyAlignment="1">
      <alignment horizontal="center" vertical="top" wrapText="1"/>
    </xf>
    <xf numFmtId="0" fontId="0" fillId="3" borderId="59" xfId="0" applyFill="1" applyBorder="1" applyAlignment="1">
      <alignment horizontal="center" vertical="center" wrapText="1"/>
    </xf>
    <xf numFmtId="1" fontId="0" fillId="3" borderId="40" xfId="0" quotePrefix="1" applyNumberFormat="1" applyFill="1" applyBorder="1" applyAlignment="1">
      <alignment horizontal="center" vertical="center" wrapText="1"/>
    </xf>
    <xf numFmtId="1" fontId="0" fillId="3" borderId="22" xfId="0" applyNumberFormat="1" applyFill="1" applyBorder="1" applyAlignment="1">
      <alignment horizontal="center" vertical="center" wrapText="1"/>
    </xf>
    <xf numFmtId="1" fontId="0" fillId="3" borderId="22" xfId="0" quotePrefix="1" applyNumberFormat="1" applyFill="1" applyBorder="1" applyAlignment="1">
      <alignment horizontal="center" vertical="center" wrapText="1"/>
    </xf>
    <xf numFmtId="1" fontId="0" fillId="3" borderId="23" xfId="0" applyNumberFormat="1" applyFill="1" applyBorder="1" applyAlignment="1">
      <alignment horizontal="center" vertical="center" wrapText="1"/>
    </xf>
    <xf numFmtId="1" fontId="0" fillId="3" borderId="37" xfId="0" quotePrefix="1" applyNumberFormat="1" applyFill="1" applyBorder="1" applyAlignment="1">
      <alignment horizontal="center" vertical="center" wrapText="1"/>
    </xf>
    <xf numFmtId="1" fontId="0" fillId="3" borderId="21" xfId="0" applyNumberFormat="1" applyFill="1" applyBorder="1" applyAlignment="1">
      <alignment horizontal="center" vertical="center" wrapText="1"/>
    </xf>
    <xf numFmtId="1" fontId="0" fillId="3" borderId="27" xfId="0" applyNumberFormat="1" applyFill="1" applyBorder="1" applyAlignment="1">
      <alignment horizontal="center" vertical="center" wrapText="1"/>
    </xf>
    <xf numFmtId="1" fontId="0" fillId="4" borderId="37" xfId="0" quotePrefix="1" applyNumberFormat="1" applyFill="1" applyBorder="1" applyAlignment="1">
      <alignment horizontal="center" vertical="center" wrapText="1"/>
    </xf>
    <xf numFmtId="1" fontId="0" fillId="4" borderId="21" xfId="0" applyNumberFormat="1" applyFill="1" applyBorder="1" applyAlignment="1">
      <alignment horizontal="center" vertical="center" wrapText="1"/>
    </xf>
    <xf numFmtId="1" fontId="0" fillId="4" borderId="21" xfId="0" quotePrefix="1" applyNumberFormat="1" applyFill="1" applyBorder="1" applyAlignment="1">
      <alignment horizontal="center" vertical="center" wrapText="1"/>
    </xf>
    <xf numFmtId="1" fontId="0" fillId="4" borderId="27" xfId="0" applyNumberFormat="1" applyFill="1" applyBorder="1" applyAlignment="1">
      <alignment horizontal="center" vertical="center" wrapText="1"/>
    </xf>
    <xf numFmtId="1" fontId="0" fillId="3" borderId="62" xfId="0" quotePrefix="1" applyNumberFormat="1" applyFill="1" applyBorder="1" applyAlignment="1">
      <alignment horizontal="center" vertical="center" wrapText="1"/>
    </xf>
    <xf numFmtId="1" fontId="0" fillId="3" borderId="35" xfId="0" applyNumberFormat="1" applyFill="1" applyBorder="1" applyAlignment="1">
      <alignment horizontal="center" vertical="center" wrapText="1"/>
    </xf>
    <xf numFmtId="1" fontId="0" fillId="3" borderId="35" xfId="0" quotePrefix="1" applyNumberFormat="1" applyFill="1" applyBorder="1" applyAlignment="1">
      <alignment horizontal="center" vertical="center" wrapText="1"/>
    </xf>
    <xf numFmtId="1" fontId="0" fillId="3" borderId="59" xfId="0" applyNumberFormat="1" applyFill="1" applyBorder="1" applyAlignment="1">
      <alignment horizontal="center" vertical="center" wrapText="1"/>
    </xf>
    <xf numFmtId="1" fontId="0" fillId="3" borderId="21" xfId="0" quotePrefix="1" applyNumberFormat="1" applyFill="1" applyBorder="1" applyAlignment="1">
      <alignment horizontal="center" vertical="center" wrapText="1"/>
    </xf>
    <xf numFmtId="1" fontId="0" fillId="3" borderId="39" xfId="0" quotePrefix="1" applyNumberFormat="1" applyFill="1" applyBorder="1" applyAlignment="1">
      <alignment horizontal="center" vertical="center" wrapText="1"/>
    </xf>
    <xf numFmtId="1" fontId="0" fillId="3" borderId="24" xfId="0" applyNumberFormat="1" applyFill="1" applyBorder="1" applyAlignment="1">
      <alignment horizontal="center" vertical="center" wrapText="1"/>
    </xf>
    <xf numFmtId="1" fontId="0" fillId="3" borderId="24" xfId="0" quotePrefix="1" applyNumberFormat="1" applyFill="1" applyBorder="1" applyAlignment="1">
      <alignment horizontal="center" vertical="center" wrapText="1"/>
    </xf>
    <xf numFmtId="1" fontId="0" fillId="3" borderId="25" xfId="0" applyNumberFormat="1" applyFill="1" applyBorder="1" applyAlignment="1">
      <alignment horizontal="center" vertical="center" wrapText="1"/>
    </xf>
    <xf numFmtId="9" fontId="0" fillId="6" borderId="37" xfId="0" quotePrefix="1" applyNumberFormat="1" applyFill="1" applyBorder="1" applyAlignment="1">
      <alignment horizontal="center" vertical="top" wrapText="1"/>
    </xf>
    <xf numFmtId="1" fontId="0" fillId="6" borderId="43" xfId="1" applyNumberFormat="1" applyFont="1" applyFill="1" applyBorder="1" applyAlignment="1">
      <alignment horizontal="center" vertical="top" wrapText="1"/>
    </xf>
    <xf numFmtId="0" fontId="0" fillId="0" borderId="0" xfId="0" applyFill="1" applyBorder="1" applyAlignment="1">
      <alignment horizontal="left" vertical="top" wrapText="1"/>
    </xf>
    <xf numFmtId="1" fontId="0" fillId="6" borderId="27" xfId="1" applyNumberFormat="1" applyFont="1" applyFill="1" applyBorder="1" applyAlignment="1">
      <alignment horizontal="center" vertical="top" wrapText="1"/>
    </xf>
    <xf numFmtId="9" fontId="0" fillId="5" borderId="22" xfId="1" applyNumberFormat="1" applyFont="1" applyFill="1" applyBorder="1" applyAlignment="1">
      <alignment horizontal="center" vertical="top" wrapText="1"/>
    </xf>
    <xf numFmtId="9" fontId="0" fillId="5" borderId="40" xfId="1" applyNumberFormat="1" applyFont="1" applyFill="1" applyBorder="1" applyAlignment="1">
      <alignment horizontal="center" vertical="top" wrapText="1"/>
    </xf>
    <xf numFmtId="9" fontId="0" fillId="5" borderId="42" xfId="1" applyNumberFormat="1" applyFont="1" applyFill="1" applyBorder="1" applyAlignment="1">
      <alignment horizontal="center" vertical="top" wrapText="1"/>
    </xf>
    <xf numFmtId="0" fontId="0" fillId="0" borderId="21" xfId="0" applyBorder="1"/>
    <xf numFmtId="0" fontId="0" fillId="0" borderId="37" xfId="0" applyBorder="1"/>
    <xf numFmtId="0" fontId="0" fillId="0" borderId="38" xfId="0" applyBorder="1"/>
    <xf numFmtId="0" fontId="0" fillId="0" borderId="71" xfId="0" applyBorder="1"/>
    <xf numFmtId="0" fontId="0" fillId="0" borderId="72" xfId="0" applyBorder="1"/>
    <xf numFmtId="0" fontId="0" fillId="0" borderId="45" xfId="0" applyBorder="1"/>
    <xf numFmtId="0" fontId="0" fillId="0" borderId="62" xfId="0" applyBorder="1"/>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lignment horizontal="left" vertical="top" wrapText="1"/>
    </xf>
    <xf numFmtId="0" fontId="0" fillId="0" borderId="0" xfId="0" applyNumberFormat="1" applyAlignment="1">
      <alignment horizontal="left"/>
    </xf>
    <xf numFmtId="0" fontId="0" fillId="0" borderId="0" xfId="0" applyNumberFormat="1"/>
    <xf numFmtId="0" fontId="1" fillId="0" borderId="0" xfId="0" applyNumberFormat="1" applyFont="1" applyAlignment="1">
      <alignment horizontal="center" vertical="top" wrapText="1"/>
    </xf>
    <xf numFmtId="0" fontId="1" fillId="0" borderId="0" xfId="0" applyNumberFormat="1" applyFont="1" applyAlignment="1">
      <alignment wrapText="1"/>
    </xf>
    <xf numFmtId="0" fontId="0" fillId="0" borderId="0" xfId="0" applyAlignment="1">
      <alignment vertical="center"/>
    </xf>
    <xf numFmtId="0" fontId="0" fillId="0" borderId="0" xfId="0" applyNumberFormat="1" applyAlignment="1">
      <alignment horizontal="left" vertical="center" wrapText="1"/>
    </xf>
    <xf numFmtId="0" fontId="0" fillId="0" borderId="0" xfId="0" applyBorder="1" applyAlignment="1">
      <alignment vertical="center" wrapText="1"/>
    </xf>
    <xf numFmtId="0" fontId="0" fillId="0" borderId="37" xfId="0" applyNumberFormat="1" applyFill="1" applyBorder="1" applyAlignment="1">
      <alignment vertical="top" wrapText="1"/>
    </xf>
    <xf numFmtId="0" fontId="0" fillId="0" borderId="21" xfId="0" applyNumberFormat="1" applyFill="1" applyBorder="1" applyAlignment="1">
      <alignment vertical="top" wrapText="1"/>
    </xf>
    <xf numFmtId="0" fontId="0" fillId="0" borderId="37" xfId="0" applyNumberFormat="1" applyBorder="1" applyAlignment="1">
      <alignment horizontal="left" vertical="center" wrapText="1"/>
    </xf>
    <xf numFmtId="0" fontId="0" fillId="0" borderId="21" xfId="0" applyNumberFormat="1" applyBorder="1" applyAlignment="1">
      <alignment horizontal="left" vertical="center" wrapText="1"/>
    </xf>
    <xf numFmtId="0" fontId="0" fillId="0" borderId="45" xfId="0" applyNumberFormat="1" applyBorder="1" applyAlignment="1">
      <alignment horizontal="left" vertical="center" wrapText="1"/>
    </xf>
    <xf numFmtId="0" fontId="0" fillId="0" borderId="38" xfId="0" applyNumberFormat="1" applyBorder="1" applyAlignment="1">
      <alignment horizontal="left" vertical="center" wrapText="1"/>
    </xf>
    <xf numFmtId="1" fontId="0" fillId="3" borderId="23" xfId="0" quotePrefix="1" applyNumberFormat="1" applyFill="1" applyBorder="1" applyAlignment="1">
      <alignment horizontal="center" vertical="center" wrapText="1"/>
    </xf>
    <xf numFmtId="1" fontId="0" fillId="3" borderId="27" xfId="0" quotePrefix="1" applyNumberFormat="1" applyFill="1" applyBorder="1" applyAlignment="1">
      <alignment horizontal="center" vertical="center" wrapText="1"/>
    </xf>
    <xf numFmtId="1" fontId="0" fillId="4" borderId="27" xfId="0" quotePrefix="1" applyNumberFormat="1" applyFill="1" applyBorder="1" applyAlignment="1">
      <alignment horizontal="center" vertical="center" wrapText="1"/>
    </xf>
    <xf numFmtId="1" fontId="0" fillId="3" borderId="59" xfId="0" quotePrefix="1" applyNumberFormat="1" applyFill="1" applyBorder="1" applyAlignment="1">
      <alignment horizontal="center" vertical="center" wrapText="1"/>
    </xf>
    <xf numFmtId="1" fontId="0" fillId="3" borderId="25" xfId="0" quotePrefix="1" applyNumberFormat="1" applyFill="1" applyBorder="1" applyAlignment="1">
      <alignment horizontal="center" vertical="center" wrapText="1"/>
    </xf>
    <xf numFmtId="0" fontId="1" fillId="0" borderId="0" xfId="0" applyNumberFormat="1" applyFont="1" applyFill="1" applyBorder="1" applyAlignment="1">
      <alignment horizontal="left" vertical="top" wrapText="1"/>
    </xf>
    <xf numFmtId="0" fontId="0" fillId="0" borderId="0" xfId="0" applyNumberFormat="1" applyFill="1" applyBorder="1" applyAlignment="1">
      <alignment horizontal="left" vertical="top" wrapText="1"/>
    </xf>
    <xf numFmtId="0" fontId="0" fillId="0" borderId="0" xfId="0" applyNumberFormat="1" applyFill="1" applyBorder="1" applyAlignment="1">
      <alignment vertical="top" wrapText="1"/>
    </xf>
    <xf numFmtId="0" fontId="1" fillId="0" borderId="0" xfId="0" applyNumberFormat="1" applyFont="1" applyFill="1" applyBorder="1" applyAlignment="1">
      <alignment vertical="top" wrapText="1"/>
    </xf>
    <xf numFmtId="0" fontId="0" fillId="0" borderId="37" xfId="0" quotePrefix="1" applyFill="1" applyBorder="1" applyAlignment="1">
      <alignment vertical="top" wrapText="1"/>
    </xf>
    <xf numFmtId="1" fontId="0" fillId="2" borderId="20" xfId="0" applyNumberFormat="1" applyFill="1" applyBorder="1" applyAlignment="1">
      <alignment horizontal="center"/>
    </xf>
    <xf numFmtId="9" fontId="0" fillId="8" borderId="21" xfId="1" quotePrefix="1" applyFont="1" applyFill="1" applyBorder="1" applyAlignment="1">
      <alignment horizontal="center" vertical="top" wrapText="1"/>
    </xf>
    <xf numFmtId="1" fontId="0" fillId="8" borderId="22" xfId="1" applyNumberFormat="1" applyFont="1" applyFill="1" applyBorder="1" applyAlignment="1">
      <alignment horizontal="center" vertical="top" wrapText="1"/>
    </xf>
    <xf numFmtId="1" fontId="0" fillId="8" borderId="40" xfId="1" applyNumberFormat="1" applyFont="1" applyFill="1" applyBorder="1" applyAlignment="1">
      <alignment horizontal="center" vertical="top" wrapText="1"/>
    </xf>
    <xf numFmtId="1" fontId="0" fillId="8" borderId="42" xfId="1" applyNumberFormat="1" applyFont="1" applyFill="1" applyBorder="1" applyAlignment="1">
      <alignment horizontal="center" vertical="top" wrapText="1"/>
    </xf>
    <xf numFmtId="9" fontId="0" fillId="8" borderId="37" xfId="0" quotePrefix="1" applyNumberFormat="1" applyFill="1" applyBorder="1" applyAlignment="1">
      <alignment horizontal="center" vertical="top" wrapText="1"/>
    </xf>
    <xf numFmtId="9" fontId="0" fillId="8" borderId="21" xfId="1" applyFont="1" applyFill="1" applyBorder="1" applyAlignment="1">
      <alignment horizontal="center" vertical="top" wrapText="1"/>
    </xf>
    <xf numFmtId="9" fontId="0" fillId="8" borderId="37" xfId="1" applyFont="1" applyFill="1" applyBorder="1" applyAlignment="1">
      <alignment horizontal="center" vertical="top" wrapText="1"/>
    </xf>
    <xf numFmtId="9" fontId="0" fillId="8" borderId="27" xfId="1" applyFont="1" applyFill="1" applyBorder="1" applyAlignment="1">
      <alignment horizontal="center" vertical="top" wrapText="1"/>
    </xf>
    <xf numFmtId="9" fontId="0" fillId="8" borderId="18" xfId="0" applyNumberFormat="1" applyFill="1" applyBorder="1" applyAlignment="1">
      <alignment horizontal="center" vertical="top" wrapText="1"/>
    </xf>
    <xf numFmtId="9" fontId="0" fillId="8" borderId="43" xfId="1" applyFont="1" applyFill="1" applyBorder="1" applyAlignment="1">
      <alignment horizontal="center" vertical="top" wrapText="1"/>
    </xf>
    <xf numFmtId="1" fontId="0" fillId="8" borderId="39" xfId="0" quotePrefix="1" applyNumberFormat="1" applyFill="1" applyBorder="1" applyAlignment="1">
      <alignment horizontal="center" vertical="top" wrapText="1"/>
    </xf>
    <xf numFmtId="1" fontId="0" fillId="8" borderId="24" xfId="1" quotePrefix="1" applyNumberFormat="1" applyFont="1" applyFill="1" applyBorder="1" applyAlignment="1">
      <alignment horizontal="center" vertical="top" wrapText="1"/>
    </xf>
    <xf numFmtId="1" fontId="0" fillId="8" borderId="24" xfId="1" applyNumberFormat="1" applyFont="1" applyFill="1" applyBorder="1" applyAlignment="1">
      <alignment horizontal="center" vertical="top" wrapText="1"/>
    </xf>
    <xf numFmtId="1" fontId="0" fillId="8" borderId="39" xfId="1" applyNumberFormat="1" applyFont="1" applyFill="1" applyBorder="1" applyAlignment="1">
      <alignment horizontal="center" vertical="top" wrapText="1"/>
    </xf>
    <xf numFmtId="1" fontId="0" fillId="8" borderId="46" xfId="1" applyNumberFormat="1" applyFont="1" applyFill="1" applyBorder="1" applyAlignment="1">
      <alignment horizontal="center" vertical="top" wrapText="1"/>
    </xf>
    <xf numFmtId="1" fontId="0" fillId="8" borderId="62" xfId="1" applyNumberFormat="1" applyFont="1" applyFill="1" applyBorder="1" applyAlignment="1">
      <alignment horizontal="center" vertical="top" wrapText="1"/>
    </xf>
    <xf numFmtId="1" fontId="0" fillId="8" borderId="35" xfId="1" applyNumberFormat="1" applyFont="1" applyFill="1" applyBorder="1" applyAlignment="1">
      <alignment horizontal="center" vertical="top" wrapText="1"/>
    </xf>
    <xf numFmtId="1" fontId="0" fillId="8" borderId="52" xfId="1" applyNumberFormat="1" applyFont="1" applyFill="1" applyBorder="1" applyAlignment="1">
      <alignment horizontal="center" vertical="top" wrapText="1"/>
    </xf>
    <xf numFmtId="1" fontId="0" fillId="8" borderId="57" xfId="1" applyNumberFormat="1" applyFont="1" applyFill="1" applyBorder="1" applyAlignment="1">
      <alignment horizontal="center" vertical="top" wrapText="1"/>
    </xf>
    <xf numFmtId="1" fontId="0" fillId="8" borderId="36" xfId="1" applyNumberFormat="1" applyFont="1" applyFill="1" applyBorder="1" applyAlignment="1">
      <alignment horizontal="center" vertical="top" wrapText="1"/>
    </xf>
    <xf numFmtId="1" fontId="0" fillId="8" borderId="13" xfId="1" applyNumberFormat="1" applyFont="1" applyFill="1" applyBorder="1" applyAlignment="1">
      <alignment horizontal="center" vertical="top" wrapText="1"/>
    </xf>
    <xf numFmtId="0" fontId="0" fillId="10" borderId="27" xfId="0" applyFill="1" applyBorder="1" applyAlignment="1">
      <alignment horizontal="center" vertical="center" wrapText="1"/>
    </xf>
    <xf numFmtId="0" fontId="0" fillId="9" borderId="23" xfId="0" applyFill="1" applyBorder="1" applyAlignment="1">
      <alignment horizontal="center" vertical="center" wrapText="1"/>
    </xf>
    <xf numFmtId="0" fontId="0" fillId="9" borderId="27" xfId="0" applyFill="1" applyBorder="1" applyAlignment="1">
      <alignment horizontal="center" vertical="center" wrapText="1"/>
    </xf>
    <xf numFmtId="0" fontId="0" fillId="9" borderId="59" xfId="0" applyFill="1" applyBorder="1" applyAlignment="1">
      <alignment horizontal="center" vertical="center" wrapText="1"/>
    </xf>
    <xf numFmtId="0" fontId="0" fillId="9" borderId="25" xfId="0" applyFill="1" applyBorder="1" applyAlignment="1">
      <alignment horizontal="center" vertical="center" wrapText="1"/>
    </xf>
    <xf numFmtId="20" fontId="0" fillId="9" borderId="21" xfId="1" applyNumberFormat="1" applyFont="1" applyFill="1" applyBorder="1" applyAlignment="1">
      <alignment horizontal="center" vertical="top" wrapText="1"/>
    </xf>
    <xf numFmtId="20" fontId="0" fillId="9" borderId="27" xfId="1" applyNumberFormat="1" applyFont="1" applyFill="1" applyBorder="1" applyAlignment="1">
      <alignment horizontal="center" vertical="top" wrapText="1"/>
    </xf>
    <xf numFmtId="9" fontId="0" fillId="9" borderId="21" xfId="1" applyNumberFormat="1" applyFont="1" applyFill="1" applyBorder="1" applyAlignment="1">
      <alignment horizontal="center" vertical="top" wrapText="1"/>
    </xf>
    <xf numFmtId="9" fontId="0" fillId="9" borderId="27" xfId="1" applyNumberFormat="1" applyFont="1" applyFill="1" applyBorder="1" applyAlignment="1">
      <alignment horizontal="center" vertical="top" wrapText="1"/>
    </xf>
    <xf numFmtId="1" fontId="0" fillId="9" borderId="24" xfId="1" applyNumberFormat="1" applyFont="1" applyFill="1" applyBorder="1" applyAlignment="1">
      <alignment horizontal="center" vertical="top" wrapText="1"/>
    </xf>
    <xf numFmtId="1" fontId="0" fillId="9" borderId="25" xfId="1" applyNumberFormat="1" applyFont="1" applyFill="1" applyBorder="1" applyAlignment="1">
      <alignment horizontal="center" vertical="top" wrapText="1"/>
    </xf>
    <xf numFmtId="1" fontId="0" fillId="10" borderId="37" xfId="1" applyNumberFormat="1" applyFont="1" applyFill="1" applyBorder="1" applyAlignment="1">
      <alignment horizontal="center" vertical="top" wrapText="1"/>
    </xf>
    <xf numFmtId="1" fontId="0" fillId="10" borderId="27" xfId="1" applyNumberFormat="1" applyFont="1" applyFill="1" applyBorder="1" applyAlignment="1">
      <alignment horizontal="center" vertical="top" wrapText="1"/>
    </xf>
    <xf numFmtId="0" fontId="0" fillId="8" borderId="62" xfId="0" applyNumberFormat="1" applyFill="1" applyBorder="1" applyAlignment="1">
      <alignment horizontal="left" vertical="top" wrapText="1"/>
    </xf>
    <xf numFmtId="0" fontId="0" fillId="8" borderId="35" xfId="0" applyNumberFormat="1" applyFill="1" applyBorder="1" applyAlignment="1">
      <alignment horizontal="left" vertical="top" wrapText="1"/>
    </xf>
    <xf numFmtId="0" fontId="1" fillId="10" borderId="27" xfId="0" applyNumberFormat="1" applyFont="1" applyFill="1" applyBorder="1" applyAlignment="1">
      <alignment horizontal="left" vertical="top"/>
    </xf>
    <xf numFmtId="0" fontId="1" fillId="9" borderId="27" xfId="0" applyNumberFormat="1" applyFont="1" applyFill="1" applyBorder="1" applyAlignment="1">
      <alignment horizontal="left" vertical="top"/>
    </xf>
    <xf numFmtId="0" fontId="0" fillId="0" borderId="0" xfId="0" applyNumberFormat="1" applyAlignment="1">
      <alignment horizontal="center" vertical="center"/>
    </xf>
    <xf numFmtId="0" fontId="1" fillId="10" borderId="23" xfId="0" applyNumberFormat="1" applyFont="1" applyFill="1" applyBorder="1" applyAlignment="1">
      <alignment horizontal="left" vertical="top"/>
    </xf>
    <xf numFmtId="0" fontId="1" fillId="10" borderId="25" xfId="0" applyNumberFormat="1" applyFont="1" applyFill="1" applyBorder="1" applyAlignment="1">
      <alignment horizontal="left" vertical="top"/>
    </xf>
    <xf numFmtId="0" fontId="1" fillId="9" borderId="23" xfId="0" applyNumberFormat="1" applyFont="1" applyFill="1" applyBorder="1" applyAlignment="1">
      <alignment horizontal="left" vertical="top"/>
    </xf>
    <xf numFmtId="0" fontId="1" fillId="9" borderId="25" xfId="0" applyNumberFormat="1" applyFont="1" applyFill="1" applyBorder="1" applyAlignment="1">
      <alignment horizontal="left" vertical="top"/>
    </xf>
    <xf numFmtId="0" fontId="1" fillId="6" borderId="23" xfId="0" applyNumberFormat="1" applyFont="1" applyFill="1" applyBorder="1" applyAlignment="1">
      <alignment horizontal="left" vertical="top"/>
    </xf>
    <xf numFmtId="0" fontId="1" fillId="6" borderId="27" xfId="0" applyNumberFormat="1" applyFont="1" applyFill="1" applyBorder="1" applyAlignment="1">
      <alignment horizontal="left" vertical="top"/>
    </xf>
    <xf numFmtId="0" fontId="1" fillId="6" borderId="25" xfId="0" applyNumberFormat="1" applyFont="1" applyFill="1" applyBorder="1" applyAlignment="1">
      <alignment horizontal="left" vertical="top"/>
    </xf>
    <xf numFmtId="0" fontId="0" fillId="8" borderId="74" xfId="0" applyNumberFormat="1" applyFill="1" applyBorder="1" applyAlignment="1">
      <alignment horizontal="left" vertical="top" wrapText="1"/>
    </xf>
    <xf numFmtId="0" fontId="5" fillId="0" borderId="0" xfId="0" applyFont="1" applyFill="1" applyAlignment="1">
      <alignment vertical="top" wrapText="1"/>
    </xf>
    <xf numFmtId="0" fontId="5" fillId="5" borderId="91" xfId="0" applyFont="1" applyFill="1" applyBorder="1" applyAlignment="1">
      <alignment vertical="center" wrapText="1"/>
    </xf>
    <xf numFmtId="0" fontId="5" fillId="11" borderId="92" xfId="0" applyFont="1" applyFill="1" applyBorder="1" applyAlignment="1">
      <alignment vertical="top" wrapText="1"/>
    </xf>
    <xf numFmtId="0" fontId="5" fillId="11" borderId="93" xfId="0" applyFont="1" applyFill="1" applyBorder="1" applyAlignment="1">
      <alignment vertical="top" wrapText="1"/>
    </xf>
    <xf numFmtId="49" fontId="5" fillId="5" borderId="94" xfId="0" applyNumberFormat="1" applyFont="1" applyFill="1" applyBorder="1" applyAlignment="1">
      <alignment vertical="center" wrapText="1"/>
    </xf>
    <xf numFmtId="49" fontId="5" fillId="0" borderId="0" xfId="0" applyNumberFormat="1" applyFont="1" applyFill="1" applyAlignment="1">
      <alignment vertical="top" wrapText="1"/>
    </xf>
    <xf numFmtId="0" fontId="5" fillId="11" borderId="97" xfId="0" applyFont="1" applyFill="1" applyBorder="1" applyAlignment="1">
      <alignment vertical="top" wrapText="1"/>
    </xf>
    <xf numFmtId="1" fontId="0" fillId="3" borderId="40" xfId="2" quotePrefix="1" applyNumberFormat="1" applyFont="1" applyFill="1" applyBorder="1" applyAlignment="1">
      <alignment horizontal="center" vertical="center" wrapText="1"/>
    </xf>
    <xf numFmtId="1" fontId="0" fillId="3" borderId="22" xfId="2" applyNumberFormat="1" applyFont="1" applyFill="1" applyBorder="1" applyAlignment="1">
      <alignment horizontal="center" vertical="center" wrapText="1"/>
    </xf>
    <xf numFmtId="1" fontId="0" fillId="3" borderId="22" xfId="2" quotePrefix="1" applyNumberFormat="1" applyFont="1" applyFill="1" applyBorder="1" applyAlignment="1">
      <alignment horizontal="center" vertical="center" wrapText="1"/>
    </xf>
    <xf numFmtId="1" fontId="0" fillId="3" borderId="23" xfId="2" applyNumberFormat="1" applyFont="1" applyFill="1" applyBorder="1" applyAlignment="1">
      <alignment horizontal="center" vertical="center" wrapText="1"/>
    </xf>
    <xf numFmtId="1" fontId="0" fillId="3" borderId="37" xfId="2" quotePrefix="1" applyNumberFormat="1" applyFont="1" applyFill="1" applyBorder="1" applyAlignment="1">
      <alignment horizontal="center" vertical="center" wrapText="1"/>
    </xf>
    <xf numFmtId="1" fontId="0" fillId="3" borderId="21" xfId="2" applyNumberFormat="1" applyFont="1" applyFill="1" applyBorder="1" applyAlignment="1">
      <alignment horizontal="center" vertical="center" wrapText="1"/>
    </xf>
    <xf numFmtId="1" fontId="0" fillId="3" borderId="27" xfId="2" applyNumberFormat="1" applyFont="1" applyFill="1" applyBorder="1" applyAlignment="1">
      <alignment horizontal="center" vertical="center" wrapText="1"/>
    </xf>
    <xf numFmtId="1" fontId="0" fillId="4" borderId="37" xfId="2" quotePrefix="1" applyNumberFormat="1" applyFont="1" applyFill="1" applyBorder="1" applyAlignment="1">
      <alignment horizontal="center" vertical="center" wrapText="1"/>
    </xf>
    <xf numFmtId="1" fontId="0" fillId="4" borderId="21" xfId="2" applyNumberFormat="1" applyFont="1" applyFill="1" applyBorder="1" applyAlignment="1">
      <alignment horizontal="center" vertical="center" wrapText="1"/>
    </xf>
    <xf numFmtId="1" fontId="0" fillId="4" borderId="21" xfId="2" quotePrefix="1" applyNumberFormat="1" applyFont="1" applyFill="1" applyBorder="1" applyAlignment="1">
      <alignment horizontal="center" vertical="center" wrapText="1"/>
    </xf>
    <xf numFmtId="1" fontId="0" fillId="4" borderId="27" xfId="2" applyNumberFormat="1" applyFont="1" applyFill="1" applyBorder="1" applyAlignment="1">
      <alignment horizontal="center" vertical="center" wrapText="1"/>
    </xf>
    <xf numFmtId="1" fontId="0" fillId="3" borderId="62" xfId="2" quotePrefix="1" applyNumberFormat="1" applyFont="1" applyFill="1" applyBorder="1" applyAlignment="1">
      <alignment horizontal="center" vertical="center" wrapText="1"/>
    </xf>
    <xf numFmtId="1" fontId="0" fillId="3" borderId="35" xfId="2" applyNumberFormat="1" applyFont="1" applyFill="1" applyBorder="1" applyAlignment="1">
      <alignment horizontal="center" vertical="center" wrapText="1"/>
    </xf>
    <xf numFmtId="1" fontId="0" fillId="3" borderId="35" xfId="2" quotePrefix="1" applyNumberFormat="1" applyFont="1" applyFill="1" applyBorder="1" applyAlignment="1">
      <alignment horizontal="center" vertical="center" wrapText="1"/>
    </xf>
    <xf numFmtId="1" fontId="0" fillId="3" borderId="59" xfId="2" applyNumberFormat="1" applyFont="1" applyFill="1" applyBorder="1" applyAlignment="1">
      <alignment horizontal="center" vertical="center" wrapText="1"/>
    </xf>
    <xf numFmtId="1" fontId="0" fillId="3" borderId="21" xfId="2" quotePrefix="1" applyNumberFormat="1" applyFont="1" applyFill="1" applyBorder="1" applyAlignment="1">
      <alignment horizontal="center" vertical="center" wrapText="1"/>
    </xf>
    <xf numFmtId="1" fontId="0" fillId="3" borderId="39" xfId="2" quotePrefix="1" applyNumberFormat="1" applyFont="1" applyFill="1" applyBorder="1" applyAlignment="1">
      <alignment horizontal="center" vertical="center" wrapText="1"/>
    </xf>
    <xf numFmtId="1" fontId="0" fillId="3" borderId="24" xfId="2" applyNumberFormat="1" applyFont="1" applyFill="1" applyBorder="1" applyAlignment="1">
      <alignment horizontal="center" vertical="center" wrapText="1"/>
    </xf>
    <xf numFmtId="1" fontId="0" fillId="3" borderId="24" xfId="2" quotePrefix="1" applyNumberFormat="1" applyFont="1" applyFill="1" applyBorder="1" applyAlignment="1">
      <alignment horizontal="center" vertical="center" wrapText="1"/>
    </xf>
    <xf numFmtId="1" fontId="0" fillId="3" borderId="25" xfId="2" applyNumberFormat="1" applyFont="1" applyFill="1" applyBorder="1" applyAlignment="1">
      <alignment horizontal="center" vertical="center" wrapText="1"/>
    </xf>
    <xf numFmtId="0" fontId="0" fillId="0" borderId="0" xfId="0" applyBorder="1"/>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lignment vertical="center"/>
    </xf>
    <xf numFmtId="0" fontId="0" fillId="0" borderId="0" xfId="0" applyAlignment="1">
      <alignment vertical="center"/>
    </xf>
    <xf numFmtId="0" fontId="0" fillId="0" borderId="0" xfId="0" applyNumberFormat="1" applyAlignment="1">
      <alignment horizontal="left" vertical="center" wrapText="1"/>
    </xf>
    <xf numFmtId="1" fontId="0" fillId="10" borderId="21" xfId="1" applyNumberFormat="1" applyFont="1" applyFill="1" applyBorder="1" applyAlignment="1">
      <alignment horizontal="center" vertical="top" wrapText="1"/>
    </xf>
    <xf numFmtId="0" fontId="0" fillId="0" borderId="11" xfId="0" applyBorder="1" applyAlignment="1">
      <alignment horizontal="center"/>
    </xf>
    <xf numFmtId="0" fontId="0" fillId="0" borderId="50" xfId="0" applyBorder="1"/>
    <xf numFmtId="0" fontId="0" fillId="0" borderId="0" xfId="0" applyNumberFormat="1" applyFill="1" applyAlignment="1">
      <alignment horizontal="left" vertical="top"/>
    </xf>
    <xf numFmtId="0" fontId="0" fillId="10" borderId="22" xfId="0" applyNumberFormat="1" applyFill="1" applyBorder="1" applyAlignment="1">
      <alignment horizontal="left" vertical="top"/>
    </xf>
    <xf numFmtId="0" fontId="0" fillId="10" borderId="37" xfId="0" applyNumberFormat="1" applyFill="1" applyBorder="1" applyAlignment="1">
      <alignment horizontal="left" vertical="top"/>
    </xf>
    <xf numFmtId="0" fontId="0" fillId="10" borderId="21" xfId="0" applyNumberFormat="1" applyFill="1" applyBorder="1" applyAlignment="1">
      <alignment horizontal="left" vertical="top"/>
    </xf>
    <xf numFmtId="0" fontId="0" fillId="0" borderId="0" xfId="0" applyNumberFormat="1" applyAlignment="1">
      <alignment horizontal="left" vertical="top"/>
    </xf>
    <xf numFmtId="0" fontId="0" fillId="10" borderId="39" xfId="0" applyNumberFormat="1" applyFill="1" applyBorder="1" applyAlignment="1">
      <alignment horizontal="left" vertical="top"/>
    </xf>
    <xf numFmtId="0" fontId="0" fillId="10" borderId="24" xfId="0" applyNumberFormat="1" applyFill="1" applyBorder="1" applyAlignment="1">
      <alignment horizontal="left" vertical="top"/>
    </xf>
    <xf numFmtId="0" fontId="0" fillId="9" borderId="22" xfId="0" quotePrefix="1" applyNumberFormat="1" applyFill="1" applyBorder="1" applyAlignment="1">
      <alignment horizontal="left" vertical="top"/>
    </xf>
    <xf numFmtId="0" fontId="0" fillId="9" borderId="22" xfId="0" applyNumberFormat="1" applyFill="1" applyBorder="1" applyAlignment="1">
      <alignment horizontal="left" vertical="top"/>
    </xf>
    <xf numFmtId="0" fontId="0" fillId="9" borderId="21" xfId="0" applyNumberFormat="1" applyFill="1" applyBorder="1" applyAlignment="1">
      <alignment horizontal="left" vertical="top"/>
    </xf>
    <xf numFmtId="0" fontId="0" fillId="9" borderId="24" xfId="0" applyNumberFormat="1" applyFill="1" applyBorder="1" applyAlignment="1">
      <alignment horizontal="left" vertical="top"/>
    </xf>
    <xf numFmtId="0" fontId="0" fillId="9" borderId="62" xfId="0" applyNumberFormat="1" applyFill="1" applyBorder="1" applyAlignment="1">
      <alignment horizontal="left" vertical="top"/>
    </xf>
    <xf numFmtId="0" fontId="0" fillId="9" borderId="35" xfId="0" applyNumberFormat="1" applyFill="1" applyBorder="1" applyAlignment="1">
      <alignment horizontal="left" vertical="top"/>
    </xf>
    <xf numFmtId="0" fontId="0" fillId="9" borderId="37" xfId="0" applyNumberFormat="1" applyFill="1" applyBorder="1" applyAlignment="1">
      <alignment horizontal="left" vertical="top"/>
    </xf>
    <xf numFmtId="2" fontId="0" fillId="6" borderId="22" xfId="0" applyNumberFormat="1" applyFill="1" applyBorder="1" applyAlignment="1">
      <alignment horizontal="left" vertical="top"/>
    </xf>
    <xf numFmtId="2" fontId="0" fillId="6" borderId="21" xfId="0" applyNumberFormat="1" applyFill="1" applyBorder="1" applyAlignment="1">
      <alignment horizontal="left" vertical="top"/>
    </xf>
    <xf numFmtId="2" fontId="0" fillId="6" borderId="24" xfId="0" applyNumberFormat="1" applyFill="1" applyBorder="1" applyAlignment="1">
      <alignment horizontal="left" vertical="top"/>
    </xf>
    <xf numFmtId="0" fontId="0" fillId="6" borderId="62" xfId="0" applyNumberFormat="1" applyFill="1" applyBorder="1" applyAlignment="1">
      <alignment horizontal="left" vertical="top"/>
    </xf>
    <xf numFmtId="0" fontId="0" fillId="6" borderId="35" xfId="0" applyNumberFormat="1" applyFill="1" applyBorder="1" applyAlignment="1">
      <alignment horizontal="left" vertical="top"/>
    </xf>
    <xf numFmtId="0" fontId="0" fillId="6" borderId="37" xfId="0" applyNumberFormat="1" applyFill="1" applyBorder="1" applyAlignment="1">
      <alignment horizontal="left" vertical="top"/>
    </xf>
    <xf numFmtId="0" fontId="0" fillId="6" borderId="21" xfId="0" applyNumberFormat="1" applyFill="1" applyBorder="1" applyAlignment="1">
      <alignment horizontal="left" vertical="top"/>
    </xf>
    <xf numFmtId="0" fontId="0" fillId="0" borderId="12" xfId="0" applyBorder="1" applyAlignment="1">
      <alignment horizontal="center"/>
    </xf>
    <xf numFmtId="0" fontId="0" fillId="0" borderId="30" xfId="0" applyBorder="1" applyAlignment="1">
      <alignment horizontal="center"/>
    </xf>
    <xf numFmtId="0" fontId="0" fillId="0" borderId="106" xfId="0" applyBorder="1" applyAlignment="1">
      <alignment horizontal="center"/>
    </xf>
    <xf numFmtId="0" fontId="0" fillId="0" borderId="22" xfId="0" applyBorder="1" applyAlignment="1">
      <alignment horizontal="center" vertical="center"/>
    </xf>
    <xf numFmtId="0" fontId="0" fillId="0" borderId="39" xfId="0" applyBorder="1" applyAlignment="1">
      <alignment horizontal="center" vertical="center"/>
    </xf>
    <xf numFmtId="0" fontId="0" fillId="0" borderId="82" xfId="0" applyBorder="1" applyAlignment="1">
      <alignment horizontal="center" vertical="center"/>
    </xf>
    <xf numFmtId="0" fontId="0" fillId="0" borderId="114" xfId="0" applyBorder="1" applyAlignment="1">
      <alignment horizontal="center" vertical="center"/>
    </xf>
    <xf numFmtId="0" fontId="0" fillId="0" borderId="87" xfId="0" applyBorder="1" applyAlignment="1">
      <alignment horizontal="center" vertical="center"/>
    </xf>
    <xf numFmtId="0" fontId="0" fillId="0" borderId="86" xfId="0" applyBorder="1" applyAlignment="1">
      <alignment horizontal="center" vertical="center"/>
    </xf>
    <xf numFmtId="0" fontId="0" fillId="0" borderId="66" xfId="0" applyBorder="1" applyAlignment="1">
      <alignment horizontal="center" vertical="center"/>
    </xf>
    <xf numFmtId="0" fontId="0" fillId="0" borderId="70" xfId="0" applyBorder="1" applyAlignment="1">
      <alignment horizontal="center" vertical="center"/>
    </xf>
    <xf numFmtId="0" fontId="0" fillId="7" borderId="6" xfId="0" applyFill="1" applyBorder="1"/>
    <xf numFmtId="0" fontId="0" fillId="2" borderId="112" xfId="0" applyNumberFormat="1" applyFill="1" applyBorder="1" applyAlignment="1">
      <alignment horizontal="center"/>
    </xf>
    <xf numFmtId="0" fontId="0" fillId="2" borderId="6" xfId="0" applyNumberFormat="1" applyFill="1" applyBorder="1" applyAlignment="1">
      <alignment horizontal="center" vertical="center"/>
    </xf>
    <xf numFmtId="0" fontId="0" fillId="2" borderId="7" xfId="0" applyNumberFormat="1" applyFill="1" applyBorder="1" applyAlignment="1">
      <alignment horizontal="center" vertical="center"/>
    </xf>
    <xf numFmtId="0" fontId="0" fillId="2" borderId="8" xfId="0" applyNumberFormat="1" applyFill="1" applyBorder="1" applyAlignment="1">
      <alignment horizontal="center" vertical="center"/>
    </xf>
    <xf numFmtId="0" fontId="0" fillId="7" borderId="88" xfId="0" applyFill="1" applyBorder="1"/>
    <xf numFmtId="0" fontId="0" fillId="2" borderId="6" xfId="0" applyFill="1" applyBorder="1"/>
    <xf numFmtId="0" fontId="0" fillId="7" borderId="115" xfId="0" applyFill="1" applyBorder="1"/>
    <xf numFmtId="0" fontId="0" fillId="2" borderId="88" xfId="0" applyFill="1" applyBorder="1"/>
    <xf numFmtId="0" fontId="0" fillId="2" borderId="64" xfId="0" applyNumberFormat="1" applyFill="1" applyBorder="1" applyAlignment="1">
      <alignment horizontal="center"/>
    </xf>
    <xf numFmtId="0" fontId="0" fillId="7" borderId="64" xfId="0" applyNumberFormat="1" applyFill="1" applyBorder="1" applyAlignment="1">
      <alignment horizontal="center"/>
    </xf>
    <xf numFmtId="0" fontId="0" fillId="7" borderId="116" xfId="0" applyFill="1" applyBorder="1"/>
    <xf numFmtId="0" fontId="0" fillId="7" borderId="88" xfId="0" applyNumberFormat="1" applyFill="1" applyBorder="1" applyAlignment="1">
      <alignment horizontal="center" vertical="center"/>
    </xf>
    <xf numFmtId="0" fontId="0" fillId="7" borderId="19" xfId="0" applyNumberFormat="1" applyFill="1" applyBorder="1" applyAlignment="1">
      <alignment horizontal="center" vertical="center"/>
    </xf>
    <xf numFmtId="0" fontId="0" fillId="7" borderId="28" xfId="0" applyNumberFormat="1" applyFill="1" applyBorder="1" applyAlignment="1">
      <alignment horizontal="center" vertical="center"/>
    </xf>
    <xf numFmtId="0" fontId="0" fillId="2" borderId="89" xfId="0" applyFill="1" applyBorder="1"/>
    <xf numFmtId="0" fontId="0" fillId="7" borderId="87" xfId="0" applyFill="1" applyBorder="1"/>
    <xf numFmtId="0" fontId="0" fillId="2" borderId="87" xfId="0" applyNumberFormat="1" applyFill="1" applyBorder="1" applyAlignment="1">
      <alignment horizontal="center" vertical="center"/>
    </xf>
    <xf numFmtId="0" fontId="0" fillId="2" borderId="31" xfId="0" applyNumberFormat="1" applyFill="1" applyBorder="1" applyAlignment="1">
      <alignment horizontal="center" vertical="center"/>
    </xf>
    <xf numFmtId="0" fontId="0" fillId="2" borderId="32" xfId="0" applyNumberFormat="1" applyFill="1" applyBorder="1" applyAlignment="1">
      <alignment horizontal="center" vertical="center"/>
    </xf>
    <xf numFmtId="1" fontId="0" fillId="7" borderId="28" xfId="0" applyNumberFormat="1" applyFill="1" applyBorder="1" applyAlignment="1">
      <alignment horizontal="center" vertical="center"/>
    </xf>
    <xf numFmtId="1" fontId="0" fillId="2" borderId="20" xfId="0" applyNumberFormat="1" applyFill="1" applyBorder="1" applyAlignment="1">
      <alignment horizontal="center" vertical="center"/>
    </xf>
    <xf numFmtId="1" fontId="0" fillId="7" borderId="8"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7" borderId="61" xfId="0" applyNumberFormat="1" applyFill="1" applyBorder="1" applyAlignment="1">
      <alignment horizontal="center" vertical="center"/>
    </xf>
    <xf numFmtId="1" fontId="0" fillId="2" borderId="64" xfId="0" applyNumberFormat="1" applyFill="1" applyBorder="1" applyAlignment="1">
      <alignment horizontal="center" vertical="center"/>
    </xf>
    <xf numFmtId="1" fontId="0" fillId="7" borderId="64" xfId="0" applyNumberFormat="1" applyFill="1" applyBorder="1" applyAlignment="1">
      <alignment horizontal="center" vertical="center"/>
    </xf>
    <xf numFmtId="1" fontId="0" fillId="2" borderId="17" xfId="0" applyNumberFormat="1" applyFill="1" applyBorder="1" applyAlignment="1">
      <alignment horizontal="center" vertical="center"/>
    </xf>
    <xf numFmtId="1" fontId="0" fillId="7" borderId="112" xfId="0" applyNumberFormat="1" applyFill="1" applyBorder="1" applyAlignment="1">
      <alignment horizontal="center" vertical="center"/>
    </xf>
    <xf numFmtId="1" fontId="0" fillId="7" borderId="31" xfId="0" applyNumberFormat="1" applyFill="1" applyBorder="1" applyAlignment="1">
      <alignment horizontal="center" vertical="center"/>
    </xf>
    <xf numFmtId="1" fontId="0" fillId="2" borderId="19" xfId="0" applyNumberFormat="1" applyFill="1" applyBorder="1" applyAlignment="1">
      <alignment horizontal="center" vertical="center"/>
    </xf>
    <xf numFmtId="1" fontId="0" fillId="7" borderId="19" xfId="0" applyNumberFormat="1" applyFill="1" applyBorder="1" applyAlignment="1">
      <alignment horizontal="center" vertical="center"/>
    </xf>
    <xf numFmtId="1" fontId="0" fillId="2" borderId="18" xfId="0" applyNumberFormat="1" applyFill="1" applyBorder="1" applyAlignment="1">
      <alignment horizontal="center" vertical="center"/>
    </xf>
    <xf numFmtId="1" fontId="0" fillId="7" borderId="7" xfId="0" applyNumberFormat="1" applyFill="1" applyBorder="1" applyAlignment="1">
      <alignment horizontal="center" vertical="center"/>
    </xf>
    <xf numFmtId="1" fontId="0" fillId="7" borderId="117" xfId="0" applyNumberFormat="1" applyFill="1" applyBorder="1" applyAlignment="1">
      <alignment horizontal="center" vertical="center"/>
    </xf>
    <xf numFmtId="2" fontId="0" fillId="7" borderId="118" xfId="0" applyNumberFormat="1" applyFill="1" applyBorder="1" applyAlignment="1">
      <alignment horizontal="center"/>
    </xf>
    <xf numFmtId="2" fontId="0" fillId="2" borderId="118" xfId="0" applyNumberFormat="1" applyFill="1" applyBorder="1" applyAlignment="1">
      <alignment horizontal="center"/>
    </xf>
    <xf numFmtId="2" fontId="0" fillId="7" borderId="119" xfId="0" applyNumberFormat="1" applyFill="1" applyBorder="1" applyAlignment="1">
      <alignment horizontal="center"/>
    </xf>
    <xf numFmtId="0" fontId="1" fillId="0" borderId="2" xfId="0" applyFont="1" applyFill="1" applyBorder="1" applyAlignment="1">
      <alignment horizontal="center" vertical="top"/>
    </xf>
    <xf numFmtId="0" fontId="1" fillId="7" borderId="0" xfId="0" applyFont="1" applyFill="1" applyBorder="1" applyAlignment="1">
      <alignment vertical="top" wrapText="1"/>
    </xf>
    <xf numFmtId="1" fontId="0" fillId="7" borderId="0" xfId="0" applyNumberFormat="1" applyFill="1" applyBorder="1" applyAlignment="1">
      <alignment horizontal="center" vertical="top" wrapText="1"/>
    </xf>
    <xf numFmtId="1" fontId="5" fillId="7" borderId="0" xfId="0" applyNumberFormat="1" applyFont="1" applyFill="1" applyBorder="1" applyAlignment="1">
      <alignment horizontal="center" vertical="top" wrapText="1"/>
    </xf>
    <xf numFmtId="1" fontId="7" fillId="7" borderId="0" xfId="0" applyNumberFormat="1" applyFont="1" applyFill="1" applyBorder="1" applyAlignment="1">
      <alignment horizontal="center" vertical="top" wrapText="1"/>
    </xf>
    <xf numFmtId="9" fontId="0" fillId="7" borderId="0" xfId="1" applyNumberFormat="1" applyFont="1" applyFill="1" applyBorder="1" applyAlignment="1">
      <alignment horizontal="center" vertical="top" wrapText="1"/>
    </xf>
    <xf numFmtId="9" fontId="5" fillId="7" borderId="0" xfId="0" applyNumberFormat="1" applyFont="1" applyFill="1" applyBorder="1" applyAlignment="1">
      <alignment horizontal="center" vertical="top" wrapText="1"/>
    </xf>
    <xf numFmtId="9" fontId="7" fillId="7" borderId="0" xfId="0" applyNumberFormat="1" applyFont="1" applyFill="1" applyBorder="1" applyAlignment="1">
      <alignment horizontal="center" vertical="top" wrapText="1"/>
    </xf>
    <xf numFmtId="2" fontId="0" fillId="7" borderId="0" xfId="1" applyNumberFormat="1" applyFont="1" applyFill="1" applyBorder="1" applyAlignment="1">
      <alignment horizontal="center" vertical="top" wrapText="1"/>
    </xf>
    <xf numFmtId="2" fontId="0" fillId="7" borderId="0" xfId="0" applyNumberFormat="1" applyFill="1" applyBorder="1" applyAlignment="1">
      <alignment horizontal="center" vertical="top" wrapText="1"/>
    </xf>
    <xf numFmtId="0" fontId="1" fillId="2" borderId="12" xfId="0" applyFont="1" applyFill="1" applyBorder="1" applyAlignment="1">
      <alignment vertical="top" wrapText="1"/>
    </xf>
    <xf numFmtId="9" fontId="0" fillId="2" borderId="12" xfId="0" applyNumberFormat="1" applyFill="1" applyBorder="1" applyAlignment="1">
      <alignment horizontal="center" vertical="top" wrapText="1"/>
    </xf>
    <xf numFmtId="9" fontId="7" fillId="2" borderId="12" xfId="0" applyNumberFormat="1" applyFont="1" applyFill="1" applyBorder="1" applyAlignment="1">
      <alignment horizontal="center" vertical="top" wrapText="1"/>
    </xf>
    <xf numFmtId="9" fontId="5" fillId="2" borderId="12" xfId="0" applyNumberFormat="1" applyFont="1" applyFill="1" applyBorder="1" applyAlignment="1">
      <alignment horizontal="center" vertical="top" wrapText="1"/>
    </xf>
    <xf numFmtId="171" fontId="0" fillId="2" borderId="12" xfId="0" applyNumberFormat="1" applyFill="1" applyBorder="1" applyAlignment="1">
      <alignment horizontal="center" vertical="top" wrapText="1"/>
    </xf>
    <xf numFmtId="171" fontId="5" fillId="2" borderId="12" xfId="0" applyNumberFormat="1" applyFont="1" applyFill="1" applyBorder="1" applyAlignment="1">
      <alignment horizontal="center" vertical="top" wrapText="1"/>
    </xf>
    <xf numFmtId="2" fontId="0" fillId="2" borderId="12" xfId="1" applyNumberFormat="1" applyFont="1" applyFill="1" applyBorder="1" applyAlignment="1">
      <alignment horizontal="center" vertical="top" wrapText="1"/>
    </xf>
    <xf numFmtId="2" fontId="0" fillId="2" borderId="12" xfId="0" applyNumberFormat="1" applyFont="1" applyFill="1" applyBorder="1" applyAlignment="1">
      <alignment horizontal="center" vertical="top" wrapText="1"/>
    </xf>
    <xf numFmtId="0" fontId="1" fillId="2" borderId="10" xfId="0" applyFont="1" applyFill="1" applyBorder="1" applyAlignment="1">
      <alignment vertical="top" wrapText="1"/>
    </xf>
    <xf numFmtId="9" fontId="0" fillId="2" borderId="10" xfId="0" applyNumberFormat="1" applyFill="1" applyBorder="1" applyAlignment="1">
      <alignment horizontal="center" vertical="top" wrapText="1"/>
    </xf>
    <xf numFmtId="9" fontId="7" fillId="2" borderId="10" xfId="0" applyNumberFormat="1"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171" fontId="0" fillId="2" borderId="10" xfId="0" applyNumberFormat="1" applyFill="1" applyBorder="1" applyAlignment="1">
      <alignment horizontal="center" vertical="top" wrapText="1"/>
    </xf>
    <xf numFmtId="171" fontId="5" fillId="2" borderId="10" xfId="0" applyNumberFormat="1" applyFont="1" applyFill="1" applyBorder="1" applyAlignment="1">
      <alignment horizontal="center" vertical="top" wrapText="1"/>
    </xf>
    <xf numFmtId="2" fontId="0" fillId="2" borderId="10" xfId="1" applyNumberFormat="1" applyFont="1" applyFill="1" applyBorder="1" applyAlignment="1">
      <alignment horizontal="center" vertical="top" wrapText="1"/>
    </xf>
    <xf numFmtId="2" fontId="0" fillId="2" borderId="10" xfId="0" applyNumberFormat="1" applyFont="1" applyFill="1" applyBorder="1" applyAlignment="1">
      <alignment horizontal="center" vertical="top" wrapText="1"/>
    </xf>
    <xf numFmtId="1" fontId="1" fillId="7" borderId="18" xfId="0" applyNumberFormat="1" applyFont="1" applyFill="1" applyBorder="1" applyAlignment="1">
      <alignment horizontal="center" vertical="top" wrapText="1"/>
    </xf>
    <xf numFmtId="2" fontId="0" fillId="7" borderId="18" xfId="1" applyNumberFormat="1" applyFont="1" applyFill="1" applyBorder="1" applyAlignment="1">
      <alignment horizontal="center" vertical="top" wrapText="1"/>
    </xf>
    <xf numFmtId="2" fontId="0" fillId="7" borderId="18" xfId="0" applyNumberFormat="1" applyFill="1" applyBorder="1" applyAlignment="1">
      <alignment horizontal="center" vertical="top" wrapText="1"/>
    </xf>
    <xf numFmtId="0" fontId="1" fillId="2" borderId="18" xfId="0" applyFont="1" applyFill="1" applyBorder="1" applyAlignment="1">
      <alignment vertical="top" wrapText="1"/>
    </xf>
    <xf numFmtId="0" fontId="1" fillId="7" borderId="18" xfId="0" applyFont="1" applyFill="1" applyBorder="1" applyAlignment="1">
      <alignment vertical="top" wrapText="1"/>
    </xf>
    <xf numFmtId="9" fontId="0" fillId="2" borderId="56" xfId="0" applyNumberFormat="1" applyFill="1" applyBorder="1" applyAlignment="1">
      <alignment horizontal="center" vertical="top" wrapText="1"/>
    </xf>
    <xf numFmtId="9" fontId="0" fillId="2" borderId="36" xfId="0" applyNumberFormat="1" applyFill="1" applyBorder="1" applyAlignment="1">
      <alignment horizontal="center" vertical="top" wrapText="1"/>
    </xf>
    <xf numFmtId="1" fontId="0" fillId="7" borderId="44" xfId="0" applyNumberFormat="1" applyFill="1" applyBorder="1" applyAlignment="1">
      <alignment horizontal="center" vertical="top" wrapText="1"/>
    </xf>
    <xf numFmtId="1" fontId="1" fillId="7" borderId="21" xfId="0" applyNumberFormat="1" applyFont="1" applyFill="1" applyBorder="1" applyAlignment="1">
      <alignment horizontal="center" vertical="top" wrapText="1"/>
    </xf>
    <xf numFmtId="9" fontId="0" fillId="7" borderId="44" xfId="1" applyNumberFormat="1" applyFont="1" applyFill="1" applyBorder="1" applyAlignment="1">
      <alignment horizontal="center" vertical="top" wrapText="1"/>
    </xf>
    <xf numFmtId="171" fontId="0" fillId="2" borderId="56" xfId="0" applyNumberFormat="1" applyFill="1" applyBorder="1" applyAlignment="1">
      <alignment horizontal="center" vertical="top" wrapText="1"/>
    </xf>
    <xf numFmtId="171" fontId="0" fillId="2" borderId="36" xfId="0" applyNumberFormat="1" applyFill="1" applyBorder="1" applyAlignment="1">
      <alignment horizontal="center" vertical="top" wrapText="1"/>
    </xf>
    <xf numFmtId="2" fontId="0" fillId="7" borderId="44" xfId="1" applyNumberFormat="1" applyFont="1" applyFill="1" applyBorder="1" applyAlignment="1">
      <alignment horizontal="center" vertical="top" wrapText="1"/>
    </xf>
    <xf numFmtId="2" fontId="0" fillId="7" borderId="21" xfId="1" applyNumberFormat="1" applyFont="1" applyFill="1" applyBorder="1" applyAlignment="1">
      <alignment horizontal="center" vertical="top" wrapText="1"/>
    </xf>
    <xf numFmtId="2" fontId="0" fillId="2" borderId="56" xfId="1" applyNumberFormat="1" applyFont="1" applyFill="1" applyBorder="1" applyAlignment="1">
      <alignment horizontal="center" vertical="top" wrapText="1"/>
    </xf>
    <xf numFmtId="2" fontId="0" fillId="2" borderId="36" xfId="1" applyNumberFormat="1" applyFont="1" applyFill="1" applyBorder="1" applyAlignment="1">
      <alignment horizontal="center" vertical="top" wrapText="1"/>
    </xf>
    <xf numFmtId="1" fontId="5" fillId="7" borderId="44" xfId="0" applyNumberFormat="1" applyFont="1" applyFill="1" applyBorder="1" applyAlignment="1">
      <alignment horizontal="center" vertical="top" wrapText="1"/>
    </xf>
    <xf numFmtId="1" fontId="6" fillId="7" borderId="21" xfId="0" applyNumberFormat="1" applyFont="1" applyFill="1" applyBorder="1" applyAlignment="1">
      <alignment horizontal="center" vertical="top" wrapText="1"/>
    </xf>
    <xf numFmtId="1" fontId="5" fillId="7" borderId="44" xfId="1" applyNumberFormat="1" applyFont="1" applyFill="1" applyBorder="1" applyAlignment="1">
      <alignment horizontal="center" vertical="top" wrapText="1"/>
    </xf>
    <xf numFmtId="9" fontId="5" fillId="2" borderId="56" xfId="1" applyNumberFormat="1" applyFont="1" applyFill="1" applyBorder="1" applyAlignment="1">
      <alignment horizontal="center" vertical="top" wrapText="1"/>
    </xf>
    <xf numFmtId="9" fontId="5" fillId="2" borderId="36" xfId="1" applyNumberFormat="1" applyFont="1" applyFill="1" applyBorder="1" applyAlignment="1">
      <alignment horizontal="center" vertical="top" wrapText="1"/>
    </xf>
    <xf numFmtId="9" fontId="5" fillId="7" borderId="44" xfId="0" applyNumberFormat="1" applyFont="1" applyFill="1" applyBorder="1" applyAlignment="1">
      <alignment horizontal="center" vertical="top" wrapText="1"/>
    </xf>
    <xf numFmtId="9" fontId="5" fillId="7" borderId="44" xfId="1" applyNumberFormat="1" applyFont="1" applyFill="1" applyBorder="1" applyAlignment="1">
      <alignment horizontal="center" vertical="top" wrapText="1"/>
    </xf>
    <xf numFmtId="171" fontId="5" fillId="2" borderId="56" xfId="1" applyNumberFormat="1" applyFont="1" applyFill="1" applyBorder="1" applyAlignment="1">
      <alignment horizontal="center" vertical="top" wrapText="1"/>
    </xf>
    <xf numFmtId="171" fontId="5" fillId="2" borderId="36" xfId="1" applyNumberFormat="1" applyFont="1" applyFill="1" applyBorder="1" applyAlignment="1">
      <alignment horizontal="center" vertical="top" wrapText="1"/>
    </xf>
    <xf numFmtId="9" fontId="5" fillId="2" borderId="56" xfId="0" applyNumberFormat="1" applyFont="1" applyFill="1" applyBorder="1" applyAlignment="1">
      <alignment horizontal="center" vertical="top" wrapText="1"/>
    </xf>
    <xf numFmtId="9" fontId="5" fillId="2" borderId="36" xfId="0" applyNumberFormat="1" applyFont="1" applyFill="1" applyBorder="1" applyAlignment="1">
      <alignment horizontal="center" vertical="top" wrapText="1"/>
    </xf>
    <xf numFmtId="171" fontId="5" fillId="2" borderId="56" xfId="0" applyNumberFormat="1" applyFont="1" applyFill="1" applyBorder="1" applyAlignment="1">
      <alignment horizontal="center" vertical="top" wrapText="1"/>
    </xf>
    <xf numFmtId="171" fontId="5" fillId="2" borderId="36" xfId="0" applyNumberFormat="1" applyFont="1" applyFill="1" applyBorder="1" applyAlignment="1">
      <alignment horizontal="center" vertical="top" wrapText="1"/>
    </xf>
    <xf numFmtId="2" fontId="0" fillId="7" borderId="44" xfId="0" applyNumberFormat="1" applyFill="1" applyBorder="1" applyAlignment="1">
      <alignment horizontal="center" vertical="top" wrapText="1"/>
    </xf>
    <xf numFmtId="2" fontId="0" fillId="7" borderId="21" xfId="0" applyNumberFormat="1" applyFill="1" applyBorder="1" applyAlignment="1">
      <alignment horizontal="center" vertical="top" wrapText="1"/>
    </xf>
    <xf numFmtId="2" fontId="0" fillId="2" borderId="56" xfId="0" applyNumberFormat="1" applyFont="1" applyFill="1" applyBorder="1" applyAlignment="1">
      <alignment horizontal="center" vertical="top" wrapText="1"/>
    </xf>
    <xf numFmtId="2" fontId="0" fillId="2" borderId="36" xfId="0" applyNumberFormat="1" applyFont="1" applyFill="1" applyBorder="1" applyAlignment="1">
      <alignment horizontal="center" vertical="top" wrapText="1"/>
    </xf>
    <xf numFmtId="9" fontId="7" fillId="2" borderId="56" xfId="0" applyNumberFormat="1" applyFont="1" applyFill="1" applyBorder="1" applyAlignment="1">
      <alignment horizontal="center" vertical="top" wrapText="1"/>
    </xf>
    <xf numFmtId="9" fontId="7" fillId="2" borderId="36" xfId="0" applyNumberFormat="1" applyFont="1" applyFill="1" applyBorder="1" applyAlignment="1">
      <alignment horizontal="center" vertical="top" wrapText="1"/>
    </xf>
    <xf numFmtId="1" fontId="7" fillId="7" borderId="44" xfId="0" applyNumberFormat="1" applyFont="1" applyFill="1" applyBorder="1" applyAlignment="1">
      <alignment horizontal="center" vertical="top" wrapText="1"/>
    </xf>
    <xf numFmtId="9" fontId="7" fillId="7" borderId="44" xfId="0" applyNumberFormat="1" applyFont="1" applyFill="1" applyBorder="1" applyAlignment="1">
      <alignment horizontal="center" vertical="top" wrapText="1"/>
    </xf>
    <xf numFmtId="9" fontId="0" fillId="2" borderId="55" xfId="0" applyNumberFormat="1" applyFill="1" applyBorder="1" applyAlignment="1">
      <alignment horizontal="center" vertical="top" wrapText="1"/>
    </xf>
    <xf numFmtId="9" fontId="0" fillId="2" borderId="57" xfId="0" applyNumberFormat="1" applyFill="1" applyBorder="1" applyAlignment="1">
      <alignment horizontal="center" vertical="top" wrapText="1"/>
    </xf>
    <xf numFmtId="1" fontId="0" fillId="7" borderId="47" xfId="0" applyNumberFormat="1" applyFill="1" applyBorder="1" applyAlignment="1">
      <alignment horizontal="center" vertical="top" wrapText="1"/>
    </xf>
    <xf numFmtId="1" fontId="1" fillId="7" borderId="37" xfId="0" applyNumberFormat="1" applyFont="1" applyFill="1" applyBorder="1" applyAlignment="1">
      <alignment horizontal="center" vertical="top" wrapText="1"/>
    </xf>
    <xf numFmtId="9" fontId="0" fillId="7" borderId="47" xfId="1" applyNumberFormat="1" applyFont="1" applyFill="1" applyBorder="1" applyAlignment="1">
      <alignment horizontal="center" vertical="top" wrapText="1"/>
    </xf>
    <xf numFmtId="171" fontId="0" fillId="2" borderId="55" xfId="0" applyNumberFormat="1" applyFill="1" applyBorder="1" applyAlignment="1">
      <alignment horizontal="center" vertical="top" wrapText="1"/>
    </xf>
    <xf numFmtId="171" fontId="0" fillId="2" borderId="57" xfId="0" applyNumberFormat="1" applyFill="1" applyBorder="1" applyAlignment="1">
      <alignment horizontal="center" vertical="top" wrapText="1"/>
    </xf>
    <xf numFmtId="2" fontId="0" fillId="7" borderId="47" xfId="1" applyNumberFormat="1" applyFont="1" applyFill="1" applyBorder="1" applyAlignment="1">
      <alignment horizontal="center" vertical="top" wrapText="1"/>
    </xf>
    <xf numFmtId="2" fontId="0" fillId="7" borderId="37" xfId="1" applyNumberFormat="1" applyFont="1" applyFill="1" applyBorder="1" applyAlignment="1">
      <alignment horizontal="center" vertical="top" wrapText="1"/>
    </xf>
    <xf numFmtId="2" fontId="0" fillId="2" borderId="55" xfId="1" applyNumberFormat="1" applyFont="1" applyFill="1" applyBorder="1" applyAlignment="1">
      <alignment horizontal="center" vertical="top" wrapText="1"/>
    </xf>
    <xf numFmtId="2" fontId="0" fillId="2" borderId="57" xfId="1" applyNumberFormat="1" applyFont="1" applyFill="1" applyBorder="1" applyAlignment="1">
      <alignment horizontal="center" vertical="top" wrapText="1"/>
    </xf>
    <xf numFmtId="1" fontId="0" fillId="2" borderId="56" xfId="0" applyNumberFormat="1" applyFill="1" applyBorder="1" applyAlignment="1">
      <alignment horizontal="center" vertical="top" wrapText="1"/>
    </xf>
    <xf numFmtId="1" fontId="0" fillId="2" borderId="36" xfId="0" applyNumberFormat="1" applyFill="1" applyBorder="1" applyAlignment="1">
      <alignment horizontal="center" vertical="top" wrapText="1"/>
    </xf>
    <xf numFmtId="1" fontId="0" fillId="7" borderId="21" xfId="0" applyNumberFormat="1" applyFont="1" applyFill="1" applyBorder="1" applyAlignment="1">
      <alignment horizontal="center" vertical="top" wrapText="1"/>
    </xf>
    <xf numFmtId="1" fontId="0" fillId="2" borderId="21" xfId="0" applyNumberFormat="1" applyFont="1" applyFill="1" applyBorder="1" applyAlignment="1">
      <alignment horizontal="center" vertical="top" wrapText="1"/>
    </xf>
    <xf numFmtId="1" fontId="0" fillId="7" borderId="44" xfId="0" applyNumberFormat="1" applyFont="1" applyFill="1" applyBorder="1" applyAlignment="1">
      <alignment horizontal="center" vertical="top" wrapText="1"/>
    </xf>
    <xf numFmtId="1" fontId="0" fillId="2" borderId="56" xfId="0" applyNumberFormat="1" applyFont="1" applyFill="1" applyBorder="1" applyAlignment="1">
      <alignment horizontal="center" vertical="top" wrapText="1"/>
    </xf>
    <xf numFmtId="1" fontId="0" fillId="2" borderId="36" xfId="0" applyNumberFormat="1" applyFont="1" applyFill="1" applyBorder="1" applyAlignment="1">
      <alignment horizontal="center" vertical="top" wrapText="1"/>
    </xf>
    <xf numFmtId="0" fontId="0" fillId="0" borderId="7" xfId="0" applyFill="1" applyBorder="1" applyAlignment="1">
      <alignment vertical="center" wrapText="1"/>
    </xf>
    <xf numFmtId="0" fontId="1" fillId="2" borderId="0" xfId="0" applyFont="1" applyFill="1" applyBorder="1" applyAlignment="1">
      <alignment vertical="top" wrapText="1"/>
    </xf>
    <xf numFmtId="1" fontId="0" fillId="2" borderId="44" xfId="0" applyNumberFormat="1" applyFill="1" applyBorder="1" applyAlignment="1">
      <alignment horizontal="center" vertical="top" wrapText="1"/>
    </xf>
    <xf numFmtId="9" fontId="0" fillId="2" borderId="44" xfId="0" applyNumberFormat="1" applyFill="1" applyBorder="1" applyAlignment="1">
      <alignment horizontal="center" vertical="top" wrapText="1"/>
    </xf>
    <xf numFmtId="9" fontId="0" fillId="2" borderId="47" xfId="0" applyNumberFormat="1" applyFill="1" applyBorder="1" applyAlignment="1">
      <alignment horizontal="center" vertical="top" wrapText="1"/>
    </xf>
    <xf numFmtId="9" fontId="0" fillId="2" borderId="0" xfId="0" applyNumberFormat="1" applyFill="1" applyBorder="1" applyAlignment="1">
      <alignment horizontal="center" vertical="top" wrapText="1"/>
    </xf>
    <xf numFmtId="9" fontId="7" fillId="2" borderId="0" xfId="0" applyNumberFormat="1" applyFont="1" applyFill="1" applyBorder="1" applyAlignment="1">
      <alignment horizontal="center" vertical="top" wrapText="1"/>
    </xf>
    <xf numFmtId="9" fontId="7" fillId="2" borderId="44" xfId="0" applyNumberFormat="1" applyFont="1" applyFill="1" applyBorder="1" applyAlignment="1">
      <alignment horizontal="center" vertical="top" wrapText="1"/>
    </xf>
    <xf numFmtId="0" fontId="0" fillId="3" borderId="21" xfId="0" applyNumberFormat="1" applyFill="1" applyBorder="1" applyAlignment="1">
      <alignment horizontal="left" vertical="top" wrapText="1"/>
    </xf>
    <xf numFmtId="0" fontId="0" fillId="3" borderId="77" xfId="0" applyNumberFormat="1" applyFill="1" applyBorder="1" applyAlignment="1">
      <alignment horizontal="left" vertical="top" wrapText="1"/>
    </xf>
    <xf numFmtId="0" fontId="0" fillId="4" borderId="24" xfId="0" applyNumberFormat="1" applyFill="1" applyBorder="1" applyAlignment="1">
      <alignment vertical="top" wrapText="1"/>
    </xf>
    <xf numFmtId="0" fontId="0" fillId="4" borderId="80" xfId="0" applyNumberFormat="1" applyFill="1" applyBorder="1" applyAlignment="1">
      <alignment vertical="top" wrapText="1"/>
    </xf>
    <xf numFmtId="0" fontId="0" fillId="10" borderId="35" xfId="0" applyNumberFormat="1" applyFill="1" applyBorder="1" applyAlignment="1">
      <alignment horizontal="left" vertical="top"/>
    </xf>
    <xf numFmtId="1" fontId="0" fillId="2" borderId="28" xfId="0" applyNumberFormat="1" applyFill="1" applyBorder="1" applyAlignment="1">
      <alignment horizontal="center"/>
    </xf>
    <xf numFmtId="0" fontId="1" fillId="0" borderId="0" xfId="0" applyNumberFormat="1" applyFont="1" applyFill="1" applyBorder="1" applyAlignment="1">
      <alignment horizontal="left" vertical="top" wrapText="1"/>
    </xf>
    <xf numFmtId="0" fontId="1" fillId="7" borderId="10" xfId="0" applyFont="1" applyFill="1" applyBorder="1" applyAlignment="1">
      <alignment vertical="top" wrapText="1"/>
    </xf>
    <xf numFmtId="1" fontId="0" fillId="7" borderId="56" xfId="0" applyNumberFormat="1" applyFont="1" applyFill="1" applyBorder="1" applyAlignment="1">
      <alignment horizontal="center" vertical="top" wrapText="1"/>
    </xf>
    <xf numFmtId="2" fontId="0" fillId="7" borderId="56" xfId="1" applyNumberFormat="1" applyFont="1" applyFill="1" applyBorder="1" applyAlignment="1">
      <alignment horizontal="center" vertical="top" wrapText="1"/>
    </xf>
    <xf numFmtId="2" fontId="0" fillId="7" borderId="55" xfId="1" applyNumberFormat="1" applyFont="1" applyFill="1" applyBorder="1" applyAlignment="1">
      <alignment horizontal="center" vertical="top" wrapText="1"/>
    </xf>
    <xf numFmtId="2" fontId="0" fillId="7" borderId="10" xfId="1" applyNumberFormat="1" applyFont="1" applyFill="1" applyBorder="1" applyAlignment="1">
      <alignment horizontal="center" vertical="top" wrapText="1"/>
    </xf>
    <xf numFmtId="2" fontId="0" fillId="7" borderId="10" xfId="0" applyNumberFormat="1" applyFill="1" applyBorder="1" applyAlignment="1">
      <alignment horizontal="center" vertical="top" wrapText="1"/>
    </xf>
    <xf numFmtId="2" fontId="0" fillId="7" borderId="56" xfId="0" applyNumberFormat="1" applyFill="1" applyBorder="1" applyAlignment="1">
      <alignment horizontal="center" vertical="top" wrapText="1"/>
    </xf>
    <xf numFmtId="0" fontId="1" fillId="7" borderId="12" xfId="0" applyFont="1" applyFill="1" applyBorder="1" applyAlignment="1">
      <alignment vertical="top" wrapText="1"/>
    </xf>
    <xf numFmtId="1" fontId="0" fillId="7" borderId="36" xfId="0" applyNumberFormat="1" applyFont="1" applyFill="1" applyBorder="1" applyAlignment="1">
      <alignment horizontal="center" vertical="top" wrapText="1"/>
    </xf>
    <xf numFmtId="2" fontId="0" fillId="7" borderId="36" xfId="1" applyNumberFormat="1" applyFont="1" applyFill="1" applyBorder="1" applyAlignment="1">
      <alignment horizontal="center" vertical="top" wrapText="1"/>
    </xf>
    <xf numFmtId="2" fontId="0" fillId="7" borderId="57" xfId="1" applyNumberFormat="1" applyFont="1" applyFill="1" applyBorder="1" applyAlignment="1">
      <alignment horizontal="center" vertical="top" wrapText="1"/>
    </xf>
    <xf numFmtId="2" fontId="0" fillId="7" borderId="12" xfId="1" applyNumberFormat="1" applyFont="1" applyFill="1" applyBorder="1" applyAlignment="1">
      <alignment horizontal="center" vertical="top" wrapText="1"/>
    </xf>
    <xf numFmtId="2" fontId="0" fillId="7" borderId="12" xfId="0" applyNumberFormat="1" applyFill="1" applyBorder="1" applyAlignment="1">
      <alignment horizontal="center" vertical="top" wrapText="1"/>
    </xf>
    <xf numFmtId="2" fontId="0" fillId="7" borderId="36" xfId="0" applyNumberFormat="1" applyFill="1" applyBorder="1" applyAlignment="1">
      <alignment horizontal="center" vertical="top" wrapText="1"/>
    </xf>
    <xf numFmtId="1" fontId="0" fillId="2" borderId="44" xfId="0" applyNumberFormat="1" applyFont="1" applyFill="1" applyBorder="1" applyAlignment="1">
      <alignment horizontal="center" vertical="top" wrapText="1"/>
    </xf>
    <xf numFmtId="2" fontId="0" fillId="2" borderId="44" xfId="1" applyNumberFormat="1" applyFont="1" applyFill="1" applyBorder="1" applyAlignment="1">
      <alignment horizontal="center" vertical="top" wrapText="1"/>
    </xf>
    <xf numFmtId="2" fontId="0" fillId="2" borderId="47" xfId="1" applyNumberFormat="1" applyFont="1" applyFill="1" applyBorder="1" applyAlignment="1">
      <alignment horizontal="center" vertical="top" wrapText="1"/>
    </xf>
    <xf numFmtId="2" fontId="0" fillId="2" borderId="0" xfId="1" applyNumberFormat="1" applyFont="1" applyFill="1" applyBorder="1" applyAlignment="1">
      <alignment horizontal="center" vertical="top" wrapText="1"/>
    </xf>
    <xf numFmtId="2" fontId="0" fillId="2" borderId="0" xfId="0" applyNumberFormat="1" applyFill="1" applyBorder="1" applyAlignment="1">
      <alignment horizontal="center" vertical="top" wrapText="1"/>
    </xf>
    <xf numFmtId="2" fontId="0" fillId="2" borderId="44" xfId="0" applyNumberFormat="1" applyFill="1" applyBorder="1" applyAlignment="1">
      <alignment horizontal="center" vertical="top" wrapText="1"/>
    </xf>
    <xf numFmtId="2" fontId="0" fillId="2" borderId="21" xfId="1" applyNumberFormat="1" applyFont="1" applyFill="1" applyBorder="1" applyAlignment="1">
      <alignment horizontal="center" vertical="top" wrapText="1"/>
    </xf>
    <xf numFmtId="2" fontId="0" fillId="2" borderId="37" xfId="1" applyNumberFormat="1" applyFont="1" applyFill="1" applyBorder="1" applyAlignment="1">
      <alignment horizontal="center" vertical="top" wrapText="1"/>
    </xf>
    <xf numFmtId="2" fontId="0" fillId="2" borderId="18" xfId="1" applyNumberFormat="1" applyFont="1" applyFill="1" applyBorder="1" applyAlignment="1">
      <alignment horizontal="center" vertical="top" wrapText="1"/>
    </xf>
    <xf numFmtId="2" fontId="0" fillId="2" borderId="18" xfId="0" applyNumberFormat="1" applyFill="1" applyBorder="1" applyAlignment="1">
      <alignment horizontal="center" vertical="top" wrapText="1"/>
    </xf>
    <xf numFmtId="2" fontId="0" fillId="2" borderId="21" xfId="0" applyNumberFormat="1" applyFill="1" applyBorder="1" applyAlignment="1">
      <alignment horizontal="center" vertical="top" wrapText="1"/>
    </xf>
    <xf numFmtId="0" fontId="1" fillId="2" borderId="7" xfId="0" applyFont="1" applyFill="1" applyBorder="1" applyAlignment="1">
      <alignment vertical="top" wrapText="1"/>
    </xf>
    <xf numFmtId="1" fontId="0" fillId="2" borderId="73" xfId="0" applyNumberFormat="1" applyFont="1" applyFill="1" applyBorder="1" applyAlignment="1">
      <alignment horizontal="center" vertical="top" wrapText="1"/>
    </xf>
    <xf numFmtId="2" fontId="0" fillId="2" borderId="73" xfId="1" applyNumberFormat="1" applyFont="1" applyFill="1" applyBorder="1" applyAlignment="1">
      <alignment horizontal="center" vertical="top" wrapText="1"/>
    </xf>
    <xf numFmtId="2" fontId="0" fillId="2" borderId="124" xfId="1" applyNumberFormat="1" applyFont="1" applyFill="1" applyBorder="1" applyAlignment="1">
      <alignment horizontal="center" vertical="top" wrapText="1"/>
    </xf>
    <xf numFmtId="2" fontId="0" fillId="2" borderId="7" xfId="1" applyNumberFormat="1" applyFont="1" applyFill="1" applyBorder="1" applyAlignment="1">
      <alignment horizontal="center" vertical="top" wrapText="1"/>
    </xf>
    <xf numFmtId="2" fontId="0" fillId="2" borderId="7" xfId="0" applyNumberFormat="1" applyFill="1" applyBorder="1" applyAlignment="1">
      <alignment horizontal="center" vertical="top" wrapText="1"/>
    </xf>
    <xf numFmtId="2" fontId="0" fillId="2" borderId="73" xfId="0" applyNumberFormat="1" applyFill="1" applyBorder="1" applyAlignment="1">
      <alignment horizontal="center" vertical="top" wrapText="1"/>
    </xf>
    <xf numFmtId="0" fontId="0" fillId="3" borderId="22" xfId="0" applyNumberFormat="1" applyFont="1" applyFill="1" applyBorder="1" applyAlignment="1">
      <alignment vertical="top" wrapText="1"/>
    </xf>
    <xf numFmtId="0" fontId="0" fillId="3" borderId="40" xfId="0" applyNumberFormat="1" applyFont="1" applyFill="1" applyBorder="1" applyAlignment="1">
      <alignment vertical="top" wrapText="1"/>
    </xf>
    <xf numFmtId="0" fontId="0" fillId="3" borderId="31" xfId="0" applyNumberFormat="1" applyFont="1" applyFill="1" applyBorder="1" applyAlignment="1">
      <alignment vertical="top" wrapText="1"/>
    </xf>
    <xf numFmtId="0" fontId="0" fillId="3" borderId="31" xfId="0" applyNumberFormat="1" applyFont="1" applyFill="1" applyBorder="1" applyAlignment="1">
      <alignment vertical="top"/>
    </xf>
    <xf numFmtId="0" fontId="0" fillId="4" borderId="24" xfId="0" applyNumberFormat="1" applyFont="1" applyFill="1" applyBorder="1" applyAlignment="1">
      <alignment horizontal="left" vertical="top" wrapText="1"/>
    </xf>
    <xf numFmtId="0" fontId="0" fillId="4" borderId="24" xfId="1" applyNumberFormat="1" applyFont="1" applyFill="1" applyBorder="1" applyAlignment="1">
      <alignment horizontal="left" vertical="top" wrapText="1"/>
    </xf>
    <xf numFmtId="0" fontId="0" fillId="4" borderId="35" xfId="0" applyNumberFormat="1" applyFill="1" applyBorder="1" applyAlignment="1">
      <alignment horizontal="left" vertical="top" wrapText="1"/>
    </xf>
    <xf numFmtId="0" fontId="0" fillId="4" borderId="79" xfId="0" applyNumberFormat="1" applyFill="1" applyBorder="1" applyAlignment="1">
      <alignment horizontal="left" vertical="top" wrapText="1"/>
    </xf>
    <xf numFmtId="2" fontId="0" fillId="2" borderId="10" xfId="0" applyNumberFormat="1" applyFill="1" applyBorder="1" applyAlignment="1">
      <alignment horizontal="center" vertical="top" wrapText="1"/>
    </xf>
    <xf numFmtId="2" fontId="0" fillId="2" borderId="56" xfId="0" applyNumberFormat="1" applyFill="1" applyBorder="1" applyAlignment="1">
      <alignment horizontal="center" vertical="top" wrapText="1"/>
    </xf>
    <xf numFmtId="2" fontId="0" fillId="2" borderId="12" xfId="0" applyNumberFormat="1" applyFill="1" applyBorder="1" applyAlignment="1">
      <alignment horizontal="center" vertical="top" wrapText="1"/>
    </xf>
    <xf numFmtId="2" fontId="0" fillId="2" borderId="36" xfId="0" applyNumberFormat="1" applyFill="1" applyBorder="1" applyAlignment="1">
      <alignment horizontal="center" vertical="top" wrapText="1"/>
    </xf>
    <xf numFmtId="0" fontId="1" fillId="7" borderId="7" xfId="0" applyFont="1" applyFill="1" applyBorder="1" applyAlignment="1">
      <alignment vertical="top" wrapText="1"/>
    </xf>
    <xf numFmtId="171" fontId="0" fillId="0" borderId="0" xfId="0" applyNumberFormat="1" applyFill="1" applyBorder="1" applyAlignment="1">
      <alignment horizontal="center" vertical="top" wrapText="1"/>
    </xf>
    <xf numFmtId="171" fontId="5" fillId="0" borderId="0" xfId="0" applyNumberFormat="1" applyFont="1" applyFill="1" applyBorder="1" applyAlignment="1">
      <alignment horizontal="center" vertical="top" wrapText="1"/>
    </xf>
    <xf numFmtId="0" fontId="1" fillId="0" borderId="0" xfId="0" applyFont="1" applyFill="1" applyBorder="1" applyAlignment="1">
      <alignment horizontal="left" vertical="center" wrapText="1"/>
    </xf>
    <xf numFmtId="171" fontId="5" fillId="0" borderId="0" xfId="1" applyNumberFormat="1" applyFont="1" applyFill="1" applyBorder="1" applyAlignment="1">
      <alignment horizontal="center" vertical="top" wrapText="1"/>
    </xf>
    <xf numFmtId="0" fontId="1" fillId="7" borderId="2" xfId="0" applyFont="1" applyFill="1" applyBorder="1" applyAlignment="1">
      <alignment vertical="top" wrapText="1"/>
    </xf>
    <xf numFmtId="1" fontId="0" fillId="7" borderId="121" xfId="0" applyNumberFormat="1" applyFont="1" applyFill="1" applyBorder="1" applyAlignment="1">
      <alignment horizontal="center" vertical="top" wrapText="1"/>
    </xf>
    <xf numFmtId="2" fontId="0" fillId="7" borderId="121" xfId="1" applyNumberFormat="1" applyFont="1" applyFill="1" applyBorder="1" applyAlignment="1">
      <alignment horizontal="center" vertical="top" wrapText="1"/>
    </xf>
    <xf numFmtId="2" fontId="0" fillId="7" borderId="122" xfId="1" applyNumberFormat="1" applyFont="1" applyFill="1" applyBorder="1" applyAlignment="1">
      <alignment horizontal="center" vertical="top" wrapText="1"/>
    </xf>
    <xf numFmtId="2" fontId="0" fillId="7" borderId="2" xfId="1" applyNumberFormat="1" applyFont="1" applyFill="1" applyBorder="1" applyAlignment="1">
      <alignment horizontal="center" vertical="top" wrapText="1"/>
    </xf>
    <xf numFmtId="2" fontId="0" fillId="7" borderId="2" xfId="0" applyNumberFormat="1" applyFill="1" applyBorder="1" applyAlignment="1">
      <alignment horizontal="center" vertical="top" wrapText="1"/>
    </xf>
    <xf numFmtId="2" fontId="0" fillId="7" borderId="121" xfId="0" applyNumberFormat="1" applyFill="1" applyBorder="1" applyAlignment="1">
      <alignment horizontal="center" vertical="top" wrapText="1"/>
    </xf>
    <xf numFmtId="2" fontId="0" fillId="7" borderId="55" xfId="0" applyNumberFormat="1" applyFill="1" applyBorder="1" applyAlignment="1">
      <alignment horizontal="center" vertical="top" wrapText="1"/>
    </xf>
    <xf numFmtId="2" fontId="5" fillId="7" borderId="56" xfId="1" applyNumberFormat="1" applyFont="1" applyFill="1" applyBorder="1" applyAlignment="1">
      <alignment horizontal="center" vertical="top" wrapText="1"/>
    </xf>
    <xf numFmtId="2" fontId="5" fillId="7" borderId="10" xfId="0" applyNumberFormat="1" applyFont="1" applyFill="1" applyBorder="1" applyAlignment="1">
      <alignment horizontal="center" vertical="top" wrapText="1"/>
    </xf>
    <xf numFmtId="2" fontId="5" fillId="7" borderId="56" xfId="0" applyNumberFormat="1" applyFont="1" applyFill="1" applyBorder="1" applyAlignment="1">
      <alignment horizontal="center" vertical="top" wrapText="1"/>
    </xf>
    <xf numFmtId="2" fontId="0" fillId="7" borderId="73" xfId="0" applyNumberFormat="1" applyFill="1" applyBorder="1" applyAlignment="1">
      <alignment horizontal="center" vertical="top" wrapText="1"/>
    </xf>
    <xf numFmtId="2" fontId="0" fillId="7" borderId="124" xfId="0" applyNumberFormat="1" applyFill="1" applyBorder="1" applyAlignment="1">
      <alignment horizontal="center" vertical="top" wrapText="1"/>
    </xf>
    <xf numFmtId="2" fontId="0" fillId="7" borderId="7" xfId="0" applyNumberFormat="1" applyFill="1" applyBorder="1" applyAlignment="1">
      <alignment horizontal="center" vertical="top" wrapText="1"/>
    </xf>
    <xf numFmtId="2" fontId="5" fillId="7" borderId="73" xfId="1" applyNumberFormat="1" applyFont="1" applyFill="1" applyBorder="1" applyAlignment="1">
      <alignment horizontal="center" vertical="top" wrapText="1"/>
    </xf>
    <xf numFmtId="2" fontId="5" fillId="7" borderId="7" xfId="0" applyNumberFormat="1" applyFont="1" applyFill="1" applyBorder="1" applyAlignment="1">
      <alignment horizontal="center" vertical="top" wrapText="1"/>
    </xf>
    <xf numFmtId="2" fontId="5" fillId="7" borderId="73" xfId="0" applyNumberFormat="1" applyFont="1" applyFill="1" applyBorder="1" applyAlignment="1">
      <alignment horizontal="center" vertical="top" wrapText="1"/>
    </xf>
    <xf numFmtId="2" fontId="1" fillId="7" borderId="21" xfId="0" applyNumberFormat="1" applyFont="1" applyFill="1" applyBorder="1" applyAlignment="1">
      <alignment horizontal="center" vertical="top" wrapText="1"/>
    </xf>
    <xf numFmtId="2" fontId="1" fillId="7" borderId="37" xfId="0" applyNumberFormat="1" applyFont="1" applyFill="1" applyBorder="1" applyAlignment="1">
      <alignment horizontal="center" vertical="top" wrapText="1"/>
    </xf>
    <xf numFmtId="2" fontId="1" fillId="7" borderId="18" xfId="0" applyNumberFormat="1" applyFont="1" applyFill="1" applyBorder="1" applyAlignment="1">
      <alignment horizontal="center" vertical="top" wrapText="1"/>
    </xf>
    <xf numFmtId="2" fontId="6" fillId="7" borderId="21" xfId="1" applyNumberFormat="1" applyFont="1" applyFill="1" applyBorder="1" applyAlignment="1">
      <alignment horizontal="center" vertical="top" wrapText="1"/>
    </xf>
    <xf numFmtId="2" fontId="6" fillId="7" borderId="18" xfId="0" applyNumberFormat="1" applyFont="1" applyFill="1" applyBorder="1" applyAlignment="1">
      <alignment horizontal="center" vertical="top" wrapText="1"/>
    </xf>
    <xf numFmtId="2" fontId="6" fillId="7" borderId="21" xfId="0" applyNumberFormat="1" applyFont="1" applyFill="1" applyBorder="1" applyAlignment="1">
      <alignment horizontal="center" vertical="top" wrapText="1"/>
    </xf>
    <xf numFmtId="2" fontId="2" fillId="2" borderId="56" xfId="1" applyNumberFormat="1" applyFont="1" applyFill="1" applyBorder="1" applyAlignment="1">
      <alignment horizontal="center" vertical="top" wrapText="1"/>
    </xf>
    <xf numFmtId="2" fontId="2" fillId="2" borderId="55" xfId="1" applyNumberFormat="1" applyFont="1" applyFill="1" applyBorder="1" applyAlignment="1">
      <alignment horizontal="center" vertical="top" wrapText="1"/>
    </xf>
    <xf numFmtId="2" fontId="2" fillId="2" borderId="10" xfId="1" applyNumberFormat="1" applyFont="1" applyFill="1" applyBorder="1" applyAlignment="1">
      <alignment horizontal="center" vertical="top" wrapText="1"/>
    </xf>
    <xf numFmtId="2" fontId="2" fillId="2" borderId="21" xfId="1" applyNumberFormat="1" applyFont="1" applyFill="1" applyBorder="1" applyAlignment="1">
      <alignment horizontal="center" vertical="top" wrapText="1"/>
    </xf>
    <xf numFmtId="2" fontId="2" fillId="2" borderId="37" xfId="1" applyNumberFormat="1" applyFont="1" applyFill="1" applyBorder="1" applyAlignment="1">
      <alignment horizontal="center" vertical="top" wrapText="1"/>
    </xf>
    <xf numFmtId="2" fontId="2" fillId="2" borderId="18" xfId="1" applyNumberFormat="1" applyFont="1" applyFill="1" applyBorder="1" applyAlignment="1">
      <alignment horizontal="center" vertical="top" wrapText="1"/>
    </xf>
    <xf numFmtId="2" fontId="0" fillId="2" borderId="18" xfId="0" applyNumberFormat="1" applyFont="1" applyFill="1" applyBorder="1" applyAlignment="1">
      <alignment horizontal="center" vertical="top" wrapText="1"/>
    </xf>
    <xf numFmtId="2" fontId="0" fillId="2" borderId="21" xfId="0" applyNumberFormat="1" applyFont="1" applyFill="1" applyBorder="1" applyAlignment="1">
      <alignment horizontal="center" vertical="top" wrapText="1"/>
    </xf>
    <xf numFmtId="2" fontId="2" fillId="2" borderId="36" xfId="1" applyNumberFormat="1" applyFont="1" applyFill="1" applyBorder="1" applyAlignment="1">
      <alignment horizontal="center" vertical="top" wrapText="1"/>
    </xf>
    <xf numFmtId="2" fontId="2" fillId="2" borderId="57" xfId="1" applyNumberFormat="1" applyFont="1" applyFill="1" applyBorder="1" applyAlignment="1">
      <alignment horizontal="center" vertical="top" wrapText="1"/>
    </xf>
    <xf numFmtId="2" fontId="2" fillId="2" borderId="12" xfId="1" applyNumberFormat="1" applyFont="1" applyFill="1" applyBorder="1" applyAlignment="1">
      <alignment horizontal="center" vertical="top" wrapText="1"/>
    </xf>
    <xf numFmtId="0" fontId="0" fillId="0" borderId="0" xfId="0" quotePrefix="1" applyBorder="1" applyAlignment="1">
      <alignment wrapText="1"/>
    </xf>
    <xf numFmtId="1" fontId="6" fillId="7" borderId="18" xfId="0" applyNumberFormat="1" applyFont="1" applyFill="1" applyBorder="1" applyAlignment="1">
      <alignment horizontal="center" vertical="top" wrapText="1"/>
    </xf>
    <xf numFmtId="0" fontId="0" fillId="0" borderId="0" xfId="0" quotePrefix="1"/>
    <xf numFmtId="181" fontId="0" fillId="0" borderId="0" xfId="0" applyNumberFormat="1" applyAlignment="1">
      <alignment textRotation="90"/>
    </xf>
    <xf numFmtId="0" fontId="0" fillId="0" borderId="88" xfId="0" applyBorder="1"/>
    <xf numFmtId="0" fontId="0" fillId="2" borderId="32" xfId="0" applyFill="1" applyBorder="1" applyAlignment="1">
      <alignment horizontal="center" vertical="center"/>
    </xf>
    <xf numFmtId="0" fontId="0" fillId="0" borderId="108" xfId="0" applyBorder="1" applyAlignment="1">
      <alignment horizontal="center"/>
    </xf>
    <xf numFmtId="0" fontId="0" fillId="2" borderId="6" xfId="0" applyFill="1" applyBorder="1" applyAlignment="1">
      <alignment horizontal="center"/>
    </xf>
    <xf numFmtId="2" fontId="0" fillId="2" borderId="8" xfId="0" applyNumberFormat="1" applyFill="1" applyBorder="1" applyAlignment="1">
      <alignment horizontal="center"/>
    </xf>
    <xf numFmtId="0" fontId="0" fillId="7" borderId="87" xfId="0" applyFill="1" applyBorder="1" applyAlignment="1">
      <alignment horizontal="center"/>
    </xf>
    <xf numFmtId="0" fontId="0" fillId="2" borderId="89" xfId="0" applyFill="1" applyBorder="1" applyAlignment="1">
      <alignment horizontal="center"/>
    </xf>
    <xf numFmtId="0" fontId="0" fillId="7" borderId="89" xfId="0" applyFill="1" applyBorder="1" applyAlignment="1">
      <alignment horizontal="center"/>
    </xf>
    <xf numFmtId="2" fontId="0" fillId="7" borderId="28" xfId="0" applyNumberFormat="1" applyFill="1" applyBorder="1" applyAlignment="1">
      <alignment horizontal="center"/>
    </xf>
    <xf numFmtId="2" fontId="0" fillId="2" borderId="28" xfId="0" applyNumberFormat="1" applyFill="1" applyBorder="1" applyAlignment="1">
      <alignment horizontal="center"/>
    </xf>
    <xf numFmtId="2" fontId="0" fillId="7" borderId="32" xfId="0" applyNumberFormat="1" applyFill="1" applyBorder="1" applyAlignment="1">
      <alignment horizontal="center"/>
    </xf>
    <xf numFmtId="2" fontId="0" fillId="0" borderId="0" xfId="0" applyNumberFormat="1"/>
    <xf numFmtId="0" fontId="0" fillId="0" borderId="0" xfId="0" applyAlignment="1"/>
    <xf numFmtId="20" fontId="0" fillId="5" borderId="38" xfId="1" applyNumberFormat="1" applyFont="1" applyFill="1" applyBorder="1" applyAlignment="1">
      <alignment horizontal="center" vertical="top" wrapText="1"/>
    </xf>
    <xf numFmtId="20" fontId="0" fillId="5" borderId="9" xfId="1" applyNumberFormat="1" applyFont="1" applyFill="1" applyBorder="1" applyAlignment="1">
      <alignment horizontal="center" vertical="top" wrapText="1"/>
    </xf>
    <xf numFmtId="0" fontId="1" fillId="0" borderId="68" xfId="0" applyFont="1" applyBorder="1" applyAlignment="1">
      <alignment horizontal="left" vertical="center"/>
    </xf>
    <xf numFmtId="0" fontId="1" fillId="2" borderId="88" xfId="0" applyFont="1" applyFill="1" applyBorder="1" applyAlignment="1">
      <alignment horizontal="left" vertical="center"/>
    </xf>
    <xf numFmtId="0" fontId="0" fillId="2" borderId="35" xfId="0" applyFont="1" applyFill="1" applyBorder="1" applyAlignment="1">
      <alignment horizontal="left" vertical="center" wrapText="1"/>
    </xf>
    <xf numFmtId="0" fontId="0" fillId="2" borderId="19" xfId="0" applyFont="1" applyFill="1" applyBorder="1" applyAlignment="1">
      <alignment horizontal="left" vertical="center" wrapText="1"/>
    </xf>
    <xf numFmtId="0" fontId="0" fillId="2" borderId="79" xfId="0" applyFont="1" applyFill="1" applyBorder="1" applyAlignment="1">
      <alignment horizontal="left" vertical="center" wrapText="1"/>
    </xf>
    <xf numFmtId="0" fontId="1" fillId="7" borderId="89" xfId="0" applyFont="1" applyFill="1" applyBorder="1" applyAlignment="1">
      <alignment horizontal="left" vertical="center"/>
    </xf>
    <xf numFmtId="0" fontId="0" fillId="7" borderId="21" xfId="0" applyFont="1" applyFill="1" applyBorder="1" applyAlignment="1">
      <alignment horizontal="left" vertical="center" wrapText="1"/>
    </xf>
    <xf numFmtId="0" fontId="0" fillId="7" borderId="18" xfId="0" applyFont="1" applyFill="1" applyBorder="1" applyAlignment="1">
      <alignment horizontal="left" vertical="center" wrapText="1"/>
    </xf>
    <xf numFmtId="0" fontId="0" fillId="7" borderId="77" xfId="0" applyFont="1" applyFill="1" applyBorder="1" applyAlignment="1">
      <alignment horizontal="left" vertical="center" wrapText="1"/>
    </xf>
    <xf numFmtId="0" fontId="1" fillId="7" borderId="87" xfId="0" applyFont="1" applyFill="1" applyBorder="1" applyAlignment="1">
      <alignment horizontal="left" vertical="center"/>
    </xf>
    <xf numFmtId="0" fontId="0" fillId="7" borderId="22" xfId="0" applyFont="1" applyFill="1" applyBorder="1" applyAlignment="1">
      <alignment vertical="center"/>
    </xf>
    <xf numFmtId="0" fontId="0" fillId="7" borderId="31" xfId="0" applyFont="1" applyFill="1" applyBorder="1" applyAlignment="1">
      <alignment vertical="center"/>
    </xf>
    <xf numFmtId="0" fontId="0" fillId="7" borderId="82" xfId="0" applyFont="1" applyFill="1" applyBorder="1" applyAlignment="1">
      <alignment vertical="center"/>
    </xf>
    <xf numFmtId="1" fontId="0" fillId="6" borderId="62" xfId="1" applyNumberFormat="1" applyFont="1" applyFill="1" applyBorder="1" applyAlignment="1">
      <alignment horizontal="center" vertical="top" wrapText="1"/>
    </xf>
    <xf numFmtId="1" fontId="0" fillId="6" borderId="35" xfId="1" applyNumberFormat="1" applyFont="1" applyFill="1" applyBorder="1" applyAlignment="1">
      <alignment horizontal="center" vertical="top" wrapText="1"/>
    </xf>
    <xf numFmtId="1" fontId="0" fillId="6" borderId="52" xfId="1" applyNumberFormat="1" applyFont="1" applyFill="1" applyBorder="1" applyAlignment="1">
      <alignment horizontal="center" vertical="top" wrapText="1"/>
    </xf>
    <xf numFmtId="1" fontId="5" fillId="18" borderId="35" xfId="0" applyNumberFormat="1" applyFont="1" applyFill="1" applyBorder="1" applyAlignment="1">
      <alignment horizontal="left" vertical="top" wrapText="1"/>
    </xf>
    <xf numFmtId="0" fontId="5" fillId="18" borderId="35" xfId="0" applyFont="1" applyFill="1" applyBorder="1" applyAlignment="1">
      <alignment vertical="top" wrapText="1"/>
    </xf>
    <xf numFmtId="173" fontId="5" fillId="19" borderId="21" xfId="0" applyNumberFormat="1" applyFont="1" applyFill="1" applyBorder="1" applyAlignment="1">
      <alignment horizontal="left" vertical="top" wrapText="1"/>
    </xf>
    <xf numFmtId="174" fontId="5" fillId="19" borderId="21" xfId="0" applyNumberFormat="1" applyFont="1" applyFill="1" applyBorder="1" applyAlignment="1">
      <alignment horizontal="left" vertical="top" wrapText="1"/>
    </xf>
    <xf numFmtId="173" fontId="5" fillId="17" borderId="71" xfId="0" applyNumberFormat="1" applyFont="1" applyFill="1" applyBorder="1" applyAlignment="1">
      <alignment horizontal="left" vertical="top" wrapText="1"/>
    </xf>
    <xf numFmtId="0" fontId="5" fillId="18" borderId="79" xfId="0" applyFont="1" applyFill="1" applyBorder="1" applyAlignment="1">
      <alignment vertical="top" wrapText="1"/>
    </xf>
    <xf numFmtId="0" fontId="5" fillId="20" borderId="21" xfId="0" applyFont="1" applyFill="1" applyBorder="1" applyAlignment="1">
      <alignment horizontal="left" vertical="top" wrapText="1"/>
    </xf>
    <xf numFmtId="0" fontId="5" fillId="20" borderId="21" xfId="0" applyFont="1" applyFill="1" applyBorder="1" applyAlignment="1">
      <alignment vertical="top" wrapText="1"/>
    </xf>
    <xf numFmtId="173" fontId="5" fillId="20" borderId="21" xfId="0" applyNumberFormat="1" applyFont="1" applyFill="1" applyBorder="1" applyAlignment="1">
      <alignment horizontal="left" vertical="top" wrapText="1"/>
    </xf>
    <xf numFmtId="174" fontId="5" fillId="20" borderId="21" xfId="0" applyNumberFormat="1" applyFont="1" applyFill="1" applyBorder="1" applyAlignment="1">
      <alignment horizontal="left" vertical="top" wrapText="1"/>
    </xf>
    <xf numFmtId="180" fontId="5" fillId="20" borderId="71" xfId="0" applyNumberFormat="1" applyFont="1" applyFill="1" applyBorder="1" applyAlignment="1">
      <alignment horizontal="left" vertical="top" wrapText="1"/>
    </xf>
    <xf numFmtId="173" fontId="5" fillId="20" borderId="77" xfId="0" applyNumberFormat="1" applyFont="1" applyFill="1" applyBorder="1" applyAlignment="1">
      <alignment horizontal="left" vertical="top" wrapText="1"/>
    </xf>
    <xf numFmtId="0" fontId="5" fillId="14" borderId="21" xfId="0" applyFont="1" applyFill="1" applyBorder="1" applyAlignment="1">
      <alignment horizontal="left" vertical="top" wrapText="1"/>
    </xf>
    <xf numFmtId="0" fontId="5" fillId="14" borderId="21" xfId="0" applyFont="1" applyFill="1" applyBorder="1" applyAlignment="1">
      <alignment vertical="top" wrapText="1"/>
    </xf>
    <xf numFmtId="173" fontId="5" fillId="14" borderId="21" xfId="0" applyNumberFormat="1" applyFont="1" applyFill="1" applyBorder="1" applyAlignment="1">
      <alignment horizontal="left" vertical="top" wrapText="1"/>
    </xf>
    <xf numFmtId="174" fontId="5" fillId="14" borderId="21" xfId="0" applyNumberFormat="1" applyFont="1" applyFill="1" applyBorder="1" applyAlignment="1">
      <alignment horizontal="left" vertical="top" wrapText="1"/>
    </xf>
    <xf numFmtId="180" fontId="5" fillId="14" borderId="71" xfId="0" applyNumberFormat="1" applyFont="1" applyFill="1" applyBorder="1" applyAlignment="1">
      <alignment horizontal="left" vertical="top" wrapText="1"/>
    </xf>
    <xf numFmtId="173" fontId="5" fillId="14" borderId="77" xfId="0" applyNumberFormat="1" applyFont="1" applyFill="1" applyBorder="1" applyAlignment="1">
      <alignment horizontal="left" vertical="top" wrapText="1"/>
    </xf>
    <xf numFmtId="0" fontId="5" fillId="14" borderId="21" xfId="0" applyNumberFormat="1" applyFont="1" applyFill="1" applyBorder="1" applyAlignment="1">
      <alignment horizontal="left" vertical="top" wrapText="1"/>
    </xf>
    <xf numFmtId="49" fontId="5" fillId="14" borderId="21" xfId="0" applyNumberFormat="1" applyFont="1" applyFill="1" applyBorder="1" applyAlignment="1">
      <alignment vertical="top" wrapText="1"/>
    </xf>
    <xf numFmtId="0" fontId="5" fillId="21" borderId="21" xfId="0" applyFont="1" applyFill="1" applyBorder="1" applyAlignment="1">
      <alignment horizontal="left" vertical="top" wrapText="1"/>
    </xf>
    <xf numFmtId="0" fontId="5" fillId="21" borderId="21" xfId="0" applyFont="1" applyFill="1" applyBorder="1" applyAlignment="1">
      <alignment vertical="top" wrapText="1"/>
    </xf>
    <xf numFmtId="173" fontId="5" fillId="21" borderId="21" xfId="0" applyNumberFormat="1" applyFont="1" applyFill="1" applyBorder="1" applyAlignment="1">
      <alignment horizontal="left" vertical="top" wrapText="1"/>
    </xf>
    <xf numFmtId="174" fontId="5" fillId="21" borderId="21" xfId="0" applyNumberFormat="1" applyFont="1" applyFill="1" applyBorder="1" applyAlignment="1">
      <alignment horizontal="left" vertical="top" wrapText="1"/>
    </xf>
    <xf numFmtId="180" fontId="5" fillId="15" borderId="71" xfId="0" applyNumberFormat="1" applyFont="1" applyFill="1" applyBorder="1" applyAlignment="1">
      <alignment horizontal="left" vertical="top" wrapText="1"/>
    </xf>
    <xf numFmtId="173" fontId="5" fillId="15" borderId="77" xfId="0" applyNumberFormat="1" applyFont="1" applyFill="1" applyBorder="1" applyAlignment="1">
      <alignment horizontal="left" vertical="top" wrapText="1"/>
    </xf>
    <xf numFmtId="0" fontId="5" fillId="15" borderId="21" xfId="0" applyNumberFormat="1" applyFont="1" applyFill="1" applyBorder="1" applyAlignment="1">
      <alignment horizontal="left" vertical="top" wrapText="1"/>
    </xf>
    <xf numFmtId="0" fontId="5" fillId="15" borderId="21" xfId="0" applyFont="1" applyFill="1" applyBorder="1" applyAlignment="1">
      <alignment vertical="top" wrapText="1"/>
    </xf>
    <xf numFmtId="174" fontId="5" fillId="15" borderId="21" xfId="0" applyNumberFormat="1" applyFont="1" applyFill="1" applyBorder="1" applyAlignment="1">
      <alignment horizontal="left" vertical="top" wrapText="1"/>
    </xf>
    <xf numFmtId="1" fontId="5" fillId="21" borderId="21" xfId="0" applyNumberFormat="1" applyFont="1" applyFill="1" applyBorder="1" applyAlignment="1">
      <alignment horizontal="left" vertical="top" wrapText="1"/>
    </xf>
    <xf numFmtId="0" fontId="5" fillId="15" borderId="21" xfId="0" applyFont="1" applyFill="1" applyBorder="1" applyAlignment="1">
      <alignment horizontal="left" vertical="top" wrapText="1"/>
    </xf>
    <xf numFmtId="173" fontId="5" fillId="15" borderId="21" xfId="0" applyNumberFormat="1" applyFont="1" applyFill="1" applyBorder="1" applyAlignment="1">
      <alignment horizontal="left" vertical="top" wrapText="1"/>
    </xf>
    <xf numFmtId="0" fontId="0" fillId="0" borderId="34" xfId="0" applyBorder="1" applyAlignment="1">
      <alignment vertical="center" wrapText="1"/>
    </xf>
    <xf numFmtId="0" fontId="0" fillId="0" borderId="41" xfId="0" applyBorder="1" applyAlignment="1">
      <alignment vertical="center" wrapText="1"/>
    </xf>
    <xf numFmtId="0" fontId="0" fillId="0" borderId="4" xfId="0" applyBorder="1" applyAlignment="1">
      <alignment horizontal="center" vertical="center"/>
    </xf>
    <xf numFmtId="9" fontId="0" fillId="0" borderId="70" xfId="1" applyFont="1" applyBorder="1" applyAlignment="1">
      <alignment horizontal="center" vertical="center"/>
    </xf>
    <xf numFmtId="9" fontId="0" fillId="0" borderId="39" xfId="1" applyFont="1" applyBorder="1" applyAlignment="1">
      <alignment horizontal="center" vertical="center"/>
    </xf>
    <xf numFmtId="9" fontId="0" fillId="0" borderId="114" xfId="1" applyFont="1" applyBorder="1" applyAlignment="1">
      <alignment horizontal="center" vertical="center"/>
    </xf>
    <xf numFmtId="1" fontId="0" fillId="0" borderId="47" xfId="0" applyNumberFormat="1" applyBorder="1" applyAlignment="1">
      <alignment horizontal="center" vertical="center"/>
    </xf>
    <xf numFmtId="1" fontId="0" fillId="0" borderId="5" xfId="0" applyNumberFormat="1" applyBorder="1" applyAlignment="1">
      <alignment horizontal="center" vertical="center"/>
    </xf>
    <xf numFmtId="20" fontId="0" fillId="0" borderId="65" xfId="0" applyNumberFormat="1" applyBorder="1" applyAlignment="1">
      <alignment horizontal="center" vertical="center"/>
    </xf>
    <xf numFmtId="20" fontId="0" fillId="0" borderId="47" xfId="0" applyNumberFormat="1" applyBorder="1" applyAlignment="1">
      <alignment horizontal="center" vertical="center"/>
    </xf>
    <xf numFmtId="20" fontId="0" fillId="0" borderId="5" xfId="0" applyNumberFormat="1" applyBorder="1" applyAlignment="1">
      <alignment horizontal="center" vertical="center"/>
    </xf>
    <xf numFmtId="0" fontId="0" fillId="0" borderId="126" xfId="0" applyBorder="1" applyAlignment="1">
      <alignment vertical="center"/>
    </xf>
    <xf numFmtId="1" fontId="0" fillId="7" borderId="28" xfId="0" applyNumberFormat="1" applyFill="1" applyBorder="1" applyAlignment="1">
      <alignment horizontal="center"/>
    </xf>
    <xf numFmtId="0" fontId="0" fillId="5" borderId="62" xfId="0" applyNumberFormat="1" applyFill="1" applyBorder="1" applyAlignment="1">
      <alignment horizontal="center" vertical="top" wrapText="1"/>
    </xf>
    <xf numFmtId="0" fontId="0" fillId="5" borderId="35" xfId="0" applyNumberFormat="1" applyFill="1" applyBorder="1" applyAlignment="1">
      <alignment horizontal="center" vertical="top" wrapText="1"/>
    </xf>
    <xf numFmtId="0" fontId="0" fillId="5" borderId="52" xfId="0" applyNumberFormat="1" applyFill="1" applyBorder="1" applyAlignment="1">
      <alignment horizontal="center" vertical="top" wrapText="1"/>
    </xf>
    <xf numFmtId="0" fontId="5" fillId="3" borderId="22" xfId="3" applyNumberFormat="1" applyFont="1" applyFill="1" applyBorder="1" applyAlignment="1">
      <alignment horizontal="left" vertical="center" wrapText="1"/>
    </xf>
    <xf numFmtId="0" fontId="5" fillId="3" borderId="21" xfId="3" applyNumberFormat="1" applyFont="1" applyFill="1" applyBorder="1" applyAlignment="1">
      <alignment horizontal="left" vertical="center" wrapText="1"/>
    </xf>
    <xf numFmtId="0" fontId="5" fillId="3" borderId="35" xfId="3" applyNumberFormat="1" applyFont="1" applyFill="1" applyBorder="1" applyAlignment="1">
      <alignment horizontal="left" vertical="center" wrapText="1"/>
    </xf>
    <xf numFmtId="0" fontId="0" fillId="5" borderId="130" xfId="0" applyNumberFormat="1" applyFill="1" applyBorder="1" applyAlignment="1">
      <alignment horizontal="center" vertical="center"/>
    </xf>
    <xf numFmtId="0" fontId="5" fillId="23" borderId="21" xfId="0" applyFont="1" applyFill="1" applyBorder="1" applyAlignment="1">
      <alignment horizontal="center" vertical="center" textRotation="90"/>
    </xf>
    <xf numFmtId="49" fontId="5" fillId="22" borderId="37" xfId="0" applyNumberFormat="1" applyFont="1" applyFill="1" applyBorder="1" applyAlignment="1">
      <alignment horizontal="center" vertical="center" textRotation="90"/>
    </xf>
    <xf numFmtId="0" fontId="5" fillId="23" borderId="21" xfId="0" applyFont="1" applyFill="1" applyBorder="1" applyAlignment="1">
      <alignment vertical="top" wrapText="1"/>
    </xf>
    <xf numFmtId="20" fontId="5" fillId="23" borderId="21" xfId="0" applyNumberFormat="1" applyFont="1" applyFill="1" applyBorder="1" applyAlignment="1">
      <alignment vertical="top" wrapText="1"/>
    </xf>
    <xf numFmtId="174" fontId="5" fillId="23" borderId="21" xfId="0" applyNumberFormat="1" applyFont="1" applyFill="1" applyBorder="1" applyAlignment="1">
      <alignment vertical="top" wrapText="1"/>
    </xf>
    <xf numFmtId="173" fontId="5" fillId="23" borderId="71" xfId="0" applyNumberFormat="1" applyFont="1" applyFill="1" applyBorder="1" applyAlignment="1">
      <alignment horizontal="left" vertical="top" wrapText="1"/>
    </xf>
    <xf numFmtId="173" fontId="5" fillId="23" borderId="77" xfId="0" applyNumberFormat="1" applyFont="1" applyFill="1" applyBorder="1" applyAlignment="1">
      <alignment horizontal="left" vertical="top" wrapText="1"/>
    </xf>
    <xf numFmtId="0" fontId="5" fillId="22" borderId="21" xfId="0" applyFont="1" applyFill="1" applyBorder="1" applyAlignment="1">
      <alignment horizontal="center" vertical="center" textRotation="90"/>
    </xf>
    <xf numFmtId="0" fontId="5" fillId="22" borderId="21" xfId="0" applyFont="1" applyFill="1" applyBorder="1" applyAlignment="1">
      <alignment vertical="top" wrapText="1"/>
    </xf>
    <xf numFmtId="174" fontId="5" fillId="22" borderId="21" xfId="0" applyNumberFormat="1" applyFont="1" applyFill="1" applyBorder="1" applyAlignment="1">
      <alignment vertical="top" wrapText="1"/>
    </xf>
    <xf numFmtId="173" fontId="5" fillId="22" borderId="71" xfId="0" applyNumberFormat="1" applyFont="1" applyFill="1" applyBorder="1" applyAlignment="1">
      <alignment horizontal="left" vertical="top" wrapText="1"/>
    </xf>
    <xf numFmtId="173" fontId="5" fillId="22" borderId="77" xfId="0" applyNumberFormat="1" applyFont="1" applyFill="1" applyBorder="1" applyAlignment="1">
      <alignment horizontal="left" vertical="top" wrapText="1"/>
    </xf>
    <xf numFmtId="0" fontId="0" fillId="3" borderId="47" xfId="0" applyNumberFormat="1" applyFill="1" applyBorder="1" applyAlignment="1">
      <alignment horizontal="center" vertical="top" wrapText="1"/>
    </xf>
    <xf numFmtId="0" fontId="0" fillId="3" borderId="22" xfId="0" applyNumberFormat="1" applyFill="1" applyBorder="1" applyAlignment="1">
      <alignment horizontal="center" vertical="top" wrapText="1"/>
    </xf>
    <xf numFmtId="0" fontId="0" fillId="3" borderId="23" xfId="0" applyNumberFormat="1" applyFill="1" applyBorder="1" applyAlignment="1">
      <alignment horizontal="center" vertical="top" wrapText="1"/>
    </xf>
    <xf numFmtId="0" fontId="0" fillId="4" borderId="37" xfId="0" applyNumberFormat="1" applyFill="1" applyBorder="1" applyAlignment="1">
      <alignment horizontal="center" vertical="top" wrapText="1"/>
    </xf>
    <xf numFmtId="0" fontId="0" fillId="4" borderId="35" xfId="0" applyNumberFormat="1" applyFill="1" applyBorder="1" applyAlignment="1">
      <alignment horizontal="center" vertical="top" wrapText="1"/>
    </xf>
    <xf numFmtId="0" fontId="0" fillId="4" borderId="59" xfId="0" applyNumberFormat="1" applyFill="1" applyBorder="1" applyAlignment="1">
      <alignment horizontal="center" vertical="top" wrapText="1"/>
    </xf>
    <xf numFmtId="0" fontId="0" fillId="3" borderId="37" xfId="0" applyNumberFormat="1" applyFill="1" applyBorder="1" applyAlignment="1">
      <alignment horizontal="center" vertical="top" wrapText="1"/>
    </xf>
    <xf numFmtId="0" fontId="0" fillId="3" borderId="35" xfId="0" applyNumberFormat="1" applyFill="1" applyBorder="1" applyAlignment="1">
      <alignment horizontal="center" vertical="top" wrapText="1"/>
    </xf>
    <xf numFmtId="0" fontId="0" fillId="3" borderId="59" xfId="0" applyNumberFormat="1" applyFill="1" applyBorder="1" applyAlignment="1">
      <alignment horizontal="center" vertical="top" wrapText="1"/>
    </xf>
    <xf numFmtId="0" fontId="0" fillId="4" borderId="21" xfId="0" applyNumberFormat="1" applyFill="1" applyBorder="1" applyAlignment="1">
      <alignment horizontal="center" vertical="top" wrapText="1"/>
    </xf>
    <xf numFmtId="0" fontId="0" fillId="4" borderId="27" xfId="0" applyNumberFormat="1" applyFill="1" applyBorder="1" applyAlignment="1">
      <alignment horizontal="center" vertical="top" wrapText="1"/>
    </xf>
    <xf numFmtId="0" fontId="0" fillId="3" borderId="21" xfId="0" applyNumberFormat="1" applyFill="1" applyBorder="1" applyAlignment="1">
      <alignment horizontal="center" vertical="top" wrapText="1"/>
    </xf>
    <xf numFmtId="0" fontId="0" fillId="3" borderId="27" xfId="0" applyNumberFormat="1" applyFill="1" applyBorder="1" applyAlignment="1">
      <alignment horizontal="center" vertical="top" wrapText="1"/>
    </xf>
    <xf numFmtId="0" fontId="0" fillId="3" borderId="45" xfId="0" applyNumberFormat="1" applyFill="1" applyBorder="1" applyAlignment="1">
      <alignment horizontal="center" vertical="top" wrapText="1"/>
    </xf>
    <xf numFmtId="0" fontId="0" fillId="3" borderId="54" xfId="0" applyNumberFormat="1" applyFill="1" applyBorder="1" applyAlignment="1">
      <alignment horizontal="center" vertical="top" wrapText="1"/>
    </xf>
    <xf numFmtId="0" fontId="0" fillId="4" borderId="45" xfId="0" applyNumberFormat="1" applyFill="1" applyBorder="1" applyAlignment="1">
      <alignment horizontal="center" vertical="top" wrapText="1"/>
    </xf>
    <xf numFmtId="0" fontId="0" fillId="4" borderId="38" xfId="0" applyNumberFormat="1" applyFill="1" applyBorder="1" applyAlignment="1">
      <alignment horizontal="center" vertical="top" wrapText="1"/>
    </xf>
    <xf numFmtId="0" fontId="0" fillId="4" borderId="60" xfId="0" applyNumberFormat="1" applyFill="1" applyBorder="1" applyAlignment="1">
      <alignment horizontal="center" vertical="top" wrapText="1"/>
    </xf>
    <xf numFmtId="0" fontId="0" fillId="3" borderId="38" xfId="0" applyNumberFormat="1" applyFill="1" applyBorder="1" applyAlignment="1">
      <alignment horizontal="center" vertical="top" wrapText="1"/>
    </xf>
    <xf numFmtId="0" fontId="0" fillId="3" borderId="60" xfId="0" applyNumberFormat="1" applyFill="1" applyBorder="1" applyAlignment="1">
      <alignment horizontal="center" vertical="top" wrapText="1"/>
    </xf>
    <xf numFmtId="0" fontId="0" fillId="3" borderId="44" xfId="0" applyNumberFormat="1" applyFill="1" applyBorder="1" applyAlignment="1">
      <alignment horizontal="center" vertical="top" wrapText="1"/>
    </xf>
    <xf numFmtId="0" fontId="0" fillId="3" borderId="58" xfId="0" applyNumberFormat="1" applyFill="1" applyBorder="1" applyAlignment="1">
      <alignment horizontal="center" vertical="top" wrapText="1"/>
    </xf>
    <xf numFmtId="1" fontId="0" fillId="7" borderId="31" xfId="0" applyNumberFormat="1" applyFill="1" applyBorder="1" applyAlignment="1">
      <alignment horizontal="center"/>
    </xf>
    <xf numFmtId="1" fontId="0" fillId="7" borderId="32" xfId="0" applyNumberFormat="1" applyFill="1" applyBorder="1" applyAlignment="1">
      <alignment horizontal="center"/>
    </xf>
    <xf numFmtId="1" fontId="0" fillId="2" borderId="19" xfId="0" applyNumberFormat="1" applyFill="1" applyBorder="1" applyAlignment="1">
      <alignment horizontal="center"/>
    </xf>
    <xf numFmtId="1" fontId="0" fillId="7" borderId="19" xfId="0" applyNumberFormat="1" applyFill="1" applyBorder="1" applyAlignment="1">
      <alignment horizontal="center"/>
    </xf>
    <xf numFmtId="1" fontId="0" fillId="2" borderId="18" xfId="0" applyNumberFormat="1" applyFill="1" applyBorder="1" applyAlignment="1">
      <alignment horizontal="center"/>
    </xf>
    <xf numFmtId="1" fontId="0" fillId="7" borderId="18" xfId="0" applyNumberFormat="1" applyFill="1" applyBorder="1" applyAlignment="1">
      <alignment horizontal="center"/>
    </xf>
    <xf numFmtId="1" fontId="0" fillId="7" borderId="20" xfId="0" applyNumberFormat="1" applyFill="1" applyBorder="1" applyAlignment="1">
      <alignment horizontal="center"/>
    </xf>
    <xf numFmtId="1" fontId="0" fillId="7" borderId="12" xfId="0" applyNumberFormat="1" applyFill="1" applyBorder="1" applyAlignment="1">
      <alignment horizontal="center"/>
    </xf>
    <xf numFmtId="1" fontId="0" fillId="7" borderId="30" xfId="0" applyNumberFormat="1" applyFill="1" applyBorder="1" applyAlignment="1">
      <alignment horizontal="center"/>
    </xf>
    <xf numFmtId="1" fontId="0" fillId="7" borderId="29" xfId="0" applyNumberFormat="1" applyFill="1" applyBorder="1" applyAlignment="1">
      <alignment horizontal="center"/>
    </xf>
    <xf numFmtId="1" fontId="0" fillId="7" borderId="114" xfId="0" applyNumberFormat="1" applyFill="1" applyBorder="1" applyAlignment="1">
      <alignment horizontal="center"/>
    </xf>
    <xf numFmtId="0" fontId="0" fillId="5" borderId="39" xfId="0" applyNumberFormat="1" applyFill="1" applyBorder="1" applyAlignment="1">
      <alignment horizontal="center" vertical="top"/>
    </xf>
    <xf numFmtId="0" fontId="0" fillId="5" borderId="24" xfId="0" applyNumberFormat="1" applyFill="1" applyBorder="1" applyAlignment="1">
      <alignment horizontal="center" vertical="top"/>
    </xf>
    <xf numFmtId="0" fontId="0" fillId="5" borderId="25" xfId="0" applyNumberFormat="1" applyFill="1" applyBorder="1" applyAlignment="1">
      <alignment horizontal="center" vertical="top"/>
    </xf>
    <xf numFmtId="0" fontId="0" fillId="5" borderId="0" xfId="0" applyNumberFormat="1" applyFill="1" applyBorder="1" applyAlignment="1">
      <alignment horizontal="center" vertical="center"/>
    </xf>
    <xf numFmtId="14" fontId="0" fillId="5" borderId="94" xfId="0" applyNumberFormat="1" applyFill="1" applyBorder="1" applyAlignment="1">
      <alignment horizontal="center" vertical="top" wrapText="1"/>
    </xf>
    <xf numFmtId="14" fontId="0" fillId="5" borderId="92" xfId="0" applyNumberFormat="1" applyFill="1" applyBorder="1" applyAlignment="1">
      <alignment horizontal="center" vertical="top" wrapText="1"/>
    </xf>
    <xf numFmtId="14" fontId="0" fillId="5" borderId="93" xfId="0" applyNumberFormat="1" applyFill="1" applyBorder="1" applyAlignment="1">
      <alignment horizontal="center" vertical="top" wrapText="1"/>
    </xf>
    <xf numFmtId="0" fontId="0" fillId="5" borderId="28" xfId="0" applyFill="1" applyBorder="1" applyAlignment="1">
      <alignment horizontal="center" vertical="top" wrapText="1"/>
    </xf>
    <xf numFmtId="0" fontId="0" fillId="5" borderId="80" xfId="0" applyNumberFormat="1" applyFill="1" applyBorder="1" applyAlignment="1">
      <alignment horizontal="center" vertical="top"/>
    </xf>
    <xf numFmtId="9" fontId="0" fillId="5" borderId="32" xfId="1" applyNumberFormat="1" applyFont="1" applyFill="1" applyBorder="1" applyAlignment="1">
      <alignment horizontal="center" vertical="top" wrapText="1"/>
    </xf>
    <xf numFmtId="20" fontId="0" fillId="5" borderId="5" xfId="1" applyNumberFormat="1" applyFont="1" applyFill="1" applyBorder="1" applyAlignment="1">
      <alignment horizontal="center" vertical="top" wrapText="1"/>
    </xf>
    <xf numFmtId="0" fontId="5" fillId="3" borderId="82" xfId="3" applyNumberFormat="1" applyFont="1" applyFill="1" applyBorder="1" applyAlignment="1">
      <alignment horizontal="left" vertical="center" wrapText="1"/>
    </xf>
    <xf numFmtId="0" fontId="5" fillId="3" borderId="79" xfId="3" applyNumberFormat="1" applyFont="1" applyFill="1" applyBorder="1" applyAlignment="1">
      <alignment horizontal="left" vertical="center" wrapText="1"/>
    </xf>
    <xf numFmtId="0" fontId="0" fillId="5" borderId="117" xfId="0" applyNumberFormat="1" applyFill="1" applyBorder="1" applyAlignment="1">
      <alignment horizontal="center" vertical="center"/>
    </xf>
    <xf numFmtId="0" fontId="0" fillId="5" borderId="0" xfId="0" applyNumberFormat="1" applyFill="1" applyBorder="1" applyAlignment="1">
      <alignment horizontal="center" vertical="center"/>
    </xf>
    <xf numFmtId="0" fontId="0" fillId="8" borderId="45" xfId="0" applyNumberFormat="1" applyFill="1" applyBorder="1" applyAlignment="1">
      <alignment horizontal="left" vertical="top" wrapText="1"/>
    </xf>
    <xf numFmtId="0" fontId="0" fillId="8" borderId="38" xfId="0" applyNumberFormat="1" applyFill="1" applyBorder="1" applyAlignment="1">
      <alignment horizontal="left" vertical="top" wrapText="1"/>
    </xf>
    <xf numFmtId="0" fontId="0" fillId="8" borderId="24" xfId="0" applyNumberFormat="1" applyFill="1" applyBorder="1" applyAlignment="1">
      <alignment horizontal="left" vertical="top" wrapText="1"/>
    </xf>
    <xf numFmtId="0" fontId="1" fillId="8" borderId="24" xfId="0" applyNumberFormat="1" applyFont="1" applyFill="1" applyBorder="1" applyAlignment="1">
      <alignment horizontal="center" vertical="center"/>
    </xf>
    <xf numFmtId="0" fontId="0" fillId="8" borderId="47" xfId="0" applyNumberFormat="1" applyFill="1" applyBorder="1" applyAlignment="1">
      <alignment horizontal="left" vertical="top" wrapText="1"/>
    </xf>
    <xf numFmtId="0" fontId="0" fillId="8" borderId="44" xfId="0" applyNumberFormat="1" applyFill="1" applyBorder="1" applyAlignment="1">
      <alignment horizontal="left" vertical="top" wrapText="1"/>
    </xf>
    <xf numFmtId="0" fontId="0" fillId="8" borderId="40" xfId="0" applyNumberFormat="1" applyFill="1" applyBorder="1" applyAlignment="1">
      <alignment horizontal="left" vertical="top" wrapText="1"/>
    </xf>
    <xf numFmtId="0" fontId="0" fillId="8" borderId="22" xfId="0" applyNumberFormat="1" applyFill="1" applyBorder="1" applyAlignment="1">
      <alignment horizontal="left" vertical="top" wrapText="1"/>
    </xf>
    <xf numFmtId="0" fontId="0" fillId="8" borderId="39" xfId="0" applyNumberFormat="1" applyFill="1" applyBorder="1" applyAlignment="1">
      <alignment horizontal="left" vertical="top" wrapText="1"/>
    </xf>
    <xf numFmtId="0" fontId="5" fillId="3" borderId="44" xfId="3" applyNumberFormat="1" applyFont="1" applyFill="1" applyBorder="1" applyAlignment="1">
      <alignment horizontal="left" vertical="center" wrapText="1"/>
    </xf>
    <xf numFmtId="0" fontId="5" fillId="3" borderId="100" xfId="3" applyNumberFormat="1" applyFont="1" applyFill="1" applyBorder="1" applyAlignment="1">
      <alignment horizontal="left" vertical="center" wrapText="1"/>
    </xf>
    <xf numFmtId="0" fontId="0" fillId="5" borderId="40" xfId="0" applyNumberFormat="1" applyFill="1" applyBorder="1" applyAlignment="1">
      <alignment horizontal="center" vertical="center"/>
    </xf>
    <xf numFmtId="0" fontId="0" fillId="5" borderId="37" xfId="0" applyNumberFormat="1" applyFill="1" applyBorder="1" applyAlignment="1">
      <alignment horizontal="center" vertical="center"/>
    </xf>
    <xf numFmtId="0" fontId="0" fillId="12" borderId="37" xfId="0" applyNumberFormat="1" applyFill="1" applyBorder="1" applyAlignment="1">
      <alignment horizontal="center" vertical="center"/>
    </xf>
    <xf numFmtId="0" fontId="5" fillId="3" borderId="77" xfId="3" applyNumberFormat="1" applyFont="1" applyFill="1" applyBorder="1" applyAlignment="1">
      <alignment horizontal="left" vertical="center" wrapText="1"/>
    </xf>
    <xf numFmtId="0" fontId="0" fillId="0" borderId="0" xfId="0" quotePrefix="1" applyAlignment="1"/>
    <xf numFmtId="1" fontId="0" fillId="4" borderId="62" xfId="0" quotePrefix="1" applyNumberFormat="1" applyFill="1" applyBorder="1" applyAlignment="1">
      <alignment horizontal="center" vertical="center" wrapText="1"/>
    </xf>
    <xf numFmtId="1" fontId="0" fillId="4" borderId="35" xfId="0" quotePrefix="1" applyNumberFormat="1" applyFill="1" applyBorder="1" applyAlignment="1">
      <alignment horizontal="center" vertical="center" wrapText="1"/>
    </xf>
    <xf numFmtId="0" fontId="0" fillId="4" borderId="59" xfId="0" applyFill="1" applyBorder="1" applyAlignment="1">
      <alignment horizontal="center" vertical="center" wrapText="1"/>
    </xf>
    <xf numFmtId="0" fontId="0" fillId="4" borderId="25" xfId="0" applyFill="1" applyBorder="1" applyAlignment="1">
      <alignment horizontal="center" vertical="center" wrapText="1"/>
    </xf>
    <xf numFmtId="1" fontId="0" fillId="4" borderId="39" xfId="0" quotePrefix="1" applyNumberFormat="1" applyFill="1" applyBorder="1" applyAlignment="1">
      <alignment horizontal="center" vertical="center" wrapText="1"/>
    </xf>
    <xf numFmtId="1" fontId="0" fillId="4" borderId="24" xfId="0" quotePrefix="1" applyNumberFormat="1" applyFill="1" applyBorder="1" applyAlignment="1">
      <alignment horizontal="center" vertical="center" wrapText="1"/>
    </xf>
    <xf numFmtId="0" fontId="0" fillId="5" borderId="131" xfId="0" applyNumberFormat="1" applyFill="1" applyBorder="1" applyAlignment="1">
      <alignment vertical="center" textRotation="90" wrapText="1"/>
    </xf>
    <xf numFmtId="0" fontId="0" fillId="5" borderId="96" xfId="0" applyNumberFormat="1" applyFill="1" applyBorder="1" applyAlignment="1">
      <alignment vertical="center" textRotation="90" wrapText="1"/>
    </xf>
    <xf numFmtId="0" fontId="0" fillId="5" borderId="62" xfId="0" applyNumberFormat="1" applyFill="1" applyBorder="1" applyAlignment="1">
      <alignment horizontal="center" vertical="center"/>
    </xf>
    <xf numFmtId="0" fontId="0" fillId="5" borderId="135" xfId="0" applyNumberFormat="1" applyFill="1" applyBorder="1" applyAlignment="1">
      <alignment horizontal="center" vertical="center"/>
    </xf>
    <xf numFmtId="0" fontId="5" fillId="3" borderId="136" xfId="3" applyNumberFormat="1" applyFont="1" applyFill="1" applyBorder="1" applyAlignment="1">
      <alignment horizontal="left" vertical="center" wrapText="1"/>
    </xf>
    <xf numFmtId="0" fontId="5" fillId="3" borderId="137" xfId="3" applyNumberFormat="1" applyFont="1" applyFill="1" applyBorder="1" applyAlignment="1">
      <alignment horizontal="left" vertical="center" wrapText="1"/>
    </xf>
    <xf numFmtId="0" fontId="0" fillId="12" borderId="62" xfId="0" applyNumberFormat="1" applyFill="1" applyBorder="1" applyAlignment="1">
      <alignment horizontal="center" vertical="center"/>
    </xf>
    <xf numFmtId="0" fontId="0" fillId="12" borderId="135" xfId="0" applyNumberFormat="1" applyFill="1" applyBorder="1" applyAlignment="1">
      <alignment horizontal="center" vertical="center"/>
    </xf>
    <xf numFmtId="0" fontId="5" fillId="4" borderId="44" xfId="3" applyNumberFormat="1" applyFont="1" applyFill="1" applyBorder="1" applyAlignment="1">
      <alignment horizontal="left" vertical="center" wrapText="1"/>
    </xf>
    <xf numFmtId="0" fontId="5" fillId="4" borderId="100" xfId="3" applyNumberFormat="1" applyFont="1" applyFill="1" applyBorder="1" applyAlignment="1">
      <alignment horizontal="left" vertical="center" wrapText="1"/>
    </xf>
    <xf numFmtId="0" fontId="5" fillId="4" borderId="136" xfId="3" applyNumberFormat="1" applyFont="1" applyFill="1" applyBorder="1" applyAlignment="1">
      <alignment horizontal="left" vertical="center" wrapText="1"/>
    </xf>
    <xf numFmtId="0" fontId="5" fillId="4" borderId="137" xfId="3" applyNumberFormat="1" applyFont="1" applyFill="1" applyBorder="1" applyAlignment="1">
      <alignment horizontal="left" vertical="center" wrapText="1"/>
    </xf>
    <xf numFmtId="0" fontId="5" fillId="4" borderId="35" xfId="3" applyNumberFormat="1" applyFont="1" applyFill="1" applyBorder="1" applyAlignment="1">
      <alignment horizontal="left" vertical="center" wrapText="1"/>
    </xf>
    <xf numFmtId="0" fontId="5" fillId="4" borderId="79" xfId="3" applyNumberFormat="1" applyFont="1" applyFill="1" applyBorder="1" applyAlignment="1">
      <alignment horizontal="left" vertical="center" wrapText="1"/>
    </xf>
    <xf numFmtId="0" fontId="5" fillId="4" borderId="21" xfId="3" applyNumberFormat="1" applyFont="1" applyFill="1" applyBorder="1" applyAlignment="1">
      <alignment horizontal="left" vertical="center" wrapText="1"/>
    </xf>
    <xf numFmtId="0" fontId="5" fillId="4" borderId="77" xfId="3" applyNumberFormat="1" applyFont="1" applyFill="1" applyBorder="1" applyAlignment="1">
      <alignment horizontal="left" vertical="center" wrapText="1"/>
    </xf>
    <xf numFmtId="0" fontId="5" fillId="3" borderId="138" xfId="3" applyNumberFormat="1" applyFont="1" applyFill="1" applyBorder="1" applyAlignment="1">
      <alignment horizontal="left" vertical="center" wrapText="1"/>
    </xf>
    <xf numFmtId="0" fontId="5" fillId="3" borderId="139" xfId="3" applyNumberFormat="1" applyFont="1" applyFill="1" applyBorder="1" applyAlignment="1">
      <alignment horizontal="left" vertical="center" wrapText="1"/>
    </xf>
    <xf numFmtId="0" fontId="5" fillId="4" borderId="138" xfId="3" applyNumberFormat="1" applyFont="1" applyFill="1" applyBorder="1" applyAlignment="1">
      <alignment horizontal="left" vertical="center" wrapText="1"/>
    </xf>
    <xf numFmtId="0" fontId="5" fillId="4" borderId="139" xfId="3" applyNumberFormat="1" applyFont="1" applyFill="1" applyBorder="1" applyAlignment="1">
      <alignment horizontal="left" vertical="center" wrapText="1"/>
    </xf>
    <xf numFmtId="0" fontId="5" fillId="4" borderId="74" xfId="3" applyNumberFormat="1" applyFont="1" applyFill="1" applyBorder="1" applyAlignment="1">
      <alignment horizontal="left" vertical="center" wrapText="1"/>
    </xf>
    <xf numFmtId="0" fontId="5" fillId="4" borderId="78" xfId="3" applyNumberFormat="1" applyFont="1" applyFill="1" applyBorder="1" applyAlignment="1">
      <alignment horizontal="left" vertical="center" wrapText="1"/>
    </xf>
    <xf numFmtId="0" fontId="0" fillId="12" borderId="140" xfId="0" applyNumberFormat="1" applyFill="1" applyBorder="1" applyAlignment="1">
      <alignment horizontal="center" vertical="center"/>
    </xf>
    <xf numFmtId="0" fontId="0" fillId="5" borderId="140" xfId="0" applyNumberFormat="1" applyFill="1" applyBorder="1" applyAlignment="1">
      <alignment horizontal="center" vertical="center"/>
    </xf>
    <xf numFmtId="0" fontId="0" fillId="12" borderId="144" xfId="0" applyNumberFormat="1" applyFill="1" applyBorder="1" applyAlignment="1">
      <alignment horizontal="center" vertical="center"/>
    </xf>
    <xf numFmtId="0" fontId="0" fillId="5" borderId="144" xfId="0" applyNumberFormat="1" applyFill="1" applyBorder="1" applyAlignment="1">
      <alignment horizontal="center" vertical="center"/>
    </xf>
    <xf numFmtId="0" fontId="0" fillId="7" borderId="145" xfId="0" applyFill="1" applyBorder="1"/>
    <xf numFmtId="49" fontId="0" fillId="7" borderId="61" xfId="0" applyNumberFormat="1" applyFill="1" applyBorder="1" applyAlignment="1">
      <alignment horizontal="center"/>
    </xf>
    <xf numFmtId="49" fontId="0" fillId="2" borderId="64" xfId="0" applyNumberFormat="1" applyFill="1" applyBorder="1" applyAlignment="1">
      <alignment horizontal="center"/>
    </xf>
    <xf numFmtId="1" fontId="0" fillId="7" borderId="64" xfId="0" applyNumberFormat="1" applyFill="1" applyBorder="1" applyAlignment="1">
      <alignment horizontal="center"/>
    </xf>
    <xf numFmtId="1" fontId="0" fillId="2" borderId="64" xfId="0" applyNumberFormat="1" applyFill="1" applyBorder="1" applyAlignment="1">
      <alignment horizontal="center"/>
    </xf>
    <xf numFmtId="21" fontId="0" fillId="2" borderId="64" xfId="0" applyNumberFormat="1" applyFill="1" applyBorder="1" applyAlignment="1">
      <alignment horizontal="center"/>
    </xf>
    <xf numFmtId="20" fontId="0" fillId="2" borderId="64" xfId="0" applyNumberFormat="1" applyFill="1" applyBorder="1" applyAlignment="1">
      <alignment horizontal="center"/>
    </xf>
    <xf numFmtId="1" fontId="0" fillId="2" borderId="17" xfId="1" applyNumberFormat="1" applyFont="1" applyFill="1" applyBorder="1" applyAlignment="1">
      <alignment horizontal="center"/>
    </xf>
    <xf numFmtId="9" fontId="0" fillId="2" borderId="147" xfId="0" applyNumberFormat="1" applyFill="1" applyBorder="1" applyAlignment="1">
      <alignment horizontal="center"/>
    </xf>
    <xf numFmtId="0" fontId="1" fillId="0" borderId="148" xfId="0" applyNumberFormat="1" applyFont="1" applyBorder="1" applyAlignment="1">
      <alignment horizontal="center" wrapText="1"/>
    </xf>
    <xf numFmtId="49" fontId="0" fillId="7" borderId="150" xfId="0" applyNumberFormat="1" applyFill="1" applyBorder="1" applyAlignment="1">
      <alignment horizontal="center"/>
    </xf>
    <xf numFmtId="49" fontId="0" fillId="2" borderId="151" xfId="0" applyNumberFormat="1" applyFill="1" applyBorder="1" applyAlignment="1">
      <alignment horizontal="center"/>
    </xf>
    <xf numFmtId="1" fontId="0" fillId="7" borderId="151" xfId="0" applyNumberFormat="1" applyFill="1" applyBorder="1" applyAlignment="1">
      <alignment horizontal="center"/>
    </xf>
    <xf numFmtId="1" fontId="0" fillId="2" borderId="151" xfId="0" applyNumberFormat="1" applyFill="1" applyBorder="1" applyAlignment="1">
      <alignment horizontal="center"/>
    </xf>
    <xf numFmtId="21" fontId="0" fillId="2" borderId="151" xfId="0" applyNumberFormat="1" applyFill="1" applyBorder="1" applyAlignment="1">
      <alignment horizontal="center"/>
    </xf>
    <xf numFmtId="20" fontId="0" fillId="2" borderId="151" xfId="0" applyNumberFormat="1" applyFill="1" applyBorder="1" applyAlignment="1">
      <alignment horizontal="center"/>
    </xf>
    <xf numFmtId="1" fontId="0" fillId="2" borderId="146" xfId="1" applyNumberFormat="1" applyFont="1" applyFill="1" applyBorder="1" applyAlignment="1">
      <alignment horizontal="center"/>
    </xf>
    <xf numFmtId="9" fontId="0" fillId="2" borderId="146" xfId="0" applyNumberFormat="1" applyFill="1" applyBorder="1" applyAlignment="1">
      <alignment horizontal="center"/>
    </xf>
    <xf numFmtId="0" fontId="1" fillId="0" borderId="153" xfId="0" applyNumberFormat="1" applyFont="1" applyBorder="1" applyAlignment="1">
      <alignment horizontal="center" wrapText="1"/>
    </xf>
    <xf numFmtId="0" fontId="1" fillId="0" borderId="154" xfId="0" applyNumberFormat="1" applyFont="1" applyBorder="1" applyAlignment="1">
      <alignment horizontal="center" wrapText="1"/>
    </xf>
    <xf numFmtId="0" fontId="0" fillId="7" borderId="155" xfId="0" applyFill="1" applyBorder="1"/>
    <xf numFmtId="0" fontId="0" fillId="2" borderId="116" xfId="0" applyFill="1" applyBorder="1"/>
    <xf numFmtId="0" fontId="0" fillId="2" borderId="145" xfId="0" applyFill="1" applyBorder="1"/>
    <xf numFmtId="172" fontId="0" fillId="7" borderId="64" xfId="0" applyNumberFormat="1" applyFill="1" applyBorder="1" applyAlignment="1">
      <alignment horizontal="center"/>
    </xf>
    <xf numFmtId="172" fontId="0" fillId="7" borderId="151" xfId="0" applyNumberFormat="1" applyFill="1" applyBorder="1" applyAlignment="1">
      <alignment horizontal="center"/>
    </xf>
    <xf numFmtId="0" fontId="1" fillId="0" borderId="5" xfId="0" applyNumberFormat="1" applyFont="1" applyBorder="1" applyAlignment="1">
      <alignment horizontal="center"/>
    </xf>
    <xf numFmtId="2" fontId="0" fillId="2" borderId="20" xfId="0" applyNumberFormat="1" applyFill="1" applyBorder="1" applyAlignment="1">
      <alignment horizontal="center"/>
    </xf>
    <xf numFmtId="0" fontId="1" fillId="0" borderId="69" xfId="0" applyNumberFormat="1" applyFont="1" applyBorder="1" applyAlignment="1">
      <alignment horizontal="center"/>
    </xf>
    <xf numFmtId="20" fontId="0" fillId="2" borderId="147" xfId="0" applyNumberFormat="1" applyFill="1" applyBorder="1" applyAlignment="1">
      <alignment horizontal="center"/>
    </xf>
    <xf numFmtId="9" fontId="0" fillId="7" borderId="147" xfId="0" applyNumberFormat="1" applyFill="1" applyBorder="1" applyAlignment="1">
      <alignment horizontal="center"/>
    </xf>
    <xf numFmtId="1" fontId="0" fillId="7" borderId="17" xfId="0" applyNumberFormat="1" applyFill="1" applyBorder="1" applyAlignment="1">
      <alignment horizontal="center"/>
    </xf>
    <xf numFmtId="1" fontId="0" fillId="7" borderId="146" xfId="0" applyNumberFormat="1" applyFill="1" applyBorder="1" applyAlignment="1">
      <alignment horizontal="center"/>
    </xf>
    <xf numFmtId="171" fontId="0" fillId="7" borderId="64" xfId="0" applyNumberFormat="1" applyFill="1" applyBorder="1" applyAlignment="1">
      <alignment horizontal="center"/>
    </xf>
    <xf numFmtId="171" fontId="0" fillId="7" borderId="151" xfId="0" applyNumberFormat="1" applyFill="1" applyBorder="1" applyAlignment="1">
      <alignment horizontal="center"/>
    </xf>
    <xf numFmtId="9" fontId="0" fillId="2" borderId="17" xfId="1" applyFont="1" applyFill="1" applyBorder="1" applyAlignment="1">
      <alignment horizontal="center"/>
    </xf>
    <xf numFmtId="9" fontId="0" fillId="2" borderId="146" xfId="1" applyFont="1" applyFill="1" applyBorder="1" applyAlignment="1">
      <alignment horizontal="center"/>
    </xf>
    <xf numFmtId="9" fontId="0" fillId="7" borderId="146" xfId="0" applyNumberFormat="1" applyFill="1" applyBorder="1" applyAlignment="1">
      <alignment horizontal="center"/>
    </xf>
    <xf numFmtId="0" fontId="1" fillId="0" borderId="154" xfId="0" applyNumberFormat="1" applyFont="1" applyBorder="1" applyAlignment="1">
      <alignment horizontal="center"/>
    </xf>
    <xf numFmtId="0" fontId="0" fillId="0" borderId="0" xfId="0" applyBorder="1" applyAlignment="1">
      <alignment horizontal="center"/>
    </xf>
    <xf numFmtId="0" fontId="1" fillId="0" borderId="0" xfId="0" applyNumberFormat="1" applyFont="1" applyBorder="1" applyAlignment="1">
      <alignment horizontal="center" wrapText="1"/>
    </xf>
    <xf numFmtId="0" fontId="1" fillId="0" borderId="157" xfId="0" applyNumberFormat="1" applyFont="1" applyBorder="1" applyAlignment="1">
      <alignment horizontal="center"/>
    </xf>
    <xf numFmtId="0" fontId="1" fillId="0" borderId="158" xfId="0" applyNumberFormat="1" applyFont="1" applyBorder="1" applyAlignment="1">
      <alignment horizontal="center" wrapText="1"/>
    </xf>
    <xf numFmtId="0" fontId="0" fillId="0" borderId="156" xfId="0" applyNumberFormat="1" applyFont="1" applyBorder="1" applyAlignment="1">
      <alignment horizontal="center" wrapText="1"/>
    </xf>
    <xf numFmtId="0" fontId="0" fillId="0" borderId="158" xfId="0" applyNumberFormat="1" applyFont="1" applyBorder="1" applyAlignment="1">
      <alignment horizontal="center" wrapText="1"/>
    </xf>
    <xf numFmtId="1" fontId="0" fillId="9" borderId="22" xfId="0" applyNumberFormat="1" applyFill="1" applyBorder="1" applyAlignment="1">
      <alignment horizontal="center" vertical="center" wrapText="1"/>
    </xf>
    <xf numFmtId="1" fontId="0" fillId="9" borderId="40" xfId="0" quotePrefix="1" applyNumberFormat="1" applyFill="1" applyBorder="1" applyAlignment="1">
      <alignment horizontal="center" vertical="center" wrapText="1"/>
    </xf>
    <xf numFmtId="1" fontId="0" fillId="9" borderId="23" xfId="0" applyNumberFormat="1" applyFill="1" applyBorder="1" applyAlignment="1">
      <alignment horizontal="center" vertical="center" wrapText="1"/>
    </xf>
    <xf numFmtId="1" fontId="0" fillId="9" borderId="37" xfId="0" quotePrefix="1" applyNumberFormat="1" applyFill="1" applyBorder="1" applyAlignment="1">
      <alignment horizontal="center" vertical="center" wrapText="1"/>
    </xf>
    <xf numFmtId="1" fontId="0" fillId="9" borderId="21" xfId="0" applyNumberFormat="1" applyFill="1" applyBorder="1" applyAlignment="1">
      <alignment horizontal="center" vertical="center" wrapText="1"/>
    </xf>
    <xf numFmtId="1" fontId="0" fillId="9" borderId="27" xfId="0" applyNumberFormat="1" applyFill="1" applyBorder="1" applyAlignment="1">
      <alignment horizontal="center" vertical="center" wrapText="1"/>
    </xf>
    <xf numFmtId="1" fontId="0" fillId="10" borderId="37" xfId="0" quotePrefix="1" applyNumberFormat="1" applyFill="1" applyBorder="1" applyAlignment="1">
      <alignment horizontal="center" vertical="center" wrapText="1"/>
    </xf>
    <xf numFmtId="1" fontId="0" fillId="10" borderId="21" xfId="0" applyNumberFormat="1" applyFill="1" applyBorder="1" applyAlignment="1">
      <alignment horizontal="center" vertical="center" wrapText="1"/>
    </xf>
    <xf numFmtId="1" fontId="0" fillId="10" borderId="27" xfId="0" applyNumberFormat="1" applyFill="1" applyBorder="1" applyAlignment="1">
      <alignment horizontal="center" vertical="center" wrapText="1"/>
    </xf>
    <xf numFmtId="1" fontId="0" fillId="10" borderId="21" xfId="0" quotePrefix="1" applyNumberFormat="1" applyFill="1" applyBorder="1" applyAlignment="1">
      <alignment horizontal="center" vertical="center" wrapText="1"/>
    </xf>
    <xf numFmtId="1" fontId="0" fillId="9" borderId="62" xfId="0" quotePrefix="1" applyNumberFormat="1" applyFill="1" applyBorder="1" applyAlignment="1">
      <alignment horizontal="center" vertical="center" wrapText="1"/>
    </xf>
    <xf numFmtId="1" fontId="0" fillId="9" borderId="35" xfId="0" applyNumberFormat="1" applyFill="1" applyBorder="1" applyAlignment="1">
      <alignment horizontal="center" vertical="center" wrapText="1"/>
    </xf>
    <xf numFmtId="1" fontId="0" fillId="9" borderId="59" xfId="0" applyNumberFormat="1" applyFill="1" applyBorder="1" applyAlignment="1">
      <alignment horizontal="center" vertical="center" wrapText="1"/>
    </xf>
    <xf numFmtId="1" fontId="5" fillId="9" borderId="62" xfId="0" quotePrefix="1" applyNumberFormat="1" applyFont="1" applyFill="1" applyBorder="1" applyAlignment="1">
      <alignment horizontal="center" vertical="center" wrapText="1"/>
    </xf>
    <xf numFmtId="1" fontId="5" fillId="9" borderId="37" xfId="0" quotePrefix="1" applyNumberFormat="1" applyFont="1" applyFill="1" applyBorder="1" applyAlignment="1">
      <alignment horizontal="center" vertical="center" wrapText="1"/>
    </xf>
    <xf numFmtId="1" fontId="0" fillId="9" borderId="24" xfId="0" applyNumberFormat="1" applyFill="1" applyBorder="1" applyAlignment="1">
      <alignment horizontal="center" vertical="center" wrapText="1"/>
    </xf>
    <xf numFmtId="1" fontId="0" fillId="9" borderId="25" xfId="0" applyNumberFormat="1" applyFill="1" applyBorder="1" applyAlignment="1">
      <alignment horizontal="center" vertical="center" wrapText="1"/>
    </xf>
    <xf numFmtId="0" fontId="0" fillId="9" borderId="159" xfId="0" applyNumberFormat="1" applyFont="1" applyFill="1" applyBorder="1" applyAlignment="1">
      <alignment horizontal="center" wrapText="1"/>
    </xf>
    <xf numFmtId="0" fontId="0" fillId="9" borderId="150" xfId="0" applyNumberFormat="1" applyFont="1" applyFill="1" applyBorder="1" applyAlignment="1">
      <alignment horizontal="center" wrapText="1"/>
    </xf>
    <xf numFmtId="0" fontId="1" fillId="0" borderId="4" xfId="0" applyFont="1" applyBorder="1" applyAlignment="1">
      <alignment horizontal="left" vertical="center"/>
    </xf>
    <xf numFmtId="0" fontId="1" fillId="0" borderId="0" xfId="0" applyFont="1" applyBorder="1" applyAlignment="1">
      <alignment horizontal="center" vertical="center"/>
    </xf>
    <xf numFmtId="0" fontId="1" fillId="0" borderId="5" xfId="0" applyFont="1" applyBorder="1" applyAlignment="1">
      <alignment horizontal="center" vertical="center"/>
    </xf>
    <xf numFmtId="0" fontId="0" fillId="0" borderId="0" xfId="0" applyAlignment="1">
      <alignment horizontal="center"/>
    </xf>
    <xf numFmtId="0" fontId="0" fillId="0" borderId="2" xfId="0" applyBorder="1" applyAlignment="1">
      <alignment horizontal="center"/>
    </xf>
    <xf numFmtId="0" fontId="1" fillId="0" borderId="2" xfId="0" applyNumberFormat="1" applyFont="1" applyBorder="1" applyAlignment="1">
      <alignment horizontal="center" wrapText="1"/>
    </xf>
    <xf numFmtId="0" fontId="0" fillId="12" borderId="120" xfId="0" applyFill="1" applyBorder="1" applyAlignment="1">
      <alignment horizontal="center"/>
    </xf>
    <xf numFmtId="0" fontId="10" fillId="0" borderId="0" xfId="0" applyFont="1"/>
    <xf numFmtId="0" fontId="10" fillId="0" borderId="0" xfId="0" applyNumberFormat="1" applyFont="1" applyFill="1" applyAlignment="1">
      <alignment horizontal="left" vertical="top"/>
    </xf>
    <xf numFmtId="0" fontId="10" fillId="0" borderId="0" xfId="0" applyNumberFormat="1" applyFont="1" applyAlignment="1">
      <alignment horizontal="left" vertical="top"/>
    </xf>
    <xf numFmtId="0" fontId="10" fillId="0" borderId="0" xfId="0" applyNumberFormat="1" applyFont="1" applyAlignment="1">
      <alignment horizontal="left" vertical="top" wrapText="1"/>
    </xf>
    <xf numFmtId="0" fontId="0" fillId="10" borderId="118" xfId="0" applyNumberFormat="1" applyFont="1" applyFill="1" applyBorder="1" applyAlignment="1">
      <alignment horizontal="center" wrapText="1"/>
    </xf>
    <xf numFmtId="0" fontId="0" fillId="10" borderId="151" xfId="0" applyNumberFormat="1" applyFont="1" applyFill="1" applyBorder="1" applyAlignment="1">
      <alignment horizontal="center" wrapText="1"/>
    </xf>
    <xf numFmtId="14" fontId="0" fillId="9" borderId="147" xfId="0" applyNumberFormat="1" applyFont="1" applyFill="1" applyBorder="1" applyAlignment="1">
      <alignment horizontal="center" wrapText="1"/>
    </xf>
    <xf numFmtId="14" fontId="0" fillId="9" borderId="146" xfId="0" applyNumberFormat="1" applyFont="1" applyFill="1" applyBorder="1" applyAlignment="1">
      <alignment horizontal="center" wrapText="1"/>
    </xf>
    <xf numFmtId="0" fontId="0" fillId="12" borderId="120" xfId="0" applyFill="1" applyBorder="1" applyAlignment="1">
      <alignment horizontal="center"/>
    </xf>
    <xf numFmtId="0" fontId="10" fillId="0" borderId="0" xfId="0" applyFont="1" applyAlignment="1">
      <alignment horizontal="center"/>
    </xf>
    <xf numFmtId="0" fontId="0" fillId="12" borderId="161" xfId="0" applyFill="1" applyBorder="1" applyAlignment="1">
      <alignment horizontal="center"/>
    </xf>
    <xf numFmtId="0" fontId="1" fillId="7" borderId="6" xfId="0" applyFont="1" applyFill="1" applyBorder="1" applyAlignment="1">
      <alignment horizontal="left" vertical="center"/>
    </xf>
    <xf numFmtId="0" fontId="1" fillId="2" borderId="89" xfId="0" applyFont="1" applyFill="1" applyBorder="1" applyAlignment="1">
      <alignment horizontal="left" vertical="center"/>
    </xf>
    <xf numFmtId="0" fontId="0" fillId="2" borderId="21" xfId="0" applyFont="1" applyFill="1" applyBorder="1" applyAlignment="1">
      <alignment horizontal="left" vertical="center" wrapText="1"/>
    </xf>
    <xf numFmtId="0" fontId="0" fillId="2" borderId="18" xfId="0" applyFont="1" applyFill="1" applyBorder="1" applyAlignment="1">
      <alignment horizontal="left" vertical="center" wrapText="1"/>
    </xf>
    <xf numFmtId="0" fontId="0" fillId="2" borderId="77" xfId="0" applyFont="1" applyFill="1" applyBorder="1" applyAlignment="1">
      <alignment horizontal="left" vertical="center" wrapText="1"/>
    </xf>
    <xf numFmtId="1" fontId="0" fillId="9" borderId="37" xfId="1" applyNumberFormat="1" applyFont="1" applyFill="1" applyBorder="1" applyAlignment="1">
      <alignment horizontal="center" vertical="top" wrapText="1"/>
    </xf>
    <xf numFmtId="1" fontId="0" fillId="9" borderId="21" xfId="1" applyNumberFormat="1" applyFont="1" applyFill="1" applyBorder="1" applyAlignment="1">
      <alignment horizontal="center" vertical="top" wrapText="1"/>
    </xf>
    <xf numFmtId="1" fontId="0" fillId="9" borderId="27" xfId="1" applyNumberFormat="1" applyFont="1" applyFill="1" applyBorder="1" applyAlignment="1">
      <alignment horizontal="center" vertical="top" wrapText="1"/>
    </xf>
    <xf numFmtId="9" fontId="0" fillId="10" borderId="62" xfId="0" applyNumberFormat="1" applyFill="1" applyBorder="1" applyAlignment="1">
      <alignment horizontal="center" vertical="top" wrapText="1"/>
    </xf>
    <xf numFmtId="9" fontId="0" fillId="10" borderId="35" xfId="0" applyNumberFormat="1" applyFill="1" applyBorder="1" applyAlignment="1">
      <alignment horizontal="center" vertical="top" wrapText="1"/>
    </xf>
    <xf numFmtId="9" fontId="0" fillId="10" borderId="27" xfId="0" applyNumberFormat="1" applyFill="1" applyBorder="1" applyAlignment="1">
      <alignment horizontal="center" vertical="top" wrapText="1"/>
    </xf>
    <xf numFmtId="9" fontId="0" fillId="10" borderId="38" xfId="1" applyNumberFormat="1" applyFont="1" applyFill="1" applyBorder="1" applyAlignment="1">
      <alignment horizontal="center" vertical="top" wrapText="1"/>
    </xf>
    <xf numFmtId="9" fontId="0" fillId="10" borderId="60" xfId="1" applyNumberFormat="1" applyFont="1" applyFill="1" applyBorder="1" applyAlignment="1">
      <alignment horizontal="center" vertical="top" wrapText="1"/>
    </xf>
    <xf numFmtId="0" fontId="5" fillId="7" borderId="145" xfId="0" applyFont="1" applyFill="1" applyBorder="1"/>
    <xf numFmtId="0" fontId="5" fillId="7" borderId="147" xfId="1" applyNumberFormat="1" applyFont="1" applyFill="1" applyBorder="1" applyAlignment="1">
      <alignment horizontal="center"/>
    </xf>
    <xf numFmtId="0" fontId="5" fillId="7" borderId="146" xfId="1" applyNumberFormat="1" applyFont="1" applyFill="1" applyBorder="1" applyAlignment="1">
      <alignment horizontal="center"/>
    </xf>
    <xf numFmtId="0" fontId="5" fillId="7" borderId="166" xfId="0" applyFont="1" applyFill="1" applyBorder="1"/>
    <xf numFmtId="0" fontId="5" fillId="7" borderId="167" xfId="1" applyNumberFormat="1" applyFont="1" applyFill="1" applyBorder="1" applyAlignment="1">
      <alignment horizontal="center"/>
    </xf>
    <xf numFmtId="0" fontId="5" fillId="7" borderId="168" xfId="1" applyNumberFormat="1" applyFont="1" applyFill="1" applyBorder="1" applyAlignment="1">
      <alignment horizontal="center"/>
    </xf>
    <xf numFmtId="0" fontId="5" fillId="2" borderId="145" xfId="0" applyFont="1" applyFill="1" applyBorder="1"/>
    <xf numFmtId="0" fontId="5" fillId="2" borderId="147" xfId="1" applyNumberFormat="1" applyFont="1" applyFill="1" applyBorder="1" applyAlignment="1">
      <alignment horizontal="center"/>
    </xf>
    <xf numFmtId="0" fontId="5" fillId="2" borderId="146" xfId="1" applyNumberFormat="1" applyFont="1" applyFill="1" applyBorder="1" applyAlignment="1">
      <alignment horizontal="center"/>
    </xf>
    <xf numFmtId="9" fontId="5" fillId="2" borderId="147" xfId="1" applyNumberFormat="1" applyFont="1" applyFill="1" applyBorder="1" applyAlignment="1">
      <alignment horizontal="center"/>
    </xf>
    <xf numFmtId="9" fontId="5" fillId="2" borderId="146" xfId="1" applyNumberFormat="1" applyFont="1" applyFill="1" applyBorder="1" applyAlignment="1">
      <alignment horizontal="center"/>
    </xf>
    <xf numFmtId="0" fontId="0" fillId="7" borderId="73" xfId="0" applyNumberFormat="1" applyFont="1" applyFill="1" applyBorder="1" applyAlignment="1">
      <alignment horizontal="left" vertical="center" wrapText="1"/>
    </xf>
    <xf numFmtId="0" fontId="0" fillId="7" borderId="7" xfId="0" applyNumberFormat="1" applyFont="1" applyFill="1" applyBorder="1" applyAlignment="1">
      <alignment horizontal="left" vertical="center" wrapText="1"/>
    </xf>
    <xf numFmtId="0" fontId="0" fillId="7" borderId="110" xfId="0" applyNumberFormat="1" applyFont="1" applyFill="1" applyBorder="1" applyAlignment="1">
      <alignment horizontal="left" vertical="center" wrapText="1"/>
    </xf>
    <xf numFmtId="1" fontId="0" fillId="7" borderId="28" xfId="0" applyNumberFormat="1" applyFill="1" applyBorder="1" applyAlignment="1">
      <alignment horizontal="center"/>
    </xf>
    <xf numFmtId="9" fontId="0" fillId="9" borderId="21" xfId="1" applyFont="1" applyFill="1" applyBorder="1" applyAlignment="1">
      <alignment horizontal="center" vertical="top" wrapText="1"/>
    </xf>
    <xf numFmtId="9" fontId="0" fillId="7" borderId="61" xfId="1" applyFont="1" applyFill="1" applyBorder="1" applyAlignment="1">
      <alignment horizontal="center"/>
    </xf>
    <xf numFmtId="9" fontId="0" fillId="2" borderId="64" xfId="1" applyFont="1" applyFill="1" applyBorder="1" applyAlignment="1">
      <alignment horizontal="center"/>
    </xf>
    <xf numFmtId="9" fontId="0" fillId="7" borderId="64" xfId="1" applyFont="1" applyFill="1" applyBorder="1" applyAlignment="1">
      <alignment horizontal="center"/>
    </xf>
    <xf numFmtId="9" fontId="0" fillId="7" borderId="11" xfId="1" applyFont="1" applyFill="1" applyBorder="1" applyAlignment="1">
      <alignment horizontal="center"/>
    </xf>
    <xf numFmtId="9" fontId="0" fillId="7" borderId="87" xfId="1" applyFont="1" applyFill="1" applyBorder="1" applyAlignment="1">
      <alignment horizontal="center"/>
    </xf>
    <xf numFmtId="9" fontId="0" fillId="2" borderId="88" xfId="1" applyFont="1" applyFill="1" applyBorder="1" applyAlignment="1">
      <alignment horizontal="center"/>
    </xf>
    <xf numFmtId="9" fontId="0" fillId="7" borderId="88" xfId="1" applyFont="1" applyFill="1" applyBorder="1" applyAlignment="1">
      <alignment horizontal="center"/>
    </xf>
    <xf numFmtId="9" fontId="0" fillId="2" borderId="89" xfId="1" applyFont="1" applyFill="1" applyBorder="1" applyAlignment="1">
      <alignment horizontal="center"/>
    </xf>
    <xf numFmtId="9" fontId="0" fillId="7" borderId="89" xfId="1" applyFont="1" applyFill="1" applyBorder="1" applyAlignment="1">
      <alignment horizontal="center"/>
    </xf>
    <xf numFmtId="9" fontId="0" fillId="7" borderId="86" xfId="1" applyFont="1" applyFill="1" applyBorder="1" applyAlignment="1">
      <alignment horizontal="center"/>
    </xf>
    <xf numFmtId="0" fontId="0" fillId="0" borderId="0" xfId="0" applyFill="1" applyBorder="1"/>
    <xf numFmtId="0" fontId="0" fillId="0" borderId="5" xfId="0" applyFill="1" applyBorder="1"/>
    <xf numFmtId="0" fontId="0" fillId="7" borderId="12" xfId="0" applyNumberFormat="1" applyFill="1" applyBorder="1" applyAlignment="1">
      <alignment horizontal="left" vertical="top" wrapText="1"/>
    </xf>
    <xf numFmtId="0" fontId="0" fillId="0" borderId="0" xfId="0" applyAlignment="1">
      <alignment horizontal="center"/>
    </xf>
    <xf numFmtId="0" fontId="0" fillId="7" borderId="66" xfId="0" applyFill="1" applyBorder="1" applyAlignment="1">
      <alignment horizontal="center" vertical="center"/>
    </xf>
    <xf numFmtId="1" fontId="0" fillId="7" borderId="65" xfId="0" applyNumberFormat="1" applyFill="1" applyBorder="1" applyAlignment="1">
      <alignment horizontal="center" vertical="center"/>
    </xf>
    <xf numFmtId="2" fontId="0" fillId="7" borderId="169" xfId="0" applyNumberFormat="1" applyFill="1" applyBorder="1" applyAlignment="1">
      <alignment horizontal="center" vertical="top" wrapText="1"/>
    </xf>
    <xf numFmtId="0" fontId="0" fillId="4" borderId="170" xfId="0" applyNumberFormat="1" applyFont="1" applyFill="1" applyBorder="1" applyAlignment="1">
      <alignment horizontal="left" vertical="top" wrapText="1"/>
    </xf>
    <xf numFmtId="0" fontId="0" fillId="4" borderId="125" xfId="0" applyNumberFormat="1" applyFill="1" applyBorder="1" applyAlignment="1">
      <alignment horizontal="left" vertical="top" wrapText="1"/>
    </xf>
    <xf numFmtId="0" fontId="0" fillId="3" borderId="71" xfId="0" applyNumberFormat="1" applyFill="1" applyBorder="1" applyAlignment="1">
      <alignment horizontal="left" vertical="top" wrapText="1"/>
    </xf>
    <xf numFmtId="0" fontId="0" fillId="4" borderId="170" xfId="0" applyNumberFormat="1" applyFill="1" applyBorder="1" applyAlignment="1">
      <alignment vertical="top" wrapText="1"/>
    </xf>
    <xf numFmtId="0" fontId="0" fillId="2" borderId="21" xfId="0" applyNumberFormat="1" applyFill="1" applyBorder="1" applyAlignment="1">
      <alignment horizontal="left" vertical="top" wrapText="1"/>
    </xf>
    <xf numFmtId="0" fontId="0" fillId="7" borderId="22" xfId="0" applyFill="1" applyBorder="1" applyAlignment="1">
      <alignment vertical="top" wrapText="1"/>
    </xf>
    <xf numFmtId="0" fontId="0" fillId="7" borderId="40" xfId="0" applyFill="1" applyBorder="1" applyAlignment="1">
      <alignment vertical="top" wrapText="1"/>
    </xf>
    <xf numFmtId="0" fontId="0" fillId="7" borderId="31" xfId="0" applyFill="1" applyBorder="1" applyAlignment="1">
      <alignment vertical="top" wrapText="1"/>
    </xf>
    <xf numFmtId="0" fontId="0" fillId="7" borderId="36" xfId="0" applyNumberFormat="1" applyFill="1" applyBorder="1" applyAlignment="1">
      <alignment horizontal="left" vertical="top" wrapText="1"/>
    </xf>
    <xf numFmtId="0" fontId="0" fillId="7" borderId="57" xfId="0" applyNumberFormat="1" applyFill="1" applyBorder="1" applyAlignment="1">
      <alignment horizontal="left" vertical="top" wrapText="1"/>
    </xf>
    <xf numFmtId="0" fontId="0" fillId="2" borderId="37" xfId="0" applyNumberFormat="1" applyFill="1" applyBorder="1" applyAlignment="1">
      <alignment horizontal="left" vertical="top" wrapText="1"/>
    </xf>
    <xf numFmtId="0" fontId="0" fillId="2" borderId="18" xfId="0" applyNumberFormat="1" applyFill="1" applyBorder="1" applyAlignment="1">
      <alignment horizontal="left" vertical="top" wrapText="1"/>
    </xf>
    <xf numFmtId="2" fontId="0" fillId="7" borderId="24" xfId="0" applyNumberFormat="1" applyFill="1" applyBorder="1" applyAlignment="1">
      <alignment horizontal="center" vertical="top" wrapText="1"/>
    </xf>
    <xf numFmtId="0" fontId="0" fillId="7" borderId="82" xfId="0" applyFill="1" applyBorder="1" applyAlignment="1">
      <alignment vertical="top" wrapText="1"/>
    </xf>
    <xf numFmtId="0" fontId="0" fillId="2" borderId="77" xfId="0" applyNumberFormat="1" applyFill="1" applyBorder="1" applyAlignment="1">
      <alignment horizontal="left" vertical="top" wrapText="1"/>
    </xf>
    <xf numFmtId="0" fontId="0" fillId="7" borderId="111" xfId="0" applyNumberFormat="1" applyFill="1" applyBorder="1" applyAlignment="1">
      <alignment horizontal="left" vertical="top" wrapText="1"/>
    </xf>
    <xf numFmtId="2" fontId="0" fillId="7" borderId="92" xfId="0" applyNumberFormat="1" applyFill="1" applyBorder="1" applyAlignment="1">
      <alignment horizontal="center" vertical="top" wrapText="1"/>
    </xf>
    <xf numFmtId="2" fontId="0" fillId="7" borderId="93" xfId="0" applyNumberFormat="1" applyFill="1" applyBorder="1" applyAlignment="1">
      <alignment horizontal="center" vertical="top" wrapText="1"/>
    </xf>
    <xf numFmtId="2" fontId="0" fillId="7" borderId="77" xfId="0" applyNumberFormat="1" applyFill="1" applyBorder="1" applyAlignment="1">
      <alignment horizontal="center" vertical="top" wrapText="1"/>
    </xf>
    <xf numFmtId="2" fontId="0" fillId="7" borderId="80" xfId="0" applyNumberFormat="1" applyFill="1" applyBorder="1" applyAlignment="1">
      <alignment horizontal="center" vertical="top" wrapText="1"/>
    </xf>
    <xf numFmtId="0" fontId="1" fillId="0" borderId="121" xfId="0" applyFont="1" applyFill="1" applyBorder="1" applyAlignment="1">
      <alignment horizontal="center" vertical="top"/>
    </xf>
    <xf numFmtId="0" fontId="1" fillId="0" borderId="122" xfId="0" applyFont="1" applyFill="1" applyBorder="1" applyAlignment="1">
      <alignment horizontal="center" vertical="top"/>
    </xf>
    <xf numFmtId="0" fontId="1" fillId="0" borderId="92" xfId="0" applyFont="1" applyFill="1" applyBorder="1" applyAlignment="1">
      <alignment horizontal="center" vertical="top"/>
    </xf>
    <xf numFmtId="0" fontId="1" fillId="0" borderId="93" xfId="0" applyFont="1" applyFill="1" applyBorder="1" applyAlignment="1">
      <alignment horizontal="center" vertical="top"/>
    </xf>
    <xf numFmtId="0" fontId="0" fillId="12" borderId="120" xfId="0" applyFill="1" applyBorder="1" applyAlignment="1">
      <alignment horizontal="center"/>
    </xf>
    <xf numFmtId="0" fontId="0" fillId="0" borderId="0" xfId="0" applyAlignment="1">
      <alignment horizontal="center"/>
    </xf>
    <xf numFmtId="14" fontId="0" fillId="10" borderId="126" xfId="0" applyNumberFormat="1" applyFont="1" applyFill="1" applyBorder="1" applyAlignment="1">
      <alignment horizontal="center" wrapText="1"/>
    </xf>
    <xf numFmtId="14" fontId="0" fillId="10" borderId="149" xfId="0" applyNumberFormat="1" applyFont="1" applyFill="1" applyBorder="1" applyAlignment="1">
      <alignment horizontal="center" wrapText="1"/>
    </xf>
    <xf numFmtId="0" fontId="0" fillId="9" borderId="167" xfId="0" applyNumberFormat="1" applyFont="1" applyFill="1" applyBorder="1" applyAlignment="1">
      <alignment horizontal="center"/>
    </xf>
    <xf numFmtId="0" fontId="0" fillId="9" borderId="168" xfId="0" applyNumberFormat="1" applyFont="1" applyFill="1" applyBorder="1" applyAlignment="1">
      <alignment horizontal="center"/>
    </xf>
    <xf numFmtId="0" fontId="0" fillId="9" borderId="152" xfId="0" applyNumberFormat="1" applyFont="1" applyFill="1" applyBorder="1" applyAlignment="1">
      <alignment horizontal="center"/>
    </xf>
    <xf numFmtId="0" fontId="0" fillId="12" borderId="120" xfId="0" applyNumberFormat="1" applyFont="1" applyFill="1" applyBorder="1" applyAlignment="1">
      <alignment horizontal="center" wrapText="1"/>
    </xf>
    <xf numFmtId="0" fontId="0" fillId="12" borderId="163" xfId="0" applyNumberFormat="1" applyFont="1" applyFill="1" applyBorder="1" applyAlignment="1">
      <alignment horizontal="center" wrapText="1"/>
    </xf>
    <xf numFmtId="14" fontId="0" fillId="12" borderId="120" xfId="0" applyNumberFormat="1" applyFont="1" applyFill="1" applyBorder="1" applyAlignment="1">
      <alignment horizontal="center" wrapText="1"/>
    </xf>
    <xf numFmtId="14" fontId="0" fillId="12" borderId="163" xfId="0" applyNumberFormat="1" applyFont="1" applyFill="1" applyBorder="1" applyAlignment="1">
      <alignment horizontal="center" wrapText="1"/>
    </xf>
    <xf numFmtId="2" fontId="0" fillId="7" borderId="0" xfId="0" applyNumberFormat="1" applyFont="1" applyFill="1" applyBorder="1" applyAlignment="1">
      <alignment horizontal="center" vertical="center" wrapText="1"/>
    </xf>
    <xf numFmtId="2" fontId="0" fillId="7" borderId="18" xfId="0" applyNumberFormat="1" applyFont="1" applyFill="1" applyBorder="1" applyAlignment="1">
      <alignment horizontal="center" vertical="center" wrapText="1"/>
    </xf>
    <xf numFmtId="2" fontId="0" fillId="2" borderId="10" xfId="0" applyNumberFormat="1" applyFont="1" applyFill="1" applyBorder="1" applyAlignment="1">
      <alignment horizontal="center" vertical="center" wrapText="1"/>
    </xf>
    <xf numFmtId="2" fontId="0" fillId="2" borderId="18" xfId="0" applyNumberFormat="1" applyFont="1" applyFill="1" applyBorder="1" applyAlignment="1">
      <alignment horizontal="center" vertical="center" wrapText="1"/>
    </xf>
    <xf numFmtId="2" fontId="0" fillId="2" borderId="12" xfId="0" applyNumberFormat="1" applyFont="1" applyFill="1" applyBorder="1" applyAlignment="1">
      <alignment horizontal="center" vertical="center" wrapText="1"/>
    </xf>
    <xf numFmtId="2" fontId="0" fillId="7" borderId="10" xfId="0" applyNumberFormat="1" applyFont="1" applyFill="1" applyBorder="1" applyAlignment="1">
      <alignment horizontal="center" vertical="center" wrapText="1"/>
    </xf>
    <xf numFmtId="2" fontId="0" fillId="7" borderId="12" xfId="0" applyNumberFormat="1" applyFont="1" applyFill="1" applyBorder="1" applyAlignment="1">
      <alignment horizontal="center" vertical="center" wrapText="1"/>
    </xf>
    <xf numFmtId="2" fontId="0" fillId="7" borderId="35" xfId="0" applyNumberFormat="1" applyFont="1" applyFill="1" applyBorder="1" applyAlignment="1">
      <alignment horizontal="center" vertical="center" wrapText="1"/>
    </xf>
    <xf numFmtId="2" fontId="0" fillId="7" borderId="79" xfId="0" applyNumberFormat="1" applyFont="1" applyFill="1" applyBorder="1" applyAlignment="1">
      <alignment horizontal="center" vertical="center" wrapText="1"/>
    </xf>
    <xf numFmtId="2" fontId="0" fillId="7" borderId="21" xfId="0" applyNumberFormat="1" applyFont="1" applyFill="1" applyBorder="1" applyAlignment="1">
      <alignment horizontal="center" vertical="center" wrapText="1"/>
    </xf>
    <xf numFmtId="2" fontId="0" fillId="7" borderId="77" xfId="0" applyNumberFormat="1" applyFont="1" applyFill="1" applyBorder="1" applyAlignment="1">
      <alignment horizontal="center" vertical="center" wrapText="1"/>
    </xf>
    <xf numFmtId="2" fontId="0" fillId="7" borderId="24" xfId="0" applyNumberFormat="1" applyFont="1" applyFill="1" applyBorder="1" applyAlignment="1">
      <alignment horizontal="center" vertical="center" wrapText="1"/>
    </xf>
    <xf numFmtId="2" fontId="0" fillId="7" borderId="80" xfId="0" applyNumberFormat="1" applyFont="1" applyFill="1" applyBorder="1" applyAlignment="1">
      <alignment horizontal="center" vertical="center" wrapText="1"/>
    </xf>
    <xf numFmtId="2" fontId="0" fillId="2" borderId="35" xfId="0" applyNumberFormat="1" applyFont="1" applyFill="1" applyBorder="1" applyAlignment="1">
      <alignment horizontal="center" vertical="center" wrapText="1"/>
    </xf>
    <xf numFmtId="2" fontId="0" fillId="2" borderId="79" xfId="0" applyNumberFormat="1" applyFont="1" applyFill="1" applyBorder="1" applyAlignment="1">
      <alignment horizontal="center" vertical="center" wrapText="1"/>
    </xf>
    <xf numFmtId="2" fontId="0" fillId="2" borderId="21" xfId="0" applyNumberFormat="1" applyFont="1" applyFill="1" applyBorder="1" applyAlignment="1">
      <alignment horizontal="center" vertical="center" wrapText="1"/>
    </xf>
    <xf numFmtId="2" fontId="0" fillId="2" borderId="77" xfId="0" applyNumberFormat="1" applyFont="1" applyFill="1" applyBorder="1" applyAlignment="1">
      <alignment horizontal="center" vertical="center" wrapText="1"/>
    </xf>
    <xf numFmtId="2" fontId="0" fillId="2" borderId="24" xfId="0" applyNumberFormat="1" applyFont="1" applyFill="1" applyBorder="1" applyAlignment="1">
      <alignment horizontal="center" vertical="center" wrapText="1"/>
    </xf>
    <xf numFmtId="2" fontId="0" fillId="2" borderId="80" xfId="0" applyNumberFormat="1" applyFont="1" applyFill="1" applyBorder="1" applyAlignment="1">
      <alignment horizontal="center" vertical="center" wrapText="1"/>
    </xf>
    <xf numFmtId="2" fontId="0" fillId="2" borderId="35" xfId="0" applyNumberFormat="1" applyFill="1" applyBorder="1" applyAlignment="1">
      <alignment horizontal="center" vertical="center" wrapText="1"/>
    </xf>
    <xf numFmtId="2" fontId="0" fillId="2" borderId="79" xfId="0" applyNumberFormat="1" applyFill="1" applyBorder="1" applyAlignment="1">
      <alignment horizontal="center" vertical="center" wrapText="1"/>
    </xf>
    <xf numFmtId="2" fontId="0" fillId="2" borderId="21" xfId="0" applyNumberFormat="1" applyFill="1" applyBorder="1" applyAlignment="1">
      <alignment horizontal="center" vertical="center" wrapText="1"/>
    </xf>
    <xf numFmtId="2" fontId="0" fillId="2" borderId="77"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2" fontId="0" fillId="2" borderId="80" xfId="0" applyNumberFormat="1" applyFill="1" applyBorder="1" applyAlignment="1">
      <alignment horizontal="center" vertical="center" wrapText="1"/>
    </xf>
    <xf numFmtId="2" fontId="0" fillId="7" borderId="35" xfId="0" applyNumberFormat="1" applyFill="1" applyBorder="1" applyAlignment="1">
      <alignment horizontal="center" vertical="center" wrapText="1"/>
    </xf>
    <xf numFmtId="2" fontId="0" fillId="7" borderId="79" xfId="0" applyNumberFormat="1" applyFill="1" applyBorder="1" applyAlignment="1">
      <alignment horizontal="center" vertical="center" wrapText="1"/>
    </xf>
    <xf numFmtId="2" fontId="0" fillId="7" borderId="21" xfId="0" applyNumberFormat="1" applyFill="1" applyBorder="1" applyAlignment="1">
      <alignment horizontal="center" vertical="center" wrapText="1"/>
    </xf>
    <xf numFmtId="2" fontId="0" fillId="7" borderId="77" xfId="0" applyNumberFormat="1" applyFill="1" applyBorder="1" applyAlignment="1">
      <alignment horizontal="center" vertical="center" wrapText="1"/>
    </xf>
    <xf numFmtId="2" fontId="0" fillId="7" borderId="24" xfId="0" applyNumberFormat="1" applyFill="1" applyBorder="1" applyAlignment="1">
      <alignment horizontal="center" vertical="center" wrapText="1"/>
    </xf>
    <xf numFmtId="2" fontId="0" fillId="7" borderId="80" xfId="0" applyNumberFormat="1" applyFill="1" applyBorder="1" applyAlignment="1">
      <alignment horizontal="center" vertical="center" wrapText="1"/>
    </xf>
    <xf numFmtId="2" fontId="0" fillId="2" borderId="74" xfId="0" applyNumberFormat="1" applyFill="1" applyBorder="1" applyAlignment="1">
      <alignment horizontal="center" vertical="center" wrapText="1"/>
    </xf>
    <xf numFmtId="2" fontId="0" fillId="2" borderId="78" xfId="0" applyNumberFormat="1" applyFill="1" applyBorder="1" applyAlignment="1">
      <alignment horizontal="center" vertical="center" wrapText="1"/>
    </xf>
    <xf numFmtId="2" fontId="5" fillId="7" borderId="56" xfId="0" applyNumberFormat="1" applyFont="1" applyFill="1" applyBorder="1" applyAlignment="1">
      <alignment horizontal="center" vertical="center" wrapText="1"/>
    </xf>
    <xf numFmtId="2" fontId="5" fillId="7" borderId="10" xfId="0" applyNumberFormat="1" applyFont="1" applyFill="1" applyBorder="1" applyAlignment="1">
      <alignment horizontal="center" vertical="center" wrapText="1"/>
    </xf>
    <xf numFmtId="2" fontId="6" fillId="7" borderId="21" xfId="0" applyNumberFormat="1" applyFont="1" applyFill="1" applyBorder="1" applyAlignment="1">
      <alignment horizontal="center" vertical="center" wrapText="1"/>
    </xf>
    <xf numFmtId="2" fontId="6" fillId="7" borderId="18" xfId="0" applyNumberFormat="1" applyFont="1" applyFill="1" applyBorder="1" applyAlignment="1">
      <alignment horizontal="center" vertical="center" wrapText="1"/>
    </xf>
    <xf numFmtId="2" fontId="5" fillId="7" borderId="73" xfId="0" applyNumberFormat="1" applyFont="1" applyFill="1" applyBorder="1" applyAlignment="1">
      <alignment horizontal="center" vertical="center" wrapText="1"/>
    </xf>
    <xf numFmtId="2" fontId="5" fillId="7" borderId="7" xfId="0" applyNumberFormat="1" applyFont="1" applyFill="1" applyBorder="1" applyAlignment="1">
      <alignment horizontal="center" vertical="center" wrapText="1"/>
    </xf>
    <xf numFmtId="2" fontId="0" fillId="7" borderId="74" xfId="0" applyNumberFormat="1" applyFill="1" applyBorder="1" applyAlignment="1">
      <alignment horizontal="center" vertical="center" wrapText="1"/>
    </xf>
    <xf numFmtId="2" fontId="0" fillId="7" borderId="78" xfId="0" applyNumberFormat="1" applyFill="1" applyBorder="1" applyAlignment="1">
      <alignment horizontal="center" vertical="center" wrapText="1"/>
    </xf>
    <xf numFmtId="2" fontId="1" fillId="7" borderId="21" xfId="0" applyNumberFormat="1" applyFont="1" applyFill="1" applyBorder="1" applyAlignment="1">
      <alignment horizontal="center" vertical="center" wrapText="1"/>
    </xf>
    <xf numFmtId="2" fontId="1" fillId="7" borderId="77" xfId="0" applyNumberFormat="1" applyFont="1" applyFill="1" applyBorder="1" applyAlignment="1">
      <alignment horizontal="center" vertical="center" wrapText="1"/>
    </xf>
    <xf numFmtId="171" fontId="5" fillId="2" borderId="56" xfId="0" applyNumberFormat="1" applyFont="1" applyFill="1" applyBorder="1" applyAlignment="1">
      <alignment horizontal="center" vertical="center" wrapText="1"/>
    </xf>
    <xf numFmtId="171" fontId="5" fillId="2" borderId="10" xfId="0" applyNumberFormat="1" applyFont="1" applyFill="1" applyBorder="1" applyAlignment="1">
      <alignment horizontal="center" vertical="center" wrapText="1"/>
    </xf>
    <xf numFmtId="171" fontId="5" fillId="2" borderId="36" xfId="0" applyNumberFormat="1" applyFont="1" applyFill="1" applyBorder="1" applyAlignment="1">
      <alignment horizontal="center" vertical="center" wrapText="1"/>
    </xf>
    <xf numFmtId="171" fontId="5" fillId="2" borderId="12" xfId="0" applyNumberFormat="1" applyFont="1" applyFill="1" applyBorder="1" applyAlignment="1">
      <alignment horizontal="center" vertical="center" wrapText="1"/>
    </xf>
    <xf numFmtId="171" fontId="0" fillId="2" borderId="35" xfId="0" applyNumberFormat="1" applyFill="1" applyBorder="1" applyAlignment="1">
      <alignment horizontal="center" vertical="center" wrapText="1"/>
    </xf>
    <xf numFmtId="171" fontId="0" fillId="2" borderId="79" xfId="0" applyNumberFormat="1" applyFill="1" applyBorder="1" applyAlignment="1">
      <alignment horizontal="center" vertical="center" wrapText="1"/>
    </xf>
    <xf numFmtId="171" fontId="0" fillId="2" borderId="24" xfId="0" applyNumberFormat="1" applyFill="1" applyBorder="1" applyAlignment="1">
      <alignment horizontal="center" vertical="center" wrapText="1"/>
    </xf>
    <xf numFmtId="171" fontId="0" fillId="2" borderId="80" xfId="0" applyNumberFormat="1" applyFill="1" applyBorder="1" applyAlignment="1">
      <alignment horizontal="center" vertical="center" wrapText="1"/>
    </xf>
    <xf numFmtId="9" fontId="5" fillId="2" borderId="10" xfId="1" applyNumberFormat="1" applyFont="1" applyFill="1" applyBorder="1" applyAlignment="1">
      <alignment horizontal="center" vertical="center" wrapText="1"/>
    </xf>
    <xf numFmtId="9" fontId="5" fillId="2" borderId="56" xfId="1" applyNumberFormat="1" applyFont="1" applyFill="1" applyBorder="1" applyAlignment="1">
      <alignment horizontal="center" vertical="center" wrapText="1"/>
    </xf>
    <xf numFmtId="9" fontId="0" fillId="2" borderId="35" xfId="1" applyNumberFormat="1" applyFont="1" applyFill="1" applyBorder="1" applyAlignment="1">
      <alignment horizontal="center" vertical="center" wrapText="1"/>
    </xf>
    <xf numFmtId="9" fontId="0" fillId="2" borderId="79" xfId="1" applyNumberFormat="1" applyFont="1" applyFill="1" applyBorder="1" applyAlignment="1">
      <alignment horizontal="center" vertical="center" wrapText="1"/>
    </xf>
    <xf numFmtId="9" fontId="5" fillId="2" borderId="12" xfId="1" applyNumberFormat="1" applyFont="1" applyFill="1" applyBorder="1" applyAlignment="1">
      <alignment horizontal="center" vertical="center" wrapText="1"/>
    </xf>
    <xf numFmtId="9" fontId="5" fillId="2" borderId="36" xfId="1" applyNumberFormat="1" applyFont="1" applyFill="1" applyBorder="1" applyAlignment="1">
      <alignment horizontal="center" vertical="center" wrapText="1"/>
    </xf>
    <xf numFmtId="9" fontId="0" fillId="2" borderId="24" xfId="1" applyNumberFormat="1" applyFont="1" applyFill="1" applyBorder="1" applyAlignment="1">
      <alignment horizontal="center" vertical="center" wrapText="1"/>
    </xf>
    <xf numFmtId="9" fontId="0" fillId="2" borderId="80" xfId="1" applyNumberFormat="1" applyFont="1" applyFill="1" applyBorder="1" applyAlignment="1">
      <alignment horizontal="center" vertical="center" wrapText="1"/>
    </xf>
    <xf numFmtId="9" fontId="5" fillId="7" borderId="0" xfId="1" applyNumberFormat="1" applyFont="1" applyFill="1" applyBorder="1" applyAlignment="1">
      <alignment horizontal="center" vertical="center" wrapText="1"/>
    </xf>
    <xf numFmtId="9" fontId="5" fillId="7" borderId="44" xfId="1" applyNumberFormat="1" applyFont="1" applyFill="1" applyBorder="1" applyAlignment="1">
      <alignment horizontal="center" vertical="center" wrapText="1"/>
    </xf>
    <xf numFmtId="9" fontId="1" fillId="7" borderId="35" xfId="1" applyNumberFormat="1" applyFont="1" applyFill="1" applyBorder="1" applyAlignment="1">
      <alignment horizontal="center" vertical="center" wrapText="1"/>
    </xf>
    <xf numFmtId="9" fontId="1" fillId="7" borderId="79" xfId="1" applyNumberFormat="1" applyFont="1" applyFill="1" applyBorder="1" applyAlignment="1">
      <alignment horizontal="center" vertical="center" wrapText="1"/>
    </xf>
    <xf numFmtId="9" fontId="1" fillId="7" borderId="21" xfId="1" applyNumberFormat="1" applyFont="1" applyFill="1" applyBorder="1" applyAlignment="1">
      <alignment horizontal="center" vertical="center" wrapText="1"/>
    </xf>
    <xf numFmtId="9" fontId="1" fillId="7" borderId="77" xfId="1" applyNumberFormat="1" applyFont="1" applyFill="1" applyBorder="1" applyAlignment="1">
      <alignment horizontal="center" vertical="center" wrapText="1"/>
    </xf>
    <xf numFmtId="9" fontId="1" fillId="7" borderId="24" xfId="1" applyNumberFormat="1" applyFont="1" applyFill="1" applyBorder="1" applyAlignment="1">
      <alignment horizontal="center" vertical="center" wrapText="1"/>
    </xf>
    <xf numFmtId="9" fontId="1" fillId="7" borderId="80" xfId="1" applyNumberFormat="1" applyFont="1" applyFill="1" applyBorder="1" applyAlignment="1">
      <alignment horizontal="center" vertical="center" wrapText="1"/>
    </xf>
    <xf numFmtId="9" fontId="0" fillId="2" borderId="0" xfId="1" applyNumberFormat="1" applyFont="1" applyFill="1" applyBorder="1" applyAlignment="1">
      <alignment horizontal="center" vertical="center" wrapText="1"/>
    </xf>
    <xf numFmtId="9" fontId="0" fillId="2" borderId="44" xfId="1" applyNumberFormat="1" applyFont="1" applyFill="1" applyBorder="1" applyAlignment="1">
      <alignment horizontal="center" vertical="center" wrapText="1"/>
    </xf>
    <xf numFmtId="9" fontId="0" fillId="2" borderId="12" xfId="1" applyNumberFormat="1" applyFont="1" applyFill="1" applyBorder="1" applyAlignment="1">
      <alignment horizontal="center" vertical="center" wrapText="1"/>
    </xf>
    <xf numFmtId="9" fontId="0" fillId="2" borderId="36" xfId="1" applyNumberFormat="1" applyFont="1" applyFill="1" applyBorder="1" applyAlignment="1">
      <alignment horizontal="center" vertical="center" wrapText="1"/>
    </xf>
    <xf numFmtId="1" fontId="5" fillId="7" borderId="0" xfId="0" applyNumberFormat="1" applyFont="1" applyFill="1" applyBorder="1" applyAlignment="1">
      <alignment horizontal="center" vertical="center" wrapText="1"/>
    </xf>
    <xf numFmtId="1" fontId="5" fillId="7" borderId="44" xfId="0" applyNumberFormat="1" applyFont="1" applyFill="1" applyBorder="1" applyAlignment="1">
      <alignment horizontal="center" vertical="center" wrapText="1"/>
    </xf>
    <xf numFmtId="1" fontId="0" fillId="7" borderId="35" xfId="0" applyNumberFormat="1" applyFill="1" applyBorder="1" applyAlignment="1">
      <alignment horizontal="center" vertical="center" wrapText="1"/>
    </xf>
    <xf numFmtId="1" fontId="0" fillId="7" borderId="79" xfId="0" applyNumberFormat="1" applyFill="1" applyBorder="1" applyAlignment="1">
      <alignment horizontal="center" vertical="center" wrapText="1"/>
    </xf>
    <xf numFmtId="1" fontId="0" fillId="7" borderId="24" xfId="0" applyNumberFormat="1" applyFill="1" applyBorder="1" applyAlignment="1">
      <alignment horizontal="center" vertical="center" wrapText="1"/>
    </xf>
    <xf numFmtId="1" fontId="0" fillId="7" borderId="80" xfId="0" applyNumberFormat="1" applyFill="1" applyBorder="1" applyAlignment="1">
      <alignment horizontal="center" vertical="center" wrapText="1"/>
    </xf>
    <xf numFmtId="0" fontId="0" fillId="0" borderId="41" xfId="0" applyNumberFormat="1" applyFont="1" applyBorder="1" applyAlignment="1">
      <alignment horizontal="center" wrapText="1"/>
    </xf>
    <xf numFmtId="0" fontId="0" fillId="0" borderId="173" xfId="0" applyNumberFormat="1" applyFont="1" applyBorder="1" applyAlignment="1">
      <alignment horizontal="center" wrapText="1"/>
    </xf>
    <xf numFmtId="0" fontId="6" fillId="0" borderId="157" xfId="0" applyFont="1" applyFill="1" applyBorder="1" applyAlignment="1">
      <alignment horizontal="center"/>
    </xf>
    <xf numFmtId="0" fontId="6" fillId="0" borderId="154" xfId="0" applyFont="1" applyFill="1" applyBorder="1" applyAlignment="1">
      <alignment horizontal="center"/>
    </xf>
    <xf numFmtId="0" fontId="4" fillId="0" borderId="0" xfId="0" applyNumberFormat="1" applyFont="1" applyAlignment="1">
      <alignment horizontal="center" vertical="top" wrapText="1"/>
    </xf>
    <xf numFmtId="0" fontId="1" fillId="8" borderId="74" xfId="0" applyNumberFormat="1" applyFont="1" applyFill="1" applyBorder="1" applyAlignment="1">
      <alignment horizontal="center" vertical="center"/>
    </xf>
    <xf numFmtId="0" fontId="0" fillId="9" borderId="40" xfId="0" applyNumberFormat="1" applyFill="1" applyBorder="1" applyAlignment="1">
      <alignment horizontal="left" vertical="top"/>
    </xf>
    <xf numFmtId="0" fontId="0" fillId="9" borderId="39" xfId="0" applyNumberFormat="1" applyFill="1" applyBorder="1" applyAlignment="1">
      <alignment horizontal="left" vertical="top"/>
    </xf>
    <xf numFmtId="2" fontId="0" fillId="6" borderId="40" xfId="0" applyNumberFormat="1" applyFill="1" applyBorder="1" applyAlignment="1">
      <alignment horizontal="left" vertical="top"/>
    </xf>
    <xf numFmtId="2" fontId="0" fillId="6" borderId="37" xfId="0" applyNumberFormat="1" applyFill="1" applyBorder="1" applyAlignment="1">
      <alignment horizontal="left" vertical="top"/>
    </xf>
    <xf numFmtId="2" fontId="0" fillId="6" borderId="39" xfId="0" applyNumberFormat="1" applyFill="1" applyBorder="1" applyAlignment="1">
      <alignment horizontal="left" vertical="top"/>
    </xf>
    <xf numFmtId="0" fontId="0" fillId="8" borderId="95" xfId="0" applyNumberFormat="1" applyFill="1" applyBorder="1" applyAlignment="1">
      <alignment horizontal="left" vertical="top" wrapText="1"/>
    </xf>
    <xf numFmtId="45" fontId="0" fillId="6" borderId="45" xfId="0" applyNumberFormat="1" applyFill="1" applyBorder="1" applyAlignment="1">
      <alignment horizontal="left" vertical="top"/>
    </xf>
    <xf numFmtId="45" fontId="0" fillId="6" borderId="38" xfId="0" applyNumberFormat="1" applyFill="1" applyBorder="1" applyAlignment="1">
      <alignment horizontal="left" vertical="top"/>
    </xf>
    <xf numFmtId="0" fontId="1" fillId="6" borderId="59" xfId="0" applyNumberFormat="1" applyFont="1" applyFill="1" applyBorder="1" applyAlignment="1">
      <alignment horizontal="left" vertical="top"/>
    </xf>
    <xf numFmtId="0" fontId="0" fillId="6" borderId="40" xfId="0" applyNumberFormat="1" applyFill="1" applyBorder="1" applyAlignment="1">
      <alignment horizontal="left" vertical="top"/>
    </xf>
    <xf numFmtId="0" fontId="0" fillId="6" borderId="22" xfId="0" applyNumberFormat="1" applyFill="1" applyBorder="1" applyAlignment="1">
      <alignment horizontal="left" vertical="top"/>
    </xf>
    <xf numFmtId="45" fontId="0" fillId="6" borderId="62" xfId="0" applyNumberFormat="1" applyFill="1" applyBorder="1" applyAlignment="1">
      <alignment horizontal="left" vertical="top"/>
    </xf>
    <xf numFmtId="45" fontId="0" fillId="6" borderId="35" xfId="0" applyNumberFormat="1" applyFill="1" applyBorder="1" applyAlignment="1">
      <alignment horizontal="left" vertical="top"/>
    </xf>
    <xf numFmtId="0" fontId="0" fillId="6" borderId="57" xfId="0" applyNumberFormat="1" applyFill="1" applyBorder="1" applyAlignment="1">
      <alignment horizontal="left" vertical="top"/>
    </xf>
    <xf numFmtId="0" fontId="0" fillId="6" borderId="36" xfId="0" applyNumberFormat="1" applyFill="1" applyBorder="1" applyAlignment="1">
      <alignment horizontal="left" vertical="top"/>
    </xf>
    <xf numFmtId="0" fontId="0" fillId="6" borderId="39" xfId="0" applyNumberFormat="1" applyFill="1" applyBorder="1" applyAlignment="1">
      <alignment horizontal="left" vertical="top"/>
    </xf>
    <xf numFmtId="0" fontId="0" fillId="6" borderId="24" xfId="0" applyNumberFormat="1" applyFill="1" applyBorder="1" applyAlignment="1">
      <alignment horizontal="left" vertical="top"/>
    </xf>
    <xf numFmtId="183" fontId="1" fillId="5" borderId="39" xfId="0" applyNumberFormat="1" applyFont="1" applyFill="1" applyBorder="1" applyAlignment="1">
      <alignment horizontal="center" vertical="top" wrapText="1"/>
    </xf>
    <xf numFmtId="183" fontId="1" fillId="5" borderId="24" xfId="0" applyNumberFormat="1" applyFont="1" applyFill="1" applyBorder="1" applyAlignment="1">
      <alignment horizontal="center" vertical="top" wrapText="1"/>
    </xf>
    <xf numFmtId="0" fontId="0" fillId="10" borderId="57" xfId="0" applyNumberFormat="1" applyFill="1" applyBorder="1" applyAlignment="1">
      <alignment horizontal="left" vertical="top"/>
    </xf>
    <xf numFmtId="0" fontId="0" fillId="10" borderId="36" xfId="0" applyNumberFormat="1" applyFill="1" applyBorder="1" applyAlignment="1">
      <alignment horizontal="left" vertical="top"/>
    </xf>
    <xf numFmtId="0" fontId="0" fillId="10" borderId="62" xfId="0" applyNumberFormat="1" applyFill="1" applyBorder="1" applyAlignment="1">
      <alignment horizontal="left" vertical="top"/>
    </xf>
    <xf numFmtId="184" fontId="1" fillId="8" borderId="22" xfId="0" applyNumberFormat="1" applyFont="1" applyFill="1" applyBorder="1" applyAlignment="1">
      <alignment horizontal="center" vertical="center"/>
    </xf>
    <xf numFmtId="184" fontId="1" fillId="8" borderId="21" xfId="0" applyNumberFormat="1" applyFont="1" applyFill="1" applyBorder="1" applyAlignment="1">
      <alignment horizontal="center" vertical="center"/>
    </xf>
    <xf numFmtId="0" fontId="0" fillId="8" borderId="21" xfId="0" applyNumberFormat="1" applyFill="1" applyBorder="1" applyAlignment="1">
      <alignment horizontal="left" vertical="top" wrapText="1"/>
    </xf>
    <xf numFmtId="0" fontId="0" fillId="8" borderId="37" xfId="0" applyNumberFormat="1" applyFill="1" applyBorder="1" applyAlignment="1">
      <alignment horizontal="left" vertical="top" wrapText="1"/>
    </xf>
    <xf numFmtId="183" fontId="1" fillId="5" borderId="114" xfId="0" applyNumberFormat="1" applyFont="1" applyFill="1" applyBorder="1" applyAlignment="1">
      <alignment horizontal="center" vertical="top" wrapText="1"/>
    </xf>
    <xf numFmtId="0" fontId="0" fillId="9" borderId="77" xfId="0" applyNumberFormat="1" applyFill="1" applyBorder="1" applyAlignment="1">
      <alignment horizontal="left" vertical="top"/>
    </xf>
    <xf numFmtId="0" fontId="0" fillId="9" borderId="82" xfId="0" applyNumberFormat="1" applyFill="1" applyBorder="1" applyAlignment="1">
      <alignment horizontal="left" vertical="top"/>
    </xf>
    <xf numFmtId="0" fontId="0" fillId="9" borderId="80" xfId="0" applyNumberFormat="1" applyFill="1" applyBorder="1" applyAlignment="1">
      <alignment horizontal="left" vertical="top"/>
    </xf>
    <xf numFmtId="0" fontId="0" fillId="9" borderId="79" xfId="0" applyNumberFormat="1" applyFill="1" applyBorder="1" applyAlignment="1">
      <alignment horizontal="left" vertical="top"/>
    </xf>
    <xf numFmtId="2" fontId="0" fillId="6" borderId="82" xfId="0" applyNumberFormat="1" applyFill="1" applyBorder="1" applyAlignment="1">
      <alignment horizontal="left" vertical="top"/>
    </xf>
    <xf numFmtId="2" fontId="0" fillId="6" borderId="77" xfId="0" applyNumberFormat="1" applyFill="1" applyBorder="1" applyAlignment="1">
      <alignment horizontal="left" vertical="top"/>
    </xf>
    <xf numFmtId="2" fontId="0" fillId="6" borderId="80" xfId="0" applyNumberFormat="1" applyFill="1" applyBorder="1" applyAlignment="1">
      <alignment horizontal="left" vertical="top"/>
    </xf>
    <xf numFmtId="0" fontId="0" fillId="6" borderId="82" xfId="0" applyNumberFormat="1" applyFill="1" applyBorder="1" applyAlignment="1">
      <alignment horizontal="left" vertical="top"/>
    </xf>
    <xf numFmtId="0" fontId="0" fillId="6" borderId="79" xfId="0" applyNumberFormat="1" applyFill="1" applyBorder="1" applyAlignment="1">
      <alignment horizontal="left" vertical="top"/>
    </xf>
    <xf numFmtId="0" fontId="0" fillId="6" borderId="111" xfId="0" applyNumberFormat="1" applyFill="1" applyBorder="1" applyAlignment="1">
      <alignment horizontal="left" vertical="top"/>
    </xf>
    <xf numFmtId="0" fontId="0" fillId="6" borderId="77" xfId="0" applyNumberFormat="1" applyFill="1" applyBorder="1" applyAlignment="1">
      <alignment horizontal="left" vertical="top"/>
    </xf>
    <xf numFmtId="0" fontId="0" fillId="6" borderId="80" xfId="0" applyNumberFormat="1" applyFill="1" applyBorder="1" applyAlignment="1">
      <alignment horizontal="left" vertical="top"/>
    </xf>
    <xf numFmtId="45" fontId="0" fillId="6" borderId="79" xfId="0" applyNumberFormat="1" applyFill="1" applyBorder="1" applyAlignment="1">
      <alignment horizontal="left" vertical="top"/>
    </xf>
    <xf numFmtId="45" fontId="0" fillId="6" borderId="176" xfId="0" applyNumberFormat="1" applyFill="1" applyBorder="1" applyAlignment="1">
      <alignment horizontal="left" vertical="top"/>
    </xf>
    <xf numFmtId="0" fontId="0" fillId="8" borderId="82" xfId="0" applyNumberFormat="1" applyFill="1" applyBorder="1" applyAlignment="1">
      <alignment horizontal="left" vertical="top" wrapText="1"/>
    </xf>
    <xf numFmtId="0" fontId="0" fillId="8" borderId="77" xfId="0" applyNumberFormat="1" applyFill="1" applyBorder="1" applyAlignment="1">
      <alignment horizontal="left" vertical="top" wrapText="1"/>
    </xf>
    <xf numFmtId="0" fontId="0" fillId="8" borderId="80" xfId="0" applyNumberFormat="1" applyFill="1" applyBorder="1" applyAlignment="1">
      <alignment horizontal="left" vertical="top" wrapText="1"/>
    </xf>
    <xf numFmtId="0" fontId="0" fillId="8" borderId="79" xfId="0" applyNumberFormat="1" applyFill="1" applyBorder="1" applyAlignment="1">
      <alignment horizontal="left" vertical="top" wrapText="1"/>
    </xf>
    <xf numFmtId="0" fontId="0" fillId="8" borderId="100" xfId="0" applyNumberFormat="1" applyFill="1" applyBorder="1" applyAlignment="1">
      <alignment horizontal="left" vertical="top" wrapText="1"/>
    </xf>
    <xf numFmtId="0" fontId="0" fillId="8" borderId="176" xfId="0" applyNumberFormat="1" applyFill="1" applyBorder="1" applyAlignment="1">
      <alignment horizontal="left" vertical="top" wrapText="1"/>
    </xf>
    <xf numFmtId="0" fontId="0" fillId="8" borderId="78" xfId="0" applyNumberFormat="1" applyFill="1" applyBorder="1" applyAlignment="1">
      <alignment horizontal="left" vertical="top" wrapText="1"/>
    </xf>
    <xf numFmtId="0" fontId="10" fillId="0" borderId="0" xfId="0" applyFont="1" applyAlignment="1"/>
    <xf numFmtId="0" fontId="1" fillId="0" borderId="0" xfId="0" applyFont="1" applyFill="1" applyBorder="1" applyAlignment="1">
      <alignment horizontal="center" vertical="top"/>
    </xf>
    <xf numFmtId="0" fontId="1" fillId="0" borderId="44" xfId="0" applyFont="1" applyFill="1" applyBorder="1" applyAlignment="1">
      <alignment horizontal="center" vertical="top"/>
    </xf>
    <xf numFmtId="0" fontId="1" fillId="0" borderId="47" xfId="0" applyFont="1" applyFill="1" applyBorder="1" applyAlignment="1">
      <alignment horizontal="center" vertical="top"/>
    </xf>
    <xf numFmtId="0" fontId="0" fillId="3" borderId="35" xfId="0" applyNumberFormat="1" applyFont="1" applyFill="1" applyBorder="1" applyAlignment="1">
      <alignment vertical="top" wrapText="1"/>
    </xf>
    <xf numFmtId="0" fontId="0" fillId="3" borderId="19" xfId="0" applyNumberFormat="1" applyFont="1" applyFill="1" applyBorder="1" applyAlignment="1">
      <alignment vertical="top"/>
    </xf>
    <xf numFmtId="0" fontId="1" fillId="3" borderId="35" xfId="0" applyNumberFormat="1" applyFont="1" applyFill="1" applyBorder="1" applyAlignment="1">
      <alignment vertical="top" wrapText="1"/>
    </xf>
    <xf numFmtId="0" fontId="1" fillId="0" borderId="36" xfId="0" applyFont="1" applyFill="1" applyBorder="1" applyAlignment="1">
      <alignment horizontal="center" vertical="top"/>
    </xf>
    <xf numFmtId="0" fontId="1" fillId="0" borderId="12" xfId="0" applyFont="1" applyFill="1" applyBorder="1" applyAlignment="1">
      <alignment horizontal="center" vertical="top"/>
    </xf>
    <xf numFmtId="0" fontId="1" fillId="0" borderId="111" xfId="0" applyFont="1" applyFill="1" applyBorder="1" applyAlignment="1">
      <alignment horizontal="center" vertical="top"/>
    </xf>
    <xf numFmtId="0" fontId="10" fillId="0" borderId="0" xfId="0" applyFont="1" applyFill="1" applyBorder="1" applyAlignment="1">
      <alignment vertical="top" wrapText="1"/>
    </xf>
    <xf numFmtId="0" fontId="4" fillId="0" borderId="0" xfId="0" applyFont="1" applyFill="1" applyBorder="1" applyAlignment="1">
      <alignment vertical="top" wrapText="1"/>
    </xf>
    <xf numFmtId="0" fontId="4" fillId="0" borderId="0" xfId="0" applyNumberFormat="1" applyFont="1" applyFill="1" applyBorder="1" applyAlignment="1">
      <alignment vertical="top" wrapText="1"/>
    </xf>
    <xf numFmtId="0" fontId="4" fillId="0" borderId="0" xfId="0" applyNumberFormat="1" applyFont="1" applyFill="1" applyBorder="1" applyAlignment="1">
      <alignment horizontal="left" vertical="top" wrapText="1"/>
    </xf>
    <xf numFmtId="0" fontId="10" fillId="0" borderId="0" xfId="0" applyNumberFormat="1" applyFont="1" applyFill="1" applyBorder="1" applyAlignment="1">
      <alignment horizontal="left" vertical="top" wrapText="1"/>
    </xf>
    <xf numFmtId="0" fontId="10" fillId="0" borderId="0" xfId="0" applyNumberFormat="1" applyFont="1" applyFill="1" applyBorder="1" applyAlignment="1">
      <alignment vertical="top" wrapText="1"/>
    </xf>
    <xf numFmtId="0" fontId="10"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1" fontId="11" fillId="7" borderId="18" xfId="0" applyNumberFormat="1" applyFont="1" applyFill="1" applyBorder="1" applyAlignment="1">
      <alignment horizontal="center" vertical="top" wrapText="1"/>
    </xf>
    <xf numFmtId="1" fontId="11" fillId="7" borderId="21" xfId="0" applyNumberFormat="1" applyFont="1" applyFill="1" applyBorder="1" applyAlignment="1">
      <alignment horizontal="center" vertical="top" wrapText="1"/>
    </xf>
    <xf numFmtId="1" fontId="6" fillId="7" borderId="18" xfId="0" applyNumberFormat="1" applyFont="1" applyFill="1" applyBorder="1" applyAlignment="1">
      <alignment horizontal="center" vertical="center" wrapText="1"/>
    </xf>
    <xf numFmtId="1" fontId="6" fillId="7" borderId="21" xfId="0" applyNumberFormat="1" applyFont="1" applyFill="1" applyBorder="1" applyAlignment="1">
      <alignment horizontal="center" vertical="center" wrapText="1"/>
    </xf>
    <xf numFmtId="1" fontId="1" fillId="7" borderId="21" xfId="0" applyNumberFormat="1" applyFont="1" applyFill="1" applyBorder="1" applyAlignment="1">
      <alignment horizontal="center" vertical="center" wrapText="1"/>
    </xf>
    <xf numFmtId="1" fontId="1" fillId="7" borderId="77" xfId="0" applyNumberFormat="1" applyFont="1" applyFill="1" applyBorder="1" applyAlignment="1">
      <alignment horizontal="center" vertical="center" wrapText="1"/>
    </xf>
    <xf numFmtId="0" fontId="1" fillId="9" borderId="59" xfId="0" applyNumberFormat="1" applyFont="1" applyFill="1" applyBorder="1" applyAlignment="1">
      <alignment horizontal="left" vertical="top"/>
    </xf>
    <xf numFmtId="171" fontId="1" fillId="2" borderId="21" xfId="0" applyNumberFormat="1" applyFont="1" applyFill="1" applyBorder="1" applyAlignment="1">
      <alignment horizontal="center" vertical="top" wrapText="1"/>
    </xf>
    <xf numFmtId="171" fontId="1" fillId="2" borderId="37" xfId="0" applyNumberFormat="1" applyFont="1" applyFill="1" applyBorder="1" applyAlignment="1">
      <alignment horizontal="center" vertical="top" wrapText="1"/>
    </xf>
    <xf numFmtId="171" fontId="1" fillId="2" borderId="18" xfId="0" applyNumberFormat="1" applyFont="1" applyFill="1" applyBorder="1" applyAlignment="1">
      <alignment horizontal="center" vertical="top" wrapText="1"/>
    </xf>
    <xf numFmtId="171" fontId="6" fillId="2" borderId="21" xfId="1" applyNumberFormat="1" applyFont="1" applyFill="1" applyBorder="1" applyAlignment="1">
      <alignment horizontal="center" vertical="top" wrapText="1"/>
    </xf>
    <xf numFmtId="171" fontId="6" fillId="2" borderId="18" xfId="0" applyNumberFormat="1" applyFont="1" applyFill="1" applyBorder="1" applyAlignment="1">
      <alignment horizontal="center" vertical="top" wrapText="1"/>
    </xf>
    <xf numFmtId="171" fontId="6" fillId="2" borderId="21" xfId="0" applyNumberFormat="1" applyFont="1" applyFill="1" applyBorder="1" applyAlignment="1">
      <alignment horizontal="center" vertical="top" wrapText="1"/>
    </xf>
    <xf numFmtId="171" fontId="6" fillId="2" borderId="21" xfId="0" applyNumberFormat="1" applyFont="1" applyFill="1" applyBorder="1" applyAlignment="1">
      <alignment horizontal="center" vertical="center" wrapText="1"/>
    </xf>
    <xf numFmtId="171" fontId="6" fillId="2" borderId="18" xfId="0" applyNumberFormat="1" applyFont="1" applyFill="1" applyBorder="1" applyAlignment="1">
      <alignment horizontal="center" vertical="center" wrapText="1"/>
    </xf>
    <xf numFmtId="171" fontId="1" fillId="2" borderId="21" xfId="0" applyNumberFormat="1" applyFont="1" applyFill="1" applyBorder="1" applyAlignment="1">
      <alignment horizontal="center" vertical="center" wrapText="1"/>
    </xf>
    <xf numFmtId="171" fontId="1" fillId="2" borderId="77" xfId="0" applyNumberFormat="1" applyFont="1" applyFill="1" applyBorder="1" applyAlignment="1">
      <alignment horizontal="center" vertical="center" wrapText="1"/>
    </xf>
    <xf numFmtId="1" fontId="1" fillId="2" borderId="21" xfId="0" applyNumberFormat="1" applyFont="1" applyFill="1" applyBorder="1" applyAlignment="1">
      <alignment horizontal="center" vertical="top" wrapText="1"/>
    </xf>
    <xf numFmtId="9" fontId="1" fillId="2" borderId="21" xfId="0" applyNumberFormat="1" applyFont="1" applyFill="1" applyBorder="1" applyAlignment="1">
      <alignment horizontal="center" vertical="top" wrapText="1"/>
    </xf>
    <xf numFmtId="9" fontId="1" fillId="2" borderId="37" xfId="0" applyNumberFormat="1" applyFont="1" applyFill="1" applyBorder="1" applyAlignment="1">
      <alignment horizontal="center" vertical="top" wrapText="1"/>
    </xf>
    <xf numFmtId="9" fontId="1" fillId="2" borderId="18" xfId="0" applyNumberFormat="1" applyFont="1" applyFill="1" applyBorder="1" applyAlignment="1">
      <alignment horizontal="center" vertical="top" wrapText="1"/>
    </xf>
    <xf numFmtId="9" fontId="6" fillId="2" borderId="21" xfId="1" applyNumberFormat="1" applyFont="1" applyFill="1" applyBorder="1" applyAlignment="1">
      <alignment horizontal="center" vertical="top" wrapText="1"/>
    </xf>
    <xf numFmtId="9" fontId="6" fillId="2" borderId="18" xfId="0" applyNumberFormat="1" applyFont="1" applyFill="1" applyBorder="1" applyAlignment="1">
      <alignment horizontal="center" vertical="top" wrapText="1"/>
    </xf>
    <xf numFmtId="9" fontId="6" fillId="2" borderId="21" xfId="0" applyNumberFormat="1" applyFont="1" applyFill="1" applyBorder="1" applyAlignment="1">
      <alignment horizontal="center" vertical="top" wrapText="1"/>
    </xf>
    <xf numFmtId="9" fontId="11" fillId="2" borderId="18" xfId="0" applyNumberFormat="1" applyFont="1" applyFill="1" applyBorder="1" applyAlignment="1">
      <alignment horizontal="center" vertical="top" wrapText="1"/>
    </xf>
    <xf numFmtId="9" fontId="11" fillId="2" borderId="21" xfId="0" applyNumberFormat="1" applyFont="1" applyFill="1" applyBorder="1" applyAlignment="1">
      <alignment horizontal="center" vertical="top" wrapText="1"/>
    </xf>
    <xf numFmtId="9" fontId="6" fillId="2" borderId="18" xfId="1" applyNumberFormat="1" applyFont="1" applyFill="1" applyBorder="1" applyAlignment="1">
      <alignment horizontal="center" vertical="center" wrapText="1"/>
    </xf>
    <xf numFmtId="9" fontId="6" fillId="2" borderId="21" xfId="1" applyNumberFormat="1" applyFont="1" applyFill="1" applyBorder="1" applyAlignment="1">
      <alignment horizontal="center" vertical="center" wrapText="1"/>
    </xf>
    <xf numFmtId="9" fontId="1" fillId="2" borderId="21" xfId="1" applyNumberFormat="1" applyFont="1" applyFill="1" applyBorder="1" applyAlignment="1">
      <alignment horizontal="center" vertical="center" wrapText="1"/>
    </xf>
    <xf numFmtId="9" fontId="1" fillId="2" borderId="77" xfId="1" applyNumberFormat="1" applyFont="1" applyFill="1" applyBorder="1" applyAlignment="1">
      <alignment horizontal="center" vertical="center" wrapText="1"/>
    </xf>
    <xf numFmtId="9" fontId="1" fillId="2" borderId="18" xfId="1" applyNumberFormat="1" applyFont="1" applyFill="1" applyBorder="1" applyAlignment="1">
      <alignment horizontal="center" vertical="center" wrapText="1"/>
    </xf>
    <xf numFmtId="9" fontId="1" fillId="7" borderId="21" xfId="1" applyNumberFormat="1" applyFont="1" applyFill="1" applyBorder="1" applyAlignment="1">
      <alignment horizontal="center" vertical="top" wrapText="1"/>
    </xf>
    <xf numFmtId="9" fontId="1" fillId="7" borderId="37" xfId="1" applyNumberFormat="1" applyFont="1" applyFill="1" applyBorder="1" applyAlignment="1">
      <alignment horizontal="center" vertical="top" wrapText="1"/>
    </xf>
    <xf numFmtId="9" fontId="1" fillId="7" borderId="18" xfId="1" applyNumberFormat="1" applyFont="1" applyFill="1" applyBorder="1" applyAlignment="1">
      <alignment horizontal="center" vertical="top" wrapText="1"/>
    </xf>
    <xf numFmtId="9" fontId="6" fillId="7" borderId="21" xfId="1" applyNumberFormat="1" applyFont="1" applyFill="1" applyBorder="1" applyAlignment="1">
      <alignment horizontal="center" vertical="top" wrapText="1"/>
    </xf>
    <xf numFmtId="9" fontId="6" fillId="7" borderId="21" xfId="0" applyNumberFormat="1" applyFont="1" applyFill="1" applyBorder="1" applyAlignment="1">
      <alignment horizontal="center" vertical="top" wrapText="1"/>
    </xf>
    <xf numFmtId="9" fontId="11" fillId="7" borderId="18" xfId="1" applyNumberFormat="1" applyFont="1" applyFill="1" applyBorder="1" applyAlignment="1">
      <alignment horizontal="center" vertical="top" wrapText="1"/>
    </xf>
    <xf numFmtId="9" fontId="11" fillId="7" borderId="21" xfId="0" applyNumberFormat="1" applyFont="1" applyFill="1" applyBorder="1" applyAlignment="1">
      <alignment horizontal="center" vertical="top" wrapText="1"/>
    </xf>
    <xf numFmtId="9" fontId="1" fillId="7" borderId="18" xfId="1" applyNumberFormat="1" applyFont="1" applyFill="1" applyBorder="1" applyAlignment="1">
      <alignment horizontal="center" vertical="center" wrapText="1"/>
    </xf>
    <xf numFmtId="9" fontId="6" fillId="7" borderId="21" xfId="1" applyNumberFormat="1" applyFont="1" applyFill="1" applyBorder="1" applyAlignment="1">
      <alignment horizontal="center" vertical="center" wrapText="1"/>
    </xf>
    <xf numFmtId="9" fontId="6" fillId="7" borderId="18" xfId="1" applyNumberFormat="1" applyFont="1" applyFill="1" applyBorder="1" applyAlignment="1">
      <alignment horizontal="center" vertical="center" wrapText="1"/>
    </xf>
    <xf numFmtId="0" fontId="0" fillId="9" borderId="47" xfId="0" applyNumberFormat="1" applyFill="1" applyBorder="1" applyAlignment="1">
      <alignment horizontal="left" vertical="top"/>
    </xf>
    <xf numFmtId="0" fontId="0" fillId="9" borderId="44" xfId="0" applyNumberFormat="1" applyFill="1" applyBorder="1" applyAlignment="1">
      <alignment horizontal="left" vertical="top"/>
    </xf>
    <xf numFmtId="0" fontId="0" fillId="9" borderId="100" xfId="0" applyNumberFormat="1" applyFill="1" applyBorder="1" applyAlignment="1">
      <alignment horizontal="left" vertical="top"/>
    </xf>
    <xf numFmtId="0" fontId="0" fillId="9" borderId="55" xfId="0" applyNumberFormat="1" applyFill="1" applyBorder="1" applyAlignment="1">
      <alignment horizontal="left" vertical="top"/>
    </xf>
    <xf numFmtId="0" fontId="0" fillId="9" borderId="56" xfId="0" applyNumberFormat="1" applyFill="1" applyBorder="1" applyAlignment="1">
      <alignment horizontal="left" vertical="top"/>
    </xf>
    <xf numFmtId="0" fontId="0" fillId="9" borderId="175" xfId="0" applyNumberFormat="1" applyFill="1" applyBorder="1" applyAlignment="1">
      <alignment horizontal="left" vertical="top"/>
    </xf>
    <xf numFmtId="0" fontId="0" fillId="9" borderId="45" xfId="0" applyNumberFormat="1" applyFill="1" applyBorder="1" applyAlignment="1">
      <alignment horizontal="left" vertical="top"/>
    </xf>
    <xf numFmtId="0" fontId="0" fillId="9" borderId="38" xfId="0" applyNumberFormat="1" applyFill="1" applyBorder="1" applyAlignment="1">
      <alignment horizontal="left" vertical="top"/>
    </xf>
    <xf numFmtId="0" fontId="0" fillId="9" borderId="36" xfId="0" applyNumberFormat="1" applyFill="1" applyBorder="1" applyAlignment="1">
      <alignment horizontal="left" vertical="top"/>
    </xf>
    <xf numFmtId="0" fontId="0" fillId="9" borderId="57" xfId="0" applyNumberFormat="1" applyFill="1" applyBorder="1" applyAlignment="1">
      <alignment horizontal="left" vertical="top"/>
    </xf>
    <xf numFmtId="0" fontId="0" fillId="9" borderId="111" xfId="0" applyNumberFormat="1" applyFill="1" applyBorder="1" applyAlignment="1">
      <alignment horizontal="left" vertical="top"/>
    </xf>
    <xf numFmtId="0" fontId="1" fillId="9" borderId="63" xfId="0" applyNumberFormat="1" applyFont="1" applyFill="1" applyBorder="1" applyAlignment="1">
      <alignment horizontal="left" vertical="top"/>
    </xf>
    <xf numFmtId="0" fontId="1" fillId="0" borderId="76" xfId="0" applyFont="1" applyBorder="1" applyAlignment="1">
      <alignment horizontal="center" vertical="center"/>
    </xf>
    <xf numFmtId="0" fontId="1" fillId="0" borderId="69" xfId="0" applyFont="1" applyBorder="1" applyAlignment="1">
      <alignment horizontal="center" vertical="center"/>
    </xf>
    <xf numFmtId="0" fontId="5" fillId="0" borderId="0" xfId="0" applyFont="1" applyFill="1" applyAlignment="1">
      <alignment vertical="top"/>
    </xf>
    <xf numFmtId="0" fontId="0" fillId="10" borderId="119" xfId="0" applyNumberFormat="1" applyFont="1" applyFill="1" applyBorder="1" applyAlignment="1">
      <alignment horizontal="center" wrapText="1"/>
    </xf>
    <xf numFmtId="0" fontId="0" fillId="10" borderId="152" xfId="0" applyNumberFormat="1" applyFont="1" applyFill="1" applyBorder="1" applyAlignment="1">
      <alignment horizontal="center" wrapText="1"/>
    </xf>
    <xf numFmtId="0" fontId="0" fillId="9" borderId="159" xfId="0" applyNumberFormat="1" applyFont="1" applyFill="1" applyBorder="1" applyAlignment="1">
      <alignment horizontal="center"/>
    </xf>
    <xf numFmtId="0" fontId="10" fillId="0" borderId="0" xfId="0" applyFont="1" applyFill="1" applyAlignment="1">
      <alignment vertical="top" wrapText="1"/>
    </xf>
    <xf numFmtId="0" fontId="10" fillId="0" borderId="0" xfId="0" applyFont="1" applyFill="1" applyAlignment="1">
      <alignment vertical="top"/>
    </xf>
    <xf numFmtId="0" fontId="0" fillId="0" borderId="0" xfId="0" applyFill="1" applyBorder="1" applyAlignment="1">
      <alignment vertical="top"/>
    </xf>
    <xf numFmtId="0" fontId="0" fillId="3" borderId="79" xfId="0" applyNumberFormat="1" applyFont="1" applyFill="1" applyBorder="1" applyAlignment="1">
      <alignment vertical="top" wrapText="1"/>
    </xf>
    <xf numFmtId="0" fontId="0" fillId="4" borderId="80" xfId="0" applyNumberFormat="1" applyFont="1" applyFill="1" applyBorder="1" applyAlignment="1">
      <alignment horizontal="left" vertical="top" wrapText="1"/>
    </xf>
    <xf numFmtId="0" fontId="5" fillId="4" borderId="21" xfId="0" applyFont="1" applyFill="1" applyBorder="1" applyAlignment="1">
      <alignment horizontal="left" vertical="top" wrapText="1"/>
    </xf>
    <xf numFmtId="0" fontId="5" fillId="4" borderId="21" xfId="0" applyFont="1" applyFill="1" applyBorder="1" applyAlignment="1">
      <alignment vertical="top" wrapText="1"/>
    </xf>
    <xf numFmtId="173" fontId="5" fillId="4" borderId="21" xfId="0" applyNumberFormat="1" applyFont="1" applyFill="1" applyBorder="1" applyAlignment="1">
      <alignment horizontal="left" vertical="top" wrapText="1"/>
    </xf>
    <xf numFmtId="174" fontId="5" fillId="4" borderId="21" xfId="0" applyNumberFormat="1" applyFont="1" applyFill="1" applyBorder="1" applyAlignment="1">
      <alignment horizontal="left" vertical="top" wrapText="1"/>
    </xf>
    <xf numFmtId="49" fontId="5" fillId="15" borderId="45" xfId="0" applyNumberFormat="1" applyFont="1" applyFill="1" applyBorder="1" applyAlignment="1">
      <alignment horizontal="center" vertical="center" textRotation="90" wrapText="1"/>
    </xf>
    <xf numFmtId="0" fontId="5" fillId="21" borderId="38" xfId="0" applyFont="1" applyFill="1" applyBorder="1" applyAlignment="1">
      <alignment horizontal="left" vertical="top" wrapText="1"/>
    </xf>
    <xf numFmtId="0" fontId="5" fillId="21" borderId="38" xfId="0" applyFont="1" applyFill="1" applyBorder="1" applyAlignment="1">
      <alignment vertical="top" wrapText="1"/>
    </xf>
    <xf numFmtId="173" fontId="5" fillId="21" borderId="38" xfId="0" applyNumberFormat="1" applyFont="1" applyFill="1" applyBorder="1" applyAlignment="1">
      <alignment horizontal="left" vertical="top" wrapText="1"/>
    </xf>
    <xf numFmtId="174" fontId="5" fillId="21" borderId="38" xfId="0" applyNumberFormat="1" applyFont="1" applyFill="1" applyBorder="1" applyAlignment="1">
      <alignment horizontal="left" vertical="top" wrapText="1"/>
    </xf>
    <xf numFmtId="180" fontId="5" fillId="15" borderId="72" xfId="0" applyNumberFormat="1" applyFont="1" applyFill="1" applyBorder="1" applyAlignment="1">
      <alignment horizontal="left" vertical="top" wrapText="1"/>
    </xf>
    <xf numFmtId="173" fontId="5" fillId="15" borderId="176" xfId="0" applyNumberFormat="1" applyFont="1" applyFill="1" applyBorder="1" applyAlignment="1">
      <alignment horizontal="left" vertical="top" wrapText="1"/>
    </xf>
    <xf numFmtId="0" fontId="5" fillId="4" borderId="21" xfId="0" applyFont="1" applyFill="1" applyBorder="1" applyAlignment="1">
      <alignment vertical="top" textRotation="90" wrapText="1"/>
    </xf>
    <xf numFmtId="49" fontId="5" fillId="4" borderId="21" xfId="0" applyNumberFormat="1" applyFont="1" applyFill="1" applyBorder="1" applyAlignment="1">
      <alignment vertical="top" textRotation="90"/>
    </xf>
    <xf numFmtId="49" fontId="5" fillId="4" borderId="21" xfId="0" applyNumberFormat="1" applyFont="1" applyFill="1" applyBorder="1" applyAlignment="1">
      <alignment vertical="top" textRotation="90" wrapText="1"/>
    </xf>
    <xf numFmtId="180" fontId="5" fillId="24" borderId="21" xfId="0" applyNumberFormat="1" applyFont="1" applyFill="1" applyBorder="1" applyAlignment="1">
      <alignment horizontal="left" vertical="top" wrapText="1"/>
    </xf>
    <xf numFmtId="49" fontId="5" fillId="4" borderId="21" xfId="0" applyNumberFormat="1" applyFont="1" applyFill="1" applyBorder="1" applyAlignment="1">
      <alignment vertical="top" wrapText="1"/>
    </xf>
    <xf numFmtId="10" fontId="0" fillId="0" borderId="37" xfId="0" applyNumberFormat="1" applyBorder="1"/>
    <xf numFmtId="10" fontId="0" fillId="0" borderId="21" xfId="0" applyNumberFormat="1" applyBorder="1"/>
    <xf numFmtId="10" fontId="0" fillId="0" borderId="37" xfId="0" quotePrefix="1" applyNumberFormat="1" applyBorder="1"/>
    <xf numFmtId="9" fontId="0" fillId="2" borderId="17" xfId="1" applyNumberFormat="1" applyFont="1" applyFill="1" applyBorder="1" applyAlignment="1">
      <alignment horizontal="center"/>
    </xf>
    <xf numFmtId="0" fontId="5" fillId="0" borderId="0" xfId="0" applyNumberFormat="1" applyFont="1" applyFill="1" applyAlignment="1">
      <alignment vertical="top" wrapText="1"/>
    </xf>
    <xf numFmtId="0" fontId="0" fillId="0" borderId="0" xfId="0" applyFill="1"/>
    <xf numFmtId="0" fontId="0" fillId="0" borderId="30" xfId="0" applyFill="1" applyBorder="1"/>
    <xf numFmtId="0" fontId="10" fillId="0" borderId="0" xfId="0" applyFont="1" applyFill="1" applyAlignment="1"/>
    <xf numFmtId="1" fontId="0" fillId="4" borderId="47" xfId="0" applyNumberFormat="1" applyFill="1" applyBorder="1" applyAlignment="1">
      <alignment horizontal="center" vertical="top" wrapText="1"/>
    </xf>
    <xf numFmtId="1" fontId="0" fillId="4" borderId="44" xfId="0" applyNumberFormat="1" applyFill="1" applyBorder="1" applyAlignment="1">
      <alignment horizontal="center" vertical="top" wrapText="1"/>
    </xf>
    <xf numFmtId="1" fontId="0" fillId="4" borderId="58" xfId="0" applyNumberFormat="1" applyFill="1" applyBorder="1" applyAlignment="1">
      <alignment horizontal="center" vertical="top" wrapText="1"/>
    </xf>
    <xf numFmtId="0" fontId="0" fillId="12" borderId="120" xfId="0" applyFill="1" applyBorder="1" applyAlignment="1">
      <alignment horizontal="center"/>
    </xf>
    <xf numFmtId="165" fontId="0" fillId="2" borderId="147" xfId="0" applyNumberFormat="1" applyFill="1" applyBorder="1" applyAlignment="1">
      <alignment horizontal="center"/>
    </xf>
    <xf numFmtId="165" fontId="0" fillId="2" borderId="64" xfId="0" applyNumberFormat="1" applyFill="1" applyBorder="1" applyAlignment="1">
      <alignment horizontal="center"/>
    </xf>
    <xf numFmtId="165" fontId="0" fillId="2" borderId="151" xfId="0" applyNumberFormat="1" applyFill="1" applyBorder="1" applyAlignment="1">
      <alignment horizontal="center"/>
    </xf>
    <xf numFmtId="0" fontId="0" fillId="12" borderId="120" xfId="0" applyFill="1" applyBorder="1" applyAlignment="1">
      <alignment horizontal="center"/>
    </xf>
    <xf numFmtId="0" fontId="0" fillId="2" borderId="179" xfId="0" applyFill="1" applyBorder="1" applyAlignment="1">
      <alignment horizontal="center"/>
    </xf>
    <xf numFmtId="0" fontId="0" fillId="7" borderId="180" xfId="0" applyFill="1" applyBorder="1" applyAlignment="1">
      <alignment horizontal="center"/>
    </xf>
    <xf numFmtId="9" fontId="0" fillId="7" borderId="181" xfId="0" applyNumberFormat="1" applyFill="1" applyBorder="1" applyAlignment="1">
      <alignment horizontal="center"/>
    </xf>
    <xf numFmtId="0" fontId="1" fillId="0" borderId="178" xfId="0" applyFont="1" applyBorder="1" applyAlignment="1">
      <alignment horizontal="center"/>
    </xf>
    <xf numFmtId="0" fontId="0" fillId="0" borderId="115" xfId="0" applyFill="1" applyBorder="1"/>
    <xf numFmtId="2" fontId="0" fillId="7" borderId="19" xfId="0" applyNumberFormat="1" applyFill="1" applyBorder="1" applyAlignment="1">
      <alignment horizontal="center"/>
    </xf>
    <xf numFmtId="2" fontId="0" fillId="2" borderId="18" xfId="0" applyNumberFormat="1" applyFill="1" applyBorder="1" applyAlignment="1">
      <alignment horizontal="center"/>
    </xf>
    <xf numFmtId="2" fontId="0" fillId="7" borderId="7" xfId="0" applyNumberFormat="1" applyFill="1" applyBorder="1" applyAlignment="1">
      <alignment horizontal="center"/>
    </xf>
    <xf numFmtId="2" fontId="0" fillId="7" borderId="18" xfId="0" applyNumberFormat="1" applyFill="1" applyBorder="1" applyAlignment="1">
      <alignment horizontal="center"/>
    </xf>
    <xf numFmtId="9" fontId="0" fillId="7" borderId="75" xfId="0" applyNumberFormat="1" applyFill="1" applyBorder="1" applyAlignment="1">
      <alignment horizontal="center"/>
    </xf>
    <xf numFmtId="0" fontId="0" fillId="7" borderId="116" xfId="0" applyFill="1" applyBorder="1" applyAlignment="1">
      <alignment horizontal="left"/>
    </xf>
    <xf numFmtId="0" fontId="0" fillId="2" borderId="145" xfId="0" applyFill="1" applyBorder="1" applyAlignment="1">
      <alignment horizontal="left"/>
    </xf>
    <xf numFmtId="9" fontId="0" fillId="7" borderId="145" xfId="0" applyNumberFormat="1" applyFill="1" applyBorder="1" applyAlignment="1">
      <alignment horizontal="left"/>
    </xf>
    <xf numFmtId="9" fontId="0" fillId="2" borderId="145" xfId="0" applyNumberFormat="1" applyFill="1" applyBorder="1" applyAlignment="1">
      <alignment horizontal="left"/>
    </xf>
    <xf numFmtId="9" fontId="0" fillId="7" borderId="182" xfId="0" applyNumberFormat="1" applyFill="1" applyBorder="1" applyAlignment="1">
      <alignment horizontal="left"/>
    </xf>
    <xf numFmtId="2" fontId="0" fillId="7" borderId="20" xfId="0" applyNumberFormat="1" applyFill="1" applyBorder="1" applyAlignment="1">
      <alignment horizontal="center"/>
    </xf>
    <xf numFmtId="2" fontId="0" fillId="7" borderId="8" xfId="0" applyNumberFormat="1" applyFill="1" applyBorder="1" applyAlignment="1">
      <alignment horizontal="center"/>
    </xf>
    <xf numFmtId="0" fontId="0" fillId="0" borderId="33" xfId="0" applyBorder="1" applyAlignment="1">
      <alignment horizontal="center"/>
    </xf>
    <xf numFmtId="0" fontId="0" fillId="0" borderId="51" xfId="0" applyFill="1" applyBorder="1"/>
    <xf numFmtId="0" fontId="0" fillId="0" borderId="183" xfId="0" applyFill="1" applyBorder="1" applyAlignment="1">
      <alignment horizontal="center"/>
    </xf>
    <xf numFmtId="0" fontId="0" fillId="0" borderId="10" xfId="0" applyFill="1" applyBorder="1" applyAlignment="1">
      <alignment horizontal="center"/>
    </xf>
    <xf numFmtId="0" fontId="0" fillId="0" borderId="10" xfId="0" applyBorder="1" applyAlignment="1">
      <alignment horizontal="center"/>
    </xf>
    <xf numFmtId="1" fontId="0" fillId="0" borderId="12" xfId="0" applyNumberFormat="1" applyFill="1" applyBorder="1" applyAlignment="1">
      <alignment horizontal="center"/>
    </xf>
    <xf numFmtId="1" fontId="0" fillId="0" borderId="12" xfId="0" applyNumberFormat="1" applyBorder="1" applyAlignment="1">
      <alignment horizontal="center"/>
    </xf>
    <xf numFmtId="1" fontId="0" fillId="0" borderId="30" xfId="0" applyNumberFormat="1" applyBorder="1" applyAlignment="1">
      <alignment horizontal="center"/>
    </xf>
    <xf numFmtId="1" fontId="0" fillId="7" borderId="24" xfId="0" applyNumberFormat="1" applyFont="1" applyFill="1" applyBorder="1" applyAlignment="1">
      <alignment horizontal="center" vertical="top" wrapText="1"/>
    </xf>
    <xf numFmtId="9" fontId="0" fillId="7" borderId="24" xfId="1" applyNumberFormat="1" applyFont="1" applyFill="1" applyBorder="1" applyAlignment="1">
      <alignment horizontal="center" vertical="top" wrapText="1"/>
    </xf>
    <xf numFmtId="9" fontId="0" fillId="7" borderId="39" xfId="1" applyNumberFormat="1" applyFont="1" applyFill="1" applyBorder="1" applyAlignment="1">
      <alignment horizontal="center" vertical="top" wrapText="1"/>
    </xf>
    <xf numFmtId="9" fontId="0" fillId="7" borderId="29" xfId="1" applyNumberFormat="1" applyFont="1" applyFill="1" applyBorder="1" applyAlignment="1">
      <alignment horizontal="center" vertical="top" wrapText="1"/>
    </xf>
    <xf numFmtId="9" fontId="5" fillId="7" borderId="24" xfId="1" applyNumberFormat="1" applyFont="1" applyFill="1" applyBorder="1" applyAlignment="1">
      <alignment horizontal="center" vertical="top" wrapText="1"/>
    </xf>
    <xf numFmtId="9" fontId="5" fillId="7" borderId="29" xfId="0" applyNumberFormat="1" applyFont="1" applyFill="1" applyBorder="1" applyAlignment="1">
      <alignment horizontal="center" vertical="top" wrapText="1"/>
    </xf>
    <xf numFmtId="9" fontId="5" fillId="7" borderId="24" xfId="0" applyNumberFormat="1" applyFont="1" applyFill="1" applyBorder="1" applyAlignment="1">
      <alignment horizontal="center" vertical="top" wrapText="1"/>
    </xf>
    <xf numFmtId="9" fontId="7" fillId="7" borderId="29" xfId="0" applyNumberFormat="1" applyFont="1" applyFill="1" applyBorder="1" applyAlignment="1">
      <alignment horizontal="center" vertical="top" wrapText="1"/>
    </xf>
    <xf numFmtId="9" fontId="7" fillId="7" borderId="24" xfId="0" applyNumberFormat="1" applyFont="1" applyFill="1" applyBorder="1" applyAlignment="1">
      <alignment horizontal="center" vertical="top" wrapText="1"/>
    </xf>
    <xf numFmtId="9" fontId="5" fillId="7" borderId="29" xfId="1" applyNumberFormat="1" applyFont="1" applyFill="1" applyBorder="1" applyAlignment="1">
      <alignment horizontal="center" vertical="center" wrapText="1"/>
    </xf>
    <xf numFmtId="9" fontId="5" fillId="7" borderId="24" xfId="1" applyNumberFormat="1" applyFont="1" applyFill="1" applyBorder="1" applyAlignment="1">
      <alignment horizontal="center" vertical="center" wrapText="1"/>
    </xf>
    <xf numFmtId="1" fontId="0" fillId="0" borderId="30" xfId="0" applyNumberFormat="1" applyFill="1" applyBorder="1" applyAlignment="1">
      <alignment horizontal="center"/>
    </xf>
    <xf numFmtId="0" fontId="10" fillId="0" borderId="37" xfId="0" applyFont="1" applyFill="1" applyBorder="1" applyAlignment="1">
      <alignment vertical="top" wrapText="1"/>
    </xf>
    <xf numFmtId="0" fontId="0" fillId="0" borderId="0" xfId="0" applyAlignment="1">
      <alignment horizontal="center" vertical="center"/>
    </xf>
    <xf numFmtId="171" fontId="0" fillId="6" borderId="45" xfId="0" applyNumberFormat="1" applyFill="1" applyBorder="1" applyAlignment="1">
      <alignment horizontal="left" vertical="top"/>
    </xf>
    <xf numFmtId="171" fontId="0" fillId="6" borderId="38" xfId="0" applyNumberFormat="1" applyFill="1" applyBorder="1" applyAlignment="1">
      <alignment horizontal="left" vertical="top"/>
    </xf>
    <xf numFmtId="171" fontId="0" fillId="6" borderId="176" xfId="0" applyNumberFormat="1" applyFill="1" applyBorder="1" applyAlignment="1">
      <alignment horizontal="left" vertical="top"/>
    </xf>
    <xf numFmtId="184" fontId="1" fillId="8" borderId="35" xfId="0" applyNumberFormat="1" applyFont="1" applyFill="1" applyBorder="1" applyAlignment="1">
      <alignment horizontal="center" vertical="center"/>
    </xf>
    <xf numFmtId="0" fontId="0" fillId="8" borderId="55" xfId="0" applyNumberFormat="1" applyFill="1" applyBorder="1" applyAlignment="1">
      <alignment horizontal="left" vertical="top" wrapText="1"/>
    </xf>
    <xf numFmtId="0" fontId="0" fillId="8" borderId="56" xfId="0" applyNumberFormat="1" applyFill="1" applyBorder="1" applyAlignment="1">
      <alignment horizontal="left" vertical="top" wrapText="1"/>
    </xf>
    <xf numFmtId="0" fontId="0" fillId="8" borderId="175" xfId="0" applyNumberFormat="1" applyFill="1" applyBorder="1" applyAlignment="1">
      <alignment horizontal="left" vertical="top" wrapText="1"/>
    </xf>
    <xf numFmtId="0" fontId="10" fillId="0" borderId="0" xfId="0" applyNumberFormat="1" applyFont="1"/>
    <xf numFmtId="183" fontId="0" fillId="22" borderId="51" xfId="0" applyNumberFormat="1" applyFill="1" applyBorder="1"/>
    <xf numFmtId="0" fontId="0" fillId="22" borderId="10" xfId="0" applyFill="1" applyBorder="1"/>
    <xf numFmtId="0" fontId="0" fillId="22" borderId="33" xfId="0" applyFill="1" applyBorder="1"/>
    <xf numFmtId="183" fontId="0" fillId="22" borderId="4" xfId="0" applyNumberFormat="1" applyFill="1" applyBorder="1"/>
    <xf numFmtId="0" fontId="0" fillId="22" borderId="0" xfId="0" applyFill="1" applyBorder="1"/>
    <xf numFmtId="0" fontId="0" fillId="22" borderId="5" xfId="0" applyFill="1" applyBorder="1"/>
    <xf numFmtId="183" fontId="0" fillId="22" borderId="50" xfId="0" applyNumberFormat="1" applyFill="1" applyBorder="1"/>
    <xf numFmtId="0" fontId="0" fillId="22" borderId="12" xfId="0" applyFill="1" applyBorder="1"/>
    <xf numFmtId="0" fontId="0" fillId="22" borderId="30" xfId="0" applyFill="1" applyBorder="1"/>
    <xf numFmtId="183" fontId="0" fillId="14" borderId="51" xfId="0" applyNumberFormat="1" applyFill="1" applyBorder="1"/>
    <xf numFmtId="0" fontId="0" fillId="14" borderId="10" xfId="0" applyFill="1" applyBorder="1"/>
    <xf numFmtId="0" fontId="0" fillId="14" borderId="33" xfId="0" applyFill="1" applyBorder="1"/>
    <xf numFmtId="183" fontId="0" fillId="14" borderId="4" xfId="0" applyNumberFormat="1" applyFill="1" applyBorder="1"/>
    <xf numFmtId="0" fontId="0" fillId="14" borderId="0" xfId="0" applyFill="1" applyBorder="1"/>
    <xf numFmtId="0" fontId="0" fillId="14" borderId="5" xfId="0" applyFill="1" applyBorder="1"/>
    <xf numFmtId="183" fontId="0" fillId="14" borderId="50" xfId="0" applyNumberFormat="1" applyFill="1" applyBorder="1"/>
    <xf numFmtId="0" fontId="0" fillId="14" borderId="12" xfId="0" applyFill="1" applyBorder="1"/>
    <xf numFmtId="0" fontId="0" fillId="14" borderId="30" xfId="0" applyFill="1" applyBorder="1"/>
    <xf numFmtId="183" fontId="0" fillId="15" borderId="51" xfId="0" applyNumberFormat="1" applyFill="1" applyBorder="1"/>
    <xf numFmtId="0" fontId="0" fillId="15" borderId="10" xfId="0" applyFill="1" applyBorder="1"/>
    <xf numFmtId="0" fontId="0" fillId="15" borderId="33" xfId="0" applyFill="1" applyBorder="1"/>
    <xf numFmtId="183" fontId="0" fillId="15" borderId="4" xfId="0" applyNumberFormat="1" applyFill="1" applyBorder="1"/>
    <xf numFmtId="0" fontId="0" fillId="15" borderId="0" xfId="0" applyFill="1" applyBorder="1"/>
    <xf numFmtId="0" fontId="0" fillId="15" borderId="5" xfId="0" applyFill="1" applyBorder="1"/>
    <xf numFmtId="183" fontId="0" fillId="15" borderId="50" xfId="0" applyNumberFormat="1" applyFill="1" applyBorder="1"/>
    <xf numFmtId="0" fontId="0" fillId="15" borderId="12" xfId="0" applyFill="1" applyBorder="1"/>
    <xf numFmtId="0" fontId="0" fillId="15" borderId="30" xfId="0" applyFill="1" applyBorder="1"/>
    <xf numFmtId="183" fontId="0" fillId="28" borderId="4" xfId="0" applyNumberFormat="1" applyFill="1" applyBorder="1"/>
    <xf numFmtId="0" fontId="0" fillId="28" borderId="5" xfId="0" applyFill="1" applyBorder="1"/>
    <xf numFmtId="183" fontId="0" fillId="28" borderId="50" xfId="0" applyNumberFormat="1" applyFill="1" applyBorder="1"/>
    <xf numFmtId="0" fontId="0" fillId="28" borderId="30" xfId="0" applyFill="1" applyBorder="1"/>
    <xf numFmtId="183" fontId="12" fillId="13" borderId="51" xfId="0" applyNumberFormat="1" applyFont="1" applyFill="1" applyBorder="1"/>
    <xf numFmtId="0" fontId="12" fillId="13" borderId="10" xfId="0" applyFont="1" applyFill="1" applyBorder="1"/>
    <xf numFmtId="0" fontId="12" fillId="13" borderId="33" xfId="0" applyFont="1" applyFill="1" applyBorder="1"/>
    <xf numFmtId="183" fontId="12" fillId="13" borderId="4" xfId="0" applyNumberFormat="1" applyFont="1" applyFill="1" applyBorder="1"/>
    <xf numFmtId="0" fontId="12" fillId="13" borderId="0" xfId="0" applyFont="1" applyFill="1" applyBorder="1"/>
    <xf numFmtId="0" fontId="12" fillId="13" borderId="5" xfId="0" applyFont="1" applyFill="1" applyBorder="1"/>
    <xf numFmtId="183" fontId="12" fillId="13" borderId="50" xfId="0" applyNumberFormat="1" applyFont="1" applyFill="1" applyBorder="1"/>
    <xf numFmtId="0" fontId="12" fillId="13" borderId="30" xfId="0" applyFont="1" applyFill="1" applyBorder="1"/>
    <xf numFmtId="0" fontId="0" fillId="0" borderId="0" xfId="0" applyNumberFormat="1" applyFill="1"/>
    <xf numFmtId="183" fontId="0" fillId="25" borderId="1" xfId="0" applyNumberFormat="1" applyFill="1" applyBorder="1"/>
    <xf numFmtId="0" fontId="0" fillId="25" borderId="2" xfId="0" applyFill="1" applyBorder="1"/>
    <xf numFmtId="0" fontId="0" fillId="25" borderId="3" xfId="0" applyFill="1" applyBorder="1"/>
    <xf numFmtId="183" fontId="0" fillId="25" borderId="4" xfId="0" applyNumberFormat="1" applyFill="1" applyBorder="1"/>
    <xf numFmtId="0" fontId="0" fillId="25" borderId="0" xfId="0" applyFill="1" applyBorder="1"/>
    <xf numFmtId="0" fontId="0" fillId="25" borderId="5" xfId="0" applyFill="1" applyBorder="1"/>
    <xf numFmtId="183" fontId="0" fillId="25" borderId="50" xfId="0" applyNumberFormat="1" applyFill="1" applyBorder="1"/>
    <xf numFmtId="0" fontId="0" fillId="25" borderId="12" xfId="0" applyFill="1" applyBorder="1"/>
    <xf numFmtId="0" fontId="0" fillId="25" borderId="30" xfId="0" applyFill="1" applyBorder="1"/>
    <xf numFmtId="0" fontId="0" fillId="25" borderId="2" xfId="0" applyFill="1" applyBorder="1" applyAlignment="1"/>
    <xf numFmtId="0" fontId="0" fillId="25" borderId="0" xfId="0" applyFill="1" applyBorder="1" applyAlignment="1"/>
    <xf numFmtId="0" fontId="0" fillId="25" borderId="12" xfId="0" applyFill="1" applyBorder="1" applyAlignment="1"/>
    <xf numFmtId="183" fontId="0" fillId="25" borderId="51" xfId="0" applyNumberFormat="1" applyFill="1" applyBorder="1"/>
    <xf numFmtId="0" fontId="0" fillId="25" borderId="10" xfId="0" applyFill="1" applyBorder="1"/>
    <xf numFmtId="0" fontId="0" fillId="25" borderId="33" xfId="0" applyFill="1" applyBorder="1"/>
    <xf numFmtId="183" fontId="0" fillId="29" borderId="51" xfId="0" applyNumberFormat="1" applyFill="1" applyBorder="1"/>
    <xf numFmtId="0" fontId="0" fillId="29" borderId="10" xfId="0" applyFill="1" applyBorder="1"/>
    <xf numFmtId="0" fontId="0" fillId="29" borderId="33" xfId="0" applyFill="1" applyBorder="1"/>
    <xf numFmtId="183" fontId="0" fillId="29" borderId="4" xfId="0" applyNumberFormat="1" applyFill="1" applyBorder="1"/>
    <xf numFmtId="0" fontId="0" fillId="29" borderId="0" xfId="0" applyFill="1" applyBorder="1"/>
    <xf numFmtId="0" fontId="0" fillId="29" borderId="5" xfId="0" applyFill="1" applyBorder="1"/>
    <xf numFmtId="183" fontId="0" fillId="29" borderId="50" xfId="0" applyNumberFormat="1" applyFill="1" applyBorder="1"/>
    <xf numFmtId="0" fontId="0" fillId="29" borderId="12" xfId="0" applyFill="1" applyBorder="1"/>
    <xf numFmtId="0" fontId="0" fillId="29" borderId="30" xfId="0" applyFill="1" applyBorder="1"/>
    <xf numFmtId="0" fontId="0" fillId="29" borderId="0" xfId="0" applyFill="1" applyBorder="1" applyAlignment="1"/>
    <xf numFmtId="0" fontId="0" fillId="29" borderId="12" xfId="0" applyFill="1" applyBorder="1" applyAlignment="1"/>
    <xf numFmtId="0" fontId="0" fillId="22" borderId="0" xfId="0" applyFill="1" applyBorder="1" applyAlignment="1"/>
    <xf numFmtId="0" fontId="0" fillId="22" borderId="12" xfId="0" applyFill="1" applyBorder="1" applyAlignment="1"/>
    <xf numFmtId="0" fontId="0" fillId="14" borderId="0" xfId="0" applyFill="1" applyBorder="1" applyAlignment="1"/>
    <xf numFmtId="0" fontId="0" fillId="14" borderId="12" xfId="0" applyFill="1" applyBorder="1" applyAlignment="1"/>
    <xf numFmtId="0" fontId="0" fillId="15" borderId="0" xfId="0" applyFill="1" applyBorder="1" applyAlignment="1"/>
    <xf numFmtId="0" fontId="0" fillId="15" borderId="12" xfId="0" applyFill="1" applyBorder="1" applyAlignment="1"/>
    <xf numFmtId="0" fontId="0" fillId="28" borderId="0" xfId="0" applyFill="1" applyBorder="1" applyAlignment="1"/>
    <xf numFmtId="0" fontId="0" fillId="28" borderId="12" xfId="0" applyFill="1" applyBorder="1" applyAlignment="1"/>
    <xf numFmtId="0" fontId="12" fillId="13" borderId="0" xfId="0" applyFont="1" applyFill="1" applyBorder="1" applyAlignment="1"/>
    <xf numFmtId="0" fontId="12" fillId="13" borderId="12" xfId="0" applyFont="1" applyFill="1" applyBorder="1" applyAlignment="1"/>
    <xf numFmtId="183" fontId="12" fillId="13" borderId="6" xfId="0" applyNumberFormat="1" applyFont="1" applyFill="1" applyBorder="1"/>
    <xf numFmtId="0" fontId="12" fillId="13" borderId="7" xfId="0" applyFont="1" applyFill="1" applyBorder="1"/>
    <xf numFmtId="0" fontId="12" fillId="13" borderId="8" xfId="0" applyFont="1" applyFill="1" applyBorder="1"/>
    <xf numFmtId="183" fontId="0" fillId="0" borderId="4" xfId="0" applyNumberFormat="1" applyBorder="1"/>
    <xf numFmtId="0" fontId="0" fillId="0" borderId="0" xfId="0" applyBorder="1" applyAlignment="1"/>
    <xf numFmtId="183" fontId="0" fillId="0" borderId="50" xfId="0" applyNumberFormat="1" applyBorder="1"/>
    <xf numFmtId="0" fontId="0" fillId="0" borderId="12" xfId="0" applyBorder="1" applyAlignment="1"/>
    <xf numFmtId="183" fontId="12" fillId="13" borderId="88" xfId="0" applyNumberFormat="1" applyFont="1" applyFill="1" applyBorder="1"/>
    <xf numFmtId="0" fontId="12" fillId="13" borderId="19" xfId="0" applyFont="1" applyFill="1" applyBorder="1" applyAlignment="1"/>
    <xf numFmtId="0" fontId="12" fillId="13" borderId="28" xfId="0" applyFont="1" applyFill="1" applyBorder="1"/>
    <xf numFmtId="0" fontId="12" fillId="13" borderId="19" xfId="0" applyFont="1" applyFill="1" applyBorder="1"/>
    <xf numFmtId="0" fontId="0" fillId="0" borderId="0" xfId="0" applyAlignment="1">
      <alignment horizontal="left" vertical="top"/>
    </xf>
    <xf numFmtId="0" fontId="0" fillId="0" borderId="0" xfId="0" applyAlignment="1">
      <alignment horizontal="left" vertical="top" wrapText="1"/>
    </xf>
    <xf numFmtId="183" fontId="10" fillId="30" borderId="4" xfId="0" applyNumberFormat="1" applyFont="1" applyFill="1" applyBorder="1"/>
    <xf numFmtId="0" fontId="10" fillId="30" borderId="0" xfId="0" applyFont="1" applyFill="1" applyBorder="1" applyAlignment="1"/>
    <xf numFmtId="0" fontId="10" fillId="30" borderId="5" xfId="0" applyFont="1" applyFill="1" applyBorder="1"/>
    <xf numFmtId="183" fontId="10" fillId="30" borderId="50" xfId="0" applyNumberFormat="1" applyFont="1" applyFill="1" applyBorder="1"/>
    <xf numFmtId="0" fontId="10" fillId="30" borderId="12" xfId="0" applyFont="1" applyFill="1" applyBorder="1" applyAlignment="1"/>
    <xf numFmtId="0" fontId="10" fillId="30" borderId="30" xfId="0" applyFont="1" applyFill="1" applyBorder="1"/>
    <xf numFmtId="183" fontId="10" fillId="30" borderId="6" xfId="0" applyNumberFormat="1" applyFont="1" applyFill="1" applyBorder="1"/>
    <xf numFmtId="0" fontId="10" fillId="30" borderId="7" xfId="0" applyFont="1" applyFill="1" applyBorder="1" applyAlignment="1"/>
    <xf numFmtId="0" fontId="10" fillId="30" borderId="8" xfId="0" applyFont="1" applyFill="1" applyBorder="1"/>
    <xf numFmtId="183" fontId="5" fillId="28" borderId="51" xfId="0" applyNumberFormat="1" applyFont="1" applyFill="1" applyBorder="1"/>
    <xf numFmtId="0" fontId="5" fillId="28" borderId="10" xfId="0" applyFont="1" applyFill="1" applyBorder="1"/>
    <xf numFmtId="0" fontId="5" fillId="28" borderId="33" xfId="0" applyFont="1" applyFill="1" applyBorder="1"/>
    <xf numFmtId="183" fontId="5" fillId="28" borderId="4" xfId="0" applyNumberFormat="1" applyFont="1" applyFill="1" applyBorder="1"/>
    <xf numFmtId="0" fontId="5" fillId="28" borderId="0" xfId="0" applyFont="1" applyFill="1" applyBorder="1"/>
    <xf numFmtId="0" fontId="5" fillId="28" borderId="5" xfId="0" applyFont="1" applyFill="1" applyBorder="1"/>
    <xf numFmtId="183" fontId="5" fillId="28" borderId="50" xfId="0" applyNumberFormat="1" applyFont="1" applyFill="1" applyBorder="1"/>
    <xf numFmtId="0" fontId="5" fillId="28" borderId="12" xfId="0" applyFont="1" applyFill="1" applyBorder="1"/>
    <xf numFmtId="0" fontId="5" fillId="28" borderId="30" xfId="0" applyFont="1" applyFill="1" applyBorder="1"/>
    <xf numFmtId="0" fontId="1" fillId="0" borderId="76" xfId="0" applyFont="1" applyBorder="1" applyAlignment="1">
      <alignment horizontal="center" vertical="center"/>
    </xf>
    <xf numFmtId="0" fontId="1" fillId="0" borderId="0" xfId="0" applyFont="1" applyBorder="1" applyAlignment="1">
      <alignment horizontal="center" vertical="center"/>
    </xf>
    <xf numFmtId="0" fontId="0" fillId="12" borderId="120" xfId="0" applyFill="1" applyBorder="1" applyAlignment="1">
      <alignment horizontal="center"/>
    </xf>
    <xf numFmtId="1" fontId="0" fillId="3" borderId="37" xfId="0" applyNumberFormat="1" applyFill="1" applyBorder="1" applyAlignment="1">
      <alignment horizontal="center" vertical="top" wrapText="1"/>
    </xf>
    <xf numFmtId="1" fontId="0" fillId="3" borderId="21" xfId="0" applyNumberFormat="1" applyFill="1" applyBorder="1" applyAlignment="1">
      <alignment horizontal="center" vertical="top" wrapText="1"/>
    </xf>
    <xf numFmtId="1" fontId="0" fillId="3" borderId="27" xfId="0" applyNumberFormat="1" applyFill="1" applyBorder="1" applyAlignment="1">
      <alignment horizontal="center" vertical="top" wrapText="1"/>
    </xf>
    <xf numFmtId="185" fontId="0" fillId="6" borderId="62" xfId="1" applyNumberFormat="1" applyFont="1" applyFill="1" applyBorder="1" applyAlignment="1">
      <alignment horizontal="center" vertical="top" wrapText="1"/>
    </xf>
    <xf numFmtId="185" fontId="0" fillId="6" borderId="35" xfId="1" applyNumberFormat="1" applyFont="1" applyFill="1" applyBorder="1" applyAlignment="1">
      <alignment horizontal="center" vertical="top" wrapText="1"/>
    </xf>
    <xf numFmtId="185" fontId="0" fillId="6" borderId="52" xfId="1" applyNumberFormat="1" applyFont="1" applyFill="1" applyBorder="1" applyAlignment="1">
      <alignment horizontal="center" vertical="top" wrapText="1"/>
    </xf>
    <xf numFmtId="0" fontId="0" fillId="31" borderId="36" xfId="0" applyNumberFormat="1" applyFill="1" applyBorder="1" applyAlignment="1">
      <alignment horizontal="left" vertical="top"/>
    </xf>
    <xf numFmtId="0" fontId="0" fillId="12" borderId="120" xfId="0" applyFill="1" applyBorder="1" applyAlignment="1">
      <alignment horizontal="center"/>
    </xf>
    <xf numFmtId="0" fontId="1" fillId="0" borderId="149" xfId="0" applyNumberFormat="1" applyFont="1" applyBorder="1" applyAlignment="1">
      <alignment horizontal="center" wrapText="1"/>
    </xf>
    <xf numFmtId="0" fontId="6" fillId="0" borderId="153" xfId="0" applyFont="1" applyFill="1" applyBorder="1" applyAlignment="1">
      <alignment horizontal="center"/>
    </xf>
    <xf numFmtId="0" fontId="0" fillId="0" borderId="11" xfId="0" applyNumberFormat="1" applyFont="1" applyBorder="1" applyAlignment="1">
      <alignment horizontal="center" wrapText="1"/>
    </xf>
    <xf numFmtId="0" fontId="0" fillId="9" borderId="61" xfId="0" applyNumberFormat="1" applyFont="1" applyFill="1" applyBorder="1" applyAlignment="1">
      <alignment horizontal="center" wrapText="1"/>
    </xf>
    <xf numFmtId="0" fontId="0" fillId="10" borderId="64" xfId="0" applyNumberFormat="1" applyFont="1" applyFill="1" applyBorder="1" applyAlignment="1">
      <alignment horizontal="center" wrapText="1"/>
    </xf>
    <xf numFmtId="14" fontId="0" fillId="9" borderId="17" xfId="0" applyNumberFormat="1" applyFont="1" applyFill="1" applyBorder="1" applyAlignment="1">
      <alignment horizontal="center" wrapText="1"/>
    </xf>
    <xf numFmtId="14" fontId="0" fillId="10" borderId="148" xfId="0" applyNumberFormat="1" applyFont="1" applyFill="1" applyBorder="1" applyAlignment="1">
      <alignment horizontal="center" wrapText="1"/>
    </xf>
    <xf numFmtId="0" fontId="0" fillId="9" borderId="185" xfId="0" applyNumberFormat="1" applyFont="1" applyFill="1" applyBorder="1" applyAlignment="1">
      <alignment horizontal="center"/>
    </xf>
    <xf numFmtId="0" fontId="0" fillId="3" borderId="62" xfId="0" applyNumberFormat="1" applyFont="1" applyFill="1" applyBorder="1" applyAlignment="1">
      <alignment vertical="top" wrapText="1"/>
    </xf>
    <xf numFmtId="0" fontId="0" fillId="10" borderId="82" xfId="0" applyNumberFormat="1" applyFill="1" applyBorder="1" applyAlignment="1">
      <alignment horizontal="left" vertical="top"/>
    </xf>
    <xf numFmtId="0" fontId="0" fillId="10" borderId="77" xfId="0" applyNumberFormat="1" applyFill="1" applyBorder="1" applyAlignment="1">
      <alignment horizontal="left" vertical="top"/>
    </xf>
    <xf numFmtId="0" fontId="0" fillId="10" borderId="80" xfId="0" applyNumberFormat="1" applyFill="1" applyBorder="1" applyAlignment="1">
      <alignment horizontal="left" vertical="top"/>
    </xf>
    <xf numFmtId="0" fontId="0" fillId="10" borderId="79" xfId="0" applyNumberFormat="1" applyFill="1" applyBorder="1" applyAlignment="1">
      <alignment horizontal="left" vertical="top"/>
    </xf>
    <xf numFmtId="0" fontId="0" fillId="10" borderId="111" xfId="0" applyNumberFormat="1" applyFill="1" applyBorder="1" applyAlignment="1">
      <alignment horizontal="left" vertical="top"/>
    </xf>
    <xf numFmtId="0" fontId="0" fillId="10" borderId="47" xfId="0" applyNumberFormat="1" applyFill="1" applyBorder="1" applyAlignment="1">
      <alignment horizontal="left" vertical="top"/>
    </xf>
    <xf numFmtId="0" fontId="0" fillId="10" borderId="44" xfId="0" applyNumberFormat="1" applyFill="1" applyBorder="1" applyAlignment="1">
      <alignment horizontal="left" vertical="top"/>
    </xf>
    <xf numFmtId="0" fontId="0" fillId="10" borderId="100" xfId="0" applyNumberFormat="1" applyFill="1" applyBorder="1" applyAlignment="1">
      <alignment horizontal="left" vertical="top"/>
    </xf>
    <xf numFmtId="0" fontId="1" fillId="10" borderId="59" xfId="0" applyNumberFormat="1" applyFont="1" applyFill="1" applyBorder="1" applyAlignment="1">
      <alignment horizontal="left" vertical="top"/>
    </xf>
    <xf numFmtId="0" fontId="0" fillId="10" borderId="123" xfId="0" applyNumberFormat="1" applyFill="1" applyBorder="1" applyAlignment="1">
      <alignment horizontal="left" vertical="top"/>
    </xf>
    <xf numFmtId="0" fontId="0" fillId="10" borderId="120" xfId="0" applyNumberFormat="1" applyFill="1" applyBorder="1" applyAlignment="1">
      <alignment horizontal="left" vertical="top"/>
    </xf>
    <xf numFmtId="0" fontId="0" fillId="10" borderId="177" xfId="0" applyNumberFormat="1" applyFill="1" applyBorder="1" applyAlignment="1">
      <alignment horizontal="left" vertical="top"/>
    </xf>
    <xf numFmtId="0" fontId="1" fillId="10" borderId="58" xfId="0" applyNumberFormat="1" applyFont="1" applyFill="1" applyBorder="1" applyAlignment="1">
      <alignment horizontal="left" vertical="top"/>
    </xf>
    <xf numFmtId="0" fontId="5" fillId="10" borderId="120" xfId="0" applyNumberFormat="1" applyFont="1" applyFill="1" applyBorder="1" applyAlignment="1">
      <alignment horizontal="left" vertical="top"/>
    </xf>
    <xf numFmtId="0" fontId="0" fillId="9" borderId="57" xfId="0" quotePrefix="1" applyNumberFormat="1" applyFill="1" applyBorder="1" applyAlignment="1">
      <alignment horizontal="left" vertical="top"/>
    </xf>
    <xf numFmtId="0" fontId="0" fillId="9" borderId="36" xfId="0" quotePrefix="1" applyNumberFormat="1" applyFill="1" applyBorder="1" applyAlignment="1">
      <alignment horizontal="left" vertical="top"/>
    </xf>
    <xf numFmtId="0" fontId="0" fillId="9" borderId="111" xfId="0" quotePrefix="1" applyNumberFormat="1" applyFill="1" applyBorder="1" applyAlignment="1">
      <alignment horizontal="left" vertical="top"/>
    </xf>
    <xf numFmtId="0" fontId="1" fillId="9" borderId="186" xfId="0" applyNumberFormat="1" applyFont="1" applyFill="1" applyBorder="1" applyAlignment="1">
      <alignment horizontal="left" vertical="top"/>
    </xf>
    <xf numFmtId="0" fontId="0" fillId="9" borderId="55" xfId="0" quotePrefix="1" applyNumberFormat="1" applyFill="1" applyBorder="1" applyAlignment="1">
      <alignment horizontal="left" vertical="top"/>
    </xf>
    <xf numFmtId="0" fontId="0" fillId="9" borderId="56" xfId="0" quotePrefix="1" applyNumberFormat="1" applyFill="1" applyBorder="1" applyAlignment="1">
      <alignment horizontal="left" vertical="top"/>
    </xf>
    <xf numFmtId="0" fontId="0" fillId="9" borderId="175" xfId="0" quotePrefix="1" applyNumberFormat="1" applyFill="1" applyBorder="1" applyAlignment="1">
      <alignment horizontal="left" vertical="top"/>
    </xf>
    <xf numFmtId="0" fontId="0" fillId="9" borderId="37" xfId="0" quotePrefix="1" applyNumberFormat="1" applyFill="1" applyBorder="1" applyAlignment="1">
      <alignment horizontal="left" vertical="top"/>
    </xf>
    <xf numFmtId="0" fontId="0" fillId="9" borderId="21" xfId="0" quotePrefix="1" applyNumberFormat="1" applyFill="1" applyBorder="1" applyAlignment="1">
      <alignment horizontal="left" vertical="top"/>
    </xf>
    <xf numFmtId="0" fontId="0" fillId="9" borderId="77" xfId="0" quotePrefix="1" applyNumberFormat="1" applyFill="1" applyBorder="1" applyAlignment="1">
      <alignment horizontal="left" vertical="top"/>
    </xf>
    <xf numFmtId="0" fontId="0" fillId="3" borderId="19" xfId="0" applyNumberFormat="1" applyFill="1" applyBorder="1" applyAlignment="1">
      <alignment horizontal="center" vertical="center"/>
    </xf>
    <xf numFmtId="0" fontId="0" fillId="5" borderId="12" xfId="0" applyNumberFormat="1" applyFill="1" applyBorder="1" applyAlignment="1">
      <alignment horizontal="center" vertical="center"/>
    </xf>
    <xf numFmtId="0" fontId="0" fillId="3" borderId="35" xfId="0" applyFill="1" applyBorder="1" applyAlignment="1">
      <alignment horizontal="center" vertical="center" wrapText="1"/>
    </xf>
    <xf numFmtId="0" fontId="0" fillId="9" borderId="21" xfId="0" applyFill="1" applyBorder="1" applyAlignment="1">
      <alignment horizontal="center" vertical="center" wrapText="1"/>
    </xf>
    <xf numFmtId="0" fontId="0" fillId="10" borderId="21" xfId="0" applyFill="1" applyBorder="1" applyAlignment="1">
      <alignment horizontal="center" vertical="center" wrapText="1"/>
    </xf>
    <xf numFmtId="0" fontId="0" fillId="9" borderId="22" xfId="0" applyFill="1" applyBorder="1" applyAlignment="1">
      <alignment horizontal="center" vertical="center" wrapText="1"/>
    </xf>
    <xf numFmtId="0" fontId="0" fillId="9" borderId="24" xfId="0" applyFill="1" applyBorder="1" applyAlignment="1">
      <alignment horizontal="center" vertical="center" wrapText="1"/>
    </xf>
    <xf numFmtId="14" fontId="0" fillId="5" borderId="40" xfId="0" applyNumberFormat="1" applyFill="1" applyBorder="1" applyAlignment="1">
      <alignment horizontal="center" vertical="top" wrapText="1"/>
    </xf>
    <xf numFmtId="14" fontId="0" fillId="5" borderId="22" xfId="0" applyNumberFormat="1" applyFill="1" applyBorder="1" applyAlignment="1">
      <alignment horizontal="center" vertical="top" wrapText="1"/>
    </xf>
    <xf numFmtId="14" fontId="0" fillId="5" borderId="23" xfId="0" applyNumberFormat="1" applyFill="1" applyBorder="1" applyAlignment="1">
      <alignment horizontal="center" vertical="top" wrapText="1"/>
    </xf>
    <xf numFmtId="9" fontId="0" fillId="9" borderId="37" xfId="1" applyNumberFormat="1" applyFont="1" applyFill="1" applyBorder="1" applyAlignment="1">
      <alignment horizontal="center" vertical="top" wrapText="1"/>
    </xf>
    <xf numFmtId="9" fontId="0" fillId="10" borderId="45" xfId="1" applyNumberFormat="1" applyFont="1" applyFill="1" applyBorder="1" applyAlignment="1">
      <alignment horizontal="center" vertical="top" wrapText="1"/>
    </xf>
    <xf numFmtId="1" fontId="0" fillId="9" borderId="39" xfId="1" applyNumberFormat="1" applyFont="1" applyFill="1" applyBorder="1" applyAlignment="1">
      <alignment horizontal="center" vertical="top" wrapText="1"/>
    </xf>
    <xf numFmtId="0" fontId="0" fillId="3" borderId="40" xfId="0" applyNumberFormat="1" applyFill="1" applyBorder="1" applyAlignment="1">
      <alignment horizontal="center" vertical="top" wrapText="1"/>
    </xf>
    <xf numFmtId="0" fontId="0" fillId="4" borderId="62" xfId="0" applyNumberFormat="1" applyFill="1" applyBorder="1" applyAlignment="1">
      <alignment horizontal="center" vertical="top" wrapText="1"/>
    </xf>
    <xf numFmtId="0" fontId="0" fillId="3" borderId="62" xfId="0" applyNumberFormat="1" applyFill="1" applyBorder="1" applyAlignment="1">
      <alignment horizontal="center" vertical="top" wrapText="1"/>
    </xf>
    <xf numFmtId="0" fontId="0" fillId="9" borderId="37" xfId="0" applyFill="1" applyBorder="1" applyAlignment="1">
      <alignment horizontal="center" vertical="center" wrapText="1"/>
    </xf>
    <xf numFmtId="0" fontId="0" fillId="10" borderId="37" xfId="0" applyFill="1" applyBorder="1" applyAlignment="1">
      <alignment horizontal="center" vertical="center" wrapText="1"/>
    </xf>
    <xf numFmtId="0" fontId="0" fillId="9" borderId="39" xfId="0" applyFill="1" applyBorder="1" applyAlignment="1">
      <alignment horizontal="center" vertical="center" wrapText="1"/>
    </xf>
    <xf numFmtId="20" fontId="0" fillId="5" borderId="45" xfId="1" applyNumberFormat="1" applyFont="1" applyFill="1" applyBorder="1" applyAlignment="1">
      <alignment horizontal="center" vertical="top" wrapText="1"/>
    </xf>
    <xf numFmtId="0" fontId="0" fillId="3" borderId="22" xfId="0" applyFill="1" applyBorder="1" applyAlignment="1">
      <alignment horizontal="center" vertical="top" wrapText="1"/>
    </xf>
    <xf numFmtId="0" fontId="0" fillId="4" borderId="62" xfId="0" applyFill="1" applyBorder="1" applyAlignment="1">
      <alignment horizontal="center" vertical="top" wrapText="1"/>
    </xf>
    <xf numFmtId="0" fontId="0" fillId="3" borderId="37" xfId="0" applyFill="1" applyBorder="1" applyAlignment="1">
      <alignment horizontal="center" vertical="top" wrapText="1"/>
    </xf>
    <xf numFmtId="0" fontId="0" fillId="4" borderId="21" xfId="0" applyFill="1" applyBorder="1" applyAlignment="1">
      <alignment horizontal="center" vertical="top"/>
    </xf>
    <xf numFmtId="0" fontId="0" fillId="3" borderId="62" xfId="0" applyFill="1" applyBorder="1" applyAlignment="1">
      <alignment horizontal="center" vertical="top"/>
    </xf>
    <xf numFmtId="0" fontId="0" fillId="3" borderId="62" xfId="0" applyFill="1" applyBorder="1" applyAlignment="1">
      <alignment horizontal="center" vertical="top" wrapText="1"/>
    </xf>
    <xf numFmtId="0" fontId="0" fillId="4" borderId="37" xfId="0" applyFill="1" applyBorder="1" applyAlignment="1">
      <alignment horizontal="center" vertical="top" wrapText="1"/>
    </xf>
    <xf numFmtId="0" fontId="0" fillId="3" borderId="45" xfId="0" applyFill="1" applyBorder="1" applyAlignment="1">
      <alignment horizontal="center" vertical="top" wrapText="1"/>
    </xf>
    <xf numFmtId="0" fontId="0" fillId="4" borderId="21" xfId="0" applyFill="1" applyBorder="1" applyAlignment="1">
      <alignment horizontal="center" vertical="top" wrapText="1"/>
    </xf>
    <xf numFmtId="0" fontId="0" fillId="3" borderId="47" xfId="0" applyFill="1" applyBorder="1" applyAlignment="1">
      <alignment horizontal="center" vertical="top" wrapText="1"/>
    </xf>
    <xf numFmtId="0" fontId="0" fillId="3" borderId="21" xfId="0" applyFill="1" applyBorder="1" applyAlignment="1">
      <alignment horizontal="center" vertical="top" wrapText="1"/>
    </xf>
    <xf numFmtId="0" fontId="0" fillId="9" borderId="35" xfId="0" applyFill="1" applyBorder="1" applyAlignment="1">
      <alignment horizontal="center" vertical="center" wrapText="1"/>
    </xf>
    <xf numFmtId="0" fontId="0" fillId="3" borderId="21" xfId="0" applyFill="1" applyBorder="1" applyAlignment="1">
      <alignment horizontal="center" vertical="center" wrapText="1"/>
    </xf>
    <xf numFmtId="0" fontId="0" fillId="4" borderId="21" xfId="0" applyFill="1" applyBorder="1" applyAlignment="1">
      <alignment horizontal="center" vertical="center" wrapText="1"/>
    </xf>
    <xf numFmtId="0" fontId="0" fillId="3" borderId="24" xfId="0" applyFill="1" applyBorder="1" applyAlignment="1">
      <alignment horizontal="center" vertical="center" wrapText="1"/>
    </xf>
    <xf numFmtId="0" fontId="0" fillId="3" borderId="22" xfId="0" applyFill="1" applyBorder="1" applyAlignment="1">
      <alignment horizontal="center" vertical="center" wrapText="1"/>
    </xf>
    <xf numFmtId="0" fontId="5" fillId="0" borderId="66" xfId="3" applyFont="1" applyBorder="1" applyAlignment="1">
      <alignment horizontal="left" vertical="center" wrapText="1"/>
    </xf>
    <xf numFmtId="0" fontId="5" fillId="0" borderId="26" xfId="3" applyFont="1" applyBorder="1" applyAlignment="1">
      <alignment horizontal="left" vertical="center" wrapText="1"/>
    </xf>
    <xf numFmtId="0" fontId="5" fillId="0" borderId="40" xfId="3" applyFont="1" applyBorder="1" applyAlignment="1">
      <alignment horizontal="left" vertical="center" wrapText="1"/>
    </xf>
    <xf numFmtId="0" fontId="5" fillId="0" borderId="37" xfId="3" applyFont="1" applyBorder="1" applyAlignment="1">
      <alignment horizontal="left" vertical="center" wrapText="1"/>
    </xf>
    <xf numFmtId="0" fontId="5" fillId="0" borderId="70" xfId="3" applyFont="1" applyBorder="1" applyAlignment="1">
      <alignment horizontal="left" vertical="center" wrapText="1"/>
    </xf>
    <xf numFmtId="0" fontId="5" fillId="0" borderId="22" xfId="3" applyFont="1" applyBorder="1" applyAlignment="1">
      <alignment horizontal="left" vertical="center" wrapText="1"/>
    </xf>
    <xf numFmtId="0" fontId="5" fillId="0" borderId="21" xfId="3" applyFont="1" applyBorder="1" applyAlignment="1">
      <alignment horizontal="left" vertical="center" wrapText="1"/>
    </xf>
    <xf numFmtId="0" fontId="5" fillId="0" borderId="24" xfId="3" applyFont="1" applyBorder="1" applyAlignment="1">
      <alignment horizontal="left" vertical="center" wrapText="1"/>
    </xf>
    <xf numFmtId="0" fontId="5" fillId="0" borderId="23" xfId="3" applyFont="1" applyBorder="1" applyAlignment="1">
      <alignment horizontal="left" vertical="center" wrapText="1"/>
    </xf>
    <xf numFmtId="0" fontId="5" fillId="0" borderId="27" xfId="3" applyFont="1" applyBorder="1" applyAlignment="1">
      <alignment horizontal="left" vertical="center" wrapText="1"/>
    </xf>
    <xf numFmtId="0" fontId="5" fillId="0" borderId="25" xfId="3" applyFont="1" applyBorder="1" applyAlignment="1">
      <alignment horizontal="left" vertical="center" wrapText="1"/>
    </xf>
    <xf numFmtId="0" fontId="5" fillId="0" borderId="82" xfId="3" applyFont="1" applyBorder="1" applyAlignment="1">
      <alignment horizontal="left" vertical="center" wrapText="1"/>
    </xf>
    <xf numFmtId="0" fontId="5" fillId="0" borderId="77" xfId="3" applyFont="1" applyBorder="1" applyAlignment="1">
      <alignment horizontal="left" vertical="center" wrapText="1"/>
    </xf>
    <xf numFmtId="0" fontId="5" fillId="0" borderId="95" xfId="3" applyFont="1" applyBorder="1" applyAlignment="1">
      <alignment horizontal="left" vertical="center" wrapText="1"/>
    </xf>
    <xf numFmtId="0" fontId="5" fillId="0" borderId="74" xfId="3" applyFont="1" applyBorder="1" applyAlignment="1">
      <alignment horizontal="left" vertical="center" wrapText="1"/>
    </xf>
    <xf numFmtId="0" fontId="5" fillId="0" borderId="78" xfId="3" applyFont="1" applyBorder="1" applyAlignment="1">
      <alignment horizontal="left" vertical="center" wrapText="1"/>
    </xf>
    <xf numFmtId="0" fontId="0" fillId="9" borderId="21" xfId="0" applyFill="1" applyBorder="1" applyAlignment="1">
      <alignment horizontal="center" vertical="center"/>
    </xf>
    <xf numFmtId="0" fontId="0" fillId="6" borderId="21" xfId="0" applyFill="1" applyBorder="1" applyAlignment="1">
      <alignment horizontal="left" vertical="top"/>
    </xf>
    <xf numFmtId="0" fontId="0" fillId="8" borderId="21" xfId="0" applyFill="1" applyBorder="1" applyAlignment="1">
      <alignment horizontal="left" vertical="top"/>
    </xf>
    <xf numFmtId="0" fontId="0" fillId="8" borderId="21" xfId="0" quotePrefix="1" applyFill="1" applyBorder="1" applyAlignment="1">
      <alignment horizontal="left" vertical="top" wrapText="1"/>
    </xf>
    <xf numFmtId="0" fontId="0" fillId="9" borderId="83" xfId="0" applyFill="1" applyBorder="1" applyAlignment="1">
      <alignment horizontal="center" vertical="center"/>
    </xf>
    <xf numFmtId="0" fontId="0" fillId="8" borderId="77" xfId="0" applyFill="1" applyBorder="1" applyAlignment="1">
      <alignment horizontal="left" vertical="top"/>
    </xf>
    <xf numFmtId="0" fontId="0" fillId="9" borderId="189" xfId="0" applyFill="1" applyBorder="1" applyAlignment="1">
      <alignment horizontal="center" vertical="center"/>
    </xf>
    <xf numFmtId="0" fontId="0" fillId="9" borderId="74" xfId="0" applyFill="1" applyBorder="1" applyAlignment="1">
      <alignment horizontal="center" vertical="center"/>
    </xf>
    <xf numFmtId="0" fontId="0" fillId="6" borderId="74" xfId="0" applyFill="1" applyBorder="1" applyAlignment="1">
      <alignment horizontal="left" vertical="top"/>
    </xf>
    <xf numFmtId="0" fontId="0" fillId="8" borderId="74" xfId="0" applyFill="1" applyBorder="1" applyAlignment="1">
      <alignment horizontal="left" vertical="top"/>
    </xf>
    <xf numFmtId="0" fontId="0" fillId="8" borderId="74" xfId="0" quotePrefix="1" applyFill="1" applyBorder="1" applyAlignment="1">
      <alignment horizontal="left" vertical="top" wrapText="1"/>
    </xf>
    <xf numFmtId="0" fontId="0" fillId="8" borderId="78" xfId="0" applyFill="1" applyBorder="1" applyAlignment="1">
      <alignment horizontal="left" vertical="top"/>
    </xf>
    <xf numFmtId="0" fontId="0" fillId="9" borderId="71" xfId="0" applyFill="1" applyBorder="1" applyAlignment="1">
      <alignment horizontal="center" vertical="center"/>
    </xf>
    <xf numFmtId="0" fontId="0" fillId="9" borderId="190" xfId="0" applyFill="1" applyBorder="1" applyAlignment="1">
      <alignment horizontal="center" vertical="center"/>
    </xf>
    <xf numFmtId="0" fontId="0" fillId="6" borderId="26" xfId="0" applyFill="1" applyBorder="1" applyAlignment="1">
      <alignment horizontal="left" vertical="top"/>
    </xf>
    <xf numFmtId="0" fontId="0" fillId="6" borderId="192" xfId="0" applyFill="1" applyBorder="1" applyAlignment="1">
      <alignment horizontal="left" vertical="top"/>
    </xf>
    <xf numFmtId="0" fontId="0" fillId="6" borderId="71" xfId="0" applyFill="1" applyBorder="1" applyAlignment="1">
      <alignment horizontal="left" vertical="top"/>
    </xf>
    <xf numFmtId="0" fontId="0" fillId="6" borderId="190" xfId="0" applyFill="1" applyBorder="1" applyAlignment="1">
      <alignment horizontal="left" vertical="top"/>
    </xf>
    <xf numFmtId="0" fontId="0" fillId="8" borderId="26" xfId="0" applyFill="1" applyBorder="1" applyAlignment="1">
      <alignment horizontal="left" vertical="top"/>
    </xf>
    <xf numFmtId="0" fontId="0" fillId="8" borderId="192" xfId="0" applyFill="1" applyBorder="1" applyAlignment="1">
      <alignment horizontal="left" vertical="top"/>
    </xf>
    <xf numFmtId="0" fontId="0" fillId="5" borderId="91" xfId="0" applyFill="1" applyBorder="1" applyAlignment="1">
      <alignment horizontal="center" vertical="center"/>
    </xf>
    <xf numFmtId="0" fontId="0" fillId="5" borderId="92" xfId="0" applyFill="1" applyBorder="1" applyAlignment="1">
      <alignment horizontal="center" vertical="center"/>
    </xf>
    <xf numFmtId="0" fontId="0" fillId="5" borderId="97" xfId="0" applyFill="1" applyBorder="1" applyAlignment="1">
      <alignment horizontal="center" vertical="center"/>
    </xf>
    <xf numFmtId="0" fontId="0" fillId="5" borderId="191" xfId="0" applyFill="1" applyBorder="1" applyAlignment="1">
      <alignment horizontal="left" vertical="top"/>
    </xf>
    <xf numFmtId="0" fontId="0" fillId="5" borderId="92" xfId="0" applyFill="1" applyBorder="1" applyAlignment="1">
      <alignment horizontal="left" vertical="top"/>
    </xf>
    <xf numFmtId="0" fontId="0" fillId="5" borderId="97" xfId="0" applyFill="1" applyBorder="1" applyAlignment="1">
      <alignment horizontal="left" vertical="top"/>
    </xf>
    <xf numFmtId="0" fontId="0" fillId="5" borderId="92" xfId="0" applyFill="1" applyBorder="1" applyAlignment="1">
      <alignment horizontal="left" vertical="top" wrapText="1"/>
    </xf>
    <xf numFmtId="0" fontId="0" fillId="5" borderId="93" xfId="0" applyFill="1" applyBorder="1" applyAlignment="1">
      <alignment horizontal="left" vertical="top"/>
    </xf>
    <xf numFmtId="1" fontId="0" fillId="3" borderId="82" xfId="0" quotePrefix="1" applyNumberFormat="1" applyFill="1" applyBorder="1" applyAlignment="1">
      <alignment horizontal="center" vertical="center" wrapText="1"/>
    </xf>
    <xf numFmtId="1" fontId="0" fillId="3" borderId="77" xfId="0" quotePrefix="1" applyNumberFormat="1" applyFill="1" applyBorder="1" applyAlignment="1">
      <alignment horizontal="center" vertical="center" wrapText="1"/>
    </xf>
    <xf numFmtId="1" fontId="0" fillId="4" borderId="77" xfId="0" quotePrefix="1" applyNumberFormat="1" applyFill="1" applyBorder="1" applyAlignment="1">
      <alignment horizontal="center" vertical="center" wrapText="1"/>
    </xf>
    <xf numFmtId="1" fontId="0" fillId="3" borderId="79" xfId="0" quotePrefix="1" applyNumberFormat="1" applyFill="1" applyBorder="1" applyAlignment="1">
      <alignment horizontal="center" vertical="center" wrapText="1"/>
    </xf>
    <xf numFmtId="1" fontId="0" fillId="4" borderId="79" xfId="0" quotePrefix="1" applyNumberFormat="1" applyFill="1" applyBorder="1" applyAlignment="1">
      <alignment horizontal="center" vertical="center" wrapText="1"/>
    </xf>
    <xf numFmtId="0" fontId="0" fillId="4" borderId="193" xfId="0" applyFill="1" applyBorder="1" applyAlignment="1">
      <alignment horizontal="center" vertical="center" wrapText="1"/>
    </xf>
    <xf numFmtId="1" fontId="0" fillId="4" borderId="95" xfId="0" quotePrefix="1" applyNumberFormat="1" applyFill="1" applyBorder="1" applyAlignment="1">
      <alignment horizontal="center" vertical="center" wrapText="1"/>
    </xf>
    <xf numFmtId="1" fontId="0" fillId="4" borderId="74" xfId="0" quotePrefix="1" applyNumberFormat="1" applyFill="1" applyBorder="1" applyAlignment="1">
      <alignment horizontal="center" vertical="center" wrapText="1"/>
    </xf>
    <xf numFmtId="1" fontId="0" fillId="4" borderId="78" xfId="0" quotePrefix="1" applyNumberFormat="1" applyFill="1" applyBorder="1" applyAlignment="1">
      <alignment horizontal="center" vertical="center" wrapText="1"/>
    </xf>
    <xf numFmtId="1" fontId="0" fillId="4" borderId="80" xfId="0" quotePrefix="1" applyNumberFormat="1" applyFill="1" applyBorder="1" applyAlignment="1">
      <alignment horizontal="center" vertical="center" wrapText="1"/>
    </xf>
    <xf numFmtId="0" fontId="0" fillId="8" borderId="21" xfId="0" applyNumberFormat="1" applyFill="1" applyBorder="1" applyAlignment="1">
      <alignment horizontal="left" vertical="top"/>
    </xf>
    <xf numFmtId="0" fontId="0" fillId="8" borderId="74" xfId="0" applyNumberFormat="1" applyFill="1" applyBorder="1" applyAlignment="1">
      <alignment horizontal="left" vertical="top"/>
    </xf>
    <xf numFmtId="0" fontId="1" fillId="9" borderId="4" xfId="0" applyNumberFormat="1" applyFont="1" applyFill="1" applyBorder="1" applyAlignment="1">
      <alignment horizontal="center" vertical="center"/>
    </xf>
    <xf numFmtId="0" fontId="0" fillId="3" borderId="35" xfId="0" applyFill="1" applyBorder="1" applyAlignment="1">
      <alignment horizontal="center" vertical="center" wrapText="1"/>
    </xf>
    <xf numFmtId="0" fontId="0" fillId="2" borderId="20" xfId="0" applyFill="1" applyBorder="1" applyAlignment="1">
      <alignment horizontal="center" vertical="center"/>
    </xf>
    <xf numFmtId="0" fontId="0" fillId="0" borderId="4" xfId="0" applyBorder="1"/>
    <xf numFmtId="2" fontId="0" fillId="2" borderId="30" xfId="0" applyNumberFormat="1" applyFill="1" applyBorder="1" applyAlignment="1">
      <alignment horizontal="center" vertical="center"/>
    </xf>
    <xf numFmtId="0" fontId="0" fillId="0" borderId="12" xfId="0" applyBorder="1"/>
    <xf numFmtId="14" fontId="0" fillId="0" borderId="0" xfId="0" applyNumberFormat="1" applyAlignment="1">
      <alignment textRotation="90"/>
    </xf>
    <xf numFmtId="1" fontId="14" fillId="0" borderId="0" xfId="0" applyNumberFormat="1" applyFont="1" applyAlignment="1">
      <alignment horizontal="center" vertical="center"/>
    </xf>
    <xf numFmtId="1" fontId="0" fillId="0" borderId="0" xfId="0" quotePrefix="1" applyNumberFormat="1" applyAlignment="1">
      <alignment horizontal="center" vertical="center"/>
    </xf>
    <xf numFmtId="1" fontId="0" fillId="0" borderId="0" xfId="0" applyNumberFormat="1" applyAlignment="1">
      <alignment horizontal="center" vertical="center"/>
    </xf>
    <xf numFmtId="1" fontId="13" fillId="0" borderId="0" xfId="0" applyNumberFormat="1" applyFont="1" applyAlignment="1">
      <alignment horizontal="center" vertical="center"/>
    </xf>
    <xf numFmtId="0" fontId="0" fillId="2" borderId="28" xfId="0" applyFill="1" applyBorder="1" applyAlignment="1">
      <alignment horizontal="center" vertical="center"/>
    </xf>
    <xf numFmtId="0" fontId="0" fillId="0" borderId="19" xfId="0" applyBorder="1"/>
    <xf numFmtId="0" fontId="0" fillId="0" borderId="107" xfId="0" applyBorder="1" applyAlignment="1">
      <alignment horizontal="center"/>
    </xf>
    <xf numFmtId="0" fontId="0" fillId="0" borderId="53" xfId="0" applyBorder="1"/>
    <xf numFmtId="2" fontId="0" fillId="7" borderId="31" xfId="0" applyNumberFormat="1" applyFill="1" applyBorder="1" applyAlignment="1">
      <alignment horizontal="center"/>
    </xf>
    <xf numFmtId="2" fontId="0" fillId="2" borderId="19" xfId="0" applyNumberFormat="1" applyFill="1" applyBorder="1" applyAlignment="1">
      <alignment horizontal="center"/>
    </xf>
    <xf numFmtId="2" fontId="0" fillId="2" borderId="7" xfId="0" applyNumberFormat="1" applyFill="1" applyBorder="1" applyAlignment="1">
      <alignment horizontal="center"/>
    </xf>
    <xf numFmtId="0" fontId="0" fillId="2" borderId="86" xfId="0" applyFill="1" applyBorder="1" applyAlignment="1">
      <alignment horizontal="center"/>
    </xf>
    <xf numFmtId="2" fontId="0" fillId="2" borderId="29" xfId="0" applyNumberFormat="1" applyFill="1" applyBorder="1" applyAlignment="1">
      <alignment horizontal="center"/>
    </xf>
    <xf numFmtId="2" fontId="0" fillId="2" borderId="114" xfId="0" applyNumberFormat="1" applyFill="1" applyBorder="1" applyAlignment="1">
      <alignment horizontal="center"/>
    </xf>
    <xf numFmtId="0" fontId="0" fillId="7" borderId="90" xfId="0" applyFill="1" applyBorder="1" applyAlignment="1">
      <alignment horizontal="center"/>
    </xf>
    <xf numFmtId="0" fontId="0" fillId="0" borderId="51" xfId="0" applyBorder="1" applyAlignment="1">
      <alignment horizontal="center"/>
    </xf>
    <xf numFmtId="0" fontId="0" fillId="12" borderId="120" xfId="0" applyFill="1" applyBorder="1" applyAlignment="1">
      <alignment horizontal="center"/>
    </xf>
    <xf numFmtId="0" fontId="15" fillId="0" borderId="0" xfId="0" applyFont="1" applyFill="1" applyBorder="1" applyAlignment="1">
      <alignment horizontal="center" vertical="center" wrapText="1"/>
    </xf>
    <xf numFmtId="0" fontId="15" fillId="0" borderId="0" xfId="0" applyFont="1" applyFill="1" applyBorder="1"/>
    <xf numFmtId="0" fontId="15" fillId="0" borderId="0" xfId="0" applyFont="1" applyFill="1" applyBorder="1" applyAlignment="1">
      <alignment vertical="top" wrapText="1"/>
    </xf>
    <xf numFmtId="0" fontId="15" fillId="0" borderId="196" xfId="0" applyFont="1" applyFill="1" applyBorder="1" applyAlignment="1">
      <alignment horizontal="left"/>
    </xf>
    <xf numFmtId="0" fontId="15" fillId="0" borderId="200" xfId="0" applyFont="1" applyFill="1" applyBorder="1" applyAlignment="1">
      <alignment horizontal="left"/>
    </xf>
    <xf numFmtId="0" fontId="15" fillId="0" borderId="203" xfId="0" applyFont="1" applyFill="1" applyBorder="1" applyAlignment="1">
      <alignment vertical="top" wrapText="1"/>
    </xf>
    <xf numFmtId="0" fontId="15" fillId="0" borderId="203" xfId="0" applyFont="1" applyFill="1" applyBorder="1" applyAlignment="1">
      <alignment horizontal="center" vertical="top" wrapText="1"/>
    </xf>
    <xf numFmtId="0" fontId="15" fillId="0" borderId="203" xfId="0" quotePrefix="1" applyFont="1" applyFill="1" applyBorder="1" applyAlignment="1">
      <alignment horizontal="center" vertical="center" wrapText="1"/>
    </xf>
    <xf numFmtId="0" fontId="15" fillId="0" borderId="203" xfId="0" applyFont="1" applyFill="1" applyBorder="1" applyAlignment="1">
      <alignment vertical="center" wrapText="1"/>
    </xf>
    <xf numFmtId="0" fontId="15" fillId="0" borderId="203" xfId="0" applyFont="1" applyFill="1" applyBorder="1" applyAlignment="1">
      <alignment horizontal="center" vertical="center" wrapText="1"/>
    </xf>
    <xf numFmtId="0" fontId="15" fillId="0" borderId="203" xfId="0" applyFont="1" applyFill="1" applyBorder="1"/>
    <xf numFmtId="0" fontId="15" fillId="0" borderId="203" xfId="0" applyFont="1" applyFill="1" applyBorder="1" applyAlignment="1">
      <alignment horizontal="center"/>
    </xf>
    <xf numFmtId="0" fontId="15" fillId="0" borderId="0" xfId="0" applyFont="1" applyFill="1" applyBorder="1" applyAlignment="1">
      <alignment horizontal="center"/>
    </xf>
    <xf numFmtId="0" fontId="15" fillId="0" borderId="0" xfId="0" applyFont="1" applyFill="1" applyBorder="1" applyAlignment="1">
      <alignment horizontal="left"/>
    </xf>
    <xf numFmtId="14" fontId="15" fillId="0" borderId="0" xfId="0" applyNumberFormat="1" applyFont="1" applyFill="1" applyBorder="1" applyAlignment="1">
      <alignment horizontal="center" vertical="top"/>
    </xf>
    <xf numFmtId="0" fontId="15" fillId="0" borderId="203" xfId="0" applyFont="1" applyFill="1" applyBorder="1" applyAlignment="1">
      <alignment horizontal="left"/>
    </xf>
    <xf numFmtId="14" fontId="15" fillId="0" borderId="203" xfId="0" applyNumberFormat="1" applyFont="1" applyFill="1" applyBorder="1" applyAlignment="1">
      <alignment horizontal="center" vertical="top"/>
    </xf>
    <xf numFmtId="1" fontId="15" fillId="32" borderId="197" xfId="0" applyNumberFormat="1" applyFont="1" applyFill="1" applyBorder="1" applyAlignment="1">
      <alignment horizontal="center" vertical="top"/>
    </xf>
    <xf numFmtId="1" fontId="15" fillId="32" borderId="198" xfId="0" applyNumberFormat="1" applyFont="1" applyFill="1" applyBorder="1" applyAlignment="1">
      <alignment horizontal="center" vertical="top"/>
    </xf>
    <xf numFmtId="14" fontId="15" fillId="32" borderId="199" xfId="0" applyNumberFormat="1" applyFont="1" applyFill="1" applyBorder="1" applyAlignment="1">
      <alignment horizontal="center" vertical="top"/>
    </xf>
    <xf numFmtId="14" fontId="15" fillId="32" borderId="201" xfId="0" applyNumberFormat="1" applyFont="1" applyFill="1" applyBorder="1" applyAlignment="1">
      <alignment horizontal="center" vertical="top"/>
    </xf>
    <xf numFmtId="0" fontId="15" fillId="0" borderId="196" xfId="0" applyFont="1" applyFill="1" applyBorder="1"/>
    <xf numFmtId="172" fontId="15" fillId="32" borderId="198" xfId="0" applyNumberFormat="1" applyFont="1" applyFill="1" applyBorder="1" applyAlignment="1">
      <alignment horizontal="center"/>
    </xf>
    <xf numFmtId="21" fontId="15" fillId="32" borderId="199" xfId="0" applyNumberFormat="1" applyFont="1" applyFill="1" applyBorder="1" applyAlignment="1">
      <alignment horizontal="center"/>
    </xf>
    <xf numFmtId="0" fontId="15" fillId="0" borderId="198" xfId="0" applyNumberFormat="1" applyFont="1" applyFill="1" applyBorder="1" applyAlignment="1">
      <alignment horizontal="center"/>
    </xf>
    <xf numFmtId="165" fontId="15" fillId="0" borderId="0" xfId="0" applyNumberFormat="1" applyFont="1" applyFill="1" applyBorder="1" applyAlignment="1">
      <alignment horizontal="center"/>
    </xf>
    <xf numFmtId="20" fontId="15" fillId="32" borderId="197" xfId="0" applyNumberFormat="1" applyFont="1" applyFill="1" applyBorder="1" applyAlignment="1">
      <alignment horizontal="center"/>
    </xf>
    <xf numFmtId="0" fontId="15" fillId="0" borderId="200" xfId="0" applyFont="1" applyFill="1" applyBorder="1"/>
    <xf numFmtId="9" fontId="15" fillId="32" borderId="201" xfId="0" applyNumberFormat="1" applyFont="1" applyFill="1" applyBorder="1" applyAlignment="1">
      <alignment horizontal="center"/>
    </xf>
    <xf numFmtId="1" fontId="15" fillId="0" borderId="0" xfId="0" applyNumberFormat="1" applyFont="1" applyFill="1" applyBorder="1" applyAlignment="1">
      <alignment horizontal="center"/>
    </xf>
    <xf numFmtId="1" fontId="15" fillId="0" borderId="203" xfId="0" applyNumberFormat="1" applyFont="1" applyFill="1" applyBorder="1" applyAlignment="1">
      <alignment horizontal="center"/>
    </xf>
    <xf numFmtId="0" fontId="15" fillId="32" borderId="198" xfId="0" applyNumberFormat="1" applyFont="1" applyFill="1" applyBorder="1" applyAlignment="1">
      <alignment horizontal="center"/>
    </xf>
    <xf numFmtId="0" fontId="15" fillId="32" borderId="202" xfId="0" applyNumberFormat="1" applyFont="1" applyFill="1" applyBorder="1" applyAlignment="1">
      <alignment horizontal="center"/>
    </xf>
    <xf numFmtId="1" fontId="15" fillId="32" borderId="198" xfId="0" applyNumberFormat="1" applyFont="1" applyFill="1" applyBorder="1" applyAlignment="1">
      <alignment horizontal="center"/>
    </xf>
    <xf numFmtId="0" fontId="15" fillId="0" borderId="198" xfId="0" applyFont="1" applyFill="1" applyBorder="1"/>
    <xf numFmtId="171" fontId="15" fillId="32" borderId="201" xfId="0" applyNumberFormat="1" applyFont="1" applyFill="1" applyBorder="1" applyAlignment="1">
      <alignment horizontal="center"/>
    </xf>
    <xf numFmtId="182" fontId="15" fillId="0" borderId="0" xfId="0" applyNumberFormat="1" applyFont="1" applyFill="1" applyBorder="1"/>
    <xf numFmtId="1" fontId="15" fillId="0" borderId="0" xfId="0" applyNumberFormat="1" applyFont="1" applyFill="1" applyBorder="1"/>
    <xf numFmtId="171" fontId="15" fillId="0" borderId="0" xfId="0" applyNumberFormat="1" applyFont="1" applyFill="1" applyBorder="1"/>
    <xf numFmtId="14" fontId="0" fillId="32" borderId="94" xfId="0" applyNumberFormat="1" applyFill="1" applyBorder="1" applyAlignment="1">
      <alignment horizontal="center" vertical="top" wrapText="1"/>
    </xf>
    <xf numFmtId="14" fontId="0" fillId="32" borderId="92" xfId="0" applyNumberFormat="1" applyFill="1" applyBorder="1" applyAlignment="1">
      <alignment horizontal="center" vertical="top" wrapText="1"/>
    </xf>
    <xf numFmtId="14" fontId="0" fillId="32" borderId="93" xfId="0" applyNumberFormat="1" applyFill="1" applyBorder="1" applyAlignment="1">
      <alignment horizontal="center" vertical="top" wrapText="1"/>
    </xf>
    <xf numFmtId="0" fontId="0" fillId="32" borderId="62" xfId="0" applyFill="1" applyBorder="1" applyAlignment="1">
      <alignment horizontal="center" vertical="top" wrapText="1"/>
    </xf>
    <xf numFmtId="0" fontId="0" fillId="32" borderId="35" xfId="0" applyFill="1" applyBorder="1" applyAlignment="1">
      <alignment horizontal="center" vertical="top" wrapText="1"/>
    </xf>
    <xf numFmtId="0" fontId="0" fillId="32" borderId="28" xfId="0" applyFill="1" applyBorder="1" applyAlignment="1">
      <alignment horizontal="center" vertical="top" wrapText="1"/>
    </xf>
    <xf numFmtId="0" fontId="0" fillId="32" borderId="39" xfId="0" applyNumberFormat="1" applyFill="1" applyBorder="1" applyAlignment="1">
      <alignment horizontal="center" vertical="top"/>
    </xf>
    <xf numFmtId="0" fontId="0" fillId="32" borderId="24" xfId="0" applyNumberFormat="1" applyFill="1" applyBorder="1" applyAlignment="1">
      <alignment horizontal="center" vertical="top"/>
    </xf>
    <xf numFmtId="0" fontId="0" fillId="32" borderId="80" xfId="0" applyNumberFormat="1" applyFill="1" applyBorder="1" applyAlignment="1">
      <alignment horizontal="center" vertical="top"/>
    </xf>
    <xf numFmtId="0" fontId="0" fillId="32" borderId="131" xfId="0" applyNumberFormat="1" applyFill="1" applyBorder="1" applyAlignment="1">
      <alignment vertical="center" textRotation="90" wrapText="1"/>
    </xf>
    <xf numFmtId="9" fontId="0" fillId="32" borderId="40" xfId="1" applyNumberFormat="1" applyFont="1" applyFill="1" applyBorder="1" applyAlignment="1">
      <alignment horizontal="center" vertical="top" wrapText="1"/>
    </xf>
    <xf numFmtId="9" fontId="0" fillId="32" borderId="22" xfId="1" applyNumberFormat="1" applyFont="1" applyFill="1" applyBorder="1" applyAlignment="1">
      <alignment horizontal="center" vertical="top" wrapText="1"/>
    </xf>
    <xf numFmtId="9" fontId="0" fillId="32" borderId="32" xfId="1" applyNumberFormat="1" applyFont="1" applyFill="1" applyBorder="1" applyAlignment="1">
      <alignment horizontal="center" vertical="top" wrapText="1"/>
    </xf>
    <xf numFmtId="0" fontId="0" fillId="32" borderId="96" xfId="0" applyNumberFormat="1" applyFill="1" applyBorder="1" applyAlignment="1">
      <alignment vertical="center" textRotation="90" wrapText="1"/>
    </xf>
    <xf numFmtId="20" fontId="0" fillId="32" borderId="45" xfId="1" applyNumberFormat="1" applyFont="1" applyFill="1" applyBorder="1" applyAlignment="1">
      <alignment horizontal="center" vertical="top" wrapText="1"/>
    </xf>
    <xf numFmtId="20" fontId="0" fillId="32" borderId="38" xfId="1" applyNumberFormat="1" applyFont="1" applyFill="1" applyBorder="1" applyAlignment="1">
      <alignment horizontal="center" vertical="top" wrapText="1"/>
    </xf>
    <xf numFmtId="20" fontId="0" fillId="32" borderId="5" xfId="1" applyNumberFormat="1" applyFont="1" applyFill="1" applyBorder="1" applyAlignment="1">
      <alignment horizontal="center" vertical="top" wrapText="1"/>
    </xf>
    <xf numFmtId="0" fontId="0" fillId="32" borderId="55" xfId="0" applyNumberFormat="1" applyFill="1" applyBorder="1" applyAlignment="1">
      <alignment horizontal="center" vertical="center"/>
    </xf>
    <xf numFmtId="0" fontId="0" fillId="32" borderId="187" xfId="0" applyNumberFormat="1" applyFill="1" applyBorder="1" applyAlignment="1">
      <alignment horizontal="center" vertical="center"/>
    </xf>
    <xf numFmtId="0" fontId="0" fillId="32" borderId="188" xfId="0" applyNumberFormat="1" applyFill="1" applyBorder="1" applyAlignment="1">
      <alignment horizontal="center" vertical="center"/>
    </xf>
    <xf numFmtId="0" fontId="0" fillId="32" borderId="47" xfId="0" applyNumberFormat="1" applyFill="1" applyBorder="1" applyAlignment="1">
      <alignment horizontal="center" vertical="center"/>
    </xf>
    <xf numFmtId="0" fontId="0" fillId="32" borderId="95" xfId="0" applyNumberFormat="1" applyFill="1" applyBorder="1" applyAlignment="1">
      <alignment horizontal="center" vertical="center"/>
    </xf>
    <xf numFmtId="0" fontId="0" fillId="33" borderId="188" xfId="0" applyNumberFormat="1" applyFill="1" applyBorder="1" applyAlignment="1">
      <alignment horizontal="center" vertical="center"/>
    </xf>
    <xf numFmtId="0" fontId="0" fillId="33" borderId="187" xfId="0" applyNumberFormat="1" applyFill="1" applyBorder="1" applyAlignment="1">
      <alignment horizontal="center" vertical="center"/>
    </xf>
    <xf numFmtId="176" fontId="18" fillId="33" borderId="30" xfId="0" applyNumberFormat="1" applyFont="1" applyFill="1" applyBorder="1" applyAlignment="1">
      <alignment vertical="center" wrapText="1"/>
    </xf>
    <xf numFmtId="175" fontId="18" fillId="33" borderId="50" xfId="0" applyNumberFormat="1" applyFont="1" applyFill="1" applyBorder="1" applyAlignment="1">
      <alignment horizontal="left" vertical="center" wrapText="1"/>
    </xf>
    <xf numFmtId="176" fontId="18" fillId="33" borderId="69" xfId="0" applyNumberFormat="1" applyFont="1" applyFill="1" applyBorder="1" applyAlignment="1">
      <alignment vertical="center" wrapText="1"/>
    </xf>
    <xf numFmtId="175" fontId="18" fillId="33" borderId="68" xfId="0" applyNumberFormat="1" applyFont="1" applyFill="1" applyBorder="1" applyAlignment="1">
      <alignment horizontal="left" vertical="center" wrapText="1"/>
    </xf>
    <xf numFmtId="0" fontId="0" fillId="3" borderId="35" xfId="0" applyFill="1" applyBorder="1" applyAlignment="1">
      <alignment horizontal="center" vertical="center" wrapText="1"/>
    </xf>
    <xf numFmtId="0" fontId="15" fillId="34" borderId="16" xfId="0" applyFont="1" applyFill="1" applyBorder="1" applyAlignment="1">
      <alignment horizontal="right" vertical="center"/>
    </xf>
    <xf numFmtId="0" fontId="21" fillId="34" borderId="14" xfId="0" applyNumberFormat="1" applyFont="1" applyFill="1" applyBorder="1" applyAlignment="1">
      <alignment horizontal="left" vertical="center"/>
    </xf>
    <xf numFmtId="183" fontId="1" fillId="7" borderId="39" xfId="0" applyNumberFormat="1" applyFont="1" applyFill="1" applyBorder="1" applyAlignment="1">
      <alignment horizontal="center" vertical="top" wrapText="1"/>
    </xf>
    <xf numFmtId="183" fontId="1" fillId="7" borderId="24" xfId="0" applyNumberFormat="1" applyFont="1" applyFill="1" applyBorder="1" applyAlignment="1">
      <alignment horizontal="center" vertical="top" wrapText="1"/>
    </xf>
    <xf numFmtId="1" fontId="0" fillId="9" borderId="27" xfId="0" quotePrefix="1" applyNumberFormat="1" applyFill="1" applyBorder="1" applyAlignment="1">
      <alignment horizontal="center" vertical="center" wrapText="1"/>
    </xf>
    <xf numFmtId="1" fontId="0" fillId="10" borderId="27" xfId="0" quotePrefix="1" applyNumberFormat="1" applyFill="1" applyBorder="1" applyAlignment="1">
      <alignment horizontal="center" vertical="center" wrapText="1"/>
    </xf>
    <xf numFmtId="1" fontId="0" fillId="9" borderId="59" xfId="0" quotePrefix="1" applyNumberFormat="1" applyFill="1" applyBorder="1" applyAlignment="1">
      <alignment horizontal="center" vertical="center" wrapText="1"/>
    </xf>
    <xf numFmtId="0" fontId="0" fillId="9" borderId="62" xfId="0" applyFill="1" applyBorder="1" applyAlignment="1">
      <alignment horizontal="center" vertical="center" wrapText="1"/>
    </xf>
    <xf numFmtId="0" fontId="1" fillId="10" borderId="4" xfId="0" applyNumberFormat="1" applyFont="1" applyFill="1" applyBorder="1" applyAlignment="1">
      <alignment horizontal="center" vertical="center"/>
    </xf>
    <xf numFmtId="0" fontId="0" fillId="9" borderId="48" xfId="0" applyFill="1" applyBorder="1" applyAlignment="1">
      <alignment horizontal="center" vertical="center" textRotation="90" wrapText="1"/>
    </xf>
    <xf numFmtId="0" fontId="0" fillId="9" borderId="65" xfId="0" applyFill="1" applyBorder="1" applyAlignment="1">
      <alignment horizontal="center" vertical="center" textRotation="90" wrapText="1"/>
    </xf>
    <xf numFmtId="0" fontId="0" fillId="3" borderId="35" xfId="0" applyFill="1" applyBorder="1" applyAlignment="1">
      <alignment horizontal="center" vertical="center" wrapText="1"/>
    </xf>
    <xf numFmtId="0" fontId="0" fillId="9" borderId="123" xfId="0" applyNumberFormat="1" applyFill="1" applyBorder="1" applyAlignment="1">
      <alignment horizontal="left" vertical="top"/>
    </xf>
    <xf numFmtId="0" fontId="0" fillId="9" borderId="120" xfId="0" applyNumberFormat="1" applyFill="1" applyBorder="1" applyAlignment="1">
      <alignment horizontal="left" vertical="top"/>
    </xf>
    <xf numFmtId="0" fontId="0" fillId="9" borderId="177" xfId="0" applyNumberFormat="1" applyFill="1" applyBorder="1" applyAlignment="1">
      <alignment horizontal="left" vertical="top"/>
    </xf>
    <xf numFmtId="0" fontId="0" fillId="0" borderId="0" xfId="0" applyFont="1" applyFill="1" applyBorder="1" applyAlignment="1">
      <alignment vertical="center"/>
    </xf>
    <xf numFmtId="0" fontId="0" fillId="0" borderId="0" xfId="0" applyFont="1" applyFill="1" applyBorder="1" applyAlignment="1"/>
    <xf numFmtId="0" fontId="6" fillId="0" borderId="178" xfId="0" applyFont="1" applyFill="1" applyBorder="1" applyAlignment="1">
      <alignment horizontal="center"/>
    </xf>
    <xf numFmtId="0" fontId="0" fillId="0" borderId="205" xfId="0" applyNumberFormat="1" applyFont="1" applyBorder="1" applyAlignment="1">
      <alignment horizontal="center" wrapText="1"/>
    </xf>
    <xf numFmtId="0" fontId="0" fillId="9" borderId="206" xfId="0" applyNumberFormat="1" applyFont="1" applyFill="1" applyBorder="1" applyAlignment="1">
      <alignment horizontal="center" wrapText="1"/>
    </xf>
    <xf numFmtId="0" fontId="0" fillId="10" borderId="207" xfId="0" applyNumberFormat="1" applyFont="1" applyFill="1" applyBorder="1" applyAlignment="1">
      <alignment horizontal="center" wrapText="1"/>
    </xf>
    <xf numFmtId="14" fontId="0" fillId="9" borderId="181" xfId="0" applyNumberFormat="1" applyFont="1" applyFill="1" applyBorder="1" applyAlignment="1">
      <alignment horizontal="center" wrapText="1"/>
    </xf>
    <xf numFmtId="14" fontId="0" fillId="10" borderId="208" xfId="0" applyNumberFormat="1" applyFont="1" applyFill="1" applyBorder="1" applyAlignment="1">
      <alignment horizontal="center" wrapText="1"/>
    </xf>
    <xf numFmtId="0" fontId="0" fillId="9" borderId="209" xfId="0" applyNumberFormat="1" applyFont="1" applyFill="1" applyBorder="1" applyAlignment="1">
      <alignment horizontal="center"/>
    </xf>
    <xf numFmtId="0" fontId="0" fillId="9" borderId="181" xfId="0" applyNumberFormat="1" applyFont="1" applyFill="1" applyBorder="1" applyAlignment="1">
      <alignment horizontal="center" wrapText="1"/>
    </xf>
    <xf numFmtId="0" fontId="0" fillId="10" borderId="208" xfId="0" applyNumberFormat="1" applyFont="1" applyFill="1" applyBorder="1" applyAlignment="1">
      <alignment horizontal="center" wrapText="1"/>
    </xf>
    <xf numFmtId="0" fontId="10" fillId="0" borderId="0" xfId="0" quotePrefix="1" applyFont="1"/>
    <xf numFmtId="0" fontId="5" fillId="9" borderId="207" xfId="0" applyNumberFormat="1" applyFont="1" applyFill="1" applyBorder="1" applyAlignment="1">
      <alignment horizontal="center" wrapText="1"/>
    </xf>
    <xf numFmtId="0" fontId="0" fillId="4" borderId="44" xfId="0" applyFill="1" applyBorder="1" applyAlignment="1">
      <alignment horizontal="center" vertical="top" wrapText="1"/>
    </xf>
    <xf numFmtId="0" fontId="5" fillId="2" borderId="210" xfId="0" applyFont="1" applyFill="1" applyBorder="1"/>
    <xf numFmtId="0" fontId="5" fillId="2" borderId="211" xfId="1" applyNumberFormat="1" applyFont="1" applyFill="1" applyBorder="1" applyAlignment="1">
      <alignment horizontal="center"/>
    </xf>
    <xf numFmtId="0" fontId="5" fillId="2" borderId="212" xfId="1" applyNumberFormat="1" applyFont="1" applyFill="1" applyBorder="1" applyAlignment="1">
      <alignment horizontal="center"/>
    </xf>
    <xf numFmtId="0" fontId="5" fillId="7" borderId="210" xfId="0" applyFont="1" applyFill="1" applyBorder="1"/>
    <xf numFmtId="0" fontId="5" fillId="7" borderId="211" xfId="1" applyNumberFormat="1" applyFont="1" applyFill="1" applyBorder="1" applyAlignment="1">
      <alignment horizontal="center"/>
    </xf>
    <xf numFmtId="0" fontId="5" fillId="7" borderId="212" xfId="1" applyNumberFormat="1" applyFont="1" applyFill="1" applyBorder="1" applyAlignment="1">
      <alignment horizontal="center"/>
    </xf>
    <xf numFmtId="0" fontId="0" fillId="7" borderId="155" xfId="0" quotePrefix="1" applyFill="1" applyBorder="1"/>
    <xf numFmtId="0" fontId="0" fillId="2" borderId="116" xfId="0" quotePrefix="1" applyFill="1" applyBorder="1"/>
    <xf numFmtId="0" fontId="0" fillId="7" borderId="116" xfId="0" quotePrefix="1" applyFill="1" applyBorder="1"/>
    <xf numFmtId="0" fontId="0" fillId="2" borderId="145" xfId="0" quotePrefix="1" applyFill="1" applyBorder="1"/>
    <xf numFmtId="0" fontId="0" fillId="7" borderId="145" xfId="0" quotePrefix="1" applyFill="1" applyBorder="1"/>
    <xf numFmtId="0" fontId="0" fillId="7" borderId="145" xfId="0" quotePrefix="1" applyFont="1" applyFill="1" applyBorder="1"/>
    <xf numFmtId="0" fontId="0" fillId="2" borderId="145" xfId="0" quotePrefix="1" applyFont="1" applyFill="1" applyBorder="1"/>
    <xf numFmtId="0" fontId="0" fillId="7" borderId="166" xfId="0" quotePrefix="1" applyFont="1" applyFill="1" applyBorder="1"/>
    <xf numFmtId="2" fontId="0" fillId="7" borderId="32" xfId="0" quotePrefix="1" applyNumberFormat="1" applyFill="1" applyBorder="1" applyAlignment="1">
      <alignment horizontal="center"/>
    </xf>
    <xf numFmtId="2" fontId="0" fillId="2" borderId="28" xfId="0" quotePrefix="1" applyNumberFormat="1" applyFill="1" applyBorder="1" applyAlignment="1">
      <alignment horizontal="center"/>
    </xf>
    <xf numFmtId="1" fontId="0" fillId="7" borderId="28" xfId="0" quotePrefix="1" applyNumberFormat="1" applyFill="1" applyBorder="1" applyAlignment="1">
      <alignment horizontal="center"/>
    </xf>
    <xf numFmtId="1" fontId="0" fillId="2" borderId="20" xfId="0" quotePrefix="1" applyNumberFormat="1" applyFill="1" applyBorder="1" applyAlignment="1">
      <alignment horizontal="center"/>
    </xf>
    <xf numFmtId="172" fontId="0" fillId="7" borderId="151" xfId="0" quotePrefix="1" applyNumberFormat="1" applyFill="1" applyBorder="1" applyAlignment="1">
      <alignment horizontal="center"/>
    </xf>
    <xf numFmtId="21" fontId="0" fillId="2" borderId="20" xfId="0" quotePrefix="1" applyNumberFormat="1" applyFill="1" applyBorder="1" applyAlignment="1">
      <alignment horizontal="center"/>
    </xf>
    <xf numFmtId="1" fontId="0" fillId="7" borderId="20" xfId="0" quotePrefix="1" applyNumberFormat="1" applyFill="1" applyBorder="1" applyAlignment="1">
      <alignment horizontal="center"/>
    </xf>
    <xf numFmtId="165" fontId="0" fillId="2" borderId="20" xfId="0" quotePrefix="1" applyNumberFormat="1" applyFill="1" applyBorder="1" applyAlignment="1">
      <alignment horizontal="center"/>
    </xf>
    <xf numFmtId="9" fontId="0" fillId="2" borderId="20" xfId="1" quotePrefix="1" applyFont="1" applyFill="1" applyBorder="1" applyAlignment="1">
      <alignment horizontal="center"/>
    </xf>
    <xf numFmtId="9" fontId="0" fillId="7" borderId="20" xfId="1" quotePrefix="1" applyFont="1" applyFill="1" applyBorder="1" applyAlignment="1">
      <alignment horizontal="center"/>
    </xf>
    <xf numFmtId="20" fontId="0" fillId="2" borderId="20" xfId="0" quotePrefix="1" applyNumberFormat="1" applyFill="1" applyBorder="1" applyAlignment="1">
      <alignment horizontal="center"/>
    </xf>
    <xf numFmtId="1" fontId="0" fillId="2" borderId="28" xfId="0" quotePrefix="1" applyNumberFormat="1" applyFill="1" applyBorder="1" applyAlignment="1">
      <alignment horizontal="center" vertical="center"/>
    </xf>
    <xf numFmtId="171" fontId="0" fillId="7" borderId="28" xfId="0" quotePrefix="1" applyNumberFormat="1" applyFill="1" applyBorder="1" applyAlignment="1">
      <alignment horizontal="center" vertical="center"/>
    </xf>
    <xf numFmtId="0" fontId="0" fillId="7" borderId="146" xfId="1" quotePrefix="1" applyNumberFormat="1" applyFont="1" applyFill="1" applyBorder="1" applyAlignment="1">
      <alignment horizontal="center"/>
    </xf>
    <xf numFmtId="9" fontId="0" fillId="2" borderId="146" xfId="1" quotePrefix="1" applyNumberFormat="1" applyFont="1" applyFill="1" applyBorder="1" applyAlignment="1">
      <alignment horizontal="center"/>
    </xf>
    <xf numFmtId="0" fontId="0" fillId="2" borderId="146" xfId="1" quotePrefix="1" applyNumberFormat="1" applyFont="1" applyFill="1" applyBorder="1" applyAlignment="1">
      <alignment horizontal="center"/>
    </xf>
    <xf numFmtId="0" fontId="0" fillId="7" borderId="168" xfId="1" quotePrefix="1" applyNumberFormat="1" applyFont="1" applyFill="1" applyBorder="1" applyAlignment="1">
      <alignment horizontal="center"/>
    </xf>
    <xf numFmtId="0" fontId="0" fillId="4" borderId="56" xfId="0" applyFill="1" applyBorder="1" applyAlignment="1">
      <alignment horizontal="center" vertical="top" wrapText="1"/>
    </xf>
    <xf numFmtId="1" fontId="0" fillId="4" borderId="55" xfId="0" applyNumberFormat="1" applyFill="1" applyBorder="1" applyAlignment="1">
      <alignment horizontal="center" vertical="top" wrapText="1"/>
    </xf>
    <xf numFmtId="1" fontId="0" fillId="4" borderId="56" xfId="0" applyNumberFormat="1" applyFill="1" applyBorder="1" applyAlignment="1">
      <alignment horizontal="center" vertical="top" wrapText="1"/>
    </xf>
    <xf numFmtId="1" fontId="0" fillId="4" borderId="63" xfId="0" applyNumberFormat="1" applyFill="1" applyBorder="1" applyAlignment="1">
      <alignment horizontal="center" vertical="top" wrapText="1"/>
    </xf>
    <xf numFmtId="0" fontId="0" fillId="3" borderId="56" xfId="0" applyFill="1" applyBorder="1" applyAlignment="1">
      <alignment horizontal="center" vertical="top" wrapText="1"/>
    </xf>
    <xf numFmtId="1" fontId="0" fillId="3" borderId="55" xfId="0" applyNumberFormat="1" applyFill="1" applyBorder="1" applyAlignment="1">
      <alignment horizontal="center" vertical="top" wrapText="1"/>
    </xf>
    <xf numFmtId="1" fontId="0" fillId="3" borderId="56" xfId="0" applyNumberFormat="1" applyFill="1" applyBorder="1" applyAlignment="1">
      <alignment horizontal="center" vertical="top" wrapText="1"/>
    </xf>
    <xf numFmtId="1" fontId="0" fillId="3" borderId="63" xfId="0" applyNumberFormat="1" applyFill="1" applyBorder="1" applyAlignment="1">
      <alignment horizontal="center" vertical="top" wrapText="1"/>
    </xf>
    <xf numFmtId="1" fontId="0" fillId="3" borderId="47" xfId="0" applyNumberFormat="1" applyFill="1" applyBorder="1" applyAlignment="1">
      <alignment horizontal="center" vertical="top" wrapText="1"/>
    </xf>
    <xf numFmtId="1" fontId="0" fillId="3" borderId="44" xfId="0" applyNumberFormat="1" applyFill="1" applyBorder="1" applyAlignment="1">
      <alignment horizontal="center" vertical="top" wrapText="1"/>
    </xf>
    <xf numFmtId="1" fontId="0" fillId="3" borderId="58" xfId="0" applyNumberFormat="1" applyFill="1" applyBorder="1" applyAlignment="1">
      <alignment horizontal="center" vertical="top" wrapText="1"/>
    </xf>
    <xf numFmtId="0" fontId="0" fillId="3" borderId="36" xfId="0" applyFill="1" applyBorder="1" applyAlignment="1">
      <alignment horizontal="center" vertical="top" wrapText="1"/>
    </xf>
    <xf numFmtId="1" fontId="0" fillId="3" borderId="57" xfId="0" applyNumberFormat="1" applyFill="1" applyBorder="1" applyAlignment="1">
      <alignment horizontal="center" vertical="top" wrapText="1"/>
    </xf>
    <xf numFmtId="0" fontId="4" fillId="0" borderId="133" xfId="0" applyNumberFormat="1" applyFont="1" applyBorder="1" applyAlignment="1">
      <alignment wrapText="1"/>
    </xf>
    <xf numFmtId="0" fontId="1" fillId="0" borderId="0" xfId="0" applyNumberFormat="1" applyFont="1" applyBorder="1" applyAlignment="1">
      <alignment wrapText="1"/>
    </xf>
    <xf numFmtId="0" fontId="1" fillId="0" borderId="0" xfId="0" applyNumberFormat="1" applyFont="1" applyBorder="1" applyAlignment="1">
      <alignment horizontal="center" vertical="top" wrapText="1"/>
    </xf>
    <xf numFmtId="0" fontId="0" fillId="0" borderId="0" xfId="0" applyNumberFormat="1" applyFill="1" applyBorder="1" applyAlignment="1">
      <alignment horizontal="left" vertical="top"/>
    </xf>
    <xf numFmtId="0" fontId="0" fillId="0" borderId="0" xfId="0" applyNumberFormat="1" applyBorder="1" applyAlignment="1">
      <alignment horizontal="left" vertical="top"/>
    </xf>
    <xf numFmtId="0" fontId="1" fillId="9" borderId="58" xfId="0" applyNumberFormat="1" applyFont="1" applyFill="1" applyBorder="1" applyAlignment="1">
      <alignment horizontal="left" vertical="top"/>
    </xf>
    <xf numFmtId="184" fontId="1" fillId="8" borderId="38" xfId="0" applyNumberFormat="1" applyFont="1" applyFill="1" applyBorder="1" applyAlignment="1">
      <alignment horizontal="center" vertical="center"/>
    </xf>
    <xf numFmtId="0" fontId="0" fillId="3" borderId="126" xfId="0" applyNumberFormat="1" applyFont="1" applyFill="1" applyBorder="1" applyAlignment="1">
      <alignment horizontal="center" wrapText="1"/>
    </xf>
    <xf numFmtId="0" fontId="0" fillId="3" borderId="149" xfId="0" applyNumberFormat="1" applyFont="1" applyFill="1" applyBorder="1" applyAlignment="1">
      <alignment horizontal="center" wrapText="1"/>
    </xf>
    <xf numFmtId="0" fontId="0" fillId="12" borderId="120" xfId="0" applyFill="1" applyBorder="1" applyAlignment="1">
      <alignment horizontal="center"/>
    </xf>
    <xf numFmtId="0" fontId="0" fillId="3" borderId="35" xfId="0" applyFill="1" applyBorder="1" applyAlignment="1">
      <alignment horizontal="center" vertical="center" wrapText="1"/>
    </xf>
    <xf numFmtId="0" fontId="0" fillId="9" borderId="47" xfId="0" quotePrefix="1" applyNumberFormat="1" applyFill="1" applyBorder="1" applyAlignment="1">
      <alignment horizontal="left" vertical="top"/>
    </xf>
    <xf numFmtId="0" fontId="0" fillId="9" borderId="44" xfId="0" quotePrefix="1" applyNumberFormat="1" applyFill="1" applyBorder="1" applyAlignment="1">
      <alignment horizontal="left" vertical="top"/>
    </xf>
    <xf numFmtId="0" fontId="0" fillId="9" borderId="100" xfId="0" quotePrefix="1" applyNumberFormat="1" applyFill="1" applyBorder="1" applyAlignment="1">
      <alignment horizontal="left" vertical="top"/>
    </xf>
    <xf numFmtId="0" fontId="0" fillId="12" borderId="120" xfId="0" applyFill="1" applyBorder="1" applyAlignment="1">
      <alignment horizontal="center"/>
    </xf>
    <xf numFmtId="0" fontId="0" fillId="9" borderId="159" xfId="0" applyNumberFormat="1" applyFont="1" applyFill="1" applyBorder="1" applyAlignment="1">
      <alignment horizontal="center" vertical="center" wrapText="1"/>
    </xf>
    <xf numFmtId="0" fontId="0" fillId="9" borderId="150" xfId="0" applyNumberFormat="1" applyFont="1" applyFill="1" applyBorder="1" applyAlignment="1">
      <alignment horizontal="center" vertical="center" wrapText="1"/>
    </xf>
    <xf numFmtId="0" fontId="0" fillId="10" borderId="118" xfId="0" applyNumberFormat="1" applyFont="1" applyFill="1" applyBorder="1" applyAlignment="1">
      <alignment horizontal="center" vertical="center" wrapText="1"/>
    </xf>
    <xf numFmtId="0" fontId="0" fillId="10" borderId="118" xfId="0" applyFont="1" applyFill="1" applyBorder="1" applyAlignment="1">
      <alignment horizontal="center" vertical="center" wrapText="1"/>
    </xf>
    <xf numFmtId="0" fontId="0" fillId="10" borderId="151" xfId="0" applyNumberFormat="1" applyFont="1" applyFill="1" applyBorder="1" applyAlignment="1">
      <alignment horizontal="center" vertical="center" wrapText="1"/>
    </xf>
    <xf numFmtId="1" fontId="0" fillId="9" borderId="147" xfId="0" applyNumberFormat="1" applyFont="1" applyFill="1" applyBorder="1" applyAlignment="1">
      <alignment horizontal="center" vertical="center" wrapText="1"/>
    </xf>
    <xf numFmtId="1" fontId="0" fillId="9" borderId="146" xfId="0" applyNumberFormat="1" applyFont="1" applyFill="1" applyBorder="1" applyAlignment="1">
      <alignment horizontal="center" vertical="center" wrapText="1"/>
    </xf>
    <xf numFmtId="1" fontId="0" fillId="10" borderId="126" xfId="0" applyNumberFormat="1" applyFont="1" applyFill="1" applyBorder="1" applyAlignment="1">
      <alignment horizontal="center" vertical="center" wrapText="1"/>
    </xf>
    <xf numFmtId="1" fontId="0" fillId="10" borderId="149" xfId="0" applyNumberFormat="1" applyFont="1" applyFill="1" applyBorder="1" applyAlignment="1">
      <alignment horizontal="center" vertical="center" wrapText="1"/>
    </xf>
    <xf numFmtId="1" fontId="0" fillId="9" borderId="147" xfId="0" applyNumberFormat="1" applyFont="1" applyFill="1" applyBorder="1" applyAlignment="1">
      <alignment horizontal="center" vertical="center"/>
    </xf>
    <xf numFmtId="1" fontId="0" fillId="9" borderId="146" xfId="0" applyNumberFormat="1" applyFont="1" applyFill="1" applyBorder="1" applyAlignment="1">
      <alignment horizontal="center" vertical="center"/>
    </xf>
    <xf numFmtId="14" fontId="0" fillId="10" borderId="147" xfId="0" applyNumberFormat="1" applyFont="1" applyFill="1" applyBorder="1" applyAlignment="1">
      <alignment horizontal="center" vertical="center" wrapText="1"/>
    </xf>
    <xf numFmtId="14" fontId="0" fillId="10" borderId="146" xfId="0" applyNumberFormat="1" applyFont="1" applyFill="1" applyBorder="1" applyAlignment="1">
      <alignment horizontal="center" vertical="center" wrapText="1"/>
    </xf>
    <xf numFmtId="14" fontId="0" fillId="10" borderId="126" xfId="0" applyNumberFormat="1" applyFont="1" applyFill="1" applyBorder="1" applyAlignment="1">
      <alignment horizontal="center" vertical="center" wrapText="1"/>
    </xf>
    <xf numFmtId="14" fontId="0" fillId="10" borderId="149" xfId="0" applyNumberFormat="1" applyFont="1" applyFill="1" applyBorder="1" applyAlignment="1">
      <alignment horizontal="center" vertical="center" wrapText="1"/>
    </xf>
    <xf numFmtId="0" fontId="0" fillId="9" borderId="147" xfId="0" applyNumberFormat="1" applyFont="1" applyFill="1" applyBorder="1" applyAlignment="1">
      <alignment horizontal="center" vertical="center"/>
    </xf>
    <xf numFmtId="0" fontId="0" fillId="9" borderId="146" xfId="0" applyNumberFormat="1" applyFont="1" applyFill="1" applyBorder="1" applyAlignment="1">
      <alignment horizontal="center" vertical="center"/>
    </xf>
    <xf numFmtId="0" fontId="0" fillId="10" borderId="18" xfId="0" applyFill="1" applyBorder="1" applyAlignment="1">
      <alignment vertical="center" wrapText="1"/>
    </xf>
    <xf numFmtId="0" fontId="0" fillId="10" borderId="147" xfId="0" applyFill="1" applyBorder="1" applyAlignment="1">
      <alignment vertical="center" wrapText="1"/>
    </xf>
    <xf numFmtId="0" fontId="0" fillId="10" borderId="146" xfId="0" applyFill="1" applyBorder="1" applyAlignment="1">
      <alignment vertical="center" wrapText="1"/>
    </xf>
    <xf numFmtId="0" fontId="0" fillId="9" borderId="19" xfId="0" applyFill="1" applyBorder="1" applyAlignment="1">
      <alignment vertical="center" wrapText="1"/>
    </xf>
    <xf numFmtId="0" fontId="0" fillId="9" borderId="118" xfId="0" applyFill="1" applyBorder="1" applyAlignment="1">
      <alignment vertical="center" wrapText="1"/>
    </xf>
    <xf numFmtId="0" fontId="0" fillId="9" borderId="151" xfId="0" applyFill="1" applyBorder="1" applyAlignment="1">
      <alignment vertical="center" wrapText="1"/>
    </xf>
    <xf numFmtId="0" fontId="0" fillId="9" borderId="7" xfId="0" applyFill="1" applyBorder="1" applyAlignment="1">
      <alignment vertical="center" wrapText="1"/>
    </xf>
    <xf numFmtId="0" fontId="0" fillId="9" borderId="119" xfId="0" applyFill="1" applyBorder="1" applyAlignment="1">
      <alignment vertical="center" wrapText="1"/>
    </xf>
    <xf numFmtId="0" fontId="0" fillId="9" borderId="152" xfId="0" applyFill="1" applyBorder="1" applyAlignment="1">
      <alignment vertical="center" wrapText="1"/>
    </xf>
    <xf numFmtId="0" fontId="0" fillId="4" borderId="126" xfId="0" applyNumberFormat="1" applyFont="1" applyFill="1" applyBorder="1" applyAlignment="1">
      <alignment horizontal="center" vertical="center" wrapText="1"/>
    </xf>
    <xf numFmtId="0" fontId="0" fillId="4" borderId="149" xfId="0" applyNumberFormat="1" applyFont="1" applyFill="1" applyBorder="1" applyAlignment="1">
      <alignment horizontal="center" vertical="center" wrapText="1"/>
    </xf>
    <xf numFmtId="0" fontId="0" fillId="5" borderId="42" xfId="0" applyNumberFormat="1" applyFill="1" applyBorder="1" applyAlignment="1">
      <alignment horizontal="center" vertical="center"/>
    </xf>
    <xf numFmtId="0" fontId="0" fillId="3" borderId="213" xfId="0" applyNumberFormat="1" applyFill="1" applyBorder="1" applyAlignment="1">
      <alignment horizontal="center" vertical="center"/>
    </xf>
    <xf numFmtId="0" fontId="0" fillId="3" borderId="43" xfId="0" applyNumberFormat="1" applyFill="1" applyBorder="1" applyAlignment="1">
      <alignment horizontal="center" vertical="center"/>
    </xf>
    <xf numFmtId="0" fontId="0" fillId="5" borderId="43" xfId="0" applyNumberFormat="1" applyFill="1" applyBorder="1" applyAlignment="1">
      <alignment horizontal="center" vertical="center"/>
    </xf>
    <xf numFmtId="0" fontId="0" fillId="12" borderId="120" xfId="0" applyFill="1" applyBorder="1" applyAlignment="1">
      <alignment horizontal="center"/>
    </xf>
    <xf numFmtId="0" fontId="0" fillId="12" borderId="120" xfId="0" applyFill="1" applyBorder="1" applyAlignment="1">
      <alignment horizontal="center"/>
    </xf>
    <xf numFmtId="9" fontId="0" fillId="9" borderId="62" xfId="0" applyNumberFormat="1" applyFill="1" applyBorder="1" applyAlignment="1">
      <alignment horizontal="center" vertical="top" wrapText="1"/>
    </xf>
    <xf numFmtId="9" fontId="0" fillId="9" borderId="35" xfId="0" applyNumberFormat="1" applyFill="1" applyBorder="1" applyAlignment="1">
      <alignment horizontal="center" vertical="top" wrapText="1"/>
    </xf>
    <xf numFmtId="9" fontId="0" fillId="9" borderId="27" xfId="0" applyNumberFormat="1" applyFill="1" applyBorder="1" applyAlignment="1">
      <alignment horizontal="center" vertical="top" wrapText="1"/>
    </xf>
    <xf numFmtId="9" fontId="0" fillId="9" borderId="62" xfId="1" applyFont="1" applyFill="1" applyBorder="1" applyAlignment="1">
      <alignment horizontal="center" vertical="top" wrapText="1"/>
    </xf>
    <xf numFmtId="9" fontId="0" fillId="10" borderId="62" xfId="1" applyFont="1" applyFill="1" applyBorder="1" applyAlignment="1">
      <alignment horizontal="center" vertical="top" wrapText="1"/>
    </xf>
    <xf numFmtId="9" fontId="0" fillId="10" borderId="35" xfId="1" applyFont="1" applyFill="1" applyBorder="1" applyAlignment="1">
      <alignment horizontal="center" vertical="top" wrapText="1"/>
    </xf>
    <xf numFmtId="9" fontId="0" fillId="10" borderId="27" xfId="1" applyFont="1" applyFill="1" applyBorder="1" applyAlignment="1">
      <alignment horizontal="center" vertical="top" wrapText="1"/>
    </xf>
    <xf numFmtId="9" fontId="0" fillId="9" borderId="35" xfId="1" applyFont="1" applyFill="1" applyBorder="1" applyAlignment="1">
      <alignment horizontal="center" vertical="top" wrapText="1"/>
    </xf>
    <xf numFmtId="9" fontId="0" fillId="9" borderId="27" xfId="1" applyFont="1" applyFill="1" applyBorder="1" applyAlignment="1">
      <alignment horizontal="center" vertical="top" wrapText="1"/>
    </xf>
    <xf numFmtId="1" fontId="5" fillId="14" borderId="21" xfId="0" applyNumberFormat="1" applyFont="1" applyFill="1" applyBorder="1" applyAlignment="1">
      <alignment horizontal="left" vertical="top" wrapText="1"/>
    </xf>
    <xf numFmtId="1" fontId="0" fillId="4" borderId="37" xfId="0" applyNumberFormat="1" applyFill="1" applyBorder="1" applyAlignment="1">
      <alignment horizontal="center" vertical="top" wrapText="1"/>
    </xf>
    <xf numFmtId="1" fontId="0" fillId="10" borderId="62" xfId="1" applyNumberFormat="1" applyFont="1" applyFill="1" applyBorder="1" applyAlignment="1">
      <alignment horizontal="center" vertical="top" wrapText="1"/>
    </xf>
    <xf numFmtId="1" fontId="0" fillId="10" borderId="35" xfId="1" applyNumberFormat="1" applyFont="1" applyFill="1" applyBorder="1" applyAlignment="1">
      <alignment horizontal="center" vertical="top" wrapText="1"/>
    </xf>
    <xf numFmtId="0" fontId="16" fillId="0" borderId="0"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7" fillId="0" borderId="194" xfId="0" applyFont="1" applyFill="1" applyBorder="1" applyAlignment="1">
      <alignment horizontal="center"/>
    </xf>
    <xf numFmtId="0" fontId="17" fillId="0" borderId="195" xfId="0" applyFont="1" applyFill="1" applyBorder="1" applyAlignment="1">
      <alignment horizontal="center"/>
    </xf>
    <xf numFmtId="0" fontId="15" fillId="0" borderId="0" xfId="0" applyFont="1" applyFill="1" applyBorder="1" applyAlignment="1">
      <alignment horizontal="center" vertical="top" wrapText="1"/>
    </xf>
    <xf numFmtId="0" fontId="15" fillId="0" borderId="0" xfId="0" quotePrefix="1" applyFont="1" applyFill="1" applyBorder="1" applyAlignment="1">
      <alignment horizontal="center" vertical="center" wrapText="1"/>
    </xf>
    <xf numFmtId="0" fontId="0" fillId="7" borderId="18" xfId="0" applyNumberFormat="1" applyFill="1" applyBorder="1" applyAlignment="1">
      <alignment horizontal="center"/>
    </xf>
    <xf numFmtId="0" fontId="0" fillId="7" borderId="43" xfId="0" applyNumberFormat="1" applyFill="1" applyBorder="1" applyAlignment="1">
      <alignment horizontal="center"/>
    </xf>
    <xf numFmtId="0" fontId="0" fillId="2" borderId="117" xfId="0" applyNumberFormat="1" applyFill="1" applyBorder="1" applyAlignment="1">
      <alignment horizontal="center"/>
    </xf>
    <xf numFmtId="0" fontId="0" fillId="2" borderId="172" xfId="0" applyNumberFormat="1" applyFill="1" applyBorder="1" applyAlignment="1">
      <alignment horizontal="center"/>
    </xf>
    <xf numFmtId="0" fontId="0" fillId="2" borderId="31" xfId="0" applyNumberFormat="1" applyFill="1" applyBorder="1" applyAlignment="1">
      <alignment horizontal="center"/>
    </xf>
    <xf numFmtId="0" fontId="0" fillId="2" borderId="42" xfId="0" applyNumberFormat="1" applyFill="1" applyBorder="1" applyAlignment="1">
      <alignment horizontal="center"/>
    </xf>
    <xf numFmtId="0" fontId="1" fillId="0" borderId="68" xfId="0" applyFont="1" applyBorder="1" applyAlignment="1">
      <alignment horizontal="center"/>
    </xf>
    <xf numFmtId="0" fontId="1" fillId="0" borderId="69" xfId="0" applyFont="1" applyBorder="1" applyAlignment="1">
      <alignment horizontal="center"/>
    </xf>
    <xf numFmtId="9" fontId="0" fillId="7" borderId="89" xfId="0" applyNumberFormat="1" applyFill="1" applyBorder="1" applyAlignment="1">
      <alignment horizontal="center"/>
    </xf>
    <xf numFmtId="9" fontId="0" fillId="7" borderId="20" xfId="0" applyNumberFormat="1" applyFill="1" applyBorder="1" applyAlignment="1">
      <alignment horizontal="center"/>
    </xf>
    <xf numFmtId="0" fontId="1" fillId="0" borderId="76" xfId="0" applyFont="1" applyBorder="1" applyAlignment="1">
      <alignment horizontal="center"/>
    </xf>
    <xf numFmtId="20" fontId="0" fillId="7" borderId="89" xfId="0" applyNumberFormat="1" applyFill="1" applyBorder="1" applyAlignment="1">
      <alignment horizontal="center"/>
    </xf>
    <xf numFmtId="20" fontId="0" fillId="7" borderId="20" xfId="0" applyNumberFormat="1" applyFill="1" applyBorder="1" applyAlignment="1">
      <alignment horizontal="center"/>
    </xf>
    <xf numFmtId="1" fontId="1" fillId="0" borderId="11" xfId="0" applyNumberFormat="1" applyFont="1" applyBorder="1" applyAlignment="1">
      <alignment horizontal="center" wrapText="1"/>
    </xf>
    <xf numFmtId="1" fontId="1" fillId="0" borderId="12" xfId="0" applyNumberFormat="1" applyFont="1" applyBorder="1" applyAlignment="1">
      <alignment horizontal="center" wrapText="1"/>
    </xf>
    <xf numFmtId="1" fontId="1" fillId="0" borderId="30" xfId="0" applyNumberFormat="1" applyFont="1" applyBorder="1" applyAlignment="1">
      <alignment horizontal="center" wrapText="1"/>
    </xf>
    <xf numFmtId="0" fontId="1" fillId="0" borderId="50" xfId="0" applyFont="1" applyBorder="1" applyAlignment="1">
      <alignment horizontal="center"/>
    </xf>
    <xf numFmtId="0" fontId="1" fillId="0" borderId="12" xfId="0" applyFont="1" applyBorder="1" applyAlignment="1">
      <alignment horizontal="center"/>
    </xf>
    <xf numFmtId="0" fontId="1" fillId="0" borderId="30" xfId="0" applyFont="1" applyBorder="1" applyAlignment="1">
      <alignment horizontal="center"/>
    </xf>
    <xf numFmtId="9" fontId="1" fillId="0" borderId="11" xfId="0" applyNumberFormat="1" applyFont="1" applyBorder="1" applyAlignment="1">
      <alignment horizontal="center" wrapText="1"/>
    </xf>
    <xf numFmtId="9" fontId="1" fillId="0" borderId="12" xfId="0" applyNumberFormat="1" applyFont="1" applyBorder="1" applyAlignment="1">
      <alignment horizontal="center" wrapText="1"/>
    </xf>
    <xf numFmtId="9" fontId="1" fillId="0" borderId="13" xfId="0" applyNumberFormat="1" applyFont="1" applyBorder="1" applyAlignment="1">
      <alignment horizontal="center" wrapText="1"/>
    </xf>
    <xf numFmtId="1" fontId="0" fillId="7" borderId="88" xfId="0" applyNumberFormat="1" applyFill="1" applyBorder="1" applyAlignment="1">
      <alignment horizontal="center"/>
    </xf>
    <xf numFmtId="1" fontId="0" fillId="7" borderId="28" xfId="0" applyNumberFormat="1" applyFill="1" applyBorder="1" applyAlignment="1">
      <alignment horizontal="center"/>
    </xf>
    <xf numFmtId="1" fontId="0" fillId="7" borderId="90" xfId="0" applyNumberFormat="1" applyFill="1" applyBorder="1" applyAlignment="1">
      <alignment horizontal="center"/>
    </xf>
    <xf numFmtId="1" fontId="0" fillId="7" borderId="105" xfId="0" applyNumberFormat="1" applyFill="1" applyBorder="1" applyAlignment="1">
      <alignment horizontal="center"/>
    </xf>
    <xf numFmtId="0" fontId="0" fillId="2" borderId="102" xfId="0" applyFill="1" applyBorder="1" applyAlignment="1">
      <alignment horizontal="center"/>
    </xf>
    <xf numFmtId="0" fontId="0" fillId="2" borderId="103" xfId="0" applyFill="1" applyBorder="1" applyAlignment="1">
      <alignment horizontal="center"/>
    </xf>
    <xf numFmtId="9" fontId="0" fillId="7" borderId="84" xfId="0" applyNumberFormat="1" applyFill="1" applyBorder="1" applyAlignment="1">
      <alignment horizontal="center"/>
    </xf>
    <xf numFmtId="9" fontId="0" fillId="7" borderId="104" xfId="0" applyNumberFormat="1" applyFill="1" applyBorder="1" applyAlignment="1">
      <alignment horizontal="center"/>
    </xf>
    <xf numFmtId="0" fontId="1" fillId="0" borderId="2" xfId="0" applyFont="1" applyBorder="1" applyAlignment="1">
      <alignment horizontal="center"/>
    </xf>
    <xf numFmtId="0" fontId="1" fillId="0" borderId="68" xfId="0" applyFont="1" applyBorder="1" applyAlignment="1">
      <alignment horizontal="center" vertical="center"/>
    </xf>
    <xf numFmtId="0" fontId="1" fillId="0" borderId="76" xfId="0" applyFont="1" applyBorder="1" applyAlignment="1">
      <alignment horizontal="center" vertical="center"/>
    </xf>
    <xf numFmtId="0" fontId="1" fillId="0" borderId="69" xfId="0" applyFont="1" applyBorder="1" applyAlignment="1">
      <alignment horizontal="center" vertical="center"/>
    </xf>
    <xf numFmtId="0" fontId="0" fillId="0" borderId="34" xfId="0" applyBorder="1" applyAlignment="1">
      <alignment horizontal="center" vertical="center" wrapText="1"/>
    </xf>
    <xf numFmtId="0" fontId="0" fillId="0" borderId="41" xfId="0" applyBorder="1" applyAlignment="1">
      <alignment horizontal="center" vertical="center" wrapText="1"/>
    </xf>
    <xf numFmtId="20" fontId="1" fillId="0" borderId="11" xfId="0" applyNumberFormat="1" applyFont="1" applyBorder="1" applyAlignment="1">
      <alignment horizontal="center" wrapText="1"/>
    </xf>
    <xf numFmtId="20" fontId="1" fillId="0" borderId="12" xfId="0" applyNumberFormat="1" applyFont="1" applyBorder="1" applyAlignment="1">
      <alignment horizontal="center" wrapText="1"/>
    </xf>
    <xf numFmtId="20" fontId="1" fillId="0" borderId="13" xfId="0" applyNumberFormat="1" applyFont="1" applyBorder="1" applyAlignment="1">
      <alignment horizontal="center" wrapText="1"/>
    </xf>
    <xf numFmtId="1" fontId="1" fillId="0" borderId="13" xfId="0" applyNumberFormat="1" applyFont="1" applyBorder="1" applyAlignment="1">
      <alignment horizontal="center" wrapText="1"/>
    </xf>
    <xf numFmtId="0" fontId="1" fillId="0" borderId="50" xfId="0" applyFont="1" applyFill="1" applyBorder="1" applyAlignment="1">
      <alignment horizontal="center" vertical="top"/>
    </xf>
    <xf numFmtId="0" fontId="1" fillId="0" borderId="57" xfId="0" applyFont="1" applyFill="1" applyBorder="1" applyAlignment="1">
      <alignment horizontal="center" vertical="top"/>
    </xf>
    <xf numFmtId="0" fontId="1" fillId="7" borderId="4" xfId="0" applyFont="1" applyFill="1" applyBorder="1" applyAlignment="1">
      <alignment horizontal="left" vertical="center" wrapText="1"/>
    </xf>
    <xf numFmtId="0" fontId="1" fillId="2" borderId="51" xfId="0" applyFont="1" applyFill="1" applyBorder="1" applyAlignment="1">
      <alignment horizontal="left" vertical="center" wrapText="1"/>
    </xf>
    <xf numFmtId="0" fontId="1" fillId="2" borderId="4" xfId="0" applyFont="1" applyFill="1" applyBorder="1" applyAlignment="1">
      <alignment horizontal="left" vertical="center" wrapText="1"/>
    </xf>
    <xf numFmtId="0" fontId="1" fillId="2" borderId="50" xfId="0" applyFont="1" applyFill="1" applyBorder="1" applyAlignment="1">
      <alignment horizontal="left" vertical="center" wrapText="1"/>
    </xf>
    <xf numFmtId="0" fontId="1" fillId="7" borderId="51" xfId="0" applyFont="1" applyFill="1" applyBorder="1" applyAlignment="1">
      <alignment horizontal="left" vertical="center" wrapText="1"/>
    </xf>
    <xf numFmtId="0" fontId="1" fillId="7" borderId="6"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7" borderId="50" xfId="0" applyFont="1" applyFill="1" applyBorder="1" applyAlignment="1">
      <alignment horizontal="left" vertical="center" wrapText="1"/>
    </xf>
    <xf numFmtId="0" fontId="1" fillId="2" borderId="6" xfId="0" applyFont="1" applyFill="1" applyBorder="1" applyAlignment="1">
      <alignment horizontal="left" vertical="center" wrapText="1"/>
    </xf>
    <xf numFmtId="0" fontId="1" fillId="0" borderId="1" xfId="0" applyFont="1" applyFill="1" applyBorder="1" applyAlignment="1">
      <alignment horizontal="center" vertical="top"/>
    </xf>
    <xf numFmtId="0" fontId="1" fillId="0" borderId="2" xfId="0" applyFont="1" applyFill="1" applyBorder="1" applyAlignment="1">
      <alignment horizontal="center" vertical="top"/>
    </xf>
    <xf numFmtId="0" fontId="1" fillId="2" borderId="89" xfId="0" applyNumberFormat="1" applyFont="1" applyFill="1" applyBorder="1" applyAlignment="1">
      <alignment vertical="top" wrapText="1"/>
    </xf>
    <xf numFmtId="0" fontId="1" fillId="2" borderId="18" xfId="0" applyNumberFormat="1" applyFont="1" applyFill="1" applyBorder="1" applyAlignment="1">
      <alignment vertical="top" wrapText="1"/>
    </xf>
    <xf numFmtId="0" fontId="1" fillId="7" borderId="50" xfId="0" applyNumberFormat="1" applyFont="1" applyFill="1" applyBorder="1" applyAlignment="1">
      <alignment vertical="top" wrapText="1"/>
    </xf>
    <xf numFmtId="0" fontId="1" fillId="7" borderId="12" xfId="0" applyNumberFormat="1" applyFont="1" applyFill="1" applyBorder="1" applyAlignment="1">
      <alignment vertical="top" wrapText="1"/>
    </xf>
    <xf numFmtId="0" fontId="1" fillId="7" borderId="87" xfId="0" applyFont="1" applyFill="1" applyBorder="1" applyAlignment="1">
      <alignment vertical="center" wrapText="1"/>
    </xf>
    <xf numFmtId="0" fontId="1" fillId="7" borderId="31" xfId="0" applyFont="1" applyFill="1" applyBorder="1" applyAlignment="1">
      <alignment vertical="center" wrapText="1"/>
    </xf>
    <xf numFmtId="0" fontId="1" fillId="4" borderId="101" xfId="0" applyNumberFormat="1" applyFont="1" applyFill="1" applyBorder="1" applyAlignment="1">
      <alignment horizontal="left" vertical="center" wrapText="1"/>
    </xf>
    <xf numFmtId="0" fontId="1" fillId="4" borderId="24" xfId="0" applyNumberFormat="1" applyFont="1" applyFill="1" applyBorder="1" applyAlignment="1">
      <alignment horizontal="left" vertical="center" wrapText="1"/>
    </xf>
    <xf numFmtId="0" fontId="1" fillId="4" borderId="99" xfId="0" applyNumberFormat="1" applyFont="1" applyFill="1" applyBorder="1" applyAlignment="1">
      <alignment vertical="top" wrapText="1"/>
    </xf>
    <xf numFmtId="0" fontId="1" fillId="4" borderId="35" xfId="0" applyNumberFormat="1" applyFont="1" applyFill="1" applyBorder="1" applyAlignment="1">
      <alignment vertical="top" wrapText="1"/>
    </xf>
    <xf numFmtId="0" fontId="1" fillId="3" borderId="87" xfId="0" applyNumberFormat="1" applyFont="1" applyFill="1" applyBorder="1" applyAlignment="1">
      <alignment horizontal="left" vertical="top" wrapText="1"/>
    </xf>
    <xf numFmtId="0" fontId="1" fillId="3" borderId="31" xfId="0" applyNumberFormat="1" applyFont="1" applyFill="1" applyBorder="1" applyAlignment="1">
      <alignment horizontal="left" vertical="top" wrapText="1"/>
    </xf>
    <xf numFmtId="0" fontId="1" fillId="4" borderId="101" xfId="0" applyNumberFormat="1" applyFont="1" applyFill="1" applyBorder="1" applyAlignment="1">
      <alignment vertical="top" wrapText="1"/>
    </xf>
    <xf numFmtId="0" fontId="1" fillId="4" borderId="24" xfId="0" applyNumberFormat="1" applyFont="1" applyFill="1" applyBorder="1" applyAlignment="1">
      <alignment vertical="top" wrapText="1"/>
    </xf>
    <xf numFmtId="0" fontId="1" fillId="3" borderId="83" xfId="0" applyNumberFormat="1" applyFont="1" applyFill="1" applyBorder="1" applyAlignment="1">
      <alignment vertical="top" wrapText="1"/>
    </xf>
    <xf numFmtId="0" fontId="1" fillId="3" borderId="21" xfId="0" applyNumberFormat="1" applyFont="1" applyFill="1" applyBorder="1" applyAlignment="1">
      <alignment vertical="top" wrapText="1"/>
    </xf>
    <xf numFmtId="0" fontId="0" fillId="9" borderId="6" xfId="0" applyFill="1" applyBorder="1" applyAlignment="1">
      <alignment horizontal="center"/>
    </xf>
    <xf numFmtId="0" fontId="0" fillId="9" borderId="113" xfId="0" applyFill="1" applyBorder="1" applyAlignment="1">
      <alignment horizont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50" xfId="0" applyFont="1" applyBorder="1" applyAlignment="1">
      <alignment horizontal="center" vertical="center"/>
    </xf>
    <xf numFmtId="0" fontId="1" fillId="0" borderId="13" xfId="0" applyFont="1" applyBorder="1" applyAlignment="1">
      <alignment horizontal="center" vertical="center"/>
    </xf>
    <xf numFmtId="0" fontId="0" fillId="9" borderId="87" xfId="0" applyFill="1" applyBorder="1" applyAlignment="1">
      <alignment horizontal="center"/>
    </xf>
    <xf numFmtId="0" fontId="0" fillId="9" borderId="42" xfId="0" applyFill="1" applyBorder="1" applyAlignment="1">
      <alignment horizontal="center"/>
    </xf>
    <xf numFmtId="0" fontId="0" fillId="10" borderId="89" xfId="0" applyFill="1" applyBorder="1" applyAlignment="1">
      <alignment horizontal="center"/>
    </xf>
    <xf numFmtId="0" fontId="0" fillId="10" borderId="43" xfId="0" applyFill="1" applyBorder="1" applyAlignment="1">
      <alignment horizontal="center"/>
    </xf>
    <xf numFmtId="0" fontId="0" fillId="9" borderId="145" xfId="0" applyFill="1" applyBorder="1" applyAlignment="1">
      <alignment horizontal="center"/>
    </xf>
    <xf numFmtId="0" fontId="0" fillId="9" borderId="147" xfId="0" applyFill="1" applyBorder="1" applyAlignment="1">
      <alignment horizontal="center"/>
    </xf>
    <xf numFmtId="0" fontId="0" fillId="10" borderId="145" xfId="0" applyFill="1" applyBorder="1" applyAlignment="1">
      <alignment horizontal="center"/>
    </xf>
    <xf numFmtId="0" fontId="0" fillId="10" borderId="147" xfId="0" applyFill="1" applyBorder="1" applyAlignment="1">
      <alignment horizontal="center"/>
    </xf>
    <xf numFmtId="0" fontId="0" fillId="9" borderId="89" xfId="0" applyFill="1" applyBorder="1" applyAlignment="1">
      <alignment horizontal="center"/>
    </xf>
    <xf numFmtId="0" fontId="0" fillId="9" borderId="43" xfId="0" applyFill="1" applyBorder="1" applyAlignment="1">
      <alignment horizontal="center"/>
    </xf>
    <xf numFmtId="0" fontId="0" fillId="10" borderId="145" xfId="0" applyFill="1" applyBorder="1" applyAlignment="1">
      <alignment horizontal="center" vertical="center"/>
    </xf>
    <xf numFmtId="0" fontId="0" fillId="10" borderId="147" xfId="0" applyFill="1" applyBorder="1" applyAlignment="1">
      <alignment horizontal="center" vertical="center"/>
    </xf>
    <xf numFmtId="0" fontId="0" fillId="9" borderId="88" xfId="0" applyFill="1" applyBorder="1" applyAlignment="1">
      <alignment horizontal="center" vertical="center"/>
    </xf>
    <xf numFmtId="0" fontId="0" fillId="9" borderId="52" xfId="0" applyFill="1" applyBorder="1" applyAlignment="1">
      <alignment horizontal="center" vertical="center"/>
    </xf>
    <xf numFmtId="0" fontId="0" fillId="10" borderId="171" xfId="0" applyFill="1" applyBorder="1" applyAlignment="1">
      <alignment horizontal="center"/>
    </xf>
    <xf numFmtId="0" fontId="0" fillId="10" borderId="126" xfId="0" applyFill="1" applyBorder="1" applyAlignment="1">
      <alignment horizontal="center"/>
    </xf>
    <xf numFmtId="0" fontId="0" fillId="10" borderId="88" xfId="0" applyFill="1" applyBorder="1" applyAlignment="1">
      <alignment horizontal="center"/>
    </xf>
    <xf numFmtId="0" fontId="0" fillId="10" borderId="52" xfId="0" applyFill="1" applyBorder="1" applyAlignment="1">
      <alignment horizontal="center"/>
    </xf>
    <xf numFmtId="0" fontId="1" fillId="0" borderId="164"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Border="1" applyAlignment="1">
      <alignment horizontal="center" vertical="center"/>
    </xf>
    <xf numFmtId="0" fontId="1" fillId="0" borderId="9" xfId="0" applyFont="1" applyBorder="1" applyAlignment="1">
      <alignment horizontal="center" vertical="center"/>
    </xf>
    <xf numFmtId="0" fontId="0" fillId="9" borderId="88" xfId="0" applyFill="1" applyBorder="1" applyAlignment="1">
      <alignment horizontal="center"/>
    </xf>
    <xf numFmtId="0" fontId="0" fillId="9" borderId="19" xfId="0" applyFill="1" applyBorder="1" applyAlignment="1">
      <alignment horizontal="center"/>
    </xf>
    <xf numFmtId="0" fontId="0" fillId="9" borderId="52" xfId="0" applyFill="1" applyBorder="1" applyAlignment="1">
      <alignment horizontal="center"/>
    </xf>
    <xf numFmtId="0" fontId="0" fillId="10" borderId="6" xfId="0" applyFill="1" applyBorder="1" applyAlignment="1">
      <alignment horizontal="center"/>
    </xf>
    <xf numFmtId="0" fontId="0" fillId="10" borderId="7" xfId="0" applyFill="1" applyBorder="1" applyAlignment="1">
      <alignment horizontal="center"/>
    </xf>
    <xf numFmtId="0" fontId="0" fillId="10" borderId="113" xfId="0" applyFill="1" applyBorder="1" applyAlignment="1">
      <alignment horizontal="center"/>
    </xf>
    <xf numFmtId="49" fontId="5" fillId="14" borderId="38" xfId="0" applyNumberFormat="1" applyFont="1" applyFill="1" applyBorder="1" applyAlignment="1">
      <alignment horizontal="center" vertical="center" textRotation="90" wrapText="1"/>
    </xf>
    <xf numFmtId="49" fontId="5" fillId="14" borderId="44" xfId="0" applyNumberFormat="1" applyFont="1" applyFill="1" applyBorder="1" applyAlignment="1">
      <alignment horizontal="center" vertical="center" textRotation="90" wrapText="1"/>
    </xf>
    <xf numFmtId="49" fontId="5" fillId="14" borderId="35" xfId="0" applyNumberFormat="1" applyFont="1" applyFill="1" applyBorder="1" applyAlignment="1">
      <alignment horizontal="center" vertical="center" textRotation="90" wrapText="1"/>
    </xf>
    <xf numFmtId="0" fontId="5" fillId="17" borderId="98" xfId="0" applyFont="1" applyFill="1" applyBorder="1" applyAlignment="1">
      <alignment horizontal="center" vertical="center" textRotation="90" wrapText="1"/>
    </xf>
    <xf numFmtId="0" fontId="5" fillId="17" borderId="96" xfId="0" applyFont="1" applyFill="1" applyBorder="1" applyAlignment="1">
      <alignment horizontal="center" vertical="center" textRotation="90" wrapText="1"/>
    </xf>
    <xf numFmtId="0" fontId="5" fillId="17" borderId="99" xfId="0" applyFont="1" applyFill="1" applyBorder="1" applyAlignment="1">
      <alignment horizontal="center" vertical="center" textRotation="90" wrapText="1"/>
    </xf>
    <xf numFmtId="49" fontId="5" fillId="17" borderId="38" xfId="0" applyNumberFormat="1" applyFont="1" applyFill="1" applyBorder="1" applyAlignment="1">
      <alignment horizontal="center" vertical="center" textRotation="90"/>
    </xf>
    <xf numFmtId="49" fontId="5" fillId="17" borderId="44" xfId="0" applyNumberFormat="1" applyFont="1" applyFill="1" applyBorder="1" applyAlignment="1">
      <alignment horizontal="center" vertical="center" textRotation="90"/>
    </xf>
    <xf numFmtId="49" fontId="5" fillId="17" borderId="35" xfId="0" applyNumberFormat="1" applyFont="1" applyFill="1" applyBorder="1" applyAlignment="1">
      <alignment horizontal="center" vertical="center" textRotation="90"/>
    </xf>
    <xf numFmtId="0" fontId="5" fillId="14" borderId="98" xfId="0" applyFont="1" applyFill="1" applyBorder="1" applyAlignment="1">
      <alignment horizontal="center" vertical="center" textRotation="90" wrapText="1"/>
    </xf>
    <xf numFmtId="0" fontId="5" fillId="14" borderId="96" xfId="0" applyFont="1" applyFill="1" applyBorder="1" applyAlignment="1">
      <alignment horizontal="center" vertical="center" textRotation="90" wrapText="1"/>
    </xf>
    <xf numFmtId="0" fontId="5" fillId="14" borderId="99" xfId="0" applyFont="1" applyFill="1" applyBorder="1" applyAlignment="1">
      <alignment horizontal="center" vertical="center" textRotation="90" wrapText="1"/>
    </xf>
    <xf numFmtId="0" fontId="5" fillId="15" borderId="83" xfId="0" applyFont="1" applyFill="1" applyBorder="1" applyAlignment="1">
      <alignment horizontal="center" vertical="center" textRotation="90" wrapText="1"/>
    </xf>
    <xf numFmtId="0" fontId="5" fillId="15" borderId="98" xfId="0" applyFont="1" applyFill="1" applyBorder="1" applyAlignment="1">
      <alignment horizontal="center" vertical="center" textRotation="90" wrapText="1"/>
    </xf>
    <xf numFmtId="0" fontId="5" fillId="22" borderId="83" xfId="0" applyFont="1" applyFill="1" applyBorder="1" applyAlignment="1">
      <alignment horizontal="center" vertical="center" textRotation="90" wrapText="1"/>
    </xf>
    <xf numFmtId="49" fontId="5" fillId="20" borderId="38" xfId="0" applyNumberFormat="1" applyFont="1" applyFill="1" applyBorder="1" applyAlignment="1">
      <alignment horizontal="center" vertical="center" textRotation="90"/>
    </xf>
    <xf numFmtId="49" fontId="5" fillId="20" borderId="44" xfId="0" applyNumberFormat="1" applyFont="1" applyFill="1" applyBorder="1" applyAlignment="1">
      <alignment horizontal="center" vertical="center" textRotation="90"/>
    </xf>
    <xf numFmtId="49" fontId="5" fillId="20" borderId="35" xfId="0" applyNumberFormat="1" applyFont="1" applyFill="1" applyBorder="1" applyAlignment="1">
      <alignment horizontal="center" vertical="center" textRotation="90"/>
    </xf>
    <xf numFmtId="49" fontId="5" fillId="15" borderId="38" xfId="0" applyNumberFormat="1" applyFont="1" applyFill="1" applyBorder="1" applyAlignment="1">
      <alignment horizontal="center" vertical="center" textRotation="90" wrapText="1"/>
    </xf>
    <xf numFmtId="49" fontId="5" fillId="15" borderId="35" xfId="0" applyNumberFormat="1" applyFont="1" applyFill="1" applyBorder="1" applyAlignment="1">
      <alignment horizontal="center" vertical="center" textRotation="90" wrapText="1"/>
    </xf>
    <xf numFmtId="49" fontId="5" fillId="15" borderId="44" xfId="0" applyNumberFormat="1" applyFont="1" applyFill="1" applyBorder="1" applyAlignment="1">
      <alignment horizontal="center" vertical="center" textRotation="90" wrapText="1"/>
    </xf>
    <xf numFmtId="49" fontId="5" fillId="14" borderId="38" xfId="0" quotePrefix="1" applyNumberFormat="1" applyFont="1" applyFill="1" applyBorder="1" applyAlignment="1">
      <alignment horizontal="center" vertical="center" textRotation="90" wrapText="1"/>
    </xf>
    <xf numFmtId="49" fontId="5" fillId="14" borderId="35" xfId="0" quotePrefix="1" applyNumberFormat="1" applyFont="1" applyFill="1" applyBorder="1" applyAlignment="1">
      <alignment horizontal="center" vertical="center" textRotation="90" wrapText="1"/>
    </xf>
    <xf numFmtId="0" fontId="0" fillId="9" borderId="90" xfId="0" applyFill="1" applyBorder="1" applyAlignment="1">
      <alignment horizontal="center"/>
    </xf>
    <xf numFmtId="0" fontId="0" fillId="9" borderId="172" xfId="0" applyFill="1" applyBorder="1" applyAlignment="1">
      <alignment horizontal="center"/>
    </xf>
    <xf numFmtId="0" fontId="0" fillId="9" borderId="155" xfId="0" applyFill="1" applyBorder="1" applyAlignment="1">
      <alignment horizontal="center"/>
    </xf>
    <xf numFmtId="0" fontId="0" fillId="9" borderId="159" xfId="0" applyFill="1" applyBorder="1" applyAlignment="1">
      <alignment horizontal="center"/>
    </xf>
    <xf numFmtId="0" fontId="0" fillId="12" borderId="160" xfId="0" applyFill="1" applyBorder="1" applyAlignment="1">
      <alignment horizontal="center"/>
    </xf>
    <xf numFmtId="0" fontId="0" fillId="12" borderId="107" xfId="0" applyFill="1" applyBorder="1" applyAlignment="1">
      <alignment horizontal="center"/>
    </xf>
    <xf numFmtId="0" fontId="0" fillId="12" borderId="123" xfId="0" applyFill="1" applyBorder="1" applyAlignment="1">
      <alignment horizontal="center"/>
    </xf>
    <xf numFmtId="0" fontId="0" fillId="10" borderId="48" xfId="0" applyFill="1" applyBorder="1" applyAlignment="1">
      <alignment horizontal="center" vertical="center" textRotation="90" wrapText="1"/>
    </xf>
    <xf numFmtId="0" fontId="0" fillId="10" borderId="65" xfId="0" applyFill="1" applyBorder="1" applyAlignment="1">
      <alignment horizontal="center" vertical="center" textRotation="90" wrapText="1"/>
    </xf>
    <xf numFmtId="0" fontId="0" fillId="10" borderId="49" xfId="0" applyFill="1" applyBorder="1" applyAlignment="1">
      <alignment horizontal="center" vertical="center" textRotation="90" wrapText="1"/>
    </xf>
    <xf numFmtId="0" fontId="0" fillId="9" borderId="55" xfId="0" applyFill="1" applyBorder="1" applyAlignment="1">
      <alignment horizontal="center" vertical="center" wrapText="1"/>
    </xf>
    <xf numFmtId="0" fontId="0" fillId="9" borderId="62" xfId="0" applyFill="1" applyBorder="1" applyAlignment="1">
      <alignment horizontal="center" vertical="center" wrapText="1"/>
    </xf>
    <xf numFmtId="0" fontId="0" fillId="10" borderId="45" xfId="0" applyFill="1" applyBorder="1" applyAlignment="1">
      <alignment horizontal="center" vertical="center" wrapText="1"/>
    </xf>
    <xf numFmtId="0" fontId="0" fillId="10" borderId="62" xfId="0" applyFill="1" applyBorder="1" applyAlignment="1">
      <alignment horizontal="center" vertical="center" wrapText="1"/>
    </xf>
    <xf numFmtId="0" fontId="0" fillId="9" borderId="45" xfId="0" applyFill="1" applyBorder="1" applyAlignment="1">
      <alignment horizontal="center" vertical="center" wrapText="1"/>
    </xf>
    <xf numFmtId="0" fontId="0" fillId="9" borderId="57" xfId="0" applyFill="1" applyBorder="1" applyAlignment="1">
      <alignment horizontal="center" vertical="center" wrapText="1"/>
    </xf>
    <xf numFmtId="0" fontId="0" fillId="12" borderId="162" xfId="0" applyFill="1" applyBorder="1" applyAlignment="1">
      <alignment horizontal="center"/>
    </xf>
    <xf numFmtId="0" fontId="0" fillId="12" borderId="120" xfId="0" applyFill="1" applyBorder="1" applyAlignment="1">
      <alignment horizontal="center"/>
    </xf>
    <xf numFmtId="0" fontId="1" fillId="0" borderId="1" xfId="0" applyNumberFormat="1" applyFont="1" applyBorder="1" applyAlignment="1">
      <alignment horizontal="center" vertical="center"/>
    </xf>
    <xf numFmtId="0" fontId="1" fillId="0" borderId="50" xfId="0" applyNumberFormat="1" applyFont="1" applyBorder="1" applyAlignment="1">
      <alignment horizontal="center" vertical="center"/>
    </xf>
    <xf numFmtId="0" fontId="1" fillId="0" borderId="165" xfId="0" applyFont="1" applyBorder="1" applyAlignment="1">
      <alignment horizontal="center" vertical="center"/>
    </xf>
    <xf numFmtId="0" fontId="1" fillId="0" borderId="115" xfId="0" applyFont="1" applyBorder="1" applyAlignment="1">
      <alignment horizontal="center" vertical="center"/>
    </xf>
    <xf numFmtId="0" fontId="4" fillId="13" borderId="97" xfId="0" applyNumberFormat="1" applyFont="1" applyFill="1" applyBorder="1" applyAlignment="1">
      <alignment horizontal="center" wrapText="1"/>
    </xf>
    <xf numFmtId="0" fontId="4" fillId="13" borderId="81" xfId="0" applyNumberFormat="1" applyFont="1" applyFill="1" applyBorder="1" applyAlignment="1">
      <alignment horizontal="center" wrapText="1"/>
    </xf>
    <xf numFmtId="0" fontId="1" fillId="36" borderId="97" xfId="0" applyNumberFormat="1" applyFont="1" applyFill="1" applyBorder="1" applyAlignment="1">
      <alignment horizontal="center" wrapText="1"/>
    </xf>
    <xf numFmtId="0" fontId="1" fillId="36" borderId="81" xfId="0" applyNumberFormat="1" applyFont="1" applyFill="1" applyBorder="1" applyAlignment="1">
      <alignment horizontal="center" wrapText="1"/>
    </xf>
    <xf numFmtId="0" fontId="1" fillId="36" borderId="94" xfId="0" applyNumberFormat="1" applyFont="1" applyFill="1" applyBorder="1" applyAlignment="1">
      <alignment horizontal="center" wrapText="1"/>
    </xf>
    <xf numFmtId="0" fontId="1" fillId="35" borderId="97" xfId="0" applyNumberFormat="1" applyFont="1" applyFill="1" applyBorder="1" applyAlignment="1">
      <alignment horizontal="center" wrapText="1"/>
    </xf>
    <xf numFmtId="0" fontId="1" fillId="35" borderId="81" xfId="0" applyNumberFormat="1" applyFont="1" applyFill="1" applyBorder="1" applyAlignment="1">
      <alignment horizontal="center" wrapText="1"/>
    </xf>
    <xf numFmtId="0" fontId="1" fillId="22" borderId="97" xfId="0" applyNumberFormat="1" applyFont="1" applyFill="1" applyBorder="1" applyAlignment="1">
      <alignment horizontal="center" wrapText="1"/>
    </xf>
    <xf numFmtId="0" fontId="1" fillId="22" borderId="81" xfId="0" applyNumberFormat="1" applyFont="1" applyFill="1" applyBorder="1" applyAlignment="1">
      <alignment horizontal="center" wrapText="1"/>
    </xf>
    <xf numFmtId="0" fontId="1" fillId="14" borderId="97" xfId="0" applyNumberFormat="1" applyFont="1" applyFill="1" applyBorder="1" applyAlignment="1">
      <alignment horizontal="center" wrapText="1"/>
    </xf>
    <xf numFmtId="0" fontId="1" fillId="14" borderId="81" xfId="0" applyNumberFormat="1" applyFont="1" applyFill="1" applyBorder="1" applyAlignment="1">
      <alignment horizontal="center" wrapText="1"/>
    </xf>
    <xf numFmtId="0" fontId="1" fillId="15" borderId="81" xfId="0" applyNumberFormat="1" applyFont="1" applyFill="1" applyBorder="1" applyAlignment="1">
      <alignment horizontal="center" wrapText="1"/>
    </xf>
    <xf numFmtId="0" fontId="1" fillId="15" borderId="97" xfId="0" applyNumberFormat="1" applyFont="1" applyFill="1" applyBorder="1" applyAlignment="1">
      <alignment horizontal="center" wrapText="1"/>
    </xf>
    <xf numFmtId="0" fontId="1" fillId="0" borderId="81" xfId="0" applyNumberFormat="1" applyFont="1" applyFill="1" applyBorder="1" applyAlignment="1">
      <alignment horizontal="center" wrapText="1"/>
    </xf>
    <xf numFmtId="0" fontId="1" fillId="16" borderId="97" xfId="0" applyNumberFormat="1" applyFont="1" applyFill="1" applyBorder="1" applyAlignment="1">
      <alignment horizontal="center" wrapText="1"/>
    </xf>
    <xf numFmtId="0" fontId="1" fillId="16" borderId="81" xfId="0" applyNumberFormat="1" applyFont="1" applyFill="1" applyBorder="1" applyAlignment="1">
      <alignment horizontal="center" wrapText="1"/>
    </xf>
    <xf numFmtId="0" fontId="1" fillId="10" borderId="51" xfId="0" applyNumberFormat="1" applyFont="1" applyFill="1" applyBorder="1" applyAlignment="1">
      <alignment horizontal="center" vertical="center"/>
    </xf>
    <xf numFmtId="0" fontId="1" fillId="10" borderId="4" xfId="0" applyNumberFormat="1" applyFont="1" applyFill="1" applyBorder="1" applyAlignment="1">
      <alignment horizontal="center" vertical="center"/>
    </xf>
    <xf numFmtId="0" fontId="1" fillId="10" borderId="50" xfId="0" applyNumberFormat="1" applyFont="1" applyFill="1" applyBorder="1" applyAlignment="1">
      <alignment horizontal="center" vertical="center"/>
    </xf>
    <xf numFmtId="0" fontId="1" fillId="26" borderId="2" xfId="0" applyNumberFormat="1" applyFont="1" applyFill="1" applyBorder="1" applyAlignment="1">
      <alignment horizontal="center" wrapText="1"/>
    </xf>
    <xf numFmtId="0" fontId="1" fillId="10" borderId="106" xfId="0" applyNumberFormat="1" applyFont="1" applyFill="1" applyBorder="1" applyAlignment="1">
      <alignment horizontal="center" vertical="center"/>
    </xf>
    <xf numFmtId="0" fontId="1" fillId="10" borderId="161" xfId="0" applyNumberFormat="1" applyFont="1" applyFill="1" applyBorder="1" applyAlignment="1">
      <alignment horizontal="center" vertical="center"/>
    </xf>
    <xf numFmtId="0" fontId="1" fillId="5" borderId="86" xfId="0" applyNumberFormat="1" applyFont="1" applyFill="1" applyBorder="1" applyAlignment="1">
      <alignment horizontal="center" vertical="top"/>
    </xf>
    <xf numFmtId="0" fontId="1" fillId="5" borderId="46" xfId="0" applyNumberFormat="1" applyFont="1" applyFill="1" applyBorder="1" applyAlignment="1">
      <alignment horizontal="center" vertical="top"/>
    </xf>
    <xf numFmtId="0" fontId="1" fillId="10" borderId="4" xfId="0" applyNumberFormat="1" applyFont="1" applyFill="1" applyBorder="1" applyAlignment="1">
      <alignment horizontal="center" vertical="center" wrapText="1"/>
    </xf>
    <xf numFmtId="0" fontId="1" fillId="10" borderId="50" xfId="0" applyNumberFormat="1" applyFont="1" applyFill="1" applyBorder="1" applyAlignment="1">
      <alignment horizontal="center" vertical="center" wrapText="1"/>
    </xf>
    <xf numFmtId="0" fontId="1" fillId="26" borderId="97" xfId="0" applyNumberFormat="1" applyFont="1" applyFill="1" applyBorder="1" applyAlignment="1">
      <alignment horizontal="center" wrapText="1"/>
    </xf>
    <xf numFmtId="0" fontId="1" fillId="26" borderId="81" xfId="0" applyNumberFormat="1" applyFont="1" applyFill="1" applyBorder="1" applyAlignment="1">
      <alignment horizontal="center" wrapText="1"/>
    </xf>
    <xf numFmtId="0" fontId="1" fillId="27" borderId="97" xfId="0" applyNumberFormat="1" applyFont="1" applyFill="1" applyBorder="1" applyAlignment="1">
      <alignment horizontal="center" wrapText="1"/>
    </xf>
    <xf numFmtId="0" fontId="1" fillId="27" borderId="81" xfId="0" applyNumberFormat="1" applyFont="1" applyFill="1" applyBorder="1" applyAlignment="1">
      <alignment horizontal="center" wrapText="1"/>
    </xf>
    <xf numFmtId="0" fontId="1" fillId="5" borderId="84" xfId="0" applyNumberFormat="1" applyFont="1" applyFill="1" applyBorder="1" applyAlignment="1">
      <alignment horizontal="center"/>
    </xf>
    <xf numFmtId="0" fontId="1" fillId="5" borderId="85" xfId="0" applyNumberFormat="1" applyFont="1" applyFill="1" applyBorder="1" applyAlignment="1">
      <alignment horizontal="center"/>
    </xf>
    <xf numFmtId="0" fontId="1" fillId="10" borderId="87" xfId="0" applyNumberFormat="1" applyFont="1" applyFill="1" applyBorder="1" applyAlignment="1">
      <alignment horizontal="center" vertical="center" wrapText="1"/>
    </xf>
    <xf numFmtId="0" fontId="1" fillId="10" borderId="89" xfId="0" applyNumberFormat="1" applyFont="1" applyFill="1" applyBorder="1" applyAlignment="1">
      <alignment horizontal="center" vertical="center"/>
    </xf>
    <xf numFmtId="0" fontId="1" fillId="10" borderId="86" xfId="0" applyNumberFormat="1" applyFont="1" applyFill="1" applyBorder="1" applyAlignment="1">
      <alignment horizontal="center" vertical="center"/>
    </xf>
    <xf numFmtId="0" fontId="1" fillId="9" borderId="87" xfId="0" applyNumberFormat="1" applyFont="1" applyFill="1" applyBorder="1" applyAlignment="1">
      <alignment horizontal="center" vertical="center"/>
    </xf>
    <xf numFmtId="0" fontId="1" fillId="9" borderId="89" xfId="0" applyNumberFormat="1" applyFont="1" applyFill="1" applyBorder="1" applyAlignment="1">
      <alignment horizontal="center" vertical="center"/>
    </xf>
    <xf numFmtId="0" fontId="1" fillId="9" borderId="86" xfId="0" applyNumberFormat="1" applyFont="1" applyFill="1" applyBorder="1" applyAlignment="1">
      <alignment horizontal="center" vertical="center"/>
    </xf>
    <xf numFmtId="0" fontId="1" fillId="6" borderId="87" xfId="0" applyNumberFormat="1" applyFont="1" applyFill="1" applyBorder="1" applyAlignment="1">
      <alignment horizontal="center" vertical="center"/>
    </xf>
    <xf numFmtId="0" fontId="1" fillId="6" borderId="89" xfId="0" applyNumberFormat="1" applyFont="1" applyFill="1" applyBorder="1" applyAlignment="1">
      <alignment horizontal="center" vertical="center"/>
    </xf>
    <xf numFmtId="0" fontId="1" fillId="6" borderId="86" xfId="0" applyNumberFormat="1" applyFont="1" applyFill="1" applyBorder="1" applyAlignment="1">
      <alignment horizontal="center" vertical="center"/>
    </xf>
    <xf numFmtId="0" fontId="1" fillId="9" borderId="51" xfId="0" applyNumberFormat="1" applyFont="1" applyFill="1" applyBorder="1" applyAlignment="1">
      <alignment horizontal="center" vertical="center"/>
    </xf>
    <xf numFmtId="0" fontId="1" fillId="9" borderId="4" xfId="0" applyNumberFormat="1" applyFont="1" applyFill="1" applyBorder="1" applyAlignment="1">
      <alignment horizontal="center" vertical="center"/>
    </xf>
    <xf numFmtId="0" fontId="1" fillId="9" borderId="50" xfId="0" applyNumberFormat="1" applyFont="1" applyFill="1" applyBorder="1" applyAlignment="1">
      <alignment horizontal="center" vertical="center"/>
    </xf>
    <xf numFmtId="0" fontId="1" fillId="9" borderId="106" xfId="0" applyNumberFormat="1" applyFont="1" applyFill="1" applyBorder="1" applyAlignment="1">
      <alignment horizontal="center" vertical="top"/>
    </xf>
    <xf numFmtId="0" fontId="1" fillId="9" borderId="161" xfId="0" applyNumberFormat="1" applyFont="1" applyFill="1" applyBorder="1" applyAlignment="1">
      <alignment horizontal="center" vertical="top"/>
    </xf>
    <xf numFmtId="0" fontId="1" fillId="9" borderId="106" xfId="0" applyNumberFormat="1" applyFont="1" applyFill="1" applyBorder="1" applyAlignment="1">
      <alignment horizontal="center" vertical="center"/>
    </xf>
    <xf numFmtId="0" fontId="1" fillId="9" borderId="161" xfId="0" applyNumberFormat="1" applyFont="1" applyFill="1" applyBorder="1" applyAlignment="1">
      <alignment horizontal="center" vertical="center"/>
    </xf>
    <xf numFmtId="0" fontId="1" fillId="9" borderId="131" xfId="0" applyNumberFormat="1" applyFont="1" applyFill="1" applyBorder="1" applyAlignment="1">
      <alignment horizontal="center" vertical="center"/>
    </xf>
    <xf numFmtId="0" fontId="1" fillId="9" borderId="96" xfId="0" applyNumberFormat="1" applyFont="1" applyFill="1" applyBorder="1" applyAlignment="1">
      <alignment horizontal="center" vertical="center"/>
    </xf>
    <xf numFmtId="0" fontId="1" fillId="9" borderId="174" xfId="0" applyNumberFormat="1" applyFont="1" applyFill="1" applyBorder="1" applyAlignment="1">
      <alignment horizontal="center" vertical="center"/>
    </xf>
    <xf numFmtId="0" fontId="1" fillId="8" borderId="4" xfId="0" applyNumberFormat="1" applyFont="1" applyFill="1" applyBorder="1" applyAlignment="1">
      <alignment horizontal="center" vertical="center"/>
    </xf>
    <xf numFmtId="0" fontId="1" fillId="8" borderId="6" xfId="0" applyNumberFormat="1" applyFont="1" applyFill="1" applyBorder="1" applyAlignment="1">
      <alignment horizontal="center" vertical="center"/>
    </xf>
    <xf numFmtId="0" fontId="1" fillId="8" borderId="132" xfId="0" applyNumberFormat="1" applyFont="1" applyFill="1" applyBorder="1" applyAlignment="1">
      <alignment horizontal="center" vertical="center"/>
    </xf>
    <xf numFmtId="0" fontId="1" fillId="8" borderId="83" xfId="0" applyNumberFormat="1" applyFont="1" applyFill="1" applyBorder="1" applyAlignment="1">
      <alignment horizontal="center" vertical="center"/>
    </xf>
    <xf numFmtId="0" fontId="1" fillId="8" borderId="98" xfId="0" applyNumberFormat="1" applyFont="1" applyFill="1" applyBorder="1" applyAlignment="1">
      <alignment horizontal="center" vertical="center"/>
    </xf>
    <xf numFmtId="0" fontId="1" fillId="8" borderId="101" xfId="0" applyNumberFormat="1" applyFont="1" applyFill="1" applyBorder="1" applyAlignment="1">
      <alignment horizontal="center" vertical="center"/>
    </xf>
    <xf numFmtId="0" fontId="1" fillId="8" borderId="51" xfId="0" applyNumberFormat="1" applyFont="1" applyFill="1" applyBorder="1" applyAlignment="1">
      <alignment horizontal="center" vertical="center"/>
    </xf>
    <xf numFmtId="0" fontId="1" fillId="8" borderId="50" xfId="0" applyNumberFormat="1" applyFont="1" applyFill="1" applyBorder="1" applyAlignment="1">
      <alignment horizontal="center" vertical="center"/>
    </xf>
    <xf numFmtId="0" fontId="1" fillId="6" borderId="131" xfId="0" applyNumberFormat="1" applyFont="1" applyFill="1" applyBorder="1" applyAlignment="1">
      <alignment horizontal="center" vertical="center" wrapText="1"/>
    </xf>
    <xf numFmtId="0" fontId="1" fillId="6" borderId="96" xfId="0" applyNumberFormat="1" applyFont="1" applyFill="1" applyBorder="1" applyAlignment="1">
      <alignment horizontal="center" vertical="center" wrapText="1"/>
    </xf>
    <xf numFmtId="0" fontId="1" fillId="6" borderId="174" xfId="0" applyNumberFormat="1" applyFont="1" applyFill="1" applyBorder="1" applyAlignment="1">
      <alignment horizontal="center" vertical="center" wrapText="1"/>
    </xf>
    <xf numFmtId="0" fontId="1" fillId="8" borderId="106" xfId="0" applyNumberFormat="1" applyFont="1" applyFill="1" applyBorder="1" applyAlignment="1">
      <alignment horizontal="center" vertical="center"/>
    </xf>
    <xf numFmtId="0" fontId="1" fillId="8" borderId="123" xfId="0" applyNumberFormat="1" applyFont="1" applyFill="1" applyBorder="1" applyAlignment="1">
      <alignment horizontal="center" vertical="center"/>
    </xf>
    <xf numFmtId="0" fontId="0" fillId="5" borderId="48" xfId="0" applyFill="1" applyBorder="1" applyAlignment="1">
      <alignment horizontal="center" vertical="center" textRotation="90" wrapText="1"/>
    </xf>
    <xf numFmtId="0" fontId="0" fillId="5" borderId="65" xfId="0" applyFill="1" applyBorder="1" applyAlignment="1">
      <alignment horizontal="center" vertical="center" textRotation="90" wrapText="1"/>
    </xf>
    <xf numFmtId="0" fontId="0" fillId="5" borderId="49" xfId="0" applyFill="1" applyBorder="1" applyAlignment="1">
      <alignment horizontal="center" vertical="center" textRotation="90" wrapText="1"/>
    </xf>
    <xf numFmtId="0" fontId="0" fillId="3" borderId="55" xfId="0" applyFill="1" applyBorder="1" applyAlignment="1">
      <alignment horizontal="center" vertical="center" wrapText="1"/>
    </xf>
    <xf numFmtId="0" fontId="0" fillId="3" borderId="62" xfId="0" applyFill="1" applyBorder="1" applyAlignment="1">
      <alignment horizontal="center" vertical="center" wrapText="1"/>
    </xf>
    <xf numFmtId="0" fontId="0" fillId="4" borderId="45" xfId="0" applyFill="1" applyBorder="1" applyAlignment="1">
      <alignment horizontal="center" vertical="center" wrapText="1"/>
    </xf>
    <xf numFmtId="0" fontId="0" fillId="4" borderId="62" xfId="0" applyFill="1" applyBorder="1" applyAlignment="1">
      <alignment horizontal="center" vertical="center" wrapText="1"/>
    </xf>
    <xf numFmtId="0" fontId="0" fillId="3" borderId="45" xfId="0" applyFill="1" applyBorder="1" applyAlignment="1">
      <alignment horizontal="center" vertical="center" wrapText="1"/>
    </xf>
    <xf numFmtId="0" fontId="0" fillId="3" borderId="57" xfId="0" applyFill="1" applyBorder="1" applyAlignment="1">
      <alignment horizontal="center" vertical="center" wrapText="1"/>
    </xf>
    <xf numFmtId="0" fontId="0" fillId="3" borderId="56" xfId="0" applyFill="1" applyBorder="1" applyAlignment="1">
      <alignment horizontal="center" vertical="center" wrapText="1"/>
    </xf>
    <xf numFmtId="0" fontId="0" fillId="3" borderId="44" xfId="0" applyFill="1" applyBorder="1" applyAlignment="1">
      <alignment horizontal="center" vertical="center" wrapText="1"/>
    </xf>
    <xf numFmtId="0" fontId="0" fillId="3" borderId="36" xfId="0" applyFill="1" applyBorder="1" applyAlignment="1">
      <alignment horizontal="center" vertical="center" wrapText="1"/>
    </xf>
    <xf numFmtId="0" fontId="0" fillId="9" borderId="48" xfId="0" applyFill="1" applyBorder="1" applyAlignment="1">
      <alignment horizontal="center" vertical="center" textRotation="90" wrapText="1"/>
    </xf>
    <xf numFmtId="0" fontId="0" fillId="9" borderId="65" xfId="0" applyFill="1" applyBorder="1" applyAlignment="1">
      <alignment horizontal="center" vertical="center" textRotation="90" wrapText="1"/>
    </xf>
    <xf numFmtId="0" fontId="0" fillId="9" borderId="49" xfId="0" applyFill="1" applyBorder="1" applyAlignment="1">
      <alignment horizontal="center" vertical="center" textRotation="90" wrapText="1"/>
    </xf>
    <xf numFmtId="0" fontId="0" fillId="8" borderId="48" xfId="0" applyFill="1" applyBorder="1" applyAlignment="1">
      <alignment horizontal="center" vertical="center" textRotation="90" wrapText="1"/>
    </xf>
    <xf numFmtId="0" fontId="0" fillId="8" borderId="65" xfId="0" applyFill="1" applyBorder="1" applyAlignment="1">
      <alignment horizontal="center" vertical="center" textRotation="90" wrapText="1"/>
    </xf>
    <xf numFmtId="0" fontId="0" fillId="8" borderId="49" xfId="0" applyFill="1" applyBorder="1" applyAlignment="1">
      <alignment horizontal="center" vertical="center" textRotation="90" wrapText="1"/>
    </xf>
    <xf numFmtId="0" fontId="0" fillId="5" borderId="48" xfId="0" applyNumberFormat="1" applyFill="1" applyBorder="1" applyAlignment="1">
      <alignment horizontal="center" vertical="center" textRotation="90" wrapText="1"/>
    </xf>
    <xf numFmtId="0" fontId="0" fillId="5" borderId="65" xfId="0" applyNumberFormat="1" applyFill="1" applyBorder="1" applyAlignment="1">
      <alignment horizontal="center" vertical="center" textRotation="90" wrapText="1"/>
    </xf>
    <xf numFmtId="0" fontId="0" fillId="5" borderId="49" xfId="0" applyNumberFormat="1" applyFill="1" applyBorder="1" applyAlignment="1">
      <alignment horizontal="center" vertical="center" textRotation="90" wrapText="1"/>
    </xf>
    <xf numFmtId="0" fontId="0" fillId="5" borderId="31" xfId="0" applyNumberFormat="1" applyFill="1" applyBorder="1" applyAlignment="1">
      <alignment horizontal="center" vertical="top" wrapText="1"/>
    </xf>
    <xf numFmtId="0" fontId="0" fillId="5" borderId="40" xfId="0" applyNumberFormat="1" applyFill="1" applyBorder="1" applyAlignment="1">
      <alignment horizontal="center" vertical="top" wrapText="1"/>
    </xf>
    <xf numFmtId="0" fontId="0" fillId="5" borderId="127" xfId="0" applyNumberFormat="1" applyFill="1" applyBorder="1" applyAlignment="1">
      <alignment horizontal="center" vertical="center"/>
    </xf>
    <xf numFmtId="0" fontId="0" fillId="5" borderId="128" xfId="0" applyNumberFormat="1" applyFill="1" applyBorder="1" applyAlignment="1">
      <alignment horizontal="center" vertical="center"/>
    </xf>
    <xf numFmtId="0" fontId="0" fillId="3" borderId="0" xfId="0" applyNumberFormat="1" applyFill="1" applyBorder="1" applyAlignment="1">
      <alignment horizontal="center" vertical="center"/>
    </xf>
    <xf numFmtId="0" fontId="0" fillId="3" borderId="19" xfId="0" applyNumberFormat="1" applyFill="1" applyBorder="1" applyAlignment="1">
      <alignment horizontal="center" vertical="center"/>
    </xf>
    <xf numFmtId="0" fontId="0" fillId="5" borderId="72" xfId="0" applyNumberFormat="1" applyFill="1" applyBorder="1" applyAlignment="1">
      <alignment horizontal="center" vertical="center"/>
    </xf>
    <xf numFmtId="0" fontId="0" fillId="5" borderId="0" xfId="0" applyNumberFormat="1" applyFill="1" applyBorder="1" applyAlignment="1">
      <alignment horizontal="center" vertical="center"/>
    </xf>
    <xf numFmtId="0" fontId="0" fillId="5" borderId="12" xfId="0" applyNumberFormat="1" applyFill="1" applyBorder="1" applyAlignment="1">
      <alignment horizontal="center" vertical="center"/>
    </xf>
    <xf numFmtId="0" fontId="0" fillId="5" borderId="29" xfId="0" applyNumberFormat="1" applyFill="1" applyBorder="1" applyAlignment="1">
      <alignment horizontal="center" vertical="top" wrapText="1"/>
    </xf>
    <xf numFmtId="0" fontId="0" fillId="5" borderId="39" xfId="0" applyNumberFormat="1" applyFill="1" applyBorder="1" applyAlignment="1">
      <alignment horizontal="center" vertical="top" wrapText="1"/>
    </xf>
    <xf numFmtId="0" fontId="0" fillId="6" borderId="48" xfId="0" applyFill="1" applyBorder="1" applyAlignment="1">
      <alignment horizontal="center" vertical="center" textRotation="90"/>
    </xf>
    <xf numFmtId="0" fontId="0" fillId="6" borderId="65" xfId="0" applyFill="1" applyBorder="1" applyAlignment="1">
      <alignment horizontal="center" vertical="center" textRotation="90"/>
    </xf>
    <xf numFmtId="0" fontId="0" fillId="6" borderId="49" xfId="0" applyFill="1" applyBorder="1" applyAlignment="1">
      <alignment horizontal="center" vertical="center" textRotation="90"/>
    </xf>
    <xf numFmtId="0" fontId="0" fillId="8" borderId="48" xfId="0" applyFill="1" applyBorder="1" applyAlignment="1">
      <alignment horizontal="center" vertical="center" textRotation="90"/>
    </xf>
    <xf numFmtId="0" fontId="0" fillId="8" borderId="65" xfId="0" applyFill="1" applyBorder="1" applyAlignment="1">
      <alignment horizontal="center" vertical="center" textRotation="90"/>
    </xf>
    <xf numFmtId="0" fontId="0" fillId="8" borderId="49" xfId="0" applyFill="1" applyBorder="1" applyAlignment="1">
      <alignment horizontal="center" vertical="center" textRotation="90"/>
    </xf>
    <xf numFmtId="0" fontId="0" fillId="6" borderId="10" xfId="0" applyFill="1" applyBorder="1" applyAlignment="1">
      <alignment horizontal="center" vertical="top" wrapText="1"/>
    </xf>
    <xf numFmtId="0" fontId="0" fillId="6" borderId="55" xfId="0" applyFill="1" applyBorder="1" applyAlignment="1">
      <alignment horizontal="center" vertical="top" wrapText="1"/>
    </xf>
    <xf numFmtId="0" fontId="0" fillId="6" borderId="18" xfId="0" applyFill="1" applyBorder="1" applyAlignment="1">
      <alignment horizontal="center" vertical="top" wrapText="1"/>
    </xf>
    <xf numFmtId="0" fontId="0" fillId="6" borderId="37" xfId="0" applyFill="1" applyBorder="1" applyAlignment="1">
      <alignment horizontal="center" vertical="top" wrapText="1"/>
    </xf>
    <xf numFmtId="0" fontId="0" fillId="6" borderId="12" xfId="0" applyFill="1" applyBorder="1" applyAlignment="1">
      <alignment horizontal="center" vertical="top" wrapText="1"/>
    </xf>
    <xf numFmtId="0" fontId="0" fillId="6" borderId="57" xfId="0" applyFill="1" applyBorder="1" applyAlignment="1">
      <alignment horizontal="center" vertical="top" wrapText="1"/>
    </xf>
    <xf numFmtId="0" fontId="0" fillId="9" borderId="47" xfId="0" applyFill="1" applyBorder="1" applyAlignment="1">
      <alignment horizontal="center" vertical="center" wrapText="1"/>
    </xf>
    <xf numFmtId="0" fontId="0" fillId="5" borderId="61" xfId="0" applyFill="1" applyBorder="1" applyAlignment="1">
      <alignment horizontal="center" vertical="top" wrapText="1"/>
    </xf>
    <xf numFmtId="0" fontId="0" fillId="5" borderId="31" xfId="0" applyFill="1" applyBorder="1" applyAlignment="1">
      <alignment horizontal="center" vertical="top" wrapText="1"/>
    </xf>
    <xf numFmtId="0" fontId="0" fillId="5" borderId="40" xfId="0" applyFill="1" applyBorder="1" applyAlignment="1">
      <alignment horizontal="center" vertical="top" wrapText="1"/>
    </xf>
    <xf numFmtId="0" fontId="0" fillId="9" borderId="18" xfId="0" applyFill="1" applyBorder="1" applyAlignment="1">
      <alignment horizontal="center" vertical="top" wrapText="1"/>
    </xf>
    <xf numFmtId="0" fontId="0" fillId="9" borderId="37" xfId="0" applyFill="1" applyBorder="1" applyAlignment="1">
      <alignment horizontal="center" vertical="top" wrapText="1"/>
    </xf>
    <xf numFmtId="0" fontId="0" fillId="5" borderId="67" xfId="0" applyNumberFormat="1" applyFill="1" applyBorder="1" applyAlignment="1">
      <alignment horizontal="center" vertical="top" wrapText="1"/>
    </xf>
    <xf numFmtId="0" fontId="0" fillId="10" borderId="18" xfId="0" applyNumberFormat="1" applyFill="1" applyBorder="1" applyAlignment="1">
      <alignment horizontal="center" vertical="top" wrapText="1"/>
    </xf>
    <xf numFmtId="0" fontId="0" fillId="10" borderId="37" xfId="0" applyNumberFormat="1" applyFill="1" applyBorder="1" applyAlignment="1">
      <alignment horizontal="center" vertical="top" wrapText="1"/>
    </xf>
    <xf numFmtId="0" fontId="0" fillId="9" borderId="29" xfId="0" applyFill="1" applyBorder="1" applyAlignment="1">
      <alignment horizontal="center" vertical="top" wrapText="1"/>
    </xf>
    <xf numFmtId="0" fontId="0" fillId="9" borderId="39" xfId="0" applyFill="1" applyBorder="1" applyAlignment="1">
      <alignment horizontal="center" vertical="top" wrapText="1"/>
    </xf>
    <xf numFmtId="0" fontId="0" fillId="10" borderId="19" xfId="0" applyFill="1" applyBorder="1" applyAlignment="1">
      <alignment horizontal="center" vertical="top" wrapText="1"/>
    </xf>
    <xf numFmtId="0" fontId="0" fillId="10" borderId="62" xfId="0" applyFill="1" applyBorder="1" applyAlignment="1">
      <alignment horizontal="center" vertical="top" wrapText="1"/>
    </xf>
    <xf numFmtId="0" fontId="0" fillId="10" borderId="71" xfId="0" applyFill="1" applyBorder="1" applyAlignment="1">
      <alignment horizontal="center" vertical="top" wrapText="1"/>
    </xf>
    <xf numFmtId="0" fontId="0" fillId="10" borderId="37" xfId="0" applyFill="1" applyBorder="1" applyAlignment="1">
      <alignment horizontal="center" vertical="top" wrapText="1"/>
    </xf>
    <xf numFmtId="0" fontId="0" fillId="3" borderId="56" xfId="0" applyFill="1" applyBorder="1" applyAlignment="1">
      <alignment horizontal="center" vertical="center" textRotation="90" wrapText="1"/>
    </xf>
    <xf numFmtId="0" fontId="0" fillId="3" borderId="44" xfId="0" applyFill="1" applyBorder="1" applyAlignment="1">
      <alignment horizontal="center" vertical="center" textRotation="90" wrapText="1"/>
    </xf>
    <xf numFmtId="0" fontId="0" fillId="9" borderId="71" xfId="0" applyFill="1" applyBorder="1" applyAlignment="1">
      <alignment horizontal="center" vertical="top" wrapText="1"/>
    </xf>
    <xf numFmtId="0" fontId="0" fillId="5" borderId="64" xfId="0" applyNumberFormat="1" applyFill="1" applyBorder="1" applyAlignment="1">
      <alignment horizontal="center" vertical="top"/>
    </xf>
    <xf numFmtId="0" fontId="0" fillId="5" borderId="19" xfId="0" applyNumberFormat="1" applyFill="1" applyBorder="1" applyAlignment="1">
      <alignment horizontal="center" vertical="top"/>
    </xf>
    <xf numFmtId="0" fontId="0" fillId="5" borderId="62" xfId="0" applyNumberFormat="1" applyFill="1" applyBorder="1" applyAlignment="1">
      <alignment horizontal="center" vertical="top"/>
    </xf>
    <xf numFmtId="0" fontId="0" fillId="8" borderId="18" xfId="0" applyFill="1" applyBorder="1" applyAlignment="1">
      <alignment horizontal="center" vertical="top" wrapText="1"/>
    </xf>
    <xf numFmtId="0" fontId="0" fillId="8" borderId="37" xfId="0" applyFill="1" applyBorder="1" applyAlignment="1">
      <alignment horizontal="center" vertical="top" wrapText="1"/>
    </xf>
    <xf numFmtId="0" fontId="0" fillId="8" borderId="184" xfId="0" applyFill="1" applyBorder="1" applyAlignment="1">
      <alignment horizontal="center" vertical="top" wrapText="1"/>
    </xf>
    <xf numFmtId="0" fontId="0" fillId="8" borderId="40" xfId="0" applyFill="1" applyBorder="1" applyAlignment="1">
      <alignment horizontal="center" vertical="top" wrapText="1"/>
    </xf>
    <xf numFmtId="0" fontId="0" fillId="8" borderId="29" xfId="0" applyFill="1" applyBorder="1" applyAlignment="1">
      <alignment horizontal="center" vertical="top" wrapText="1"/>
    </xf>
    <xf numFmtId="0" fontId="0" fillId="8" borderId="39" xfId="0" applyFill="1" applyBorder="1" applyAlignment="1">
      <alignment horizontal="center" vertical="top" wrapText="1"/>
    </xf>
    <xf numFmtId="0" fontId="0" fillId="8" borderId="0" xfId="0" applyFill="1" applyBorder="1" applyAlignment="1">
      <alignment horizontal="center" vertical="top" wrapText="1"/>
    </xf>
    <xf numFmtId="0" fontId="0" fillId="8" borderId="47" xfId="0" applyFill="1" applyBorder="1" applyAlignment="1">
      <alignment horizontal="center" vertical="top" wrapText="1"/>
    </xf>
    <xf numFmtId="0" fontId="0" fillId="6" borderId="71" xfId="0" applyFill="1" applyBorder="1" applyAlignment="1">
      <alignment horizontal="center" vertical="top" wrapText="1"/>
    </xf>
    <xf numFmtId="0" fontId="0" fillId="6" borderId="21" xfId="0" applyFill="1" applyBorder="1" applyAlignment="1">
      <alignment horizontal="center" vertical="top" wrapText="1"/>
    </xf>
    <xf numFmtId="0" fontId="0" fillId="6" borderId="29" xfId="0" applyFill="1" applyBorder="1" applyAlignment="1">
      <alignment horizontal="center" vertical="top" wrapText="1"/>
    </xf>
    <xf numFmtId="0" fontId="0" fillId="6" borderId="39" xfId="0" applyFill="1" applyBorder="1" applyAlignment="1">
      <alignment horizontal="center" vertical="top" wrapText="1"/>
    </xf>
    <xf numFmtId="0" fontId="0" fillId="8" borderId="19" xfId="0" applyFill="1" applyBorder="1" applyAlignment="1">
      <alignment horizontal="center" vertical="top" wrapText="1"/>
    </xf>
    <xf numFmtId="0" fontId="0" fillId="8" borderId="62" xfId="0" applyFill="1" applyBorder="1" applyAlignment="1">
      <alignment horizontal="center" vertical="top" wrapText="1"/>
    </xf>
    <xf numFmtId="0" fontId="0" fillId="8" borderId="21" xfId="0" applyFill="1" applyBorder="1" applyAlignment="1">
      <alignment horizontal="center" vertical="top" wrapText="1"/>
    </xf>
    <xf numFmtId="0" fontId="0" fillId="8" borderId="12" xfId="0" applyFill="1" applyBorder="1" applyAlignment="1">
      <alignment horizontal="center" vertical="top" wrapText="1"/>
    </xf>
    <xf numFmtId="0" fontId="0" fillId="8" borderId="57" xfId="0" applyFill="1" applyBorder="1" applyAlignment="1">
      <alignment horizontal="center" vertical="top" wrapText="1"/>
    </xf>
    <xf numFmtId="0" fontId="0" fillId="5" borderId="84" xfId="0" applyFill="1" applyBorder="1" applyAlignment="1">
      <alignment horizontal="center" vertical="top" wrapText="1"/>
    </xf>
    <xf numFmtId="0" fontId="0" fillId="5" borderId="81" xfId="0" applyFill="1" applyBorder="1" applyAlignment="1">
      <alignment horizontal="center" vertical="top" wrapText="1"/>
    </xf>
    <xf numFmtId="0" fontId="0" fillId="5" borderId="88" xfId="0" applyFill="1" applyBorder="1" applyAlignment="1">
      <alignment horizontal="center" vertical="top"/>
    </xf>
    <xf numFmtId="0" fontId="0" fillId="5" borderId="19" xfId="0" applyFill="1" applyBorder="1" applyAlignment="1">
      <alignment horizontal="center" vertical="top"/>
    </xf>
    <xf numFmtId="0" fontId="0" fillId="5" borderId="86" xfId="0" applyNumberFormat="1" applyFill="1" applyBorder="1" applyAlignment="1">
      <alignment horizontal="center" vertical="top" wrapText="1"/>
    </xf>
    <xf numFmtId="0" fontId="0" fillId="5" borderId="46" xfId="0" applyNumberFormat="1" applyFill="1" applyBorder="1" applyAlignment="1">
      <alignment horizontal="center" vertical="top" wrapText="1"/>
    </xf>
    <xf numFmtId="0" fontId="0" fillId="8" borderId="96" xfId="0" applyFill="1" applyBorder="1" applyAlignment="1">
      <alignment horizontal="center" vertical="center" textRotation="90"/>
    </xf>
    <xf numFmtId="0" fontId="0" fillId="8" borderId="109" xfId="0" applyFill="1" applyBorder="1" applyAlignment="1">
      <alignment horizontal="center" vertical="center" textRotation="90"/>
    </xf>
    <xf numFmtId="0" fontId="0" fillId="4" borderId="44" xfId="0" applyFill="1" applyBorder="1" applyAlignment="1">
      <alignment horizontal="center" vertical="center" wrapText="1"/>
    </xf>
    <xf numFmtId="0" fontId="0" fillId="4" borderId="35" xfId="0" applyFill="1" applyBorder="1" applyAlignment="1">
      <alignment horizontal="center" vertical="center" wrapText="1"/>
    </xf>
    <xf numFmtId="0" fontId="0" fillId="3" borderId="35" xfId="0" applyFill="1" applyBorder="1" applyAlignment="1">
      <alignment horizontal="center" vertical="center" wrapText="1"/>
    </xf>
    <xf numFmtId="0" fontId="0" fillId="4" borderId="38" xfId="0" applyFill="1" applyBorder="1" applyAlignment="1">
      <alignment horizontal="center" vertical="center" wrapText="1"/>
    </xf>
    <xf numFmtId="0" fontId="0" fillId="4" borderId="73" xfId="0" applyFill="1" applyBorder="1" applyAlignment="1">
      <alignment horizontal="center" vertical="center" wrapText="1"/>
    </xf>
    <xf numFmtId="0" fontId="0" fillId="8" borderId="131" xfId="0" applyFill="1" applyBorder="1" applyAlignment="1">
      <alignment horizontal="center" vertical="center" textRotation="90"/>
    </xf>
    <xf numFmtId="0" fontId="0" fillId="8" borderId="174" xfId="0" applyFill="1" applyBorder="1" applyAlignment="1">
      <alignment horizontal="center" vertical="center" textRotation="90"/>
    </xf>
    <xf numFmtId="0" fontId="0" fillId="4" borderId="36" xfId="0" applyFill="1" applyBorder="1" applyAlignment="1">
      <alignment horizontal="center" vertical="center" wrapText="1"/>
    </xf>
    <xf numFmtId="0" fontId="0" fillId="0" borderId="0" xfId="0" applyAlignment="1">
      <alignment horizontal="center"/>
    </xf>
    <xf numFmtId="0" fontId="0" fillId="0" borderId="0" xfId="0" applyAlignment="1">
      <alignment horizontal="center" vertical="center"/>
    </xf>
    <xf numFmtId="0" fontId="0" fillId="33" borderId="129" xfId="0" applyNumberFormat="1" applyFill="1" applyBorder="1" applyAlignment="1">
      <alignment horizontal="center" vertical="center"/>
    </xf>
    <xf numFmtId="0" fontId="0" fillId="33" borderId="128" xfId="0" applyNumberFormat="1" applyFill="1" applyBorder="1" applyAlignment="1">
      <alignment horizontal="center" vertical="center"/>
    </xf>
    <xf numFmtId="0" fontId="0" fillId="32" borderId="129" xfId="0" applyNumberFormat="1" applyFill="1" applyBorder="1" applyAlignment="1">
      <alignment horizontal="center" vertical="center"/>
    </xf>
    <xf numFmtId="0" fontId="0" fillId="32" borderId="128" xfId="0" applyNumberFormat="1" applyFill="1" applyBorder="1" applyAlignment="1">
      <alignment horizontal="center" vertical="center"/>
    </xf>
    <xf numFmtId="0" fontId="0" fillId="32" borderId="0" xfId="0" applyNumberFormat="1" applyFill="1" applyBorder="1" applyAlignment="1">
      <alignment horizontal="center" vertical="center"/>
    </xf>
    <xf numFmtId="0" fontId="0" fillId="32" borderId="7" xfId="0" applyNumberFormat="1" applyFill="1" applyBorder="1" applyAlignment="1">
      <alignment horizontal="center" vertical="center"/>
    </xf>
    <xf numFmtId="0" fontId="0" fillId="32" borderId="84" xfId="0" applyFill="1" applyBorder="1" applyAlignment="1">
      <alignment horizontal="center" vertical="top" wrapText="1"/>
    </xf>
    <xf numFmtId="0" fontId="0" fillId="32" borderId="81" xfId="0" applyFill="1" applyBorder="1" applyAlignment="1">
      <alignment horizontal="center" vertical="top" wrapText="1"/>
    </xf>
    <xf numFmtId="0" fontId="0" fillId="32" borderId="94" xfId="0" applyFill="1" applyBorder="1" applyAlignment="1">
      <alignment horizontal="center" vertical="top" wrapText="1"/>
    </xf>
    <xf numFmtId="0" fontId="0" fillId="32" borderId="88" xfId="0" applyFill="1" applyBorder="1" applyAlignment="1">
      <alignment horizontal="center" vertical="top"/>
    </xf>
    <xf numFmtId="0" fontId="0" fillId="32" borderId="19" xfId="0" applyFill="1" applyBorder="1" applyAlignment="1">
      <alignment horizontal="center" vertical="top"/>
    </xf>
    <xf numFmtId="0" fontId="0" fillId="32" borderId="62" xfId="0" applyFill="1" applyBorder="1" applyAlignment="1">
      <alignment horizontal="center" vertical="top"/>
    </xf>
    <xf numFmtId="0" fontId="0" fillId="32" borderId="89" xfId="0" applyFill="1" applyBorder="1" applyAlignment="1">
      <alignment horizontal="center" vertical="top"/>
    </xf>
    <xf numFmtId="0" fontId="0" fillId="32" borderId="18" xfId="0" applyFill="1" applyBorder="1" applyAlignment="1">
      <alignment horizontal="center" vertical="top"/>
    </xf>
    <xf numFmtId="0" fontId="0" fillId="32" borderId="37" xfId="0" applyFill="1" applyBorder="1" applyAlignment="1">
      <alignment horizontal="center" vertical="top"/>
    </xf>
    <xf numFmtId="0" fontId="0" fillId="32" borderId="86" xfId="0" applyNumberFormat="1" applyFill="1" applyBorder="1" applyAlignment="1">
      <alignment horizontal="center" vertical="top" wrapText="1"/>
    </xf>
    <xf numFmtId="0" fontId="0" fillId="32" borderId="29" xfId="0" applyNumberFormat="1" applyFill="1" applyBorder="1" applyAlignment="1">
      <alignment horizontal="center" vertical="top" wrapText="1"/>
    </xf>
    <xf numFmtId="0" fontId="0" fillId="32" borderId="39" xfId="0" applyNumberFormat="1" applyFill="1" applyBorder="1" applyAlignment="1">
      <alignment horizontal="center" vertical="top" wrapText="1"/>
    </xf>
    <xf numFmtId="0" fontId="0" fillId="32" borderId="31" xfId="0" applyNumberFormat="1" applyFill="1" applyBorder="1" applyAlignment="1">
      <alignment horizontal="center" vertical="top" wrapText="1"/>
    </xf>
    <xf numFmtId="0" fontId="0" fillId="32" borderId="40" xfId="0" applyNumberFormat="1" applyFill="1" applyBorder="1" applyAlignment="1">
      <alignment horizontal="center" vertical="top" wrapText="1"/>
    </xf>
    <xf numFmtId="0" fontId="0" fillId="32" borderId="127" xfId="0" applyNumberFormat="1" applyFill="1" applyBorder="1" applyAlignment="1">
      <alignment horizontal="center" vertical="center"/>
    </xf>
    <xf numFmtId="0" fontId="0" fillId="32" borderId="96" xfId="0" applyNumberFormat="1" applyFill="1" applyBorder="1" applyAlignment="1">
      <alignment horizontal="center" vertical="center" textRotation="90" wrapText="1"/>
    </xf>
    <xf numFmtId="0" fontId="0" fillId="32" borderId="109" xfId="0" applyNumberFormat="1" applyFill="1" applyBorder="1" applyAlignment="1">
      <alignment horizontal="center" vertical="center" textRotation="90" wrapText="1"/>
    </xf>
    <xf numFmtId="0" fontId="0" fillId="5" borderId="131" xfId="0" applyNumberFormat="1" applyFill="1" applyBorder="1" applyAlignment="1">
      <alignment horizontal="center" vertical="center" textRotation="90" wrapText="1"/>
    </xf>
    <xf numFmtId="0" fontId="0" fillId="5" borderId="96" xfId="0" applyNumberFormat="1" applyFill="1" applyBorder="1" applyAlignment="1">
      <alignment horizontal="center" vertical="center" textRotation="90" wrapText="1"/>
    </xf>
    <xf numFmtId="0" fontId="0" fillId="5" borderId="109" xfId="0" applyNumberFormat="1" applyFill="1" applyBorder="1" applyAlignment="1">
      <alignment horizontal="center" vertical="center" textRotation="90" wrapText="1"/>
    </xf>
    <xf numFmtId="0" fontId="0" fillId="5" borderId="133" xfId="0" applyNumberFormat="1" applyFill="1" applyBorder="1" applyAlignment="1">
      <alignment horizontal="center" vertical="center"/>
    </xf>
    <xf numFmtId="0" fontId="0" fillId="5" borderId="141" xfId="0" applyNumberFormat="1" applyFill="1" applyBorder="1" applyAlignment="1">
      <alignment horizontal="center" vertical="center"/>
    </xf>
    <xf numFmtId="0" fontId="0" fillId="12" borderId="133" xfId="0" applyNumberFormat="1" applyFill="1" applyBorder="1" applyAlignment="1">
      <alignment horizontal="center" vertical="center"/>
    </xf>
    <xf numFmtId="0" fontId="0" fillId="12" borderId="141" xfId="0" applyNumberFormat="1" applyFill="1" applyBorder="1" applyAlignment="1">
      <alignment horizontal="center" vertical="center"/>
    </xf>
    <xf numFmtId="0" fontId="0" fillId="5" borderId="142" xfId="0" applyNumberFormat="1" applyFill="1" applyBorder="1" applyAlignment="1">
      <alignment horizontal="center" vertical="center"/>
    </xf>
    <xf numFmtId="0" fontId="0" fillId="12" borderId="142" xfId="0" applyNumberFormat="1" applyFill="1" applyBorder="1" applyAlignment="1">
      <alignment horizontal="center" vertical="center"/>
    </xf>
    <xf numFmtId="0" fontId="0" fillId="5" borderId="7" xfId="0" applyNumberFormat="1" applyFill="1" applyBorder="1" applyAlignment="1">
      <alignment horizontal="center" vertical="center"/>
    </xf>
    <xf numFmtId="0" fontId="0" fillId="5" borderId="10" xfId="0" applyNumberFormat="1" applyFill="1" applyBorder="1" applyAlignment="1">
      <alignment horizontal="center" vertical="center"/>
    </xf>
    <xf numFmtId="0" fontId="0" fillId="5" borderId="134" xfId="0" applyNumberFormat="1" applyFill="1" applyBorder="1" applyAlignment="1">
      <alignment horizontal="center" vertical="center"/>
    </xf>
    <xf numFmtId="0" fontId="0" fillId="5" borderId="143" xfId="0" applyNumberFormat="1" applyFill="1" applyBorder="1" applyAlignment="1">
      <alignment horizontal="center" vertical="center"/>
    </xf>
    <xf numFmtId="0" fontId="0" fillId="12" borderId="0" xfId="0" applyNumberFormat="1" applyFill="1" applyBorder="1" applyAlignment="1">
      <alignment horizontal="center" vertical="center"/>
    </xf>
    <xf numFmtId="0" fontId="0" fillId="12" borderId="134" xfId="0" applyNumberFormat="1" applyFill="1" applyBorder="1" applyAlignment="1">
      <alignment horizontal="center" vertical="center"/>
    </xf>
    <xf numFmtId="0" fontId="0" fillId="12" borderId="143" xfId="0" applyNumberFormat="1" applyFill="1" applyBorder="1" applyAlignment="1">
      <alignment horizontal="center" vertical="center"/>
    </xf>
    <xf numFmtId="0" fontId="0" fillId="32" borderId="50" xfId="0" applyNumberFormat="1" applyFill="1" applyBorder="1" applyAlignment="1">
      <alignment horizontal="left" vertical="top" wrapText="1"/>
    </xf>
    <xf numFmtId="0" fontId="0" fillId="32" borderId="12" xfId="0" applyNumberFormat="1" applyFill="1" applyBorder="1" applyAlignment="1">
      <alignment horizontal="left" vertical="top" wrapText="1"/>
    </xf>
    <xf numFmtId="170" fontId="0" fillId="32" borderId="12" xfId="0" applyNumberFormat="1" applyFill="1" applyBorder="1" applyAlignment="1">
      <alignment horizontal="left" vertical="center" wrapText="1"/>
    </xf>
    <xf numFmtId="170" fontId="0" fillId="32" borderId="30" xfId="0" applyNumberFormat="1" applyFill="1" applyBorder="1" applyAlignment="1">
      <alignment horizontal="left" vertical="center" wrapText="1"/>
    </xf>
    <xf numFmtId="0" fontId="0" fillId="32" borderId="51" xfId="0" applyNumberFormat="1" applyFill="1" applyBorder="1" applyAlignment="1">
      <alignment horizontal="left" vertical="center" wrapText="1"/>
    </xf>
    <xf numFmtId="0" fontId="0" fillId="32" borderId="10" xfId="0" applyNumberFormat="1" applyFill="1" applyBorder="1" applyAlignment="1">
      <alignment horizontal="left" vertical="center" wrapText="1"/>
    </xf>
    <xf numFmtId="0" fontId="0" fillId="32" borderId="33" xfId="0" applyNumberFormat="1" applyFill="1" applyBorder="1" applyAlignment="1">
      <alignment horizontal="left" vertical="center" wrapText="1"/>
    </xf>
    <xf numFmtId="0" fontId="0" fillId="32" borderId="4" xfId="0" applyNumberFormat="1" applyFill="1" applyBorder="1" applyAlignment="1">
      <alignment horizontal="left" vertical="center" wrapText="1"/>
    </xf>
    <xf numFmtId="0" fontId="0" fillId="32" borderId="0" xfId="0" applyNumberFormat="1" applyFill="1" applyBorder="1" applyAlignment="1">
      <alignment horizontal="left" vertical="center" wrapText="1"/>
    </xf>
    <xf numFmtId="0" fontId="0" fillId="32" borderId="5" xfId="0" applyNumberFormat="1" applyFill="1" applyBorder="1" applyAlignment="1">
      <alignment horizontal="left" vertical="center" wrapText="1"/>
    </xf>
    <xf numFmtId="0" fontId="0" fillId="32" borderId="50" xfId="0" applyNumberFormat="1" applyFill="1" applyBorder="1" applyAlignment="1">
      <alignment horizontal="left" vertical="center" wrapText="1"/>
    </xf>
    <xf numFmtId="0" fontId="0" fillId="32" borderId="12" xfId="0" applyNumberFormat="1" applyFill="1" applyBorder="1" applyAlignment="1">
      <alignment horizontal="left" vertical="center" wrapText="1"/>
    </xf>
    <xf numFmtId="0" fontId="0" fillId="32" borderId="30" xfId="0" applyNumberFormat="1" applyFill="1" applyBorder="1" applyAlignment="1">
      <alignment horizontal="left" vertical="center" wrapText="1"/>
    </xf>
    <xf numFmtId="0" fontId="1" fillId="32" borderId="4" xfId="0" applyNumberFormat="1" applyFont="1" applyFill="1" applyBorder="1" applyAlignment="1">
      <alignment horizontal="left" vertical="top" wrapText="1"/>
    </xf>
    <xf numFmtId="0" fontId="1" fillId="32" borderId="0" xfId="0" applyNumberFormat="1" applyFont="1" applyFill="1" applyBorder="1" applyAlignment="1">
      <alignment horizontal="left" vertical="top" wrapText="1"/>
    </xf>
    <xf numFmtId="178" fontId="1" fillId="32" borderId="0" xfId="0" applyNumberFormat="1" applyFont="1" applyFill="1" applyBorder="1" applyAlignment="1">
      <alignment horizontal="left" vertical="center" wrapText="1"/>
    </xf>
    <xf numFmtId="178" fontId="1" fillId="32" borderId="5" xfId="0" applyNumberFormat="1" applyFont="1" applyFill="1" applyBorder="1" applyAlignment="1">
      <alignment horizontal="left" vertical="center" wrapText="1"/>
    </xf>
    <xf numFmtId="0" fontId="0" fillId="32" borderId="4" xfId="0" applyNumberFormat="1" applyFill="1" applyBorder="1" applyAlignment="1">
      <alignment horizontal="left" vertical="top"/>
    </xf>
    <xf numFmtId="0" fontId="0" fillId="32" borderId="0" xfId="0" applyNumberFormat="1" applyFill="1" applyBorder="1" applyAlignment="1">
      <alignment horizontal="left" vertical="top"/>
    </xf>
    <xf numFmtId="177" fontId="0" fillId="32" borderId="0" xfId="0" applyNumberFormat="1" applyFill="1" applyBorder="1" applyAlignment="1">
      <alignment horizontal="left" vertical="center" wrapText="1"/>
    </xf>
    <xf numFmtId="177" fontId="0" fillId="32" borderId="5" xfId="0" applyNumberFormat="1" applyFill="1" applyBorder="1" applyAlignment="1">
      <alignment horizontal="left" vertical="center" wrapText="1"/>
    </xf>
    <xf numFmtId="0" fontId="5" fillId="33" borderId="76" xfId="0" applyFont="1" applyFill="1" applyBorder="1" applyAlignment="1">
      <alignment horizontal="center" vertical="center" wrapText="1"/>
    </xf>
    <xf numFmtId="0" fontId="1" fillId="32" borderId="51" xfId="0" quotePrefix="1" applyFont="1" applyFill="1" applyBorder="1" applyAlignment="1">
      <alignment horizontal="center" vertical="center" wrapText="1"/>
    </xf>
    <xf numFmtId="0" fontId="1" fillId="32" borderId="10" xfId="0" quotePrefix="1" applyFont="1" applyFill="1" applyBorder="1" applyAlignment="1">
      <alignment horizontal="center" vertical="center" wrapText="1"/>
    </xf>
    <xf numFmtId="0" fontId="1" fillId="32" borderId="33" xfId="0" quotePrefix="1" applyFont="1" applyFill="1" applyBorder="1" applyAlignment="1">
      <alignment horizontal="center" vertical="center" wrapText="1"/>
    </xf>
    <xf numFmtId="167" fontId="5" fillId="32" borderId="4" xfId="0" applyNumberFormat="1" applyFont="1" applyFill="1" applyBorder="1" applyAlignment="1">
      <alignment horizontal="left" vertical="top"/>
    </xf>
    <xf numFmtId="167" fontId="5" fillId="32" borderId="0" xfId="0" applyNumberFormat="1" applyFont="1" applyFill="1" applyBorder="1" applyAlignment="1">
      <alignment horizontal="left" vertical="top"/>
    </xf>
    <xf numFmtId="179" fontId="0" fillId="32" borderId="0" xfId="0" applyNumberFormat="1" applyFont="1" applyFill="1" applyBorder="1" applyAlignment="1">
      <alignment horizontal="left" vertical="center"/>
    </xf>
    <xf numFmtId="179" fontId="0" fillId="32" borderId="5" xfId="0" applyNumberFormat="1" applyFont="1" applyFill="1" applyBorder="1" applyAlignment="1">
      <alignment horizontal="left" vertical="center"/>
    </xf>
    <xf numFmtId="0" fontId="0" fillId="32" borderId="6" xfId="0" applyNumberFormat="1" applyFill="1" applyBorder="1" applyAlignment="1">
      <alignment horizontal="left" vertical="center" wrapText="1"/>
    </xf>
    <xf numFmtId="0" fontId="0" fillId="32" borderId="7" xfId="0" applyNumberFormat="1" applyFill="1" applyBorder="1" applyAlignment="1">
      <alignment horizontal="left" vertical="center" wrapText="1"/>
    </xf>
    <xf numFmtId="0" fontId="0" fillId="32" borderId="8" xfId="0" applyNumberFormat="1" applyFill="1" applyBorder="1" applyAlignment="1">
      <alignment horizontal="left" vertical="center" wrapText="1"/>
    </xf>
    <xf numFmtId="166" fontId="19" fillId="34" borderId="204" xfId="0" applyNumberFormat="1" applyFont="1" applyFill="1" applyBorder="1" applyAlignment="1">
      <alignment horizontal="center" vertical="center" textRotation="90" wrapText="1"/>
    </xf>
    <xf numFmtId="166" fontId="19" fillId="34" borderId="96" xfId="0" applyNumberFormat="1" applyFont="1" applyFill="1" applyBorder="1" applyAlignment="1">
      <alignment horizontal="center" vertical="center" textRotation="90" wrapText="1"/>
    </xf>
    <xf numFmtId="166" fontId="19" fillId="34" borderId="109" xfId="0" applyNumberFormat="1" applyFont="1" applyFill="1" applyBorder="1" applyAlignment="1">
      <alignment horizontal="center" vertical="center" textRotation="90" wrapText="1"/>
    </xf>
    <xf numFmtId="166" fontId="20" fillId="34" borderId="3" xfId="0" quotePrefix="1" applyNumberFormat="1" applyFont="1" applyFill="1" applyBorder="1" applyAlignment="1">
      <alignment horizontal="center" vertical="center" textRotation="90" wrapText="1"/>
    </xf>
    <xf numFmtId="166" fontId="20" fillId="34" borderId="5" xfId="0" quotePrefix="1" applyNumberFormat="1" applyFont="1" applyFill="1" applyBorder="1" applyAlignment="1">
      <alignment horizontal="center" vertical="center" textRotation="90" wrapText="1"/>
    </xf>
    <xf numFmtId="166" fontId="20" fillId="34" borderId="8" xfId="0" quotePrefix="1" applyNumberFormat="1" applyFont="1" applyFill="1" applyBorder="1" applyAlignment="1">
      <alignment horizontal="center" vertical="center" textRotation="90" wrapText="1"/>
    </xf>
    <xf numFmtId="169" fontId="10" fillId="34" borderId="15" xfId="0" applyNumberFormat="1" applyFont="1" applyFill="1" applyBorder="1" applyAlignment="1">
      <alignment horizontal="center" vertical="center" wrapText="1"/>
    </xf>
    <xf numFmtId="168" fontId="19" fillId="34" borderId="14" xfId="0" applyNumberFormat="1" applyFont="1" applyFill="1" applyBorder="1" applyAlignment="1">
      <alignment horizontal="center" vertical="center" wrapText="1"/>
    </xf>
    <xf numFmtId="168" fontId="19" fillId="34" borderId="15" xfId="0" applyNumberFormat="1" applyFont="1" applyFill="1" applyBorder="1" applyAlignment="1">
      <alignment horizontal="center" vertical="center" wrapText="1"/>
    </xf>
    <xf numFmtId="168" fontId="19" fillId="34" borderId="16" xfId="0" applyNumberFormat="1" applyFont="1" applyFill="1" applyBorder="1" applyAlignment="1">
      <alignment horizontal="center" vertical="center" wrapText="1"/>
    </xf>
  </cellXfs>
  <cellStyles count="4">
    <cellStyle name="Currency" xfId="2" builtinId="4"/>
    <cellStyle name="Hyperlink" xfId="3" builtinId="8"/>
    <cellStyle name="Normal" xfId="0" builtinId="0"/>
    <cellStyle name="Percent" xfId="1" builtinId="5"/>
  </cellStyles>
  <dxfs count="137">
    <dxf>
      <font>
        <b/>
        <i val="0"/>
      </font>
    </dxf>
    <dxf>
      <font>
        <b val="0"/>
        <i val="0"/>
      </font>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dxf>
    <dxf>
      <font>
        <b/>
        <i val="0"/>
      </font>
    </dxf>
    <dxf>
      <font>
        <b val="0"/>
        <i val="0"/>
      </font>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theme="0"/>
      </font>
      <fill>
        <patternFill>
          <bgColor theme="8" tint="-0.24994659260841701"/>
        </patternFill>
      </fill>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numFmt numFmtId="186" formatCode="m/d/yyyy"/>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ill>
        <patternFill>
          <bgColor theme="8" tint="0.79998168889431442"/>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b/>
        <i val="0"/>
      </font>
    </dxf>
    <dxf>
      <font>
        <b val="0"/>
        <i val="0"/>
      </font>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color theme="5"/>
      </font>
    </dxf>
    <dxf>
      <font>
        <color rgb="FF000000"/>
      </font>
      <fill>
        <patternFill>
          <fgColor indexed="64"/>
          <bgColor rgb="FFAEAE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CBE8"/>
        </patternFill>
      </fill>
    </dxf>
    <dxf>
      <font>
        <color rgb="FF000000"/>
      </font>
      <fill>
        <patternFill>
          <fgColor indexed="64"/>
          <bgColor rgb="FFAEAEE8"/>
        </patternFill>
      </fill>
    </dxf>
    <dxf>
      <font>
        <color rgb="FF000000"/>
      </font>
      <fill>
        <patternFill>
          <fgColor indexed="64"/>
          <bgColor rgb="FFE8AEE8"/>
        </patternFill>
      </fill>
    </dxf>
    <dxf>
      <font>
        <color rgb="FF000000"/>
      </font>
      <fill>
        <patternFill>
          <fgColor indexed="64"/>
          <bgColor rgb="FFE8AECB"/>
        </patternFill>
      </fill>
    </dxf>
    <dxf>
      <font>
        <color rgb="FF000000"/>
      </font>
      <fill>
        <patternFill>
          <fgColor indexed="64"/>
          <bgColor rgb="FFAEE8E8"/>
        </patternFill>
      </fill>
    </dxf>
    <dxf>
      <font>
        <color rgb="FF000000"/>
      </font>
      <fill>
        <patternFill>
          <fgColor indexed="64"/>
          <bgColor rgb="FFAEE8AE"/>
        </patternFill>
      </fill>
    </dxf>
    <dxf>
      <font>
        <color rgb="FF000000"/>
      </font>
      <fill>
        <patternFill>
          <fgColor indexed="64"/>
          <bgColor rgb="FFCBE8AE"/>
        </patternFill>
      </fill>
    </dxf>
    <dxf>
      <font>
        <color rgb="FF000000"/>
      </font>
      <fill>
        <patternFill>
          <fgColor indexed="64"/>
          <bgColor rgb="FFE8E8AE"/>
        </patternFill>
      </fill>
    </dxf>
    <dxf>
      <font>
        <color rgb="FF000000"/>
      </font>
      <fill>
        <patternFill>
          <fgColor indexed="64"/>
          <bgColor rgb="FFB7D19D"/>
        </patternFill>
      </fill>
    </dxf>
    <dxf>
      <font>
        <color rgb="FF000000"/>
      </font>
      <fill>
        <patternFill>
          <bgColor rgb="FFAEE8CB"/>
        </patternFill>
      </fill>
    </dxf>
    <dxf>
      <font>
        <color rgb="FF000000"/>
      </font>
      <fill>
        <patternFill>
          <bgColor rgb="FFE8CBAE"/>
        </patternFill>
      </fill>
    </dxf>
    <dxf>
      <font>
        <color rgb="FF000000"/>
      </font>
      <fill>
        <patternFill>
          <bgColor rgb="FFE8AEAE"/>
        </patternFill>
      </fill>
    </dxf>
    <dxf>
      <font>
        <color rgb="FFFFFFFF"/>
      </font>
      <fill>
        <patternFill>
          <bgColor rgb="FF000000"/>
        </patternFill>
      </fill>
    </dxf>
    <dxf>
      <font>
        <b/>
        <i val="0"/>
      </font>
    </dxf>
    <dxf>
      <font>
        <color theme="0"/>
      </font>
      <fill>
        <patternFill>
          <bgColor theme="8" tint="-0.24994659260841701"/>
        </patternFill>
      </fill>
    </dxf>
    <dxf>
      <font>
        <b/>
        <i val="0"/>
      </font>
    </dxf>
    <dxf>
      <font>
        <b val="0"/>
        <i val="0"/>
      </font>
    </dxf>
    <dxf>
      <fill>
        <patternFill>
          <bgColor theme="8" tint="0.79998168889431442"/>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39994506668294322"/>
        </patternFill>
      </fill>
    </dxf>
    <dxf>
      <fill>
        <patternFill>
          <bgColor theme="8"/>
        </patternFill>
      </fill>
    </dxf>
    <dxf>
      <font>
        <color theme="0"/>
      </font>
      <fill>
        <patternFill>
          <bgColor theme="8" tint="-0.24994659260841701"/>
        </patternFill>
      </fill>
    </dxf>
    <dxf>
      <font>
        <color theme="0"/>
      </font>
      <fill>
        <patternFill>
          <bgColor theme="8" tint="-0.499984740745262"/>
        </patternFill>
      </fill>
    </dxf>
    <dxf>
      <font>
        <color theme="5"/>
      </font>
    </dxf>
    <dxf>
      <font>
        <b/>
        <i val="0"/>
      </font>
    </dxf>
    <dxf>
      <font>
        <b val="0"/>
        <i val="0"/>
      </font>
    </dxf>
    <dxf>
      <font>
        <color theme="0" tint="-0.499984740745262"/>
      </font>
    </dxf>
  </dxfs>
  <tableStyles count="0" defaultTableStyle="TableStyleMedium2" defaultPivotStyle="PivotStyleLight16"/>
  <colors>
    <mruColors>
      <color rgb="FF00066B"/>
      <color rgb="FF004F8C"/>
      <color rgb="FF003D6B"/>
      <color rgb="FFAADAFF"/>
      <color rgb="FF79C5FF"/>
      <color rgb="FF1097FF"/>
      <color rgb="FF9BBB59"/>
      <color rgb="FF8064A2"/>
      <color rgb="FF01FF86"/>
      <color rgb="FF949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Session Durations at Specific Weekly Duration with Current Sport Selection</a:t>
            </a:r>
          </a:p>
        </c:rich>
      </c:tx>
      <c:overlay val="0"/>
    </c:title>
    <c:autoTitleDeleted val="0"/>
    <c:plotArea>
      <c:layout>
        <c:manualLayout>
          <c:layoutTarget val="inner"/>
          <c:xMode val="edge"/>
          <c:yMode val="edge"/>
          <c:x val="0.22397199324821834"/>
          <c:y val="0.12625874829923814"/>
          <c:w val="0.7568970525775266"/>
          <c:h val="0.74965445352769289"/>
        </c:manualLayout>
      </c:layout>
      <c:scatterChart>
        <c:scatterStyle val="lineMarker"/>
        <c:varyColors val="0"/>
        <c:ser>
          <c:idx val="0"/>
          <c:order val="0"/>
          <c:tx>
            <c:strRef>
              <c:f>Controls!$AH$5</c:f>
              <c:strCache>
                <c:ptCount val="1"/>
                <c:pt idx="0">
                  <c:v>Recovery</c:v>
                </c:pt>
              </c:strCache>
            </c:strRef>
          </c:tx>
          <c:marker>
            <c:symbol val="none"/>
          </c:marker>
          <c:xVal>
            <c:numRef>
              <c:f>Controls!$AJ$3:$AV$3</c:f>
            </c:numRef>
          </c:xVal>
          <c:yVal>
            <c:numRef>
              <c:f>Controls!$AJ$5:$AV$5</c:f>
            </c:numRef>
          </c:yVal>
          <c:smooth val="0"/>
          <c:extLst>
            <c:ext xmlns:c16="http://schemas.microsoft.com/office/drawing/2014/chart" uri="{C3380CC4-5D6E-409C-BE32-E72D297353CC}">
              <c16:uniqueId val="{00000000-235D-4E6B-9779-A27996ED1EDA}"/>
            </c:ext>
          </c:extLst>
        </c:ser>
        <c:ser>
          <c:idx val="1"/>
          <c:order val="1"/>
          <c:tx>
            <c:strRef>
              <c:f>Controls!$AH$6</c:f>
              <c:strCache>
                <c:ptCount val="1"/>
                <c:pt idx="0">
                  <c:v>Easy</c:v>
                </c:pt>
              </c:strCache>
            </c:strRef>
          </c:tx>
          <c:marker>
            <c:symbol val="none"/>
          </c:marker>
          <c:xVal>
            <c:numRef>
              <c:f>Controls!$AJ$3:$AV$3</c:f>
            </c:numRef>
          </c:xVal>
          <c:yVal>
            <c:numRef>
              <c:f>Controls!$AJ$6:$AV$6</c:f>
            </c:numRef>
          </c:yVal>
          <c:smooth val="0"/>
          <c:extLst>
            <c:ext xmlns:c16="http://schemas.microsoft.com/office/drawing/2014/chart" uri="{C3380CC4-5D6E-409C-BE32-E72D297353CC}">
              <c16:uniqueId val="{00000001-235D-4E6B-9779-A27996ED1EDA}"/>
            </c:ext>
          </c:extLst>
        </c:ser>
        <c:ser>
          <c:idx val="2"/>
          <c:order val="2"/>
          <c:tx>
            <c:strRef>
              <c:f>Controls!$AH$7</c:f>
              <c:strCache>
                <c:ptCount val="1"/>
                <c:pt idx="0">
                  <c:v>Steady Run</c:v>
                </c:pt>
              </c:strCache>
            </c:strRef>
          </c:tx>
          <c:marker>
            <c:symbol val="none"/>
          </c:marker>
          <c:xVal>
            <c:numRef>
              <c:f>Controls!$AJ$3:$AV$3</c:f>
            </c:numRef>
          </c:xVal>
          <c:yVal>
            <c:numRef>
              <c:f>Controls!$AJ$7:$AV$7</c:f>
            </c:numRef>
          </c:yVal>
          <c:smooth val="0"/>
          <c:extLst>
            <c:ext xmlns:c16="http://schemas.microsoft.com/office/drawing/2014/chart" uri="{C3380CC4-5D6E-409C-BE32-E72D297353CC}">
              <c16:uniqueId val="{00000002-235D-4E6B-9779-A27996ED1EDA}"/>
            </c:ext>
          </c:extLst>
        </c:ser>
        <c:ser>
          <c:idx val="3"/>
          <c:order val="3"/>
          <c:tx>
            <c:strRef>
              <c:f>Controls!$AH$8</c:f>
              <c:strCache>
                <c:ptCount val="1"/>
                <c:pt idx="0">
                  <c:v>Steady Cycle</c:v>
                </c:pt>
              </c:strCache>
            </c:strRef>
          </c:tx>
          <c:marker>
            <c:symbol val="none"/>
          </c:marker>
          <c:xVal>
            <c:numRef>
              <c:f>Controls!$AJ$3:$AV$3</c:f>
            </c:numRef>
          </c:xVal>
          <c:yVal>
            <c:numRef>
              <c:f>Controls!$AJ$8:$AV$8</c:f>
            </c:numRef>
          </c:yVal>
          <c:smooth val="0"/>
          <c:extLst>
            <c:ext xmlns:c16="http://schemas.microsoft.com/office/drawing/2014/chart" uri="{C3380CC4-5D6E-409C-BE32-E72D297353CC}">
              <c16:uniqueId val="{00000003-235D-4E6B-9779-A27996ED1EDA}"/>
            </c:ext>
          </c:extLst>
        </c:ser>
        <c:ser>
          <c:idx val="4"/>
          <c:order val="4"/>
          <c:tx>
            <c:strRef>
              <c:f>Controls!$AH$9</c:f>
              <c:strCache>
                <c:ptCount val="1"/>
                <c:pt idx="0">
                  <c:v>Long Run</c:v>
                </c:pt>
              </c:strCache>
            </c:strRef>
          </c:tx>
          <c:marker>
            <c:symbol val="none"/>
          </c:marker>
          <c:xVal>
            <c:numRef>
              <c:f>Controls!$AJ$3:$AV$3</c:f>
            </c:numRef>
          </c:xVal>
          <c:yVal>
            <c:numRef>
              <c:f>Controls!$AJ$9:$AV$9</c:f>
            </c:numRef>
          </c:yVal>
          <c:smooth val="0"/>
          <c:extLst>
            <c:ext xmlns:c16="http://schemas.microsoft.com/office/drawing/2014/chart" uri="{C3380CC4-5D6E-409C-BE32-E72D297353CC}">
              <c16:uniqueId val="{00000004-235D-4E6B-9779-A27996ED1EDA}"/>
            </c:ext>
          </c:extLst>
        </c:ser>
        <c:ser>
          <c:idx val="5"/>
          <c:order val="5"/>
          <c:tx>
            <c:strRef>
              <c:f>Controls!$AH$10</c:f>
              <c:strCache>
                <c:ptCount val="1"/>
                <c:pt idx="0">
                  <c:v>Long Cycle</c:v>
                </c:pt>
              </c:strCache>
            </c:strRef>
          </c:tx>
          <c:marker>
            <c:symbol val="none"/>
          </c:marker>
          <c:xVal>
            <c:numRef>
              <c:f>Controls!$AJ$3:$AV$3</c:f>
            </c:numRef>
          </c:xVal>
          <c:yVal>
            <c:numRef>
              <c:f>Controls!$AJ$10:$AV$10</c:f>
            </c:numRef>
          </c:yVal>
          <c:smooth val="0"/>
          <c:extLst>
            <c:ext xmlns:c16="http://schemas.microsoft.com/office/drawing/2014/chart" uri="{C3380CC4-5D6E-409C-BE32-E72D297353CC}">
              <c16:uniqueId val="{00000005-235D-4E6B-9779-A27996ED1EDA}"/>
            </c:ext>
          </c:extLst>
        </c:ser>
        <c:ser>
          <c:idx val="6"/>
          <c:order val="6"/>
          <c:tx>
            <c:strRef>
              <c:f>Controls!$AH$11</c:f>
              <c:strCache>
                <c:ptCount val="1"/>
                <c:pt idx="0">
                  <c:v>Subthreshold</c:v>
                </c:pt>
              </c:strCache>
            </c:strRef>
          </c:tx>
          <c:marker>
            <c:symbol val="none"/>
          </c:marker>
          <c:xVal>
            <c:numRef>
              <c:f>Controls!$AJ$3:$AV$3</c:f>
            </c:numRef>
          </c:xVal>
          <c:yVal>
            <c:numRef>
              <c:f>Controls!$AJ$11:$AV$11</c:f>
            </c:numRef>
          </c:yVal>
          <c:smooth val="0"/>
          <c:extLst>
            <c:ext xmlns:c16="http://schemas.microsoft.com/office/drawing/2014/chart" uri="{C3380CC4-5D6E-409C-BE32-E72D297353CC}">
              <c16:uniqueId val="{00000006-235D-4E6B-9779-A27996ED1EDA}"/>
            </c:ext>
          </c:extLst>
        </c:ser>
        <c:ser>
          <c:idx val="7"/>
          <c:order val="7"/>
          <c:tx>
            <c:strRef>
              <c:f>Controls!$AH$12</c:f>
              <c:strCache>
                <c:ptCount val="1"/>
                <c:pt idx="0">
                  <c:v>Tempo</c:v>
                </c:pt>
              </c:strCache>
            </c:strRef>
          </c:tx>
          <c:marker>
            <c:symbol val="none"/>
          </c:marker>
          <c:xVal>
            <c:numRef>
              <c:f>Controls!$AJ$3:$AV$3</c:f>
            </c:numRef>
          </c:xVal>
          <c:yVal>
            <c:numRef>
              <c:f>Controls!$AJ$12:$AV$12</c:f>
            </c:numRef>
          </c:yVal>
          <c:smooth val="0"/>
          <c:extLst>
            <c:ext xmlns:c16="http://schemas.microsoft.com/office/drawing/2014/chart" uri="{C3380CC4-5D6E-409C-BE32-E72D297353CC}">
              <c16:uniqueId val="{00000007-235D-4E6B-9779-A27996ED1EDA}"/>
            </c:ext>
          </c:extLst>
        </c:ser>
        <c:ser>
          <c:idx val="8"/>
          <c:order val="8"/>
          <c:tx>
            <c:strRef>
              <c:f>Controls!$AH$13</c:f>
              <c:strCache>
                <c:ptCount val="1"/>
                <c:pt idx="0">
                  <c:v>Hill Tempo</c:v>
                </c:pt>
              </c:strCache>
            </c:strRef>
          </c:tx>
          <c:marker>
            <c:symbol val="none"/>
          </c:marker>
          <c:xVal>
            <c:numRef>
              <c:f>Controls!$AJ$3:$AV$3</c:f>
            </c:numRef>
          </c:xVal>
          <c:yVal>
            <c:numRef>
              <c:f>Controls!$AJ$13:$AV$13</c:f>
            </c:numRef>
          </c:yVal>
          <c:smooth val="0"/>
          <c:extLst>
            <c:ext xmlns:c16="http://schemas.microsoft.com/office/drawing/2014/chart" uri="{C3380CC4-5D6E-409C-BE32-E72D297353CC}">
              <c16:uniqueId val="{00000008-235D-4E6B-9779-A27996ED1EDA}"/>
            </c:ext>
          </c:extLst>
        </c:ser>
        <c:ser>
          <c:idx val="9"/>
          <c:order val="9"/>
          <c:tx>
            <c:strRef>
              <c:f>Controls!$AH$14</c:f>
              <c:strCache>
                <c:ptCount val="1"/>
                <c:pt idx="0">
                  <c:v>Fartlek</c:v>
                </c:pt>
              </c:strCache>
            </c:strRef>
          </c:tx>
          <c:marker>
            <c:symbol val="none"/>
          </c:marker>
          <c:xVal>
            <c:numRef>
              <c:f>Controls!$AJ$3:$AV$3</c:f>
            </c:numRef>
          </c:xVal>
          <c:yVal>
            <c:numRef>
              <c:f>Controls!$AJ$14:$AV$14</c:f>
            </c:numRef>
          </c:yVal>
          <c:smooth val="0"/>
          <c:extLst>
            <c:ext xmlns:c16="http://schemas.microsoft.com/office/drawing/2014/chart" uri="{C3380CC4-5D6E-409C-BE32-E72D297353CC}">
              <c16:uniqueId val="{00000009-235D-4E6B-9779-A27996ED1EDA}"/>
            </c:ext>
          </c:extLst>
        </c:ser>
        <c:ser>
          <c:idx val="10"/>
          <c:order val="10"/>
          <c:tx>
            <c:strRef>
              <c:f>Controls!$AH$15</c:f>
              <c:strCache>
                <c:ptCount val="1"/>
                <c:pt idx="0">
                  <c:v>Intervals</c:v>
                </c:pt>
              </c:strCache>
            </c:strRef>
          </c:tx>
          <c:marker>
            <c:symbol val="none"/>
          </c:marker>
          <c:xVal>
            <c:numRef>
              <c:f>Controls!$AJ$3:$AV$3</c:f>
            </c:numRef>
          </c:xVal>
          <c:yVal>
            <c:numRef>
              <c:f>Controls!$AJ$15:$AV$15</c:f>
            </c:numRef>
          </c:yVal>
          <c:smooth val="0"/>
          <c:extLst>
            <c:ext xmlns:c16="http://schemas.microsoft.com/office/drawing/2014/chart" uri="{C3380CC4-5D6E-409C-BE32-E72D297353CC}">
              <c16:uniqueId val="{0000000A-235D-4E6B-9779-A27996ED1EDA}"/>
            </c:ext>
          </c:extLst>
        </c:ser>
        <c:ser>
          <c:idx val="11"/>
          <c:order val="11"/>
          <c:tx>
            <c:strRef>
              <c:f>Controls!$AH$16</c:f>
              <c:strCache>
                <c:ptCount val="1"/>
                <c:pt idx="0">
                  <c:v>Reps</c:v>
                </c:pt>
              </c:strCache>
            </c:strRef>
          </c:tx>
          <c:marker>
            <c:symbol val="none"/>
          </c:marker>
          <c:xVal>
            <c:numRef>
              <c:f>Controls!$AJ$3:$AV$3</c:f>
            </c:numRef>
          </c:xVal>
          <c:yVal>
            <c:numRef>
              <c:f>Controls!$AJ$16:$AV$16</c:f>
            </c:numRef>
          </c:yVal>
          <c:smooth val="0"/>
          <c:extLst>
            <c:ext xmlns:c16="http://schemas.microsoft.com/office/drawing/2014/chart" uri="{C3380CC4-5D6E-409C-BE32-E72D297353CC}">
              <c16:uniqueId val="{0000000B-235D-4E6B-9779-A27996ED1EDA}"/>
            </c:ext>
          </c:extLst>
        </c:ser>
        <c:ser>
          <c:idx val="12"/>
          <c:order val="12"/>
          <c:tx>
            <c:strRef>
              <c:f>Controls!$AH$17</c:f>
              <c:strCache>
                <c:ptCount val="1"/>
                <c:pt idx="0">
                  <c:v>Drills</c:v>
                </c:pt>
              </c:strCache>
            </c:strRef>
          </c:tx>
          <c:marker>
            <c:symbol val="none"/>
          </c:marker>
          <c:xVal>
            <c:numRef>
              <c:f>Controls!$AJ$3:$AV$3</c:f>
            </c:numRef>
          </c:xVal>
          <c:yVal>
            <c:numRef>
              <c:f>Controls!$AJ$17:$AV$17</c:f>
            </c:numRef>
          </c:yVal>
          <c:smooth val="0"/>
          <c:extLst>
            <c:ext xmlns:c16="http://schemas.microsoft.com/office/drawing/2014/chart" uri="{C3380CC4-5D6E-409C-BE32-E72D297353CC}">
              <c16:uniqueId val="{0000000C-235D-4E6B-9779-A27996ED1EDA}"/>
            </c:ext>
          </c:extLst>
        </c:ser>
        <c:ser>
          <c:idx val="13"/>
          <c:order val="13"/>
          <c:tx>
            <c:strRef>
              <c:f>Controls!$AH$18</c:f>
              <c:strCache>
                <c:ptCount val="1"/>
                <c:pt idx="0">
                  <c:v>Strength &amp; Conditioning</c:v>
                </c:pt>
              </c:strCache>
            </c:strRef>
          </c:tx>
          <c:marker>
            <c:symbol val="none"/>
          </c:marker>
          <c:xVal>
            <c:numRef>
              <c:f>Controls!$AJ$3:$AV$3</c:f>
            </c:numRef>
          </c:xVal>
          <c:yVal>
            <c:numRef>
              <c:f>Controls!$AJ$18:$AV$18</c:f>
            </c:numRef>
          </c:yVal>
          <c:smooth val="0"/>
          <c:extLst>
            <c:ext xmlns:c16="http://schemas.microsoft.com/office/drawing/2014/chart" uri="{C3380CC4-5D6E-409C-BE32-E72D297353CC}">
              <c16:uniqueId val="{0000000D-235D-4E6B-9779-A27996ED1EDA}"/>
            </c:ext>
          </c:extLst>
        </c:ser>
        <c:ser>
          <c:idx val="14"/>
          <c:order val="14"/>
          <c:tx>
            <c:strRef>
              <c:f>Controls!$AH$19</c:f>
              <c:strCache>
                <c:ptCount val="1"/>
                <c:pt idx="0">
                  <c:v>Maintenance</c:v>
                </c:pt>
              </c:strCache>
            </c:strRef>
          </c:tx>
          <c:marker>
            <c:symbol val="none"/>
          </c:marker>
          <c:xVal>
            <c:numRef>
              <c:f>Controls!$AJ$3:$AV$3</c:f>
            </c:numRef>
          </c:xVal>
          <c:yVal>
            <c:numRef>
              <c:f>Controls!$AJ$19:$AV$19</c:f>
            </c:numRef>
          </c:yVal>
          <c:smooth val="0"/>
          <c:extLst>
            <c:ext xmlns:c16="http://schemas.microsoft.com/office/drawing/2014/chart" uri="{C3380CC4-5D6E-409C-BE32-E72D297353CC}">
              <c16:uniqueId val="{0000000E-235D-4E6B-9779-A27996ED1EDA}"/>
            </c:ext>
          </c:extLst>
        </c:ser>
        <c:dLbls>
          <c:showLegendKey val="0"/>
          <c:showVal val="0"/>
          <c:showCatName val="0"/>
          <c:showSerName val="0"/>
          <c:showPercent val="0"/>
          <c:showBubbleSize val="0"/>
        </c:dLbls>
        <c:axId val="84981376"/>
        <c:axId val="84981952"/>
      </c:scatterChart>
      <c:valAx>
        <c:axId val="84981376"/>
        <c:scaling>
          <c:orientation val="minMax"/>
          <c:max val="15"/>
          <c:min val="2"/>
        </c:scaling>
        <c:delete val="0"/>
        <c:axPos val="b"/>
        <c:title>
          <c:tx>
            <c:rich>
              <a:bodyPr/>
              <a:lstStyle/>
              <a:p>
                <a:pPr>
                  <a:defRPr/>
                </a:pPr>
                <a:r>
                  <a:rPr lang="en-US"/>
                  <a:t>Weekly Duration (hours)</a:t>
                </a:r>
              </a:p>
            </c:rich>
          </c:tx>
          <c:overlay val="0"/>
        </c:title>
        <c:numFmt formatCode="General" sourceLinked="1"/>
        <c:majorTickMark val="out"/>
        <c:minorTickMark val="none"/>
        <c:tickLblPos val="nextTo"/>
        <c:crossAx val="84981952"/>
        <c:crosses val="autoZero"/>
        <c:crossBetween val="midCat"/>
      </c:valAx>
      <c:valAx>
        <c:axId val="84981952"/>
        <c:scaling>
          <c:orientation val="minMax"/>
        </c:scaling>
        <c:delete val="0"/>
        <c:axPos val="l"/>
        <c:majorGridlines/>
        <c:title>
          <c:tx>
            <c:rich>
              <a:bodyPr rot="-5400000" vert="horz"/>
              <a:lstStyle/>
              <a:p>
                <a:pPr>
                  <a:defRPr/>
                </a:pPr>
                <a:r>
                  <a:rPr lang="en-US"/>
                  <a:t>Session Duration</a:t>
                </a:r>
                <a:r>
                  <a:rPr lang="en-US" baseline="0"/>
                  <a:t> </a:t>
                </a:r>
                <a:r>
                  <a:rPr lang="en-US"/>
                  <a:t>(minutes)</a:t>
                </a:r>
              </a:p>
            </c:rich>
          </c:tx>
          <c:overlay val="0"/>
        </c:title>
        <c:numFmt formatCode="0" sourceLinked="1"/>
        <c:majorTickMark val="out"/>
        <c:minorTickMark val="none"/>
        <c:tickLblPos val="nextTo"/>
        <c:crossAx val="84981376"/>
        <c:crosses val="autoZero"/>
        <c:crossBetween val="midCat"/>
        <c:majorUnit val="15"/>
      </c:valAx>
    </c:plotArea>
    <c:legend>
      <c:legendPos val="l"/>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Session Durations with Progression with Current Sport Selection</a:t>
            </a:r>
          </a:p>
        </c:rich>
      </c:tx>
      <c:overlay val="0"/>
    </c:title>
    <c:autoTitleDeleted val="0"/>
    <c:plotArea>
      <c:layout>
        <c:manualLayout>
          <c:layoutTarget val="inner"/>
          <c:xMode val="edge"/>
          <c:yMode val="edge"/>
          <c:x val="0.22397199324821834"/>
          <c:y val="0.12625874829923814"/>
          <c:w val="0.7568970525775266"/>
          <c:h val="0.74965445352769289"/>
        </c:manualLayout>
      </c:layout>
      <c:scatterChart>
        <c:scatterStyle val="lineMarker"/>
        <c:varyColors val="0"/>
        <c:ser>
          <c:idx val="0"/>
          <c:order val="0"/>
          <c:tx>
            <c:strRef>
              <c:f>Controls!$AX$7</c:f>
              <c:strCache>
                <c:ptCount val="1"/>
                <c:pt idx="0">
                  <c:v>Recovery</c:v>
                </c:pt>
              </c:strCache>
            </c:strRef>
          </c:tx>
          <c:marker>
            <c:symbol val="none"/>
          </c:marker>
          <c:xVal>
            <c:numRef>
              <c:f>Controls!$AZ$3:$BP$3</c:f>
            </c:numRef>
          </c:xVal>
          <c:yVal>
            <c:numRef>
              <c:f>Controls!$AZ$7:$BP$7</c:f>
            </c:numRef>
          </c:yVal>
          <c:smooth val="0"/>
          <c:extLst>
            <c:ext xmlns:c16="http://schemas.microsoft.com/office/drawing/2014/chart" uri="{C3380CC4-5D6E-409C-BE32-E72D297353CC}">
              <c16:uniqueId val="{00000000-9F6D-47C3-9732-186BFC3CC389}"/>
            </c:ext>
          </c:extLst>
        </c:ser>
        <c:ser>
          <c:idx val="1"/>
          <c:order val="1"/>
          <c:tx>
            <c:strRef>
              <c:f>Controls!$AX$8</c:f>
              <c:strCache>
                <c:ptCount val="1"/>
                <c:pt idx="0">
                  <c:v>Easy</c:v>
                </c:pt>
              </c:strCache>
            </c:strRef>
          </c:tx>
          <c:marker>
            <c:symbol val="none"/>
          </c:marker>
          <c:xVal>
            <c:numRef>
              <c:f>Controls!$AZ$3:$BP$3</c:f>
            </c:numRef>
          </c:xVal>
          <c:yVal>
            <c:numRef>
              <c:f>Controls!$AZ$8:$BP$8</c:f>
            </c:numRef>
          </c:yVal>
          <c:smooth val="0"/>
          <c:extLst>
            <c:ext xmlns:c16="http://schemas.microsoft.com/office/drawing/2014/chart" uri="{C3380CC4-5D6E-409C-BE32-E72D297353CC}">
              <c16:uniqueId val="{00000001-9F6D-47C3-9732-186BFC3CC389}"/>
            </c:ext>
          </c:extLst>
        </c:ser>
        <c:ser>
          <c:idx val="2"/>
          <c:order val="2"/>
          <c:tx>
            <c:strRef>
              <c:f>Controls!$AX$9</c:f>
              <c:strCache>
                <c:ptCount val="1"/>
                <c:pt idx="0">
                  <c:v>Steady Run</c:v>
                </c:pt>
              </c:strCache>
            </c:strRef>
          </c:tx>
          <c:marker>
            <c:symbol val="none"/>
          </c:marker>
          <c:xVal>
            <c:numRef>
              <c:f>Controls!$AZ$3:$BP$3</c:f>
            </c:numRef>
          </c:xVal>
          <c:yVal>
            <c:numRef>
              <c:f>Controls!$AZ$9:$BP$9</c:f>
            </c:numRef>
          </c:yVal>
          <c:smooth val="0"/>
          <c:extLst>
            <c:ext xmlns:c16="http://schemas.microsoft.com/office/drawing/2014/chart" uri="{C3380CC4-5D6E-409C-BE32-E72D297353CC}">
              <c16:uniqueId val="{00000002-9F6D-47C3-9732-186BFC3CC389}"/>
            </c:ext>
          </c:extLst>
        </c:ser>
        <c:ser>
          <c:idx val="3"/>
          <c:order val="3"/>
          <c:tx>
            <c:strRef>
              <c:f>Controls!$AX$10</c:f>
              <c:strCache>
                <c:ptCount val="1"/>
                <c:pt idx="0">
                  <c:v>Steady Cycle</c:v>
                </c:pt>
              </c:strCache>
            </c:strRef>
          </c:tx>
          <c:marker>
            <c:symbol val="none"/>
          </c:marker>
          <c:xVal>
            <c:numRef>
              <c:f>Controls!$AZ$3:$BP$3</c:f>
            </c:numRef>
          </c:xVal>
          <c:yVal>
            <c:numRef>
              <c:f>Controls!$AZ$10:$BP$10</c:f>
            </c:numRef>
          </c:yVal>
          <c:smooth val="0"/>
          <c:extLst>
            <c:ext xmlns:c16="http://schemas.microsoft.com/office/drawing/2014/chart" uri="{C3380CC4-5D6E-409C-BE32-E72D297353CC}">
              <c16:uniqueId val="{00000003-9F6D-47C3-9732-186BFC3CC389}"/>
            </c:ext>
          </c:extLst>
        </c:ser>
        <c:ser>
          <c:idx val="4"/>
          <c:order val="4"/>
          <c:tx>
            <c:strRef>
              <c:f>Controls!$AX$11</c:f>
              <c:strCache>
                <c:ptCount val="1"/>
                <c:pt idx="0">
                  <c:v>Long Run</c:v>
                </c:pt>
              </c:strCache>
            </c:strRef>
          </c:tx>
          <c:marker>
            <c:symbol val="none"/>
          </c:marker>
          <c:xVal>
            <c:numRef>
              <c:f>Controls!$AZ$3:$BP$3</c:f>
            </c:numRef>
          </c:xVal>
          <c:yVal>
            <c:numRef>
              <c:f>Controls!$AZ$11:$BP$11</c:f>
            </c:numRef>
          </c:yVal>
          <c:smooth val="0"/>
          <c:extLst>
            <c:ext xmlns:c16="http://schemas.microsoft.com/office/drawing/2014/chart" uri="{C3380CC4-5D6E-409C-BE32-E72D297353CC}">
              <c16:uniqueId val="{00000004-9F6D-47C3-9732-186BFC3CC389}"/>
            </c:ext>
          </c:extLst>
        </c:ser>
        <c:ser>
          <c:idx val="5"/>
          <c:order val="5"/>
          <c:tx>
            <c:strRef>
              <c:f>Controls!$AX$12</c:f>
              <c:strCache>
                <c:ptCount val="1"/>
                <c:pt idx="0">
                  <c:v>Long Cycle</c:v>
                </c:pt>
              </c:strCache>
            </c:strRef>
          </c:tx>
          <c:marker>
            <c:symbol val="none"/>
          </c:marker>
          <c:xVal>
            <c:numRef>
              <c:f>Controls!$AZ$3:$BP$3</c:f>
            </c:numRef>
          </c:xVal>
          <c:yVal>
            <c:numRef>
              <c:f>Controls!$AZ$12:$BP$12</c:f>
            </c:numRef>
          </c:yVal>
          <c:smooth val="0"/>
          <c:extLst>
            <c:ext xmlns:c16="http://schemas.microsoft.com/office/drawing/2014/chart" uri="{C3380CC4-5D6E-409C-BE32-E72D297353CC}">
              <c16:uniqueId val="{00000005-9F6D-47C3-9732-186BFC3CC389}"/>
            </c:ext>
          </c:extLst>
        </c:ser>
        <c:ser>
          <c:idx val="6"/>
          <c:order val="6"/>
          <c:tx>
            <c:strRef>
              <c:f>Controls!$AX$13</c:f>
              <c:strCache>
                <c:ptCount val="1"/>
                <c:pt idx="0">
                  <c:v>Subthreshold</c:v>
                </c:pt>
              </c:strCache>
            </c:strRef>
          </c:tx>
          <c:marker>
            <c:symbol val="none"/>
          </c:marker>
          <c:xVal>
            <c:numRef>
              <c:f>Controls!$AZ$3:$BP$3</c:f>
            </c:numRef>
          </c:xVal>
          <c:yVal>
            <c:numRef>
              <c:f>Controls!$AZ$13:$BP$13</c:f>
            </c:numRef>
          </c:yVal>
          <c:smooth val="0"/>
          <c:extLst>
            <c:ext xmlns:c16="http://schemas.microsoft.com/office/drawing/2014/chart" uri="{C3380CC4-5D6E-409C-BE32-E72D297353CC}">
              <c16:uniqueId val="{00000006-9F6D-47C3-9732-186BFC3CC389}"/>
            </c:ext>
          </c:extLst>
        </c:ser>
        <c:ser>
          <c:idx val="7"/>
          <c:order val="7"/>
          <c:tx>
            <c:strRef>
              <c:f>Controls!$AX$14</c:f>
              <c:strCache>
                <c:ptCount val="1"/>
                <c:pt idx="0">
                  <c:v>Tempo</c:v>
                </c:pt>
              </c:strCache>
            </c:strRef>
          </c:tx>
          <c:marker>
            <c:symbol val="none"/>
          </c:marker>
          <c:xVal>
            <c:numRef>
              <c:f>Controls!$AZ$3:$BP$3</c:f>
            </c:numRef>
          </c:xVal>
          <c:yVal>
            <c:numRef>
              <c:f>Controls!$AZ$14:$BP$14</c:f>
            </c:numRef>
          </c:yVal>
          <c:smooth val="0"/>
          <c:extLst>
            <c:ext xmlns:c16="http://schemas.microsoft.com/office/drawing/2014/chart" uri="{C3380CC4-5D6E-409C-BE32-E72D297353CC}">
              <c16:uniqueId val="{00000007-9F6D-47C3-9732-186BFC3CC389}"/>
            </c:ext>
          </c:extLst>
        </c:ser>
        <c:ser>
          <c:idx val="8"/>
          <c:order val="8"/>
          <c:tx>
            <c:strRef>
              <c:f>Controls!$AX$15</c:f>
              <c:strCache>
                <c:ptCount val="1"/>
                <c:pt idx="0">
                  <c:v>Hill Tempo</c:v>
                </c:pt>
              </c:strCache>
            </c:strRef>
          </c:tx>
          <c:marker>
            <c:symbol val="none"/>
          </c:marker>
          <c:xVal>
            <c:numRef>
              <c:f>Controls!$AZ$3:$BP$3</c:f>
            </c:numRef>
          </c:xVal>
          <c:yVal>
            <c:numRef>
              <c:f>Controls!$AZ$15:$BP$15</c:f>
            </c:numRef>
          </c:yVal>
          <c:smooth val="0"/>
          <c:extLst>
            <c:ext xmlns:c16="http://schemas.microsoft.com/office/drawing/2014/chart" uri="{C3380CC4-5D6E-409C-BE32-E72D297353CC}">
              <c16:uniqueId val="{00000008-9F6D-47C3-9732-186BFC3CC389}"/>
            </c:ext>
          </c:extLst>
        </c:ser>
        <c:ser>
          <c:idx val="9"/>
          <c:order val="9"/>
          <c:tx>
            <c:strRef>
              <c:f>Controls!$AX$16</c:f>
              <c:strCache>
                <c:ptCount val="1"/>
                <c:pt idx="0">
                  <c:v>Fartlek</c:v>
                </c:pt>
              </c:strCache>
            </c:strRef>
          </c:tx>
          <c:marker>
            <c:symbol val="none"/>
          </c:marker>
          <c:xVal>
            <c:numRef>
              <c:f>Controls!$AZ$3:$BP$3</c:f>
            </c:numRef>
          </c:xVal>
          <c:yVal>
            <c:numRef>
              <c:f>Controls!$AZ$16:$BP$16</c:f>
            </c:numRef>
          </c:yVal>
          <c:smooth val="0"/>
          <c:extLst>
            <c:ext xmlns:c16="http://schemas.microsoft.com/office/drawing/2014/chart" uri="{C3380CC4-5D6E-409C-BE32-E72D297353CC}">
              <c16:uniqueId val="{00000009-9F6D-47C3-9732-186BFC3CC389}"/>
            </c:ext>
          </c:extLst>
        </c:ser>
        <c:ser>
          <c:idx val="10"/>
          <c:order val="10"/>
          <c:tx>
            <c:strRef>
              <c:f>Controls!$AX$17</c:f>
              <c:strCache>
                <c:ptCount val="1"/>
                <c:pt idx="0">
                  <c:v>Intervals</c:v>
                </c:pt>
              </c:strCache>
            </c:strRef>
          </c:tx>
          <c:marker>
            <c:symbol val="none"/>
          </c:marker>
          <c:xVal>
            <c:numRef>
              <c:f>Controls!$AZ$3:$BP$3</c:f>
            </c:numRef>
          </c:xVal>
          <c:yVal>
            <c:numRef>
              <c:f>Controls!$AZ$17:$BP$17</c:f>
            </c:numRef>
          </c:yVal>
          <c:smooth val="0"/>
          <c:extLst>
            <c:ext xmlns:c16="http://schemas.microsoft.com/office/drawing/2014/chart" uri="{C3380CC4-5D6E-409C-BE32-E72D297353CC}">
              <c16:uniqueId val="{0000000A-9F6D-47C3-9732-186BFC3CC389}"/>
            </c:ext>
          </c:extLst>
        </c:ser>
        <c:ser>
          <c:idx val="11"/>
          <c:order val="11"/>
          <c:tx>
            <c:strRef>
              <c:f>Controls!$AX$18</c:f>
              <c:strCache>
                <c:ptCount val="1"/>
                <c:pt idx="0">
                  <c:v>Reps</c:v>
                </c:pt>
              </c:strCache>
            </c:strRef>
          </c:tx>
          <c:marker>
            <c:symbol val="none"/>
          </c:marker>
          <c:xVal>
            <c:numRef>
              <c:f>Controls!$AZ$3:$BP$3</c:f>
            </c:numRef>
          </c:xVal>
          <c:yVal>
            <c:numRef>
              <c:f>Controls!$AZ$18:$BP$18</c:f>
            </c:numRef>
          </c:yVal>
          <c:smooth val="0"/>
          <c:extLst>
            <c:ext xmlns:c16="http://schemas.microsoft.com/office/drawing/2014/chart" uri="{C3380CC4-5D6E-409C-BE32-E72D297353CC}">
              <c16:uniqueId val="{0000000B-9F6D-47C3-9732-186BFC3CC389}"/>
            </c:ext>
          </c:extLst>
        </c:ser>
        <c:ser>
          <c:idx val="12"/>
          <c:order val="12"/>
          <c:tx>
            <c:strRef>
              <c:f>Controls!$AX$19</c:f>
              <c:strCache>
                <c:ptCount val="1"/>
                <c:pt idx="0">
                  <c:v>Drills</c:v>
                </c:pt>
              </c:strCache>
            </c:strRef>
          </c:tx>
          <c:marker>
            <c:symbol val="none"/>
          </c:marker>
          <c:xVal>
            <c:numRef>
              <c:f>Controls!$AZ$3:$BP$3</c:f>
            </c:numRef>
          </c:xVal>
          <c:yVal>
            <c:numRef>
              <c:f>Controls!$AZ$19:$BP$19</c:f>
            </c:numRef>
          </c:yVal>
          <c:smooth val="0"/>
          <c:extLst>
            <c:ext xmlns:c16="http://schemas.microsoft.com/office/drawing/2014/chart" uri="{C3380CC4-5D6E-409C-BE32-E72D297353CC}">
              <c16:uniqueId val="{0000000C-9F6D-47C3-9732-186BFC3CC389}"/>
            </c:ext>
          </c:extLst>
        </c:ser>
        <c:ser>
          <c:idx val="13"/>
          <c:order val="13"/>
          <c:tx>
            <c:strRef>
              <c:f>Controls!$AX$20</c:f>
              <c:strCache>
                <c:ptCount val="1"/>
                <c:pt idx="0">
                  <c:v>Strength &amp; Conditioning</c:v>
                </c:pt>
              </c:strCache>
            </c:strRef>
          </c:tx>
          <c:marker>
            <c:symbol val="none"/>
          </c:marker>
          <c:xVal>
            <c:numRef>
              <c:f>Controls!$AZ$3:$BP$3</c:f>
            </c:numRef>
          </c:xVal>
          <c:yVal>
            <c:numRef>
              <c:f>Controls!$AZ$20:$BP$20</c:f>
            </c:numRef>
          </c:yVal>
          <c:smooth val="0"/>
          <c:extLst>
            <c:ext xmlns:c16="http://schemas.microsoft.com/office/drawing/2014/chart" uri="{C3380CC4-5D6E-409C-BE32-E72D297353CC}">
              <c16:uniqueId val="{0000000D-9F6D-47C3-9732-186BFC3CC389}"/>
            </c:ext>
          </c:extLst>
        </c:ser>
        <c:ser>
          <c:idx val="14"/>
          <c:order val="14"/>
          <c:tx>
            <c:strRef>
              <c:f>Controls!$AX$21</c:f>
              <c:strCache>
                <c:ptCount val="1"/>
                <c:pt idx="0">
                  <c:v>Maintenance</c:v>
                </c:pt>
              </c:strCache>
            </c:strRef>
          </c:tx>
          <c:marker>
            <c:symbol val="none"/>
          </c:marker>
          <c:xVal>
            <c:numRef>
              <c:f>Controls!$AZ$3:$BP$3</c:f>
            </c:numRef>
          </c:xVal>
          <c:yVal>
            <c:numRef>
              <c:f>Controls!$AZ$21:$BP$21</c:f>
            </c:numRef>
          </c:yVal>
          <c:smooth val="0"/>
          <c:extLst>
            <c:ext xmlns:c16="http://schemas.microsoft.com/office/drawing/2014/chart" uri="{C3380CC4-5D6E-409C-BE32-E72D297353CC}">
              <c16:uniqueId val="{0000000E-9F6D-47C3-9732-186BFC3CC389}"/>
            </c:ext>
          </c:extLst>
        </c:ser>
        <c:dLbls>
          <c:showLegendKey val="0"/>
          <c:showVal val="0"/>
          <c:showCatName val="0"/>
          <c:showSerName val="0"/>
          <c:showPercent val="0"/>
          <c:showBubbleSize val="0"/>
        </c:dLbls>
        <c:axId val="87803584"/>
        <c:axId val="87804160"/>
      </c:scatterChart>
      <c:valAx>
        <c:axId val="87803584"/>
        <c:scaling>
          <c:orientation val="minMax"/>
          <c:min val="0"/>
        </c:scaling>
        <c:delete val="0"/>
        <c:axPos val="b"/>
        <c:title>
          <c:tx>
            <c:rich>
              <a:bodyPr/>
              <a:lstStyle/>
              <a:p>
                <a:pPr>
                  <a:defRPr/>
                </a:pPr>
                <a:r>
                  <a:rPr lang="en-US"/>
                  <a:t>Week</a:t>
                </a:r>
                <a:r>
                  <a:rPr lang="en-US" baseline="0"/>
                  <a:t> of Progression</a:t>
                </a:r>
                <a:endParaRPr lang="en-US"/>
              </a:p>
            </c:rich>
          </c:tx>
          <c:overlay val="0"/>
        </c:title>
        <c:numFmt formatCode="General" sourceLinked="1"/>
        <c:majorTickMark val="out"/>
        <c:minorTickMark val="none"/>
        <c:tickLblPos val="nextTo"/>
        <c:crossAx val="87804160"/>
        <c:crosses val="autoZero"/>
        <c:crossBetween val="midCat"/>
      </c:valAx>
      <c:valAx>
        <c:axId val="87804160"/>
        <c:scaling>
          <c:orientation val="minMax"/>
        </c:scaling>
        <c:delete val="0"/>
        <c:axPos val="l"/>
        <c:majorGridlines/>
        <c:title>
          <c:tx>
            <c:rich>
              <a:bodyPr rot="-5400000" vert="horz"/>
              <a:lstStyle/>
              <a:p>
                <a:pPr>
                  <a:defRPr/>
                </a:pPr>
                <a:r>
                  <a:rPr lang="en-US"/>
                  <a:t>Session Duration</a:t>
                </a:r>
                <a:r>
                  <a:rPr lang="en-US" baseline="0"/>
                  <a:t> </a:t>
                </a:r>
                <a:r>
                  <a:rPr lang="en-US"/>
                  <a:t>(minutes)</a:t>
                </a:r>
              </a:p>
            </c:rich>
          </c:tx>
          <c:overlay val="0"/>
        </c:title>
        <c:numFmt formatCode="0" sourceLinked="1"/>
        <c:majorTickMark val="out"/>
        <c:minorTickMark val="none"/>
        <c:tickLblPos val="nextTo"/>
        <c:crossAx val="87803584"/>
        <c:crosses val="autoZero"/>
        <c:crossBetween val="midCat"/>
        <c:majorUnit val="15"/>
      </c:valAx>
    </c:plotArea>
    <c:legend>
      <c:legendPos val="l"/>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Session Durations with Progression with Current Sport Selection</a:t>
            </a:r>
          </a:p>
        </c:rich>
      </c:tx>
      <c:overlay val="0"/>
    </c:title>
    <c:autoTitleDeleted val="0"/>
    <c:plotArea>
      <c:layout>
        <c:manualLayout>
          <c:layoutTarget val="inner"/>
          <c:xMode val="edge"/>
          <c:yMode val="edge"/>
          <c:x val="0.22397199324821834"/>
          <c:y val="0.12625874829923814"/>
          <c:w val="0.7568970525775266"/>
          <c:h val="0.74965445352769289"/>
        </c:manualLayout>
      </c:layout>
      <c:scatterChart>
        <c:scatterStyle val="lineMarker"/>
        <c:varyColors val="0"/>
        <c:ser>
          <c:idx val="1"/>
          <c:order val="0"/>
          <c:tx>
            <c:v>Weekly Duration with Progression with Current Sport Selection</c:v>
          </c:tx>
          <c:marker>
            <c:symbol val="none"/>
          </c:marker>
          <c:xVal>
            <c:numRef>
              <c:f>Controls!$AZ$3:$BP$3</c:f>
            </c:numRef>
          </c:xVal>
          <c:yVal>
            <c:numRef>
              <c:f>Controls!$AZ$5:$BP$5</c:f>
            </c:numRef>
          </c:yVal>
          <c:smooth val="0"/>
          <c:extLst>
            <c:ext xmlns:c16="http://schemas.microsoft.com/office/drawing/2014/chart" uri="{C3380CC4-5D6E-409C-BE32-E72D297353CC}">
              <c16:uniqueId val="{00000000-3B02-4FC9-AE39-52C1A171B309}"/>
            </c:ext>
          </c:extLst>
        </c:ser>
        <c:dLbls>
          <c:showLegendKey val="0"/>
          <c:showVal val="0"/>
          <c:showCatName val="0"/>
          <c:showSerName val="0"/>
          <c:showPercent val="0"/>
          <c:showBubbleSize val="0"/>
        </c:dLbls>
        <c:axId val="87808192"/>
        <c:axId val="87808768"/>
      </c:scatterChart>
      <c:valAx>
        <c:axId val="87808192"/>
        <c:scaling>
          <c:orientation val="minMax"/>
          <c:min val="0"/>
        </c:scaling>
        <c:delete val="0"/>
        <c:axPos val="b"/>
        <c:title>
          <c:tx>
            <c:rich>
              <a:bodyPr/>
              <a:lstStyle/>
              <a:p>
                <a:pPr>
                  <a:defRPr/>
                </a:pPr>
                <a:r>
                  <a:rPr lang="en-US"/>
                  <a:t>Week</a:t>
                </a:r>
                <a:r>
                  <a:rPr lang="en-US" baseline="0"/>
                  <a:t> of Progression</a:t>
                </a:r>
                <a:endParaRPr lang="en-US"/>
              </a:p>
            </c:rich>
          </c:tx>
          <c:overlay val="0"/>
        </c:title>
        <c:numFmt formatCode="General" sourceLinked="1"/>
        <c:majorTickMark val="out"/>
        <c:minorTickMark val="none"/>
        <c:tickLblPos val="nextTo"/>
        <c:crossAx val="87808768"/>
        <c:crosses val="autoZero"/>
        <c:crossBetween val="midCat"/>
      </c:valAx>
      <c:valAx>
        <c:axId val="87808768"/>
        <c:scaling>
          <c:orientation val="minMax"/>
        </c:scaling>
        <c:delete val="0"/>
        <c:axPos val="l"/>
        <c:majorGridlines/>
        <c:title>
          <c:tx>
            <c:rich>
              <a:bodyPr rot="-5400000" vert="horz"/>
              <a:lstStyle/>
              <a:p>
                <a:pPr>
                  <a:defRPr/>
                </a:pPr>
                <a:r>
                  <a:rPr lang="en-US"/>
                  <a:t>Session Duration</a:t>
                </a:r>
                <a:r>
                  <a:rPr lang="en-US" baseline="0"/>
                  <a:t> </a:t>
                </a:r>
                <a:r>
                  <a:rPr lang="en-US"/>
                  <a:t>(minutes)</a:t>
                </a:r>
              </a:p>
            </c:rich>
          </c:tx>
          <c:overlay val="0"/>
        </c:title>
        <c:numFmt formatCode="h:mm" sourceLinked="1"/>
        <c:majorTickMark val="out"/>
        <c:minorTickMark val="none"/>
        <c:tickLblPos val="nextTo"/>
        <c:crossAx val="87808192"/>
        <c:crosses val="autoZero"/>
        <c:crossBetween val="midCat"/>
      </c:valAx>
    </c:plotArea>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9350348996402"/>
          <c:y val="5.1161805100337264E-2"/>
          <c:w val="0.83273484240261453"/>
          <c:h val="0.78073078296666121"/>
        </c:manualLayout>
      </c:layout>
      <c:scatterChart>
        <c:scatterStyle val="lineMarker"/>
        <c:varyColors val="0"/>
        <c:ser>
          <c:idx val="1"/>
          <c:order val="0"/>
          <c:tx>
            <c:v>Weekly Duration with Progression with Current Sport Selection</c:v>
          </c:tx>
          <c:spPr>
            <a:ln w="50800">
              <a:solidFill>
                <a:srgbClr val="1097FF"/>
              </a:solidFill>
            </a:ln>
          </c:spPr>
          <c:marker>
            <c:symbol val="none"/>
          </c:marker>
          <c:xVal>
            <c:numRef>
              <c:f>Controls!$AZ$3:$BP$3</c:f>
            </c:numRef>
          </c:xVal>
          <c:yVal>
            <c:numRef>
              <c:f>Controls!$AZ$5:$BP$5</c:f>
            </c:numRef>
          </c:yVal>
          <c:smooth val="0"/>
          <c:extLst>
            <c:ext xmlns:c16="http://schemas.microsoft.com/office/drawing/2014/chart" uri="{C3380CC4-5D6E-409C-BE32-E72D297353CC}">
              <c16:uniqueId val="{00000000-E9F3-4447-8D23-B30F8E5B029E}"/>
            </c:ext>
          </c:extLst>
        </c:ser>
        <c:dLbls>
          <c:showLegendKey val="0"/>
          <c:showVal val="0"/>
          <c:showCatName val="0"/>
          <c:showSerName val="0"/>
          <c:showPercent val="0"/>
          <c:showBubbleSize val="0"/>
        </c:dLbls>
        <c:axId val="88399872"/>
        <c:axId val="88400448"/>
      </c:scatterChart>
      <c:valAx>
        <c:axId val="88399872"/>
        <c:scaling>
          <c:orientation val="minMax"/>
          <c:max val="60"/>
          <c:min val="0"/>
        </c:scaling>
        <c:delete val="0"/>
        <c:axPos val="b"/>
        <c:numFmt formatCode="General" sourceLinked="1"/>
        <c:majorTickMark val="none"/>
        <c:minorTickMark val="none"/>
        <c:tickLblPos val="nextTo"/>
        <c:spPr>
          <a:ln w="38100">
            <a:solidFill>
              <a:srgbClr val="00066B"/>
            </a:solidFill>
          </a:ln>
        </c:spPr>
        <c:txPr>
          <a:bodyPr/>
          <a:lstStyle/>
          <a:p>
            <a:pPr>
              <a:defRPr>
                <a:noFill/>
              </a:defRPr>
            </a:pPr>
            <a:endParaRPr lang="en-US"/>
          </a:p>
        </c:txPr>
        <c:crossAx val="88400448"/>
        <c:crosses val="autoZero"/>
        <c:crossBetween val="midCat"/>
      </c:valAx>
      <c:valAx>
        <c:axId val="88400448"/>
        <c:scaling>
          <c:orientation val="minMax"/>
          <c:max val="0.8"/>
          <c:min val="0"/>
        </c:scaling>
        <c:delete val="0"/>
        <c:axPos val="l"/>
        <c:numFmt formatCode="h:mm" sourceLinked="1"/>
        <c:majorTickMark val="none"/>
        <c:minorTickMark val="none"/>
        <c:tickLblPos val="nextTo"/>
        <c:spPr>
          <a:ln w="38100">
            <a:solidFill>
              <a:srgbClr val="00066B"/>
            </a:solidFill>
          </a:ln>
        </c:spPr>
        <c:txPr>
          <a:bodyPr/>
          <a:lstStyle/>
          <a:p>
            <a:pPr>
              <a:defRPr>
                <a:ln>
                  <a:noFill/>
                </a:ln>
                <a:noFill/>
              </a:defRPr>
            </a:pPr>
            <a:endParaRPr lang="en-US"/>
          </a:p>
        </c:txPr>
        <c:crossAx val="88399872"/>
        <c:crosses val="autoZero"/>
        <c:crossBetween val="midCat"/>
      </c:valAx>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Controls!$CF$5</c:f>
              <c:strCache>
                <c:ptCount val="1"/>
                <c:pt idx="0">
                  <c:v>VDOT</c:v>
                </c:pt>
              </c:strCache>
            </c:strRef>
          </c:tx>
          <c:spPr>
            <a:ln w="28575">
              <a:noFill/>
            </a:ln>
          </c:spPr>
          <c:xVal>
            <c:numRef>
              <c:f>Controls!$CG$4:$DD$4</c:f>
              <c:numCache>
                <c:formatCode>0</c:formatCode>
                <c:ptCount val="24"/>
                <c:pt idx="0">
                  <c:v>50</c:v>
                </c:pt>
                <c:pt idx="1">
                  <c:v>129</c:v>
                </c:pt>
                <c:pt idx="2">
                  <c:v>138</c:v>
                </c:pt>
                <c:pt idx="3">
                  <c:v>138</c:v>
                </c:pt>
                <c:pt idx="4">
                  <c:v>148</c:v>
                </c:pt>
                <c:pt idx="5">
                  <c:v>148</c:v>
                </c:pt>
                <c:pt idx="6">
                  <c:v>148</c:v>
                </c:pt>
                <c:pt idx="7">
                  <c:v>148</c:v>
                </c:pt>
                <c:pt idx="8">
                  <c:v>163</c:v>
                </c:pt>
                <c:pt idx="9">
                  <c:v>177</c:v>
                </c:pt>
                <c:pt idx="10">
                  <c:v>177</c:v>
                </c:pt>
                <c:pt idx="11">
                  <c:v>163</c:v>
                </c:pt>
                <c:pt idx="12">
                  <c:v>188</c:v>
                </c:pt>
                <c:pt idx="13">
                  <c:v>221</c:v>
                </c:pt>
                <c:pt idx="14">
                  <c:v>148</c:v>
                </c:pt>
                <c:pt idx="15">
                  <c:v>50</c:v>
                </c:pt>
                <c:pt idx="16">
                  <c:v>50</c:v>
                </c:pt>
                <c:pt idx="17">
                  <c:v>50</c:v>
                </c:pt>
                <c:pt idx="18">
                  <c:v>50</c:v>
                </c:pt>
                <c:pt idx="19">
                  <c:v>138</c:v>
                </c:pt>
                <c:pt idx="20">
                  <c:v>148</c:v>
                </c:pt>
                <c:pt idx="21">
                  <c:v>0</c:v>
                </c:pt>
                <c:pt idx="22">
                  <c:v>0</c:v>
                </c:pt>
                <c:pt idx="23">
                  <c:v>138</c:v>
                </c:pt>
              </c:numCache>
            </c:numRef>
          </c:xVal>
          <c:yVal>
            <c:numRef>
              <c:f>Controls!$CG$5:$DD$5</c:f>
              <c:numCache>
                <c:formatCode>0.00</c:formatCode>
                <c:ptCount val="24"/>
                <c:pt idx="0">
                  <c:v>0</c:v>
                </c:pt>
                <c:pt idx="1">
                  <c:v>0.48697166037770295</c:v>
                </c:pt>
                <c:pt idx="2">
                  <c:v>0.70683100117452147</c:v>
                </c:pt>
                <c:pt idx="3">
                  <c:v>0.70683100117452147</c:v>
                </c:pt>
                <c:pt idx="4">
                  <c:v>1</c:v>
                </c:pt>
                <c:pt idx="5">
                  <c:v>1</c:v>
                </c:pt>
                <c:pt idx="6">
                  <c:v>1</c:v>
                </c:pt>
                <c:pt idx="7">
                  <c:v>1</c:v>
                </c:pt>
                <c:pt idx="8">
                  <c:v>1.6825651869019405</c:v>
                </c:pt>
                <c:pt idx="9">
                  <c:v>2.5915627369218592</c:v>
                </c:pt>
                <c:pt idx="10">
                  <c:v>2.5915627369218592</c:v>
                </c:pt>
                <c:pt idx="11">
                  <c:v>1.6825651869019405</c:v>
                </c:pt>
                <c:pt idx="12">
                  <c:v>3.7086443475545408</c:v>
                </c:pt>
                <c:pt idx="13">
                  <c:v>9.8538568701369442</c:v>
                </c:pt>
                <c:pt idx="14">
                  <c:v>1</c:v>
                </c:pt>
                <c:pt idx="15">
                  <c:v>0</c:v>
                </c:pt>
                <c:pt idx="16">
                  <c:v>0</c:v>
                </c:pt>
                <c:pt idx="17">
                  <c:v>0</c:v>
                </c:pt>
                <c:pt idx="18">
                  <c:v>0</c:v>
                </c:pt>
                <c:pt idx="19">
                  <c:v>0.70683100117452147</c:v>
                </c:pt>
                <c:pt idx="20">
                  <c:v>1</c:v>
                </c:pt>
                <c:pt idx="21">
                  <c:v>0</c:v>
                </c:pt>
                <c:pt idx="22">
                  <c:v>0</c:v>
                </c:pt>
                <c:pt idx="23">
                  <c:v>0.70683100117452147</c:v>
                </c:pt>
              </c:numCache>
            </c:numRef>
          </c:yVal>
          <c:smooth val="0"/>
          <c:extLst>
            <c:ext xmlns:c16="http://schemas.microsoft.com/office/drawing/2014/chart" uri="{C3380CC4-5D6E-409C-BE32-E72D297353CC}">
              <c16:uniqueId val="{00000000-ED8B-4320-8C18-476D2B9AC5DF}"/>
            </c:ext>
          </c:extLst>
        </c:ser>
        <c:ser>
          <c:idx val="1"/>
          <c:order val="1"/>
          <c:tx>
            <c:strRef>
              <c:f>Controls!$CF$6</c:f>
              <c:strCache>
                <c:ptCount val="1"/>
                <c:pt idx="0">
                  <c:v>TRIMP</c:v>
                </c:pt>
              </c:strCache>
            </c:strRef>
          </c:tx>
          <c:spPr>
            <a:ln w="28575">
              <a:noFill/>
            </a:ln>
          </c:spPr>
          <c:xVal>
            <c:numRef>
              <c:f>Controls!$CG$4:$DD$4</c:f>
              <c:numCache>
                <c:formatCode>0</c:formatCode>
                <c:ptCount val="24"/>
                <c:pt idx="0">
                  <c:v>50</c:v>
                </c:pt>
                <c:pt idx="1">
                  <c:v>129</c:v>
                </c:pt>
                <c:pt idx="2">
                  <c:v>138</c:v>
                </c:pt>
                <c:pt idx="3">
                  <c:v>138</c:v>
                </c:pt>
                <c:pt idx="4">
                  <c:v>148</c:v>
                </c:pt>
                <c:pt idx="5">
                  <c:v>148</c:v>
                </c:pt>
                <c:pt idx="6">
                  <c:v>148</c:v>
                </c:pt>
                <c:pt idx="7">
                  <c:v>148</c:v>
                </c:pt>
                <c:pt idx="8">
                  <c:v>163</c:v>
                </c:pt>
                <c:pt idx="9">
                  <c:v>177</c:v>
                </c:pt>
                <c:pt idx="10">
                  <c:v>177</c:v>
                </c:pt>
                <c:pt idx="11">
                  <c:v>163</c:v>
                </c:pt>
                <c:pt idx="12">
                  <c:v>188</c:v>
                </c:pt>
                <c:pt idx="13">
                  <c:v>221</c:v>
                </c:pt>
                <c:pt idx="14">
                  <c:v>148</c:v>
                </c:pt>
                <c:pt idx="15">
                  <c:v>50</c:v>
                </c:pt>
                <c:pt idx="16">
                  <c:v>50</c:v>
                </c:pt>
                <c:pt idx="17">
                  <c:v>50</c:v>
                </c:pt>
                <c:pt idx="18">
                  <c:v>50</c:v>
                </c:pt>
                <c:pt idx="19">
                  <c:v>138</c:v>
                </c:pt>
                <c:pt idx="20">
                  <c:v>148</c:v>
                </c:pt>
                <c:pt idx="21">
                  <c:v>0</c:v>
                </c:pt>
                <c:pt idx="22">
                  <c:v>0</c:v>
                </c:pt>
                <c:pt idx="23">
                  <c:v>138</c:v>
                </c:pt>
              </c:numCache>
            </c:numRef>
          </c:xVal>
          <c:yVal>
            <c:numRef>
              <c:f>Controls!$CG$6:$DD$6</c:f>
              <c:numCache>
                <c:formatCode>0.00</c:formatCode>
                <c:ptCount val="24"/>
                <c:pt idx="0">
                  <c:v>0</c:v>
                </c:pt>
                <c:pt idx="1">
                  <c:v>0.62349094635179114</c:v>
                </c:pt>
                <c:pt idx="2">
                  <c:v>0.78439549195786507</c:v>
                </c:pt>
                <c:pt idx="3">
                  <c:v>0.78439549195786507</c:v>
                </c:pt>
                <c:pt idx="4">
                  <c:v>1</c:v>
                </c:pt>
                <c:pt idx="5">
                  <c:v>1</c:v>
                </c:pt>
                <c:pt idx="6">
                  <c:v>1</c:v>
                </c:pt>
                <c:pt idx="7">
                  <c:v>1</c:v>
                </c:pt>
                <c:pt idx="8">
                  <c:v>1.4123249419429105</c:v>
                </c:pt>
                <c:pt idx="9">
                  <c:v>1.9180945738923831</c:v>
                </c:pt>
                <c:pt idx="10">
                  <c:v>1.9180945738923831</c:v>
                </c:pt>
                <c:pt idx="11">
                  <c:v>1.4123249419429105</c:v>
                </c:pt>
                <c:pt idx="12">
                  <c:v>2.4184607326537448</c:v>
                </c:pt>
                <c:pt idx="13">
                  <c:v>4.6820606898093473</c:v>
                </c:pt>
                <c:pt idx="14">
                  <c:v>1</c:v>
                </c:pt>
                <c:pt idx="15">
                  <c:v>0</c:v>
                </c:pt>
                <c:pt idx="16">
                  <c:v>0</c:v>
                </c:pt>
                <c:pt idx="17">
                  <c:v>0</c:v>
                </c:pt>
                <c:pt idx="18">
                  <c:v>0</c:v>
                </c:pt>
                <c:pt idx="19">
                  <c:v>0.78439549195786507</c:v>
                </c:pt>
                <c:pt idx="20">
                  <c:v>1</c:v>
                </c:pt>
                <c:pt idx="21">
                  <c:v>0</c:v>
                </c:pt>
                <c:pt idx="22">
                  <c:v>0</c:v>
                </c:pt>
                <c:pt idx="23">
                  <c:v>0.78439549195786507</c:v>
                </c:pt>
              </c:numCache>
            </c:numRef>
          </c:yVal>
          <c:smooth val="0"/>
          <c:extLst>
            <c:ext xmlns:c16="http://schemas.microsoft.com/office/drawing/2014/chart" uri="{C3380CC4-5D6E-409C-BE32-E72D297353CC}">
              <c16:uniqueId val="{00000001-ED8B-4320-8C18-476D2B9AC5DF}"/>
            </c:ext>
          </c:extLst>
        </c:ser>
        <c:ser>
          <c:idx val="2"/>
          <c:order val="2"/>
          <c:tx>
            <c:strRef>
              <c:f>Controls!$CF$7</c:f>
              <c:strCache>
                <c:ptCount val="1"/>
                <c:pt idx="0">
                  <c:v>rTSS</c:v>
                </c:pt>
              </c:strCache>
            </c:strRef>
          </c:tx>
          <c:spPr>
            <a:ln w="28575">
              <a:noFill/>
            </a:ln>
          </c:spPr>
          <c:xVal>
            <c:numRef>
              <c:f>Controls!$CG$4:$DD$4</c:f>
              <c:numCache>
                <c:formatCode>0</c:formatCode>
                <c:ptCount val="24"/>
                <c:pt idx="0">
                  <c:v>50</c:v>
                </c:pt>
                <c:pt idx="1">
                  <c:v>129</c:v>
                </c:pt>
                <c:pt idx="2">
                  <c:v>138</c:v>
                </c:pt>
                <c:pt idx="3">
                  <c:v>138</c:v>
                </c:pt>
                <c:pt idx="4">
                  <c:v>148</c:v>
                </c:pt>
                <c:pt idx="5">
                  <c:v>148</c:v>
                </c:pt>
                <c:pt idx="6">
                  <c:v>148</c:v>
                </c:pt>
                <c:pt idx="7">
                  <c:v>148</c:v>
                </c:pt>
                <c:pt idx="8">
                  <c:v>163</c:v>
                </c:pt>
                <c:pt idx="9">
                  <c:v>177</c:v>
                </c:pt>
                <c:pt idx="10">
                  <c:v>177</c:v>
                </c:pt>
                <c:pt idx="11">
                  <c:v>163</c:v>
                </c:pt>
                <c:pt idx="12">
                  <c:v>188</c:v>
                </c:pt>
                <c:pt idx="13">
                  <c:v>221</c:v>
                </c:pt>
                <c:pt idx="14">
                  <c:v>148</c:v>
                </c:pt>
                <c:pt idx="15">
                  <c:v>50</c:v>
                </c:pt>
                <c:pt idx="16">
                  <c:v>50</c:v>
                </c:pt>
                <c:pt idx="17">
                  <c:v>50</c:v>
                </c:pt>
                <c:pt idx="18">
                  <c:v>50</c:v>
                </c:pt>
                <c:pt idx="19">
                  <c:v>138</c:v>
                </c:pt>
                <c:pt idx="20">
                  <c:v>148</c:v>
                </c:pt>
                <c:pt idx="21">
                  <c:v>0</c:v>
                </c:pt>
                <c:pt idx="22">
                  <c:v>0</c:v>
                </c:pt>
                <c:pt idx="23">
                  <c:v>138</c:v>
                </c:pt>
              </c:numCache>
            </c:numRef>
          </c:xVal>
          <c:yVal>
            <c:numRef>
              <c:f>Controls!$CG$7:$DD$7</c:f>
              <c:numCache>
                <c:formatCode>0.00</c:formatCode>
                <c:ptCount val="24"/>
                <c:pt idx="0">
                  <c:v>0</c:v>
                </c:pt>
                <c:pt idx="1">
                  <c:v>0.66620979996831686</c:v>
                </c:pt>
                <c:pt idx="2">
                  <c:v>0.8260704228023894</c:v>
                </c:pt>
                <c:pt idx="3">
                  <c:v>0.8260704228023894</c:v>
                </c:pt>
                <c:pt idx="4">
                  <c:v>1</c:v>
                </c:pt>
                <c:pt idx="5">
                  <c:v>1</c:v>
                </c:pt>
                <c:pt idx="6">
                  <c:v>1</c:v>
                </c:pt>
                <c:pt idx="7">
                  <c:v>1</c:v>
                </c:pt>
                <c:pt idx="8">
                  <c:v>1.305438964888106</c:v>
                </c:pt>
                <c:pt idx="9">
                  <c:v>1.597792340429024</c:v>
                </c:pt>
                <c:pt idx="10">
                  <c:v>1.597792340429024</c:v>
                </c:pt>
                <c:pt idx="11">
                  <c:v>1.305438964888106</c:v>
                </c:pt>
                <c:pt idx="12">
                  <c:v>1.8652550457710717</c:v>
                </c:pt>
                <c:pt idx="13">
                  <c:v>2.6954256610527132</c:v>
                </c:pt>
                <c:pt idx="14">
                  <c:v>1</c:v>
                </c:pt>
                <c:pt idx="15">
                  <c:v>0</c:v>
                </c:pt>
                <c:pt idx="16">
                  <c:v>0</c:v>
                </c:pt>
                <c:pt idx="17">
                  <c:v>0</c:v>
                </c:pt>
                <c:pt idx="18">
                  <c:v>0</c:v>
                </c:pt>
                <c:pt idx="19">
                  <c:v>0.8260704228023894</c:v>
                </c:pt>
                <c:pt idx="20">
                  <c:v>1</c:v>
                </c:pt>
                <c:pt idx="21">
                  <c:v>0</c:v>
                </c:pt>
                <c:pt idx="22">
                  <c:v>0</c:v>
                </c:pt>
                <c:pt idx="23">
                  <c:v>0.8260704228023894</c:v>
                </c:pt>
              </c:numCache>
            </c:numRef>
          </c:yVal>
          <c:smooth val="0"/>
          <c:extLst>
            <c:ext xmlns:c16="http://schemas.microsoft.com/office/drawing/2014/chart" uri="{C3380CC4-5D6E-409C-BE32-E72D297353CC}">
              <c16:uniqueId val="{00000002-ED8B-4320-8C18-476D2B9AC5DF}"/>
            </c:ext>
          </c:extLst>
        </c:ser>
        <c:ser>
          <c:idx val="3"/>
          <c:order val="3"/>
          <c:tx>
            <c:strRef>
              <c:f>Controls!$CF$8</c:f>
              <c:strCache>
                <c:ptCount val="1"/>
                <c:pt idx="0">
                  <c:v>cTSS (HR)</c:v>
                </c:pt>
              </c:strCache>
            </c:strRef>
          </c:tx>
          <c:spPr>
            <a:ln w="28575">
              <a:noFill/>
            </a:ln>
          </c:spPr>
          <c:xVal>
            <c:numRef>
              <c:f>Controls!$CG$4:$DD$4</c:f>
              <c:numCache>
                <c:formatCode>0</c:formatCode>
                <c:ptCount val="24"/>
                <c:pt idx="0">
                  <c:v>50</c:v>
                </c:pt>
                <c:pt idx="1">
                  <c:v>129</c:v>
                </c:pt>
                <c:pt idx="2">
                  <c:v>138</c:v>
                </c:pt>
                <c:pt idx="3">
                  <c:v>138</c:v>
                </c:pt>
                <c:pt idx="4">
                  <c:v>148</c:v>
                </c:pt>
                <c:pt idx="5">
                  <c:v>148</c:v>
                </c:pt>
                <c:pt idx="6">
                  <c:v>148</c:v>
                </c:pt>
                <c:pt idx="7">
                  <c:v>148</c:v>
                </c:pt>
                <c:pt idx="8">
                  <c:v>163</c:v>
                </c:pt>
                <c:pt idx="9">
                  <c:v>177</c:v>
                </c:pt>
                <c:pt idx="10">
                  <c:v>177</c:v>
                </c:pt>
                <c:pt idx="11">
                  <c:v>163</c:v>
                </c:pt>
                <c:pt idx="12">
                  <c:v>188</c:v>
                </c:pt>
                <c:pt idx="13">
                  <c:v>221</c:v>
                </c:pt>
                <c:pt idx="14">
                  <c:v>148</c:v>
                </c:pt>
                <c:pt idx="15">
                  <c:v>50</c:v>
                </c:pt>
                <c:pt idx="16">
                  <c:v>50</c:v>
                </c:pt>
                <c:pt idx="17">
                  <c:v>50</c:v>
                </c:pt>
                <c:pt idx="18">
                  <c:v>50</c:v>
                </c:pt>
                <c:pt idx="19">
                  <c:v>138</c:v>
                </c:pt>
                <c:pt idx="20">
                  <c:v>148</c:v>
                </c:pt>
                <c:pt idx="21">
                  <c:v>0</c:v>
                </c:pt>
                <c:pt idx="22">
                  <c:v>0</c:v>
                </c:pt>
                <c:pt idx="23">
                  <c:v>138</c:v>
                </c:pt>
              </c:numCache>
            </c:numRef>
          </c:xVal>
          <c:yVal>
            <c:numRef>
              <c:f>Controls!$CG$8:$DD$8</c:f>
              <c:numCache>
                <c:formatCode>0.00</c:formatCode>
                <c:ptCount val="24"/>
                <c:pt idx="0">
                  <c:v>0</c:v>
                </c:pt>
                <c:pt idx="1">
                  <c:v>0.74760538528178133</c:v>
                </c:pt>
                <c:pt idx="2">
                  <c:v>0.86464176702365048</c:v>
                </c:pt>
                <c:pt idx="3">
                  <c:v>0.86464176702365048</c:v>
                </c:pt>
                <c:pt idx="4">
                  <c:v>1</c:v>
                </c:pt>
                <c:pt idx="5">
                  <c:v>1</c:v>
                </c:pt>
                <c:pt idx="6">
                  <c:v>1</c:v>
                </c:pt>
                <c:pt idx="7">
                  <c:v>1</c:v>
                </c:pt>
                <c:pt idx="8">
                  <c:v>1.2620078697063317</c:v>
                </c:pt>
                <c:pt idx="9">
                  <c:v>1.5470037567533934</c:v>
                </c:pt>
                <c:pt idx="10">
                  <c:v>1.5470037567533934</c:v>
                </c:pt>
                <c:pt idx="11">
                  <c:v>1.2620078697063317</c:v>
                </c:pt>
                <c:pt idx="12">
                  <c:v>1.8419927465256818</c:v>
                </c:pt>
                <c:pt idx="13">
                  <c:v>3.0202632606857964</c:v>
                </c:pt>
                <c:pt idx="14">
                  <c:v>1</c:v>
                </c:pt>
                <c:pt idx="15">
                  <c:v>0</c:v>
                </c:pt>
                <c:pt idx="16">
                  <c:v>0</c:v>
                </c:pt>
                <c:pt idx="17">
                  <c:v>0</c:v>
                </c:pt>
                <c:pt idx="18">
                  <c:v>0</c:v>
                </c:pt>
                <c:pt idx="19">
                  <c:v>0.86464176702365048</c:v>
                </c:pt>
                <c:pt idx="20">
                  <c:v>1</c:v>
                </c:pt>
                <c:pt idx="21">
                  <c:v>0</c:v>
                </c:pt>
                <c:pt idx="22">
                  <c:v>0</c:v>
                </c:pt>
                <c:pt idx="23">
                  <c:v>0.86464176702365048</c:v>
                </c:pt>
              </c:numCache>
            </c:numRef>
          </c:yVal>
          <c:smooth val="0"/>
          <c:extLst>
            <c:ext xmlns:c16="http://schemas.microsoft.com/office/drawing/2014/chart" uri="{C3380CC4-5D6E-409C-BE32-E72D297353CC}">
              <c16:uniqueId val="{00000003-ED8B-4320-8C18-476D2B9AC5DF}"/>
            </c:ext>
          </c:extLst>
        </c:ser>
        <c:dLbls>
          <c:showLegendKey val="0"/>
          <c:showVal val="0"/>
          <c:showCatName val="0"/>
          <c:showSerName val="0"/>
          <c:showPercent val="0"/>
          <c:showBubbleSize val="0"/>
        </c:dLbls>
        <c:axId val="88406784"/>
        <c:axId val="88407360"/>
      </c:scatterChart>
      <c:valAx>
        <c:axId val="88406784"/>
        <c:scaling>
          <c:orientation val="minMax"/>
          <c:max val="220"/>
          <c:min val="100"/>
        </c:scaling>
        <c:delete val="0"/>
        <c:axPos val="b"/>
        <c:numFmt formatCode="0" sourceLinked="1"/>
        <c:majorTickMark val="out"/>
        <c:minorTickMark val="none"/>
        <c:tickLblPos val="nextTo"/>
        <c:crossAx val="88407360"/>
        <c:crosses val="autoZero"/>
        <c:crossBetween val="midCat"/>
        <c:majorUnit val="20"/>
      </c:valAx>
      <c:valAx>
        <c:axId val="88407360"/>
        <c:scaling>
          <c:orientation val="minMax"/>
        </c:scaling>
        <c:delete val="0"/>
        <c:axPos val="l"/>
        <c:majorGridlines/>
        <c:numFmt formatCode="0.00" sourceLinked="1"/>
        <c:majorTickMark val="out"/>
        <c:minorTickMark val="none"/>
        <c:tickLblPos val="nextTo"/>
        <c:crossAx val="88406784"/>
        <c:crosses val="autoZero"/>
        <c:crossBetween val="midCat"/>
      </c:valAx>
    </c:plotArea>
    <c:legend>
      <c:legendPos val="l"/>
      <c:overlay val="0"/>
    </c:legend>
    <c:plotVisOnly val="0"/>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781759498187068E-2"/>
          <c:y val="0.13794512159587058"/>
          <c:w val="0.98413180333490979"/>
          <c:h val="0.64560389116157058"/>
        </c:manualLayout>
      </c:layout>
      <c:areaChart>
        <c:grouping val="standard"/>
        <c:varyColors val="0"/>
        <c:ser>
          <c:idx val="2"/>
          <c:order val="2"/>
          <c:tx>
            <c:strRef>
              <c:f>'Form Tracker'!$A$7</c:f>
              <c:strCache>
                <c:ptCount val="1"/>
                <c:pt idx="0">
                  <c:v>Accumulative Fatigue</c:v>
                </c:pt>
              </c:strCache>
            </c:strRef>
          </c:tx>
          <c:spPr>
            <a:solidFill>
              <a:srgbClr val="9BBB59">
                <a:alpha val="50196"/>
              </a:srgbClr>
            </a:solidFill>
            <a:ln>
              <a:noFill/>
            </a:ln>
            <a:effectLst/>
          </c:spP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Tracker'!$C$8:$FN$8</c:f>
              <c:numCache>
                <c:formatCode>0</c:formatCode>
                <c:ptCount val="168"/>
                <c:pt idx="0">
                  <c:v>117.33353222497388</c:v>
                </c:pt>
                <c:pt idx="1">
                  <c:v>127.72561135672329</c:v>
                </c:pt>
                <c:pt idx="2">
                  <c:v>116.24276491616531</c:v>
                </c:pt>
                <c:pt idx="3">
                  <c:v>128.87142285658462</c:v>
                </c:pt>
                <c:pt idx="4">
                  <c:v>113.94254127462546</c:v>
                </c:pt>
                <c:pt idx="5">
                  <c:v>122.86592857541264</c:v>
                </c:pt>
                <c:pt idx="6">
                  <c:v>134.85616264642638</c:v>
                </c:pt>
                <c:pt idx="7">
                  <c:v>117.1230280773304</c:v>
                </c:pt>
                <c:pt idx="8">
                  <c:v>127.51510720907982</c:v>
                </c:pt>
                <c:pt idx="9">
                  <c:v>119.75665394782781</c:v>
                </c:pt>
                <c:pt idx="10">
                  <c:v>131.71014187431101</c:v>
                </c:pt>
                <c:pt idx="11">
                  <c:v>116.18774700449337</c:v>
                </c:pt>
                <c:pt idx="12">
                  <c:v>125.11113430528056</c:v>
                </c:pt>
                <c:pt idx="13">
                  <c:v>130.82708504750514</c:v>
                </c:pt>
                <c:pt idx="14">
                  <c:v>130.82708504750514</c:v>
                </c:pt>
                <c:pt idx="15">
                  <c:v>130.82708504750514</c:v>
                </c:pt>
                <c:pt idx="16">
                  <c:v>134.08592907939789</c:v>
                </c:pt>
                <c:pt idx="17">
                  <c:v>135.27295565511477</c:v>
                </c:pt>
                <c:pt idx="18">
                  <c:v>135.27295565511477</c:v>
                </c:pt>
                <c:pt idx="19">
                  <c:v>135.73850480252798</c:v>
                </c:pt>
                <c:pt idx="20">
                  <c:v>136.9255313782449</c:v>
                </c:pt>
                <c:pt idx="21">
                  <c:v>136.92553137824487</c:v>
                </c:pt>
                <c:pt idx="22">
                  <c:v>136.92553137824484</c:v>
                </c:pt>
                <c:pt idx="23">
                  <c:v>137.39108052565811</c:v>
                </c:pt>
                <c:pt idx="24">
                  <c:v>137.98459381351657</c:v>
                </c:pt>
                <c:pt idx="25">
                  <c:v>137.98459381351654</c:v>
                </c:pt>
                <c:pt idx="26">
                  <c:v>140.59883650826487</c:v>
                </c:pt>
                <c:pt idx="27">
                  <c:v>142.37937637184018</c:v>
                </c:pt>
                <c:pt idx="28">
                  <c:v>142.37937637184018</c:v>
                </c:pt>
                <c:pt idx="29">
                  <c:v>142.37937637184021</c:v>
                </c:pt>
                <c:pt idx="30">
                  <c:v>141.91382722442697</c:v>
                </c:pt>
                <c:pt idx="31">
                  <c:v>142.50734051228537</c:v>
                </c:pt>
                <c:pt idx="32">
                  <c:v>142.50734051228537</c:v>
                </c:pt>
                <c:pt idx="33">
                  <c:v>145.58713235444696</c:v>
                </c:pt>
                <c:pt idx="34">
                  <c:v>147.36767221802225</c:v>
                </c:pt>
                <c:pt idx="35">
                  <c:v>147.36767221802225</c:v>
                </c:pt>
                <c:pt idx="36">
                  <c:v>147.36767221802225</c:v>
                </c:pt>
                <c:pt idx="37">
                  <c:v>149.22986880767527</c:v>
                </c:pt>
                <c:pt idx="38">
                  <c:v>150.41689538339213</c:v>
                </c:pt>
                <c:pt idx="39">
                  <c:v>150.41689538339213</c:v>
                </c:pt>
                <c:pt idx="40">
                  <c:v>165.38886918803706</c:v>
                </c:pt>
                <c:pt idx="41">
                  <c:v>152.57654703338451</c:v>
                </c:pt>
                <c:pt idx="42">
                  <c:v>152.57654703338449</c:v>
                </c:pt>
                <c:pt idx="43">
                  <c:v>152.57654703338451</c:v>
                </c:pt>
                <c:pt idx="44">
                  <c:v>150.71435044373155</c:v>
                </c:pt>
                <c:pt idx="45">
                  <c:v>145.20941740085021</c:v>
                </c:pt>
                <c:pt idx="46">
                  <c:v>145.20941740085024</c:v>
                </c:pt>
                <c:pt idx="47">
                  <c:v>142.881671663784</c:v>
                </c:pt>
                <c:pt idx="48">
                  <c:v>139.32059193663338</c:v>
                </c:pt>
                <c:pt idx="49">
                  <c:v>139.32059193663338</c:v>
                </c:pt>
                <c:pt idx="50">
                  <c:v>135.59619875732739</c:v>
                </c:pt>
                <c:pt idx="51">
                  <c:v>131.87180557802142</c:v>
                </c:pt>
                <c:pt idx="52">
                  <c:v>123.99281938370636</c:v>
                </c:pt>
                <c:pt idx="53">
                  <c:v>123.99281938370636</c:v>
                </c:pt>
                <c:pt idx="54">
                  <c:v>106.69309984199518</c:v>
                </c:pt>
                <c:pt idx="55">
                  <c:v>114.1638024059218</c:v>
                </c:pt>
                <c:pt idx="56">
                  <c:v>114.16380240592181</c:v>
                </c:pt>
                <c:pt idx="57">
                  <c:v>110.43940922661582</c:v>
                </c:pt>
                <c:pt idx="58">
                  <c:v>109.04276178437607</c:v>
                </c:pt>
                <c:pt idx="59">
                  <c:v>99.546549178641072</c:v>
                </c:pt>
                <c:pt idx="60">
                  <c:v>99.388016361404183</c:v>
                </c:pt>
                <c:pt idx="61">
                  <c:v>143.25486976947863</c:v>
                </c:pt>
                <c:pt idx="62">
                  <c:v>127.82352428515927</c:v>
                </c:pt>
                <c:pt idx="63">
                  <c:v>124.09913110585329</c:v>
                </c:pt>
                <c:pt idx="64">
                  <c:v>116.18675705186651</c:v>
                </c:pt>
                <c:pt idx="65">
                  <c:v>111.06571643032078</c:v>
                </c:pt>
                <c:pt idx="66">
                  <c:v>103.35004368816109</c:v>
                </c:pt>
                <c:pt idx="67">
                  <c:v>99.625650508855117</c:v>
                </c:pt>
                <c:pt idx="68">
                  <c:v>88.436732233361369</c:v>
                </c:pt>
                <c:pt idx="69">
                  <c:v>81.314572779060128</c:v>
                </c:pt>
                <c:pt idx="70">
                  <c:v>87.679905493347576</c:v>
                </c:pt>
                <c:pt idx="71">
                  <c:v>96.979416787255431</c:v>
                </c:pt>
                <c:pt idx="72">
                  <c:v>110.00135980843086</c:v>
                </c:pt>
                <c:pt idx="73">
                  <c:v>120.09108570202427</c:v>
                </c:pt>
                <c:pt idx="74">
                  <c:v>126.61495123354858</c:v>
                </c:pt>
                <c:pt idx="75">
                  <c:v>87.839966603048566</c:v>
                </c:pt>
                <c:pt idx="76">
                  <c:v>105.05185195094322</c:v>
                </c:pt>
                <c:pt idx="77">
                  <c:v>108.77624513024921</c:v>
                </c:pt>
                <c:pt idx="78">
                  <c:v>120.41301236354198</c:v>
                </c:pt>
                <c:pt idx="79">
                  <c:v>123.20630724802147</c:v>
                </c:pt>
                <c:pt idx="80">
                  <c:v>132.11686428630671</c:v>
                </c:pt>
                <c:pt idx="81">
                  <c:v>135.84125746561273</c:v>
                </c:pt>
                <c:pt idx="82">
                  <c:v>146.94373838011032</c:v>
                </c:pt>
                <c:pt idx="83">
                  <c:v>154.65941112226997</c:v>
                </c:pt>
                <c:pt idx="84">
                  <c:v>148.29407840798254</c:v>
                </c:pt>
                <c:pt idx="85">
                  <c:v>142.71896029338063</c:v>
                </c:pt>
                <c:pt idx="86">
                  <c:v>128.30036982996549</c:v>
                </c:pt>
                <c:pt idx="87">
                  <c:v>128.1591619594812</c:v>
                </c:pt>
                <c:pt idx="88">
                  <c:v>121.79382924519375</c:v>
                </c:pt>
                <c:pt idx="89">
                  <c:v>116.27793809965513</c:v>
                </c:pt>
                <c:pt idx="90">
                  <c:v>113.90388494822137</c:v>
                </c:pt>
                <c:pt idx="91">
                  <c:v>113.90388494822137</c:v>
                </c:pt>
                <c:pt idx="92">
                  <c:v>113.90388494822137</c:v>
                </c:pt>
                <c:pt idx="93">
                  <c:v>118.55937642235385</c:v>
                </c:pt>
                <c:pt idx="94">
                  <c:v>121.30320921530624</c:v>
                </c:pt>
                <c:pt idx="95">
                  <c:v>121.30320921530624</c:v>
                </c:pt>
                <c:pt idx="96">
                  <c:v>128.92626712873093</c:v>
                </c:pt>
                <c:pt idx="97">
                  <c:v>134.26788671945684</c:v>
                </c:pt>
                <c:pt idx="98">
                  <c:v>133.33678842463036</c:v>
                </c:pt>
                <c:pt idx="99">
                  <c:v>129.61239524532436</c:v>
                </c:pt>
                <c:pt idx="100">
                  <c:v>129.61239524532436</c:v>
                </c:pt>
                <c:pt idx="101">
                  <c:v>125.66597196910685</c:v>
                </c:pt>
                <c:pt idx="102">
                  <c:v>124.73487367428035</c:v>
                </c:pt>
                <c:pt idx="103">
                  <c:v>118.97401235050866</c:v>
                </c:pt>
                <c:pt idx="104">
                  <c:v>113.63239275978273</c:v>
                </c:pt>
                <c:pt idx="105">
                  <c:v>112.70129446495625</c:v>
                </c:pt>
                <c:pt idx="106">
                  <c:v>108.97690128565026</c:v>
                </c:pt>
                <c:pt idx="107">
                  <c:v>104.32140981151777</c:v>
                </c:pt>
                <c:pt idx="108">
                  <c:v>98.669114727171731</c:v>
                </c:pt>
                <c:pt idx="109">
                  <c:v>97.738016432345248</c:v>
                </c:pt>
                <c:pt idx="110">
                  <c:v>84.947610483007352</c:v>
                </c:pt>
                <c:pt idx="111">
                  <c:v>75.451397877272385</c:v>
                </c:pt>
                <c:pt idx="112">
                  <c:v>75.45139787727237</c:v>
                </c:pt>
                <c:pt idx="113">
                  <c:v>72.66006444483132</c:v>
                </c:pt>
                <c:pt idx="114">
                  <c:v>74.987810181897558</c:v>
                </c:pt>
                <c:pt idx="115">
                  <c:v>68.985715435005972</c:v>
                </c:pt>
                <c:pt idx="116">
                  <c:v>72.718887262623326</c:v>
                </c:pt>
                <c:pt idx="117">
                  <c:v>87.805263434305431</c:v>
                </c:pt>
                <c:pt idx="118">
                  <c:v>88.287043890142584</c:v>
                </c:pt>
                <c:pt idx="119">
                  <c:v>88.28704389014257</c:v>
                </c:pt>
                <c:pt idx="120">
                  <c:v>88.28704389014257</c:v>
                </c:pt>
                <c:pt idx="121">
                  <c:v>95.270281101341297</c:v>
                </c:pt>
                <c:pt idx="122">
                  <c:v>96.234232053861319</c:v>
                </c:pt>
                <c:pt idx="123">
                  <c:v>96.234232053861334</c:v>
                </c:pt>
                <c:pt idx="124">
                  <c:v>98.014771917436633</c:v>
                </c:pt>
                <c:pt idx="125">
                  <c:v>100.98233835672882</c:v>
                </c:pt>
                <c:pt idx="126">
                  <c:v>98.189043472249324</c:v>
                </c:pt>
                <c:pt idx="127">
                  <c:v>100.0340485501152</c:v>
                </c:pt>
                <c:pt idx="128">
                  <c:v>105.08917118315904</c:v>
                </c:pt>
                <c:pt idx="129">
                  <c:v>106.95136777281205</c:v>
                </c:pt>
                <c:pt idx="130">
                  <c:v>103.21819594519467</c:v>
                </c:pt>
                <c:pt idx="131">
                  <c:v>118.13266557845931</c:v>
                </c:pt>
                <c:pt idx="132">
                  <c:v>108.15467251688719</c:v>
                </c:pt>
                <c:pt idx="133">
                  <c:v>105.36137763240768</c:v>
                </c:pt>
                <c:pt idx="134">
                  <c:v>97.449003578420886</c:v>
                </c:pt>
                <c:pt idx="135">
                  <c:v>87.672471482742679</c:v>
                </c:pt>
                <c:pt idx="136">
                  <c:v>80.706425783331071</c:v>
                </c:pt>
                <c:pt idx="137">
                  <c:v>77.913130898851577</c:v>
                </c:pt>
                <c:pt idx="138">
                  <c:v>70.197458156691908</c:v>
                </c:pt>
                <c:pt idx="139">
                  <c:v>57.733679111664742</c:v>
                </c:pt>
                <c:pt idx="140">
                  <c:v>57.733679111664742</c:v>
                </c:pt>
                <c:pt idx="141">
                  <c:v>50.767633412253119</c:v>
                </c:pt>
                <c:pt idx="142">
                  <c:v>40.591470157663551</c:v>
                </c:pt>
                <c:pt idx="143">
                  <c:v>38.729273568010562</c:v>
                </c:pt>
                <c:pt idx="144">
                  <c:v>35.935978683531076</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2-3ED2-4C5E-8DB8-3EB11F7E9320}"/>
            </c:ext>
          </c:extLst>
        </c:ser>
        <c:ser>
          <c:idx val="3"/>
          <c:order val="3"/>
          <c:tx>
            <c:strRef>
              <c:f>'Form Tracker'!$A$9:$B$9</c:f>
              <c:strCache>
                <c:ptCount val="2"/>
                <c:pt idx="0">
                  <c:v>Accumulative Fitness</c:v>
                </c:pt>
              </c:strCache>
            </c:strRef>
          </c:tx>
          <c:spPr>
            <a:solidFill>
              <a:srgbClr val="8064A2">
                <a:alpha val="50196"/>
              </a:srgbClr>
            </a:solidFill>
            <a:ln>
              <a:noFill/>
            </a:ln>
            <a:effectLst/>
          </c:spP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Tracker'!$C$10:$FN$10</c:f>
              <c:numCache>
                <c:formatCode>0</c:formatCode>
                <c:ptCount val="168"/>
                <c:pt idx="0">
                  <c:v>128.05853407899323</c:v>
                </c:pt>
                <c:pt idx="1">
                  <c:v>128.05853407899323</c:v>
                </c:pt>
                <c:pt idx="2">
                  <c:v>128.05853407899323</c:v>
                </c:pt>
                <c:pt idx="3">
                  <c:v>128.05853407899323</c:v>
                </c:pt>
                <c:pt idx="4">
                  <c:v>128.05853407899323</c:v>
                </c:pt>
                <c:pt idx="5">
                  <c:v>128.05853407899323</c:v>
                </c:pt>
                <c:pt idx="6">
                  <c:v>128.05853407899323</c:v>
                </c:pt>
                <c:pt idx="7">
                  <c:v>129.00477375156868</c:v>
                </c:pt>
                <c:pt idx="8">
                  <c:v>129.00477375156868</c:v>
                </c:pt>
                <c:pt idx="9">
                  <c:v>129.00477375156868</c:v>
                </c:pt>
                <c:pt idx="10">
                  <c:v>129.00477375156868</c:v>
                </c:pt>
                <c:pt idx="11">
                  <c:v>129.00477375156868</c:v>
                </c:pt>
                <c:pt idx="12">
                  <c:v>129.00477375156868</c:v>
                </c:pt>
                <c:pt idx="13">
                  <c:v>129.00477375156868</c:v>
                </c:pt>
                <c:pt idx="14">
                  <c:v>130.96742114593411</c:v>
                </c:pt>
                <c:pt idx="15">
                  <c:v>130.96742114593411</c:v>
                </c:pt>
                <c:pt idx="16">
                  <c:v>130.96742114593411</c:v>
                </c:pt>
                <c:pt idx="17">
                  <c:v>130.96742114593411</c:v>
                </c:pt>
                <c:pt idx="18">
                  <c:v>130.96742114593411</c:v>
                </c:pt>
                <c:pt idx="19">
                  <c:v>130.96742114593411</c:v>
                </c:pt>
                <c:pt idx="20">
                  <c:v>130.96742114593411</c:v>
                </c:pt>
                <c:pt idx="21">
                  <c:v>133.73160914970799</c:v>
                </c:pt>
                <c:pt idx="22">
                  <c:v>133.73160914970799</c:v>
                </c:pt>
                <c:pt idx="23">
                  <c:v>133.73160914970799</c:v>
                </c:pt>
                <c:pt idx="24">
                  <c:v>133.73160914970799</c:v>
                </c:pt>
                <c:pt idx="25">
                  <c:v>133.73160914970799</c:v>
                </c:pt>
                <c:pt idx="26">
                  <c:v>133.73160914970799</c:v>
                </c:pt>
                <c:pt idx="27">
                  <c:v>133.73160914970799</c:v>
                </c:pt>
                <c:pt idx="28">
                  <c:v>137.35702182613409</c:v>
                </c:pt>
                <c:pt idx="29">
                  <c:v>137.35702182613409</c:v>
                </c:pt>
                <c:pt idx="30">
                  <c:v>137.35702182613409</c:v>
                </c:pt>
                <c:pt idx="31">
                  <c:v>137.35702182613409</c:v>
                </c:pt>
                <c:pt idx="32">
                  <c:v>137.35702182613409</c:v>
                </c:pt>
                <c:pt idx="33">
                  <c:v>137.35702182613409</c:v>
                </c:pt>
                <c:pt idx="34">
                  <c:v>137.35702182613409</c:v>
                </c:pt>
                <c:pt idx="35">
                  <c:v>141.92766948424324</c:v>
                </c:pt>
                <c:pt idx="36">
                  <c:v>141.92766948424324</c:v>
                </c:pt>
                <c:pt idx="37">
                  <c:v>141.92766948424324</c:v>
                </c:pt>
                <c:pt idx="38">
                  <c:v>141.92766948424324</c:v>
                </c:pt>
                <c:pt idx="39">
                  <c:v>141.92766948424324</c:v>
                </c:pt>
                <c:pt idx="40">
                  <c:v>141.92766948424324</c:v>
                </c:pt>
                <c:pt idx="41">
                  <c:v>141.92766948424324</c:v>
                </c:pt>
                <c:pt idx="42">
                  <c:v>141.20459851096683</c:v>
                </c:pt>
                <c:pt idx="43">
                  <c:v>141.20459851096683</c:v>
                </c:pt>
                <c:pt idx="44">
                  <c:v>141.20459851096683</c:v>
                </c:pt>
                <c:pt idx="45">
                  <c:v>141.20459851096683</c:v>
                </c:pt>
                <c:pt idx="46">
                  <c:v>141.20459851096683</c:v>
                </c:pt>
                <c:pt idx="47">
                  <c:v>141.20459851096683</c:v>
                </c:pt>
                <c:pt idx="48">
                  <c:v>141.20459851096683</c:v>
                </c:pt>
                <c:pt idx="49">
                  <c:v>136.37324193704879</c:v>
                </c:pt>
                <c:pt idx="50">
                  <c:v>136.37324193704879</c:v>
                </c:pt>
                <c:pt idx="51">
                  <c:v>136.37324193704879</c:v>
                </c:pt>
                <c:pt idx="52">
                  <c:v>136.37324193704879</c:v>
                </c:pt>
                <c:pt idx="53">
                  <c:v>136.37324193704879</c:v>
                </c:pt>
                <c:pt idx="54">
                  <c:v>136.37324193704879</c:v>
                </c:pt>
                <c:pt idx="55">
                  <c:v>136.37324193704879</c:v>
                </c:pt>
                <c:pt idx="56">
                  <c:v>138.17059614660491</c:v>
                </c:pt>
                <c:pt idx="57">
                  <c:v>138.17059614660491</c:v>
                </c:pt>
                <c:pt idx="58">
                  <c:v>138.17059614660491</c:v>
                </c:pt>
                <c:pt idx="59">
                  <c:v>138.17059614660491</c:v>
                </c:pt>
                <c:pt idx="60">
                  <c:v>138.17059614660491</c:v>
                </c:pt>
                <c:pt idx="61">
                  <c:v>138.17059614660491</c:v>
                </c:pt>
                <c:pt idx="62">
                  <c:v>138.17059614660491</c:v>
                </c:pt>
                <c:pt idx="63">
                  <c:v>116.01830740612212</c:v>
                </c:pt>
                <c:pt idx="64">
                  <c:v>116.01830740612212</c:v>
                </c:pt>
                <c:pt idx="65">
                  <c:v>116.01830740612212</c:v>
                </c:pt>
                <c:pt idx="66">
                  <c:v>116.01830740612212</c:v>
                </c:pt>
                <c:pt idx="67">
                  <c:v>116.01830740612212</c:v>
                </c:pt>
                <c:pt idx="68">
                  <c:v>116.01830740612212</c:v>
                </c:pt>
                <c:pt idx="69">
                  <c:v>116.01830740612212</c:v>
                </c:pt>
                <c:pt idx="70">
                  <c:v>124.06532272424528</c:v>
                </c:pt>
                <c:pt idx="71">
                  <c:v>124.06532272424528</c:v>
                </c:pt>
                <c:pt idx="72">
                  <c:v>124.06532272424528</c:v>
                </c:pt>
                <c:pt idx="73">
                  <c:v>124.06532272424528</c:v>
                </c:pt>
                <c:pt idx="74">
                  <c:v>124.06532272424528</c:v>
                </c:pt>
                <c:pt idx="75">
                  <c:v>124.06532272424528</c:v>
                </c:pt>
                <c:pt idx="76">
                  <c:v>124.06532272424528</c:v>
                </c:pt>
                <c:pt idx="77">
                  <c:v>116.71259543575061</c:v>
                </c:pt>
                <c:pt idx="78">
                  <c:v>116.71259543575061</c:v>
                </c:pt>
                <c:pt idx="79">
                  <c:v>116.71259543575061</c:v>
                </c:pt>
                <c:pt idx="80">
                  <c:v>116.71259543575061</c:v>
                </c:pt>
                <c:pt idx="81">
                  <c:v>116.71259543575061</c:v>
                </c:pt>
                <c:pt idx="82">
                  <c:v>116.71259543575061</c:v>
                </c:pt>
                <c:pt idx="83">
                  <c:v>116.71259543575061</c:v>
                </c:pt>
                <c:pt idx="84">
                  <c:v>115.59308706144128</c:v>
                </c:pt>
                <c:pt idx="85">
                  <c:v>115.59308706144128</c:v>
                </c:pt>
                <c:pt idx="86">
                  <c:v>115.59308706144128</c:v>
                </c:pt>
                <c:pt idx="87">
                  <c:v>115.59308706144128</c:v>
                </c:pt>
                <c:pt idx="88">
                  <c:v>115.59308706144128</c:v>
                </c:pt>
                <c:pt idx="89">
                  <c:v>115.59308706144128</c:v>
                </c:pt>
                <c:pt idx="90">
                  <c:v>115.59308706144128</c:v>
                </c:pt>
                <c:pt idx="91">
                  <c:v>123.41395687359562</c:v>
                </c:pt>
                <c:pt idx="92">
                  <c:v>123.41395687359562</c:v>
                </c:pt>
                <c:pt idx="93">
                  <c:v>123.41395687359562</c:v>
                </c:pt>
                <c:pt idx="94">
                  <c:v>123.41395687359562</c:v>
                </c:pt>
                <c:pt idx="95">
                  <c:v>123.41395687359562</c:v>
                </c:pt>
                <c:pt idx="96">
                  <c:v>123.41395687359562</c:v>
                </c:pt>
                <c:pt idx="97">
                  <c:v>123.41395687359562</c:v>
                </c:pt>
                <c:pt idx="98">
                  <c:v>110.86270988631577</c:v>
                </c:pt>
                <c:pt idx="99">
                  <c:v>110.86270988631577</c:v>
                </c:pt>
                <c:pt idx="100">
                  <c:v>110.86270988631577</c:v>
                </c:pt>
                <c:pt idx="101">
                  <c:v>110.86270988631577</c:v>
                </c:pt>
                <c:pt idx="102">
                  <c:v>110.86270988631577</c:v>
                </c:pt>
                <c:pt idx="103">
                  <c:v>110.86270988631577</c:v>
                </c:pt>
                <c:pt idx="104">
                  <c:v>110.86270988631577</c:v>
                </c:pt>
                <c:pt idx="105">
                  <c:v>121.45956523966638</c:v>
                </c:pt>
                <c:pt idx="106">
                  <c:v>121.45956523966638</c:v>
                </c:pt>
                <c:pt idx="107">
                  <c:v>121.45956523966638</c:v>
                </c:pt>
                <c:pt idx="108">
                  <c:v>121.45956523966638</c:v>
                </c:pt>
                <c:pt idx="109">
                  <c:v>121.45956523966638</c:v>
                </c:pt>
                <c:pt idx="110">
                  <c:v>121.45956523966638</c:v>
                </c:pt>
                <c:pt idx="111">
                  <c:v>121.45956523966638</c:v>
                </c:pt>
                <c:pt idx="112">
                  <c:v>105.27444053271554</c:v>
                </c:pt>
                <c:pt idx="113">
                  <c:v>105.27444053271554</c:v>
                </c:pt>
                <c:pt idx="114">
                  <c:v>105.27444053271554</c:v>
                </c:pt>
                <c:pt idx="115">
                  <c:v>105.27444053271554</c:v>
                </c:pt>
                <c:pt idx="116">
                  <c:v>105.27444053271554</c:v>
                </c:pt>
                <c:pt idx="117">
                  <c:v>105.27444053271554</c:v>
                </c:pt>
                <c:pt idx="118">
                  <c:v>105.27444053271554</c:v>
                </c:pt>
                <c:pt idx="119">
                  <c:v>103.56720765115266</c:v>
                </c:pt>
                <c:pt idx="120">
                  <c:v>103.56720765115266</c:v>
                </c:pt>
                <c:pt idx="121">
                  <c:v>103.56720765115266</c:v>
                </c:pt>
                <c:pt idx="122">
                  <c:v>103.56720765115266</c:v>
                </c:pt>
                <c:pt idx="123">
                  <c:v>103.56720765115266</c:v>
                </c:pt>
                <c:pt idx="124">
                  <c:v>103.56720765115266</c:v>
                </c:pt>
                <c:pt idx="125">
                  <c:v>103.56720765115266</c:v>
                </c:pt>
                <c:pt idx="126">
                  <c:v>103.35803638893748</c:v>
                </c:pt>
                <c:pt idx="127">
                  <c:v>103.35803638893748</c:v>
                </c:pt>
                <c:pt idx="128">
                  <c:v>103.35803638893748</c:v>
                </c:pt>
                <c:pt idx="129">
                  <c:v>103.35803638893748</c:v>
                </c:pt>
                <c:pt idx="130">
                  <c:v>103.35803638893748</c:v>
                </c:pt>
                <c:pt idx="131">
                  <c:v>103.35803638893748</c:v>
                </c:pt>
                <c:pt idx="132">
                  <c:v>103.35803638893748</c:v>
                </c:pt>
                <c:pt idx="133">
                  <c:v>78.055805115221972</c:v>
                </c:pt>
                <c:pt idx="134">
                  <c:v>78.055805115221972</c:v>
                </c:pt>
                <c:pt idx="135">
                  <c:v>78.055805115221972</c:v>
                </c:pt>
                <c:pt idx="136">
                  <c:v>78.055805115221972</c:v>
                </c:pt>
                <c:pt idx="137">
                  <c:v>78.055805115221972</c:v>
                </c:pt>
                <c:pt idx="138">
                  <c:v>78.055805115221972</c:v>
                </c:pt>
                <c:pt idx="139">
                  <c:v>78.055805115221972</c:v>
                </c:pt>
                <c:pt idx="140">
                  <c:v>65.480572135676582</c:v>
                </c:pt>
                <c:pt idx="141">
                  <c:v>65.480572135676582</c:v>
                </c:pt>
                <c:pt idx="142">
                  <c:v>65.480572135676582</c:v>
                </c:pt>
                <c:pt idx="143">
                  <c:v>65.480572135676582</c:v>
                </c:pt>
                <c:pt idx="144">
                  <c:v>65.480572135676582</c:v>
                </c:pt>
                <c:pt idx="145">
                  <c:v>65.480572135676582</c:v>
                </c:pt>
                <c:pt idx="146">
                  <c:v>65.480572135676582</c:v>
                </c:pt>
                <c:pt idx="147">
                  <c:v>52.905339156131177</c:v>
                </c:pt>
                <c:pt idx="148">
                  <c:v>52.905339156131177</c:v>
                </c:pt>
                <c:pt idx="149">
                  <c:v>52.905339156131177</c:v>
                </c:pt>
                <c:pt idx="150">
                  <c:v>52.905339156131177</c:v>
                </c:pt>
                <c:pt idx="151">
                  <c:v>52.905339156131177</c:v>
                </c:pt>
                <c:pt idx="152">
                  <c:v>52.905339156131177</c:v>
                </c:pt>
                <c:pt idx="153">
                  <c:v>52.905339156131177</c:v>
                </c:pt>
                <c:pt idx="154">
                  <c:v>36.051557505629056</c:v>
                </c:pt>
                <c:pt idx="155">
                  <c:v>36.051557505629056</c:v>
                </c:pt>
                <c:pt idx="156">
                  <c:v>36.051557505629056</c:v>
                </c:pt>
                <c:pt idx="157">
                  <c:v>36.051557505629056</c:v>
                </c:pt>
                <c:pt idx="158">
                  <c:v>36.051557505629056</c:v>
                </c:pt>
                <c:pt idx="159">
                  <c:v>36.051557505629056</c:v>
                </c:pt>
                <c:pt idx="160">
                  <c:v>36.051557505629056</c:v>
                </c:pt>
                <c:pt idx="161">
                  <c:v>19.244559703888243</c:v>
                </c:pt>
                <c:pt idx="162">
                  <c:v>19.244559703888243</c:v>
                </c:pt>
                <c:pt idx="163">
                  <c:v>19.244559703888243</c:v>
                </c:pt>
                <c:pt idx="164">
                  <c:v>19.244559703888243</c:v>
                </c:pt>
                <c:pt idx="165">
                  <c:v>19.244559703888243</c:v>
                </c:pt>
                <c:pt idx="166">
                  <c:v>19.244559703888243</c:v>
                </c:pt>
                <c:pt idx="167">
                  <c:v>19.244559703888243</c:v>
                </c:pt>
              </c:numCache>
            </c:numRef>
          </c:val>
          <c:extLst>
            <c:ext xmlns:c16="http://schemas.microsoft.com/office/drawing/2014/chart" uri="{C3380CC4-5D6E-409C-BE32-E72D297353CC}">
              <c16:uniqueId val="{00000000-7FB3-4BB8-876F-7BDCC70AEF56}"/>
            </c:ext>
          </c:extLst>
        </c:ser>
        <c:dLbls>
          <c:showLegendKey val="0"/>
          <c:showVal val="0"/>
          <c:showCatName val="0"/>
          <c:showSerName val="0"/>
          <c:showPercent val="0"/>
          <c:showBubbleSize val="0"/>
        </c:dLbls>
        <c:axId val="91257856"/>
        <c:axId val="89361792"/>
      </c:areaChart>
      <c:lineChart>
        <c:grouping val="standard"/>
        <c:varyColors val="0"/>
        <c:ser>
          <c:idx val="0"/>
          <c:order val="0"/>
          <c:tx>
            <c:strRef>
              <c:f>'Form Tracker'!$B$4</c:f>
              <c:strCache>
                <c:ptCount val="1"/>
                <c:pt idx="0">
                  <c:v>Morning</c:v>
                </c:pt>
              </c:strCache>
            </c:strRef>
          </c:tx>
          <c:spPr>
            <a:ln w="28575" cap="rnd" cmpd="sng" algn="ctr">
              <a:noFill/>
              <a:prstDash val="solid"/>
              <a:round/>
            </a:ln>
            <a:effectLst/>
          </c:spPr>
          <c:marker>
            <c:symbol val="circle"/>
            <c:size val="7"/>
            <c:spPr>
              <a:solidFill>
                <a:schemeClr val="accent2"/>
              </a:solidFill>
              <a:ln w="9525" cap="flat" cmpd="sng" algn="ctr">
                <a:solidFill>
                  <a:schemeClr val="accent2"/>
                </a:solidFill>
                <a:prstDash val="solid"/>
                <a:round/>
              </a:ln>
              <a:effectLst/>
            </c:spPr>
          </c:marke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Tracker'!$C$4:$FN$4</c:f>
              <c:numCache>
                <c:formatCode>0</c:formatCode>
                <c:ptCount val="168"/>
                <c:pt idx="0">
                  <c:v>52.141504510283774</c:v>
                </c:pt>
                <c:pt idx="1">
                  <c:v>52.141504510283774</c:v>
                </c:pt>
                <c:pt idx="2">
                  <c:v>0</c:v>
                </c:pt>
                <c:pt idx="3">
                  <c:v>52.141504510283774</c:v>
                </c:pt>
                <c:pt idx="4">
                  <c:v>52.141504510283774</c:v>
                </c:pt>
                <c:pt idx="5">
                  <c:v>80.939329747723065</c:v>
                </c:pt>
                <c:pt idx="6">
                  <c:v>224.34802281048886</c:v>
                </c:pt>
                <c:pt idx="7">
                  <c:v>52.141504510283774</c:v>
                </c:pt>
                <c:pt idx="8">
                  <c:v>52.141504510283774</c:v>
                </c:pt>
                <c:pt idx="9">
                  <c:v>0</c:v>
                </c:pt>
                <c:pt idx="10">
                  <c:v>52.141504510283774</c:v>
                </c:pt>
                <c:pt idx="11">
                  <c:v>52.141504510283774</c:v>
                </c:pt>
                <c:pt idx="12">
                  <c:v>80.939329747723065</c:v>
                </c:pt>
                <c:pt idx="13">
                  <c:v>232.65720884050694</c:v>
                </c:pt>
                <c:pt idx="14">
                  <c:v>52.141504510283774</c:v>
                </c:pt>
                <c:pt idx="15">
                  <c:v>52.141504510283774</c:v>
                </c:pt>
                <c:pt idx="16">
                  <c:v>0</c:v>
                </c:pt>
                <c:pt idx="17">
                  <c:v>52.141504510283774</c:v>
                </c:pt>
                <c:pt idx="18">
                  <c:v>52.141504510283774</c:v>
                </c:pt>
                <c:pt idx="19">
                  <c:v>80.939329747723065</c:v>
                </c:pt>
                <c:pt idx="20">
                  <c:v>240.96639487052505</c:v>
                </c:pt>
                <c:pt idx="21">
                  <c:v>52.141504510283774</c:v>
                </c:pt>
                <c:pt idx="22">
                  <c:v>52.141504510283774</c:v>
                </c:pt>
                <c:pt idx="23">
                  <c:v>0</c:v>
                </c:pt>
                <c:pt idx="24">
                  <c:v>52.141504510283774</c:v>
                </c:pt>
                <c:pt idx="25">
                  <c:v>52.141504510283774</c:v>
                </c:pt>
                <c:pt idx="26">
                  <c:v>111.02103941041415</c:v>
                </c:pt>
                <c:pt idx="27">
                  <c:v>257.58476693056127</c:v>
                </c:pt>
                <c:pt idx="28">
                  <c:v>52.141504510283774</c:v>
                </c:pt>
                <c:pt idx="29">
                  <c:v>52.141504510283774</c:v>
                </c:pt>
                <c:pt idx="30">
                  <c:v>0</c:v>
                </c:pt>
                <c:pt idx="31">
                  <c:v>52.141504510283774</c:v>
                </c:pt>
                <c:pt idx="32">
                  <c:v>52.141504510283774</c:v>
                </c:pt>
                <c:pt idx="33">
                  <c:v>117.53872747419962</c:v>
                </c:pt>
                <c:pt idx="34">
                  <c:v>265.89395296057938</c:v>
                </c:pt>
                <c:pt idx="35">
                  <c:v>52.141504510283774</c:v>
                </c:pt>
                <c:pt idx="36">
                  <c:v>52.141504510283774</c:v>
                </c:pt>
                <c:pt idx="37">
                  <c:v>0</c:v>
                </c:pt>
                <c:pt idx="38">
                  <c:v>52.141504510283774</c:v>
                </c:pt>
                <c:pt idx="39">
                  <c:v>52.141504510283774</c:v>
                </c:pt>
                <c:pt idx="40">
                  <c:v>398.84092944086905</c:v>
                </c:pt>
                <c:pt idx="41">
                  <c:v>78.212256765425664</c:v>
                </c:pt>
                <c:pt idx="42">
                  <c:v>52.141504510283774</c:v>
                </c:pt>
                <c:pt idx="43">
                  <c:v>52.141504510283774</c:v>
                </c:pt>
                <c:pt idx="44">
                  <c:v>0</c:v>
                </c:pt>
                <c:pt idx="45">
                  <c:v>0</c:v>
                </c:pt>
                <c:pt idx="46">
                  <c:v>52.141504510283774</c:v>
                </c:pt>
                <c:pt idx="47">
                  <c:v>104.50335134662868</c:v>
                </c:pt>
                <c:pt idx="48">
                  <c:v>216.03883678047075</c:v>
                </c:pt>
                <c:pt idx="49">
                  <c:v>52.141504510283774</c:v>
                </c:pt>
                <c:pt idx="50">
                  <c:v>0</c:v>
                </c:pt>
                <c:pt idx="51">
                  <c:v>0</c:v>
                </c:pt>
                <c:pt idx="52">
                  <c:v>0</c:v>
                </c:pt>
                <c:pt idx="53">
                  <c:v>52.141504510283774</c:v>
                </c:pt>
                <c:pt idx="54">
                  <c:v>97.985663282843205</c:v>
                </c:pt>
                <c:pt idx="55">
                  <c:v>182.80209266039833</c:v>
                </c:pt>
                <c:pt idx="56">
                  <c:v>52.141504510283774</c:v>
                </c:pt>
                <c:pt idx="57">
                  <c:v>0</c:v>
                </c:pt>
                <c:pt idx="58">
                  <c:v>0</c:v>
                </c:pt>
                <c:pt idx="59">
                  <c:v>0</c:v>
                </c:pt>
                <c:pt idx="60">
                  <c:v>49.922045068967208</c:v>
                </c:pt>
                <c:pt idx="61">
                  <c:v>783.81617969752529</c:v>
                </c:pt>
                <c:pt idx="62">
                  <c:v>0</c:v>
                </c:pt>
                <c:pt idx="63">
                  <c:v>0</c:v>
                </c:pt>
                <c:pt idx="64">
                  <c:v>0</c:v>
                </c:pt>
                <c:pt idx="65">
                  <c:v>0</c:v>
                </c:pt>
                <c:pt idx="66">
                  <c:v>0</c:v>
                </c:pt>
                <c:pt idx="67">
                  <c:v>0</c:v>
                </c:pt>
                <c:pt idx="68">
                  <c:v>0</c:v>
                </c:pt>
                <c:pt idx="69">
                  <c:v>0</c:v>
                </c:pt>
                <c:pt idx="70">
                  <c:v>0</c:v>
                </c:pt>
                <c:pt idx="71">
                  <c:v>0</c:v>
                </c:pt>
                <c:pt idx="72">
                  <c:v>0</c:v>
                </c:pt>
                <c:pt idx="73">
                  <c:v>0</c:v>
                </c:pt>
                <c:pt idx="74">
                  <c:v>0</c:v>
                </c:pt>
                <c:pt idx="75">
                  <c:v>240.96639487052505</c:v>
                </c:pt>
                <c:pt idx="76">
                  <c:v>240.96639487052505</c:v>
                </c:pt>
                <c:pt idx="77">
                  <c:v>52.141504510283774</c:v>
                </c:pt>
                <c:pt idx="78">
                  <c:v>52.141504510283774</c:v>
                </c:pt>
                <c:pt idx="79">
                  <c:v>0</c:v>
                </c:pt>
                <c:pt idx="80">
                  <c:v>52.141504510283774</c:v>
                </c:pt>
                <c:pt idx="81">
                  <c:v>52.141504510283774</c:v>
                </c:pt>
                <c:pt idx="82">
                  <c:v>116.32860442025347</c:v>
                </c:pt>
                <c:pt idx="83">
                  <c:v>191.11127869041641</c:v>
                </c:pt>
                <c:pt idx="84">
                  <c:v>52.141504510283774</c:v>
                </c:pt>
                <c:pt idx="85">
                  <c:v>52.141504510283774</c:v>
                </c:pt>
                <c:pt idx="86">
                  <c:v>0</c:v>
                </c:pt>
                <c:pt idx="87">
                  <c:v>52.141504510283774</c:v>
                </c:pt>
                <c:pt idx="88">
                  <c:v>52.141504510283774</c:v>
                </c:pt>
                <c:pt idx="89">
                  <c:v>124.63779045027158</c:v>
                </c:pt>
                <c:pt idx="90">
                  <c:v>207.72965075045263</c:v>
                </c:pt>
                <c:pt idx="91">
                  <c:v>52.141504510283774</c:v>
                </c:pt>
                <c:pt idx="92">
                  <c:v>52.141504510283774</c:v>
                </c:pt>
                <c:pt idx="93">
                  <c:v>0</c:v>
                </c:pt>
                <c:pt idx="94">
                  <c:v>52.141504510283774</c:v>
                </c:pt>
                <c:pt idx="95">
                  <c:v>52.141504510283774</c:v>
                </c:pt>
                <c:pt idx="96">
                  <c:v>157.874534570344</c:v>
                </c:pt>
                <c:pt idx="97">
                  <c:v>265.89395296057938</c:v>
                </c:pt>
                <c:pt idx="98">
                  <c:v>39.106128382712832</c:v>
                </c:pt>
                <c:pt idx="99">
                  <c:v>0</c:v>
                </c:pt>
                <c:pt idx="100">
                  <c:v>0</c:v>
                </c:pt>
                <c:pt idx="101">
                  <c:v>0</c:v>
                </c:pt>
                <c:pt idx="102">
                  <c:v>39.106128382712832</c:v>
                </c:pt>
                <c:pt idx="103">
                  <c:v>83.091860300181054</c:v>
                </c:pt>
                <c:pt idx="104">
                  <c:v>132.94697648028969</c:v>
                </c:pt>
                <c:pt idx="105">
                  <c:v>39.106128382712832</c:v>
                </c:pt>
                <c:pt idx="106">
                  <c:v>0</c:v>
                </c:pt>
                <c:pt idx="107">
                  <c:v>0</c:v>
                </c:pt>
                <c:pt idx="108">
                  <c:v>0</c:v>
                </c:pt>
                <c:pt idx="109">
                  <c:v>39.106128382712832</c:v>
                </c:pt>
                <c:pt idx="110">
                  <c:v>83.091860300181054</c:v>
                </c:pt>
                <c:pt idx="111">
                  <c:v>132.94697648028969</c:v>
                </c:pt>
                <c:pt idx="112">
                  <c:v>39.106128382712832</c:v>
                </c:pt>
                <c:pt idx="113">
                  <c:v>0</c:v>
                </c:pt>
                <c:pt idx="114">
                  <c:v>0</c:v>
                </c:pt>
                <c:pt idx="115">
                  <c:v>0</c:v>
                </c:pt>
                <c:pt idx="116">
                  <c:v>0</c:v>
                </c:pt>
                <c:pt idx="117">
                  <c:v>294.30112670373012</c:v>
                </c:pt>
                <c:pt idx="118">
                  <c:v>139.69190286200978</c:v>
                </c:pt>
                <c:pt idx="119">
                  <c:v>39.106128382712832</c:v>
                </c:pt>
                <c:pt idx="120">
                  <c:v>0</c:v>
                </c:pt>
                <c:pt idx="121">
                  <c:v>0</c:v>
                </c:pt>
                <c:pt idx="122">
                  <c:v>0</c:v>
                </c:pt>
                <c:pt idx="123">
                  <c:v>39.106128382712832</c:v>
                </c:pt>
                <c:pt idx="124">
                  <c:v>108.01941839023537</c:v>
                </c:pt>
                <c:pt idx="125">
                  <c:v>174.49290663038022</c:v>
                </c:pt>
                <c:pt idx="126">
                  <c:v>0</c:v>
                </c:pt>
                <c:pt idx="127">
                  <c:v>0</c:v>
                </c:pt>
                <c:pt idx="128">
                  <c:v>0</c:v>
                </c:pt>
                <c:pt idx="129">
                  <c:v>26.070752255141887</c:v>
                </c:pt>
                <c:pt idx="130">
                  <c:v>39.106128382712832</c:v>
                </c:pt>
                <c:pt idx="131">
                  <c:v>503.10370156943486</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0-3ED2-4C5E-8DB8-3EB11F7E9320}"/>
            </c:ext>
          </c:extLst>
        </c:ser>
        <c:ser>
          <c:idx val="1"/>
          <c:order val="1"/>
          <c:tx>
            <c:strRef>
              <c:f>'Form Tracker'!$B$5</c:f>
              <c:strCache>
                <c:ptCount val="1"/>
                <c:pt idx="0">
                  <c:v>Afternoon</c:v>
                </c:pt>
              </c:strCache>
            </c:strRef>
          </c:tx>
          <c:spPr>
            <a:ln w="28575" cap="rnd" cmpd="sng" algn="ctr">
              <a:noFill/>
              <a:prstDash val="solid"/>
              <a:round/>
            </a:ln>
            <a:effectLst/>
          </c:spPr>
          <c:marker>
            <c:symbol val="circle"/>
            <c:size val="7"/>
            <c:spPr>
              <a:solidFill>
                <a:schemeClr val="accent2"/>
              </a:solidFill>
              <a:ln w="9525" cap="flat" cmpd="sng" algn="ctr">
                <a:solidFill>
                  <a:schemeClr val="accent2">
                    <a:shade val="95000"/>
                    <a:satMod val="105000"/>
                  </a:schemeClr>
                </a:solidFill>
                <a:prstDash val="solid"/>
                <a:round/>
              </a:ln>
              <a:effectLst/>
            </c:spPr>
          </c:marke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Tracker'!$C$5:$FN$5</c:f>
              <c:numCache>
                <c:formatCode>0</c:formatCode>
                <c:ptCount val="168"/>
                <c:pt idx="0">
                  <c:v>0</c:v>
                </c:pt>
                <c:pt idx="1">
                  <c:v>110.77323675581503</c:v>
                </c:pt>
                <c:pt idx="2">
                  <c:v>65.176880637854723</c:v>
                </c:pt>
                <c:pt idx="3">
                  <c:v>132.94697648028969</c:v>
                </c:pt>
                <c:pt idx="4">
                  <c:v>0</c:v>
                </c:pt>
                <c:pt idx="5">
                  <c:v>71.694568701640193</c:v>
                </c:pt>
                <c:pt idx="6">
                  <c:v>0</c:v>
                </c:pt>
                <c:pt idx="7">
                  <c:v>0</c:v>
                </c:pt>
                <c:pt idx="8">
                  <c:v>110.77323675581503</c:v>
                </c:pt>
                <c:pt idx="9">
                  <c:v>91.247632892996606</c:v>
                </c:pt>
                <c:pt idx="10">
                  <c:v>141.2561625103078</c:v>
                </c:pt>
                <c:pt idx="11">
                  <c:v>0</c:v>
                </c:pt>
                <c:pt idx="12">
                  <c:v>71.694568701640193</c:v>
                </c:pt>
                <c:pt idx="13">
                  <c:v>0</c:v>
                </c:pt>
                <c:pt idx="14">
                  <c:v>0</c:v>
                </c:pt>
                <c:pt idx="15">
                  <c:v>110.77323675581503</c:v>
                </c:pt>
                <c:pt idx="16">
                  <c:v>110.80069708435302</c:v>
                </c:pt>
                <c:pt idx="17">
                  <c:v>149.56534854032589</c:v>
                </c:pt>
                <c:pt idx="18">
                  <c:v>0</c:v>
                </c:pt>
                <c:pt idx="19">
                  <c:v>78.212256765425664</c:v>
                </c:pt>
                <c:pt idx="20">
                  <c:v>0</c:v>
                </c:pt>
                <c:pt idx="21">
                  <c:v>0</c:v>
                </c:pt>
                <c:pt idx="22">
                  <c:v>110.77323675581503</c:v>
                </c:pt>
                <c:pt idx="23">
                  <c:v>97.765320956782077</c:v>
                </c:pt>
                <c:pt idx="24">
                  <c:v>149.56534854032589</c:v>
                </c:pt>
                <c:pt idx="25">
                  <c:v>0</c:v>
                </c:pt>
                <c:pt idx="26">
                  <c:v>78.212256765425664</c:v>
                </c:pt>
                <c:pt idx="27">
                  <c:v>0</c:v>
                </c:pt>
                <c:pt idx="28">
                  <c:v>0</c:v>
                </c:pt>
                <c:pt idx="29">
                  <c:v>110.77323675581503</c:v>
                </c:pt>
                <c:pt idx="30">
                  <c:v>104.28300902056755</c:v>
                </c:pt>
                <c:pt idx="31">
                  <c:v>157.874534570344</c:v>
                </c:pt>
                <c:pt idx="32">
                  <c:v>0</c:v>
                </c:pt>
                <c:pt idx="33">
                  <c:v>84.729944829211135</c:v>
                </c:pt>
                <c:pt idx="34">
                  <c:v>0</c:v>
                </c:pt>
                <c:pt idx="35">
                  <c:v>0</c:v>
                </c:pt>
                <c:pt idx="36">
                  <c:v>110.77323675581503</c:v>
                </c:pt>
                <c:pt idx="37">
                  <c:v>123.83607321192396</c:v>
                </c:pt>
                <c:pt idx="38">
                  <c:v>166.18372060036211</c:v>
                </c:pt>
                <c:pt idx="39">
                  <c:v>0</c:v>
                </c:pt>
                <c:pt idx="40">
                  <c:v>0</c:v>
                </c:pt>
                <c:pt idx="41">
                  <c:v>0</c:v>
                </c:pt>
                <c:pt idx="42">
                  <c:v>0</c:v>
                </c:pt>
                <c:pt idx="43">
                  <c:v>110.77323675581503</c:v>
                </c:pt>
                <c:pt idx="44">
                  <c:v>78.212256765425664</c:v>
                </c:pt>
                <c:pt idx="45">
                  <c:v>132.94697648028969</c:v>
                </c:pt>
                <c:pt idx="46">
                  <c:v>0</c:v>
                </c:pt>
                <c:pt idx="47">
                  <c:v>65.176880637854723</c:v>
                </c:pt>
                <c:pt idx="48">
                  <c:v>0</c:v>
                </c:pt>
                <c:pt idx="49">
                  <c:v>0</c:v>
                </c:pt>
                <c:pt idx="50">
                  <c:v>110.77323675581503</c:v>
                </c:pt>
                <c:pt idx="51">
                  <c:v>71.694568701640193</c:v>
                </c:pt>
                <c:pt idx="52">
                  <c:v>108.01941839023537</c:v>
                </c:pt>
                <c:pt idx="53">
                  <c:v>0</c:v>
                </c:pt>
                <c:pt idx="54">
                  <c:v>58.659192574069245</c:v>
                </c:pt>
                <c:pt idx="55">
                  <c:v>0</c:v>
                </c:pt>
                <c:pt idx="56">
                  <c:v>0</c:v>
                </c:pt>
                <c:pt idx="57">
                  <c:v>110.77323675581503</c:v>
                </c:pt>
                <c:pt idx="58">
                  <c:v>58.659192574069245</c:v>
                </c:pt>
                <c:pt idx="59">
                  <c:v>0</c:v>
                </c:pt>
                <c:pt idx="60">
                  <c:v>0</c:v>
                </c:pt>
                <c:pt idx="61">
                  <c:v>0</c:v>
                </c:pt>
                <c:pt idx="62">
                  <c:v>0</c:v>
                </c:pt>
                <c:pt idx="63">
                  <c:v>0</c:v>
                </c:pt>
                <c:pt idx="64">
                  <c:v>0</c:v>
                </c:pt>
                <c:pt idx="65">
                  <c:v>0</c:v>
                </c:pt>
                <c:pt idx="66">
                  <c:v>0</c:v>
                </c:pt>
                <c:pt idx="67">
                  <c:v>0</c:v>
                </c:pt>
                <c:pt idx="68">
                  <c:v>0</c:v>
                </c:pt>
                <c:pt idx="69">
                  <c:v>83.091860300181054</c:v>
                </c:pt>
                <c:pt idx="70">
                  <c:v>141.2561625103078</c:v>
                </c:pt>
                <c:pt idx="71">
                  <c:v>240.96639487052505</c:v>
                </c:pt>
                <c:pt idx="72">
                  <c:v>240.96639487052505</c:v>
                </c:pt>
                <c:pt idx="73">
                  <c:v>141.2561625103078</c:v>
                </c:pt>
                <c:pt idx="74">
                  <c:v>141.2561625103078</c:v>
                </c:pt>
                <c:pt idx="75">
                  <c:v>0</c:v>
                </c:pt>
                <c:pt idx="76">
                  <c:v>0</c:v>
                </c:pt>
                <c:pt idx="77">
                  <c:v>0</c:v>
                </c:pt>
                <c:pt idx="78">
                  <c:v>110.77323675581503</c:v>
                </c:pt>
                <c:pt idx="79">
                  <c:v>39.106128382712832</c:v>
                </c:pt>
                <c:pt idx="80">
                  <c:v>72.606294025709445</c:v>
                </c:pt>
                <c:pt idx="81">
                  <c:v>0</c:v>
                </c:pt>
                <c:pt idx="82">
                  <c:v>39.106128382712832</c:v>
                </c:pt>
                <c:pt idx="83">
                  <c:v>0</c:v>
                </c:pt>
                <c:pt idx="84">
                  <c:v>0</c:v>
                </c:pt>
                <c:pt idx="85">
                  <c:v>110.77323675581503</c:v>
                </c:pt>
                <c:pt idx="86">
                  <c:v>39.106128382712832</c:v>
                </c:pt>
                <c:pt idx="87">
                  <c:v>87.137747813243664</c:v>
                </c:pt>
                <c:pt idx="88">
                  <c:v>0</c:v>
                </c:pt>
                <c:pt idx="89">
                  <c:v>39.106128382712832</c:v>
                </c:pt>
                <c:pt idx="90">
                  <c:v>0</c:v>
                </c:pt>
                <c:pt idx="91">
                  <c:v>0</c:v>
                </c:pt>
                <c:pt idx="92">
                  <c:v>110.77323675581503</c:v>
                </c:pt>
                <c:pt idx="93">
                  <c:v>104.28300902056755</c:v>
                </c:pt>
                <c:pt idx="94">
                  <c:v>111.01995312704302</c:v>
                </c:pt>
                <c:pt idx="95">
                  <c:v>0</c:v>
                </c:pt>
                <c:pt idx="96">
                  <c:v>104.28300902056755</c:v>
                </c:pt>
                <c:pt idx="97">
                  <c:v>0</c:v>
                </c:pt>
                <c:pt idx="98">
                  <c:v>0</c:v>
                </c:pt>
                <c:pt idx="99">
                  <c:v>110.77323675581503</c:v>
                </c:pt>
                <c:pt idx="100">
                  <c:v>39.106128382712832</c:v>
                </c:pt>
                <c:pt idx="101">
                  <c:v>84.029326456482224</c:v>
                </c:pt>
                <c:pt idx="102">
                  <c:v>0</c:v>
                </c:pt>
                <c:pt idx="103">
                  <c:v>0</c:v>
                </c:pt>
                <c:pt idx="104">
                  <c:v>0</c:v>
                </c:pt>
                <c:pt idx="105">
                  <c:v>0</c:v>
                </c:pt>
                <c:pt idx="106">
                  <c:v>110.77323675581503</c:v>
                </c:pt>
                <c:pt idx="107">
                  <c:v>39.106128382712832</c:v>
                </c:pt>
                <c:pt idx="108">
                  <c:v>84.029326456482224</c:v>
                </c:pt>
                <c:pt idx="109">
                  <c:v>0</c:v>
                </c:pt>
                <c:pt idx="110">
                  <c:v>0</c:v>
                </c:pt>
                <c:pt idx="111">
                  <c:v>0</c:v>
                </c:pt>
                <c:pt idx="112">
                  <c:v>0</c:v>
                </c:pt>
                <c:pt idx="113">
                  <c:v>71.694568701640193</c:v>
                </c:pt>
                <c:pt idx="114">
                  <c:v>71.694568701640193</c:v>
                </c:pt>
                <c:pt idx="115">
                  <c:v>0</c:v>
                </c:pt>
                <c:pt idx="116">
                  <c:v>91.370533969355975</c:v>
                </c:pt>
                <c:pt idx="117">
                  <c:v>0</c:v>
                </c:pt>
                <c:pt idx="118">
                  <c:v>0</c:v>
                </c:pt>
                <c:pt idx="119">
                  <c:v>0</c:v>
                </c:pt>
                <c:pt idx="120">
                  <c:v>110.77323675581503</c:v>
                </c:pt>
                <c:pt idx="121">
                  <c:v>136.87144933949492</c:v>
                </c:pt>
                <c:pt idx="122">
                  <c:v>97.524639791762624</c:v>
                </c:pt>
                <c:pt idx="123">
                  <c:v>0</c:v>
                </c:pt>
                <c:pt idx="124">
                  <c:v>0</c:v>
                </c:pt>
                <c:pt idx="125">
                  <c:v>0</c:v>
                </c:pt>
                <c:pt idx="126">
                  <c:v>0</c:v>
                </c:pt>
                <c:pt idx="127">
                  <c:v>97.524639791762624</c:v>
                </c:pt>
                <c:pt idx="128">
                  <c:v>142.46628556425392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smooth val="0"/>
          <c:extLst>
            <c:ext xmlns:c16="http://schemas.microsoft.com/office/drawing/2014/chart" uri="{C3380CC4-5D6E-409C-BE32-E72D297353CC}">
              <c16:uniqueId val="{00000001-3ED2-4C5E-8DB8-3EB11F7E9320}"/>
            </c:ext>
          </c:extLst>
        </c:ser>
        <c:dLbls>
          <c:showLegendKey val="0"/>
          <c:showVal val="0"/>
          <c:showCatName val="0"/>
          <c:showSerName val="0"/>
          <c:showPercent val="0"/>
          <c:showBubbleSize val="0"/>
        </c:dLbls>
        <c:marker val="1"/>
        <c:smooth val="0"/>
        <c:axId val="91257856"/>
        <c:axId val="89361792"/>
      </c:lineChart>
      <c:lineChart>
        <c:grouping val="standard"/>
        <c:varyColors val="0"/>
        <c:ser>
          <c:idx val="4"/>
          <c:order val="4"/>
          <c:tx>
            <c:strRef>
              <c:f>'Form Tracker'!$A$11:$B$11</c:f>
              <c:strCache>
                <c:ptCount val="2"/>
                <c:pt idx="0">
                  <c:v>Form</c:v>
                </c:pt>
              </c:strCache>
            </c:strRef>
          </c:tx>
          <c:spPr>
            <a:ln w="28575" cap="rnd" cmpd="sng" algn="ctr">
              <a:solidFill>
                <a:schemeClr val="accent5">
                  <a:shade val="95000"/>
                  <a:satMod val="105000"/>
                </a:schemeClr>
              </a:solidFill>
              <a:prstDash val="solid"/>
              <a:round/>
            </a:ln>
            <a:effectLst/>
          </c:spPr>
          <c:marker>
            <c:symbol val="none"/>
          </c:marker>
          <c:cat>
            <c:numRef>
              <c:f>'Form Tracker'!$C$3:$FN$3</c:f>
              <c:numCache>
                <c:formatCode>0</c:formatCode>
                <c:ptCount val="168"/>
                <c:pt idx="0">
                  <c:v>1</c:v>
                </c:pt>
                <c:pt idx="1">
                  <c:v>1.1428571428571428</c:v>
                </c:pt>
                <c:pt idx="2">
                  <c:v>1.2857142857142856</c:v>
                </c:pt>
                <c:pt idx="3">
                  <c:v>1.4285714285714286</c:v>
                </c:pt>
                <c:pt idx="4">
                  <c:v>1.5714285714285714</c:v>
                </c:pt>
                <c:pt idx="5">
                  <c:v>1.7142857142857144</c:v>
                </c:pt>
                <c:pt idx="6">
                  <c:v>1.8571428571428572</c:v>
                </c:pt>
                <c:pt idx="7">
                  <c:v>2</c:v>
                </c:pt>
                <c:pt idx="8">
                  <c:v>2.1428571428571428</c:v>
                </c:pt>
                <c:pt idx="9">
                  <c:v>2.2857142857142856</c:v>
                </c:pt>
                <c:pt idx="10">
                  <c:v>2.4285714285714288</c:v>
                </c:pt>
                <c:pt idx="11">
                  <c:v>2.5714285714285712</c:v>
                </c:pt>
                <c:pt idx="12">
                  <c:v>2.7142857142857144</c:v>
                </c:pt>
                <c:pt idx="13">
                  <c:v>2.8571428571428572</c:v>
                </c:pt>
                <c:pt idx="14">
                  <c:v>3</c:v>
                </c:pt>
                <c:pt idx="15">
                  <c:v>3.1428571428571428</c:v>
                </c:pt>
                <c:pt idx="16">
                  <c:v>3.2857142857142856</c:v>
                </c:pt>
                <c:pt idx="17">
                  <c:v>3.4285714285714284</c:v>
                </c:pt>
                <c:pt idx="18">
                  <c:v>3.5714285714285716</c:v>
                </c:pt>
                <c:pt idx="19">
                  <c:v>3.7142857142857144</c:v>
                </c:pt>
                <c:pt idx="20">
                  <c:v>3.8571428571428572</c:v>
                </c:pt>
                <c:pt idx="21">
                  <c:v>4</c:v>
                </c:pt>
                <c:pt idx="22">
                  <c:v>4.1428571428571423</c:v>
                </c:pt>
                <c:pt idx="23">
                  <c:v>4.2857142857142856</c:v>
                </c:pt>
                <c:pt idx="24">
                  <c:v>4.4285714285714288</c:v>
                </c:pt>
                <c:pt idx="25">
                  <c:v>4.5714285714285712</c:v>
                </c:pt>
                <c:pt idx="26">
                  <c:v>4.7142857142857144</c:v>
                </c:pt>
                <c:pt idx="27">
                  <c:v>4.8571428571428577</c:v>
                </c:pt>
                <c:pt idx="28">
                  <c:v>5</c:v>
                </c:pt>
                <c:pt idx="29">
                  <c:v>5.1428571428571432</c:v>
                </c:pt>
                <c:pt idx="30">
                  <c:v>5.2857142857142856</c:v>
                </c:pt>
                <c:pt idx="31">
                  <c:v>5.4285714285714288</c:v>
                </c:pt>
                <c:pt idx="32">
                  <c:v>5.5714285714285712</c:v>
                </c:pt>
                <c:pt idx="33">
                  <c:v>5.7142857142857144</c:v>
                </c:pt>
                <c:pt idx="34">
                  <c:v>5.8571428571428568</c:v>
                </c:pt>
                <c:pt idx="35">
                  <c:v>6</c:v>
                </c:pt>
                <c:pt idx="36">
                  <c:v>6.1428571428571432</c:v>
                </c:pt>
                <c:pt idx="37">
                  <c:v>6.2857142857142856</c:v>
                </c:pt>
                <c:pt idx="38">
                  <c:v>6.4285714285714288</c:v>
                </c:pt>
                <c:pt idx="39">
                  <c:v>6.5714285714285712</c:v>
                </c:pt>
                <c:pt idx="40">
                  <c:v>6.7142857142857144</c:v>
                </c:pt>
                <c:pt idx="41">
                  <c:v>6.8571428571428568</c:v>
                </c:pt>
                <c:pt idx="42">
                  <c:v>7</c:v>
                </c:pt>
                <c:pt idx="43">
                  <c:v>7.1428571428571432</c:v>
                </c:pt>
                <c:pt idx="44">
                  <c:v>7.2857142857142856</c:v>
                </c:pt>
                <c:pt idx="45">
                  <c:v>7.4285714285714288</c:v>
                </c:pt>
                <c:pt idx="46">
                  <c:v>7.5714285714285712</c:v>
                </c:pt>
                <c:pt idx="47">
                  <c:v>7.7142857142857144</c:v>
                </c:pt>
                <c:pt idx="48">
                  <c:v>7.8571428571428568</c:v>
                </c:pt>
                <c:pt idx="49">
                  <c:v>8</c:v>
                </c:pt>
                <c:pt idx="50">
                  <c:v>8.1428571428571423</c:v>
                </c:pt>
                <c:pt idx="51">
                  <c:v>8.2857142857142847</c:v>
                </c:pt>
                <c:pt idx="52">
                  <c:v>8.4285714285714288</c:v>
                </c:pt>
                <c:pt idx="53">
                  <c:v>8.5714285714285712</c:v>
                </c:pt>
                <c:pt idx="54">
                  <c:v>8.7142857142857153</c:v>
                </c:pt>
                <c:pt idx="55">
                  <c:v>8.8571428571428577</c:v>
                </c:pt>
                <c:pt idx="56">
                  <c:v>9</c:v>
                </c:pt>
                <c:pt idx="57">
                  <c:v>9.1428571428571423</c:v>
                </c:pt>
                <c:pt idx="58">
                  <c:v>9.2857142857142865</c:v>
                </c:pt>
                <c:pt idx="59">
                  <c:v>9.4285714285714288</c:v>
                </c:pt>
                <c:pt idx="60">
                  <c:v>9.5714285714285712</c:v>
                </c:pt>
                <c:pt idx="61">
                  <c:v>9.7142857142857135</c:v>
                </c:pt>
                <c:pt idx="62">
                  <c:v>9.8571428571428577</c:v>
                </c:pt>
                <c:pt idx="63">
                  <c:v>10</c:v>
                </c:pt>
                <c:pt idx="64">
                  <c:v>10.142857142857142</c:v>
                </c:pt>
                <c:pt idx="65">
                  <c:v>10.285714285714286</c:v>
                </c:pt>
                <c:pt idx="66">
                  <c:v>10.428571428571429</c:v>
                </c:pt>
                <c:pt idx="67">
                  <c:v>10.571428571428571</c:v>
                </c:pt>
                <c:pt idx="68">
                  <c:v>10.714285714285714</c:v>
                </c:pt>
                <c:pt idx="69">
                  <c:v>10.857142857142858</c:v>
                </c:pt>
                <c:pt idx="70">
                  <c:v>11</c:v>
                </c:pt>
                <c:pt idx="71">
                  <c:v>11.142857142857142</c:v>
                </c:pt>
                <c:pt idx="72">
                  <c:v>11.285714285714286</c:v>
                </c:pt>
                <c:pt idx="73">
                  <c:v>11.428571428571429</c:v>
                </c:pt>
                <c:pt idx="74">
                  <c:v>11.571428571428571</c:v>
                </c:pt>
                <c:pt idx="75">
                  <c:v>11.714285714285714</c:v>
                </c:pt>
                <c:pt idx="76">
                  <c:v>11.857142857142858</c:v>
                </c:pt>
                <c:pt idx="77">
                  <c:v>12</c:v>
                </c:pt>
                <c:pt idx="78">
                  <c:v>12.142857142857142</c:v>
                </c:pt>
                <c:pt idx="79">
                  <c:v>12.285714285714286</c:v>
                </c:pt>
                <c:pt idx="80">
                  <c:v>12.428571428571429</c:v>
                </c:pt>
                <c:pt idx="81">
                  <c:v>12.571428571428571</c:v>
                </c:pt>
                <c:pt idx="82">
                  <c:v>12.714285714285714</c:v>
                </c:pt>
                <c:pt idx="83">
                  <c:v>12.857142857142858</c:v>
                </c:pt>
                <c:pt idx="84">
                  <c:v>13</c:v>
                </c:pt>
                <c:pt idx="85">
                  <c:v>13.142857142857142</c:v>
                </c:pt>
                <c:pt idx="86">
                  <c:v>13.285714285714286</c:v>
                </c:pt>
                <c:pt idx="87">
                  <c:v>13.428571428571429</c:v>
                </c:pt>
                <c:pt idx="88">
                  <c:v>13.571428571428571</c:v>
                </c:pt>
                <c:pt idx="89">
                  <c:v>13.714285714285714</c:v>
                </c:pt>
                <c:pt idx="90">
                  <c:v>13.857142857142858</c:v>
                </c:pt>
                <c:pt idx="91">
                  <c:v>14</c:v>
                </c:pt>
                <c:pt idx="92">
                  <c:v>14.142857142857142</c:v>
                </c:pt>
                <c:pt idx="93">
                  <c:v>14.285714285714286</c:v>
                </c:pt>
                <c:pt idx="94">
                  <c:v>14.428571428571429</c:v>
                </c:pt>
                <c:pt idx="95">
                  <c:v>14.571428571428571</c:v>
                </c:pt>
                <c:pt idx="96">
                  <c:v>14.714285714285714</c:v>
                </c:pt>
                <c:pt idx="97">
                  <c:v>14.857142857142858</c:v>
                </c:pt>
                <c:pt idx="98">
                  <c:v>15</c:v>
                </c:pt>
                <c:pt idx="99">
                  <c:v>15.142857142857142</c:v>
                </c:pt>
                <c:pt idx="100">
                  <c:v>15.285714285714286</c:v>
                </c:pt>
                <c:pt idx="101">
                  <c:v>15.428571428571429</c:v>
                </c:pt>
                <c:pt idx="102">
                  <c:v>15.571428571428571</c:v>
                </c:pt>
                <c:pt idx="103">
                  <c:v>15.714285714285714</c:v>
                </c:pt>
                <c:pt idx="104">
                  <c:v>15.857142857142858</c:v>
                </c:pt>
                <c:pt idx="105">
                  <c:v>16</c:v>
                </c:pt>
                <c:pt idx="106">
                  <c:v>16.142857142857142</c:v>
                </c:pt>
                <c:pt idx="107">
                  <c:v>16.285714285714285</c:v>
                </c:pt>
                <c:pt idx="108">
                  <c:v>16.428571428571431</c:v>
                </c:pt>
                <c:pt idx="109">
                  <c:v>16.571428571428569</c:v>
                </c:pt>
                <c:pt idx="110">
                  <c:v>16.714285714285715</c:v>
                </c:pt>
                <c:pt idx="111">
                  <c:v>16.857142857142858</c:v>
                </c:pt>
                <c:pt idx="112">
                  <c:v>17</c:v>
                </c:pt>
                <c:pt idx="113">
                  <c:v>17.142857142857142</c:v>
                </c:pt>
                <c:pt idx="114">
                  <c:v>17.285714285714285</c:v>
                </c:pt>
                <c:pt idx="115">
                  <c:v>17.428571428571427</c:v>
                </c:pt>
                <c:pt idx="116">
                  <c:v>17.571428571428573</c:v>
                </c:pt>
                <c:pt idx="117">
                  <c:v>17.714285714285715</c:v>
                </c:pt>
                <c:pt idx="118">
                  <c:v>17.857142857142858</c:v>
                </c:pt>
                <c:pt idx="119">
                  <c:v>18</c:v>
                </c:pt>
                <c:pt idx="120">
                  <c:v>18.142857142857142</c:v>
                </c:pt>
                <c:pt idx="121">
                  <c:v>18.285714285714285</c:v>
                </c:pt>
                <c:pt idx="122">
                  <c:v>18.428571428571427</c:v>
                </c:pt>
                <c:pt idx="123">
                  <c:v>18.571428571428573</c:v>
                </c:pt>
                <c:pt idx="124">
                  <c:v>18.714285714285715</c:v>
                </c:pt>
                <c:pt idx="125">
                  <c:v>18.857142857142858</c:v>
                </c:pt>
                <c:pt idx="126">
                  <c:v>19</c:v>
                </c:pt>
                <c:pt idx="127">
                  <c:v>19.142857142857142</c:v>
                </c:pt>
                <c:pt idx="128">
                  <c:v>19.285714285714285</c:v>
                </c:pt>
                <c:pt idx="129">
                  <c:v>19.428571428571427</c:v>
                </c:pt>
                <c:pt idx="130">
                  <c:v>19.571428571428573</c:v>
                </c:pt>
                <c:pt idx="131">
                  <c:v>19.714285714285715</c:v>
                </c:pt>
                <c:pt idx="132">
                  <c:v>19.857142857142858</c:v>
                </c:pt>
                <c:pt idx="133">
                  <c:v>20</c:v>
                </c:pt>
                <c:pt idx="134">
                  <c:v>20.142857142857142</c:v>
                </c:pt>
                <c:pt idx="135">
                  <c:v>20.285714285714285</c:v>
                </c:pt>
                <c:pt idx="136">
                  <c:v>20.428571428571427</c:v>
                </c:pt>
                <c:pt idx="137">
                  <c:v>20.571428571428573</c:v>
                </c:pt>
                <c:pt idx="138">
                  <c:v>20.714285714285715</c:v>
                </c:pt>
                <c:pt idx="139">
                  <c:v>20.857142857142858</c:v>
                </c:pt>
                <c:pt idx="140">
                  <c:v>21</c:v>
                </c:pt>
                <c:pt idx="141">
                  <c:v>21.142857142857142</c:v>
                </c:pt>
                <c:pt idx="142">
                  <c:v>21.285714285714285</c:v>
                </c:pt>
                <c:pt idx="143">
                  <c:v>21.428571428571427</c:v>
                </c:pt>
                <c:pt idx="144">
                  <c:v>21.571428571428573</c:v>
                </c:pt>
                <c:pt idx="145">
                  <c:v>21.714285714285715</c:v>
                </c:pt>
                <c:pt idx="146">
                  <c:v>21.857142857142858</c:v>
                </c:pt>
                <c:pt idx="147">
                  <c:v>22</c:v>
                </c:pt>
                <c:pt idx="148">
                  <c:v>22.142857142857142</c:v>
                </c:pt>
                <c:pt idx="149">
                  <c:v>22.285714285714285</c:v>
                </c:pt>
                <c:pt idx="150">
                  <c:v>22.428571428571427</c:v>
                </c:pt>
                <c:pt idx="151">
                  <c:v>22.571428571428573</c:v>
                </c:pt>
                <c:pt idx="152">
                  <c:v>22.714285714285715</c:v>
                </c:pt>
                <c:pt idx="153">
                  <c:v>22.857142857142858</c:v>
                </c:pt>
                <c:pt idx="154">
                  <c:v>23</c:v>
                </c:pt>
                <c:pt idx="155">
                  <c:v>23.142857142857142</c:v>
                </c:pt>
                <c:pt idx="156">
                  <c:v>23.285714285714285</c:v>
                </c:pt>
                <c:pt idx="157">
                  <c:v>23.428571428571427</c:v>
                </c:pt>
                <c:pt idx="158">
                  <c:v>23.571428571428573</c:v>
                </c:pt>
                <c:pt idx="159">
                  <c:v>23.714285714285715</c:v>
                </c:pt>
                <c:pt idx="160">
                  <c:v>23.857142857142858</c:v>
                </c:pt>
                <c:pt idx="161">
                  <c:v>24</c:v>
                </c:pt>
                <c:pt idx="162">
                  <c:v>24.142857142857142</c:v>
                </c:pt>
                <c:pt idx="163">
                  <c:v>24.285714285714285</c:v>
                </c:pt>
                <c:pt idx="164">
                  <c:v>24.428571428571427</c:v>
                </c:pt>
                <c:pt idx="165">
                  <c:v>24.571428571428573</c:v>
                </c:pt>
                <c:pt idx="166">
                  <c:v>24.714285714285715</c:v>
                </c:pt>
                <c:pt idx="167">
                  <c:v>24.857142857142858</c:v>
                </c:pt>
              </c:numCache>
            </c:numRef>
          </c:cat>
          <c:val>
            <c:numRef>
              <c:f>'Form Tracker'!$C$11:$FN$11</c:f>
              <c:numCache>
                <c:formatCode>0</c:formatCode>
                <c:ptCount val="168"/>
                <c:pt idx="0">
                  <c:v>10.725001854019354</c:v>
                </c:pt>
                <c:pt idx="1">
                  <c:v>0.33292272226994157</c:v>
                </c:pt>
                <c:pt idx="2">
                  <c:v>11.81576916282792</c:v>
                </c:pt>
                <c:pt idx="3">
                  <c:v>-0.81288877759138245</c:v>
                </c:pt>
                <c:pt idx="4">
                  <c:v>14.115992804367778</c:v>
                </c:pt>
                <c:pt idx="5">
                  <c:v>5.1926055035805945</c:v>
                </c:pt>
                <c:pt idx="6">
                  <c:v>-6.7976285674331507</c:v>
                </c:pt>
                <c:pt idx="7">
                  <c:v>11.881745674238275</c:v>
                </c:pt>
                <c:pt idx="8">
                  <c:v>1.4896665424888624</c:v>
                </c:pt>
                <c:pt idx="9">
                  <c:v>9.2481198037408632</c:v>
                </c:pt>
                <c:pt idx="10">
                  <c:v>-2.7053681227423283</c:v>
                </c:pt>
                <c:pt idx="11">
                  <c:v>12.817026747075303</c:v>
                </c:pt>
                <c:pt idx="12">
                  <c:v>3.8936394462881196</c:v>
                </c:pt>
                <c:pt idx="13">
                  <c:v>-1.8223112959364585</c:v>
                </c:pt>
                <c:pt idx="14">
                  <c:v>0.14033609842897476</c:v>
                </c:pt>
                <c:pt idx="15">
                  <c:v>0.14033609842897476</c:v>
                </c:pt>
                <c:pt idx="16">
                  <c:v>-3.1185079334637749</c:v>
                </c:pt>
                <c:pt idx="17">
                  <c:v>-4.3055345091806601</c:v>
                </c:pt>
                <c:pt idx="18">
                  <c:v>-4.3055345091806601</c:v>
                </c:pt>
                <c:pt idx="19">
                  <c:v>-4.7710836565938735</c:v>
                </c:pt>
                <c:pt idx="20">
                  <c:v>-5.9581102323107871</c:v>
                </c:pt>
                <c:pt idx="21">
                  <c:v>-3.1939222285368771</c:v>
                </c:pt>
                <c:pt idx="22">
                  <c:v>-3.1939222285368487</c:v>
                </c:pt>
                <c:pt idx="23">
                  <c:v>-3.659471375950119</c:v>
                </c:pt>
                <c:pt idx="24">
                  <c:v>-4.2529846638085758</c:v>
                </c:pt>
                <c:pt idx="25">
                  <c:v>-4.2529846638085473</c:v>
                </c:pt>
                <c:pt idx="26">
                  <c:v>-6.8672273585568746</c:v>
                </c:pt>
                <c:pt idx="27">
                  <c:v>-8.6477672221321882</c:v>
                </c:pt>
                <c:pt idx="28">
                  <c:v>-5.0223545457060936</c:v>
                </c:pt>
                <c:pt idx="29">
                  <c:v>-5.0223545457061221</c:v>
                </c:pt>
                <c:pt idx="30">
                  <c:v>-4.5568053982928802</c:v>
                </c:pt>
                <c:pt idx="31">
                  <c:v>-5.1503186861512802</c:v>
                </c:pt>
                <c:pt idx="32">
                  <c:v>-5.1503186861512802</c:v>
                </c:pt>
                <c:pt idx="33">
                  <c:v>-8.2301105283128777</c:v>
                </c:pt>
                <c:pt idx="34">
                  <c:v>-10.010650391888163</c:v>
                </c:pt>
                <c:pt idx="35">
                  <c:v>-5.4400027337790107</c:v>
                </c:pt>
                <c:pt idx="36">
                  <c:v>-5.4400027337790107</c:v>
                </c:pt>
                <c:pt idx="37">
                  <c:v>-7.3021993234320348</c:v>
                </c:pt>
                <c:pt idx="38">
                  <c:v>-8.4892258991488916</c:v>
                </c:pt>
                <c:pt idx="39">
                  <c:v>-8.4892258991488916</c:v>
                </c:pt>
                <c:pt idx="40">
                  <c:v>-23.461199703793824</c:v>
                </c:pt>
                <c:pt idx="41">
                  <c:v>-10.648877549141275</c:v>
                </c:pt>
                <c:pt idx="42">
                  <c:v>-11.371948522417654</c:v>
                </c:pt>
                <c:pt idx="43">
                  <c:v>-11.371948522417682</c:v>
                </c:pt>
                <c:pt idx="44">
                  <c:v>-9.5097519327647149</c:v>
                </c:pt>
                <c:pt idx="45">
                  <c:v>-4.0048188898833814</c:v>
                </c:pt>
                <c:pt idx="46">
                  <c:v>-4.0048188898834098</c:v>
                </c:pt>
                <c:pt idx="47">
                  <c:v>-1.6770731528171723</c:v>
                </c:pt>
                <c:pt idx="48">
                  <c:v>1.8840065743334549</c:v>
                </c:pt>
                <c:pt idx="49">
                  <c:v>-2.9473499995845884</c:v>
                </c:pt>
                <c:pt idx="50">
                  <c:v>0.77704317972140302</c:v>
                </c:pt>
                <c:pt idx="51">
                  <c:v>4.5014363590273661</c:v>
                </c:pt>
                <c:pt idx="52">
                  <c:v>12.380422553342427</c:v>
                </c:pt>
                <c:pt idx="53">
                  <c:v>12.380422553342427</c:v>
                </c:pt>
                <c:pt idx="54">
                  <c:v>29.680142095053611</c:v>
                </c:pt>
                <c:pt idx="55">
                  <c:v>22.209439531126989</c:v>
                </c:pt>
                <c:pt idx="56">
                  <c:v>24.006793740683094</c:v>
                </c:pt>
                <c:pt idx="57">
                  <c:v>27.731186919989085</c:v>
                </c:pt>
                <c:pt idx="58">
                  <c:v>29.127834362228839</c:v>
                </c:pt>
                <c:pt idx="59">
                  <c:v>38.624046967963835</c:v>
                </c:pt>
                <c:pt idx="60">
                  <c:v>38.782579785200724</c:v>
                </c:pt>
                <c:pt idx="61">
                  <c:v>-5.0842736228737238</c:v>
                </c:pt>
                <c:pt idx="62">
                  <c:v>10.347071861445642</c:v>
                </c:pt>
                <c:pt idx="63">
                  <c:v>-8.0808236997311695</c:v>
                </c:pt>
                <c:pt idx="64">
                  <c:v>-0.16844964574438848</c:v>
                </c:pt>
                <c:pt idx="65">
                  <c:v>4.9525909758013427</c:v>
                </c:pt>
                <c:pt idx="66">
                  <c:v>12.668263717961025</c:v>
                </c:pt>
                <c:pt idx="67">
                  <c:v>16.392656897267003</c:v>
                </c:pt>
                <c:pt idx="68">
                  <c:v>27.581575172760751</c:v>
                </c:pt>
                <c:pt idx="69">
                  <c:v>34.703734627061991</c:v>
                </c:pt>
                <c:pt idx="70">
                  <c:v>36.385417230897701</c:v>
                </c:pt>
                <c:pt idx="71">
                  <c:v>27.085905936989846</c:v>
                </c:pt>
                <c:pt idx="72">
                  <c:v>14.063962915814415</c:v>
                </c:pt>
                <c:pt idx="73">
                  <c:v>3.9742370222210042</c:v>
                </c:pt>
                <c:pt idx="74">
                  <c:v>-2.5496285093033038</c:v>
                </c:pt>
                <c:pt idx="75">
                  <c:v>36.225356121196711</c:v>
                </c:pt>
                <c:pt idx="76">
                  <c:v>19.01347077330206</c:v>
                </c:pt>
                <c:pt idx="77">
                  <c:v>7.9363503055014064</c:v>
                </c:pt>
                <c:pt idx="78">
                  <c:v>-3.7004169277913661</c:v>
                </c:pt>
                <c:pt idx="79">
                  <c:v>-6.4937118122708597</c:v>
                </c:pt>
                <c:pt idx="80">
                  <c:v>-15.404268850556093</c:v>
                </c:pt>
                <c:pt idx="81">
                  <c:v>-19.128662029862113</c:v>
                </c:pt>
                <c:pt idx="82">
                  <c:v>-30.231142944359704</c:v>
                </c:pt>
                <c:pt idx="83">
                  <c:v>-37.946815686519358</c:v>
                </c:pt>
                <c:pt idx="84">
                  <c:v>-32.700991346541258</c:v>
                </c:pt>
                <c:pt idx="85">
                  <c:v>-27.125873231939352</c:v>
                </c:pt>
                <c:pt idx="86">
                  <c:v>-12.707282768524209</c:v>
                </c:pt>
                <c:pt idx="87">
                  <c:v>-12.566074898039915</c:v>
                </c:pt>
                <c:pt idx="88">
                  <c:v>-6.2007421837524674</c:v>
                </c:pt>
                <c:pt idx="89">
                  <c:v>-0.68485103821384996</c:v>
                </c:pt>
                <c:pt idx="90">
                  <c:v>1.6892021132199062</c:v>
                </c:pt>
                <c:pt idx="91">
                  <c:v>9.5100719253742483</c:v>
                </c:pt>
                <c:pt idx="92">
                  <c:v>9.5100719253742483</c:v>
                </c:pt>
                <c:pt idx="93">
                  <c:v>4.8545804512417732</c:v>
                </c:pt>
                <c:pt idx="94">
                  <c:v>2.1107476582893838</c:v>
                </c:pt>
                <c:pt idx="95">
                  <c:v>2.1107476582893838</c:v>
                </c:pt>
                <c:pt idx="96">
                  <c:v>-5.5123102551353043</c:v>
                </c:pt>
                <c:pt idx="97">
                  <c:v>-10.853929845861217</c:v>
                </c:pt>
                <c:pt idx="98">
                  <c:v>-22.474078538314586</c:v>
                </c:pt>
                <c:pt idx="99">
                  <c:v>-18.749685359008595</c:v>
                </c:pt>
                <c:pt idx="100">
                  <c:v>-18.749685359008595</c:v>
                </c:pt>
                <c:pt idx="101">
                  <c:v>-14.803262082791079</c:v>
                </c:pt>
                <c:pt idx="102">
                  <c:v>-13.872163787964581</c:v>
                </c:pt>
                <c:pt idx="103">
                  <c:v>-8.1113024641928888</c:v>
                </c:pt>
                <c:pt idx="104">
                  <c:v>-2.7696828734669623</c:v>
                </c:pt>
                <c:pt idx="105">
                  <c:v>8.7582707747101267</c:v>
                </c:pt>
                <c:pt idx="106">
                  <c:v>12.482663954016118</c:v>
                </c:pt>
                <c:pt idx="107">
                  <c:v>17.138155428148607</c:v>
                </c:pt>
                <c:pt idx="108">
                  <c:v>22.790450512494644</c:v>
                </c:pt>
                <c:pt idx="109">
                  <c:v>23.721548807321128</c:v>
                </c:pt>
                <c:pt idx="110">
                  <c:v>36.511954756659023</c:v>
                </c:pt>
                <c:pt idx="111">
                  <c:v>46.008167362393991</c:v>
                </c:pt>
                <c:pt idx="112">
                  <c:v>29.823042655443174</c:v>
                </c:pt>
                <c:pt idx="113">
                  <c:v>32.614376087884224</c:v>
                </c:pt>
                <c:pt idx="114">
                  <c:v>30.286630350817987</c:v>
                </c:pt>
                <c:pt idx="115">
                  <c:v>36.288725097709573</c:v>
                </c:pt>
                <c:pt idx="116">
                  <c:v>32.555553270092219</c:v>
                </c:pt>
                <c:pt idx="117">
                  <c:v>17.469177098410114</c:v>
                </c:pt>
                <c:pt idx="118">
                  <c:v>16.987396642572961</c:v>
                </c:pt>
                <c:pt idx="119">
                  <c:v>15.280163761010087</c:v>
                </c:pt>
                <c:pt idx="120">
                  <c:v>15.280163761010087</c:v>
                </c:pt>
                <c:pt idx="121">
                  <c:v>8.29692654981136</c:v>
                </c:pt>
                <c:pt idx="122">
                  <c:v>7.3329755972913375</c:v>
                </c:pt>
                <c:pt idx="123">
                  <c:v>7.3329755972913233</c:v>
                </c:pt>
                <c:pt idx="124">
                  <c:v>5.5524357337160239</c:v>
                </c:pt>
                <c:pt idx="125">
                  <c:v>2.5848692944238394</c:v>
                </c:pt>
                <c:pt idx="126">
                  <c:v>5.1689929166881541</c:v>
                </c:pt>
                <c:pt idx="127">
                  <c:v>3.3239878388222763</c:v>
                </c:pt>
                <c:pt idx="128">
                  <c:v>-1.7311347942215605</c:v>
                </c:pt>
                <c:pt idx="129">
                  <c:v>-3.5933313838745704</c:v>
                </c:pt>
                <c:pt idx="130">
                  <c:v>0.13984044374281268</c:v>
                </c:pt>
                <c:pt idx="131">
                  <c:v>-14.774629189521832</c:v>
                </c:pt>
                <c:pt idx="132">
                  <c:v>-4.7966361279497107</c:v>
                </c:pt>
                <c:pt idx="133">
                  <c:v>-27.305572517185709</c:v>
                </c:pt>
                <c:pt idx="134">
                  <c:v>-19.393198463198914</c:v>
                </c:pt>
                <c:pt idx="135">
                  <c:v>-9.6166663675207076</c:v>
                </c:pt>
                <c:pt idx="136">
                  <c:v>-2.6506206681090987</c:v>
                </c:pt>
                <c:pt idx="137">
                  <c:v>0.1426742163703949</c:v>
                </c:pt>
                <c:pt idx="138">
                  <c:v>7.8583469585300634</c:v>
                </c:pt>
                <c:pt idx="139">
                  <c:v>20.32212600355723</c:v>
                </c:pt>
                <c:pt idx="140">
                  <c:v>7.7468930240118397</c:v>
                </c:pt>
                <c:pt idx="141">
                  <c:v>14.712938723423463</c:v>
                </c:pt>
                <c:pt idx="142">
                  <c:v>24.889101978013031</c:v>
                </c:pt>
                <c:pt idx="143">
                  <c:v>26.751298567666019</c:v>
                </c:pt>
                <c:pt idx="144">
                  <c:v>29.544593452145506</c:v>
                </c:pt>
                <c:pt idx="145">
                  <c:v>65.480572135676582</c:v>
                </c:pt>
                <c:pt idx="146">
                  <c:v>65.480572135676582</c:v>
                </c:pt>
                <c:pt idx="147">
                  <c:v>52.905339156131177</c:v>
                </c:pt>
                <c:pt idx="148">
                  <c:v>52.905339156131177</c:v>
                </c:pt>
                <c:pt idx="149">
                  <c:v>52.905339156131177</c:v>
                </c:pt>
                <c:pt idx="150">
                  <c:v>52.905339156131177</c:v>
                </c:pt>
                <c:pt idx="151">
                  <c:v>52.905339156131177</c:v>
                </c:pt>
                <c:pt idx="152">
                  <c:v>52.905339156131177</c:v>
                </c:pt>
                <c:pt idx="153">
                  <c:v>52.905339156131177</c:v>
                </c:pt>
                <c:pt idx="154">
                  <c:v>36.051557505629056</c:v>
                </c:pt>
                <c:pt idx="155">
                  <c:v>36.051557505629056</c:v>
                </c:pt>
                <c:pt idx="156">
                  <c:v>36.051557505629056</c:v>
                </c:pt>
                <c:pt idx="157">
                  <c:v>36.051557505629056</c:v>
                </c:pt>
                <c:pt idx="158">
                  <c:v>36.051557505629056</c:v>
                </c:pt>
                <c:pt idx="159">
                  <c:v>36.051557505629056</c:v>
                </c:pt>
                <c:pt idx="160">
                  <c:v>36.051557505629056</c:v>
                </c:pt>
                <c:pt idx="161">
                  <c:v>19.244559703888243</c:v>
                </c:pt>
                <c:pt idx="162">
                  <c:v>19.244559703888243</c:v>
                </c:pt>
                <c:pt idx="163">
                  <c:v>19.244559703888243</c:v>
                </c:pt>
                <c:pt idx="164">
                  <c:v>19.244559703888243</c:v>
                </c:pt>
                <c:pt idx="165">
                  <c:v>19.244559703888243</c:v>
                </c:pt>
                <c:pt idx="166">
                  <c:v>19.244559703888243</c:v>
                </c:pt>
                <c:pt idx="167">
                  <c:v>19.244559703888243</c:v>
                </c:pt>
              </c:numCache>
            </c:numRef>
          </c:val>
          <c:smooth val="0"/>
          <c:extLst>
            <c:ext xmlns:c16="http://schemas.microsoft.com/office/drawing/2014/chart" uri="{C3380CC4-5D6E-409C-BE32-E72D297353CC}">
              <c16:uniqueId val="{00000003-7FB3-4BB8-876F-7BDCC70AEF56}"/>
            </c:ext>
          </c:extLst>
        </c:ser>
        <c:dLbls>
          <c:showLegendKey val="0"/>
          <c:showVal val="0"/>
          <c:showCatName val="0"/>
          <c:showSerName val="0"/>
          <c:showPercent val="0"/>
          <c:showBubbleSize val="0"/>
        </c:dLbls>
        <c:marker val="1"/>
        <c:smooth val="0"/>
        <c:axId val="113485312"/>
        <c:axId val="89362368"/>
      </c:lineChart>
      <c:catAx>
        <c:axId val="91257856"/>
        <c:scaling>
          <c:orientation val="minMax"/>
        </c:scaling>
        <c:delete val="0"/>
        <c:axPos val="b"/>
        <c:majorGridlines>
          <c:spPr>
            <a:ln w="9525" cap="flat" cmpd="sng" algn="ctr">
              <a:solidFill>
                <a:schemeClr val="tx1">
                  <a:lumMod val="15000"/>
                  <a:lumOff val="85000"/>
                </a:schemeClr>
              </a:solidFill>
              <a:prstDash val="solid"/>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Week</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auto val="0"/>
        <c:lblAlgn val="ctr"/>
        <c:lblOffset val="100"/>
        <c:tickLblSkip val="7"/>
        <c:noMultiLvlLbl val="1"/>
      </c:catAx>
      <c:valAx>
        <c:axId val="89361792"/>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GB"/>
                  <a:t>Fatigue</a:t>
                </a:r>
                <a:r>
                  <a:rPr lang="en-GB" baseline="0"/>
                  <a:t> Points</a:t>
                </a:r>
                <a:endParaRPr lang="en-GB"/>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1257856"/>
        <c:crossesAt val="1"/>
        <c:crossBetween val="between"/>
      </c:valAx>
      <c:valAx>
        <c:axId val="89362368"/>
        <c:scaling>
          <c:orientation val="minMax"/>
          <c:max val="50"/>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13485312"/>
        <c:crosses val="max"/>
        <c:crossBetween val="between"/>
      </c:valAx>
      <c:catAx>
        <c:axId val="113485312"/>
        <c:scaling>
          <c:orientation val="minMax"/>
        </c:scaling>
        <c:delete val="1"/>
        <c:axPos val="b"/>
        <c:numFmt formatCode="0" sourceLinked="1"/>
        <c:majorTickMark val="out"/>
        <c:minorTickMark val="none"/>
        <c:tickLblPos val="nextTo"/>
        <c:crossAx val="89362368"/>
        <c:crosses val="autoZero"/>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autoTitleDeleted val="1"/>
    <c:plotArea>
      <c:layout>
        <c:manualLayout>
          <c:layoutTarget val="inner"/>
          <c:xMode val="edge"/>
          <c:yMode val="edge"/>
          <c:x val="6.484840040003563E-2"/>
          <c:y val="0.13794512159587058"/>
          <c:w val="0.86969373467676947"/>
          <c:h val="0.64560389116157058"/>
        </c:manualLayout>
      </c:layout>
      <c:areaChart>
        <c:grouping val="standard"/>
        <c:varyColors val="0"/>
        <c:ser>
          <c:idx val="2"/>
          <c:order val="2"/>
          <c:tx>
            <c:strRef>
              <c:f>'Form Tracker'!$A$7</c:f>
              <c:strCache>
                <c:ptCount val="1"/>
                <c:pt idx="0">
                  <c:v>Accumulative Fatigue</c:v>
                </c:pt>
              </c:strCache>
            </c:strRef>
          </c:tx>
          <c:spPr>
            <a:solidFill>
              <a:srgbClr val="9BBB59">
                <a:alpha val="50196"/>
              </a:srgbClr>
            </a:solidFill>
            <a:ln>
              <a:noFill/>
            </a:ln>
            <a:effectLst/>
          </c:spPr>
          <c:cat>
            <c:numRef>
              <c:f>'Form Tracker'!$C$1:$FN$1</c:f>
              <c:numCache>
                <c:formatCode>m/d/yyyy</c:formatCode>
                <c:ptCount val="168"/>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numCache>
            </c:numRef>
          </c:cat>
          <c:val>
            <c:numRef>
              <c:f>'Form Tracker'!$C$8:$FN$8</c:f>
              <c:numCache>
                <c:formatCode>0</c:formatCode>
                <c:ptCount val="168"/>
                <c:pt idx="0">
                  <c:v>117.33353222497388</c:v>
                </c:pt>
                <c:pt idx="1">
                  <c:v>127.72561135672329</c:v>
                </c:pt>
                <c:pt idx="2">
                  <c:v>116.24276491616531</c:v>
                </c:pt>
                <c:pt idx="3">
                  <c:v>128.87142285658462</c:v>
                </c:pt>
                <c:pt idx="4">
                  <c:v>113.94254127462546</c:v>
                </c:pt>
                <c:pt idx="5">
                  <c:v>122.86592857541264</c:v>
                </c:pt>
                <c:pt idx="6">
                  <c:v>134.85616264642638</c:v>
                </c:pt>
                <c:pt idx="7">
                  <c:v>117.1230280773304</c:v>
                </c:pt>
                <c:pt idx="8">
                  <c:v>127.51510720907982</c:v>
                </c:pt>
                <c:pt idx="9">
                  <c:v>119.75665394782781</c:v>
                </c:pt>
                <c:pt idx="10">
                  <c:v>131.71014187431101</c:v>
                </c:pt>
                <c:pt idx="11">
                  <c:v>116.18774700449337</c:v>
                </c:pt>
                <c:pt idx="12">
                  <c:v>125.11113430528056</c:v>
                </c:pt>
                <c:pt idx="13">
                  <c:v>130.82708504750514</c:v>
                </c:pt>
                <c:pt idx="14">
                  <c:v>130.82708504750514</c:v>
                </c:pt>
                <c:pt idx="15">
                  <c:v>130.82708504750514</c:v>
                </c:pt>
                <c:pt idx="16">
                  <c:v>134.08592907939789</c:v>
                </c:pt>
                <c:pt idx="17">
                  <c:v>135.27295565511477</c:v>
                </c:pt>
                <c:pt idx="18">
                  <c:v>135.27295565511477</c:v>
                </c:pt>
                <c:pt idx="19">
                  <c:v>135.73850480252798</c:v>
                </c:pt>
                <c:pt idx="20">
                  <c:v>136.9255313782449</c:v>
                </c:pt>
                <c:pt idx="21">
                  <c:v>136.92553137824487</c:v>
                </c:pt>
                <c:pt idx="22">
                  <c:v>136.92553137824484</c:v>
                </c:pt>
                <c:pt idx="23">
                  <c:v>137.39108052565811</c:v>
                </c:pt>
                <c:pt idx="24">
                  <c:v>137.98459381351657</c:v>
                </c:pt>
                <c:pt idx="25">
                  <c:v>137.98459381351654</c:v>
                </c:pt>
                <c:pt idx="26">
                  <c:v>140.59883650826487</c:v>
                </c:pt>
                <c:pt idx="27">
                  <c:v>142.37937637184018</c:v>
                </c:pt>
                <c:pt idx="28">
                  <c:v>142.37937637184018</c:v>
                </c:pt>
                <c:pt idx="29">
                  <c:v>142.37937637184021</c:v>
                </c:pt>
                <c:pt idx="30">
                  <c:v>141.91382722442697</c:v>
                </c:pt>
                <c:pt idx="31">
                  <c:v>142.50734051228537</c:v>
                </c:pt>
                <c:pt idx="32">
                  <c:v>142.50734051228537</c:v>
                </c:pt>
                <c:pt idx="33">
                  <c:v>145.58713235444696</c:v>
                </c:pt>
                <c:pt idx="34">
                  <c:v>147.36767221802225</c:v>
                </c:pt>
                <c:pt idx="35">
                  <c:v>147.36767221802225</c:v>
                </c:pt>
                <c:pt idx="36">
                  <c:v>147.36767221802225</c:v>
                </c:pt>
                <c:pt idx="37">
                  <c:v>149.22986880767527</c:v>
                </c:pt>
                <c:pt idx="38">
                  <c:v>150.41689538339213</c:v>
                </c:pt>
                <c:pt idx="39">
                  <c:v>150.41689538339213</c:v>
                </c:pt>
                <c:pt idx="40">
                  <c:v>165.38886918803706</c:v>
                </c:pt>
                <c:pt idx="41">
                  <c:v>152.57654703338451</c:v>
                </c:pt>
                <c:pt idx="42">
                  <c:v>152.57654703338449</c:v>
                </c:pt>
                <c:pt idx="43">
                  <c:v>152.57654703338451</c:v>
                </c:pt>
                <c:pt idx="44">
                  <c:v>150.71435044373155</c:v>
                </c:pt>
                <c:pt idx="45">
                  <c:v>145.20941740085021</c:v>
                </c:pt>
                <c:pt idx="46">
                  <c:v>145.20941740085024</c:v>
                </c:pt>
                <c:pt idx="47">
                  <c:v>142.881671663784</c:v>
                </c:pt>
                <c:pt idx="48">
                  <c:v>139.32059193663338</c:v>
                </c:pt>
                <c:pt idx="49">
                  <c:v>139.32059193663338</c:v>
                </c:pt>
                <c:pt idx="50">
                  <c:v>135.59619875732739</c:v>
                </c:pt>
                <c:pt idx="51">
                  <c:v>131.87180557802142</c:v>
                </c:pt>
                <c:pt idx="52">
                  <c:v>123.99281938370636</c:v>
                </c:pt>
                <c:pt idx="53">
                  <c:v>123.99281938370636</c:v>
                </c:pt>
                <c:pt idx="54">
                  <c:v>106.69309984199518</c:v>
                </c:pt>
                <c:pt idx="55">
                  <c:v>114.1638024059218</c:v>
                </c:pt>
                <c:pt idx="56">
                  <c:v>114.16380240592181</c:v>
                </c:pt>
                <c:pt idx="57">
                  <c:v>110.43940922661582</c:v>
                </c:pt>
                <c:pt idx="58">
                  <c:v>109.04276178437607</c:v>
                </c:pt>
                <c:pt idx="59">
                  <c:v>99.546549178641072</c:v>
                </c:pt>
                <c:pt idx="60">
                  <c:v>99.388016361404183</c:v>
                </c:pt>
                <c:pt idx="61">
                  <c:v>143.25486976947863</c:v>
                </c:pt>
                <c:pt idx="62">
                  <c:v>127.82352428515927</c:v>
                </c:pt>
                <c:pt idx="63">
                  <c:v>124.09913110585329</c:v>
                </c:pt>
                <c:pt idx="64">
                  <c:v>116.18675705186651</c:v>
                </c:pt>
                <c:pt idx="65">
                  <c:v>111.06571643032078</c:v>
                </c:pt>
                <c:pt idx="66">
                  <c:v>103.35004368816109</c:v>
                </c:pt>
                <c:pt idx="67">
                  <c:v>99.625650508855117</c:v>
                </c:pt>
                <c:pt idx="68">
                  <c:v>88.436732233361369</c:v>
                </c:pt>
                <c:pt idx="69">
                  <c:v>81.314572779060128</c:v>
                </c:pt>
                <c:pt idx="70">
                  <c:v>87.679905493347576</c:v>
                </c:pt>
                <c:pt idx="71">
                  <c:v>96.979416787255431</c:v>
                </c:pt>
                <c:pt idx="72">
                  <c:v>110.00135980843086</c:v>
                </c:pt>
                <c:pt idx="73">
                  <c:v>120.09108570202427</c:v>
                </c:pt>
                <c:pt idx="74">
                  <c:v>126.61495123354858</c:v>
                </c:pt>
                <c:pt idx="75">
                  <c:v>87.839966603048566</c:v>
                </c:pt>
                <c:pt idx="76">
                  <c:v>105.05185195094322</c:v>
                </c:pt>
                <c:pt idx="77">
                  <c:v>108.77624513024921</c:v>
                </c:pt>
                <c:pt idx="78">
                  <c:v>120.41301236354198</c:v>
                </c:pt>
                <c:pt idx="79">
                  <c:v>123.20630724802147</c:v>
                </c:pt>
                <c:pt idx="80">
                  <c:v>132.11686428630671</c:v>
                </c:pt>
                <c:pt idx="81">
                  <c:v>135.84125746561273</c:v>
                </c:pt>
                <c:pt idx="82">
                  <c:v>146.94373838011032</c:v>
                </c:pt>
                <c:pt idx="83">
                  <c:v>154.65941112226997</c:v>
                </c:pt>
                <c:pt idx="84">
                  <c:v>148.29407840798254</c:v>
                </c:pt>
                <c:pt idx="85">
                  <c:v>142.71896029338063</c:v>
                </c:pt>
                <c:pt idx="86">
                  <c:v>128.30036982996549</c:v>
                </c:pt>
                <c:pt idx="87">
                  <c:v>128.1591619594812</c:v>
                </c:pt>
                <c:pt idx="88">
                  <c:v>121.79382924519375</c:v>
                </c:pt>
                <c:pt idx="89">
                  <c:v>116.27793809965513</c:v>
                </c:pt>
                <c:pt idx="90">
                  <c:v>113.90388494822137</c:v>
                </c:pt>
                <c:pt idx="91">
                  <c:v>113.90388494822137</c:v>
                </c:pt>
                <c:pt idx="92">
                  <c:v>113.90388494822137</c:v>
                </c:pt>
                <c:pt idx="93">
                  <c:v>118.55937642235385</c:v>
                </c:pt>
                <c:pt idx="94">
                  <c:v>121.30320921530624</c:v>
                </c:pt>
                <c:pt idx="95">
                  <c:v>121.30320921530624</c:v>
                </c:pt>
                <c:pt idx="96">
                  <c:v>128.92626712873093</c:v>
                </c:pt>
                <c:pt idx="97">
                  <c:v>134.26788671945684</c:v>
                </c:pt>
                <c:pt idx="98">
                  <c:v>133.33678842463036</c:v>
                </c:pt>
                <c:pt idx="99">
                  <c:v>129.61239524532436</c:v>
                </c:pt>
                <c:pt idx="100">
                  <c:v>129.61239524532436</c:v>
                </c:pt>
                <c:pt idx="101">
                  <c:v>125.66597196910685</c:v>
                </c:pt>
                <c:pt idx="102">
                  <c:v>124.73487367428035</c:v>
                </c:pt>
                <c:pt idx="103">
                  <c:v>118.97401235050866</c:v>
                </c:pt>
                <c:pt idx="104">
                  <c:v>113.63239275978273</c:v>
                </c:pt>
                <c:pt idx="105">
                  <c:v>112.70129446495625</c:v>
                </c:pt>
                <c:pt idx="106">
                  <c:v>108.97690128565026</c:v>
                </c:pt>
                <c:pt idx="107">
                  <c:v>104.32140981151777</c:v>
                </c:pt>
                <c:pt idx="108">
                  <c:v>98.669114727171731</c:v>
                </c:pt>
                <c:pt idx="109">
                  <c:v>97.738016432345248</c:v>
                </c:pt>
                <c:pt idx="110">
                  <c:v>84.947610483007352</c:v>
                </c:pt>
                <c:pt idx="111">
                  <c:v>75.451397877272385</c:v>
                </c:pt>
                <c:pt idx="112">
                  <c:v>75.45139787727237</c:v>
                </c:pt>
                <c:pt idx="113">
                  <c:v>72.66006444483132</c:v>
                </c:pt>
                <c:pt idx="114">
                  <c:v>74.987810181897558</c:v>
                </c:pt>
                <c:pt idx="115">
                  <c:v>68.985715435005972</c:v>
                </c:pt>
                <c:pt idx="116">
                  <c:v>72.718887262623326</c:v>
                </c:pt>
                <c:pt idx="117">
                  <c:v>87.805263434305431</c:v>
                </c:pt>
                <c:pt idx="118">
                  <c:v>88.287043890142584</c:v>
                </c:pt>
                <c:pt idx="119">
                  <c:v>88.28704389014257</c:v>
                </c:pt>
                <c:pt idx="120">
                  <c:v>88.28704389014257</c:v>
                </c:pt>
                <c:pt idx="121">
                  <c:v>95.270281101341297</c:v>
                </c:pt>
                <c:pt idx="122">
                  <c:v>96.234232053861319</c:v>
                </c:pt>
                <c:pt idx="123">
                  <c:v>96.234232053861334</c:v>
                </c:pt>
                <c:pt idx="124">
                  <c:v>98.014771917436633</c:v>
                </c:pt>
                <c:pt idx="125">
                  <c:v>100.98233835672882</c:v>
                </c:pt>
                <c:pt idx="126">
                  <c:v>98.189043472249324</c:v>
                </c:pt>
                <c:pt idx="127">
                  <c:v>100.0340485501152</c:v>
                </c:pt>
                <c:pt idx="128">
                  <c:v>105.08917118315904</c:v>
                </c:pt>
                <c:pt idx="129">
                  <c:v>106.95136777281205</c:v>
                </c:pt>
                <c:pt idx="130">
                  <c:v>103.21819594519467</c:v>
                </c:pt>
                <c:pt idx="131">
                  <c:v>118.13266557845931</c:v>
                </c:pt>
                <c:pt idx="132">
                  <c:v>108.15467251688719</c:v>
                </c:pt>
                <c:pt idx="133">
                  <c:v>105.36137763240768</c:v>
                </c:pt>
                <c:pt idx="134">
                  <c:v>97.449003578420886</c:v>
                </c:pt>
                <c:pt idx="135">
                  <c:v>87.672471482742679</c:v>
                </c:pt>
                <c:pt idx="136">
                  <c:v>80.706425783331071</c:v>
                </c:pt>
                <c:pt idx="137">
                  <c:v>77.913130898851577</c:v>
                </c:pt>
                <c:pt idx="138">
                  <c:v>70.197458156691908</c:v>
                </c:pt>
                <c:pt idx="139">
                  <c:v>57.733679111664742</c:v>
                </c:pt>
                <c:pt idx="140">
                  <c:v>57.733679111664742</c:v>
                </c:pt>
                <c:pt idx="141">
                  <c:v>50.767633412253119</c:v>
                </c:pt>
                <c:pt idx="142">
                  <c:v>40.591470157663551</c:v>
                </c:pt>
                <c:pt idx="143">
                  <c:v>38.729273568010562</c:v>
                </c:pt>
                <c:pt idx="144">
                  <c:v>35.935978683531076</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val>
          <c:extLst>
            <c:ext xmlns:c16="http://schemas.microsoft.com/office/drawing/2014/chart" uri="{C3380CC4-5D6E-409C-BE32-E72D297353CC}">
              <c16:uniqueId val="{00000000-C559-4A23-890B-F955BEDFCF3C}"/>
            </c:ext>
          </c:extLst>
        </c:ser>
        <c:ser>
          <c:idx val="3"/>
          <c:order val="3"/>
          <c:tx>
            <c:strRef>
              <c:f>'Form Tracker'!$A$9:$B$9</c:f>
              <c:strCache>
                <c:ptCount val="2"/>
                <c:pt idx="0">
                  <c:v>Accumulative Fitness</c:v>
                </c:pt>
              </c:strCache>
            </c:strRef>
          </c:tx>
          <c:spPr>
            <a:solidFill>
              <a:srgbClr val="8064A2">
                <a:alpha val="50196"/>
              </a:srgbClr>
            </a:solidFill>
            <a:ln>
              <a:noFill/>
            </a:ln>
            <a:effectLst/>
          </c:spPr>
          <c:cat>
            <c:numRef>
              <c:f>'Form Tracker'!$C$1:$FN$1</c:f>
              <c:numCache>
                <c:formatCode>m/d/yyyy</c:formatCode>
                <c:ptCount val="168"/>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numCache>
            </c:numRef>
          </c:cat>
          <c:val>
            <c:numRef>
              <c:f>'Form Tracker'!$C$10:$FN$10</c:f>
              <c:numCache>
                <c:formatCode>0</c:formatCode>
                <c:ptCount val="168"/>
                <c:pt idx="0">
                  <c:v>128.05853407899323</c:v>
                </c:pt>
                <c:pt idx="1">
                  <c:v>128.05853407899323</c:v>
                </c:pt>
                <c:pt idx="2">
                  <c:v>128.05853407899323</c:v>
                </c:pt>
                <c:pt idx="3">
                  <c:v>128.05853407899323</c:v>
                </c:pt>
                <c:pt idx="4">
                  <c:v>128.05853407899323</c:v>
                </c:pt>
                <c:pt idx="5">
                  <c:v>128.05853407899323</c:v>
                </c:pt>
                <c:pt idx="6">
                  <c:v>128.05853407899323</c:v>
                </c:pt>
                <c:pt idx="7">
                  <c:v>129.00477375156868</c:v>
                </c:pt>
                <c:pt idx="8">
                  <c:v>129.00477375156868</c:v>
                </c:pt>
                <c:pt idx="9">
                  <c:v>129.00477375156868</c:v>
                </c:pt>
                <c:pt idx="10">
                  <c:v>129.00477375156868</c:v>
                </c:pt>
                <c:pt idx="11">
                  <c:v>129.00477375156868</c:v>
                </c:pt>
                <c:pt idx="12">
                  <c:v>129.00477375156868</c:v>
                </c:pt>
                <c:pt idx="13">
                  <c:v>129.00477375156868</c:v>
                </c:pt>
                <c:pt idx="14">
                  <c:v>130.96742114593411</c:v>
                </c:pt>
                <c:pt idx="15">
                  <c:v>130.96742114593411</c:v>
                </c:pt>
                <c:pt idx="16">
                  <c:v>130.96742114593411</c:v>
                </c:pt>
                <c:pt idx="17">
                  <c:v>130.96742114593411</c:v>
                </c:pt>
                <c:pt idx="18">
                  <c:v>130.96742114593411</c:v>
                </c:pt>
                <c:pt idx="19">
                  <c:v>130.96742114593411</c:v>
                </c:pt>
                <c:pt idx="20">
                  <c:v>130.96742114593411</c:v>
                </c:pt>
                <c:pt idx="21">
                  <c:v>133.73160914970799</c:v>
                </c:pt>
                <c:pt idx="22">
                  <c:v>133.73160914970799</c:v>
                </c:pt>
                <c:pt idx="23">
                  <c:v>133.73160914970799</c:v>
                </c:pt>
                <c:pt idx="24">
                  <c:v>133.73160914970799</c:v>
                </c:pt>
                <c:pt idx="25">
                  <c:v>133.73160914970799</c:v>
                </c:pt>
                <c:pt idx="26">
                  <c:v>133.73160914970799</c:v>
                </c:pt>
                <c:pt idx="27">
                  <c:v>133.73160914970799</c:v>
                </c:pt>
                <c:pt idx="28">
                  <c:v>137.35702182613409</c:v>
                </c:pt>
                <c:pt idx="29">
                  <c:v>137.35702182613409</c:v>
                </c:pt>
                <c:pt idx="30">
                  <c:v>137.35702182613409</c:v>
                </c:pt>
                <c:pt idx="31">
                  <c:v>137.35702182613409</c:v>
                </c:pt>
                <c:pt idx="32">
                  <c:v>137.35702182613409</c:v>
                </c:pt>
                <c:pt idx="33">
                  <c:v>137.35702182613409</c:v>
                </c:pt>
                <c:pt idx="34">
                  <c:v>137.35702182613409</c:v>
                </c:pt>
                <c:pt idx="35">
                  <c:v>141.92766948424324</c:v>
                </c:pt>
                <c:pt idx="36">
                  <c:v>141.92766948424324</c:v>
                </c:pt>
                <c:pt idx="37">
                  <c:v>141.92766948424324</c:v>
                </c:pt>
                <c:pt idx="38">
                  <c:v>141.92766948424324</c:v>
                </c:pt>
                <c:pt idx="39">
                  <c:v>141.92766948424324</c:v>
                </c:pt>
                <c:pt idx="40">
                  <c:v>141.92766948424324</c:v>
                </c:pt>
                <c:pt idx="41">
                  <c:v>141.92766948424324</c:v>
                </c:pt>
                <c:pt idx="42">
                  <c:v>141.20459851096683</c:v>
                </c:pt>
                <c:pt idx="43">
                  <c:v>141.20459851096683</c:v>
                </c:pt>
                <c:pt idx="44">
                  <c:v>141.20459851096683</c:v>
                </c:pt>
                <c:pt idx="45">
                  <c:v>141.20459851096683</c:v>
                </c:pt>
                <c:pt idx="46">
                  <c:v>141.20459851096683</c:v>
                </c:pt>
                <c:pt idx="47">
                  <c:v>141.20459851096683</c:v>
                </c:pt>
                <c:pt idx="48">
                  <c:v>141.20459851096683</c:v>
                </c:pt>
                <c:pt idx="49">
                  <c:v>136.37324193704879</c:v>
                </c:pt>
                <c:pt idx="50">
                  <c:v>136.37324193704879</c:v>
                </c:pt>
                <c:pt idx="51">
                  <c:v>136.37324193704879</c:v>
                </c:pt>
                <c:pt idx="52">
                  <c:v>136.37324193704879</c:v>
                </c:pt>
                <c:pt idx="53">
                  <c:v>136.37324193704879</c:v>
                </c:pt>
                <c:pt idx="54">
                  <c:v>136.37324193704879</c:v>
                </c:pt>
                <c:pt idx="55">
                  <c:v>136.37324193704879</c:v>
                </c:pt>
                <c:pt idx="56">
                  <c:v>138.17059614660491</c:v>
                </c:pt>
                <c:pt idx="57">
                  <c:v>138.17059614660491</c:v>
                </c:pt>
                <c:pt idx="58">
                  <c:v>138.17059614660491</c:v>
                </c:pt>
                <c:pt idx="59">
                  <c:v>138.17059614660491</c:v>
                </c:pt>
                <c:pt idx="60">
                  <c:v>138.17059614660491</c:v>
                </c:pt>
                <c:pt idx="61">
                  <c:v>138.17059614660491</c:v>
                </c:pt>
                <c:pt idx="62">
                  <c:v>138.17059614660491</c:v>
                </c:pt>
                <c:pt idx="63">
                  <c:v>116.01830740612212</c:v>
                </c:pt>
                <c:pt idx="64">
                  <c:v>116.01830740612212</c:v>
                </c:pt>
                <c:pt idx="65">
                  <c:v>116.01830740612212</c:v>
                </c:pt>
                <c:pt idx="66">
                  <c:v>116.01830740612212</c:v>
                </c:pt>
                <c:pt idx="67">
                  <c:v>116.01830740612212</c:v>
                </c:pt>
                <c:pt idx="68">
                  <c:v>116.01830740612212</c:v>
                </c:pt>
                <c:pt idx="69">
                  <c:v>116.01830740612212</c:v>
                </c:pt>
                <c:pt idx="70">
                  <c:v>124.06532272424528</c:v>
                </c:pt>
                <c:pt idx="71">
                  <c:v>124.06532272424528</c:v>
                </c:pt>
                <c:pt idx="72">
                  <c:v>124.06532272424528</c:v>
                </c:pt>
                <c:pt idx="73">
                  <c:v>124.06532272424528</c:v>
                </c:pt>
                <c:pt idx="74">
                  <c:v>124.06532272424528</c:v>
                </c:pt>
                <c:pt idx="75">
                  <c:v>124.06532272424528</c:v>
                </c:pt>
                <c:pt idx="76">
                  <c:v>124.06532272424528</c:v>
                </c:pt>
                <c:pt idx="77">
                  <c:v>116.71259543575061</c:v>
                </c:pt>
                <c:pt idx="78">
                  <c:v>116.71259543575061</c:v>
                </c:pt>
                <c:pt idx="79">
                  <c:v>116.71259543575061</c:v>
                </c:pt>
                <c:pt idx="80">
                  <c:v>116.71259543575061</c:v>
                </c:pt>
                <c:pt idx="81">
                  <c:v>116.71259543575061</c:v>
                </c:pt>
                <c:pt idx="82">
                  <c:v>116.71259543575061</c:v>
                </c:pt>
                <c:pt idx="83">
                  <c:v>116.71259543575061</c:v>
                </c:pt>
                <c:pt idx="84">
                  <c:v>115.59308706144128</c:v>
                </c:pt>
                <c:pt idx="85">
                  <c:v>115.59308706144128</c:v>
                </c:pt>
                <c:pt idx="86">
                  <c:v>115.59308706144128</c:v>
                </c:pt>
                <c:pt idx="87">
                  <c:v>115.59308706144128</c:v>
                </c:pt>
                <c:pt idx="88">
                  <c:v>115.59308706144128</c:v>
                </c:pt>
                <c:pt idx="89">
                  <c:v>115.59308706144128</c:v>
                </c:pt>
                <c:pt idx="90">
                  <c:v>115.59308706144128</c:v>
                </c:pt>
                <c:pt idx="91">
                  <c:v>123.41395687359562</c:v>
                </c:pt>
                <c:pt idx="92">
                  <c:v>123.41395687359562</c:v>
                </c:pt>
                <c:pt idx="93">
                  <c:v>123.41395687359562</c:v>
                </c:pt>
                <c:pt idx="94">
                  <c:v>123.41395687359562</c:v>
                </c:pt>
                <c:pt idx="95">
                  <c:v>123.41395687359562</c:v>
                </c:pt>
                <c:pt idx="96">
                  <c:v>123.41395687359562</c:v>
                </c:pt>
                <c:pt idx="97">
                  <c:v>123.41395687359562</c:v>
                </c:pt>
                <c:pt idx="98">
                  <c:v>110.86270988631577</c:v>
                </c:pt>
                <c:pt idx="99">
                  <c:v>110.86270988631577</c:v>
                </c:pt>
                <c:pt idx="100">
                  <c:v>110.86270988631577</c:v>
                </c:pt>
                <c:pt idx="101">
                  <c:v>110.86270988631577</c:v>
                </c:pt>
                <c:pt idx="102">
                  <c:v>110.86270988631577</c:v>
                </c:pt>
                <c:pt idx="103">
                  <c:v>110.86270988631577</c:v>
                </c:pt>
                <c:pt idx="104">
                  <c:v>110.86270988631577</c:v>
                </c:pt>
                <c:pt idx="105">
                  <c:v>121.45956523966638</c:v>
                </c:pt>
                <c:pt idx="106">
                  <c:v>121.45956523966638</c:v>
                </c:pt>
                <c:pt idx="107">
                  <c:v>121.45956523966638</c:v>
                </c:pt>
                <c:pt idx="108">
                  <c:v>121.45956523966638</c:v>
                </c:pt>
                <c:pt idx="109">
                  <c:v>121.45956523966638</c:v>
                </c:pt>
                <c:pt idx="110">
                  <c:v>121.45956523966638</c:v>
                </c:pt>
                <c:pt idx="111">
                  <c:v>121.45956523966638</c:v>
                </c:pt>
                <c:pt idx="112">
                  <c:v>105.27444053271554</c:v>
                </c:pt>
                <c:pt idx="113">
                  <c:v>105.27444053271554</c:v>
                </c:pt>
                <c:pt idx="114">
                  <c:v>105.27444053271554</c:v>
                </c:pt>
                <c:pt idx="115">
                  <c:v>105.27444053271554</c:v>
                </c:pt>
                <c:pt idx="116">
                  <c:v>105.27444053271554</c:v>
                </c:pt>
                <c:pt idx="117">
                  <c:v>105.27444053271554</c:v>
                </c:pt>
                <c:pt idx="118">
                  <c:v>105.27444053271554</c:v>
                </c:pt>
                <c:pt idx="119">
                  <c:v>103.56720765115266</c:v>
                </c:pt>
                <c:pt idx="120">
                  <c:v>103.56720765115266</c:v>
                </c:pt>
                <c:pt idx="121">
                  <c:v>103.56720765115266</c:v>
                </c:pt>
                <c:pt idx="122">
                  <c:v>103.56720765115266</c:v>
                </c:pt>
                <c:pt idx="123">
                  <c:v>103.56720765115266</c:v>
                </c:pt>
                <c:pt idx="124">
                  <c:v>103.56720765115266</c:v>
                </c:pt>
                <c:pt idx="125">
                  <c:v>103.56720765115266</c:v>
                </c:pt>
                <c:pt idx="126">
                  <c:v>103.35803638893748</c:v>
                </c:pt>
                <c:pt idx="127">
                  <c:v>103.35803638893748</c:v>
                </c:pt>
                <c:pt idx="128">
                  <c:v>103.35803638893748</c:v>
                </c:pt>
                <c:pt idx="129">
                  <c:v>103.35803638893748</c:v>
                </c:pt>
                <c:pt idx="130">
                  <c:v>103.35803638893748</c:v>
                </c:pt>
                <c:pt idx="131">
                  <c:v>103.35803638893748</c:v>
                </c:pt>
                <c:pt idx="132">
                  <c:v>103.35803638893748</c:v>
                </c:pt>
                <c:pt idx="133">
                  <c:v>78.055805115221972</c:v>
                </c:pt>
                <c:pt idx="134">
                  <c:v>78.055805115221972</c:v>
                </c:pt>
                <c:pt idx="135">
                  <c:v>78.055805115221972</c:v>
                </c:pt>
                <c:pt idx="136">
                  <c:v>78.055805115221972</c:v>
                </c:pt>
                <c:pt idx="137">
                  <c:v>78.055805115221972</c:v>
                </c:pt>
                <c:pt idx="138">
                  <c:v>78.055805115221972</c:v>
                </c:pt>
                <c:pt idx="139">
                  <c:v>78.055805115221972</c:v>
                </c:pt>
                <c:pt idx="140">
                  <c:v>65.480572135676582</c:v>
                </c:pt>
                <c:pt idx="141">
                  <c:v>65.480572135676582</c:v>
                </c:pt>
                <c:pt idx="142">
                  <c:v>65.480572135676582</c:v>
                </c:pt>
                <c:pt idx="143">
                  <c:v>65.480572135676582</c:v>
                </c:pt>
                <c:pt idx="144">
                  <c:v>65.480572135676582</c:v>
                </c:pt>
                <c:pt idx="145">
                  <c:v>65.480572135676582</c:v>
                </c:pt>
                <c:pt idx="146">
                  <c:v>65.480572135676582</c:v>
                </c:pt>
                <c:pt idx="147">
                  <c:v>52.905339156131177</c:v>
                </c:pt>
                <c:pt idx="148">
                  <c:v>52.905339156131177</c:v>
                </c:pt>
                <c:pt idx="149">
                  <c:v>52.905339156131177</c:v>
                </c:pt>
                <c:pt idx="150">
                  <c:v>52.905339156131177</c:v>
                </c:pt>
                <c:pt idx="151">
                  <c:v>52.905339156131177</c:v>
                </c:pt>
                <c:pt idx="152">
                  <c:v>52.905339156131177</c:v>
                </c:pt>
                <c:pt idx="153">
                  <c:v>52.905339156131177</c:v>
                </c:pt>
                <c:pt idx="154">
                  <c:v>36.051557505629056</c:v>
                </c:pt>
                <c:pt idx="155">
                  <c:v>36.051557505629056</c:v>
                </c:pt>
                <c:pt idx="156">
                  <c:v>36.051557505629056</c:v>
                </c:pt>
                <c:pt idx="157">
                  <c:v>36.051557505629056</c:v>
                </c:pt>
                <c:pt idx="158">
                  <c:v>36.051557505629056</c:v>
                </c:pt>
                <c:pt idx="159">
                  <c:v>36.051557505629056</c:v>
                </c:pt>
                <c:pt idx="160">
                  <c:v>36.051557505629056</c:v>
                </c:pt>
                <c:pt idx="161">
                  <c:v>19.244559703888243</c:v>
                </c:pt>
                <c:pt idx="162">
                  <c:v>19.244559703888243</c:v>
                </c:pt>
                <c:pt idx="163">
                  <c:v>19.244559703888243</c:v>
                </c:pt>
                <c:pt idx="164">
                  <c:v>19.244559703888243</c:v>
                </c:pt>
                <c:pt idx="165">
                  <c:v>19.244559703888243</c:v>
                </c:pt>
                <c:pt idx="166">
                  <c:v>19.244559703888243</c:v>
                </c:pt>
                <c:pt idx="167">
                  <c:v>19.244559703888243</c:v>
                </c:pt>
              </c:numCache>
            </c:numRef>
          </c:val>
          <c:extLst>
            <c:ext xmlns:c16="http://schemas.microsoft.com/office/drawing/2014/chart" uri="{C3380CC4-5D6E-409C-BE32-E72D297353CC}">
              <c16:uniqueId val="{00000001-C559-4A23-890B-F955BEDFCF3C}"/>
            </c:ext>
          </c:extLst>
        </c:ser>
        <c:dLbls>
          <c:showLegendKey val="0"/>
          <c:showVal val="0"/>
          <c:showCatName val="0"/>
          <c:showSerName val="0"/>
          <c:showPercent val="0"/>
          <c:showBubbleSize val="0"/>
        </c:dLbls>
        <c:axId val="115928064"/>
        <c:axId val="115941952"/>
      </c:areaChart>
      <c:lineChart>
        <c:grouping val="standard"/>
        <c:varyColors val="0"/>
        <c:ser>
          <c:idx val="4"/>
          <c:order val="4"/>
          <c:tx>
            <c:strRef>
              <c:f>'Form Tracker'!$A$11:$B$11</c:f>
              <c:strCache>
                <c:ptCount val="2"/>
                <c:pt idx="0">
                  <c:v>Form</c:v>
                </c:pt>
              </c:strCache>
            </c:strRef>
          </c:tx>
          <c:spPr>
            <a:ln w="28575" cap="rnd" cmpd="sng" algn="ctr">
              <a:solidFill>
                <a:schemeClr val="accent5">
                  <a:shade val="95000"/>
                  <a:satMod val="105000"/>
                </a:schemeClr>
              </a:solidFill>
              <a:prstDash val="solid"/>
              <a:round/>
            </a:ln>
            <a:effectLst/>
          </c:spPr>
          <c:marker>
            <c:symbol val="none"/>
          </c:marker>
          <c:cat>
            <c:numRef>
              <c:f>'Form Tracker'!$AV$1:$FO$1</c:f>
              <c:numCache>
                <c:formatCode>m/d/yyyy</c:formatCode>
                <c:ptCount val="124"/>
                <c:pt idx="0">
                  <c:v>43419</c:v>
                </c:pt>
                <c:pt idx="1">
                  <c:v>43420</c:v>
                </c:pt>
                <c:pt idx="2">
                  <c:v>43421</c:v>
                </c:pt>
                <c:pt idx="3">
                  <c:v>43422</c:v>
                </c:pt>
                <c:pt idx="4">
                  <c:v>43423</c:v>
                </c:pt>
                <c:pt idx="5">
                  <c:v>43424</c:v>
                </c:pt>
                <c:pt idx="6">
                  <c:v>43425</c:v>
                </c:pt>
                <c:pt idx="7">
                  <c:v>43426</c:v>
                </c:pt>
                <c:pt idx="8">
                  <c:v>43427</c:v>
                </c:pt>
                <c:pt idx="9">
                  <c:v>43428</c:v>
                </c:pt>
                <c:pt idx="10">
                  <c:v>43429</c:v>
                </c:pt>
                <c:pt idx="11">
                  <c:v>43430</c:v>
                </c:pt>
                <c:pt idx="12">
                  <c:v>43431</c:v>
                </c:pt>
                <c:pt idx="13">
                  <c:v>43432</c:v>
                </c:pt>
                <c:pt idx="14">
                  <c:v>43433</c:v>
                </c:pt>
                <c:pt idx="15">
                  <c:v>43434</c:v>
                </c:pt>
                <c:pt idx="16">
                  <c:v>43435</c:v>
                </c:pt>
                <c:pt idx="17">
                  <c:v>43436</c:v>
                </c:pt>
                <c:pt idx="18">
                  <c:v>43437</c:v>
                </c:pt>
                <c:pt idx="19">
                  <c:v>43438</c:v>
                </c:pt>
                <c:pt idx="20">
                  <c:v>43439</c:v>
                </c:pt>
                <c:pt idx="21">
                  <c:v>43440</c:v>
                </c:pt>
                <c:pt idx="22">
                  <c:v>43441</c:v>
                </c:pt>
                <c:pt idx="23">
                  <c:v>43442</c:v>
                </c:pt>
                <c:pt idx="24">
                  <c:v>43443</c:v>
                </c:pt>
                <c:pt idx="25">
                  <c:v>43444</c:v>
                </c:pt>
                <c:pt idx="26">
                  <c:v>43445</c:v>
                </c:pt>
                <c:pt idx="27">
                  <c:v>43446</c:v>
                </c:pt>
                <c:pt idx="28">
                  <c:v>43447</c:v>
                </c:pt>
                <c:pt idx="29">
                  <c:v>43448</c:v>
                </c:pt>
                <c:pt idx="30">
                  <c:v>43449</c:v>
                </c:pt>
                <c:pt idx="31">
                  <c:v>43450</c:v>
                </c:pt>
                <c:pt idx="32">
                  <c:v>43451</c:v>
                </c:pt>
                <c:pt idx="33">
                  <c:v>43452</c:v>
                </c:pt>
                <c:pt idx="34">
                  <c:v>43453</c:v>
                </c:pt>
                <c:pt idx="35">
                  <c:v>43454</c:v>
                </c:pt>
                <c:pt idx="36">
                  <c:v>43455</c:v>
                </c:pt>
                <c:pt idx="37">
                  <c:v>43456</c:v>
                </c:pt>
                <c:pt idx="38">
                  <c:v>43457</c:v>
                </c:pt>
                <c:pt idx="39">
                  <c:v>43458</c:v>
                </c:pt>
                <c:pt idx="40">
                  <c:v>43459</c:v>
                </c:pt>
                <c:pt idx="41">
                  <c:v>43460</c:v>
                </c:pt>
                <c:pt idx="42">
                  <c:v>43461</c:v>
                </c:pt>
                <c:pt idx="43">
                  <c:v>43462</c:v>
                </c:pt>
                <c:pt idx="44">
                  <c:v>43463</c:v>
                </c:pt>
                <c:pt idx="45">
                  <c:v>43464</c:v>
                </c:pt>
                <c:pt idx="46">
                  <c:v>43465</c:v>
                </c:pt>
                <c:pt idx="47">
                  <c:v>43466</c:v>
                </c:pt>
                <c:pt idx="48">
                  <c:v>43467</c:v>
                </c:pt>
                <c:pt idx="49">
                  <c:v>43468</c:v>
                </c:pt>
                <c:pt idx="50">
                  <c:v>43469</c:v>
                </c:pt>
                <c:pt idx="51">
                  <c:v>43470</c:v>
                </c:pt>
                <c:pt idx="52">
                  <c:v>43471</c:v>
                </c:pt>
                <c:pt idx="53">
                  <c:v>43472</c:v>
                </c:pt>
                <c:pt idx="54">
                  <c:v>43473</c:v>
                </c:pt>
                <c:pt idx="55">
                  <c:v>43474</c:v>
                </c:pt>
                <c:pt idx="56">
                  <c:v>43475</c:v>
                </c:pt>
                <c:pt idx="57">
                  <c:v>43476</c:v>
                </c:pt>
                <c:pt idx="58">
                  <c:v>43477</c:v>
                </c:pt>
                <c:pt idx="59">
                  <c:v>43478</c:v>
                </c:pt>
                <c:pt idx="60">
                  <c:v>43479</c:v>
                </c:pt>
                <c:pt idx="61">
                  <c:v>43480</c:v>
                </c:pt>
                <c:pt idx="62">
                  <c:v>43481</c:v>
                </c:pt>
                <c:pt idx="63">
                  <c:v>43482</c:v>
                </c:pt>
                <c:pt idx="64">
                  <c:v>43483</c:v>
                </c:pt>
                <c:pt idx="65">
                  <c:v>43484</c:v>
                </c:pt>
                <c:pt idx="66">
                  <c:v>43485</c:v>
                </c:pt>
                <c:pt idx="67">
                  <c:v>43486</c:v>
                </c:pt>
                <c:pt idx="68">
                  <c:v>43487</c:v>
                </c:pt>
                <c:pt idx="69">
                  <c:v>43488</c:v>
                </c:pt>
                <c:pt idx="70">
                  <c:v>43489</c:v>
                </c:pt>
                <c:pt idx="71">
                  <c:v>43490</c:v>
                </c:pt>
                <c:pt idx="72">
                  <c:v>43491</c:v>
                </c:pt>
                <c:pt idx="73">
                  <c:v>43492</c:v>
                </c:pt>
                <c:pt idx="74">
                  <c:v>43493</c:v>
                </c:pt>
                <c:pt idx="75">
                  <c:v>43494</c:v>
                </c:pt>
                <c:pt idx="76">
                  <c:v>43495</c:v>
                </c:pt>
                <c:pt idx="77">
                  <c:v>43496</c:v>
                </c:pt>
                <c:pt idx="78">
                  <c:v>43497</c:v>
                </c:pt>
                <c:pt idx="79">
                  <c:v>43498</c:v>
                </c:pt>
                <c:pt idx="80">
                  <c:v>43499</c:v>
                </c:pt>
                <c:pt idx="81">
                  <c:v>43500</c:v>
                </c:pt>
                <c:pt idx="82">
                  <c:v>43501</c:v>
                </c:pt>
                <c:pt idx="83">
                  <c:v>43502</c:v>
                </c:pt>
                <c:pt idx="84">
                  <c:v>43503</c:v>
                </c:pt>
                <c:pt idx="85">
                  <c:v>43504</c:v>
                </c:pt>
                <c:pt idx="86">
                  <c:v>43505</c:v>
                </c:pt>
                <c:pt idx="87">
                  <c:v>43506</c:v>
                </c:pt>
                <c:pt idx="88">
                  <c:v>43507</c:v>
                </c:pt>
                <c:pt idx="89">
                  <c:v>43508</c:v>
                </c:pt>
                <c:pt idx="90">
                  <c:v>43509</c:v>
                </c:pt>
                <c:pt idx="91">
                  <c:v>43510</c:v>
                </c:pt>
                <c:pt idx="92">
                  <c:v>43511</c:v>
                </c:pt>
                <c:pt idx="93">
                  <c:v>43512</c:v>
                </c:pt>
                <c:pt idx="94">
                  <c:v>43513</c:v>
                </c:pt>
                <c:pt idx="95">
                  <c:v>43514</c:v>
                </c:pt>
                <c:pt idx="96">
                  <c:v>43515</c:v>
                </c:pt>
                <c:pt idx="97">
                  <c:v>43516</c:v>
                </c:pt>
                <c:pt idx="98">
                  <c:v>43517</c:v>
                </c:pt>
                <c:pt idx="99">
                  <c:v>43518</c:v>
                </c:pt>
                <c:pt idx="100">
                  <c:v>43519</c:v>
                </c:pt>
                <c:pt idx="101">
                  <c:v>43520</c:v>
                </c:pt>
                <c:pt idx="102">
                  <c:v>43521</c:v>
                </c:pt>
                <c:pt idx="103">
                  <c:v>43522</c:v>
                </c:pt>
                <c:pt idx="104">
                  <c:v>43523</c:v>
                </c:pt>
                <c:pt idx="105">
                  <c:v>43524</c:v>
                </c:pt>
                <c:pt idx="106">
                  <c:v>43525</c:v>
                </c:pt>
                <c:pt idx="107">
                  <c:v>43526</c:v>
                </c:pt>
                <c:pt idx="108">
                  <c:v>43527</c:v>
                </c:pt>
                <c:pt idx="109">
                  <c:v>43528</c:v>
                </c:pt>
                <c:pt idx="110">
                  <c:v>43529</c:v>
                </c:pt>
                <c:pt idx="111">
                  <c:v>43530</c:v>
                </c:pt>
                <c:pt idx="112">
                  <c:v>43531</c:v>
                </c:pt>
                <c:pt idx="113">
                  <c:v>43532</c:v>
                </c:pt>
                <c:pt idx="114">
                  <c:v>43533</c:v>
                </c:pt>
                <c:pt idx="115">
                  <c:v>43534</c:v>
                </c:pt>
                <c:pt idx="116">
                  <c:v>43535</c:v>
                </c:pt>
                <c:pt idx="117">
                  <c:v>43536</c:v>
                </c:pt>
                <c:pt idx="118">
                  <c:v>43537</c:v>
                </c:pt>
                <c:pt idx="119">
                  <c:v>43538</c:v>
                </c:pt>
                <c:pt idx="120">
                  <c:v>43539</c:v>
                </c:pt>
                <c:pt idx="121">
                  <c:v>43540</c:v>
                </c:pt>
                <c:pt idx="122">
                  <c:v>43541</c:v>
                </c:pt>
                <c:pt idx="123" formatCode="0.00">
                  <c:v>43541</c:v>
                </c:pt>
              </c:numCache>
            </c:numRef>
          </c:cat>
          <c:val>
            <c:numRef>
              <c:f>'Form Tracker'!$C$11:$FN$11</c:f>
              <c:numCache>
                <c:formatCode>0</c:formatCode>
                <c:ptCount val="168"/>
                <c:pt idx="0">
                  <c:v>10.725001854019354</c:v>
                </c:pt>
                <c:pt idx="1">
                  <c:v>0.33292272226994157</c:v>
                </c:pt>
                <c:pt idx="2">
                  <c:v>11.81576916282792</c:v>
                </c:pt>
                <c:pt idx="3">
                  <c:v>-0.81288877759138245</c:v>
                </c:pt>
                <c:pt idx="4">
                  <c:v>14.115992804367778</c:v>
                </c:pt>
                <c:pt idx="5">
                  <c:v>5.1926055035805945</c:v>
                </c:pt>
                <c:pt idx="6">
                  <c:v>-6.7976285674331507</c:v>
                </c:pt>
                <c:pt idx="7">
                  <c:v>11.881745674238275</c:v>
                </c:pt>
                <c:pt idx="8">
                  <c:v>1.4896665424888624</c:v>
                </c:pt>
                <c:pt idx="9">
                  <c:v>9.2481198037408632</c:v>
                </c:pt>
                <c:pt idx="10">
                  <c:v>-2.7053681227423283</c:v>
                </c:pt>
                <c:pt idx="11">
                  <c:v>12.817026747075303</c:v>
                </c:pt>
                <c:pt idx="12">
                  <c:v>3.8936394462881196</c:v>
                </c:pt>
                <c:pt idx="13">
                  <c:v>-1.8223112959364585</c:v>
                </c:pt>
                <c:pt idx="14">
                  <c:v>0.14033609842897476</c:v>
                </c:pt>
                <c:pt idx="15">
                  <c:v>0.14033609842897476</c:v>
                </c:pt>
                <c:pt idx="16">
                  <c:v>-3.1185079334637749</c:v>
                </c:pt>
                <c:pt idx="17">
                  <c:v>-4.3055345091806601</c:v>
                </c:pt>
                <c:pt idx="18">
                  <c:v>-4.3055345091806601</c:v>
                </c:pt>
                <c:pt idx="19">
                  <c:v>-4.7710836565938735</c:v>
                </c:pt>
                <c:pt idx="20">
                  <c:v>-5.9581102323107871</c:v>
                </c:pt>
                <c:pt idx="21">
                  <c:v>-3.1939222285368771</c:v>
                </c:pt>
                <c:pt idx="22">
                  <c:v>-3.1939222285368487</c:v>
                </c:pt>
                <c:pt idx="23">
                  <c:v>-3.659471375950119</c:v>
                </c:pt>
                <c:pt idx="24">
                  <c:v>-4.2529846638085758</c:v>
                </c:pt>
                <c:pt idx="25">
                  <c:v>-4.2529846638085473</c:v>
                </c:pt>
                <c:pt idx="26">
                  <c:v>-6.8672273585568746</c:v>
                </c:pt>
                <c:pt idx="27">
                  <c:v>-8.6477672221321882</c:v>
                </c:pt>
                <c:pt idx="28">
                  <c:v>-5.0223545457060936</c:v>
                </c:pt>
                <c:pt idx="29">
                  <c:v>-5.0223545457061221</c:v>
                </c:pt>
                <c:pt idx="30">
                  <c:v>-4.5568053982928802</c:v>
                </c:pt>
                <c:pt idx="31">
                  <c:v>-5.1503186861512802</c:v>
                </c:pt>
                <c:pt idx="32">
                  <c:v>-5.1503186861512802</c:v>
                </c:pt>
                <c:pt idx="33">
                  <c:v>-8.2301105283128777</c:v>
                </c:pt>
                <c:pt idx="34">
                  <c:v>-10.010650391888163</c:v>
                </c:pt>
                <c:pt idx="35">
                  <c:v>-5.4400027337790107</c:v>
                </c:pt>
                <c:pt idx="36">
                  <c:v>-5.4400027337790107</c:v>
                </c:pt>
                <c:pt idx="37">
                  <c:v>-7.3021993234320348</c:v>
                </c:pt>
                <c:pt idx="38">
                  <c:v>-8.4892258991488916</c:v>
                </c:pt>
                <c:pt idx="39">
                  <c:v>-8.4892258991488916</c:v>
                </c:pt>
                <c:pt idx="40">
                  <c:v>-23.461199703793824</c:v>
                </c:pt>
                <c:pt idx="41">
                  <c:v>-10.648877549141275</c:v>
                </c:pt>
                <c:pt idx="42">
                  <c:v>-11.371948522417654</c:v>
                </c:pt>
                <c:pt idx="43">
                  <c:v>-11.371948522417682</c:v>
                </c:pt>
                <c:pt idx="44">
                  <c:v>-9.5097519327647149</c:v>
                </c:pt>
                <c:pt idx="45">
                  <c:v>-4.0048188898833814</c:v>
                </c:pt>
                <c:pt idx="46">
                  <c:v>-4.0048188898834098</c:v>
                </c:pt>
                <c:pt idx="47">
                  <c:v>-1.6770731528171723</c:v>
                </c:pt>
                <c:pt idx="48">
                  <c:v>1.8840065743334549</c:v>
                </c:pt>
                <c:pt idx="49">
                  <c:v>-2.9473499995845884</c:v>
                </c:pt>
                <c:pt idx="50">
                  <c:v>0.77704317972140302</c:v>
                </c:pt>
                <c:pt idx="51">
                  <c:v>4.5014363590273661</c:v>
                </c:pt>
                <c:pt idx="52">
                  <c:v>12.380422553342427</c:v>
                </c:pt>
                <c:pt idx="53">
                  <c:v>12.380422553342427</c:v>
                </c:pt>
                <c:pt idx="54">
                  <c:v>29.680142095053611</c:v>
                </c:pt>
                <c:pt idx="55">
                  <c:v>22.209439531126989</c:v>
                </c:pt>
                <c:pt idx="56">
                  <c:v>24.006793740683094</c:v>
                </c:pt>
                <c:pt idx="57">
                  <c:v>27.731186919989085</c:v>
                </c:pt>
                <c:pt idx="58">
                  <c:v>29.127834362228839</c:v>
                </c:pt>
                <c:pt idx="59">
                  <c:v>38.624046967963835</c:v>
                </c:pt>
                <c:pt idx="60">
                  <c:v>38.782579785200724</c:v>
                </c:pt>
                <c:pt idx="61">
                  <c:v>-5.0842736228737238</c:v>
                </c:pt>
                <c:pt idx="62">
                  <c:v>10.347071861445642</c:v>
                </c:pt>
                <c:pt idx="63">
                  <c:v>-8.0808236997311695</c:v>
                </c:pt>
                <c:pt idx="64">
                  <c:v>-0.16844964574438848</c:v>
                </c:pt>
                <c:pt idx="65">
                  <c:v>4.9525909758013427</c:v>
                </c:pt>
                <c:pt idx="66">
                  <c:v>12.668263717961025</c:v>
                </c:pt>
                <c:pt idx="67">
                  <c:v>16.392656897267003</c:v>
                </c:pt>
                <c:pt idx="68">
                  <c:v>27.581575172760751</c:v>
                </c:pt>
                <c:pt idx="69">
                  <c:v>34.703734627061991</c:v>
                </c:pt>
                <c:pt idx="70">
                  <c:v>36.385417230897701</c:v>
                </c:pt>
                <c:pt idx="71">
                  <c:v>27.085905936989846</c:v>
                </c:pt>
                <c:pt idx="72">
                  <c:v>14.063962915814415</c:v>
                </c:pt>
                <c:pt idx="73">
                  <c:v>3.9742370222210042</c:v>
                </c:pt>
                <c:pt idx="74">
                  <c:v>-2.5496285093033038</c:v>
                </c:pt>
                <c:pt idx="75">
                  <c:v>36.225356121196711</c:v>
                </c:pt>
                <c:pt idx="76">
                  <c:v>19.01347077330206</c:v>
                </c:pt>
                <c:pt idx="77">
                  <c:v>7.9363503055014064</c:v>
                </c:pt>
                <c:pt idx="78">
                  <c:v>-3.7004169277913661</c:v>
                </c:pt>
                <c:pt idx="79">
                  <c:v>-6.4937118122708597</c:v>
                </c:pt>
                <c:pt idx="80">
                  <c:v>-15.404268850556093</c:v>
                </c:pt>
                <c:pt idx="81">
                  <c:v>-19.128662029862113</c:v>
                </c:pt>
                <c:pt idx="82">
                  <c:v>-30.231142944359704</c:v>
                </c:pt>
                <c:pt idx="83">
                  <c:v>-37.946815686519358</c:v>
                </c:pt>
                <c:pt idx="84">
                  <c:v>-32.700991346541258</c:v>
                </c:pt>
                <c:pt idx="85">
                  <c:v>-27.125873231939352</c:v>
                </c:pt>
                <c:pt idx="86">
                  <c:v>-12.707282768524209</c:v>
                </c:pt>
                <c:pt idx="87">
                  <c:v>-12.566074898039915</c:v>
                </c:pt>
                <c:pt idx="88">
                  <c:v>-6.2007421837524674</c:v>
                </c:pt>
                <c:pt idx="89">
                  <c:v>-0.68485103821384996</c:v>
                </c:pt>
                <c:pt idx="90">
                  <c:v>1.6892021132199062</c:v>
                </c:pt>
                <c:pt idx="91">
                  <c:v>9.5100719253742483</c:v>
                </c:pt>
                <c:pt idx="92">
                  <c:v>9.5100719253742483</c:v>
                </c:pt>
                <c:pt idx="93">
                  <c:v>4.8545804512417732</c:v>
                </c:pt>
                <c:pt idx="94">
                  <c:v>2.1107476582893838</c:v>
                </c:pt>
                <c:pt idx="95">
                  <c:v>2.1107476582893838</c:v>
                </c:pt>
                <c:pt idx="96">
                  <c:v>-5.5123102551353043</c:v>
                </c:pt>
                <c:pt idx="97">
                  <c:v>-10.853929845861217</c:v>
                </c:pt>
                <c:pt idx="98">
                  <c:v>-22.474078538314586</c:v>
                </c:pt>
                <c:pt idx="99">
                  <c:v>-18.749685359008595</c:v>
                </c:pt>
                <c:pt idx="100">
                  <c:v>-18.749685359008595</c:v>
                </c:pt>
                <c:pt idx="101">
                  <c:v>-14.803262082791079</c:v>
                </c:pt>
                <c:pt idx="102">
                  <c:v>-13.872163787964581</c:v>
                </c:pt>
                <c:pt idx="103">
                  <c:v>-8.1113024641928888</c:v>
                </c:pt>
                <c:pt idx="104">
                  <c:v>-2.7696828734669623</c:v>
                </c:pt>
                <c:pt idx="105">
                  <c:v>8.7582707747101267</c:v>
                </c:pt>
                <c:pt idx="106">
                  <c:v>12.482663954016118</c:v>
                </c:pt>
                <c:pt idx="107">
                  <c:v>17.138155428148607</c:v>
                </c:pt>
                <c:pt idx="108">
                  <c:v>22.790450512494644</c:v>
                </c:pt>
                <c:pt idx="109">
                  <c:v>23.721548807321128</c:v>
                </c:pt>
                <c:pt idx="110">
                  <c:v>36.511954756659023</c:v>
                </c:pt>
                <c:pt idx="111">
                  <c:v>46.008167362393991</c:v>
                </c:pt>
                <c:pt idx="112">
                  <c:v>29.823042655443174</c:v>
                </c:pt>
                <c:pt idx="113">
                  <c:v>32.614376087884224</c:v>
                </c:pt>
                <c:pt idx="114">
                  <c:v>30.286630350817987</c:v>
                </c:pt>
                <c:pt idx="115">
                  <c:v>36.288725097709573</c:v>
                </c:pt>
                <c:pt idx="116">
                  <c:v>32.555553270092219</c:v>
                </c:pt>
                <c:pt idx="117">
                  <c:v>17.469177098410114</c:v>
                </c:pt>
                <c:pt idx="118">
                  <c:v>16.987396642572961</c:v>
                </c:pt>
                <c:pt idx="119">
                  <c:v>15.280163761010087</c:v>
                </c:pt>
                <c:pt idx="120">
                  <c:v>15.280163761010087</c:v>
                </c:pt>
                <c:pt idx="121">
                  <c:v>8.29692654981136</c:v>
                </c:pt>
                <c:pt idx="122">
                  <c:v>7.3329755972913375</c:v>
                </c:pt>
                <c:pt idx="123">
                  <c:v>7.3329755972913233</c:v>
                </c:pt>
                <c:pt idx="124">
                  <c:v>5.5524357337160239</c:v>
                </c:pt>
                <c:pt idx="125">
                  <c:v>2.5848692944238394</c:v>
                </c:pt>
                <c:pt idx="126">
                  <c:v>5.1689929166881541</c:v>
                </c:pt>
                <c:pt idx="127">
                  <c:v>3.3239878388222763</c:v>
                </c:pt>
                <c:pt idx="128">
                  <c:v>-1.7311347942215605</c:v>
                </c:pt>
                <c:pt idx="129">
                  <c:v>-3.5933313838745704</c:v>
                </c:pt>
                <c:pt idx="130">
                  <c:v>0.13984044374281268</c:v>
                </c:pt>
                <c:pt idx="131">
                  <c:v>-14.774629189521832</c:v>
                </c:pt>
                <c:pt idx="132">
                  <c:v>-4.7966361279497107</c:v>
                </c:pt>
                <c:pt idx="133">
                  <c:v>-27.305572517185709</c:v>
                </c:pt>
                <c:pt idx="134">
                  <c:v>-19.393198463198914</c:v>
                </c:pt>
                <c:pt idx="135">
                  <c:v>-9.6166663675207076</c:v>
                </c:pt>
                <c:pt idx="136">
                  <c:v>-2.6506206681090987</c:v>
                </c:pt>
                <c:pt idx="137">
                  <c:v>0.1426742163703949</c:v>
                </c:pt>
                <c:pt idx="138">
                  <c:v>7.8583469585300634</c:v>
                </c:pt>
                <c:pt idx="139">
                  <c:v>20.32212600355723</c:v>
                </c:pt>
                <c:pt idx="140">
                  <c:v>7.7468930240118397</c:v>
                </c:pt>
                <c:pt idx="141">
                  <c:v>14.712938723423463</c:v>
                </c:pt>
                <c:pt idx="142">
                  <c:v>24.889101978013031</c:v>
                </c:pt>
                <c:pt idx="143">
                  <c:v>26.751298567666019</c:v>
                </c:pt>
                <c:pt idx="144">
                  <c:v>29.544593452145506</c:v>
                </c:pt>
                <c:pt idx="145">
                  <c:v>65.480572135676582</c:v>
                </c:pt>
                <c:pt idx="146">
                  <c:v>65.480572135676582</c:v>
                </c:pt>
                <c:pt idx="147">
                  <c:v>52.905339156131177</c:v>
                </c:pt>
                <c:pt idx="148">
                  <c:v>52.905339156131177</c:v>
                </c:pt>
                <c:pt idx="149">
                  <c:v>52.905339156131177</c:v>
                </c:pt>
                <c:pt idx="150">
                  <c:v>52.905339156131177</c:v>
                </c:pt>
                <c:pt idx="151">
                  <c:v>52.905339156131177</c:v>
                </c:pt>
                <c:pt idx="152">
                  <c:v>52.905339156131177</c:v>
                </c:pt>
                <c:pt idx="153">
                  <c:v>52.905339156131177</c:v>
                </c:pt>
                <c:pt idx="154">
                  <c:v>36.051557505629056</c:v>
                </c:pt>
                <c:pt idx="155">
                  <c:v>36.051557505629056</c:v>
                </c:pt>
                <c:pt idx="156">
                  <c:v>36.051557505629056</c:v>
                </c:pt>
                <c:pt idx="157">
                  <c:v>36.051557505629056</c:v>
                </c:pt>
                <c:pt idx="158">
                  <c:v>36.051557505629056</c:v>
                </c:pt>
                <c:pt idx="159">
                  <c:v>36.051557505629056</c:v>
                </c:pt>
                <c:pt idx="160">
                  <c:v>36.051557505629056</c:v>
                </c:pt>
                <c:pt idx="161">
                  <c:v>19.244559703888243</c:v>
                </c:pt>
                <c:pt idx="162">
                  <c:v>19.244559703888243</c:v>
                </c:pt>
                <c:pt idx="163">
                  <c:v>19.244559703888243</c:v>
                </c:pt>
                <c:pt idx="164">
                  <c:v>19.244559703888243</c:v>
                </c:pt>
                <c:pt idx="165">
                  <c:v>19.244559703888243</c:v>
                </c:pt>
                <c:pt idx="166">
                  <c:v>19.244559703888243</c:v>
                </c:pt>
                <c:pt idx="167">
                  <c:v>19.244559703888243</c:v>
                </c:pt>
              </c:numCache>
            </c:numRef>
          </c:val>
          <c:smooth val="0"/>
          <c:extLst>
            <c:ext xmlns:c16="http://schemas.microsoft.com/office/drawing/2014/chart" uri="{C3380CC4-5D6E-409C-BE32-E72D297353CC}">
              <c16:uniqueId val="{00000002-C559-4A23-890B-F955BEDFCF3C}"/>
            </c:ext>
          </c:extLst>
        </c:ser>
        <c:dLbls>
          <c:showLegendKey val="0"/>
          <c:showVal val="0"/>
          <c:showCatName val="0"/>
          <c:showSerName val="0"/>
          <c:showPercent val="0"/>
          <c:showBubbleSize val="0"/>
        </c:dLbls>
        <c:marker val="1"/>
        <c:smooth val="0"/>
        <c:axId val="113487360"/>
        <c:axId val="115942528"/>
      </c:lineChart>
      <c:scatterChart>
        <c:scatterStyle val="lineMarker"/>
        <c:varyColors val="0"/>
        <c:ser>
          <c:idx val="0"/>
          <c:order val="0"/>
          <c:tx>
            <c:strRef>
              <c:f>'Form Tracker'!$B$4</c:f>
              <c:strCache>
                <c:ptCount val="1"/>
                <c:pt idx="0">
                  <c:v>Morning</c:v>
                </c:pt>
              </c:strCache>
            </c:strRef>
          </c:tx>
          <c:spPr>
            <a:ln w="28575" cap="rnd" cmpd="sng" algn="ctr">
              <a:noFill/>
              <a:prstDash val="solid"/>
              <a:round/>
            </a:ln>
            <a:effectLst/>
          </c:spPr>
          <c:marker>
            <c:symbol val="circle"/>
            <c:size val="5"/>
            <c:spPr>
              <a:solidFill>
                <a:schemeClr val="accent2"/>
              </a:solidFill>
              <a:ln w="9525" cap="flat" cmpd="sng" algn="ctr">
                <a:solidFill>
                  <a:schemeClr val="accent2"/>
                </a:solidFill>
                <a:prstDash val="solid"/>
                <a:round/>
              </a:ln>
              <a:effectLst/>
            </c:spPr>
          </c:marker>
          <c:xVal>
            <c:numRef>
              <c:f>'Form Tracker'!$C$1:$FN$1</c:f>
              <c:numCache>
                <c:formatCode>m/d/yyyy</c:formatCode>
                <c:ptCount val="168"/>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numCache>
            </c:numRef>
          </c:xVal>
          <c:yVal>
            <c:numRef>
              <c:f>'Form Tracker'!$C$4:$FN$4</c:f>
              <c:numCache>
                <c:formatCode>0</c:formatCode>
                <c:ptCount val="168"/>
                <c:pt idx="0">
                  <c:v>52.141504510283774</c:v>
                </c:pt>
                <c:pt idx="1">
                  <c:v>52.141504510283774</c:v>
                </c:pt>
                <c:pt idx="2">
                  <c:v>0</c:v>
                </c:pt>
                <c:pt idx="3">
                  <c:v>52.141504510283774</c:v>
                </c:pt>
                <c:pt idx="4">
                  <c:v>52.141504510283774</c:v>
                </c:pt>
                <c:pt idx="5">
                  <c:v>80.939329747723065</c:v>
                </c:pt>
                <c:pt idx="6">
                  <c:v>224.34802281048886</c:v>
                </c:pt>
                <c:pt idx="7">
                  <c:v>52.141504510283774</c:v>
                </c:pt>
                <c:pt idx="8">
                  <c:v>52.141504510283774</c:v>
                </c:pt>
                <c:pt idx="9">
                  <c:v>0</c:v>
                </c:pt>
                <c:pt idx="10">
                  <c:v>52.141504510283774</c:v>
                </c:pt>
                <c:pt idx="11">
                  <c:v>52.141504510283774</c:v>
                </c:pt>
                <c:pt idx="12">
                  <c:v>80.939329747723065</c:v>
                </c:pt>
                <c:pt idx="13">
                  <c:v>232.65720884050694</c:v>
                </c:pt>
                <c:pt idx="14">
                  <c:v>52.141504510283774</c:v>
                </c:pt>
                <c:pt idx="15">
                  <c:v>52.141504510283774</c:v>
                </c:pt>
                <c:pt idx="16">
                  <c:v>0</c:v>
                </c:pt>
                <c:pt idx="17">
                  <c:v>52.141504510283774</c:v>
                </c:pt>
                <c:pt idx="18">
                  <c:v>52.141504510283774</c:v>
                </c:pt>
                <c:pt idx="19">
                  <c:v>80.939329747723065</c:v>
                </c:pt>
                <c:pt idx="20">
                  <c:v>240.96639487052505</c:v>
                </c:pt>
                <c:pt idx="21">
                  <c:v>52.141504510283774</c:v>
                </c:pt>
                <c:pt idx="22">
                  <c:v>52.141504510283774</c:v>
                </c:pt>
                <c:pt idx="23">
                  <c:v>0</c:v>
                </c:pt>
                <c:pt idx="24">
                  <c:v>52.141504510283774</c:v>
                </c:pt>
                <c:pt idx="25">
                  <c:v>52.141504510283774</c:v>
                </c:pt>
                <c:pt idx="26">
                  <c:v>111.02103941041415</c:v>
                </c:pt>
                <c:pt idx="27">
                  <c:v>257.58476693056127</c:v>
                </c:pt>
                <c:pt idx="28">
                  <c:v>52.141504510283774</c:v>
                </c:pt>
                <c:pt idx="29">
                  <c:v>52.141504510283774</c:v>
                </c:pt>
                <c:pt idx="30">
                  <c:v>0</c:v>
                </c:pt>
                <c:pt idx="31">
                  <c:v>52.141504510283774</c:v>
                </c:pt>
                <c:pt idx="32">
                  <c:v>52.141504510283774</c:v>
                </c:pt>
                <c:pt idx="33">
                  <c:v>117.53872747419962</c:v>
                </c:pt>
                <c:pt idx="34">
                  <c:v>265.89395296057938</c:v>
                </c:pt>
                <c:pt idx="35">
                  <c:v>52.141504510283774</c:v>
                </c:pt>
                <c:pt idx="36">
                  <c:v>52.141504510283774</c:v>
                </c:pt>
                <c:pt idx="37">
                  <c:v>0</c:v>
                </c:pt>
                <c:pt idx="38">
                  <c:v>52.141504510283774</c:v>
                </c:pt>
                <c:pt idx="39">
                  <c:v>52.141504510283774</c:v>
                </c:pt>
                <c:pt idx="40">
                  <c:v>398.84092944086905</c:v>
                </c:pt>
                <c:pt idx="41">
                  <c:v>78.212256765425664</c:v>
                </c:pt>
                <c:pt idx="42">
                  <c:v>52.141504510283774</c:v>
                </c:pt>
                <c:pt idx="43">
                  <c:v>52.141504510283774</c:v>
                </c:pt>
                <c:pt idx="44">
                  <c:v>0</c:v>
                </c:pt>
                <c:pt idx="45">
                  <c:v>0</c:v>
                </c:pt>
                <c:pt idx="46">
                  <c:v>52.141504510283774</c:v>
                </c:pt>
                <c:pt idx="47">
                  <c:v>104.50335134662868</c:v>
                </c:pt>
                <c:pt idx="48">
                  <c:v>216.03883678047075</c:v>
                </c:pt>
                <c:pt idx="49">
                  <c:v>52.141504510283774</c:v>
                </c:pt>
                <c:pt idx="50">
                  <c:v>0</c:v>
                </c:pt>
                <c:pt idx="51">
                  <c:v>0</c:v>
                </c:pt>
                <c:pt idx="52">
                  <c:v>0</c:v>
                </c:pt>
                <c:pt idx="53">
                  <c:v>52.141504510283774</c:v>
                </c:pt>
                <c:pt idx="54">
                  <c:v>97.985663282843205</c:v>
                </c:pt>
                <c:pt idx="55">
                  <c:v>182.80209266039833</c:v>
                </c:pt>
                <c:pt idx="56">
                  <c:v>52.141504510283774</c:v>
                </c:pt>
                <c:pt idx="57">
                  <c:v>0</c:v>
                </c:pt>
                <c:pt idx="58">
                  <c:v>0</c:v>
                </c:pt>
                <c:pt idx="59">
                  <c:v>0</c:v>
                </c:pt>
                <c:pt idx="60">
                  <c:v>49.922045068967208</c:v>
                </c:pt>
                <c:pt idx="61">
                  <c:v>783.81617969752529</c:v>
                </c:pt>
                <c:pt idx="62">
                  <c:v>0</c:v>
                </c:pt>
                <c:pt idx="63">
                  <c:v>0</c:v>
                </c:pt>
                <c:pt idx="64">
                  <c:v>0</c:v>
                </c:pt>
                <c:pt idx="65">
                  <c:v>0</c:v>
                </c:pt>
                <c:pt idx="66">
                  <c:v>0</c:v>
                </c:pt>
                <c:pt idx="67">
                  <c:v>0</c:v>
                </c:pt>
                <c:pt idx="68">
                  <c:v>0</c:v>
                </c:pt>
                <c:pt idx="69">
                  <c:v>0</c:v>
                </c:pt>
                <c:pt idx="70">
                  <c:v>0</c:v>
                </c:pt>
                <c:pt idx="71">
                  <c:v>0</c:v>
                </c:pt>
                <c:pt idx="72">
                  <c:v>0</c:v>
                </c:pt>
                <c:pt idx="73">
                  <c:v>0</c:v>
                </c:pt>
                <c:pt idx="74">
                  <c:v>0</c:v>
                </c:pt>
                <c:pt idx="75">
                  <c:v>240.96639487052505</c:v>
                </c:pt>
                <c:pt idx="76">
                  <c:v>240.96639487052505</c:v>
                </c:pt>
                <c:pt idx="77">
                  <c:v>52.141504510283774</c:v>
                </c:pt>
                <c:pt idx="78">
                  <c:v>52.141504510283774</c:v>
                </c:pt>
                <c:pt idx="79">
                  <c:v>0</c:v>
                </c:pt>
                <c:pt idx="80">
                  <c:v>52.141504510283774</c:v>
                </c:pt>
                <c:pt idx="81">
                  <c:v>52.141504510283774</c:v>
                </c:pt>
                <c:pt idx="82">
                  <c:v>116.32860442025347</c:v>
                </c:pt>
                <c:pt idx="83">
                  <c:v>191.11127869041641</c:v>
                </c:pt>
                <c:pt idx="84">
                  <c:v>52.141504510283774</c:v>
                </c:pt>
                <c:pt idx="85">
                  <c:v>52.141504510283774</c:v>
                </c:pt>
                <c:pt idx="86">
                  <c:v>0</c:v>
                </c:pt>
                <c:pt idx="87">
                  <c:v>52.141504510283774</c:v>
                </c:pt>
                <c:pt idx="88">
                  <c:v>52.141504510283774</c:v>
                </c:pt>
                <c:pt idx="89">
                  <c:v>124.63779045027158</c:v>
                </c:pt>
                <c:pt idx="90">
                  <c:v>207.72965075045263</c:v>
                </c:pt>
                <c:pt idx="91">
                  <c:v>52.141504510283774</c:v>
                </c:pt>
                <c:pt idx="92">
                  <c:v>52.141504510283774</c:v>
                </c:pt>
                <c:pt idx="93">
                  <c:v>0</c:v>
                </c:pt>
                <c:pt idx="94">
                  <c:v>52.141504510283774</c:v>
                </c:pt>
                <c:pt idx="95">
                  <c:v>52.141504510283774</c:v>
                </c:pt>
                <c:pt idx="96">
                  <c:v>157.874534570344</c:v>
                </c:pt>
                <c:pt idx="97">
                  <c:v>265.89395296057938</c:v>
                </c:pt>
                <c:pt idx="98">
                  <c:v>39.106128382712832</c:v>
                </c:pt>
                <c:pt idx="99">
                  <c:v>0</c:v>
                </c:pt>
                <c:pt idx="100">
                  <c:v>0</c:v>
                </c:pt>
                <c:pt idx="101">
                  <c:v>0</c:v>
                </c:pt>
                <c:pt idx="102">
                  <c:v>39.106128382712832</c:v>
                </c:pt>
                <c:pt idx="103">
                  <c:v>83.091860300181054</c:v>
                </c:pt>
                <c:pt idx="104">
                  <c:v>132.94697648028969</c:v>
                </c:pt>
                <c:pt idx="105">
                  <c:v>39.106128382712832</c:v>
                </c:pt>
                <c:pt idx="106">
                  <c:v>0</c:v>
                </c:pt>
                <c:pt idx="107">
                  <c:v>0</c:v>
                </c:pt>
                <c:pt idx="108">
                  <c:v>0</c:v>
                </c:pt>
                <c:pt idx="109">
                  <c:v>39.106128382712832</c:v>
                </c:pt>
                <c:pt idx="110">
                  <c:v>83.091860300181054</c:v>
                </c:pt>
                <c:pt idx="111">
                  <c:v>132.94697648028969</c:v>
                </c:pt>
                <c:pt idx="112">
                  <c:v>39.106128382712832</c:v>
                </c:pt>
                <c:pt idx="113">
                  <c:v>0</c:v>
                </c:pt>
                <c:pt idx="114">
                  <c:v>0</c:v>
                </c:pt>
                <c:pt idx="115">
                  <c:v>0</c:v>
                </c:pt>
                <c:pt idx="116">
                  <c:v>0</c:v>
                </c:pt>
                <c:pt idx="117">
                  <c:v>294.30112670373012</c:v>
                </c:pt>
                <c:pt idx="118">
                  <c:v>139.69190286200978</c:v>
                </c:pt>
                <c:pt idx="119">
                  <c:v>39.106128382712832</c:v>
                </c:pt>
                <c:pt idx="120">
                  <c:v>0</c:v>
                </c:pt>
                <c:pt idx="121">
                  <c:v>0</c:v>
                </c:pt>
                <c:pt idx="122">
                  <c:v>0</c:v>
                </c:pt>
                <c:pt idx="123">
                  <c:v>39.106128382712832</c:v>
                </c:pt>
                <c:pt idx="124">
                  <c:v>108.01941839023537</c:v>
                </c:pt>
                <c:pt idx="125">
                  <c:v>174.49290663038022</c:v>
                </c:pt>
                <c:pt idx="126">
                  <c:v>0</c:v>
                </c:pt>
                <c:pt idx="127">
                  <c:v>0</c:v>
                </c:pt>
                <c:pt idx="128">
                  <c:v>0</c:v>
                </c:pt>
                <c:pt idx="129">
                  <c:v>26.070752255141887</c:v>
                </c:pt>
                <c:pt idx="130">
                  <c:v>39.106128382712832</c:v>
                </c:pt>
                <c:pt idx="131">
                  <c:v>503.10370156943486</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yVal>
          <c:smooth val="0"/>
          <c:extLst>
            <c:ext xmlns:c16="http://schemas.microsoft.com/office/drawing/2014/chart" uri="{C3380CC4-5D6E-409C-BE32-E72D297353CC}">
              <c16:uniqueId val="{00000003-C559-4A23-890B-F955BEDFCF3C}"/>
            </c:ext>
          </c:extLst>
        </c:ser>
        <c:ser>
          <c:idx val="1"/>
          <c:order val="1"/>
          <c:tx>
            <c:strRef>
              <c:f>'Form Tracker'!$B$5</c:f>
              <c:strCache>
                <c:ptCount val="1"/>
                <c:pt idx="0">
                  <c:v>Afternoon</c:v>
                </c:pt>
              </c:strCache>
            </c:strRef>
          </c:tx>
          <c:spPr>
            <a:ln w="28575" cap="rnd" cmpd="sng" algn="ctr">
              <a:noFill/>
              <a:prstDash val="solid"/>
              <a:round/>
            </a:ln>
            <a:effectLst/>
          </c:spPr>
          <c:marker>
            <c:symbol val="circle"/>
            <c:size val="5"/>
            <c:spPr>
              <a:solidFill>
                <a:schemeClr val="accent2"/>
              </a:solidFill>
              <a:ln w="9525" cap="flat" cmpd="sng" algn="ctr">
                <a:solidFill>
                  <a:schemeClr val="accent2">
                    <a:shade val="95000"/>
                    <a:satMod val="105000"/>
                  </a:schemeClr>
                </a:solidFill>
                <a:prstDash val="solid"/>
                <a:round/>
              </a:ln>
              <a:effectLst/>
            </c:spPr>
          </c:marker>
          <c:xVal>
            <c:numRef>
              <c:f>'Form Tracker'!$C$1:$FN$1</c:f>
              <c:numCache>
                <c:formatCode>m/d/yyyy</c:formatCode>
                <c:ptCount val="168"/>
                <c:pt idx="0">
                  <c:v>43374</c:v>
                </c:pt>
                <c:pt idx="1">
                  <c:v>43375</c:v>
                </c:pt>
                <c:pt idx="2">
                  <c:v>43376</c:v>
                </c:pt>
                <c:pt idx="3">
                  <c:v>43377</c:v>
                </c:pt>
                <c:pt idx="4">
                  <c:v>43378</c:v>
                </c:pt>
                <c:pt idx="5">
                  <c:v>43379</c:v>
                </c:pt>
                <c:pt idx="6">
                  <c:v>43380</c:v>
                </c:pt>
                <c:pt idx="7">
                  <c:v>43381</c:v>
                </c:pt>
                <c:pt idx="8">
                  <c:v>43382</c:v>
                </c:pt>
                <c:pt idx="9">
                  <c:v>43383</c:v>
                </c:pt>
                <c:pt idx="10">
                  <c:v>43384</c:v>
                </c:pt>
                <c:pt idx="11">
                  <c:v>43385</c:v>
                </c:pt>
                <c:pt idx="12">
                  <c:v>43386</c:v>
                </c:pt>
                <c:pt idx="13">
                  <c:v>43387</c:v>
                </c:pt>
                <c:pt idx="14">
                  <c:v>43388</c:v>
                </c:pt>
                <c:pt idx="15">
                  <c:v>43389</c:v>
                </c:pt>
                <c:pt idx="16">
                  <c:v>43390</c:v>
                </c:pt>
                <c:pt idx="17">
                  <c:v>43391</c:v>
                </c:pt>
                <c:pt idx="18">
                  <c:v>43392</c:v>
                </c:pt>
                <c:pt idx="19">
                  <c:v>43393</c:v>
                </c:pt>
                <c:pt idx="20">
                  <c:v>43394</c:v>
                </c:pt>
                <c:pt idx="21">
                  <c:v>43395</c:v>
                </c:pt>
                <c:pt idx="22">
                  <c:v>43396</c:v>
                </c:pt>
                <c:pt idx="23">
                  <c:v>43397</c:v>
                </c:pt>
                <c:pt idx="24">
                  <c:v>43398</c:v>
                </c:pt>
                <c:pt idx="25">
                  <c:v>43399</c:v>
                </c:pt>
                <c:pt idx="26">
                  <c:v>43400</c:v>
                </c:pt>
                <c:pt idx="27">
                  <c:v>43401</c:v>
                </c:pt>
                <c:pt idx="28">
                  <c:v>43402</c:v>
                </c:pt>
                <c:pt idx="29">
                  <c:v>43403</c:v>
                </c:pt>
                <c:pt idx="30">
                  <c:v>43404</c:v>
                </c:pt>
                <c:pt idx="31">
                  <c:v>43405</c:v>
                </c:pt>
                <c:pt idx="32">
                  <c:v>43406</c:v>
                </c:pt>
                <c:pt idx="33">
                  <c:v>43407</c:v>
                </c:pt>
                <c:pt idx="34">
                  <c:v>43408</c:v>
                </c:pt>
                <c:pt idx="35">
                  <c:v>43409</c:v>
                </c:pt>
                <c:pt idx="36">
                  <c:v>43410</c:v>
                </c:pt>
                <c:pt idx="37">
                  <c:v>43411</c:v>
                </c:pt>
                <c:pt idx="38">
                  <c:v>43412</c:v>
                </c:pt>
                <c:pt idx="39">
                  <c:v>43413</c:v>
                </c:pt>
                <c:pt idx="40">
                  <c:v>43414</c:v>
                </c:pt>
                <c:pt idx="41">
                  <c:v>43415</c:v>
                </c:pt>
                <c:pt idx="42">
                  <c:v>43416</c:v>
                </c:pt>
                <c:pt idx="43">
                  <c:v>43417</c:v>
                </c:pt>
                <c:pt idx="44">
                  <c:v>43418</c:v>
                </c:pt>
                <c:pt idx="45">
                  <c:v>43419</c:v>
                </c:pt>
                <c:pt idx="46">
                  <c:v>43420</c:v>
                </c:pt>
                <c:pt idx="47">
                  <c:v>43421</c:v>
                </c:pt>
                <c:pt idx="48">
                  <c:v>43422</c:v>
                </c:pt>
                <c:pt idx="49">
                  <c:v>43423</c:v>
                </c:pt>
                <c:pt idx="50">
                  <c:v>43424</c:v>
                </c:pt>
                <c:pt idx="51">
                  <c:v>43425</c:v>
                </c:pt>
                <c:pt idx="52">
                  <c:v>43426</c:v>
                </c:pt>
                <c:pt idx="53">
                  <c:v>43427</c:v>
                </c:pt>
                <c:pt idx="54">
                  <c:v>43428</c:v>
                </c:pt>
                <c:pt idx="55">
                  <c:v>43429</c:v>
                </c:pt>
                <c:pt idx="56">
                  <c:v>43430</c:v>
                </c:pt>
                <c:pt idx="57">
                  <c:v>43431</c:v>
                </c:pt>
                <c:pt idx="58">
                  <c:v>43432</c:v>
                </c:pt>
                <c:pt idx="59">
                  <c:v>43433</c:v>
                </c:pt>
                <c:pt idx="60">
                  <c:v>43434</c:v>
                </c:pt>
                <c:pt idx="61">
                  <c:v>43435</c:v>
                </c:pt>
                <c:pt idx="62">
                  <c:v>43436</c:v>
                </c:pt>
                <c:pt idx="63">
                  <c:v>43437</c:v>
                </c:pt>
                <c:pt idx="64">
                  <c:v>43438</c:v>
                </c:pt>
                <c:pt idx="65">
                  <c:v>43439</c:v>
                </c:pt>
                <c:pt idx="66">
                  <c:v>43440</c:v>
                </c:pt>
                <c:pt idx="67">
                  <c:v>43441</c:v>
                </c:pt>
                <c:pt idx="68">
                  <c:v>43442</c:v>
                </c:pt>
                <c:pt idx="69">
                  <c:v>43443</c:v>
                </c:pt>
                <c:pt idx="70">
                  <c:v>43444</c:v>
                </c:pt>
                <c:pt idx="71">
                  <c:v>43445</c:v>
                </c:pt>
                <c:pt idx="72">
                  <c:v>43446</c:v>
                </c:pt>
                <c:pt idx="73">
                  <c:v>43447</c:v>
                </c:pt>
                <c:pt idx="74">
                  <c:v>43448</c:v>
                </c:pt>
                <c:pt idx="75">
                  <c:v>43449</c:v>
                </c:pt>
                <c:pt idx="76">
                  <c:v>43450</c:v>
                </c:pt>
                <c:pt idx="77">
                  <c:v>43451</c:v>
                </c:pt>
                <c:pt idx="78">
                  <c:v>43452</c:v>
                </c:pt>
                <c:pt idx="79">
                  <c:v>43453</c:v>
                </c:pt>
                <c:pt idx="80">
                  <c:v>43454</c:v>
                </c:pt>
                <c:pt idx="81">
                  <c:v>43455</c:v>
                </c:pt>
                <c:pt idx="82">
                  <c:v>43456</c:v>
                </c:pt>
                <c:pt idx="83">
                  <c:v>43457</c:v>
                </c:pt>
                <c:pt idx="84">
                  <c:v>43458</c:v>
                </c:pt>
                <c:pt idx="85">
                  <c:v>43459</c:v>
                </c:pt>
                <c:pt idx="86">
                  <c:v>43460</c:v>
                </c:pt>
                <c:pt idx="87">
                  <c:v>43461</c:v>
                </c:pt>
                <c:pt idx="88">
                  <c:v>43462</c:v>
                </c:pt>
                <c:pt idx="89">
                  <c:v>43463</c:v>
                </c:pt>
                <c:pt idx="90">
                  <c:v>43464</c:v>
                </c:pt>
                <c:pt idx="91">
                  <c:v>43465</c:v>
                </c:pt>
                <c:pt idx="92">
                  <c:v>43466</c:v>
                </c:pt>
                <c:pt idx="93">
                  <c:v>43467</c:v>
                </c:pt>
                <c:pt idx="94">
                  <c:v>43468</c:v>
                </c:pt>
                <c:pt idx="95">
                  <c:v>43469</c:v>
                </c:pt>
                <c:pt idx="96">
                  <c:v>43470</c:v>
                </c:pt>
                <c:pt idx="97">
                  <c:v>43471</c:v>
                </c:pt>
                <c:pt idx="98">
                  <c:v>43472</c:v>
                </c:pt>
                <c:pt idx="99">
                  <c:v>43473</c:v>
                </c:pt>
                <c:pt idx="100">
                  <c:v>43474</c:v>
                </c:pt>
                <c:pt idx="101">
                  <c:v>43475</c:v>
                </c:pt>
                <c:pt idx="102">
                  <c:v>43476</c:v>
                </c:pt>
                <c:pt idx="103">
                  <c:v>43477</c:v>
                </c:pt>
                <c:pt idx="104">
                  <c:v>43478</c:v>
                </c:pt>
                <c:pt idx="105">
                  <c:v>43479</c:v>
                </c:pt>
                <c:pt idx="106">
                  <c:v>43480</c:v>
                </c:pt>
                <c:pt idx="107">
                  <c:v>43481</c:v>
                </c:pt>
                <c:pt idx="108">
                  <c:v>43482</c:v>
                </c:pt>
                <c:pt idx="109">
                  <c:v>43483</c:v>
                </c:pt>
                <c:pt idx="110">
                  <c:v>43484</c:v>
                </c:pt>
                <c:pt idx="111">
                  <c:v>43485</c:v>
                </c:pt>
                <c:pt idx="112">
                  <c:v>43486</c:v>
                </c:pt>
                <c:pt idx="113">
                  <c:v>43487</c:v>
                </c:pt>
                <c:pt idx="114">
                  <c:v>43488</c:v>
                </c:pt>
                <c:pt idx="115">
                  <c:v>43489</c:v>
                </c:pt>
                <c:pt idx="116">
                  <c:v>43490</c:v>
                </c:pt>
                <c:pt idx="117">
                  <c:v>43491</c:v>
                </c:pt>
                <c:pt idx="118">
                  <c:v>43492</c:v>
                </c:pt>
                <c:pt idx="119">
                  <c:v>43493</c:v>
                </c:pt>
                <c:pt idx="120">
                  <c:v>43494</c:v>
                </c:pt>
                <c:pt idx="121">
                  <c:v>43495</c:v>
                </c:pt>
                <c:pt idx="122">
                  <c:v>43496</c:v>
                </c:pt>
                <c:pt idx="123">
                  <c:v>43497</c:v>
                </c:pt>
                <c:pt idx="124">
                  <c:v>43498</c:v>
                </c:pt>
                <c:pt idx="125">
                  <c:v>43499</c:v>
                </c:pt>
                <c:pt idx="126">
                  <c:v>43500</c:v>
                </c:pt>
                <c:pt idx="127">
                  <c:v>43501</c:v>
                </c:pt>
                <c:pt idx="128">
                  <c:v>43502</c:v>
                </c:pt>
                <c:pt idx="129">
                  <c:v>43503</c:v>
                </c:pt>
                <c:pt idx="130">
                  <c:v>43504</c:v>
                </c:pt>
                <c:pt idx="131">
                  <c:v>43505</c:v>
                </c:pt>
                <c:pt idx="132">
                  <c:v>43506</c:v>
                </c:pt>
                <c:pt idx="133">
                  <c:v>43507</c:v>
                </c:pt>
                <c:pt idx="134">
                  <c:v>43508</c:v>
                </c:pt>
                <c:pt idx="135">
                  <c:v>43509</c:v>
                </c:pt>
                <c:pt idx="136">
                  <c:v>43510</c:v>
                </c:pt>
                <c:pt idx="137">
                  <c:v>43511</c:v>
                </c:pt>
                <c:pt idx="138">
                  <c:v>43512</c:v>
                </c:pt>
                <c:pt idx="139">
                  <c:v>43513</c:v>
                </c:pt>
                <c:pt idx="140">
                  <c:v>43514</c:v>
                </c:pt>
                <c:pt idx="141">
                  <c:v>43515</c:v>
                </c:pt>
                <c:pt idx="142">
                  <c:v>43516</c:v>
                </c:pt>
                <c:pt idx="143">
                  <c:v>43517</c:v>
                </c:pt>
                <c:pt idx="144">
                  <c:v>43518</c:v>
                </c:pt>
                <c:pt idx="145">
                  <c:v>43519</c:v>
                </c:pt>
                <c:pt idx="146">
                  <c:v>43520</c:v>
                </c:pt>
                <c:pt idx="147">
                  <c:v>43521</c:v>
                </c:pt>
                <c:pt idx="148">
                  <c:v>43522</c:v>
                </c:pt>
                <c:pt idx="149">
                  <c:v>43523</c:v>
                </c:pt>
                <c:pt idx="150">
                  <c:v>43524</c:v>
                </c:pt>
                <c:pt idx="151">
                  <c:v>43525</c:v>
                </c:pt>
                <c:pt idx="152">
                  <c:v>43526</c:v>
                </c:pt>
                <c:pt idx="153">
                  <c:v>43527</c:v>
                </c:pt>
                <c:pt idx="154">
                  <c:v>43528</c:v>
                </c:pt>
                <c:pt idx="155">
                  <c:v>43529</c:v>
                </c:pt>
                <c:pt idx="156">
                  <c:v>43530</c:v>
                </c:pt>
                <c:pt idx="157">
                  <c:v>43531</c:v>
                </c:pt>
                <c:pt idx="158">
                  <c:v>43532</c:v>
                </c:pt>
                <c:pt idx="159">
                  <c:v>43533</c:v>
                </c:pt>
                <c:pt idx="160">
                  <c:v>43534</c:v>
                </c:pt>
                <c:pt idx="161">
                  <c:v>43535</c:v>
                </c:pt>
                <c:pt idx="162">
                  <c:v>43536</c:v>
                </c:pt>
                <c:pt idx="163">
                  <c:v>43537</c:v>
                </c:pt>
                <c:pt idx="164">
                  <c:v>43538</c:v>
                </c:pt>
                <c:pt idx="165">
                  <c:v>43539</c:v>
                </c:pt>
                <c:pt idx="166">
                  <c:v>43540</c:v>
                </c:pt>
                <c:pt idx="167">
                  <c:v>43541</c:v>
                </c:pt>
              </c:numCache>
            </c:numRef>
          </c:xVal>
          <c:yVal>
            <c:numRef>
              <c:f>'Form Tracker'!$C$5:$FN$5</c:f>
              <c:numCache>
                <c:formatCode>0</c:formatCode>
                <c:ptCount val="168"/>
                <c:pt idx="0">
                  <c:v>0</c:v>
                </c:pt>
                <c:pt idx="1">
                  <c:v>110.77323675581503</c:v>
                </c:pt>
                <c:pt idx="2">
                  <c:v>65.176880637854723</c:v>
                </c:pt>
                <c:pt idx="3">
                  <c:v>132.94697648028969</c:v>
                </c:pt>
                <c:pt idx="4">
                  <c:v>0</c:v>
                </c:pt>
                <c:pt idx="5">
                  <c:v>71.694568701640193</c:v>
                </c:pt>
                <c:pt idx="6">
                  <c:v>0</c:v>
                </c:pt>
                <c:pt idx="7">
                  <c:v>0</c:v>
                </c:pt>
                <c:pt idx="8">
                  <c:v>110.77323675581503</c:v>
                </c:pt>
                <c:pt idx="9">
                  <c:v>91.247632892996606</c:v>
                </c:pt>
                <c:pt idx="10">
                  <c:v>141.2561625103078</c:v>
                </c:pt>
                <c:pt idx="11">
                  <c:v>0</c:v>
                </c:pt>
                <c:pt idx="12">
                  <c:v>71.694568701640193</c:v>
                </c:pt>
                <c:pt idx="13">
                  <c:v>0</c:v>
                </c:pt>
                <c:pt idx="14">
                  <c:v>0</c:v>
                </c:pt>
                <c:pt idx="15">
                  <c:v>110.77323675581503</c:v>
                </c:pt>
                <c:pt idx="16">
                  <c:v>110.80069708435302</c:v>
                </c:pt>
                <c:pt idx="17">
                  <c:v>149.56534854032589</c:v>
                </c:pt>
                <c:pt idx="18">
                  <c:v>0</c:v>
                </c:pt>
                <c:pt idx="19">
                  <c:v>78.212256765425664</c:v>
                </c:pt>
                <c:pt idx="20">
                  <c:v>0</c:v>
                </c:pt>
                <c:pt idx="21">
                  <c:v>0</c:v>
                </c:pt>
                <c:pt idx="22">
                  <c:v>110.77323675581503</c:v>
                </c:pt>
                <c:pt idx="23">
                  <c:v>97.765320956782077</c:v>
                </c:pt>
                <c:pt idx="24">
                  <c:v>149.56534854032589</c:v>
                </c:pt>
                <c:pt idx="25">
                  <c:v>0</c:v>
                </c:pt>
                <c:pt idx="26">
                  <c:v>78.212256765425664</c:v>
                </c:pt>
                <c:pt idx="27">
                  <c:v>0</c:v>
                </c:pt>
                <c:pt idx="28">
                  <c:v>0</c:v>
                </c:pt>
                <c:pt idx="29">
                  <c:v>110.77323675581503</c:v>
                </c:pt>
                <c:pt idx="30">
                  <c:v>104.28300902056755</c:v>
                </c:pt>
                <c:pt idx="31">
                  <c:v>157.874534570344</c:v>
                </c:pt>
                <c:pt idx="32">
                  <c:v>0</c:v>
                </c:pt>
                <c:pt idx="33">
                  <c:v>84.729944829211135</c:v>
                </c:pt>
                <c:pt idx="34">
                  <c:v>0</c:v>
                </c:pt>
                <c:pt idx="35">
                  <c:v>0</c:v>
                </c:pt>
                <c:pt idx="36">
                  <c:v>110.77323675581503</c:v>
                </c:pt>
                <c:pt idx="37">
                  <c:v>123.83607321192396</c:v>
                </c:pt>
                <c:pt idx="38">
                  <c:v>166.18372060036211</c:v>
                </c:pt>
                <c:pt idx="39">
                  <c:v>0</c:v>
                </c:pt>
                <c:pt idx="40">
                  <c:v>0</c:v>
                </c:pt>
                <c:pt idx="41">
                  <c:v>0</c:v>
                </c:pt>
                <c:pt idx="42">
                  <c:v>0</c:v>
                </c:pt>
                <c:pt idx="43">
                  <c:v>110.77323675581503</c:v>
                </c:pt>
                <c:pt idx="44">
                  <c:v>78.212256765425664</c:v>
                </c:pt>
                <c:pt idx="45">
                  <c:v>132.94697648028969</c:v>
                </c:pt>
                <c:pt idx="46">
                  <c:v>0</c:v>
                </c:pt>
                <c:pt idx="47">
                  <c:v>65.176880637854723</c:v>
                </c:pt>
                <c:pt idx="48">
                  <c:v>0</c:v>
                </c:pt>
                <c:pt idx="49">
                  <c:v>0</c:v>
                </c:pt>
                <c:pt idx="50">
                  <c:v>110.77323675581503</c:v>
                </c:pt>
                <c:pt idx="51">
                  <c:v>71.694568701640193</c:v>
                </c:pt>
                <c:pt idx="52">
                  <c:v>108.01941839023537</c:v>
                </c:pt>
                <c:pt idx="53">
                  <c:v>0</c:v>
                </c:pt>
                <c:pt idx="54">
                  <c:v>58.659192574069245</c:v>
                </c:pt>
                <c:pt idx="55">
                  <c:v>0</c:v>
                </c:pt>
                <c:pt idx="56">
                  <c:v>0</c:v>
                </c:pt>
                <c:pt idx="57">
                  <c:v>110.77323675581503</c:v>
                </c:pt>
                <c:pt idx="58">
                  <c:v>58.659192574069245</c:v>
                </c:pt>
                <c:pt idx="59">
                  <c:v>0</c:v>
                </c:pt>
                <c:pt idx="60">
                  <c:v>0</c:v>
                </c:pt>
                <c:pt idx="61">
                  <c:v>0</c:v>
                </c:pt>
                <c:pt idx="62">
                  <c:v>0</c:v>
                </c:pt>
                <c:pt idx="63">
                  <c:v>0</c:v>
                </c:pt>
                <c:pt idx="64">
                  <c:v>0</c:v>
                </c:pt>
                <c:pt idx="65">
                  <c:v>0</c:v>
                </c:pt>
                <c:pt idx="66">
                  <c:v>0</c:v>
                </c:pt>
                <c:pt idx="67">
                  <c:v>0</c:v>
                </c:pt>
                <c:pt idx="68">
                  <c:v>0</c:v>
                </c:pt>
                <c:pt idx="69">
                  <c:v>83.091860300181054</c:v>
                </c:pt>
                <c:pt idx="70">
                  <c:v>141.2561625103078</c:v>
                </c:pt>
                <c:pt idx="71">
                  <c:v>240.96639487052505</c:v>
                </c:pt>
                <c:pt idx="72">
                  <c:v>240.96639487052505</c:v>
                </c:pt>
                <c:pt idx="73">
                  <c:v>141.2561625103078</c:v>
                </c:pt>
                <c:pt idx="74">
                  <c:v>141.2561625103078</c:v>
                </c:pt>
                <c:pt idx="75">
                  <c:v>0</c:v>
                </c:pt>
                <c:pt idx="76">
                  <c:v>0</c:v>
                </c:pt>
                <c:pt idx="77">
                  <c:v>0</c:v>
                </c:pt>
                <c:pt idx="78">
                  <c:v>110.77323675581503</c:v>
                </c:pt>
                <c:pt idx="79">
                  <c:v>39.106128382712832</c:v>
                </c:pt>
                <c:pt idx="80">
                  <c:v>72.606294025709445</c:v>
                </c:pt>
                <c:pt idx="81">
                  <c:v>0</c:v>
                </c:pt>
                <c:pt idx="82">
                  <c:v>39.106128382712832</c:v>
                </c:pt>
                <c:pt idx="83">
                  <c:v>0</c:v>
                </c:pt>
                <c:pt idx="84">
                  <c:v>0</c:v>
                </c:pt>
                <c:pt idx="85">
                  <c:v>110.77323675581503</c:v>
                </c:pt>
                <c:pt idx="86">
                  <c:v>39.106128382712832</c:v>
                </c:pt>
                <c:pt idx="87">
                  <c:v>87.137747813243664</c:v>
                </c:pt>
                <c:pt idx="88">
                  <c:v>0</c:v>
                </c:pt>
                <c:pt idx="89">
                  <c:v>39.106128382712832</c:v>
                </c:pt>
                <c:pt idx="90">
                  <c:v>0</c:v>
                </c:pt>
                <c:pt idx="91">
                  <c:v>0</c:v>
                </c:pt>
                <c:pt idx="92">
                  <c:v>110.77323675581503</c:v>
                </c:pt>
                <c:pt idx="93">
                  <c:v>104.28300902056755</c:v>
                </c:pt>
                <c:pt idx="94">
                  <c:v>111.01995312704302</c:v>
                </c:pt>
                <c:pt idx="95">
                  <c:v>0</c:v>
                </c:pt>
                <c:pt idx="96">
                  <c:v>104.28300902056755</c:v>
                </c:pt>
                <c:pt idx="97">
                  <c:v>0</c:v>
                </c:pt>
                <c:pt idx="98">
                  <c:v>0</c:v>
                </c:pt>
                <c:pt idx="99">
                  <c:v>110.77323675581503</c:v>
                </c:pt>
                <c:pt idx="100">
                  <c:v>39.106128382712832</c:v>
                </c:pt>
                <c:pt idx="101">
                  <c:v>84.029326456482224</c:v>
                </c:pt>
                <c:pt idx="102">
                  <c:v>0</c:v>
                </c:pt>
                <c:pt idx="103">
                  <c:v>0</c:v>
                </c:pt>
                <c:pt idx="104">
                  <c:v>0</c:v>
                </c:pt>
                <c:pt idx="105">
                  <c:v>0</c:v>
                </c:pt>
                <c:pt idx="106">
                  <c:v>110.77323675581503</c:v>
                </c:pt>
                <c:pt idx="107">
                  <c:v>39.106128382712832</c:v>
                </c:pt>
                <c:pt idx="108">
                  <c:v>84.029326456482224</c:v>
                </c:pt>
                <c:pt idx="109">
                  <c:v>0</c:v>
                </c:pt>
                <c:pt idx="110">
                  <c:v>0</c:v>
                </c:pt>
                <c:pt idx="111">
                  <c:v>0</c:v>
                </c:pt>
                <c:pt idx="112">
                  <c:v>0</c:v>
                </c:pt>
                <c:pt idx="113">
                  <c:v>71.694568701640193</c:v>
                </c:pt>
                <c:pt idx="114">
                  <c:v>71.694568701640193</c:v>
                </c:pt>
                <c:pt idx="115">
                  <c:v>0</c:v>
                </c:pt>
                <c:pt idx="116">
                  <c:v>91.370533969355975</c:v>
                </c:pt>
                <c:pt idx="117">
                  <c:v>0</c:v>
                </c:pt>
                <c:pt idx="118">
                  <c:v>0</c:v>
                </c:pt>
                <c:pt idx="119">
                  <c:v>0</c:v>
                </c:pt>
                <c:pt idx="120">
                  <c:v>110.77323675581503</c:v>
                </c:pt>
                <c:pt idx="121">
                  <c:v>136.87144933949492</c:v>
                </c:pt>
                <c:pt idx="122">
                  <c:v>97.524639791762624</c:v>
                </c:pt>
                <c:pt idx="123">
                  <c:v>0</c:v>
                </c:pt>
                <c:pt idx="124">
                  <c:v>0</c:v>
                </c:pt>
                <c:pt idx="125">
                  <c:v>0</c:v>
                </c:pt>
                <c:pt idx="126">
                  <c:v>0</c:v>
                </c:pt>
                <c:pt idx="127">
                  <c:v>97.524639791762624</c:v>
                </c:pt>
                <c:pt idx="128">
                  <c:v>142.46628556425392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numCache>
            </c:numRef>
          </c:yVal>
          <c:smooth val="0"/>
          <c:extLst>
            <c:ext xmlns:c16="http://schemas.microsoft.com/office/drawing/2014/chart" uri="{C3380CC4-5D6E-409C-BE32-E72D297353CC}">
              <c16:uniqueId val="{00000004-C559-4A23-890B-F955BEDFCF3C}"/>
            </c:ext>
          </c:extLst>
        </c:ser>
        <c:dLbls>
          <c:showLegendKey val="0"/>
          <c:showVal val="0"/>
          <c:showCatName val="0"/>
          <c:showSerName val="0"/>
          <c:showPercent val="0"/>
          <c:showBubbleSize val="0"/>
        </c:dLbls>
        <c:axId val="115928064"/>
        <c:axId val="115941952"/>
      </c:scatterChart>
      <c:dateAx>
        <c:axId val="115928064"/>
        <c:scaling>
          <c:orientation val="minMax"/>
        </c:scaling>
        <c:delete val="0"/>
        <c:axPos val="b"/>
        <c:majorGridlines>
          <c:spPr>
            <a:ln w="9525" cap="flat" cmpd="sng" algn="ctr">
              <a:solidFill>
                <a:schemeClr val="tx1">
                  <a:lumMod val="15000"/>
                  <a:lumOff val="85000"/>
                </a:schemeClr>
              </a:solidFill>
              <a:prstDash val="solid"/>
              <a:round/>
            </a:ln>
            <a:effectLst/>
          </c:spPr>
        </c:majorGridlines>
        <c:numFmt formatCode="m/d/yyyy"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41952"/>
        <c:crosses val="autoZero"/>
        <c:auto val="1"/>
        <c:lblOffset val="100"/>
        <c:baseTimeUnit val="days"/>
        <c:majorUnit val="7"/>
        <c:majorTimeUnit val="days"/>
      </c:dateAx>
      <c:valAx>
        <c:axId val="115941952"/>
        <c:scaling>
          <c:orientation val="minMax"/>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GB"/>
                  <a:t>Load,</a:t>
                </a:r>
                <a:r>
                  <a:rPr lang="en-GB" baseline="0"/>
                  <a:t> </a:t>
                </a:r>
                <a:r>
                  <a:rPr lang="en-GB"/>
                  <a:t>Fatigue, and</a:t>
                </a:r>
                <a:r>
                  <a:rPr lang="en-GB" baseline="0"/>
                  <a:t> </a:t>
                </a:r>
                <a:r>
                  <a:rPr lang="en-GB"/>
                  <a:t>Fitness (load p</a:t>
                </a:r>
                <a:r>
                  <a:rPr lang="en-GB" baseline="0"/>
                  <a:t>oints)</a:t>
                </a:r>
                <a:endParaRPr lang="en-GB"/>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5928064"/>
        <c:crosses val="autoZero"/>
        <c:crossBetween val="between"/>
      </c:valAx>
      <c:valAx>
        <c:axId val="115942528"/>
        <c:scaling>
          <c:orientation val="minMax"/>
          <c:max val="50"/>
          <c:min val="-50"/>
        </c:scaling>
        <c:delete val="0"/>
        <c:axPos val="r"/>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Form (load points)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113487360"/>
        <c:crosses val="max"/>
        <c:crossBetween val="between"/>
      </c:valAx>
      <c:catAx>
        <c:axId val="113487360"/>
        <c:scaling>
          <c:orientation val="minMax"/>
        </c:scaling>
        <c:delete val="1"/>
        <c:axPos val="b"/>
        <c:numFmt formatCode="m/d/yyyy" sourceLinked="1"/>
        <c:majorTickMark val="out"/>
        <c:minorTickMark val="none"/>
        <c:tickLblPos val="nextTo"/>
        <c:crossAx val="115942528"/>
        <c:crossesAt val="0"/>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prstDash val="solid"/>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codeName="Chart1">
    <tabColor rgb="FF1097FF"/>
  </sheetPr>
  <sheetViews>
    <sheetView workbookViewId="0"/>
  </sheetViews>
  <sheetProtection algorithmName="SHA-512" hashValue="mSuBAgWHQYOsbZ6bu9Uho47RWtfZwm4ESy8M35uJvge9VP2UJuBcUGxlLZOQTkVATAoGy1Tt7vnrYVnuUH2IRg==" saltValue="yuXhxfyjj5h4tYuUsLtYCg==" spinCount="100000" content="1" objects="1"/>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editAs="oneCell">
    <xdr:from>
      <xdr:col>2</xdr:col>
      <xdr:colOff>1873640</xdr:colOff>
      <xdr:row>2</xdr:row>
      <xdr:rowOff>75546</xdr:rowOff>
    </xdr:from>
    <xdr:to>
      <xdr:col>5</xdr:col>
      <xdr:colOff>1624030</xdr:colOff>
      <xdr:row>7</xdr:row>
      <xdr:rowOff>67235</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8440" y="361296"/>
          <a:ext cx="3455615" cy="953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xdr:row>
      <xdr:rowOff>89648</xdr:rowOff>
    </xdr:from>
    <xdr:to>
      <xdr:col>4</xdr:col>
      <xdr:colOff>161925</xdr:colOff>
      <xdr:row>17</xdr:row>
      <xdr:rowOff>83684</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6830"/>
        <a:stretch/>
      </xdr:blipFill>
      <xdr:spPr>
        <a:xfrm>
          <a:off x="95250" y="1727948"/>
          <a:ext cx="3619500" cy="15180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405654</xdr:colOff>
      <xdr:row>28</xdr:row>
      <xdr:rowOff>115379</xdr:rowOff>
    </xdr:from>
    <xdr:ext cx="4762500" cy="66827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691779" y="5439854"/>
              <a:ext cx="4762500" cy="6682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𝑎𝑏𝑠</m:t>
                        </m:r>
                      </m:sub>
                    </m:sSub>
                    <m:r>
                      <a:rPr lang="en-NZ" sz="1100" b="0" i="1">
                        <a:solidFill>
                          <a:schemeClr val="tx1"/>
                        </a:solidFill>
                        <a:effectLst/>
                        <a:latin typeface="Cambria Math" panose="02040503050406030204" pitchFamily="18" charset="0"/>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r>
                      <a:rPr lang="en-NZ" sz="1100" b="0" i="1">
                        <a:solidFill>
                          <a:schemeClr val="tx1"/>
                        </a:solidFill>
                        <a:effectLst/>
                        <a:latin typeface="Cambria Math"/>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r>
                          <a:rPr lang="en-GB" sz="110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d>
                              <m:dPr>
                                <m:ctrlPr>
                                  <a:rPr lang="en-GB" sz="110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a:ea typeface="+mn-ea"/>
                                    <a:cs typeface="+mn-cs"/>
                                  </a:rPr>
                                  <m:t>1−</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e>
                            </m:d>
                            <m:r>
                              <a:rPr lang="en-GB" sz="1100" i="1">
                                <a:solidFill>
                                  <a:schemeClr val="tx1"/>
                                </a:solidFill>
                                <a:effectLst/>
                                <a:latin typeface="Cambria Math"/>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a:ea typeface="+mn-ea"/>
                                        <a:cs typeface="+mn-cs"/>
                                      </a:rPr>
                                      <m:t>𝐻𝑅</m:t>
                                    </m:r>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e>
                            </m:d>
                          </m:num>
                          <m:den>
                            <m:r>
                              <a:rPr lang="en-NZ" sz="1100" i="1">
                                <a:solidFill>
                                  <a:schemeClr val="tx1"/>
                                </a:solidFill>
                                <a:effectLst/>
                                <a:latin typeface="Cambria Math"/>
                                <a:ea typeface="+mn-ea"/>
                                <a:cs typeface="+mn-cs"/>
                              </a:rPr>
                              <m:t>1</m:t>
                            </m:r>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den>
                        </m:f>
                      </m:e>
                    </m:d>
                  </m:oMath>
                </m:oMathPara>
              </a14:m>
              <a:endParaRPr lang="en-GB" sz="1100"/>
            </a:p>
          </xdr:txBody>
        </xdr:sp>
      </mc:Choice>
      <mc:Fallback xmlns="">
        <xdr:sp macro="" textlink="">
          <xdr:nvSpPr>
            <xdr:cNvPr id="2" name="TextBox 1"/>
            <xdr:cNvSpPr txBox="1"/>
          </xdr:nvSpPr>
          <xdr:spPr>
            <a:xfrm>
              <a:off x="3691779" y="5439854"/>
              <a:ext cx="4762500" cy="6682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𝑎𝑏𝑠=</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1−</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i="0">
                  <a:solidFill>
                    <a:schemeClr val="tx1"/>
                  </a:solidFill>
                  <a:effectLst/>
                  <a:latin typeface="Cambria Math"/>
                  <a:ea typeface="+mn-ea"/>
                  <a:cs typeface="+mn-cs"/>
                </a:rPr>
                <a:t>1</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a:t>
              </a:r>
              <a:endParaRPr lang="en-GB" sz="1100"/>
            </a:p>
          </xdr:txBody>
        </xdr:sp>
      </mc:Fallback>
    </mc:AlternateContent>
    <xdr:clientData/>
  </xdr:oneCellAnchor>
  <xdr:oneCellAnchor>
    <xdr:from>
      <xdr:col>4</xdr:col>
      <xdr:colOff>257174</xdr:colOff>
      <xdr:row>24</xdr:row>
      <xdr:rowOff>151278</xdr:rowOff>
    </xdr:from>
    <xdr:ext cx="5915025" cy="742951"/>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543299" y="4713753"/>
              <a:ext cx="5915025"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14:m>
                <m:oMathPara xmlns:m="http://schemas.openxmlformats.org/officeDocument/2006/math">
                  <m:oMathParaPr>
                    <m:jc m:val="centerGroup"/>
                  </m:oMathParaPr>
                  <m:oMath xmlns:m="http://schemas.openxmlformats.org/officeDocument/2006/math">
                    <m:sSub>
                      <m:sSubPr>
                        <m:ctrlPr>
                          <a:rPr lang="en-NZ" sz="1100" b="0" i="1">
                            <a:latin typeface="Cambria Math" panose="02040503050406030204" pitchFamily="18" charset="0"/>
                          </a:rPr>
                        </m:ctrlPr>
                      </m:sSubPr>
                      <m:e>
                        <m:r>
                          <a:rPr lang="en-NZ" sz="1100" b="0" i="1">
                            <a:solidFill>
                              <a:schemeClr val="tx1"/>
                            </a:solidFill>
                            <a:effectLst/>
                            <a:latin typeface="Cambria Math"/>
                            <a:ea typeface="+mn-ea"/>
                            <a:cs typeface="+mn-cs"/>
                          </a:rPr>
                          <m:t>𝑉𝐷𝑂𝑇</m:t>
                        </m:r>
                      </m:e>
                      <m:sub>
                        <m:r>
                          <a:rPr lang="en-NZ" sz="1100" b="0" i="1">
                            <a:latin typeface="Cambria Math"/>
                          </a:rPr>
                          <m:t>𝑚𝑎𝑥</m:t>
                        </m:r>
                      </m:sub>
                    </m:sSub>
                    <m:r>
                      <a:rPr lang="en-NZ" sz="1100" b="0" i="1">
                        <a:latin typeface="Cambria Math" panose="02040503050406030204" pitchFamily="18" charset="0"/>
                      </a:rPr>
                      <m:t>=</m:t>
                    </m:r>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𝑡𝑒𝑠𝑡</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𝑡𝑒𝑠𝑡</m:t>
                            </m:r>
                          </m:sub>
                        </m:sSub>
                      </m:den>
                    </m:f>
                    <m:r>
                      <a:rPr lang="en-NZ" sz="1100" b="0" i="1">
                        <a:latin typeface="Cambria Math"/>
                      </a:rPr>
                      <m:t>=</m:t>
                    </m:r>
                    <m:f>
                      <m:fPr>
                        <m:ctrlPr>
                          <a:rPr lang="en-GB" sz="1100" i="1">
                            <a:latin typeface="Cambria Math" panose="02040503050406030204" pitchFamily="18" charset="0"/>
                          </a:rPr>
                        </m:ctrlPr>
                      </m:fPr>
                      <m:num>
                        <m:r>
                          <a:rPr lang="en-NZ" sz="1100" b="0" i="1">
                            <a:solidFill>
                              <a:schemeClr val="tx1"/>
                            </a:solidFill>
                            <a:effectLst/>
                            <a:latin typeface="Cambria Math"/>
                            <a:ea typeface="+mn-ea"/>
                            <a:cs typeface="+mn-cs"/>
                          </a:rPr>
                          <m:t>−</m:t>
                        </m:r>
                        <m:r>
                          <a:rPr lang="en-GB" sz="1100" i="1">
                            <a:solidFill>
                              <a:schemeClr val="tx1"/>
                            </a:solidFill>
                            <a:effectLst/>
                            <a:latin typeface="Cambria Math"/>
                            <a:ea typeface="+mn-ea"/>
                            <a:cs typeface="+mn-cs"/>
                          </a:rPr>
                          <m:t>4.6+0.182258×(</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𝑑</m:t>
                                </m:r>
                              </m:e>
                              <m:sub>
                                <m:r>
                                  <a:rPr lang="en-NZ" sz="1100" b="0" i="1">
                                    <a:solidFill>
                                      <a:schemeClr val="tx1"/>
                                    </a:solidFill>
                                    <a:effectLst/>
                                    <a:latin typeface="Cambria Math"/>
                                    <a:ea typeface="+mn-ea"/>
                                    <a:cs typeface="+mn-cs"/>
                                  </a:rPr>
                                  <m:t>𝑡𝑒𝑠𝑡</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𝑡</m:t>
                                </m:r>
                              </m:e>
                              <m:sub>
                                <m:r>
                                  <a:rPr lang="en-NZ" sz="1100" b="0" i="1">
                                    <a:solidFill>
                                      <a:schemeClr val="tx1"/>
                                    </a:solidFill>
                                    <a:effectLst/>
                                    <a:latin typeface="Cambria Math"/>
                                    <a:ea typeface="+mn-ea"/>
                                    <a:cs typeface="+mn-cs"/>
                                  </a:rPr>
                                  <m:t>𝑡𝑒𝑠𝑡</m:t>
                                </m:r>
                              </m:sub>
                            </m:sSub>
                          </m:den>
                        </m:f>
                        <m:r>
                          <a:rPr lang="en-GB" sz="1100" i="1">
                            <a:solidFill>
                              <a:schemeClr val="tx1"/>
                            </a:solidFill>
                            <a:effectLst/>
                            <a:latin typeface="Cambria Math"/>
                            <a:ea typeface="+mn-ea"/>
                            <a:cs typeface="+mn-cs"/>
                          </a:rPr>
                          <m:t>)+0.000104×</m:t>
                        </m:r>
                        <m:sSup>
                          <m:sSupPr>
                            <m:ctrlPr>
                              <a:rPr lang="en-GB" sz="1100" i="1">
                                <a:solidFill>
                                  <a:schemeClr val="tx1"/>
                                </a:solidFill>
                                <a:effectLst/>
                                <a:latin typeface="Cambria Math" panose="02040503050406030204" pitchFamily="18" charset="0"/>
                                <a:ea typeface="+mn-ea"/>
                                <a:cs typeface="+mn-cs"/>
                              </a:rPr>
                            </m:ctrlPr>
                          </m:sSupPr>
                          <m:e>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𝑑</m:t>
                                        </m:r>
                                      </m:e>
                                      <m:sub>
                                        <m:r>
                                          <a:rPr lang="en-NZ" sz="1100" b="0" i="1">
                                            <a:solidFill>
                                              <a:schemeClr val="tx1"/>
                                            </a:solidFill>
                                            <a:effectLst/>
                                            <a:latin typeface="Cambria Math"/>
                                            <a:ea typeface="+mn-ea"/>
                                            <a:cs typeface="+mn-cs"/>
                                          </a:rPr>
                                          <m:t>𝑡𝑒𝑠𝑡</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𝑡</m:t>
                                        </m:r>
                                      </m:e>
                                      <m:sub>
                                        <m:r>
                                          <a:rPr lang="en-NZ" sz="1100" b="0" i="1">
                                            <a:solidFill>
                                              <a:schemeClr val="tx1"/>
                                            </a:solidFill>
                                            <a:effectLst/>
                                            <a:latin typeface="Cambria Math"/>
                                            <a:ea typeface="+mn-ea"/>
                                            <a:cs typeface="+mn-cs"/>
                                          </a:rPr>
                                          <m:t>𝑡𝑒𝑠𝑡</m:t>
                                        </m:r>
                                      </m:sub>
                                    </m:sSub>
                                  </m:den>
                                </m:f>
                              </m:e>
                            </m:d>
                          </m:e>
                          <m:sup>
                            <m:r>
                              <a:rPr lang="en-NZ" sz="1100" b="0" i="1">
                                <a:solidFill>
                                  <a:schemeClr val="tx1"/>
                                </a:solidFill>
                                <a:effectLst/>
                                <a:latin typeface="Cambria Math"/>
                                <a:ea typeface="+mn-ea"/>
                                <a:cs typeface="+mn-cs"/>
                              </a:rPr>
                              <m:t>2</m:t>
                            </m:r>
                          </m:sup>
                        </m:sSup>
                      </m:num>
                      <m:den>
                        <m:r>
                          <a:rPr lang="en-GB" sz="1100" i="1">
                            <a:solidFill>
                              <a:schemeClr val="tx1"/>
                            </a:solidFill>
                            <a:effectLst/>
                            <a:latin typeface="Cambria Math"/>
                            <a:ea typeface="+mn-ea"/>
                            <a:cs typeface="+mn-cs"/>
                          </a:rPr>
                          <m:t>0.8</m:t>
                        </m:r>
                        <m:r>
                          <a:rPr lang="en-NZ" sz="1100" b="0" i="1">
                            <a:solidFill>
                              <a:schemeClr val="tx1"/>
                            </a:solidFill>
                            <a:effectLst/>
                            <a:latin typeface="Cambria Math"/>
                            <a:ea typeface="+mn-ea"/>
                            <a:cs typeface="+mn-cs"/>
                          </a:rPr>
                          <m:t>+</m:t>
                        </m:r>
                        <m:r>
                          <a:rPr lang="en-GB" sz="1100" i="1">
                            <a:solidFill>
                              <a:schemeClr val="tx1"/>
                            </a:solidFill>
                            <a:effectLst/>
                            <a:latin typeface="Cambria Math"/>
                            <a:ea typeface="+mn-ea"/>
                            <a:cs typeface="+mn-cs"/>
                          </a:rPr>
                          <m:t>0.1894393</m:t>
                        </m:r>
                        <m:r>
                          <a:rPr lang="en-GB" sz="1100" i="1">
                            <a:solidFill>
                              <a:schemeClr val="tx1"/>
                            </a:solidFill>
                            <a:effectLst/>
                            <a:latin typeface="Cambria Math"/>
                            <a:ea typeface="Cambria Math"/>
                            <a:cs typeface="+mn-cs"/>
                          </a:rPr>
                          <m:t>×</m:t>
                        </m:r>
                        <m:sSup>
                          <m:sSupPr>
                            <m:ctrlPr>
                              <a:rPr lang="en-GB" sz="1100" i="1">
                                <a:solidFill>
                                  <a:schemeClr val="tx1"/>
                                </a:solidFill>
                                <a:effectLst/>
                                <a:latin typeface="Cambria Math" panose="02040503050406030204" pitchFamily="18" charset="0"/>
                                <a:ea typeface="+mn-ea"/>
                                <a:cs typeface="+mn-cs"/>
                              </a:rPr>
                            </m:ctrlPr>
                          </m:sSupPr>
                          <m:e>
                            <m:r>
                              <a:rPr lang="en-NZ" sz="1100" b="0" i="1">
                                <a:solidFill>
                                  <a:schemeClr val="tx1"/>
                                </a:solidFill>
                                <a:effectLst/>
                                <a:latin typeface="Cambria Math"/>
                                <a:ea typeface="+mn-ea"/>
                                <a:cs typeface="+mn-cs"/>
                              </a:rPr>
                              <m:t>𝑒</m:t>
                            </m:r>
                          </m:e>
                          <m:sup>
                            <m:r>
                              <a:rPr lang="en-GB" sz="1100" i="1">
                                <a:solidFill>
                                  <a:schemeClr val="tx1"/>
                                </a:solidFill>
                                <a:effectLst/>
                                <a:latin typeface="Cambria Math"/>
                                <a:ea typeface="+mn-ea"/>
                                <a:cs typeface="+mn-cs"/>
                              </a:rPr>
                              <m:t>−0.012778</m:t>
                            </m:r>
                            <m:r>
                              <a:rPr lang="en-GB" sz="1100" i="1">
                                <a:solidFill>
                                  <a:schemeClr val="tx1"/>
                                </a:solidFill>
                                <a:effectLst/>
                                <a:latin typeface="Cambria Math"/>
                                <a:ea typeface="Cambria Math"/>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𝑡</m:t>
                                </m:r>
                              </m:e>
                              <m:sub>
                                <m:r>
                                  <a:rPr lang="en-NZ" sz="1100" b="0" i="1">
                                    <a:solidFill>
                                      <a:schemeClr val="tx1"/>
                                    </a:solidFill>
                                    <a:effectLst/>
                                    <a:latin typeface="Cambria Math"/>
                                    <a:ea typeface="+mn-ea"/>
                                    <a:cs typeface="+mn-cs"/>
                                  </a:rPr>
                                  <m:t>𝑡𝑒𝑠𝑡</m:t>
                                </m:r>
                              </m:sub>
                            </m:sSub>
                          </m:sup>
                        </m:sSup>
                        <m:r>
                          <a:rPr lang="en-GB" sz="1100" i="1">
                            <a:solidFill>
                              <a:schemeClr val="tx1"/>
                            </a:solidFill>
                            <a:effectLst/>
                            <a:latin typeface="Cambria Math"/>
                            <a:ea typeface="+mn-ea"/>
                            <a:cs typeface="+mn-cs"/>
                          </a:rPr>
                          <m:t>+0.2989558</m:t>
                        </m:r>
                        <m:r>
                          <a:rPr lang="en-GB" sz="1100" i="1">
                            <a:solidFill>
                              <a:schemeClr val="tx1"/>
                            </a:solidFill>
                            <a:effectLst/>
                            <a:latin typeface="Cambria Math"/>
                            <a:ea typeface="Cambria Math"/>
                            <a:cs typeface="+mn-cs"/>
                          </a:rPr>
                          <m:t>×</m:t>
                        </m:r>
                        <m:sSup>
                          <m:sSupPr>
                            <m:ctrlPr>
                              <a:rPr lang="en-GB" sz="1100" i="1">
                                <a:solidFill>
                                  <a:schemeClr val="tx1"/>
                                </a:solidFill>
                                <a:effectLst/>
                                <a:latin typeface="Cambria Math" panose="02040503050406030204" pitchFamily="18" charset="0"/>
                                <a:ea typeface="Cambria Math"/>
                                <a:cs typeface="+mn-cs"/>
                              </a:rPr>
                            </m:ctrlPr>
                          </m:sSupPr>
                          <m:e>
                            <m:r>
                              <a:rPr lang="en-NZ" sz="1100" b="0" i="1">
                                <a:solidFill>
                                  <a:schemeClr val="tx1"/>
                                </a:solidFill>
                                <a:effectLst/>
                                <a:latin typeface="Cambria Math"/>
                                <a:ea typeface="Cambria Math"/>
                                <a:cs typeface="+mn-cs"/>
                              </a:rPr>
                              <m:t>𝑒</m:t>
                            </m:r>
                          </m:e>
                          <m:sup>
                            <m:r>
                              <a:rPr lang="en-GB" sz="1100" i="1">
                                <a:solidFill>
                                  <a:schemeClr val="tx1"/>
                                </a:solidFill>
                                <a:effectLst/>
                                <a:latin typeface="Cambria Math"/>
                                <a:ea typeface="+mn-ea"/>
                                <a:cs typeface="+mn-cs"/>
                              </a:rPr>
                              <m:t>−0.1932605</m:t>
                            </m:r>
                            <m:r>
                              <a:rPr lang="en-GB" sz="1100" i="1">
                                <a:solidFill>
                                  <a:schemeClr val="tx1"/>
                                </a:solidFill>
                                <a:effectLst/>
                                <a:latin typeface="Cambria Math"/>
                                <a:ea typeface="Cambria Math"/>
                                <a:cs typeface="+mn-cs"/>
                              </a:rPr>
                              <m:t>×</m:t>
                            </m:r>
                            <m:sSub>
                              <m:sSubPr>
                                <m:ctrlPr>
                                  <a:rPr lang="en-GB" sz="1100" i="1">
                                    <a:solidFill>
                                      <a:schemeClr val="tx1"/>
                                    </a:solidFill>
                                    <a:effectLst/>
                                    <a:latin typeface="Cambria Math" panose="02040503050406030204" pitchFamily="18" charset="0"/>
                                    <a:ea typeface="Cambria Math"/>
                                    <a:cs typeface="+mn-cs"/>
                                  </a:rPr>
                                </m:ctrlPr>
                              </m:sSubPr>
                              <m:e>
                                <m:r>
                                  <a:rPr lang="en-NZ" sz="1100" b="0" i="1">
                                    <a:solidFill>
                                      <a:schemeClr val="tx1"/>
                                    </a:solidFill>
                                    <a:effectLst/>
                                    <a:latin typeface="Cambria Math"/>
                                    <a:ea typeface="Cambria Math"/>
                                    <a:cs typeface="+mn-cs"/>
                                  </a:rPr>
                                  <m:t>𝑡</m:t>
                                </m:r>
                              </m:e>
                              <m:sub>
                                <m:r>
                                  <a:rPr lang="en-NZ" sz="1100" b="0" i="1">
                                    <a:solidFill>
                                      <a:schemeClr val="tx1"/>
                                    </a:solidFill>
                                    <a:effectLst/>
                                    <a:latin typeface="Cambria Math"/>
                                    <a:ea typeface="Cambria Math"/>
                                    <a:cs typeface="+mn-cs"/>
                                  </a:rPr>
                                  <m:t>𝑡𝑒𝑠𝑡</m:t>
                                </m:r>
                              </m:sub>
                            </m:sSub>
                          </m:sup>
                        </m:sSup>
                        <m:r>
                          <m:rPr>
                            <m:nor/>
                          </m:rPr>
                          <a:rPr lang="en-GB">
                            <a:effectLst/>
                          </a:rPr>
                          <m:t> </m:t>
                        </m:r>
                      </m:den>
                    </m:f>
                  </m:oMath>
                </m:oMathPara>
              </a14:m>
              <a:endParaRPr lang="en-GB" sz="1100"/>
            </a:p>
          </xdr:txBody>
        </xdr:sp>
      </mc:Choice>
      <mc:Fallback xmlns="">
        <xdr:sp macro="" textlink="">
          <xdr:nvSpPr>
            <xdr:cNvPr id="3" name="TextBox 2"/>
            <xdr:cNvSpPr txBox="1"/>
          </xdr:nvSpPr>
          <xdr:spPr>
            <a:xfrm>
              <a:off x="3543299" y="4713753"/>
              <a:ext cx="5915025" cy="742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r>
                <a:rPr lang="en-NZ" sz="1100" b="0" i="0">
                  <a:latin typeface="Cambria Math" panose="02040503050406030204" pitchFamily="18" charset="0"/>
                </a:rPr>
                <a:t>〖</a:t>
              </a:r>
              <a:r>
                <a:rPr lang="en-NZ" sz="1100" b="0" i="0">
                  <a:solidFill>
                    <a:schemeClr val="tx1"/>
                  </a:solidFill>
                  <a:effectLst/>
                  <a:latin typeface="Cambria Math"/>
                  <a:ea typeface="+mn-ea"/>
                  <a:cs typeface="+mn-cs"/>
                </a:rPr>
                <a:t>𝑉𝐷𝑂𝑇</a:t>
              </a:r>
              <a:r>
                <a:rPr lang="en-NZ" sz="1100" b="0" i="0">
                  <a:solidFill>
                    <a:schemeClr val="tx1"/>
                  </a:solidFill>
                  <a:effectLst/>
                  <a:latin typeface="Cambria Math" panose="02040503050406030204" pitchFamily="18" charset="0"/>
                  <a:ea typeface="+mn-ea"/>
                  <a:cs typeface="+mn-cs"/>
                </a:rPr>
                <a:t>〗_</a:t>
              </a:r>
              <a:r>
                <a:rPr lang="en-NZ" sz="1100" b="0" i="0">
                  <a:latin typeface="Cambria Math"/>
                </a:rPr>
                <a:t>𝑚𝑎𝑥</a:t>
              </a:r>
              <a:r>
                <a:rPr lang="en-NZ" sz="1100" b="0" i="0">
                  <a:latin typeface="Cambria Math" panose="02040503050406030204" pitchFamily="18" charset="0"/>
                </a:rPr>
                <a:t>=</a:t>
              </a:r>
              <a:r>
                <a:rPr lang="en-NZ" sz="1100" b="0" i="0">
                  <a:solidFill>
                    <a:schemeClr val="tx1"/>
                  </a:solidFill>
                  <a:effectLst/>
                  <a:latin typeface="+mn-lt"/>
                  <a:ea typeface="+mn-ea"/>
                  <a:cs typeface="+mn-cs"/>
                </a:rPr>
                <a:t>〖𝑉𝐷𝑂𝑇〗_𝑡𝑒𝑠𝑡/〖%𝑉𝐷𝑂𝑇〗_𝑡𝑒𝑠𝑡 </a:t>
              </a:r>
              <a:r>
                <a:rPr lang="en-NZ" sz="1100" b="0" i="0">
                  <a:latin typeface="Cambria Math"/>
                </a:rPr>
                <a:t>=</a:t>
              </a:r>
              <a:r>
                <a:rPr lang="en-GB" sz="1100" i="0">
                  <a:latin typeface="Cambria Math" panose="02040503050406030204" pitchFamily="18" charset="0"/>
                </a:rPr>
                <a:t>(</a:t>
              </a:r>
              <a:r>
                <a:rPr lang="en-NZ" sz="1100" b="0" i="0">
                  <a:solidFill>
                    <a:schemeClr val="tx1"/>
                  </a:solidFill>
                  <a:effectLst/>
                  <a:latin typeface="Cambria Math"/>
                  <a:ea typeface="+mn-ea"/>
                  <a:cs typeface="+mn-cs"/>
                </a:rPr>
                <a:t>−</a:t>
              </a:r>
              <a:r>
                <a:rPr lang="en-GB" sz="1100" i="0">
                  <a:solidFill>
                    <a:schemeClr val="tx1"/>
                  </a:solidFill>
                  <a:effectLst/>
                  <a:latin typeface="Cambria Math"/>
                  <a:ea typeface="+mn-ea"/>
                  <a:cs typeface="+mn-cs"/>
                </a:rPr>
                <a:t>4.6+0.182258×(</a:t>
              </a:r>
              <a:r>
                <a:rPr lang="en-NZ" sz="1100" b="0" i="0">
                  <a:solidFill>
                    <a:schemeClr val="tx1"/>
                  </a:solidFill>
                  <a:effectLst/>
                  <a:latin typeface="Cambria Math"/>
                  <a:ea typeface="+mn-ea"/>
                  <a:cs typeface="+mn-cs"/>
                </a:rPr>
                <a:t>𝑑</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)+0.000104×</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𝑑</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2</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a:ea typeface="+mn-ea"/>
                  <a:cs typeface="+mn-cs"/>
                </a:rPr>
                <a:t>0.8</a:t>
              </a:r>
              <a:r>
                <a:rPr lang="en-NZ" sz="1100" b="0" i="0">
                  <a:solidFill>
                    <a:schemeClr val="tx1"/>
                  </a:solidFill>
                  <a:effectLst/>
                  <a:latin typeface="Cambria Math"/>
                  <a:ea typeface="+mn-ea"/>
                  <a:cs typeface="+mn-cs"/>
                </a:rPr>
                <a:t>+</a:t>
              </a:r>
              <a:r>
                <a:rPr lang="en-GB" sz="1100" i="0">
                  <a:solidFill>
                    <a:schemeClr val="tx1"/>
                  </a:solidFill>
                  <a:effectLst/>
                  <a:latin typeface="Cambria Math"/>
                  <a:ea typeface="+mn-ea"/>
                  <a:cs typeface="+mn-cs"/>
                </a:rPr>
                <a:t>0.1894393</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mn-ea"/>
                  <a:cs typeface="+mn-cs"/>
                </a:rPr>
                <a:t>𝑒</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a:ea typeface="+mn-ea"/>
                  <a:cs typeface="+mn-cs"/>
                </a:rPr>
                <a:t>−0.012778</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𝑡𝑒𝑠𝑡</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a:ea typeface="+mn-ea"/>
                  <a:cs typeface="+mn-cs"/>
                </a:rPr>
                <a:t>+0.2989558</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Cambria Math"/>
                  <a:cs typeface="+mn-cs"/>
                </a:rPr>
                <a:t>𝑒</a:t>
              </a:r>
              <a:r>
                <a:rPr lang="en-GB" sz="1100" b="0" i="0">
                  <a:solidFill>
                    <a:schemeClr val="tx1"/>
                  </a:solidFill>
                  <a:effectLst/>
                  <a:latin typeface="Cambria Math" panose="02040503050406030204" pitchFamily="18" charset="0"/>
                  <a:ea typeface="Cambria Math"/>
                  <a:cs typeface="+mn-cs"/>
                </a:rPr>
                <a:t>^(</a:t>
              </a:r>
              <a:r>
                <a:rPr lang="en-GB" sz="1100" i="0">
                  <a:solidFill>
                    <a:schemeClr val="tx1"/>
                  </a:solidFill>
                  <a:effectLst/>
                  <a:latin typeface="Cambria Math"/>
                  <a:ea typeface="+mn-ea"/>
                  <a:cs typeface="+mn-cs"/>
                </a:rPr>
                <a:t>−0.1932605</a:t>
              </a:r>
              <a:r>
                <a:rPr lang="en-GB" sz="1100" i="0">
                  <a:solidFill>
                    <a:schemeClr val="tx1"/>
                  </a:solidFill>
                  <a:effectLst/>
                  <a:latin typeface="Cambria Math"/>
                  <a:ea typeface="Cambria Math"/>
                  <a:cs typeface="+mn-cs"/>
                </a:rPr>
                <a:t>×</a:t>
              </a:r>
              <a:r>
                <a:rPr lang="en-NZ" sz="1100" b="0" i="0">
                  <a:solidFill>
                    <a:schemeClr val="tx1"/>
                  </a:solidFill>
                  <a:effectLst/>
                  <a:latin typeface="Cambria Math"/>
                  <a:ea typeface="Cambria Math"/>
                  <a:cs typeface="+mn-cs"/>
                </a:rPr>
                <a:t>𝑡</a:t>
              </a:r>
              <a:r>
                <a:rPr lang="en-GB" sz="1100" b="0" i="0">
                  <a:solidFill>
                    <a:schemeClr val="tx1"/>
                  </a:solidFill>
                  <a:effectLst/>
                  <a:latin typeface="Cambria Math" panose="02040503050406030204" pitchFamily="18" charset="0"/>
                  <a:ea typeface="Cambria Math"/>
                  <a:cs typeface="+mn-cs"/>
                </a:rPr>
                <a:t>_</a:t>
              </a:r>
              <a:r>
                <a:rPr lang="en-NZ" sz="1100" b="0" i="0">
                  <a:solidFill>
                    <a:schemeClr val="tx1"/>
                  </a:solidFill>
                  <a:effectLst/>
                  <a:latin typeface="Cambria Math"/>
                  <a:ea typeface="Cambria Math"/>
                  <a:cs typeface="+mn-cs"/>
                </a:rPr>
                <a:t>𝑡𝑒𝑠𝑡</a:t>
              </a:r>
              <a:r>
                <a:rPr lang="en-NZ" sz="1100" b="0" i="0">
                  <a:solidFill>
                    <a:schemeClr val="tx1"/>
                  </a:solidFill>
                  <a:effectLst/>
                  <a:latin typeface="Cambria Math" panose="02040503050406030204" pitchFamily="18" charset="0"/>
                  <a:ea typeface="Cambria Math"/>
                  <a:cs typeface="+mn-cs"/>
                </a:rPr>
                <a:t> </a:t>
              </a:r>
              <a:r>
                <a:rPr lang="en-GB" sz="1100" b="0" i="0">
                  <a:solidFill>
                    <a:schemeClr val="tx1"/>
                  </a:solidFill>
                  <a:effectLst/>
                  <a:latin typeface="Cambria Math" panose="02040503050406030204" pitchFamily="18" charset="0"/>
                  <a:ea typeface="Cambria Math"/>
                  <a:cs typeface="+mn-cs"/>
                </a:rPr>
                <a:t>) "</a:t>
              </a:r>
              <a:r>
                <a:rPr lang="en-GB" i="0">
                  <a:effectLst/>
                </a:rPr>
                <a:t> </a:t>
              </a:r>
              <a:r>
                <a:rPr lang="en-GB" i="0">
                  <a:effectLst/>
                  <a:latin typeface="Cambria Math" panose="02040503050406030204" pitchFamily="18" charset="0"/>
                </a:rPr>
                <a:t>" </a:t>
              </a:r>
              <a:r>
                <a:rPr lang="en-GB" sz="1100" i="0">
                  <a:effectLst/>
                  <a:latin typeface="Cambria Math" panose="02040503050406030204" pitchFamily="18" charset="0"/>
                </a:rPr>
                <a:t>)</a:t>
              </a:r>
              <a:endParaRPr lang="en-GB" sz="1100"/>
            </a:p>
          </xdr:txBody>
        </xdr:sp>
      </mc:Fallback>
    </mc:AlternateContent>
    <xdr:clientData/>
  </xdr:oneCellAnchor>
  <xdr:oneCellAnchor>
    <xdr:from>
      <xdr:col>4</xdr:col>
      <xdr:colOff>653303</xdr:colOff>
      <xdr:row>32</xdr:row>
      <xdr:rowOff>65554</xdr:rowOff>
    </xdr:from>
    <xdr:ext cx="4051852" cy="501796"/>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939428" y="6161554"/>
              <a:ext cx="405185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GB" sz="1100" i="1">
                            <a:solidFill>
                              <a:schemeClr val="tx1"/>
                            </a:solidFill>
                            <a:effectLst/>
                            <a:latin typeface="Cambria Math" panose="02040503050406030204" pitchFamily="18" charset="0"/>
                            <a:ea typeface="+mn-ea"/>
                            <a:cs typeface="+mn-cs"/>
                          </a:rPr>
                        </m:ctrlPr>
                      </m:fPr>
                      <m:num>
                        <m:r>
                          <a:rPr lang="en-NZ" sz="1100" i="1">
                            <a:solidFill>
                              <a:schemeClr val="tx1"/>
                            </a:solidFill>
                            <a:effectLst/>
                            <a:latin typeface="Cambria Math"/>
                            <a:ea typeface="+mn-ea"/>
                            <a:cs typeface="+mn-cs"/>
                          </a:rPr>
                          <m:t>1</m:t>
                        </m:r>
                        <m:r>
                          <a:rPr lang="en-NZ" sz="1100" b="0" i="1">
                            <a:solidFill>
                              <a:schemeClr val="tx1"/>
                            </a:solidFill>
                            <a:effectLst/>
                            <a:latin typeface="Cambria Math"/>
                            <a:ea typeface="+mn-ea"/>
                            <a:cs typeface="+mn-cs"/>
                          </a:rPr>
                          <m:t>000</m:t>
                        </m:r>
                      </m:num>
                      <m:den>
                        <m:r>
                          <a:rPr lang="en-NZ" sz="1100" b="0" i="1">
                            <a:solidFill>
                              <a:schemeClr val="tx1"/>
                            </a:solidFill>
                            <a:effectLst/>
                            <a:latin typeface="Cambria Math"/>
                            <a:ea typeface="+mn-ea"/>
                            <a:cs typeface="+mn-cs"/>
                          </a:rPr>
                          <m:t>𝑝𝑎𝑐𝑒</m:t>
                        </m:r>
                        <m:d>
                          <m:dPr>
                            <m:ctrlPr>
                              <a:rPr lang="en-NZ" sz="1100" b="0" i="1">
                                <a:solidFill>
                                  <a:schemeClr val="tx1"/>
                                </a:solidFill>
                                <a:effectLst/>
                                <a:latin typeface="Cambria Math" panose="02040503050406030204" pitchFamily="18" charset="0"/>
                                <a:ea typeface="+mn-ea"/>
                                <a:cs typeface="+mn-cs"/>
                              </a:rPr>
                            </m:ctrlPr>
                          </m:dPr>
                          <m:e>
                            <m:f>
                              <m:fPr>
                                <m:ctrlPr>
                                  <a:rPr lang="en-NZ" sz="1100" b="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a:ea typeface="+mn-ea"/>
                                    <a:cs typeface="+mn-cs"/>
                                  </a:rPr>
                                  <m:t>𝑚𝑖𝑛</m:t>
                                </m:r>
                              </m:num>
                              <m:den>
                                <m:r>
                                  <a:rPr lang="en-NZ" sz="1100" b="0" i="1">
                                    <a:solidFill>
                                      <a:schemeClr val="tx1"/>
                                    </a:solidFill>
                                    <a:effectLst/>
                                    <a:latin typeface="Cambria Math"/>
                                    <a:ea typeface="+mn-ea"/>
                                    <a:cs typeface="+mn-cs"/>
                                  </a:rPr>
                                  <m:t>𝑘𝑚</m:t>
                                </m:r>
                              </m:den>
                            </m:f>
                          </m:e>
                        </m:d>
                      </m:den>
                    </m:f>
                    <m:r>
                      <a:rPr lang="en-NZ" sz="1100" b="0" i="1">
                        <a:solidFill>
                          <a:schemeClr val="tx1"/>
                        </a:solidFill>
                        <a:effectLst/>
                        <a:latin typeface="Cambria Math"/>
                        <a:ea typeface="Cambria Math"/>
                        <a:cs typeface="+mn-cs"/>
                      </a:rPr>
                      <m:t>=</m:t>
                    </m:r>
                    <m:r>
                      <m:rPr>
                        <m:nor/>
                      </m:rPr>
                      <a:rPr lang="en-GB" sz="1100">
                        <a:solidFill>
                          <a:schemeClr val="tx1"/>
                        </a:solidFill>
                        <a:effectLst/>
                        <a:latin typeface="+mn-lt"/>
                        <a:ea typeface="+mn-ea"/>
                        <a:cs typeface="+mn-cs"/>
                      </a:rPr>
                      <m:t>29.54</m:t>
                    </m:r>
                    <m:r>
                      <a:rPr lang="en-NZ" sz="1100" b="0" i="1">
                        <a:solidFill>
                          <a:schemeClr val="tx1"/>
                        </a:solidFill>
                        <a:effectLst/>
                        <a:latin typeface="Cambria Math"/>
                        <a:ea typeface="+mn-ea"/>
                        <a:cs typeface="+mn-cs"/>
                      </a:rPr>
                      <m:t>+</m:t>
                    </m:r>
                    <m:r>
                      <m:rPr>
                        <m:nor/>
                      </m:rPr>
                      <a:rPr lang="en-GB" sz="1100">
                        <a:solidFill>
                          <a:schemeClr val="tx1"/>
                        </a:solidFill>
                        <a:effectLst/>
                        <a:latin typeface="+mn-lt"/>
                        <a:ea typeface="+mn-ea"/>
                        <a:cs typeface="+mn-cs"/>
                      </a:rPr>
                      <m:t>5.000663</m:t>
                    </m:r>
                    <m:r>
                      <a:rPr lang="en-GB" sz="1100" i="1">
                        <a:solidFill>
                          <a:schemeClr val="tx1"/>
                        </a:solidFill>
                        <a:effectLst/>
                        <a:latin typeface="Cambria Math"/>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r>
                      <m:rPr>
                        <m:nor/>
                      </m:rPr>
                      <a:rPr lang="en-GB" sz="1100">
                        <a:solidFill>
                          <a:schemeClr val="tx1"/>
                        </a:solidFill>
                        <a:effectLst/>
                        <a:latin typeface="+mn-lt"/>
                        <a:ea typeface="+mn-ea"/>
                        <a:cs typeface="+mn-cs"/>
                      </a:rPr>
                      <m:t>−</m:t>
                    </m:r>
                    <m:r>
                      <m:rPr>
                        <m:nor/>
                      </m:rPr>
                      <a:rPr lang="en-NZ" sz="1100" b="0" i="0">
                        <a:solidFill>
                          <a:schemeClr val="tx1"/>
                        </a:solidFill>
                        <a:effectLst/>
                        <a:latin typeface="+mn-lt"/>
                        <a:ea typeface="+mn-ea"/>
                        <a:cs typeface="+mn-cs"/>
                      </a:rPr>
                      <m:t> </m:t>
                    </m:r>
                    <m:r>
                      <m:rPr>
                        <m:nor/>
                      </m:rPr>
                      <a:rPr lang="en-GB" sz="1100">
                        <a:solidFill>
                          <a:schemeClr val="tx1"/>
                        </a:solidFill>
                        <a:effectLst/>
                        <a:latin typeface="+mn-lt"/>
                        <a:ea typeface="+mn-ea"/>
                        <a:cs typeface="+mn-cs"/>
                      </a:rPr>
                      <m:t>0.007546</m:t>
                    </m:r>
                    <m:r>
                      <a:rPr lang="en-GB" sz="1100" i="1">
                        <a:solidFill>
                          <a:schemeClr val="tx1"/>
                        </a:solidFill>
                        <a:effectLst/>
                        <a:latin typeface="Cambria Math"/>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e>
                      <m:sup>
                        <m:r>
                          <a:rPr lang="en-NZ" sz="1100" b="0" i="1">
                            <a:solidFill>
                              <a:schemeClr val="tx1"/>
                            </a:solidFill>
                            <a:effectLst/>
                            <a:latin typeface="Cambria Math"/>
                            <a:ea typeface="+mn-ea"/>
                            <a:cs typeface="+mn-cs"/>
                          </a:rPr>
                          <m:t>2</m:t>
                        </m:r>
                      </m:sup>
                    </m:sSup>
                  </m:oMath>
                </m:oMathPara>
              </a14:m>
              <a:endParaRPr lang="en-GB" sz="1100"/>
            </a:p>
          </xdr:txBody>
        </xdr:sp>
      </mc:Choice>
      <mc:Fallback xmlns="">
        <xdr:sp macro="" textlink="">
          <xdr:nvSpPr>
            <xdr:cNvPr id="4" name="TextBox 3"/>
            <xdr:cNvSpPr txBox="1"/>
          </xdr:nvSpPr>
          <xdr:spPr>
            <a:xfrm>
              <a:off x="3939428" y="6161554"/>
              <a:ext cx="405185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NZ" sz="1100" i="0">
                  <a:solidFill>
                    <a:schemeClr val="tx1"/>
                  </a:solidFill>
                  <a:effectLst/>
                  <a:latin typeface="Cambria Math"/>
                  <a:ea typeface="+mn-ea"/>
                  <a:cs typeface="+mn-cs"/>
                </a:rPr>
                <a:t>1</a:t>
              </a:r>
              <a:r>
                <a:rPr lang="en-NZ" sz="1100" b="0" i="0">
                  <a:solidFill>
                    <a:schemeClr val="tx1"/>
                  </a:solidFill>
                  <a:effectLst/>
                  <a:latin typeface="Cambria Math"/>
                  <a:ea typeface="+mn-ea"/>
                  <a:cs typeface="+mn-cs"/>
                </a:rPr>
                <a:t>000</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𝑝𝑎𝑐𝑒</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𝑚𝑖𝑛</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𝑘𝑚</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Cambria Math"/>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29.54</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5.000663</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0.007546</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2</a:t>
              </a:r>
              <a:endParaRPr lang="en-GB" sz="1100"/>
            </a:p>
          </xdr:txBody>
        </xdr:sp>
      </mc:Fallback>
    </mc:AlternateContent>
    <xdr:clientData/>
  </xdr:oneCellAnchor>
  <xdr:twoCellAnchor>
    <xdr:from>
      <xdr:col>33</xdr:col>
      <xdr:colOff>0</xdr:colOff>
      <xdr:row>20</xdr:row>
      <xdr:rowOff>0</xdr:rowOff>
    </xdr:from>
    <xdr:to>
      <xdr:col>47</xdr:col>
      <xdr:colOff>593912</xdr:colOff>
      <xdr:row>45</xdr:row>
      <xdr:rowOff>77322</xdr:rowOff>
    </xdr:to>
    <xdr:graphicFrame macro="">
      <xdr:nvGraphicFramePr>
        <xdr:cNvPr id="8" name="Chart 7">
          <a:extLst>
            <a:ext uri="{FF2B5EF4-FFF2-40B4-BE49-F238E27FC236}">
              <a16:creationId xmlns:a16="http://schemas.microsoft.com/office/drawing/2014/main"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49</xdr:col>
      <xdr:colOff>0</xdr:colOff>
      <xdr:row>22</xdr:row>
      <xdr:rowOff>0</xdr:rowOff>
    </xdr:from>
    <xdr:to>
      <xdr:col>67</xdr:col>
      <xdr:colOff>593912</xdr:colOff>
      <xdr:row>47</xdr:row>
      <xdr:rowOff>99734</xdr:rowOff>
    </xdr:to>
    <xdr:graphicFrame macro="">
      <xdr:nvGraphicFramePr>
        <xdr:cNvPr id="9" name="Chart 8">
          <a:extLst>
            <a:ext uri="{FF2B5EF4-FFF2-40B4-BE49-F238E27FC236}">
              <a16:creationId xmlns:a16="http://schemas.microsoft.com/office/drawing/2014/main" id="{00000000-0008-0000-0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190500</xdr:colOff>
      <xdr:row>24</xdr:row>
      <xdr:rowOff>56028</xdr:rowOff>
    </xdr:from>
    <xdr:ext cx="11045687" cy="1094003"/>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9233647" y="4639234"/>
              <a:ext cx="11045687" cy="10940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𝑝𝑎𝑐𝑒</m:t>
                    </m:r>
                    <m:r>
                      <a:rPr lang="en-GB" sz="1100" i="1">
                        <a:latin typeface="Cambria Math" panose="02040503050406030204" pitchFamily="18" charset="0"/>
                      </a:rPr>
                      <m:t>=</m:t>
                    </m:r>
                    <m:f>
                      <m:fPr>
                        <m:ctrlPr>
                          <a:rPr lang="en-GB" sz="1100" i="1">
                            <a:latin typeface="Cambria Math" panose="02040503050406030204" pitchFamily="18" charset="0"/>
                          </a:rPr>
                        </m:ctrlPr>
                      </m:fPr>
                      <m:num>
                        <m:r>
                          <m:rPr>
                            <m:nor/>
                          </m:rPr>
                          <a:rPr lang="en-GB" sz="1100">
                            <a:solidFill>
                              <a:schemeClr val="tx1"/>
                            </a:solidFill>
                            <a:effectLst/>
                            <a:latin typeface="+mn-lt"/>
                            <a:ea typeface="+mn-ea"/>
                            <a:cs typeface="+mn-cs"/>
                          </a:rPr>
                          <m:t>0.621371192</m:t>
                        </m:r>
                        <m:r>
                          <a:rPr lang="en-GB" sz="1100" i="1">
                            <a:solidFill>
                              <a:schemeClr val="tx1"/>
                            </a:solidFill>
                            <a:effectLst/>
                            <a:latin typeface="Cambria Math" panose="02040503050406030204" pitchFamily="18" charset="0"/>
                            <a:ea typeface="Cambria Math" panose="02040503050406030204" pitchFamily="18" charset="0"/>
                            <a:cs typeface="+mn-cs"/>
                          </a:rPr>
                          <m:t>×</m:t>
                        </m:r>
                        <m:f>
                          <m:fPr>
                            <m:ctrlPr>
                              <a:rPr lang="en-GB" sz="1100" i="1">
                                <a:solidFill>
                                  <a:schemeClr val="tx1"/>
                                </a:solidFill>
                                <a:effectLst/>
                                <a:latin typeface="Cambria Math" panose="02040503050406030204" pitchFamily="18" charset="0"/>
                                <a:ea typeface="Cambria Math" panose="02040503050406030204" pitchFamily="18" charset="0"/>
                                <a:cs typeface="+mn-cs"/>
                              </a:rPr>
                            </m:ctrlPr>
                          </m:fPr>
                          <m:num>
                            <m:r>
                              <m:rPr>
                                <m:nor/>
                              </m:rPr>
                              <a:rPr lang="en-GB" sz="1100">
                                <a:solidFill>
                                  <a:schemeClr val="tx1"/>
                                </a:solidFill>
                                <a:effectLst/>
                                <a:latin typeface="+mn-lt"/>
                                <a:ea typeface="+mn-ea"/>
                                <a:cs typeface="+mn-cs"/>
                              </a:rPr>
                              <m:t>1609.344</m:t>
                            </m:r>
                          </m:num>
                          <m:den>
                            <m:r>
                              <a:rPr lang="en-NZ" sz="1100" b="0" i="1">
                                <a:solidFill>
                                  <a:schemeClr val="tx1"/>
                                </a:solidFill>
                                <a:effectLst/>
                                <a:latin typeface="Cambria Math" panose="02040503050406030204" pitchFamily="18" charset="0"/>
                                <a:ea typeface="Cambria Math" panose="02040503050406030204" pitchFamily="18" charset="0"/>
                                <a:cs typeface="+mn-cs"/>
                              </a:rPr>
                              <m:t>1440</m:t>
                            </m:r>
                          </m:den>
                        </m:f>
                      </m:num>
                      <m:den>
                        <m:r>
                          <m:rPr>
                            <m:nor/>
                          </m:rPr>
                          <a:rPr lang="en-GB" sz="1100">
                            <a:solidFill>
                              <a:schemeClr val="tx1"/>
                            </a:solidFill>
                            <a:effectLst/>
                            <a:latin typeface="+mn-lt"/>
                            <a:ea typeface="+mn-ea"/>
                            <a:cs typeface="+mn-cs"/>
                          </a:rPr>
                          <m:t>29.54</m:t>
                        </m:r>
                        <m:r>
                          <a:rPr lang="en-NZ" sz="1100" b="0" i="1">
                            <a:solidFill>
                              <a:schemeClr val="tx1"/>
                            </a:solidFill>
                            <a:effectLst/>
                            <a:latin typeface="Cambria Math" panose="02040503050406030204" pitchFamily="18" charset="0"/>
                            <a:ea typeface="+mn-ea"/>
                            <a:cs typeface="+mn-cs"/>
                          </a:rPr>
                          <m:t>+</m:t>
                        </m:r>
                        <m:r>
                          <m:rPr>
                            <m:nor/>
                          </m:rPr>
                          <a:rPr lang="en-GB" sz="1100">
                            <a:solidFill>
                              <a:schemeClr val="tx1"/>
                            </a:solidFill>
                            <a:effectLst/>
                            <a:latin typeface="+mn-lt"/>
                            <a:ea typeface="+mn-ea"/>
                            <a:cs typeface="+mn-cs"/>
                          </a:rPr>
                          <m:t>5.000663</m:t>
                        </m:r>
                        <m:r>
                          <a:rPr lang="en-GB" sz="1100" i="1">
                            <a:solidFill>
                              <a:schemeClr val="tx1"/>
                            </a:solidFill>
                            <a:effectLst/>
                            <a:latin typeface="Cambria Math" panose="02040503050406030204" pitchFamily="18" charset="0"/>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r>
                          <a:rPr lang="en-NZ" sz="1100" b="0" i="1">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panose="02040503050406030204" pitchFamily="18" charset="0"/>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r>
                              <a:rPr lang="en-GB" sz="1100" i="1">
                                <a:solidFill>
                                  <a:schemeClr val="tx1"/>
                                </a:solidFill>
                                <a:effectLst/>
                                <a:latin typeface="Cambria Math" panose="02040503050406030204" pitchFamily="18" charset="0"/>
                                <a:ea typeface="Cambria Math" panose="02040503050406030204" pitchFamily="18" charset="0"/>
                                <a:cs typeface="+mn-cs"/>
                              </a:rPr>
                              <m:t>+</m:t>
                            </m:r>
                            <m:f>
                              <m:fPr>
                                <m:ctrlPr>
                                  <a:rPr lang="en-GB" sz="1100" i="1">
                                    <a:solidFill>
                                      <a:schemeClr val="tx1"/>
                                    </a:solidFill>
                                    <a:effectLst/>
                                    <a:latin typeface="Cambria Math" panose="02040503050406030204" pitchFamily="18" charset="0"/>
                                    <a:ea typeface="+mn-ea"/>
                                    <a:cs typeface="+mn-cs"/>
                                  </a:rPr>
                                </m:ctrlPr>
                              </m:fPr>
                              <m:num>
                                <m:d>
                                  <m:dPr>
                                    <m:ctrlPr>
                                      <a:rPr lang="en-GB" sz="110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1−</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e>
                                </m:d>
                                <m:r>
                                  <a:rPr lang="en-GB" sz="1100" i="1">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𝐻𝑅</m:t>
                                        </m:r>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r>
                                      <a:rPr lang="en-NZ" sz="1100" b="0" i="1">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a:ea typeface="+mn-ea"/>
                                                <a:cs typeface="+mn-cs"/>
                                              </a:rPr>
                                              <m:t>𝑚𝑎𝑥</m:t>
                                            </m:r>
                                          </m:sub>
                                        </m:sSub>
                                      </m:den>
                                    </m:f>
                                  </m:e>
                                </m:d>
                              </m:num>
                              <m:den>
                                <m:r>
                                  <a:rPr lang="en-NZ" sz="1100" i="1">
                                    <a:solidFill>
                                      <a:schemeClr val="tx1"/>
                                    </a:solidFill>
                                    <a:effectLst/>
                                    <a:latin typeface="Cambria Math" panose="02040503050406030204" pitchFamily="18" charset="0"/>
                                    <a:ea typeface="+mn-ea"/>
                                    <a:cs typeface="+mn-cs"/>
                                  </a:rPr>
                                  <m:t>1</m:t>
                                </m:r>
                                <m:r>
                                  <a:rPr lang="en-NZ" sz="1100" b="0" i="1">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den>
                            </m:f>
                          </m:e>
                        </m:d>
                        <m:r>
                          <m:rPr>
                            <m:nor/>
                          </m:rPr>
                          <a:rPr lang="en-GB" sz="1100">
                            <a:solidFill>
                              <a:schemeClr val="tx1"/>
                            </a:solidFill>
                            <a:effectLst/>
                            <a:latin typeface="+mn-lt"/>
                            <a:ea typeface="+mn-ea"/>
                            <a:cs typeface="+mn-cs"/>
                          </a:rPr>
                          <m:t>−</m:t>
                        </m:r>
                        <m:r>
                          <m:rPr>
                            <m:nor/>
                          </m:rPr>
                          <a:rPr lang="en-NZ" sz="1100" b="0" i="0">
                            <a:solidFill>
                              <a:schemeClr val="tx1"/>
                            </a:solidFill>
                            <a:effectLst/>
                            <a:latin typeface="+mn-lt"/>
                            <a:ea typeface="+mn-ea"/>
                            <a:cs typeface="+mn-cs"/>
                          </a:rPr>
                          <m:t> </m:t>
                        </m:r>
                        <m:r>
                          <m:rPr>
                            <m:nor/>
                          </m:rPr>
                          <a:rPr lang="en-GB" sz="1100">
                            <a:solidFill>
                              <a:schemeClr val="tx1"/>
                            </a:solidFill>
                            <a:effectLst/>
                            <a:latin typeface="+mn-lt"/>
                            <a:ea typeface="+mn-ea"/>
                            <a:cs typeface="+mn-cs"/>
                          </a:rPr>
                          <m:t>0.007546</m:t>
                        </m:r>
                        <m:r>
                          <a:rPr lang="en-GB" sz="1100" i="1">
                            <a:solidFill>
                              <a:schemeClr val="tx1"/>
                            </a:solidFill>
                            <a:effectLst/>
                            <a:latin typeface="Cambria Math" panose="02040503050406030204" pitchFamily="18" charset="0"/>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d>
                              <m:dPr>
                                <m:ctrlPr>
                                  <a:rPr lang="en-GB" sz="1100" i="1">
                                    <a:solidFill>
                                      <a:schemeClr val="tx1"/>
                                    </a:solidFill>
                                    <a:effectLst/>
                                    <a:latin typeface="Cambria Math" panose="02040503050406030204" pitchFamily="18" charset="0"/>
                                    <a:ea typeface="+mn-ea"/>
                                    <a:cs typeface="+mn-cs"/>
                                  </a:rPr>
                                </m:ctrlPr>
                              </m:dPr>
                              <m:e>
                                <m:r>
                                  <a:rPr lang="en-NZ" sz="1100" i="1">
                                    <a:solidFill>
                                      <a:schemeClr val="tx1"/>
                                    </a:solidFill>
                                    <a:effectLst/>
                                    <a:latin typeface="Cambria Math" panose="02040503050406030204" pitchFamily="18" charset="0"/>
                                    <a:ea typeface="+mn-ea"/>
                                    <a:cs typeface="+mn-cs"/>
                                  </a:rPr>
                                  <m:t>𝑉</m:t>
                                </m:r>
                                <m:r>
                                  <a:rPr lang="en-NZ" sz="1100" b="0" i="1">
                                    <a:solidFill>
                                      <a:schemeClr val="tx1"/>
                                    </a:solidFill>
                                    <a:effectLst/>
                                    <a:latin typeface="Cambria Math" panose="02040503050406030204" pitchFamily="18" charset="0"/>
                                    <a:ea typeface="+mn-ea"/>
                                    <a:cs typeface="+mn-cs"/>
                                  </a:rPr>
                                  <m:t>𝐷𝑂𝑇</m:t>
                                </m:r>
                                <m:r>
                                  <a:rPr lang="en-NZ" sz="1100" b="0" i="1">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r>
                                      <a:rPr lang="en-GB" sz="110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d>
                                          <m:dPr>
                                            <m:ctrlPr>
                                              <a:rPr lang="en-GB" sz="110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a:ea typeface="+mn-ea"/>
                                                <a:cs typeface="+mn-cs"/>
                                              </a:rPr>
                                              <m:t>1−</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𝑚𝑎𝑥</m:t>
                                                    </m:r>
                                                  </m:sub>
                                                </m:sSub>
                                              </m:den>
                                            </m:f>
                                          </m:e>
                                        </m:d>
                                        <m:r>
                                          <a:rPr lang="en-GB" sz="1100" i="1">
                                            <a:solidFill>
                                              <a:schemeClr val="tx1"/>
                                            </a:solidFill>
                                            <a:effectLst/>
                                            <a:latin typeface="Cambria Math"/>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a:ea typeface="+mn-ea"/>
                                                    <a:cs typeface="+mn-cs"/>
                                                  </a:rPr>
                                                  <m:t>𝐻𝑅</m:t>
                                                </m:r>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e>
                                        </m:d>
                                      </m:num>
                                      <m:den>
                                        <m:r>
                                          <a:rPr lang="en-NZ" sz="1100" i="1">
                                            <a:solidFill>
                                              <a:schemeClr val="tx1"/>
                                            </a:solidFill>
                                            <a:effectLst/>
                                            <a:latin typeface="Cambria Math"/>
                                            <a:ea typeface="+mn-ea"/>
                                            <a:cs typeface="+mn-cs"/>
                                          </a:rPr>
                                          <m:t>1</m:t>
                                        </m:r>
                                        <m:r>
                                          <a:rPr lang="en-NZ" sz="1100" b="0" i="1">
                                            <a:solidFill>
                                              <a:schemeClr val="tx1"/>
                                            </a:solidFill>
                                            <a:effectLst/>
                                            <a:latin typeface="Cambria Math"/>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𝑐𝑎𝑙</m:t>
                                                </m:r>
                                              </m:sub>
                                            </m:sSub>
                                          </m:num>
                                          <m:den>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𝐻𝑅</m:t>
                                                </m:r>
                                              </m:e>
                                              <m:sub>
                                                <m:r>
                                                  <a:rPr lang="en-NZ" sz="1100" b="0" i="1">
                                                    <a:solidFill>
                                                      <a:schemeClr val="tx1"/>
                                                    </a:solidFill>
                                                    <a:effectLst/>
                                                    <a:latin typeface="Cambria Math"/>
                                                    <a:ea typeface="+mn-ea"/>
                                                    <a:cs typeface="+mn-cs"/>
                                                  </a:rPr>
                                                  <m:t>𝑚𝑎𝑥</m:t>
                                                </m:r>
                                              </m:sub>
                                            </m:sSub>
                                          </m:den>
                                        </m:f>
                                      </m:den>
                                    </m:f>
                                  </m:e>
                                </m:d>
                              </m:e>
                            </m:d>
                          </m:e>
                          <m:sup>
                            <m:r>
                              <a:rPr lang="en-NZ" sz="1100" b="0" i="1">
                                <a:solidFill>
                                  <a:schemeClr val="tx1"/>
                                </a:solidFill>
                                <a:effectLst/>
                                <a:latin typeface="Cambria Math" panose="02040503050406030204" pitchFamily="18" charset="0"/>
                                <a:ea typeface="+mn-ea"/>
                                <a:cs typeface="+mn-cs"/>
                              </a:rPr>
                              <m:t>2</m:t>
                            </m:r>
                          </m:sup>
                        </m:sSup>
                      </m:den>
                    </m:f>
                  </m:oMath>
                </m:oMathPara>
              </a14:m>
              <a:endParaRPr lang="en-GB" sz="1100"/>
            </a:p>
          </xdr:txBody>
        </xdr:sp>
      </mc:Choice>
      <mc:Fallback xmlns="">
        <xdr:sp macro="" textlink="">
          <xdr:nvSpPr>
            <xdr:cNvPr id="10" name="TextBox 9"/>
            <xdr:cNvSpPr txBox="1"/>
          </xdr:nvSpPr>
          <xdr:spPr>
            <a:xfrm>
              <a:off x="9233647" y="4639234"/>
              <a:ext cx="11045687" cy="10940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NZ" sz="1100" b="0" i="0">
                  <a:latin typeface="Cambria Math" panose="02040503050406030204" pitchFamily="18" charset="0"/>
                </a:rPr>
                <a:t>𝑝𝑎𝑐𝑒</a:t>
              </a:r>
              <a:r>
                <a:rPr lang="en-GB" sz="1100" i="0">
                  <a:latin typeface="Cambria Math" panose="02040503050406030204" pitchFamily="18" charset="0"/>
                </a:rPr>
                <a:t>=(</a:t>
              </a:r>
              <a:r>
                <a:rPr lang="en-GB" sz="1100" i="0">
                  <a:solidFill>
                    <a:schemeClr val="tx1"/>
                  </a:solidFill>
                  <a:effectLst/>
                  <a:latin typeface="+mn-lt"/>
                  <a:ea typeface="+mn-ea"/>
                  <a:cs typeface="+mn-cs"/>
                </a:rPr>
                <a:t>"0.621371192</a:t>
              </a:r>
              <a:r>
                <a:rPr lang="en-GB" sz="1100" i="0">
                  <a:solidFill>
                    <a:schemeClr val="tx1"/>
                  </a:solidFill>
                  <a:effectLst/>
                  <a:latin typeface="Cambria Math" panose="02040503050406030204" pitchFamily="18" charset="0"/>
                  <a:ea typeface="Cambria Math" panose="02040503050406030204" pitchFamily="18" charset="0"/>
                  <a:cs typeface="+mn-cs"/>
                </a:rPr>
                <a:t>" ×</a:t>
              </a:r>
              <a:r>
                <a:rPr lang="en-GB" sz="1100" i="0">
                  <a:solidFill>
                    <a:schemeClr val="tx1"/>
                  </a:solidFill>
                  <a:effectLst/>
                  <a:latin typeface="+mn-lt"/>
                  <a:ea typeface="+mn-ea"/>
                  <a:cs typeface="+mn-cs"/>
                </a:rPr>
                <a:t>"1609.344</a:t>
              </a:r>
              <a:r>
                <a:rPr lang="en-GB" sz="110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Cambria Math" panose="02040503050406030204" pitchFamily="18" charset="0"/>
                  <a:cs typeface="+mn-cs"/>
                </a:rPr>
                <a:t>/</a:t>
              </a:r>
              <a:r>
                <a:rPr lang="en-NZ" sz="1100" b="0" i="0">
                  <a:solidFill>
                    <a:schemeClr val="tx1"/>
                  </a:solidFill>
                  <a:effectLst/>
                  <a:latin typeface="Cambria Math" panose="02040503050406030204" pitchFamily="18" charset="0"/>
                  <a:ea typeface="Cambria Math" panose="02040503050406030204" pitchFamily="18" charset="0"/>
                  <a:cs typeface="+mn-cs"/>
                </a:rPr>
                <a:t>1440</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29.54</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5.000663</a:t>
              </a:r>
              <a:r>
                <a:rPr lang="en-GB" sz="110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𝑚𝑎𝑥×</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1−</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𝐻𝑅</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i="0">
                  <a:solidFill>
                    <a:schemeClr val="tx1"/>
                  </a:solidFill>
                  <a:effectLst/>
                  <a:latin typeface="Cambria Math" panose="02040503050406030204" pitchFamily="18" charset="0"/>
                  <a:ea typeface="+mn-ea"/>
                  <a:cs typeface="+mn-cs"/>
                </a:rPr>
                <a:t>1</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 </a:t>
              </a:r>
              <a:r>
                <a:rPr lang="en-GB" sz="1100" i="0">
                  <a:solidFill>
                    <a:schemeClr val="tx1"/>
                  </a:solidFill>
                  <a:effectLst/>
                  <a:latin typeface="+mn-lt"/>
                  <a:ea typeface="+mn-ea"/>
                  <a:cs typeface="+mn-cs"/>
                </a:rPr>
                <a:t>0.007546</a:t>
              </a:r>
              <a:r>
                <a:rPr lang="en-GB" sz="1100" i="0">
                  <a:solidFill>
                    <a:schemeClr val="tx1"/>
                  </a:solidFill>
                  <a:effectLst/>
                  <a:latin typeface="Cambria Math" panose="02040503050406030204" pitchFamily="18" charset="0"/>
                  <a:ea typeface="+mn-ea"/>
                  <a:cs typeface="+mn-cs"/>
                </a:rPr>
                <a:t>" ×(</a:t>
              </a:r>
              <a:r>
                <a:rPr lang="en-NZ" sz="1100" i="0">
                  <a:solidFill>
                    <a:schemeClr val="tx1"/>
                  </a:solidFill>
                  <a:effectLst/>
                  <a:latin typeface="Cambria Math" panose="02040503050406030204" pitchFamily="18" charset="0"/>
                  <a:ea typeface="+mn-ea"/>
                  <a:cs typeface="+mn-cs"/>
                </a:rPr>
                <a:t>𝑉</a:t>
              </a:r>
              <a:r>
                <a:rPr lang="en-NZ" sz="1100" b="0" i="0">
                  <a:solidFill>
                    <a:schemeClr val="tx1"/>
                  </a:solidFill>
                  <a:effectLst/>
                  <a:latin typeface="Cambria Math" panose="02040503050406030204" pitchFamily="18" charset="0"/>
                  <a:ea typeface="+mn-ea"/>
                  <a:cs typeface="+mn-cs"/>
                </a:rPr>
                <a:t>𝐷𝑂𝑇×</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1−</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i="0">
                  <a:solidFill>
                    <a:schemeClr val="tx1"/>
                  </a:solidFill>
                  <a:effectLst/>
                  <a:latin typeface="Cambria Math"/>
                  <a:ea typeface="+mn-ea"/>
                  <a:cs typeface="+mn-cs"/>
                </a:rPr>
                <a:t>1</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𝑐𝑎𝑙</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𝐻𝑅</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𝑚𝑎𝑥</a:t>
              </a:r>
              <a:r>
                <a:rPr lang="en-NZ" sz="1100" b="0" i="0">
                  <a:solidFill>
                    <a:schemeClr val="tx1"/>
                  </a:solidFill>
                  <a:effectLst/>
                  <a:latin typeface="Cambria Math" panose="02040503050406030204" pitchFamily="18" charset="0"/>
                  <a:ea typeface="+mn-ea"/>
                  <a:cs typeface="+mn-cs"/>
                </a:rPr>
                <a:t> </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2 </a:t>
              </a:r>
              <a:r>
                <a:rPr lang="en-GB" sz="1100" b="0" i="0">
                  <a:solidFill>
                    <a:schemeClr val="tx1"/>
                  </a:solidFill>
                  <a:effectLst/>
                  <a:latin typeface="Cambria Math" panose="02040503050406030204" pitchFamily="18" charset="0"/>
                  <a:ea typeface="+mn-ea"/>
                  <a:cs typeface="+mn-cs"/>
                </a:rPr>
                <a:t>)</a:t>
              </a:r>
              <a:endParaRPr lang="en-GB" sz="1100"/>
            </a:p>
          </xdr:txBody>
        </xdr:sp>
      </mc:Fallback>
    </mc:AlternateContent>
    <xdr:clientData/>
  </xdr:oneCellAnchor>
  <xdr:oneCellAnchor>
    <xdr:from>
      <xdr:col>13</xdr:col>
      <xdr:colOff>84068</xdr:colOff>
      <xdr:row>31</xdr:row>
      <xdr:rowOff>194275</xdr:rowOff>
    </xdr:from>
    <xdr:ext cx="4183132" cy="501796"/>
    <mc:AlternateContent xmlns:mc="http://schemas.openxmlformats.org/markup-compatibility/2006" xmlns:a14="http://schemas.microsoft.com/office/drawing/2010/main">
      <mc:Choice Requires="a14">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9761468" y="6090250"/>
              <a:ext cx="418313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n-GB" sz="1100" i="1">
                            <a:solidFill>
                              <a:schemeClr val="tx1"/>
                            </a:solidFill>
                            <a:effectLst/>
                            <a:latin typeface="Cambria Math" panose="02040503050406030204" pitchFamily="18" charset="0"/>
                            <a:ea typeface="+mn-ea"/>
                            <a:cs typeface="+mn-cs"/>
                          </a:rPr>
                        </m:ctrlPr>
                      </m:fPr>
                      <m:num>
                        <m:r>
                          <a:rPr lang="en-NZ" sz="1100" i="1">
                            <a:solidFill>
                              <a:schemeClr val="tx1"/>
                            </a:solidFill>
                            <a:effectLst/>
                            <a:latin typeface="Cambria Math" panose="02040503050406030204" pitchFamily="18" charset="0"/>
                            <a:ea typeface="+mn-ea"/>
                            <a:cs typeface="+mn-cs"/>
                          </a:rPr>
                          <m:t>1</m:t>
                        </m:r>
                        <m:r>
                          <a:rPr lang="en-NZ" sz="1100" b="0" i="1">
                            <a:solidFill>
                              <a:schemeClr val="tx1"/>
                            </a:solidFill>
                            <a:effectLst/>
                            <a:latin typeface="Cambria Math" panose="02040503050406030204" pitchFamily="18" charset="0"/>
                            <a:ea typeface="+mn-ea"/>
                            <a:cs typeface="+mn-cs"/>
                          </a:rPr>
                          <m:t>000</m:t>
                        </m:r>
                      </m:num>
                      <m:den>
                        <m:r>
                          <a:rPr lang="en-NZ" sz="1100" b="0" i="1">
                            <a:solidFill>
                              <a:schemeClr val="tx1"/>
                            </a:solidFill>
                            <a:effectLst/>
                            <a:latin typeface="Cambria Math" panose="02040503050406030204" pitchFamily="18" charset="0"/>
                            <a:ea typeface="+mn-ea"/>
                            <a:cs typeface="+mn-cs"/>
                          </a:rPr>
                          <m:t>𝑝𝑎𝑐𝑒</m:t>
                        </m:r>
                        <m:d>
                          <m:dPr>
                            <m:ctrlPr>
                              <a:rPr lang="en-NZ" sz="1100" b="0" i="1">
                                <a:solidFill>
                                  <a:schemeClr val="tx1"/>
                                </a:solidFill>
                                <a:effectLst/>
                                <a:latin typeface="Cambria Math" panose="02040503050406030204" pitchFamily="18" charset="0"/>
                                <a:ea typeface="+mn-ea"/>
                                <a:cs typeface="+mn-cs"/>
                              </a:rPr>
                            </m:ctrlPr>
                          </m:dPr>
                          <m:e>
                            <m:f>
                              <m:fPr>
                                <m:ctrlPr>
                                  <a:rPr lang="en-NZ" sz="1100" b="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𝑚𝑖𝑛</m:t>
                                </m:r>
                              </m:num>
                              <m:den>
                                <m:r>
                                  <a:rPr lang="en-NZ" sz="1100" b="0" i="1">
                                    <a:solidFill>
                                      <a:schemeClr val="tx1"/>
                                    </a:solidFill>
                                    <a:effectLst/>
                                    <a:latin typeface="Cambria Math" panose="02040503050406030204" pitchFamily="18" charset="0"/>
                                    <a:ea typeface="+mn-ea"/>
                                    <a:cs typeface="+mn-cs"/>
                                  </a:rPr>
                                  <m:t>𝑘𝑚</m:t>
                                </m:r>
                              </m:den>
                            </m:f>
                          </m:e>
                        </m:d>
                      </m:den>
                    </m:f>
                    <m:r>
                      <a:rPr lang="en-NZ" sz="1100" b="0" i="1">
                        <a:solidFill>
                          <a:schemeClr val="tx1"/>
                        </a:solidFill>
                        <a:effectLst/>
                        <a:latin typeface="Cambria Math" panose="02040503050406030204" pitchFamily="18" charset="0"/>
                        <a:ea typeface="Cambria Math" panose="02040503050406030204" pitchFamily="18" charset="0"/>
                        <a:cs typeface="+mn-cs"/>
                      </a:rPr>
                      <m:t>=</m:t>
                    </m:r>
                    <m:r>
                      <m:rPr>
                        <m:nor/>
                      </m:rPr>
                      <a:rPr lang="en-GB" sz="1100">
                        <a:solidFill>
                          <a:schemeClr val="tx1"/>
                        </a:solidFill>
                        <a:effectLst/>
                        <a:latin typeface="+mn-lt"/>
                        <a:ea typeface="+mn-ea"/>
                        <a:cs typeface="+mn-cs"/>
                      </a:rPr>
                      <m:t>29.54</m:t>
                    </m:r>
                    <m:r>
                      <a:rPr lang="en-NZ" sz="1100" b="0" i="1">
                        <a:solidFill>
                          <a:schemeClr val="tx1"/>
                        </a:solidFill>
                        <a:effectLst/>
                        <a:latin typeface="Cambria Math"/>
                        <a:ea typeface="+mn-ea"/>
                        <a:cs typeface="+mn-cs"/>
                      </a:rPr>
                      <m:t>+</m:t>
                    </m:r>
                    <m:r>
                      <m:rPr>
                        <m:nor/>
                      </m:rPr>
                      <a:rPr lang="en-GB" sz="1100">
                        <a:solidFill>
                          <a:schemeClr val="tx1"/>
                        </a:solidFill>
                        <a:effectLst/>
                        <a:latin typeface="+mn-lt"/>
                        <a:ea typeface="+mn-ea"/>
                        <a:cs typeface="+mn-cs"/>
                      </a:rPr>
                      <m:t>5.000663</m:t>
                    </m:r>
                    <m:r>
                      <a:rPr lang="en-GB" sz="1100" i="1">
                        <a:solidFill>
                          <a:schemeClr val="tx1"/>
                        </a:solidFill>
                        <a:effectLst/>
                        <a:latin typeface="Cambria Math"/>
                        <a:ea typeface="+mn-ea"/>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r>
                      <m:rPr>
                        <m:nor/>
                      </m:rPr>
                      <a:rPr lang="en-GB" sz="1100">
                        <a:solidFill>
                          <a:schemeClr val="tx1"/>
                        </a:solidFill>
                        <a:effectLst/>
                        <a:latin typeface="+mn-lt"/>
                        <a:ea typeface="+mn-ea"/>
                        <a:cs typeface="+mn-cs"/>
                      </a:rPr>
                      <m:t>−</m:t>
                    </m:r>
                    <m:r>
                      <m:rPr>
                        <m:nor/>
                      </m:rPr>
                      <a:rPr lang="en-NZ" sz="1100" b="0" i="0">
                        <a:solidFill>
                          <a:schemeClr val="tx1"/>
                        </a:solidFill>
                        <a:effectLst/>
                        <a:latin typeface="+mn-lt"/>
                        <a:ea typeface="+mn-ea"/>
                        <a:cs typeface="+mn-cs"/>
                      </a:rPr>
                      <m:t> </m:t>
                    </m:r>
                    <m:r>
                      <m:rPr>
                        <m:nor/>
                      </m:rPr>
                      <a:rPr lang="en-GB" sz="1100">
                        <a:solidFill>
                          <a:schemeClr val="tx1"/>
                        </a:solidFill>
                        <a:effectLst/>
                        <a:latin typeface="+mn-lt"/>
                        <a:ea typeface="+mn-ea"/>
                        <a:cs typeface="+mn-cs"/>
                      </a:rPr>
                      <m:t>0.007546</m:t>
                    </m:r>
                    <m:r>
                      <a:rPr lang="en-GB" sz="1100" i="1">
                        <a:solidFill>
                          <a:schemeClr val="tx1"/>
                        </a:solidFill>
                        <a:effectLst/>
                        <a:latin typeface="Cambria Math"/>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a:ea typeface="+mn-ea"/>
                                <a:cs typeface="+mn-cs"/>
                              </a:rPr>
                              <m:t>𝑉𝐷𝑂𝑇</m:t>
                            </m:r>
                          </m:e>
                          <m:sub>
                            <m:r>
                              <a:rPr lang="en-NZ" sz="1100" b="0" i="1">
                                <a:solidFill>
                                  <a:schemeClr val="tx1"/>
                                </a:solidFill>
                                <a:effectLst/>
                                <a:latin typeface="Cambria Math"/>
                                <a:ea typeface="+mn-ea"/>
                                <a:cs typeface="+mn-cs"/>
                              </a:rPr>
                              <m:t>𝑎𝑏𝑠</m:t>
                            </m:r>
                          </m:sub>
                        </m:sSub>
                      </m:e>
                      <m:sup>
                        <m:r>
                          <a:rPr lang="en-NZ" sz="1100" b="0" i="1">
                            <a:solidFill>
                              <a:schemeClr val="tx1"/>
                            </a:solidFill>
                            <a:effectLst/>
                            <a:latin typeface="Cambria Math"/>
                            <a:ea typeface="+mn-ea"/>
                            <a:cs typeface="+mn-cs"/>
                          </a:rPr>
                          <m:t>2</m:t>
                        </m:r>
                      </m:sup>
                    </m:sSup>
                  </m:oMath>
                </m:oMathPara>
              </a14:m>
              <a:endParaRPr lang="en-GB" sz="1100"/>
            </a:p>
          </xdr:txBody>
        </xdr:sp>
      </mc:Choice>
      <mc:Fallback xmlns="">
        <xdr:sp macro="" textlink="">
          <xdr:nvSpPr>
            <xdr:cNvPr id="11" name="TextBox 10"/>
            <xdr:cNvSpPr txBox="1"/>
          </xdr:nvSpPr>
          <xdr:spPr>
            <a:xfrm>
              <a:off x="9761468" y="6090250"/>
              <a:ext cx="4183132" cy="5017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NZ" sz="1100" i="0">
                  <a:solidFill>
                    <a:schemeClr val="tx1"/>
                  </a:solidFill>
                  <a:effectLst/>
                  <a:latin typeface="+mn-lt"/>
                  <a:ea typeface="+mn-ea"/>
                  <a:cs typeface="+mn-cs"/>
                </a:rPr>
                <a:t>1</a:t>
              </a:r>
              <a:r>
                <a:rPr lang="en-NZ" sz="1100" b="0" i="0">
                  <a:solidFill>
                    <a:schemeClr val="tx1"/>
                  </a:solidFill>
                  <a:effectLst/>
                  <a:latin typeface="+mn-lt"/>
                  <a:ea typeface="+mn-ea"/>
                  <a:cs typeface="+mn-cs"/>
                </a:rPr>
                <a:t>000</a:t>
              </a:r>
              <a:r>
                <a:rPr lang="en-GB" sz="1100" b="0" i="0">
                  <a:solidFill>
                    <a:schemeClr val="tx1"/>
                  </a:solidFill>
                  <a:effectLst/>
                  <a:latin typeface="+mn-lt"/>
                  <a:ea typeface="+mn-ea"/>
                  <a:cs typeface="+mn-cs"/>
                </a:rPr>
                <a:t>/</a:t>
              </a:r>
              <a:r>
                <a:rPr lang="en-NZ" sz="1100" b="0" i="0">
                  <a:solidFill>
                    <a:schemeClr val="tx1"/>
                  </a:solidFill>
                  <a:effectLst/>
                  <a:latin typeface="+mn-lt"/>
                  <a:ea typeface="+mn-ea"/>
                  <a:cs typeface="+mn-cs"/>
                </a:rPr>
                <a:t>𝑝𝑎𝑐𝑒(𝑚𝑖𝑛/𝑘𝑚) </a:t>
              </a:r>
              <a:r>
                <a:rPr lang="en-NZ"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29.54</a:t>
              </a:r>
              <a:r>
                <a:rPr lang="en-NZ" sz="1100" b="0" i="0">
                  <a:solidFill>
                    <a:schemeClr val="tx1"/>
                  </a:solidFill>
                  <a:effectLst/>
                  <a:latin typeface="Cambria Math"/>
                  <a:ea typeface="+mn-ea"/>
                  <a:cs typeface="+mn-cs"/>
                </a:rPr>
                <a:t>"+</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5.000663</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mn-lt"/>
                  <a:ea typeface="+mn-ea"/>
                  <a:cs typeface="+mn-cs"/>
                </a:rPr>
                <a:t>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mn-ea"/>
                  <a:cs typeface="+mn-cs"/>
                </a:rPr>
                <a:t>0.007546</a:t>
              </a:r>
              <a:r>
                <a:rPr lang="en-GB" sz="1100" i="0">
                  <a:solidFill>
                    <a:schemeClr val="tx1"/>
                  </a:solidFill>
                  <a:effectLst/>
                  <a:latin typeface="Cambria Math"/>
                  <a:ea typeface="+mn-ea"/>
                  <a:cs typeface="+mn-cs"/>
                </a:rPr>
                <a:t>"×</a:t>
              </a:r>
              <a:r>
                <a:rPr lang="en-GB" sz="110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𝑉𝐷𝑂𝑇</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a:ea typeface="+mn-ea"/>
                  <a:cs typeface="+mn-cs"/>
                </a:rPr>
                <a:t>𝑎𝑏𝑠</a:t>
              </a:r>
              <a:r>
                <a:rPr lang="en-GB"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Cambria Math"/>
                  <a:ea typeface="+mn-ea"/>
                  <a:cs typeface="+mn-cs"/>
                </a:rPr>
                <a:t>2</a:t>
              </a:r>
              <a:endParaRPr lang="en-GB" sz="1100"/>
            </a:p>
          </xdr:txBody>
        </xdr:sp>
      </mc:Fallback>
    </mc:AlternateContent>
    <xdr:clientData/>
  </xdr:oneCellAnchor>
  <xdr:twoCellAnchor>
    <xdr:from>
      <xdr:col>49</xdr:col>
      <xdr:colOff>0</xdr:colOff>
      <xdr:row>49</xdr:row>
      <xdr:rowOff>0</xdr:rowOff>
    </xdr:from>
    <xdr:to>
      <xdr:col>67</xdr:col>
      <xdr:colOff>593912</xdr:colOff>
      <xdr:row>74</xdr:row>
      <xdr:rowOff>110940</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49</xdr:col>
      <xdr:colOff>0</xdr:colOff>
      <xdr:row>75</xdr:row>
      <xdr:rowOff>0</xdr:rowOff>
    </xdr:from>
    <xdr:to>
      <xdr:col>52</xdr:col>
      <xdr:colOff>38096</xdr:colOff>
      <xdr:row>82</xdr:row>
      <xdr:rowOff>181341</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11</xdr:col>
      <xdr:colOff>199622</xdr:colOff>
      <xdr:row>44</xdr:row>
      <xdr:rowOff>149837</xdr:rowOff>
    </xdr:from>
    <xdr:ext cx="6024284" cy="280149"/>
    <mc:AlternateContent xmlns:mc="http://schemas.openxmlformats.org/markup-compatibility/2006" xmlns:a14="http://schemas.microsoft.com/office/drawing/2010/main">
      <mc:Choice Requires="a14">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8676872" y="8559051"/>
              <a:ext cx="6024284" cy="28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14:m>
                <m:oMathPara xmlns:m="http://schemas.openxmlformats.org/officeDocument/2006/math">
                  <m:oMathParaPr>
                    <m:jc m:val="centerGroup"/>
                  </m:oMathParaPr>
                  <m:oMath xmlns:m="http://schemas.openxmlformats.org/officeDocument/2006/math">
                    <m:sSub>
                      <m:sSubPr>
                        <m:ctrlPr>
                          <a:rPr lang="en-NZ" sz="1100" b="0" i="1">
                            <a:latin typeface="Cambria Math" panose="02040503050406030204" pitchFamily="18" charset="0"/>
                          </a:rPr>
                        </m:ctrlPr>
                      </m:sSubPr>
                      <m:e>
                        <m:r>
                          <m:rPr>
                            <m:nor/>
                          </m:rPr>
                          <a:rPr lang="en-NZ" sz="1100" b="0">
                            <a:solidFill>
                              <a:schemeClr val="tx1"/>
                            </a:solidFill>
                            <a:effectLst/>
                            <a:latin typeface="+mn-lt"/>
                            <a:ea typeface="+mn-ea"/>
                            <a:cs typeface="+mn-cs"/>
                          </a:rPr>
                          <m:t>%</m:t>
                        </m:r>
                        <m:r>
                          <m:rPr>
                            <m:sty m:val="p"/>
                          </m:rPr>
                          <a:rPr lang="en-NZ" sz="1100" b="0" i="0">
                            <a:solidFill>
                              <a:schemeClr val="tx1"/>
                            </a:solidFill>
                            <a:effectLst/>
                            <a:latin typeface="Cambria Math" panose="02040503050406030204" pitchFamily="18" charset="0"/>
                            <a:ea typeface="+mn-ea"/>
                            <a:cs typeface="+mn-cs"/>
                          </a:rPr>
                          <m:t>VDOT</m:t>
                        </m:r>
                      </m:e>
                      <m:sub>
                        <m:r>
                          <a:rPr lang="en-NZ" sz="1100" b="0" i="1">
                            <a:latin typeface="Cambria Math" panose="02040503050406030204" pitchFamily="18" charset="0"/>
                          </a:rPr>
                          <m:t>𝑟𝑎𝑐𝑒</m:t>
                        </m:r>
                      </m:sub>
                    </m:sSub>
                    <m:r>
                      <a:rPr lang="en-NZ" sz="1100" b="0" i="1">
                        <a:latin typeface="Cambria Math"/>
                      </a:rPr>
                      <m:t>=</m:t>
                    </m:r>
                    <m:r>
                      <a:rPr lang="en-GB" sz="1100" i="1">
                        <a:solidFill>
                          <a:schemeClr val="tx1"/>
                        </a:solidFill>
                        <a:effectLst/>
                        <a:latin typeface="Cambria Math" panose="02040503050406030204" pitchFamily="18" charset="0"/>
                        <a:ea typeface="+mn-ea"/>
                        <a:cs typeface="+mn-cs"/>
                      </a:rPr>
                      <m:t>0.8</m:t>
                    </m:r>
                    <m:r>
                      <a:rPr lang="en-NZ" sz="1100" b="0" i="1">
                        <a:solidFill>
                          <a:schemeClr val="tx1"/>
                        </a:solidFill>
                        <a:effectLst/>
                        <a:latin typeface="Cambria Math" panose="02040503050406030204" pitchFamily="18" charset="0"/>
                        <a:ea typeface="+mn-ea"/>
                        <a:cs typeface="+mn-cs"/>
                      </a:rPr>
                      <m:t>+</m:t>
                    </m:r>
                    <m:r>
                      <a:rPr lang="en-GB" sz="1100" i="1">
                        <a:solidFill>
                          <a:schemeClr val="tx1"/>
                        </a:solidFill>
                        <a:effectLst/>
                        <a:latin typeface="Cambria Math" panose="02040503050406030204" pitchFamily="18" charset="0"/>
                        <a:ea typeface="+mn-ea"/>
                        <a:cs typeface="+mn-cs"/>
                      </a:rPr>
                      <m:t>0.1894393×</m:t>
                    </m:r>
                    <m:sSup>
                      <m:sSupPr>
                        <m:ctrlPr>
                          <a:rPr lang="en-GB" sz="1100" i="1">
                            <a:solidFill>
                              <a:schemeClr val="tx1"/>
                            </a:solidFill>
                            <a:effectLst/>
                            <a:latin typeface="Cambria Math" panose="02040503050406030204" pitchFamily="18" charset="0"/>
                            <a:ea typeface="+mn-ea"/>
                            <a:cs typeface="+mn-cs"/>
                          </a:rPr>
                        </m:ctrlPr>
                      </m:sSupPr>
                      <m:e>
                        <m:r>
                          <a:rPr lang="en-NZ" sz="1100" b="0" i="1">
                            <a:solidFill>
                              <a:schemeClr val="tx1"/>
                            </a:solidFill>
                            <a:effectLst/>
                            <a:latin typeface="Cambria Math" panose="02040503050406030204" pitchFamily="18" charset="0"/>
                            <a:ea typeface="+mn-ea"/>
                            <a:cs typeface="+mn-cs"/>
                          </a:rPr>
                          <m:t>𝑒</m:t>
                        </m:r>
                      </m:e>
                      <m:sup>
                        <m:r>
                          <a:rPr lang="en-GB" sz="1100" i="1">
                            <a:solidFill>
                              <a:schemeClr val="tx1"/>
                            </a:solidFill>
                            <a:effectLst/>
                            <a:latin typeface="Cambria Math" panose="02040503050406030204" pitchFamily="18" charset="0"/>
                            <a:ea typeface="+mn-ea"/>
                            <a:cs typeface="+mn-cs"/>
                          </a:rPr>
                          <m:t>−0.012778×</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𝑡</m:t>
                            </m:r>
                          </m:e>
                          <m:sub>
                            <m:r>
                              <a:rPr lang="en-NZ" sz="1100" b="0" i="1">
                                <a:solidFill>
                                  <a:schemeClr val="tx1"/>
                                </a:solidFill>
                                <a:effectLst/>
                                <a:latin typeface="Cambria Math" panose="02040503050406030204" pitchFamily="18" charset="0"/>
                                <a:ea typeface="+mn-ea"/>
                                <a:cs typeface="+mn-cs"/>
                              </a:rPr>
                              <m:t>𝑟𝑎𝑐𝑒</m:t>
                            </m:r>
                          </m:sub>
                        </m:sSub>
                      </m:sup>
                    </m:sSup>
                    <m:r>
                      <a:rPr lang="en-GB" sz="1100" i="1">
                        <a:solidFill>
                          <a:schemeClr val="tx1"/>
                        </a:solidFill>
                        <a:effectLst/>
                        <a:latin typeface="Cambria Math" panose="02040503050406030204" pitchFamily="18" charset="0"/>
                        <a:ea typeface="+mn-ea"/>
                        <a:cs typeface="+mn-cs"/>
                      </a:rPr>
                      <m:t>+0.2989558×</m:t>
                    </m:r>
                    <m:sSup>
                      <m:sSupPr>
                        <m:ctrlPr>
                          <a:rPr lang="en-GB" sz="1100" i="1">
                            <a:solidFill>
                              <a:schemeClr val="tx1"/>
                            </a:solidFill>
                            <a:effectLst/>
                            <a:latin typeface="Cambria Math" panose="02040503050406030204" pitchFamily="18" charset="0"/>
                            <a:ea typeface="+mn-ea"/>
                            <a:cs typeface="+mn-cs"/>
                          </a:rPr>
                        </m:ctrlPr>
                      </m:sSupPr>
                      <m:e>
                        <m:r>
                          <a:rPr lang="en-NZ" sz="1100" b="0" i="1">
                            <a:solidFill>
                              <a:schemeClr val="tx1"/>
                            </a:solidFill>
                            <a:effectLst/>
                            <a:latin typeface="Cambria Math" panose="02040503050406030204" pitchFamily="18" charset="0"/>
                            <a:ea typeface="+mn-ea"/>
                            <a:cs typeface="+mn-cs"/>
                          </a:rPr>
                          <m:t>𝑒</m:t>
                        </m:r>
                      </m:e>
                      <m:sup>
                        <m:r>
                          <a:rPr lang="en-GB" sz="1100" i="1">
                            <a:solidFill>
                              <a:schemeClr val="tx1"/>
                            </a:solidFill>
                            <a:effectLst/>
                            <a:latin typeface="Cambria Math" panose="02040503050406030204" pitchFamily="18" charset="0"/>
                            <a:ea typeface="+mn-ea"/>
                            <a:cs typeface="+mn-cs"/>
                          </a:rPr>
                          <m:t>−0.1932605×</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𝑡</m:t>
                            </m:r>
                          </m:e>
                          <m:sub>
                            <m:r>
                              <a:rPr lang="en-NZ" sz="1100" b="0" i="1">
                                <a:solidFill>
                                  <a:schemeClr val="tx1"/>
                                </a:solidFill>
                                <a:effectLst/>
                                <a:latin typeface="Cambria Math" panose="02040503050406030204" pitchFamily="18" charset="0"/>
                                <a:ea typeface="+mn-ea"/>
                                <a:cs typeface="+mn-cs"/>
                              </a:rPr>
                              <m:t>𝑟𝑎𝑐𝑒</m:t>
                            </m:r>
                          </m:sub>
                        </m:sSub>
                      </m:sup>
                    </m:sSup>
                  </m:oMath>
                </m:oMathPara>
              </a14:m>
              <a:endParaRPr lang="en-GB" sz="1100"/>
            </a:p>
          </xdr:txBody>
        </xdr:sp>
      </mc:Choice>
      <mc:Fallback xmlns="">
        <xdr:sp macro="" textlink="">
          <xdr:nvSpPr>
            <xdr:cNvPr id="15" name="TextBox 14"/>
            <xdr:cNvSpPr txBox="1"/>
          </xdr:nvSpPr>
          <xdr:spPr>
            <a:xfrm>
              <a:off x="8676872" y="8559051"/>
              <a:ext cx="6024284" cy="2801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noAutofit/>
            </a:bodyPr>
            <a:lstStyle/>
            <a:p>
              <a:pPr/>
              <a:r>
                <a:rPr lang="en-NZ" sz="1100" b="0" i="0">
                  <a:latin typeface="Cambria Math" panose="02040503050406030204" pitchFamily="18" charset="0"/>
                </a:rPr>
                <a:t>〖</a:t>
              </a:r>
              <a:r>
                <a:rPr lang="en-NZ" sz="1100" b="0" i="0">
                  <a:solidFill>
                    <a:schemeClr val="tx1"/>
                  </a:solidFill>
                  <a:effectLst/>
                  <a:latin typeface="+mn-lt"/>
                  <a:ea typeface="+mn-ea"/>
                  <a:cs typeface="+mn-cs"/>
                </a:rPr>
                <a:t>"%</a:t>
              </a:r>
              <a:r>
                <a:rPr lang="en-NZ" sz="1100" b="0" i="0">
                  <a:solidFill>
                    <a:schemeClr val="tx1"/>
                  </a:solidFill>
                  <a:effectLst/>
                  <a:latin typeface="Cambria Math" panose="02040503050406030204" pitchFamily="18" charset="0"/>
                  <a:ea typeface="+mn-ea"/>
                  <a:cs typeface="+mn-cs"/>
                </a:rPr>
                <a:t>" VDOT〗_</a:t>
              </a:r>
              <a:r>
                <a:rPr lang="en-NZ" sz="1100" b="0" i="0">
                  <a:latin typeface="Cambria Math" panose="02040503050406030204" pitchFamily="18" charset="0"/>
                </a:rPr>
                <a:t>𝑟𝑎𝑐𝑒</a:t>
              </a:r>
              <a:r>
                <a:rPr lang="en-NZ" sz="1100" b="0" i="0">
                  <a:latin typeface="Cambria Math"/>
                </a:rPr>
                <a:t>=</a:t>
              </a:r>
              <a:r>
                <a:rPr lang="en-GB" sz="1100" i="0">
                  <a:solidFill>
                    <a:schemeClr val="tx1"/>
                  </a:solidFill>
                  <a:effectLst/>
                  <a:latin typeface="Cambria Math" panose="02040503050406030204" pitchFamily="18" charset="0"/>
                  <a:ea typeface="+mn-ea"/>
                  <a:cs typeface="+mn-cs"/>
                </a:rPr>
                <a:t>0.8</a:t>
              </a:r>
              <a:r>
                <a:rPr lang="en-NZ"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0.1894393×</a:t>
              </a:r>
              <a:r>
                <a:rPr lang="en-NZ" sz="1100" b="0" i="0">
                  <a:solidFill>
                    <a:schemeClr val="tx1"/>
                  </a:solidFill>
                  <a:effectLst/>
                  <a:latin typeface="Cambria Math" panose="02040503050406030204" pitchFamily="18" charset="0"/>
                  <a:ea typeface="+mn-ea"/>
                  <a:cs typeface="+mn-cs"/>
                </a:rPr>
                <a:t>𝑒</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−0.012778×</a:t>
              </a:r>
              <a:r>
                <a:rPr lang="en-NZ" sz="1100" b="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𝑟𝑎𝑐𝑒 </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+0.2989558×</a:t>
              </a:r>
              <a:r>
                <a:rPr lang="en-NZ" sz="1100" b="0" i="0">
                  <a:solidFill>
                    <a:schemeClr val="tx1"/>
                  </a:solidFill>
                  <a:effectLst/>
                  <a:latin typeface="Cambria Math" panose="02040503050406030204" pitchFamily="18" charset="0"/>
                  <a:ea typeface="+mn-ea"/>
                  <a:cs typeface="+mn-cs"/>
                </a:rPr>
                <a:t>𝑒</a:t>
              </a:r>
              <a:r>
                <a:rPr lang="en-GB"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−0.1932605×</a:t>
              </a:r>
              <a:r>
                <a:rPr lang="en-NZ" sz="1100" b="0" i="0">
                  <a:solidFill>
                    <a:schemeClr val="tx1"/>
                  </a:solidFill>
                  <a:effectLst/>
                  <a:latin typeface="Cambria Math" panose="02040503050406030204" pitchFamily="18" charset="0"/>
                  <a:ea typeface="+mn-ea"/>
                  <a:cs typeface="+mn-cs"/>
                </a:rPr>
                <a:t>𝑡</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𝑟𝑎𝑐𝑒 </a:t>
              </a:r>
              <a:r>
                <a:rPr lang="en-GB" sz="1100" b="0" i="0">
                  <a:solidFill>
                    <a:schemeClr val="tx1"/>
                  </a:solidFill>
                  <a:effectLst/>
                  <a:latin typeface="Cambria Math" panose="02040503050406030204" pitchFamily="18" charset="0"/>
                  <a:ea typeface="+mn-ea"/>
                  <a:cs typeface="+mn-cs"/>
                </a:rPr>
                <a:t>)</a:t>
              </a:r>
              <a:endParaRPr lang="en-GB" sz="1100"/>
            </a:p>
          </xdr:txBody>
        </xdr:sp>
      </mc:Fallback>
    </mc:AlternateContent>
    <xdr:clientData/>
  </xdr:oneCellAnchor>
  <xdr:oneCellAnchor>
    <xdr:from>
      <xdr:col>4</xdr:col>
      <xdr:colOff>126968</xdr:colOff>
      <xdr:row>51</xdr:row>
      <xdr:rowOff>94138</xdr:rowOff>
    </xdr:from>
    <xdr:ext cx="2835776" cy="322461"/>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13093" y="9809638"/>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NZ" sz="1100" b="0" i="1">
                            <a:latin typeface="Cambria Math" panose="02040503050406030204" pitchFamily="18" charset="0"/>
                          </a:rPr>
                        </m:ctrlPr>
                      </m:sSubPr>
                      <m:e>
                        <m:r>
                          <a:rPr lang="en-NZ" sz="1100" b="0" i="1">
                            <a:solidFill>
                              <a:schemeClr val="tx1"/>
                            </a:solidFill>
                            <a:effectLst/>
                            <a:latin typeface="Cambria Math" panose="02040503050406030204" pitchFamily="18" charset="0"/>
                            <a:ea typeface="+mn-ea"/>
                            <a:cs typeface="+mn-cs"/>
                          </a:rPr>
                          <m:t>𝐻𝑅</m:t>
                        </m:r>
                        <m:r>
                          <a:rPr lang="en-NZ" sz="1100" b="0" i="1">
                            <a:solidFill>
                              <a:schemeClr val="tx1"/>
                            </a:solidFill>
                            <a:effectLst/>
                            <a:latin typeface="Cambria Math" panose="02040503050406030204" pitchFamily="18" charset="0"/>
                            <a:ea typeface="+mn-ea"/>
                            <a:cs typeface="+mn-cs"/>
                          </a:rPr>
                          <m:t>%</m:t>
                        </m:r>
                      </m:e>
                      <m:sub>
                        <m:r>
                          <a:rPr lang="en-NZ" sz="1100" b="0" i="1">
                            <a:latin typeface="Cambria Math" panose="02040503050406030204" pitchFamily="18" charset="0"/>
                          </a:rPr>
                          <m:t>𝑑𝑒𝑓𝑎𝑢𝑙𝑡</m:t>
                        </m:r>
                      </m:sub>
                    </m:sSub>
                    <m:r>
                      <a:rPr lang="en-NZ" sz="1100" b="0" i="1">
                        <a:latin typeface="Cambria Math" panose="02040503050406030204" pitchFamily="18" charset="0"/>
                      </a:rPr>
                      <m:t>=</m:t>
                    </m:r>
                    <m:r>
                      <a:rPr lang="en-GB" sz="1100" i="1">
                        <a:latin typeface="Cambria Math" panose="02040503050406030204" pitchFamily="18" charset="0"/>
                      </a:rPr>
                      <m:t>0.</m:t>
                    </m:r>
                    <m:r>
                      <a:rPr lang="en-NZ" sz="1100" b="0" i="1">
                        <a:latin typeface="Cambria Math" panose="02040503050406030204" pitchFamily="18" charset="0"/>
                      </a:rPr>
                      <m:t>6</m:t>
                    </m:r>
                    <m:r>
                      <a:rPr lang="en-GB" sz="1100" i="1">
                        <a:latin typeface="Cambria Math" panose="02040503050406030204" pitchFamily="18" charset="0"/>
                      </a:rPr>
                      <m:t>5+</m:t>
                    </m:r>
                    <m:f>
                      <m:fPr>
                        <m:ctrlPr>
                          <a:rPr lang="en-GB" sz="1100" i="1">
                            <a:latin typeface="Cambria Math" panose="02040503050406030204" pitchFamily="18" charset="0"/>
                          </a:rPr>
                        </m:ctrlPr>
                      </m:fPr>
                      <m:num>
                        <m:r>
                          <a:rPr lang="en-NZ" sz="1100" b="0" i="1">
                            <a:latin typeface="Cambria Math" panose="02040503050406030204" pitchFamily="18" charset="0"/>
                          </a:rPr>
                          <m:t>0.35</m:t>
                        </m:r>
                        <m:r>
                          <a:rPr lang="en-NZ" sz="1100" b="0" i="1">
                            <a:latin typeface="Cambria Math" panose="02040503050406030204" pitchFamily="18" charset="0"/>
                            <a:ea typeface="Cambria Math" panose="02040503050406030204" pitchFamily="18" charset="0"/>
                          </a:rPr>
                          <m:t>×</m:t>
                        </m:r>
                        <m:r>
                          <a:rPr lang="en-GB" sz="1100" i="1">
                            <a:solidFill>
                              <a:schemeClr val="tx1"/>
                            </a:solidFill>
                            <a:effectLst/>
                            <a:latin typeface="Cambria Math" panose="02040503050406030204" pitchFamily="18" charset="0"/>
                            <a:ea typeface="+mn-ea"/>
                            <a:cs typeface="+mn-cs"/>
                          </a:rPr>
                          <m:t>(</m:t>
                        </m:r>
                        <m:r>
                          <a:rPr lang="en-GB" sz="1100" i="1">
                            <a:solidFill>
                              <a:schemeClr val="tx1"/>
                            </a:solidFill>
                            <a:effectLst/>
                            <a:latin typeface="Cambria Math" panose="02040503050406030204" pitchFamily="18" charset="0"/>
                            <a:ea typeface="+mn-ea"/>
                            <a:cs typeface="+mn-cs"/>
                          </a:rPr>
                          <m:t>𝑉𝐷𝑂𝑇</m:t>
                        </m:r>
                        <m:r>
                          <a:rPr lang="en-NZ" sz="1100" b="0" i="1">
                            <a:solidFill>
                              <a:schemeClr val="tx1"/>
                            </a:solidFill>
                            <a:effectLst/>
                            <a:latin typeface="Cambria Math" panose="02040503050406030204" pitchFamily="18" charset="0"/>
                            <a:ea typeface="+mn-ea"/>
                            <a:cs typeface="+mn-cs"/>
                          </a:rPr>
                          <m:t>%</m:t>
                        </m:r>
                        <m:r>
                          <a:rPr lang="en-GB" sz="1100" i="1">
                            <a:solidFill>
                              <a:schemeClr val="tx1"/>
                            </a:solidFill>
                            <a:effectLst/>
                            <a:latin typeface="Cambria Math" panose="02040503050406030204" pitchFamily="18" charset="0"/>
                            <a:ea typeface="+mn-ea"/>
                            <a:cs typeface="+mn-cs"/>
                          </a:rPr>
                          <m:t>−0.</m:t>
                        </m:r>
                        <m:r>
                          <a:rPr lang="en-NZ" sz="1100" b="0" i="1">
                            <a:solidFill>
                              <a:schemeClr val="tx1"/>
                            </a:solidFill>
                            <a:effectLst/>
                            <a:latin typeface="Cambria Math" panose="02040503050406030204" pitchFamily="18" charset="0"/>
                            <a:ea typeface="+mn-ea"/>
                            <a:cs typeface="+mn-cs"/>
                          </a:rPr>
                          <m:t>59)</m:t>
                        </m:r>
                      </m:num>
                      <m:den>
                        <m:r>
                          <a:rPr lang="en-NZ" sz="1100" b="0" i="1">
                            <a:latin typeface="Cambria Math" panose="02040503050406030204" pitchFamily="18" charset="0"/>
                          </a:rPr>
                          <m:t>0.41</m:t>
                        </m:r>
                      </m:den>
                    </m:f>
                  </m:oMath>
                </m:oMathPara>
              </a14:m>
              <a:endParaRPr lang="en-GB" sz="1100"/>
            </a:p>
          </xdr:txBody>
        </xdr:sp>
      </mc:Choice>
      <mc:Fallback xmlns="">
        <xdr:sp macro="" textlink="">
          <xdr:nvSpPr>
            <xdr:cNvPr id="5" name="TextBox 4"/>
            <xdr:cNvSpPr txBox="1"/>
          </xdr:nvSpPr>
          <xdr:spPr>
            <a:xfrm>
              <a:off x="3413093" y="9809638"/>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NZ" sz="1100" b="0" i="0">
                  <a:latin typeface="Cambria Math" panose="02040503050406030204" pitchFamily="18" charset="0"/>
                </a:rPr>
                <a:t>〖</a:t>
              </a:r>
              <a:r>
                <a:rPr lang="en-NZ" sz="1100" b="0" i="0">
                  <a:solidFill>
                    <a:schemeClr val="tx1"/>
                  </a:solidFill>
                  <a:effectLst/>
                  <a:latin typeface="Cambria Math" panose="02040503050406030204" pitchFamily="18" charset="0"/>
                  <a:ea typeface="+mn-ea"/>
                  <a:cs typeface="+mn-cs"/>
                </a:rPr>
                <a:t>𝐻𝑅%〗_</a:t>
              </a:r>
              <a:r>
                <a:rPr lang="en-NZ" sz="1100" b="0" i="0">
                  <a:latin typeface="Cambria Math" panose="02040503050406030204" pitchFamily="18" charset="0"/>
                </a:rPr>
                <a:t>𝑑𝑒𝑓𝑎𝑢𝑙𝑡=</a:t>
              </a:r>
              <a:r>
                <a:rPr lang="en-GB" sz="1100" i="0">
                  <a:latin typeface="Cambria Math" panose="02040503050406030204" pitchFamily="18" charset="0"/>
                </a:rPr>
                <a:t>0.</a:t>
              </a:r>
              <a:r>
                <a:rPr lang="en-NZ" sz="1100" b="0" i="0">
                  <a:latin typeface="Cambria Math" panose="02040503050406030204" pitchFamily="18" charset="0"/>
                </a:rPr>
                <a:t>6</a:t>
              </a:r>
              <a:r>
                <a:rPr lang="en-GB" sz="1100" i="0">
                  <a:latin typeface="Cambria Math" panose="02040503050406030204" pitchFamily="18" charset="0"/>
                </a:rPr>
                <a:t>5+(</a:t>
              </a:r>
              <a:r>
                <a:rPr lang="en-NZ" sz="1100" b="0" i="0">
                  <a:latin typeface="Cambria Math" panose="02040503050406030204" pitchFamily="18" charset="0"/>
                </a:rPr>
                <a:t>0.35</a:t>
              </a:r>
              <a:r>
                <a:rPr lang="en-NZ" sz="1100" b="0" i="0">
                  <a:latin typeface="Cambria Math" panose="02040503050406030204" pitchFamily="18" charset="0"/>
                  <a:ea typeface="Cambria Math" panose="02040503050406030204" pitchFamily="18" charset="0"/>
                </a:rPr>
                <a:t>×</a:t>
              </a:r>
              <a:r>
                <a:rPr lang="en-GB" sz="1100" i="0">
                  <a:solidFill>
                    <a:schemeClr val="tx1"/>
                  </a:solidFill>
                  <a:effectLst/>
                  <a:latin typeface="Cambria Math" panose="02040503050406030204" pitchFamily="18" charset="0"/>
                  <a:ea typeface="+mn-ea"/>
                  <a:cs typeface="+mn-cs"/>
                </a:rPr>
                <a:t>(𝑉𝐷𝑂𝑇</a:t>
              </a:r>
              <a:r>
                <a:rPr lang="en-NZ" sz="1100" b="0" i="0">
                  <a:solidFill>
                    <a:schemeClr val="tx1"/>
                  </a:solidFill>
                  <a:effectLst/>
                  <a:latin typeface="Cambria Math" panose="02040503050406030204" pitchFamily="18" charset="0"/>
                  <a:ea typeface="+mn-ea"/>
                  <a:cs typeface="+mn-cs"/>
                </a:rPr>
                <a:t>%</a:t>
              </a:r>
              <a:r>
                <a:rPr lang="en-GB" sz="1100" i="0">
                  <a:solidFill>
                    <a:schemeClr val="tx1"/>
                  </a:solidFill>
                  <a:effectLst/>
                  <a:latin typeface="Cambria Math" panose="02040503050406030204" pitchFamily="18" charset="0"/>
                  <a:ea typeface="+mn-ea"/>
                  <a:cs typeface="+mn-cs"/>
                </a:rPr>
                <a:t>−0.</a:t>
              </a:r>
              <a:r>
                <a:rPr lang="en-NZ" sz="1100" b="0" i="0">
                  <a:solidFill>
                    <a:schemeClr val="tx1"/>
                  </a:solidFill>
                  <a:effectLst/>
                  <a:latin typeface="Cambria Math" panose="02040503050406030204" pitchFamily="18" charset="0"/>
                  <a:ea typeface="+mn-ea"/>
                  <a:cs typeface="+mn-cs"/>
                </a:rPr>
                <a:t>59)</a:t>
              </a:r>
              <a:r>
                <a:rPr lang="en-GB" sz="1100" b="0" i="0">
                  <a:solidFill>
                    <a:schemeClr val="tx1"/>
                  </a:solidFill>
                  <a:effectLst/>
                  <a:latin typeface="Cambria Math" panose="02040503050406030204" pitchFamily="18" charset="0"/>
                  <a:ea typeface="+mn-ea"/>
                  <a:cs typeface="+mn-cs"/>
                </a:rPr>
                <a:t>)/</a:t>
              </a:r>
              <a:r>
                <a:rPr lang="en-NZ" sz="1100" b="0" i="0">
                  <a:latin typeface="Cambria Math" panose="02040503050406030204" pitchFamily="18" charset="0"/>
                </a:rPr>
                <a:t>0.41</a:t>
              </a:r>
              <a:endParaRPr lang="en-GB" sz="1100"/>
            </a:p>
          </xdr:txBody>
        </xdr:sp>
      </mc:Fallback>
    </mc:AlternateContent>
    <xdr:clientData/>
  </xdr:oneCellAnchor>
  <xdr:oneCellAnchor>
    <xdr:from>
      <xdr:col>4</xdr:col>
      <xdr:colOff>126968</xdr:colOff>
      <xdr:row>54</xdr:row>
      <xdr:rowOff>27463</xdr:rowOff>
    </xdr:from>
    <xdr:ext cx="2835776" cy="322461"/>
    <mc:AlternateContent xmlns:mc="http://schemas.openxmlformats.org/markup-compatibility/2006" xmlns:a14="http://schemas.microsoft.com/office/drawing/2010/main">
      <mc:Choice Requires="a14">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13093" y="10314463"/>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solidFill>
                              <a:schemeClr val="tx1"/>
                            </a:solidFill>
                            <a:effectLst/>
                            <a:latin typeface="Cambria Math" panose="02040503050406030204" pitchFamily="18" charset="0"/>
                            <a:ea typeface="+mn-ea"/>
                            <a:cs typeface="+mn-cs"/>
                          </a:rPr>
                        </m:ctrlPr>
                      </m:sSubPr>
                      <m:e>
                        <m:r>
                          <a:rPr lang="en-GB" sz="1100" i="1">
                            <a:solidFill>
                              <a:schemeClr val="tx1"/>
                            </a:solidFill>
                            <a:effectLst/>
                            <a:latin typeface="Cambria Math" panose="02040503050406030204" pitchFamily="18" charset="0"/>
                            <a:ea typeface="+mn-ea"/>
                            <a:cs typeface="+mn-cs"/>
                          </a:rPr>
                          <m:t>𝑉𝐷𝑂𝑇</m:t>
                        </m:r>
                        <m:r>
                          <a:rPr lang="en-NZ" sz="1100" b="0" i="1">
                            <a:solidFill>
                              <a:schemeClr val="tx1"/>
                            </a:solidFill>
                            <a:effectLst/>
                            <a:latin typeface="Cambria Math" panose="02040503050406030204" pitchFamily="18" charset="0"/>
                            <a:ea typeface="+mn-ea"/>
                            <a:cs typeface="+mn-cs"/>
                          </a:rPr>
                          <m:t>%</m:t>
                        </m:r>
                      </m:e>
                      <m:sub>
                        <m:r>
                          <a:rPr lang="en-NZ" sz="1100" b="0" i="1">
                            <a:solidFill>
                              <a:schemeClr val="tx1"/>
                            </a:solidFill>
                            <a:effectLst/>
                            <a:latin typeface="Cambria Math" panose="02040503050406030204" pitchFamily="18" charset="0"/>
                            <a:ea typeface="+mn-ea"/>
                            <a:cs typeface="+mn-cs"/>
                          </a:rPr>
                          <m:t>𝑑𝑒𝑓𝑎𝑢𝑙𝑡</m:t>
                        </m:r>
                      </m:sub>
                    </m:sSub>
                    <m:r>
                      <a:rPr lang="en-NZ" sz="1100" b="0" i="1">
                        <a:solidFill>
                          <a:schemeClr val="tx1"/>
                        </a:solidFill>
                        <a:effectLst/>
                        <a:latin typeface="Cambria Math" panose="02040503050406030204" pitchFamily="18" charset="0"/>
                        <a:ea typeface="+mn-ea"/>
                        <a:cs typeface="+mn-cs"/>
                      </a:rPr>
                      <m:t>=0.59+</m:t>
                    </m:r>
                    <m:f>
                      <m:fPr>
                        <m:ctrlPr>
                          <a:rPr lang="en-NZ" sz="1100" b="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0.41×(</m:t>
                        </m:r>
                        <m:r>
                          <a:rPr lang="en-NZ" sz="1100" b="0" i="1">
                            <a:solidFill>
                              <a:schemeClr val="tx1"/>
                            </a:solidFill>
                            <a:effectLst/>
                            <a:latin typeface="Cambria Math" panose="02040503050406030204" pitchFamily="18" charset="0"/>
                            <a:ea typeface="+mn-ea"/>
                            <a:cs typeface="+mn-cs"/>
                          </a:rPr>
                          <m:t>𝐻𝑅</m:t>
                        </m:r>
                        <m:r>
                          <a:rPr lang="en-NZ" sz="1100" b="0" i="1">
                            <a:solidFill>
                              <a:schemeClr val="tx1"/>
                            </a:solidFill>
                            <a:effectLst/>
                            <a:latin typeface="Cambria Math" panose="02040503050406030204" pitchFamily="18" charset="0"/>
                            <a:ea typeface="+mn-ea"/>
                            <a:cs typeface="+mn-cs"/>
                          </a:rPr>
                          <m:t>%−0.65)</m:t>
                        </m:r>
                      </m:num>
                      <m:den>
                        <m:r>
                          <a:rPr lang="en-NZ" sz="1100" b="0" i="1">
                            <a:solidFill>
                              <a:schemeClr val="tx1"/>
                            </a:solidFill>
                            <a:effectLst/>
                            <a:latin typeface="Cambria Math" panose="02040503050406030204" pitchFamily="18" charset="0"/>
                            <a:ea typeface="+mn-ea"/>
                            <a:cs typeface="+mn-cs"/>
                          </a:rPr>
                          <m:t>0.35</m:t>
                        </m:r>
                      </m:den>
                    </m:f>
                  </m:oMath>
                </m:oMathPara>
              </a14:m>
              <a:endParaRPr lang="en-GB" sz="1100"/>
            </a:p>
          </xdr:txBody>
        </xdr:sp>
      </mc:Choice>
      <mc:Fallback xmlns="">
        <xdr:sp macro="" textlink="">
          <xdr:nvSpPr>
            <xdr:cNvPr id="18" name="TextBox 17"/>
            <xdr:cNvSpPr txBox="1"/>
          </xdr:nvSpPr>
          <xdr:spPr>
            <a:xfrm>
              <a:off x="3413093" y="10314463"/>
              <a:ext cx="2835776" cy="322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i="0">
                  <a:solidFill>
                    <a:schemeClr val="tx1"/>
                  </a:solidFill>
                  <a:effectLst/>
                  <a:latin typeface="Cambria Math" panose="02040503050406030204" pitchFamily="18" charset="0"/>
                  <a:ea typeface="+mn-ea"/>
                  <a:cs typeface="+mn-cs"/>
                </a:rPr>
                <a:t>〖𝑉𝐷𝑂𝑇</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〗_</a:t>
              </a:r>
              <a:r>
                <a:rPr lang="en-NZ" sz="1100" b="0" i="0">
                  <a:solidFill>
                    <a:schemeClr val="tx1"/>
                  </a:solidFill>
                  <a:effectLst/>
                  <a:latin typeface="Cambria Math" panose="02040503050406030204" pitchFamily="18" charset="0"/>
                  <a:ea typeface="+mn-ea"/>
                  <a:cs typeface="+mn-cs"/>
                </a:rPr>
                <a:t>𝑑𝑒𝑓𝑎𝑢𝑙𝑡</a:t>
              </a:r>
              <a:r>
                <a:rPr lang="en-NZ" sz="1100" b="0" i="0">
                  <a:solidFill>
                    <a:schemeClr val="tx1"/>
                  </a:solidFill>
                  <a:effectLst/>
                  <a:latin typeface="+mn-lt"/>
                  <a:ea typeface="+mn-ea"/>
                  <a:cs typeface="+mn-cs"/>
                </a:rPr>
                <a:t>=0.59+(0.41×(𝐻𝑅%−0.65))/0.35</a:t>
              </a:r>
              <a:endParaRPr lang="en-GB" sz="1100"/>
            </a:p>
          </xdr:txBody>
        </xdr:sp>
      </mc:Fallback>
    </mc:AlternateContent>
    <xdr:clientData/>
  </xdr:oneCellAnchor>
  <xdr:oneCellAnchor>
    <xdr:from>
      <xdr:col>4</xdr:col>
      <xdr:colOff>155543</xdr:colOff>
      <xdr:row>57</xdr:row>
      <xdr:rowOff>17938</xdr:rowOff>
    </xdr:from>
    <xdr:ext cx="1610954" cy="41812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41668" y="10876438"/>
              <a:ext cx="1610954" cy="418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i="1">
                            <a:latin typeface="Cambria Math" panose="02040503050406030204" pitchFamily="18" charset="0"/>
                          </a:rPr>
                        </m:ctrlPr>
                      </m:sSubPr>
                      <m:e>
                        <m:r>
                          <a:rPr lang="en-NZ" sz="1100" b="0" i="1">
                            <a:latin typeface="Cambria Math" panose="02040503050406030204" pitchFamily="18" charset="0"/>
                          </a:rPr>
                          <m:t>𝑡</m:t>
                        </m:r>
                      </m:e>
                      <m:sub>
                        <m:r>
                          <a:rPr lang="en-NZ" sz="1100" b="0" i="1">
                            <a:latin typeface="Cambria Math" panose="02040503050406030204" pitchFamily="18" charset="0"/>
                          </a:rPr>
                          <m:t>𝑟𝑎𝑐𝑒</m:t>
                        </m:r>
                      </m:sub>
                    </m:sSub>
                    <m:r>
                      <a:rPr lang="en-NZ" sz="1100" b="0" i="1">
                        <a:latin typeface="Cambria Math" panose="02040503050406030204" pitchFamily="18" charset="0"/>
                      </a:rPr>
                      <m:t>=</m:t>
                    </m:r>
                    <m:sSub>
                      <m:sSubPr>
                        <m:ctrlPr>
                          <a:rPr lang="en-NZ" sz="1100" b="0" i="1">
                            <a:latin typeface="Cambria Math" panose="02040503050406030204" pitchFamily="18" charset="0"/>
                          </a:rPr>
                        </m:ctrlPr>
                      </m:sSubPr>
                      <m:e>
                        <m:r>
                          <a:rPr lang="en-NZ" sz="1100" b="0" i="1">
                            <a:latin typeface="Cambria Math" panose="02040503050406030204" pitchFamily="18" charset="0"/>
                          </a:rPr>
                          <m:t>𝑡</m:t>
                        </m:r>
                      </m:e>
                      <m:sub>
                        <m:r>
                          <a:rPr lang="en-NZ" sz="1100" b="0" i="1">
                            <a:latin typeface="Cambria Math" panose="02040503050406030204" pitchFamily="18" charset="0"/>
                          </a:rPr>
                          <m:t>𝑡𝑒𝑠𝑡</m:t>
                        </m:r>
                      </m:sub>
                    </m:sSub>
                    <m:r>
                      <a:rPr lang="en-NZ" sz="1100" b="0" i="1">
                        <a:latin typeface="Cambria Math" panose="02040503050406030204" pitchFamily="18" charset="0"/>
                        <a:ea typeface="Cambria Math" panose="02040503050406030204" pitchFamily="18" charset="0"/>
                      </a:rPr>
                      <m:t>×</m:t>
                    </m:r>
                    <m:sSup>
                      <m:sSupPr>
                        <m:ctrlPr>
                          <a:rPr lang="en-NZ" sz="1100" b="0" i="1">
                            <a:latin typeface="Cambria Math" panose="02040503050406030204" pitchFamily="18" charset="0"/>
                            <a:ea typeface="Cambria Math" panose="02040503050406030204" pitchFamily="18" charset="0"/>
                          </a:rPr>
                        </m:ctrlPr>
                      </m:sSupPr>
                      <m:e>
                        <m:d>
                          <m:dPr>
                            <m:ctrlPr>
                              <a:rPr lang="en-NZ" sz="1100" b="0" i="1">
                                <a:solidFill>
                                  <a:schemeClr val="tx1"/>
                                </a:solidFill>
                                <a:effectLst/>
                                <a:latin typeface="Cambria Math" panose="02040503050406030204" pitchFamily="18" charset="0"/>
                                <a:ea typeface="+mn-ea"/>
                                <a:cs typeface="+mn-cs"/>
                              </a:rPr>
                            </m:ctrlPr>
                          </m:dPr>
                          <m:e>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𝑑</m:t>
                                    </m:r>
                                  </m:e>
                                  <m:sub>
                                    <m:r>
                                      <a:rPr lang="en-NZ" sz="1100" b="0" i="1">
                                        <a:solidFill>
                                          <a:schemeClr val="tx1"/>
                                        </a:solidFill>
                                        <a:effectLst/>
                                        <a:latin typeface="Cambria Math" panose="02040503050406030204" pitchFamily="18" charset="0"/>
                                        <a:ea typeface="+mn-ea"/>
                                        <a:cs typeface="+mn-cs"/>
                                      </a:rPr>
                                      <m:t>𝑟𝑎𝑐𝑒</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𝑑</m:t>
                                    </m:r>
                                  </m:e>
                                  <m:sub>
                                    <m:r>
                                      <a:rPr lang="en-NZ" sz="1100" b="0" i="1">
                                        <a:solidFill>
                                          <a:schemeClr val="tx1"/>
                                        </a:solidFill>
                                        <a:effectLst/>
                                        <a:latin typeface="Cambria Math" panose="02040503050406030204" pitchFamily="18" charset="0"/>
                                        <a:ea typeface="+mn-ea"/>
                                        <a:cs typeface="+mn-cs"/>
                                      </a:rPr>
                                      <m:t>𝑡𝑒𝑠𝑡</m:t>
                                    </m:r>
                                  </m:sub>
                                </m:sSub>
                              </m:den>
                            </m:f>
                          </m:e>
                        </m:d>
                      </m:e>
                      <m:sup>
                        <m:r>
                          <a:rPr lang="en-GB" sz="1100" i="1">
                            <a:solidFill>
                              <a:schemeClr val="tx1"/>
                            </a:solidFill>
                            <a:effectLst/>
                            <a:latin typeface="Cambria Math" panose="02040503050406030204" pitchFamily="18" charset="0"/>
                            <a:ea typeface="+mn-ea"/>
                            <a:cs typeface="+mn-cs"/>
                          </a:rPr>
                          <m:t>1.06</m:t>
                        </m:r>
                        <m:r>
                          <m:rPr>
                            <m:nor/>
                          </m:rPr>
                          <a:rPr lang="en-GB">
                            <a:effectLst/>
                          </a:rPr>
                          <m:t> </m:t>
                        </m:r>
                      </m:sup>
                    </m:sSup>
                  </m:oMath>
                </m:oMathPara>
              </a14:m>
              <a:endParaRPr lang="en-GB" sz="1100"/>
            </a:p>
          </xdr:txBody>
        </xdr:sp>
      </mc:Choice>
      <mc:Fallback xmlns="">
        <xdr:sp macro="" textlink="">
          <xdr:nvSpPr>
            <xdr:cNvPr id="6" name="TextBox 5"/>
            <xdr:cNvSpPr txBox="1"/>
          </xdr:nvSpPr>
          <xdr:spPr>
            <a:xfrm>
              <a:off x="3441668" y="10876438"/>
              <a:ext cx="1610954" cy="418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NZ" sz="1100" b="0" i="0">
                  <a:latin typeface="Cambria Math" panose="02040503050406030204" pitchFamily="18" charset="0"/>
                </a:rPr>
                <a:t>𝑡</a:t>
              </a:r>
              <a:r>
                <a:rPr lang="en-GB" sz="1100" b="0" i="0">
                  <a:latin typeface="Cambria Math" panose="02040503050406030204" pitchFamily="18" charset="0"/>
                </a:rPr>
                <a:t>_</a:t>
              </a:r>
              <a:r>
                <a:rPr lang="en-NZ" sz="1100" b="0" i="0">
                  <a:latin typeface="Cambria Math" panose="02040503050406030204" pitchFamily="18" charset="0"/>
                </a:rPr>
                <a:t>𝑟𝑎𝑐𝑒=𝑡_𝑡𝑒𝑠𝑡</a:t>
              </a:r>
              <a:r>
                <a:rPr lang="en-NZ" sz="1100" b="0" i="0">
                  <a:latin typeface="Cambria Math" panose="02040503050406030204" pitchFamily="18" charset="0"/>
                  <a:ea typeface="Cambria Math" panose="02040503050406030204" pitchFamily="18" charset="0"/>
                </a:rPr>
                <a:t>×</a:t>
              </a:r>
              <a:r>
                <a:rPr lang="en-NZ" sz="1100" b="0" i="0">
                  <a:solidFill>
                    <a:schemeClr val="tx1"/>
                  </a:solidFill>
                  <a:effectLst/>
                  <a:latin typeface="+mn-lt"/>
                  <a:ea typeface="+mn-ea"/>
                  <a:cs typeface="+mn-cs"/>
                </a:rPr>
                <a:t>(𝑑_𝑟𝑎𝑐𝑒/𝑑_𝑡𝑒𝑠𝑡 )</a:t>
              </a:r>
              <a:r>
                <a:rPr lang="en-NZ" sz="1100" b="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1.06"</a:t>
              </a:r>
              <a:r>
                <a:rPr lang="en-GB" i="0">
                  <a:effectLst/>
                </a:rPr>
                <a:t> </a:t>
              </a:r>
              <a:r>
                <a:rPr lang="en-NZ" sz="1100" b="0" i="0">
                  <a:effectLst/>
                  <a:latin typeface="Cambria Math" panose="02040503050406030204" pitchFamily="18" charset="0"/>
                  <a:ea typeface="Cambria Math" panose="02040503050406030204" pitchFamily="18" charset="0"/>
                </a:rPr>
                <a:t>" </a:t>
              </a:r>
              <a:endParaRPr lang="en-GB" sz="1100"/>
            </a:p>
          </xdr:txBody>
        </xdr:sp>
      </mc:Fallback>
    </mc:AlternateContent>
    <xdr:clientData/>
  </xdr:oneCellAnchor>
  <xdr:oneCellAnchor>
    <xdr:from>
      <xdr:col>4</xdr:col>
      <xdr:colOff>346043</xdr:colOff>
      <xdr:row>44</xdr:row>
      <xdr:rowOff>117951</xdr:rowOff>
    </xdr:from>
    <xdr:ext cx="3694601" cy="625877"/>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632168" y="8499951"/>
              <a:ext cx="3694601" cy="625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r>
                      <a:rPr lang="en-NZ" sz="1100" b="0" i="1">
                        <a:solidFill>
                          <a:schemeClr val="tx1"/>
                        </a:solidFill>
                        <a:effectLst/>
                        <a:latin typeface="Cambria Math" panose="02040503050406030204" pitchFamily="18" charset="0"/>
                        <a:ea typeface="+mn-ea"/>
                        <a:cs typeface="+mn-cs"/>
                      </a:rPr>
                      <m:t>=</m:t>
                    </m:r>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𝑐𝑎𝑙</m:t>
                        </m:r>
                      </m:sub>
                    </m:sSub>
                    <m:r>
                      <a:rPr lang="en-NZ" sz="1100" b="0" i="1">
                        <a:solidFill>
                          <a:schemeClr val="tx1"/>
                        </a:solidFill>
                        <a:effectLst/>
                        <a:latin typeface="Cambria Math" panose="02040503050406030204" pitchFamily="18" charset="0"/>
                        <a:ea typeface="+mn-ea"/>
                        <a:cs typeface="+mn-cs"/>
                      </a:rPr>
                      <m:t>+</m:t>
                    </m:r>
                    <m:f>
                      <m:fPr>
                        <m:ctrlPr>
                          <a:rPr lang="en-NZ" sz="1100" b="0" i="1">
                            <a:solidFill>
                              <a:schemeClr val="tx1"/>
                            </a:solidFill>
                            <a:effectLst/>
                            <a:latin typeface="Cambria Math" panose="02040503050406030204" pitchFamily="18" charset="0"/>
                            <a:ea typeface="+mn-ea"/>
                            <a:cs typeface="+mn-cs"/>
                          </a:rPr>
                        </m:ctrlPr>
                      </m:fPr>
                      <m:num>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1−</m:t>
                            </m:r>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m:t>
                                </m:r>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𝑐𝑎𝑙</m:t>
                                </m:r>
                              </m:sub>
                            </m:sSub>
                          </m:e>
                        </m:d>
                        <m:r>
                          <a:rPr lang="en-NZ" sz="1100" b="0" i="1">
                            <a:solidFill>
                              <a:schemeClr val="tx1"/>
                            </a:solidFill>
                            <a:effectLst/>
                            <a:latin typeface="Cambria Math" panose="02040503050406030204" pitchFamily="18" charset="0"/>
                            <a:ea typeface="+mn-ea"/>
                            <a:cs typeface="+mn-cs"/>
                          </a:rPr>
                          <m:t>×</m:t>
                        </m:r>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𝐻𝑅</m:t>
                            </m:r>
                            <m:r>
                              <a:rPr lang="en-NZ" sz="1100" b="0" i="1">
                                <a:solidFill>
                                  <a:schemeClr val="tx1"/>
                                </a:solidFill>
                                <a:effectLst/>
                                <a:latin typeface="Cambria Math" panose="02040503050406030204" pitchFamily="18" charset="0"/>
                                <a:ea typeface="+mn-ea"/>
                                <a:cs typeface="+mn-cs"/>
                              </a:rPr>
                              <m:t>%−</m:t>
                            </m:r>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𝑐𝑎𝑙</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𝑚𝑎𝑥</m:t>
                                    </m:r>
                                  </m:sub>
                                </m:sSub>
                              </m:den>
                            </m:f>
                          </m:e>
                        </m:d>
                      </m:num>
                      <m:den>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1−</m:t>
                            </m:r>
                            <m:f>
                              <m:fPr>
                                <m:ctrlPr>
                                  <a:rPr lang="en-NZ" sz="1100" b="0" i="1">
                                    <a:solidFill>
                                      <a:schemeClr val="tx1"/>
                                    </a:solidFill>
                                    <a:effectLst/>
                                    <a:latin typeface="Cambria Math" panose="02040503050406030204" pitchFamily="18" charset="0"/>
                                    <a:ea typeface="+mn-ea"/>
                                    <a:cs typeface="+mn-cs"/>
                                  </a:rPr>
                                </m:ctrlPr>
                              </m:fPr>
                              <m:num>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𝑐𝑎𝑙</m:t>
                                    </m:r>
                                  </m:sub>
                                </m:sSub>
                              </m:num>
                              <m:den>
                                <m:sSub>
                                  <m:sSubPr>
                                    <m:ctrlPr>
                                      <a:rPr lang="en-NZ" sz="1100" b="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𝐻𝑅</m:t>
                                    </m:r>
                                  </m:e>
                                  <m:sub>
                                    <m:r>
                                      <a:rPr lang="en-NZ" sz="1100" b="0" i="1">
                                        <a:solidFill>
                                          <a:schemeClr val="tx1"/>
                                        </a:solidFill>
                                        <a:effectLst/>
                                        <a:latin typeface="Cambria Math" panose="02040503050406030204" pitchFamily="18" charset="0"/>
                                        <a:ea typeface="+mn-ea"/>
                                        <a:cs typeface="+mn-cs"/>
                                      </a:rPr>
                                      <m:t>𝑚𝑎𝑥</m:t>
                                    </m:r>
                                  </m:sub>
                                </m:sSub>
                              </m:den>
                            </m:f>
                          </m:e>
                        </m:d>
                      </m:den>
                    </m:f>
                  </m:oMath>
                </m:oMathPara>
              </a14:m>
              <a:endParaRPr lang="en-GB" sz="1100"/>
            </a:p>
          </xdr:txBody>
        </xdr:sp>
      </mc:Choice>
      <mc:Fallback xmlns="">
        <xdr:sp macro="" textlink="">
          <xdr:nvSpPr>
            <xdr:cNvPr id="7" name="TextBox 6"/>
            <xdr:cNvSpPr txBox="1"/>
          </xdr:nvSpPr>
          <xdr:spPr>
            <a:xfrm>
              <a:off x="3632168" y="8499951"/>
              <a:ext cx="3694601" cy="625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NZ" sz="1100" b="0" i="0">
                  <a:solidFill>
                    <a:schemeClr val="tx1"/>
                  </a:solidFill>
                  <a:effectLst/>
                  <a:latin typeface="+mn-lt"/>
                  <a:ea typeface="+mn-ea"/>
                  <a:cs typeface="+mn-cs"/>
                </a:rPr>
                <a:t>%𝑉𝐷𝑂𝑇</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mn-lt"/>
                  <a:ea typeface="+mn-ea"/>
                  <a:cs typeface="+mn-cs"/>
                </a:rPr>
                <a:t>〖%𝑉𝐷𝑂𝑇〗_𝑐𝑎𝑙+(</a:t>
              </a:r>
              <a:r>
                <a:rPr lang="en-NZ" sz="1100" b="0" i="0">
                  <a:solidFill>
                    <a:schemeClr val="tx1"/>
                  </a:solidFill>
                  <a:effectLst/>
                  <a:latin typeface="Cambria Math" panose="02040503050406030204" pitchFamily="18" charset="0"/>
                  <a:ea typeface="+mn-ea"/>
                  <a:cs typeface="+mn-cs"/>
                </a:rPr>
                <a:t>(1−</a:t>
              </a:r>
              <a:r>
                <a:rPr lang="en-NZ" sz="1100" b="0" i="0">
                  <a:solidFill>
                    <a:schemeClr val="tx1"/>
                  </a:solidFill>
                  <a:effectLst/>
                  <a:latin typeface="+mn-lt"/>
                  <a:ea typeface="+mn-ea"/>
                  <a:cs typeface="+mn-cs"/>
                </a:rPr>
                <a:t>〖%𝑉𝐷𝑂𝑇〗_𝑐𝑎𝑙</a:t>
              </a:r>
              <a:r>
                <a:rPr lang="en-NZ" sz="1100" b="0" i="0">
                  <a:solidFill>
                    <a:schemeClr val="tx1"/>
                  </a:solidFill>
                  <a:effectLst/>
                  <a:latin typeface="Cambria Math" panose="02040503050406030204" pitchFamily="18" charset="0"/>
                  <a:ea typeface="+mn-ea"/>
                  <a:cs typeface="+mn-cs"/>
                </a:rPr>
                <a:t> )</a:t>
              </a:r>
              <a:r>
                <a:rPr lang="en-NZ" sz="1100" b="0" i="0">
                  <a:solidFill>
                    <a:schemeClr val="tx1"/>
                  </a:solidFill>
                  <a:effectLst/>
                  <a:latin typeface="+mn-lt"/>
                  <a:ea typeface="+mn-ea"/>
                  <a:cs typeface="+mn-cs"/>
                </a:rPr>
                <a:t>×</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mn-lt"/>
                  <a:ea typeface="+mn-ea"/>
                  <a:cs typeface="+mn-cs"/>
                </a:rPr>
                <a:t>𝐻𝑅%−〖𝐻𝑅〗_𝑐𝑎𝑙/〖𝐻𝑅〗_𝑚𝑎𝑥 </a:t>
              </a:r>
              <a:r>
                <a:rPr lang="en-NZ" sz="1100" b="0" i="0">
                  <a:solidFill>
                    <a:schemeClr val="tx1"/>
                  </a:solidFill>
                  <a:effectLst/>
                  <a:latin typeface="Cambria Math" panose="02040503050406030204" pitchFamily="18" charset="0"/>
                  <a:ea typeface="+mn-ea"/>
                  <a:cs typeface="+mn-cs"/>
                </a:rPr>
                <a:t>)</a:t>
              </a:r>
              <a:r>
                <a:rPr lang="en-NZ" sz="1100" b="0" i="0">
                  <a:solidFill>
                    <a:schemeClr val="tx1"/>
                  </a:solidFill>
                  <a:effectLst/>
                  <a:latin typeface="+mn-lt"/>
                  <a:ea typeface="+mn-ea"/>
                  <a:cs typeface="+mn-cs"/>
                </a:rPr>
                <a:t>)/((</a:t>
              </a:r>
              <a:r>
                <a:rPr lang="en-NZ" sz="1100" b="0" i="0">
                  <a:solidFill>
                    <a:schemeClr val="tx1"/>
                  </a:solidFill>
                  <a:effectLst/>
                  <a:latin typeface="Cambria Math" panose="02040503050406030204" pitchFamily="18" charset="0"/>
                  <a:ea typeface="+mn-ea"/>
                  <a:cs typeface="+mn-cs"/>
                </a:rPr>
                <a:t>1−</a:t>
              </a:r>
              <a:r>
                <a:rPr lang="en-NZ" sz="1100" b="0" i="0">
                  <a:solidFill>
                    <a:schemeClr val="tx1"/>
                  </a:solidFill>
                  <a:effectLst/>
                  <a:latin typeface="+mn-lt"/>
                  <a:ea typeface="+mn-ea"/>
                  <a:cs typeface="+mn-cs"/>
                </a:rPr>
                <a:t>〖𝐻𝑅〗_𝑐𝑎𝑙/〖𝐻𝑅〗_𝑚𝑎𝑥 ) )</a:t>
              </a:r>
              <a:endParaRPr lang="en-GB" sz="1100"/>
            </a:p>
          </xdr:txBody>
        </xdr:sp>
      </mc:Fallback>
    </mc:AlternateContent>
    <xdr:clientData/>
  </xdr:oneCellAnchor>
  <xdr:oneCellAnchor>
    <xdr:from>
      <xdr:col>9</xdr:col>
      <xdr:colOff>223233</xdr:colOff>
      <xdr:row>36</xdr:row>
      <xdr:rowOff>73024</xdr:rowOff>
    </xdr:from>
    <xdr:ext cx="7911117" cy="567271"/>
    <mc:AlternateContent xmlns:mc="http://schemas.openxmlformats.org/markup-compatibility/2006" xmlns:a14="http://schemas.microsoft.com/office/drawing/2010/main">
      <mc:Choice Requires="a14">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7462233" y="6931024"/>
              <a:ext cx="7911117" cy="567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NZ" sz="1100" b="0" i="1">
                        <a:latin typeface="Cambria Math" panose="02040503050406030204" pitchFamily="18" charset="0"/>
                      </a:rPr>
                      <m:t>𝑉𝐷𝑂𝑇</m:t>
                    </m:r>
                    <m:r>
                      <a:rPr lang="en-NZ" sz="1100" b="0" i="1">
                        <a:latin typeface="Cambria Math" panose="02040503050406030204" pitchFamily="18" charset="0"/>
                      </a:rPr>
                      <m:t>%=</m:t>
                    </m:r>
                    <m:f>
                      <m:fPr>
                        <m:ctrlPr>
                          <a:rPr lang="en-GB" sz="1100" i="1">
                            <a:latin typeface="Cambria Math" panose="02040503050406030204" pitchFamily="18" charset="0"/>
                          </a:rPr>
                        </m:ctrlPr>
                      </m:fPr>
                      <m:num>
                        <m:r>
                          <a:rPr lang="en-GB" sz="1100" i="1">
                            <a:latin typeface="Cambria Math" panose="02040503050406030204" pitchFamily="18" charset="0"/>
                          </a:rPr>
                          <m:t>−</m:t>
                        </m:r>
                        <m:r>
                          <a:rPr lang="en-NZ" sz="1100" i="1">
                            <a:solidFill>
                              <a:schemeClr val="tx1"/>
                            </a:solidFill>
                            <a:effectLst/>
                            <a:latin typeface="Cambria Math" panose="02040503050406030204" pitchFamily="18" charset="0"/>
                            <a:ea typeface="+mn-ea"/>
                            <a:cs typeface="+mn-cs"/>
                          </a:rPr>
                          <m:t>5.000663</m:t>
                        </m:r>
                        <m:r>
                          <a:rPr lang="en-NZ" sz="110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r>
                          <a:rPr lang="en-NZ" sz="1100" b="0" i="1">
                            <a:solidFill>
                              <a:schemeClr val="tx1"/>
                            </a:solidFill>
                            <a:effectLst/>
                            <a:latin typeface="Cambria Math" panose="02040503050406030204" pitchFamily="18" charset="0"/>
                            <a:ea typeface="Cambria Math" panose="02040503050406030204" pitchFamily="18" charset="0"/>
                            <a:cs typeface="+mn-cs"/>
                          </a:rPr>
                          <m:t>+</m:t>
                        </m:r>
                        <m:rad>
                          <m:radPr>
                            <m:degHide m:val="on"/>
                            <m:ctrlPr>
                              <a:rPr lang="en-GB" sz="1100" i="1">
                                <a:latin typeface="Cambria Math" panose="02040503050406030204" pitchFamily="18" charset="0"/>
                              </a:rPr>
                            </m:ctrlPr>
                          </m:radPr>
                          <m:deg/>
                          <m:e>
                            <m:sSup>
                              <m:sSupPr>
                                <m:ctrlPr>
                                  <a:rPr lang="en-GB" sz="1100" i="1">
                                    <a:latin typeface="Cambria Math" panose="02040503050406030204" pitchFamily="18" charset="0"/>
                                  </a:rPr>
                                </m:ctrlPr>
                              </m:sSupPr>
                              <m:e>
                                <m:d>
                                  <m:dPr>
                                    <m:ctrlPr>
                                      <a:rPr lang="en-GB" sz="1100" i="1">
                                        <a:latin typeface="Cambria Math" panose="02040503050406030204" pitchFamily="18" charset="0"/>
                                      </a:rPr>
                                    </m:ctrlPr>
                                  </m:dPr>
                                  <m:e>
                                    <m:r>
                                      <a:rPr lang="en-NZ" sz="1100" i="1">
                                        <a:solidFill>
                                          <a:schemeClr val="tx1"/>
                                        </a:solidFill>
                                        <a:effectLst/>
                                        <a:latin typeface="Cambria Math" panose="02040503050406030204" pitchFamily="18" charset="0"/>
                                        <a:ea typeface="+mn-ea"/>
                                        <a:cs typeface="+mn-cs"/>
                                      </a:rPr>
                                      <m:t>5.000663</m:t>
                                    </m:r>
                                    <m:r>
                                      <a:rPr lang="en-NZ" sz="110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e>
                                </m:d>
                              </m:e>
                              <m:sup>
                                <m:r>
                                  <a:rPr lang="en-GB" sz="1100" i="1">
                                    <a:latin typeface="Cambria Math" panose="02040503050406030204" pitchFamily="18" charset="0"/>
                                  </a:rPr>
                                  <m:t>2</m:t>
                                </m:r>
                              </m:sup>
                            </m:sSup>
                            <m:r>
                              <a:rPr lang="en-GB" sz="1100" i="1">
                                <a:latin typeface="Cambria Math" panose="02040503050406030204" pitchFamily="18" charset="0"/>
                              </a:rPr>
                              <m:t>−4</m:t>
                            </m:r>
                            <m:r>
                              <a:rPr lang="en-GB" sz="1100" i="1">
                                <a:latin typeface="Cambria Math" panose="02040503050406030204" pitchFamily="18" charset="0"/>
                                <a:ea typeface="Cambria Math" panose="02040503050406030204" pitchFamily="18" charset="0"/>
                              </a:rPr>
                              <m:t>×</m:t>
                            </m:r>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m:t>
                                </m:r>
                                <m:r>
                                  <m:rPr>
                                    <m:nor/>
                                  </m:rPr>
                                  <a:rPr lang="en-GB" sz="1100">
                                    <a:solidFill>
                                      <a:schemeClr val="tx1"/>
                                    </a:solidFill>
                                    <a:effectLst/>
                                    <a:latin typeface="+mn-lt"/>
                                    <a:ea typeface="+mn-ea"/>
                                    <a:cs typeface="+mn-cs"/>
                                  </a:rPr>
                                  <m:t>0.007546</m:t>
                                </m:r>
                                <m:r>
                                  <a:rPr lang="en-GB" sz="1100" i="1">
                                    <a:solidFill>
                                      <a:schemeClr val="tx1"/>
                                    </a:solidFill>
                                    <a:effectLst/>
                                    <a:latin typeface="Cambria Math" panose="02040503050406030204" pitchFamily="18" charset="0"/>
                                    <a:ea typeface="Cambria Math" panose="02040503050406030204" pitchFamily="18" charset="0"/>
                                    <a:cs typeface="+mn-cs"/>
                                  </a:rPr>
                                  <m:t>×</m:t>
                                </m:r>
                                <m:sSup>
                                  <m:sSupPr>
                                    <m:ctrlPr>
                                      <a:rPr lang="en-GB" sz="1100" i="1">
                                        <a:solidFill>
                                          <a:schemeClr val="tx1"/>
                                        </a:solidFill>
                                        <a:effectLst/>
                                        <a:latin typeface="Cambria Math" panose="02040503050406030204" pitchFamily="18" charset="0"/>
                                        <a:ea typeface="Cambria Math" panose="02040503050406030204" pitchFamily="18" charset="0"/>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e>
                                  <m:sup>
                                    <m:r>
                                      <a:rPr lang="en-NZ" sz="1100" b="0" i="1">
                                        <a:solidFill>
                                          <a:schemeClr val="tx1"/>
                                        </a:solidFill>
                                        <a:effectLst/>
                                        <a:latin typeface="Cambria Math" panose="02040503050406030204" pitchFamily="18" charset="0"/>
                                        <a:ea typeface="Cambria Math" panose="02040503050406030204" pitchFamily="18" charset="0"/>
                                        <a:cs typeface="+mn-cs"/>
                                      </a:rPr>
                                      <m:t>2</m:t>
                                    </m:r>
                                  </m:sup>
                                </m:sSup>
                              </m:e>
                            </m:d>
                            <m:r>
                              <a:rPr lang="en-GB" sz="1100" i="1">
                                <a:solidFill>
                                  <a:schemeClr val="tx1"/>
                                </a:solidFill>
                                <a:effectLst/>
                                <a:latin typeface="Cambria Math" panose="02040503050406030204" pitchFamily="18" charset="0"/>
                                <a:ea typeface="Cambria Math" panose="02040503050406030204" pitchFamily="18" charset="0"/>
                                <a:cs typeface="+mn-cs"/>
                              </a:rPr>
                              <m:t>×</m:t>
                            </m:r>
                            <m:d>
                              <m:dPr>
                                <m:ctrlPr>
                                  <a:rPr lang="en-GB" sz="1100" i="1">
                                    <a:solidFill>
                                      <a:schemeClr val="tx1"/>
                                    </a:solidFill>
                                    <a:effectLst/>
                                    <a:latin typeface="Cambria Math" panose="02040503050406030204" pitchFamily="18" charset="0"/>
                                    <a:ea typeface="Cambria Math" panose="02040503050406030204" pitchFamily="18" charset="0"/>
                                    <a:cs typeface="+mn-cs"/>
                                  </a:rPr>
                                </m:ctrlPr>
                              </m:dPr>
                              <m:e>
                                <m:r>
                                  <m:rPr>
                                    <m:nor/>
                                  </m:rPr>
                                  <a:rPr lang="en-GB" sz="1100">
                                    <a:solidFill>
                                      <a:schemeClr val="tx1"/>
                                    </a:solidFill>
                                    <a:effectLst/>
                                    <a:latin typeface="+mn-lt"/>
                                    <a:ea typeface="+mn-ea"/>
                                    <a:cs typeface="+mn-cs"/>
                                  </a:rPr>
                                  <m:t>29.54</m:t>
                                </m:r>
                                <m:r>
                                  <a:rPr lang="en-NZ" sz="1100" b="0" i="1">
                                    <a:solidFill>
                                      <a:schemeClr val="tx1"/>
                                    </a:solidFill>
                                    <a:effectLst/>
                                    <a:latin typeface="Cambria Math" panose="02040503050406030204" pitchFamily="18" charset="0"/>
                                    <a:ea typeface="+mn-ea"/>
                                    <a:cs typeface="+mn-cs"/>
                                  </a:rPr>
                                  <m:t>−</m:t>
                                </m:r>
                                <m:f>
                                  <m:fPr>
                                    <m:ctrlPr>
                                      <a:rPr lang="en-NZ" sz="1100" i="1">
                                        <a:solidFill>
                                          <a:schemeClr val="tx1"/>
                                        </a:solidFill>
                                        <a:effectLst/>
                                        <a:latin typeface="Cambria Math" panose="02040503050406030204" pitchFamily="18" charset="0"/>
                                        <a:ea typeface="+mn-ea"/>
                                        <a:cs typeface="+mn-cs"/>
                                      </a:rPr>
                                    </m:ctrlPr>
                                  </m:fPr>
                                  <m:num>
                                    <m:r>
                                      <a:rPr lang="en-NZ" sz="1100" b="0" i="1">
                                        <a:solidFill>
                                          <a:schemeClr val="tx1"/>
                                        </a:solidFill>
                                        <a:effectLst/>
                                        <a:latin typeface="Cambria Math" panose="02040503050406030204" pitchFamily="18" charset="0"/>
                                        <a:ea typeface="+mn-ea"/>
                                        <a:cs typeface="+mn-cs"/>
                                      </a:rPr>
                                      <m:t>1000</m:t>
                                    </m:r>
                                  </m:num>
                                  <m:den>
                                    <m:sSub>
                                      <m:sSubPr>
                                        <m:ctrlPr>
                                          <a:rPr lang="en-NZ"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𝑝𝑎𝑐𝑒</m:t>
                                        </m:r>
                                      </m:e>
                                      <m:sub>
                                        <m:r>
                                          <a:rPr lang="en-NZ" sz="1100" b="0" i="1">
                                            <a:solidFill>
                                              <a:schemeClr val="tx1"/>
                                            </a:solidFill>
                                            <a:effectLst/>
                                            <a:latin typeface="Cambria Math" panose="02040503050406030204" pitchFamily="18" charset="0"/>
                                            <a:ea typeface="+mn-ea"/>
                                            <a:cs typeface="+mn-cs"/>
                                          </a:rPr>
                                          <m:t>𝑐𝑎𝑙</m:t>
                                        </m:r>
                                      </m:sub>
                                    </m:sSub>
                                  </m:den>
                                </m:f>
                              </m:e>
                            </m:d>
                          </m:e>
                        </m:rad>
                      </m:num>
                      <m:den>
                        <m:r>
                          <a:rPr lang="en-GB" sz="1100" i="1">
                            <a:latin typeface="Cambria Math" panose="02040503050406030204" pitchFamily="18" charset="0"/>
                          </a:rPr>
                          <m:t>2</m:t>
                        </m:r>
                        <m:r>
                          <a:rPr lang="en-GB" sz="1100" i="1">
                            <a:latin typeface="Cambria Math" panose="02040503050406030204" pitchFamily="18" charset="0"/>
                            <a:ea typeface="Cambria Math" panose="02040503050406030204" pitchFamily="18" charset="0"/>
                          </a:rPr>
                          <m:t>×</m:t>
                        </m:r>
                        <m:d>
                          <m:dPr>
                            <m:ctrlPr>
                              <a:rPr lang="en-NZ" sz="1100" b="0" i="1">
                                <a:solidFill>
                                  <a:schemeClr val="tx1"/>
                                </a:solidFill>
                                <a:effectLst/>
                                <a:latin typeface="Cambria Math" panose="02040503050406030204" pitchFamily="18" charset="0"/>
                                <a:ea typeface="+mn-ea"/>
                                <a:cs typeface="+mn-cs"/>
                              </a:rPr>
                            </m:ctrlPr>
                          </m:dPr>
                          <m:e>
                            <m:r>
                              <a:rPr lang="en-NZ" sz="1100" b="0" i="1">
                                <a:solidFill>
                                  <a:schemeClr val="tx1"/>
                                </a:solidFill>
                                <a:effectLst/>
                                <a:latin typeface="Cambria Math" panose="02040503050406030204" pitchFamily="18" charset="0"/>
                                <a:ea typeface="+mn-ea"/>
                                <a:cs typeface="+mn-cs"/>
                              </a:rPr>
                              <m:t>−</m:t>
                            </m:r>
                            <m:r>
                              <m:rPr>
                                <m:nor/>
                              </m:rPr>
                              <a:rPr lang="en-GB" sz="1100">
                                <a:solidFill>
                                  <a:schemeClr val="tx1"/>
                                </a:solidFill>
                                <a:effectLst/>
                                <a:latin typeface="+mn-lt"/>
                                <a:ea typeface="+mn-ea"/>
                                <a:cs typeface="+mn-cs"/>
                              </a:rPr>
                              <m:t>0.007546</m:t>
                            </m:r>
                            <m:r>
                              <a:rPr lang="en-GB" sz="1100" i="1">
                                <a:solidFill>
                                  <a:schemeClr val="tx1"/>
                                </a:solidFill>
                                <a:effectLst/>
                                <a:latin typeface="Cambria Math" panose="02040503050406030204" pitchFamily="18" charset="0"/>
                                <a:ea typeface="+mn-ea"/>
                                <a:cs typeface="+mn-cs"/>
                              </a:rPr>
                              <m:t>×</m:t>
                            </m:r>
                            <m:sSup>
                              <m:sSupPr>
                                <m:ctrlPr>
                                  <a:rPr lang="en-GB" sz="1100" i="1">
                                    <a:solidFill>
                                      <a:schemeClr val="tx1"/>
                                    </a:solidFill>
                                    <a:effectLst/>
                                    <a:latin typeface="Cambria Math" panose="02040503050406030204" pitchFamily="18" charset="0"/>
                                    <a:ea typeface="+mn-ea"/>
                                    <a:cs typeface="+mn-cs"/>
                                  </a:rPr>
                                </m:ctrlPr>
                              </m:sSupPr>
                              <m:e>
                                <m:sSub>
                                  <m:sSubPr>
                                    <m:ctrlPr>
                                      <a:rPr lang="en-GB" sz="1100" i="1">
                                        <a:solidFill>
                                          <a:schemeClr val="tx1"/>
                                        </a:solidFill>
                                        <a:effectLst/>
                                        <a:latin typeface="Cambria Math" panose="02040503050406030204" pitchFamily="18" charset="0"/>
                                        <a:ea typeface="+mn-ea"/>
                                        <a:cs typeface="+mn-cs"/>
                                      </a:rPr>
                                    </m:ctrlPr>
                                  </m:sSubPr>
                                  <m:e>
                                    <m:r>
                                      <a:rPr lang="en-NZ" sz="1100" b="0" i="1">
                                        <a:solidFill>
                                          <a:schemeClr val="tx1"/>
                                        </a:solidFill>
                                        <a:effectLst/>
                                        <a:latin typeface="Cambria Math" panose="02040503050406030204" pitchFamily="18" charset="0"/>
                                        <a:ea typeface="+mn-ea"/>
                                        <a:cs typeface="+mn-cs"/>
                                      </a:rPr>
                                      <m:t>𝑉𝐷𝑂𝑇</m:t>
                                    </m:r>
                                  </m:e>
                                  <m:sub>
                                    <m:r>
                                      <a:rPr lang="en-NZ" sz="1100" b="0" i="1">
                                        <a:solidFill>
                                          <a:schemeClr val="tx1"/>
                                        </a:solidFill>
                                        <a:effectLst/>
                                        <a:latin typeface="Cambria Math" panose="02040503050406030204" pitchFamily="18" charset="0"/>
                                        <a:ea typeface="+mn-ea"/>
                                        <a:cs typeface="+mn-cs"/>
                                      </a:rPr>
                                      <m:t>𝑚𝑎𝑥</m:t>
                                    </m:r>
                                  </m:sub>
                                </m:sSub>
                              </m:e>
                              <m:sup>
                                <m:r>
                                  <a:rPr lang="en-NZ" sz="1100" b="0" i="1">
                                    <a:solidFill>
                                      <a:schemeClr val="tx1"/>
                                    </a:solidFill>
                                    <a:effectLst/>
                                    <a:latin typeface="Cambria Math" panose="02040503050406030204" pitchFamily="18" charset="0"/>
                                    <a:ea typeface="+mn-ea"/>
                                    <a:cs typeface="+mn-cs"/>
                                  </a:rPr>
                                  <m:t>2</m:t>
                                </m:r>
                              </m:sup>
                            </m:sSup>
                          </m:e>
                        </m:d>
                      </m:den>
                    </m:f>
                  </m:oMath>
                </m:oMathPara>
              </a14:m>
              <a:br>
                <a:rPr lang="en-NZ" sz="1100"/>
              </a:br>
              <a:endParaRPr lang="en-GB" sz="1100"/>
            </a:p>
          </xdr:txBody>
        </xdr:sp>
      </mc:Choice>
      <mc:Fallback xmlns="">
        <xdr:sp macro="" textlink="">
          <xdr:nvSpPr>
            <xdr:cNvPr id="17" name="TextBox 16"/>
            <xdr:cNvSpPr txBox="1"/>
          </xdr:nvSpPr>
          <xdr:spPr>
            <a:xfrm>
              <a:off x="7462233" y="6931024"/>
              <a:ext cx="7911117" cy="5672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NZ" sz="1100" b="0" i="0">
                  <a:latin typeface="Cambria Math" panose="02040503050406030204" pitchFamily="18" charset="0"/>
                </a:rPr>
                <a:t>𝑉𝐷𝑂𝑇%=</a:t>
              </a:r>
              <a:r>
                <a:rPr lang="en-GB" sz="1100" i="0">
                  <a:latin typeface="Cambria Math" panose="02040503050406030204" pitchFamily="18" charset="0"/>
                </a:rPr>
                <a:t>(−</a:t>
              </a:r>
              <a:r>
                <a:rPr lang="en-NZ" sz="1100" i="0">
                  <a:solidFill>
                    <a:schemeClr val="tx1"/>
                  </a:solidFill>
                  <a:effectLst/>
                  <a:latin typeface="+mn-lt"/>
                  <a:ea typeface="+mn-ea"/>
                  <a:cs typeface="+mn-cs"/>
                </a:rPr>
                <a:t>5.000663</a:t>
              </a:r>
              <a:r>
                <a:rPr lang="en-NZ"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NZ"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NZ" sz="1100" i="0">
                  <a:solidFill>
                    <a:schemeClr val="tx1"/>
                  </a:solidFill>
                  <a:effectLst/>
                  <a:latin typeface="+mn-lt"/>
                  <a:ea typeface="+mn-ea"/>
                  <a:cs typeface="+mn-cs"/>
                </a:rPr>
                <a:t>5.000663</a:t>
              </a:r>
              <a:r>
                <a:rPr lang="en-NZ"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GB" sz="1100" b="0" i="0">
                  <a:solidFill>
                    <a:schemeClr val="tx1"/>
                  </a:solidFill>
                  <a:effectLst/>
                  <a:latin typeface="Cambria Math" panose="02040503050406030204" pitchFamily="18" charset="0"/>
                  <a:ea typeface="+mn-ea"/>
                  <a:cs typeface="+mn-cs"/>
                </a:rPr>
                <a:t> )^</a:t>
              </a:r>
              <a:r>
                <a:rPr lang="en-GB" sz="1100" i="0">
                  <a:latin typeface="Cambria Math" panose="02040503050406030204" pitchFamily="18" charset="0"/>
                </a:rPr>
                <a:t>2−4</a:t>
              </a:r>
              <a:r>
                <a:rPr lang="en-GB" sz="1100" i="0">
                  <a:latin typeface="Cambria Math" panose="02040503050406030204" pitchFamily="18" charset="0"/>
                  <a:ea typeface="Cambria Math" panose="02040503050406030204" pitchFamily="18" charset="0"/>
                </a:rPr>
                <a:t>×</a:t>
              </a:r>
              <a:r>
                <a:rPr lang="en-NZ" sz="1100" b="0" i="0">
                  <a:solidFill>
                    <a:schemeClr val="tx1"/>
                  </a:solidFill>
                  <a:effectLst/>
                  <a:latin typeface="Cambria Math" panose="02040503050406030204" pitchFamily="18" charset="0"/>
                  <a:ea typeface="+mn-ea"/>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0.007546</a:t>
              </a:r>
              <a:r>
                <a:rPr lang="en-GB" sz="1100" i="0">
                  <a:solidFill>
                    <a:schemeClr val="tx1"/>
                  </a:solidFill>
                  <a:effectLst/>
                  <a:latin typeface="Cambria Math" panose="02040503050406030204" pitchFamily="18" charset="0"/>
                  <a:ea typeface="Cambria Math" panose="02040503050406030204" pitchFamily="18" charset="0"/>
                  <a:cs typeface="+mn-cs"/>
                </a:rPr>
                <a:t>" ×〖</a:t>
              </a:r>
              <a:r>
                <a:rPr lang="en-GB" sz="1100" i="0">
                  <a:solidFill>
                    <a:schemeClr val="tx1"/>
                  </a:solidFill>
                  <a:effectLst/>
                  <a:latin typeface="+mn-lt"/>
                  <a:ea typeface="+mn-ea"/>
                  <a:cs typeface="+mn-cs"/>
                </a:rPr>
                <a:t>〖</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NZ" sz="1100" b="0" i="0">
                  <a:solidFill>
                    <a:schemeClr val="tx1"/>
                  </a:solidFill>
                  <a:effectLst/>
                  <a:latin typeface="Cambria Math" panose="02040503050406030204" pitchFamily="18" charset="0"/>
                  <a:ea typeface="Cambria Math" panose="02040503050406030204" pitchFamily="18" charset="0"/>
                  <a:cs typeface="+mn-cs"/>
                </a:rPr>
                <a:t>2</a:t>
              </a:r>
              <a:r>
                <a:rPr lang="en-NZ" sz="1100" b="0" i="0">
                  <a:solidFill>
                    <a:schemeClr val="tx1"/>
                  </a:solidFill>
                  <a:effectLst/>
                  <a:latin typeface="Cambria Math" panose="02040503050406030204" pitchFamily="18" charset="0"/>
                  <a:ea typeface="+mn-ea"/>
                  <a:cs typeface="+mn-cs"/>
                </a:rPr>
                <a:t> )</a:t>
              </a:r>
              <a:r>
                <a:rPr lang="en-GB" sz="1100" i="0">
                  <a:solidFill>
                    <a:schemeClr val="tx1"/>
                  </a:solidFill>
                  <a:effectLst/>
                  <a:latin typeface="Cambria Math" panose="02040503050406030204" pitchFamily="18" charset="0"/>
                  <a:ea typeface="Cambria Math" panose="02040503050406030204" pitchFamily="18" charset="0"/>
                  <a:cs typeface="+mn-cs"/>
                </a:rPr>
                <a:t>×(</a:t>
              </a:r>
              <a:r>
                <a:rPr lang="en-GB" sz="1100" i="0">
                  <a:solidFill>
                    <a:schemeClr val="tx1"/>
                  </a:solidFill>
                  <a:effectLst/>
                  <a:latin typeface="+mn-lt"/>
                  <a:ea typeface="+mn-ea"/>
                  <a:cs typeface="+mn-cs"/>
                </a:rPr>
                <a:t>"29.54</a:t>
              </a:r>
              <a:r>
                <a:rPr lang="en-NZ" sz="1100" b="0" i="0">
                  <a:solidFill>
                    <a:schemeClr val="tx1"/>
                  </a:solidFill>
                  <a:effectLst/>
                  <a:latin typeface="Cambria Math" panose="02040503050406030204" pitchFamily="18" charset="0"/>
                  <a:ea typeface="+mn-ea"/>
                  <a:cs typeface="+mn-cs"/>
                </a:rPr>
                <a:t>" −1000/〖𝑝𝑎𝑐𝑒〗_𝑐𝑎𝑙 </a:t>
              </a:r>
              <a:r>
                <a:rPr lang="en-GB" sz="1100" b="0" i="0">
                  <a:solidFill>
                    <a:schemeClr val="tx1"/>
                  </a:solidFill>
                  <a:effectLst/>
                  <a:latin typeface="Cambria Math" panose="02040503050406030204" pitchFamily="18" charset="0"/>
                  <a:ea typeface="Cambria Math" panose="02040503050406030204" pitchFamily="18" charset="0"/>
                  <a:cs typeface="+mn-cs"/>
                </a:rPr>
                <a:t>) ))/(</a:t>
              </a:r>
              <a:r>
                <a:rPr lang="en-GB" sz="1100" i="0">
                  <a:latin typeface="Cambria Math" panose="02040503050406030204" pitchFamily="18" charset="0"/>
                </a:rPr>
                <a:t>2</a:t>
              </a:r>
              <a:r>
                <a:rPr lang="en-GB" sz="1100" i="0">
                  <a:latin typeface="Cambria Math" panose="02040503050406030204" pitchFamily="18" charset="0"/>
                  <a:ea typeface="Cambria Math" panose="02040503050406030204" pitchFamily="18" charset="0"/>
                </a:rPr>
                <a:t>×</a:t>
              </a:r>
              <a:r>
                <a:rPr lang="en-NZ" sz="1100" b="0" i="0">
                  <a:solidFill>
                    <a:schemeClr val="tx1"/>
                  </a:solidFill>
                  <a:effectLst/>
                  <a:latin typeface="+mn-lt"/>
                  <a:ea typeface="+mn-ea"/>
                  <a:cs typeface="+mn-cs"/>
                </a:rPr>
                <a:t>(−</a:t>
              </a:r>
              <a:r>
                <a:rPr lang="en-GB" sz="1100" b="0" i="0">
                  <a:solidFill>
                    <a:schemeClr val="tx1"/>
                  </a:solidFill>
                  <a:effectLst/>
                  <a:latin typeface="+mn-lt"/>
                  <a:ea typeface="+mn-ea"/>
                  <a:cs typeface="+mn-cs"/>
                </a:rPr>
                <a:t>"</a:t>
              </a:r>
              <a:r>
                <a:rPr lang="en-GB" sz="1100" i="0">
                  <a:solidFill>
                    <a:schemeClr val="tx1"/>
                  </a:solidFill>
                  <a:effectLst/>
                  <a:latin typeface="+mn-lt"/>
                  <a:ea typeface="+mn-ea"/>
                  <a:cs typeface="+mn-cs"/>
                </a:rPr>
                <a:t>0.007546" ×〖〖</a:t>
              </a:r>
              <a:r>
                <a:rPr lang="en-NZ" sz="1100" b="0" i="0">
                  <a:solidFill>
                    <a:schemeClr val="tx1"/>
                  </a:solidFill>
                  <a:effectLst/>
                  <a:latin typeface="+mn-lt"/>
                  <a:ea typeface="+mn-ea"/>
                  <a:cs typeface="+mn-cs"/>
                </a:rPr>
                <a:t>𝑉𝐷𝑂𝑇</a:t>
              </a:r>
              <a:r>
                <a:rPr lang="en-GB" sz="1100" b="0" i="0">
                  <a:solidFill>
                    <a:schemeClr val="tx1"/>
                  </a:solidFill>
                  <a:effectLst/>
                  <a:latin typeface="+mn-lt"/>
                  <a:ea typeface="+mn-ea"/>
                  <a:cs typeface="+mn-cs"/>
                </a:rPr>
                <a:t>〗_</a:t>
              </a:r>
              <a:r>
                <a:rPr lang="en-NZ" sz="1100" b="0" i="0">
                  <a:solidFill>
                    <a:schemeClr val="tx1"/>
                  </a:solidFill>
                  <a:effectLst/>
                  <a:latin typeface="+mn-lt"/>
                  <a:ea typeface="+mn-ea"/>
                  <a:cs typeface="+mn-cs"/>
                </a:rPr>
                <a:t>𝑚𝑎𝑥</a:t>
              </a:r>
              <a:r>
                <a:rPr lang="en-GB" sz="1100" b="0" i="0">
                  <a:solidFill>
                    <a:schemeClr val="tx1"/>
                  </a:solidFill>
                  <a:effectLst/>
                  <a:latin typeface="+mn-lt"/>
                  <a:ea typeface="+mn-ea"/>
                  <a:cs typeface="+mn-cs"/>
                </a:rPr>
                <a:t>〗^</a:t>
              </a:r>
              <a:r>
                <a:rPr lang="en-NZ" sz="1100" b="0" i="0">
                  <a:solidFill>
                    <a:schemeClr val="tx1"/>
                  </a:solidFill>
                  <a:effectLst/>
                  <a:latin typeface="+mn-lt"/>
                  <a:ea typeface="+mn-ea"/>
                  <a:cs typeface="+mn-cs"/>
                </a:rPr>
                <a:t>2 )</a:t>
              </a:r>
              <a:r>
                <a:rPr lang="en-GB" sz="1100" b="0" i="0">
                  <a:solidFill>
                    <a:schemeClr val="tx1"/>
                  </a:solidFill>
                  <a:effectLst/>
                  <a:latin typeface="Cambria Math" panose="02040503050406030204" pitchFamily="18" charset="0"/>
                  <a:ea typeface="+mn-ea"/>
                  <a:cs typeface="+mn-cs"/>
                </a:rPr>
                <a:t> )</a:t>
              </a:r>
              <a:r>
                <a:rPr lang="en-NZ" sz="1100"/>
                <a:t/>
              </a:r>
              <a:br>
                <a:rPr lang="en-NZ" sz="1100"/>
              </a:br>
              <a:endParaRPr lang="en-GB" sz="1100"/>
            </a:p>
          </xdr:txBody>
        </xdr:sp>
      </mc:Fallback>
    </mc:AlternateContent>
    <xdr:clientData/>
  </xdr:oneCellAnchor>
  <xdr:twoCellAnchor>
    <xdr:from>
      <xdr:col>83</xdr:col>
      <xdr:colOff>149679</xdr:colOff>
      <xdr:row>9</xdr:row>
      <xdr:rowOff>81643</xdr:rowOff>
    </xdr:from>
    <xdr:to>
      <xdr:col>105</xdr:col>
      <xdr:colOff>231322</xdr:colOff>
      <xdr:row>25</xdr:row>
      <xdr:rowOff>136072</xdr:rowOff>
    </xdr:to>
    <xdr:graphicFrame macro="">
      <xdr:nvGraphicFramePr>
        <xdr:cNvPr id="14" name="Chart 13">
          <a:extLst>
            <a:ext uri="{FF2B5EF4-FFF2-40B4-BE49-F238E27FC236}">
              <a16:creationId xmlns:a16="http://schemas.microsoft.com/office/drawing/2014/main" id="{00000000-0008-0000-01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381001</xdr:colOff>
      <xdr:row>11</xdr:row>
      <xdr:rowOff>33336</xdr:rowOff>
    </xdr:from>
    <xdr:to>
      <xdr:col>170</xdr:col>
      <xdr:colOff>266700</xdr:colOff>
      <xdr:row>29</xdr:row>
      <xdr:rowOff>19049</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absoluteAnchor>
    <xdr:pos x="0" y="0"/>
    <xdr:ext cx="8658225" cy="6281738"/>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AADAFF"/>
  </sheetPr>
  <dimension ref="B1:R83"/>
  <sheetViews>
    <sheetView showGridLines="0" showRowColHeaders="0" tabSelected="1" zoomScaleNormal="100" workbookViewId="0">
      <selection activeCell="D42" sqref="D42"/>
    </sheetView>
  </sheetViews>
  <sheetFormatPr defaultColWidth="9.1328125" defaultRowHeight="14.25" x14ac:dyDescent="0.45"/>
  <cols>
    <col min="1" max="1" width="1.3984375" style="1350" customWidth="1"/>
    <col min="2" max="2" width="2.86328125" style="1350" customWidth="1"/>
    <col min="3" max="3" width="27.73046875" style="1350" bestFit="1" customWidth="1"/>
    <col min="4" max="4" width="21.265625" style="1361" customWidth="1"/>
    <col min="5" max="5" width="2.86328125" style="1350" customWidth="1"/>
    <col min="6" max="6" width="27.265625" style="1350" customWidth="1"/>
    <col min="7" max="7" width="21.265625" style="1350" customWidth="1"/>
    <col min="8" max="8" width="2.86328125" style="1350" customWidth="1"/>
    <col min="9" max="9" width="27.73046875" style="1350" bestFit="1" customWidth="1"/>
    <col min="10" max="10" width="17.265625" style="1350" customWidth="1"/>
    <col min="11" max="15" width="9.1328125" style="1350"/>
    <col min="16" max="16" width="12.86328125" style="1350" bestFit="1" customWidth="1"/>
    <col min="17" max="17" width="9.1328125" style="1350"/>
    <col min="18" max="18" width="12.265625" style="1350" bestFit="1" customWidth="1"/>
    <col min="19" max="16384" width="9.1328125" style="1350"/>
  </cols>
  <sheetData>
    <row r="1" spans="2:8" ht="7.5" customHeight="1" thickBot="1" x14ac:dyDescent="0.5">
      <c r="B1" s="1359"/>
      <c r="C1" s="1359"/>
      <c r="D1" s="1360"/>
      <c r="E1" s="1359"/>
      <c r="F1" s="1359"/>
      <c r="G1" s="1359"/>
      <c r="H1" s="1359"/>
    </row>
    <row r="2" spans="2:8" ht="15" customHeight="1" x14ac:dyDescent="0.45">
      <c r="D2" s="1350"/>
      <c r="F2" s="1552"/>
      <c r="G2" s="1552"/>
    </row>
    <row r="3" spans="2:8" ht="15.75" customHeight="1" x14ac:dyDescent="0.45">
      <c r="F3" s="1552"/>
      <c r="G3" s="1552"/>
    </row>
    <row r="4" spans="2:8" x14ac:dyDescent="0.45">
      <c r="F4" s="1552"/>
      <c r="G4" s="1552"/>
    </row>
    <row r="5" spans="2:8" ht="15.75" customHeight="1" x14ac:dyDescent="0.45">
      <c r="F5" s="1552"/>
      <c r="G5" s="1552"/>
    </row>
    <row r="6" spans="2:8" ht="15" customHeight="1" x14ac:dyDescent="0.45">
      <c r="D6" s="1350"/>
      <c r="F6" s="1552"/>
      <c r="G6" s="1552"/>
    </row>
    <row r="7" spans="2:8" ht="15" customHeight="1" x14ac:dyDescent="0.45">
      <c r="C7" s="1362"/>
      <c r="D7" s="1363"/>
      <c r="F7" s="1552"/>
      <c r="G7" s="1552"/>
    </row>
    <row r="8" spans="2:8" ht="15" customHeight="1" x14ac:dyDescent="0.45">
      <c r="C8" s="1362"/>
      <c r="D8" s="1363"/>
      <c r="F8" s="1552"/>
      <c r="G8" s="1552"/>
    </row>
    <row r="9" spans="2:8" ht="15" customHeight="1" thickBot="1" x14ac:dyDescent="0.5">
      <c r="B9" s="1359"/>
      <c r="C9" s="1364"/>
      <c r="D9" s="1365"/>
      <c r="E9" s="1359"/>
      <c r="F9" s="1358"/>
      <c r="G9" s="1358"/>
      <c r="H9" s="1359"/>
    </row>
    <row r="10" spans="2:8" ht="15" customHeight="1" x14ac:dyDescent="0.45">
      <c r="C10" s="1362"/>
      <c r="D10" s="1363"/>
      <c r="F10" s="1349"/>
      <c r="G10" s="1349"/>
    </row>
    <row r="11" spans="2:8" ht="15" customHeight="1" x14ac:dyDescent="0.45">
      <c r="C11" s="1362"/>
      <c r="D11" s="1363"/>
      <c r="F11" s="1553" t="s">
        <v>475</v>
      </c>
      <c r="G11" s="1553"/>
    </row>
    <row r="12" spans="2:8" ht="15" customHeight="1" x14ac:dyDescent="0.45">
      <c r="C12" s="1362"/>
      <c r="D12" s="1363"/>
      <c r="F12" s="1553"/>
      <c r="G12" s="1553"/>
    </row>
    <row r="13" spans="2:8" ht="15" customHeight="1" x14ac:dyDescent="0.45">
      <c r="C13" s="1362"/>
      <c r="D13" s="1363"/>
      <c r="F13" s="1553"/>
      <c r="G13" s="1553"/>
    </row>
    <row r="14" spans="2:8" ht="15" customHeight="1" x14ac:dyDescent="0.45">
      <c r="C14" s="1362"/>
      <c r="D14" s="1363"/>
      <c r="F14" s="1553"/>
      <c r="G14" s="1553"/>
    </row>
    <row r="15" spans="2:8" ht="15" customHeight="1" x14ac:dyDescent="0.45">
      <c r="C15" s="1362"/>
      <c r="D15" s="1363"/>
      <c r="F15" s="1553"/>
      <c r="G15" s="1553"/>
    </row>
    <row r="16" spans="2:8" ht="15" customHeight="1" x14ac:dyDescent="0.45">
      <c r="C16" s="1362"/>
      <c r="D16" s="1363"/>
      <c r="F16" s="1553"/>
      <c r="G16" s="1553"/>
    </row>
    <row r="17" spans="2:10" ht="15" customHeight="1" thickBot="1" x14ac:dyDescent="0.5">
      <c r="B17" s="1359"/>
      <c r="C17" s="1364"/>
      <c r="D17" s="1365"/>
      <c r="E17" s="1359"/>
      <c r="F17" s="1357"/>
      <c r="G17" s="1357"/>
      <c r="H17" s="1359"/>
    </row>
    <row r="18" spans="2:10" ht="15" customHeight="1" thickBot="1" x14ac:dyDescent="0.5">
      <c r="C18" s="1362"/>
      <c r="D18" s="1363"/>
    </row>
    <row r="19" spans="2:10" ht="15" customHeight="1" x14ac:dyDescent="0.45">
      <c r="C19" s="1554" t="s">
        <v>0</v>
      </c>
      <c r="D19" s="1555"/>
      <c r="F19" s="1557" t="str">
        <f>CONCATENATE("This training program is for ", athlete_name, " progressing towards ", plan_event, " starting on ",
TEXT(plan_start_date, "DDDD dd/mm/yyyy"),
" and finishing on ",
TEXT(plan_finish_date, "DDDD dd/mm/yyyy"), ".")</f>
        <v>This training program is for Gene Beveridge progressing towards Tarawera 50km starting on Monday 01/10/2018 and finishing on Saturday 09/02/2019.</v>
      </c>
      <c r="G19" s="1557"/>
    </row>
    <row r="20" spans="2:10" ht="15" customHeight="1" x14ac:dyDescent="0.45">
      <c r="C20" s="1352" t="s">
        <v>153</v>
      </c>
      <c r="D20" s="1366" t="str">
        <f>athlete_name</f>
        <v>Gene Beveridge</v>
      </c>
      <c r="F20" s="1557"/>
      <c r="G20" s="1557"/>
    </row>
    <row r="21" spans="2:10" ht="15" customHeight="1" x14ac:dyDescent="0.45">
      <c r="C21" s="1352" t="s">
        <v>431</v>
      </c>
      <c r="D21" s="1367" t="str">
        <f>plan_event</f>
        <v>Tarawera 50km</v>
      </c>
      <c r="F21" s="1557"/>
      <c r="G21" s="1557"/>
    </row>
    <row r="22" spans="2:10" ht="15" customHeight="1" x14ac:dyDescent="0.45">
      <c r="C22" s="1352" t="s">
        <v>432</v>
      </c>
      <c r="D22" s="1368">
        <f>plan_start_date</f>
        <v>43374</v>
      </c>
      <c r="F22" s="1557"/>
      <c r="G22" s="1557"/>
    </row>
    <row r="23" spans="2:10" ht="15" customHeight="1" thickBot="1" x14ac:dyDescent="0.5">
      <c r="C23" s="1353" t="s">
        <v>433</v>
      </c>
      <c r="D23" s="1369">
        <f>plan_finish_date</f>
        <v>43505</v>
      </c>
      <c r="F23" s="1557"/>
      <c r="G23" s="1557"/>
    </row>
    <row r="24" spans="2:10" ht="15" customHeight="1" thickBot="1" x14ac:dyDescent="0.5">
      <c r="B24" s="1359"/>
      <c r="C24" s="1364"/>
      <c r="D24" s="1365"/>
      <c r="E24" s="1359"/>
      <c r="F24" s="1356"/>
      <c r="G24" s="1356"/>
      <c r="H24" s="1359"/>
    </row>
    <row r="26" spans="2:10" ht="15.75" customHeight="1" thickBot="1" x14ac:dyDescent="0.5">
      <c r="F26" s="1556" t="str">
        <f>CONCATENATE("The training paces in this program are based on you being able to complete a ", TEXT(athlete_test_distance, "#"), "km flat road race in a time of ",
IF(athlete_test_time_hhmm&gt;1/24, TEXT(athlete_test_time_hhmm, "h:mm:ss"), TEXT(athlete_test_time_hhmm, "mm:ss")), ".
The amount of training done each week is based on an ultimate week equivalent to ", TEXT(athlete_duration_maximum_hhmm, "h"), " hours of steady training, an easily achievable week consisting of ", TEXT(athlete_starting_duration_hhmm, "h"), " hours of steady training and a maximum weekly progression of ", TEXT(athlete_progression_maximum, "0%"), ".")</f>
        <v>The training paces in this program are based on you being able to complete a 5km flat road race in a time of 15:30.
The amount of training done each week is based on an ultimate week equivalent to 15 hours of steady training, an easily achievable week consisting of 9 hours of steady training and a maximum weekly progression of 12%.</v>
      </c>
      <c r="G26" s="1556"/>
    </row>
    <row r="27" spans="2:10" ht="15" customHeight="1" x14ac:dyDescent="0.45">
      <c r="C27" s="1554" t="s">
        <v>439</v>
      </c>
      <c r="D27" s="1555"/>
      <c r="F27" s="1556"/>
      <c r="G27" s="1556"/>
    </row>
    <row r="28" spans="2:10" x14ac:dyDescent="0.45">
      <c r="C28" s="1370" t="s">
        <v>18</v>
      </c>
      <c r="D28" s="1371">
        <f>athlete_test_distance</f>
        <v>5</v>
      </c>
      <c r="F28" s="1556"/>
      <c r="G28" s="1556"/>
    </row>
    <row r="29" spans="2:10" x14ac:dyDescent="0.45">
      <c r="C29" s="1370" t="s">
        <v>20</v>
      </c>
      <c r="D29" s="1372">
        <f>athlete_test_time_hhmm</f>
        <v>1.0763888888888891E-2</v>
      </c>
      <c r="F29" s="1556"/>
      <c r="G29" s="1556"/>
    </row>
    <row r="30" spans="2:10" x14ac:dyDescent="0.45">
      <c r="C30" s="1370"/>
      <c r="D30" s="1373"/>
      <c r="F30" s="1556"/>
      <c r="G30" s="1556"/>
      <c r="J30" s="1374"/>
    </row>
    <row r="31" spans="2:10" x14ac:dyDescent="0.45">
      <c r="C31" s="1370" t="s">
        <v>39</v>
      </c>
      <c r="D31" s="1375">
        <f>athlete_duration_maximum_hhmm</f>
        <v>0.625</v>
      </c>
      <c r="F31" s="1556"/>
      <c r="G31" s="1556"/>
    </row>
    <row r="32" spans="2:10" x14ac:dyDescent="0.45">
      <c r="C32" s="1370" t="s">
        <v>24</v>
      </c>
      <c r="D32" s="1375">
        <f>athlete_starting_duration_hhmm</f>
        <v>0.375</v>
      </c>
      <c r="F32" s="1556"/>
      <c r="G32" s="1556"/>
    </row>
    <row r="33" spans="2:10" ht="14.65" thickBot="1" x14ac:dyDescent="0.5">
      <c r="C33" s="1376" t="s">
        <v>427</v>
      </c>
      <c r="D33" s="1377">
        <f>athlete_progression_maximum</f>
        <v>0.12</v>
      </c>
      <c r="F33" s="1556"/>
      <c r="G33" s="1556"/>
    </row>
    <row r="34" spans="2:10" x14ac:dyDescent="0.45">
      <c r="D34" s="1378"/>
      <c r="F34" s="1556"/>
      <c r="G34" s="1556"/>
    </row>
    <row r="35" spans="2:10" ht="14.65" thickBot="1" x14ac:dyDescent="0.5">
      <c r="B35" s="1359"/>
      <c r="C35" s="1359"/>
      <c r="D35" s="1379"/>
      <c r="E35" s="1359"/>
      <c r="F35" s="1355"/>
      <c r="G35" s="1355"/>
      <c r="H35" s="1359"/>
    </row>
    <row r="36" spans="2:10" ht="14.65" thickBot="1" x14ac:dyDescent="0.5">
      <c r="F36" s="1351"/>
      <c r="G36" s="1351"/>
    </row>
    <row r="37" spans="2:10" ht="15" customHeight="1" x14ac:dyDescent="0.45">
      <c r="C37" s="1554" t="s">
        <v>441</v>
      </c>
      <c r="D37" s="1555"/>
      <c r="F37" s="1556" t="str">
        <f>CONCATENATE(IF(athlete_HR_max_run="","",CONCATENATE("The physiological impact of each session is based on a maximum heart rate of ",athlete_HR_max_run," BPM, a resting heart rate of ",athlete_HR_rest," BPM and you being a ",LOWER(athlete_gender))),
IF(athlete_calibration_HR="","",CONCATENATE(".
",IF(athlete_calibration_pace="","Training paces can be further calibrated by working out your easiest running pace.",CONCATENATE("Training paces are further calibrated given your easiest training HR of ",athlete_calibration_HR," BMP gives a pace of ",TEXT(athlete_calibration_pace,"m:ss")," mins/km. ")))))</f>
        <v xml:space="preserve">The physiological impact of each session is based on a maximum heart rate of 192 BPM, a resting heart rate of 50 BPM and you being a male.
Training paces are further calibrated given your easiest training HR of 138 BMP gives a pace of 4:40 mins/km. </v>
      </c>
      <c r="G37" s="1556"/>
    </row>
    <row r="38" spans="2:10" x14ac:dyDescent="0.45">
      <c r="C38" s="1370" t="s">
        <v>423</v>
      </c>
      <c r="D38" s="1380">
        <f>athlete_HR_max_run</f>
        <v>192</v>
      </c>
      <c r="F38" s="1556"/>
      <c r="G38" s="1556"/>
    </row>
    <row r="39" spans="2:10" ht="15" customHeight="1" x14ac:dyDescent="0.45">
      <c r="C39" s="1370" t="s">
        <v>422</v>
      </c>
      <c r="D39" s="1381">
        <f>athlete_HR_rest</f>
        <v>50</v>
      </c>
      <c r="F39" s="1556"/>
      <c r="G39" s="1556"/>
      <c r="J39" s="1361"/>
    </row>
    <row r="40" spans="2:10" x14ac:dyDescent="0.45">
      <c r="C40" s="1370" t="s">
        <v>708</v>
      </c>
      <c r="D40" s="1382" t="str">
        <f>athlete_gender</f>
        <v>Male</v>
      </c>
      <c r="F40" s="1556"/>
      <c r="G40" s="1556"/>
      <c r="J40" s="1361"/>
    </row>
    <row r="41" spans="2:10" ht="15" customHeight="1" x14ac:dyDescent="0.45">
      <c r="C41" s="1370"/>
      <c r="D41" s="1383"/>
      <c r="F41" s="1556"/>
      <c r="G41" s="1556"/>
    </row>
    <row r="42" spans="2:10" x14ac:dyDescent="0.45">
      <c r="C42" s="1370" t="s">
        <v>435</v>
      </c>
      <c r="D42" s="1382">
        <f>athlete_calibration_HR</f>
        <v>138</v>
      </c>
      <c r="F42" s="1556"/>
      <c r="G42" s="1556"/>
    </row>
    <row r="43" spans="2:10" ht="14.65" thickBot="1" x14ac:dyDescent="0.5">
      <c r="C43" s="1376" t="s">
        <v>436</v>
      </c>
      <c r="D43" s="1384">
        <f>athlete_calibration_pace</f>
        <v>3.2407407407407406E-3</v>
      </c>
      <c r="F43" s="1556"/>
      <c r="G43" s="1556"/>
    </row>
    <row r="44" spans="2:10" ht="15" customHeight="1" thickBot="1" x14ac:dyDescent="0.5">
      <c r="B44" s="1359"/>
      <c r="C44" s="1359"/>
      <c r="D44" s="1359"/>
      <c r="E44" s="1359"/>
      <c r="F44" s="1354"/>
      <c r="G44" s="1354"/>
      <c r="H44" s="1359"/>
    </row>
    <row r="45" spans="2:10" x14ac:dyDescent="0.45">
      <c r="F45" s="1351"/>
      <c r="G45" s="1351"/>
    </row>
    <row r="46" spans="2:10" x14ac:dyDescent="0.45">
      <c r="F46" s="1556" t="s">
        <v>471</v>
      </c>
      <c r="G46" s="1556"/>
    </row>
    <row r="47" spans="2:10" x14ac:dyDescent="0.45">
      <c r="F47" s="1556"/>
      <c r="G47" s="1556"/>
    </row>
    <row r="48" spans="2:10" x14ac:dyDescent="0.45">
      <c r="F48" s="1556"/>
      <c r="G48" s="1556"/>
    </row>
    <row r="49" spans="2:16" x14ac:dyDescent="0.45">
      <c r="F49" s="1556"/>
      <c r="G49" s="1556"/>
    </row>
    <row r="50" spans="2:16" ht="15" customHeight="1" x14ac:dyDescent="0.45">
      <c r="F50" s="1556"/>
      <c r="G50" s="1556"/>
    </row>
    <row r="51" spans="2:16" x14ac:dyDescent="0.45">
      <c r="F51" s="1556"/>
      <c r="G51" s="1556"/>
      <c r="P51" s="1385"/>
    </row>
    <row r="52" spans="2:16" x14ac:dyDescent="0.45">
      <c r="F52" s="1556"/>
      <c r="G52" s="1556"/>
      <c r="P52" s="1386"/>
    </row>
    <row r="53" spans="2:16" x14ac:dyDescent="0.45">
      <c r="F53" s="1556"/>
      <c r="G53" s="1556"/>
    </row>
    <row r="54" spans="2:16" x14ac:dyDescent="0.45">
      <c r="F54" s="1556"/>
      <c r="G54" s="1556"/>
    </row>
    <row r="55" spans="2:16" x14ac:dyDescent="0.45">
      <c r="F55" s="1556"/>
      <c r="G55" s="1556"/>
    </row>
    <row r="56" spans="2:16" x14ac:dyDescent="0.45">
      <c r="F56" s="1556"/>
      <c r="G56" s="1556"/>
    </row>
    <row r="57" spans="2:16" x14ac:dyDescent="0.45">
      <c r="F57" s="1556"/>
      <c r="G57" s="1556"/>
    </row>
    <row r="58" spans="2:16" ht="14.65" thickBot="1" x14ac:dyDescent="0.5">
      <c r="B58" s="1359"/>
      <c r="C58" s="1359"/>
      <c r="D58" s="1360"/>
      <c r="E58" s="1359"/>
      <c r="F58" s="1359"/>
      <c r="G58" s="1359"/>
      <c r="H58" s="1359"/>
    </row>
    <row r="62" spans="2:16" x14ac:dyDescent="0.45">
      <c r="D62" s="1350"/>
    </row>
    <row r="82" spans="18:18" x14ac:dyDescent="0.45">
      <c r="R82" s="1387"/>
    </row>
    <row r="83" spans="18:18" x14ac:dyDescent="0.45">
      <c r="R83" s="1387"/>
    </row>
  </sheetData>
  <sheetProtection algorithmName="SHA-512" hashValue="NSKcZEgbf0aqGlO8pUYuVgOIIQITIG6fXYA+qDMJHpGGvfSNpQ3PFDmw8FEQ7ravI6rDvRGVkAaWaX5BCCklCg==" saltValue="4xEuViuNORd3q8NfEUpHXQ==" spinCount="100000" sheet="1" objects="1" scenarios="1" selectLockedCells="1" selectUnlockedCells="1"/>
  <mergeCells count="9">
    <mergeCell ref="F2:G8"/>
    <mergeCell ref="F11:G16"/>
    <mergeCell ref="C19:D19"/>
    <mergeCell ref="F46:G57"/>
    <mergeCell ref="F19:G23"/>
    <mergeCell ref="C27:D27"/>
    <mergeCell ref="C37:D37"/>
    <mergeCell ref="F26:G34"/>
    <mergeCell ref="F37:G4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7" tint="0.59999389629810485"/>
  </sheetPr>
  <dimension ref="A1:KV2000"/>
  <sheetViews>
    <sheetView showGridLines="0" showRowColHeaders="0" topLeftCell="A2001" zoomScale="70" zoomScaleNormal="70" workbookViewId="0">
      <selection activeCell="M3" sqref="M3"/>
    </sheetView>
  </sheetViews>
  <sheetFormatPr defaultColWidth="13.86328125" defaultRowHeight="14.25" x14ac:dyDescent="0.45"/>
  <cols>
    <col min="1" max="1" width="27.1328125" style="139" bestFit="1" customWidth="1"/>
    <col min="2" max="2" width="13.3984375" style="77" customWidth="1"/>
    <col min="3" max="88" width="24.73046875" style="78" customWidth="1"/>
    <col min="89" max="222" width="24.73046875" style="1121" customWidth="1"/>
    <col min="223" max="302" width="24.73046875" style="78" customWidth="1"/>
    <col min="303" max="303" width="13.86328125" style="1081"/>
    <col min="304" max="16384" width="13.86328125" style="78"/>
  </cols>
  <sheetData>
    <row r="1" spans="1:308" s="80" customFormat="1" ht="15" hidden="1" customHeight="1" x14ac:dyDescent="0.45">
      <c r="A1" s="1736" t="s">
        <v>280</v>
      </c>
      <c r="B1" s="1737"/>
      <c r="C1" s="1725" t="s">
        <v>483</v>
      </c>
      <c r="D1" s="1725"/>
      <c r="E1" s="1725"/>
      <c r="F1" s="1725"/>
      <c r="G1" s="1725"/>
      <c r="H1" s="1725"/>
      <c r="I1" s="1725"/>
      <c r="J1" s="1725"/>
      <c r="K1" s="1725"/>
      <c r="L1" s="1725"/>
      <c r="M1" s="1732" t="s">
        <v>484</v>
      </c>
      <c r="N1" s="1733"/>
      <c r="O1" s="1733"/>
      <c r="P1" s="1733"/>
      <c r="Q1" s="1733"/>
      <c r="R1" s="1733"/>
      <c r="S1" s="1733"/>
      <c r="T1" s="1733"/>
      <c r="U1" s="1733"/>
      <c r="V1" s="1733"/>
      <c r="W1" s="1734" t="s">
        <v>485</v>
      </c>
      <c r="X1" s="1735"/>
      <c r="Y1" s="1735"/>
      <c r="Z1" s="1735"/>
      <c r="AA1" s="1735"/>
      <c r="AB1" s="1735"/>
      <c r="AC1" s="1735"/>
      <c r="AD1" s="1735"/>
      <c r="AE1" s="1735"/>
      <c r="AF1" s="1735"/>
      <c r="AG1" s="1713" t="s">
        <v>382</v>
      </c>
      <c r="AH1" s="1714"/>
      <c r="AI1" s="1714"/>
      <c r="AJ1" s="1714"/>
      <c r="AK1" s="1714"/>
      <c r="AL1" s="1714"/>
      <c r="AM1" s="1714"/>
      <c r="AN1" s="1714"/>
      <c r="AO1" s="1714"/>
      <c r="AP1" s="1714"/>
      <c r="AQ1" s="1715" t="s">
        <v>383</v>
      </c>
      <c r="AR1" s="1716"/>
      <c r="AS1" s="1716"/>
      <c r="AT1" s="1716"/>
      <c r="AU1" s="1716"/>
      <c r="AV1" s="1716"/>
      <c r="AW1" s="1716"/>
      <c r="AX1" s="1716"/>
      <c r="AY1" s="1716"/>
      <c r="AZ1" s="1716"/>
      <c r="BA1" s="1715" t="s">
        <v>383</v>
      </c>
      <c r="BB1" s="1716"/>
      <c r="BC1" s="1716"/>
      <c r="BD1" s="1716"/>
      <c r="BE1" s="1716"/>
      <c r="BF1" s="1716"/>
      <c r="BG1" s="1716"/>
      <c r="BH1" s="1716"/>
      <c r="BI1" s="1716"/>
      <c r="BJ1" s="1716"/>
      <c r="BK1" s="1718" t="s">
        <v>384</v>
      </c>
      <c r="BL1" s="1717"/>
      <c r="BM1" s="1717"/>
      <c r="BN1" s="1717"/>
      <c r="BO1" s="1717"/>
      <c r="BP1" s="1717"/>
      <c r="BQ1" s="1717"/>
      <c r="BR1" s="1717"/>
      <c r="BS1" s="1717"/>
      <c r="BT1" s="1717"/>
      <c r="BU1" s="1720" t="s">
        <v>566</v>
      </c>
      <c r="BV1" s="1721"/>
      <c r="BW1" s="1721"/>
      <c r="BX1" s="1721"/>
      <c r="BY1" s="1721"/>
      <c r="BZ1" s="1721"/>
      <c r="CA1" s="1721"/>
      <c r="CB1" s="1721"/>
      <c r="CC1" s="1721"/>
      <c r="CD1" s="1721"/>
      <c r="CE1" s="1706" t="s">
        <v>385</v>
      </c>
      <c r="CF1" s="1707"/>
      <c r="CG1" s="1707"/>
      <c r="CH1" s="1707"/>
      <c r="CI1" s="1707"/>
      <c r="CJ1" s="1707"/>
      <c r="CK1" s="1707"/>
      <c r="CL1" s="1707"/>
      <c r="CM1" s="1707"/>
      <c r="CN1" s="1707"/>
      <c r="CO1" s="1706" t="s">
        <v>385</v>
      </c>
      <c r="CP1" s="1707"/>
      <c r="CQ1" s="1707"/>
      <c r="CR1" s="1707"/>
      <c r="CS1" s="1707"/>
      <c r="CT1" s="1707"/>
      <c r="CU1" s="1707"/>
      <c r="CV1" s="1707"/>
      <c r="CW1" s="1707"/>
      <c r="CX1" s="1707"/>
      <c r="CY1" s="1732" t="s">
        <v>483</v>
      </c>
      <c r="CZ1" s="1733"/>
      <c r="DA1" s="1733"/>
      <c r="DB1" s="1733"/>
      <c r="DC1" s="1733"/>
      <c r="DD1" s="1733"/>
      <c r="DE1" s="1733"/>
      <c r="DF1" s="1733"/>
      <c r="DG1" s="1733"/>
      <c r="DH1" s="1733"/>
      <c r="DI1" s="1732" t="s">
        <v>484</v>
      </c>
      <c r="DJ1" s="1733"/>
      <c r="DK1" s="1733"/>
      <c r="DL1" s="1733"/>
      <c r="DM1" s="1733"/>
      <c r="DN1" s="1733"/>
      <c r="DO1" s="1733"/>
      <c r="DP1" s="1733"/>
      <c r="DQ1" s="1733"/>
      <c r="DR1" s="1733"/>
      <c r="DS1" s="1734" t="s">
        <v>485</v>
      </c>
      <c r="DT1" s="1735"/>
      <c r="DU1" s="1735"/>
      <c r="DV1" s="1735"/>
      <c r="DW1" s="1735"/>
      <c r="DX1" s="1735"/>
      <c r="DY1" s="1735"/>
      <c r="DZ1" s="1735"/>
      <c r="EA1" s="1735"/>
      <c r="EB1" s="1735"/>
      <c r="EC1" s="1713" t="s">
        <v>382</v>
      </c>
      <c r="ED1" s="1714"/>
      <c r="EE1" s="1714"/>
      <c r="EF1" s="1714"/>
      <c r="EG1" s="1714"/>
      <c r="EH1" s="1714"/>
      <c r="EI1" s="1714"/>
      <c r="EJ1" s="1714"/>
      <c r="EK1" s="1714"/>
      <c r="EL1" s="1714"/>
      <c r="EM1" s="1715" t="s">
        <v>383</v>
      </c>
      <c r="EN1" s="1716"/>
      <c r="EO1" s="1716"/>
      <c r="EP1" s="1717"/>
      <c r="EQ1" s="1717"/>
      <c r="ER1" s="1717"/>
      <c r="ES1" s="1717"/>
      <c r="ET1" s="1717"/>
      <c r="EU1" s="1717"/>
      <c r="EV1" s="1717"/>
      <c r="EW1" s="1718" t="s">
        <v>383</v>
      </c>
      <c r="EX1" s="1717"/>
      <c r="EY1" s="1717"/>
      <c r="EZ1" s="1717"/>
      <c r="FA1" s="1717"/>
      <c r="FB1" s="1717"/>
      <c r="FC1" s="1717"/>
      <c r="FD1" s="1717"/>
      <c r="FE1" s="1717"/>
      <c r="FF1" s="1717"/>
      <c r="FG1" s="1718" t="s">
        <v>384</v>
      </c>
      <c r="FH1" s="1719"/>
      <c r="FI1" s="1719"/>
      <c r="FJ1" s="1719"/>
      <c r="FK1" s="1719"/>
      <c r="FL1" s="1719"/>
      <c r="FM1" s="1719"/>
      <c r="FN1" s="1719"/>
      <c r="FO1" s="1719"/>
      <c r="FP1" s="1719"/>
      <c r="FQ1" s="1720" t="s">
        <v>482</v>
      </c>
      <c r="FR1" s="1721"/>
      <c r="FS1" s="1721"/>
      <c r="FT1" s="1721"/>
      <c r="FU1" s="1721"/>
      <c r="FV1" s="1721"/>
      <c r="FW1" s="1721"/>
      <c r="FX1" s="1721"/>
      <c r="FY1" s="1721"/>
      <c r="FZ1" s="1721"/>
      <c r="GA1" s="1706" t="s">
        <v>385</v>
      </c>
      <c r="GB1" s="1707"/>
      <c r="GC1" s="1707"/>
      <c r="GD1" s="1707"/>
      <c r="GE1" s="1707"/>
      <c r="GF1" s="1707"/>
      <c r="GG1" s="1707"/>
      <c r="GH1" s="1707"/>
      <c r="GI1" s="1707"/>
      <c r="GJ1" s="1707"/>
      <c r="GK1" s="1706" t="s">
        <v>385</v>
      </c>
      <c r="GL1" s="1707"/>
      <c r="GM1" s="1707"/>
      <c r="GN1" s="1707"/>
      <c r="GO1" s="1707"/>
      <c r="GP1" s="1707"/>
      <c r="GQ1" s="1707"/>
      <c r="GR1" s="1707"/>
      <c r="GS1" s="1707"/>
      <c r="GT1" s="1707"/>
      <c r="GU1" s="1711" t="s">
        <v>620</v>
      </c>
      <c r="GV1" s="1712"/>
      <c r="GW1" s="1712"/>
      <c r="GX1" s="1712"/>
      <c r="GY1" s="1712"/>
      <c r="GZ1" s="1712"/>
      <c r="HA1" s="1712"/>
      <c r="HB1" s="1712"/>
      <c r="HC1" s="1712"/>
      <c r="HD1" s="1712"/>
      <c r="HE1" s="1711" t="s">
        <v>620</v>
      </c>
      <c r="HF1" s="1712"/>
      <c r="HG1" s="1712"/>
      <c r="HH1" s="1712"/>
      <c r="HI1" s="1712"/>
      <c r="HJ1" s="1712"/>
      <c r="HK1" s="1712"/>
      <c r="HL1" s="1712"/>
      <c r="HM1" s="1712"/>
      <c r="HN1" s="1712"/>
      <c r="HO1" s="1711" t="s">
        <v>621</v>
      </c>
      <c r="HP1" s="1712"/>
      <c r="HQ1" s="1712"/>
      <c r="HR1" s="1712"/>
      <c r="HS1" s="1712"/>
      <c r="HT1" s="1712"/>
      <c r="HU1" s="1712"/>
      <c r="HV1" s="1712"/>
      <c r="HW1" s="1712"/>
      <c r="HX1" s="1712"/>
      <c r="HY1" s="1708" t="s">
        <v>621</v>
      </c>
      <c r="HZ1" s="1709"/>
      <c r="IA1" s="1709"/>
      <c r="IB1" s="1709"/>
      <c r="IC1" s="1709"/>
      <c r="ID1" s="1709"/>
      <c r="IE1" s="1709"/>
      <c r="IF1" s="1709"/>
      <c r="IG1" s="1709"/>
      <c r="IH1" s="1710"/>
      <c r="II1" s="1708" t="s">
        <v>728</v>
      </c>
      <c r="IJ1" s="1709"/>
      <c r="IK1" s="1709"/>
      <c r="IL1" s="1709"/>
      <c r="IM1" s="1709"/>
      <c r="IN1" s="1709"/>
      <c r="IO1" s="1709"/>
      <c r="IP1" s="1709"/>
      <c r="IQ1" s="1709"/>
      <c r="IR1" s="1709"/>
      <c r="IS1" s="1708" t="s">
        <v>729</v>
      </c>
      <c r="IT1" s="1709"/>
      <c r="IU1" s="1709"/>
      <c r="IV1" s="1709"/>
      <c r="IW1" s="1709"/>
      <c r="IX1" s="1709"/>
      <c r="IY1" s="1709"/>
      <c r="IZ1" s="1709"/>
      <c r="JA1" s="1709"/>
      <c r="JB1" s="1709"/>
      <c r="JC1" s="1709" t="s">
        <v>384</v>
      </c>
      <c r="JD1" s="1709"/>
      <c r="JE1" s="1709"/>
      <c r="JF1" s="1709"/>
      <c r="JG1" s="1709"/>
      <c r="JH1" s="1709"/>
      <c r="JI1" s="1709"/>
      <c r="JJ1" s="1709"/>
      <c r="JK1" s="1709"/>
      <c r="JL1" s="1709"/>
      <c r="JM1" s="1711" t="s">
        <v>482</v>
      </c>
      <c r="JN1" s="1712"/>
      <c r="JO1" s="1712"/>
      <c r="JP1" s="1712"/>
      <c r="JQ1" s="1712"/>
      <c r="JR1" s="1712"/>
      <c r="JS1" s="1712"/>
      <c r="JT1" s="1712"/>
      <c r="JU1" s="1712"/>
      <c r="JV1" s="1712"/>
      <c r="JW1" s="1706" t="s">
        <v>385</v>
      </c>
      <c r="JX1" s="1707"/>
      <c r="JY1" s="1707"/>
      <c r="JZ1" s="1707"/>
      <c r="KA1" s="1707"/>
      <c r="KB1" s="1707"/>
      <c r="KC1" s="1707"/>
      <c r="KD1" s="1707"/>
      <c r="KE1" s="1707"/>
      <c r="KF1" s="1707"/>
      <c r="KG1" s="1706" t="s">
        <v>385</v>
      </c>
      <c r="KH1" s="1707"/>
      <c r="KI1" s="1707"/>
      <c r="KJ1" s="1707"/>
      <c r="KK1" s="1707"/>
      <c r="KL1" s="1707"/>
      <c r="KM1" s="1707"/>
      <c r="KN1" s="1707"/>
      <c r="KO1" s="1707"/>
      <c r="KP1" s="1707"/>
      <c r="KQ1" s="1490"/>
      <c r="KR1" s="1491"/>
      <c r="KS1" s="1491"/>
      <c r="KT1" s="1491"/>
      <c r="KU1" s="1491"/>
      <c r="KV1" s="1491"/>
    </row>
    <row r="2" spans="1:308" s="79" customFormat="1" hidden="1" x14ac:dyDescent="0.45">
      <c r="A2" s="1728" t="s">
        <v>152</v>
      </c>
      <c r="B2" s="1729"/>
      <c r="C2" s="890">
        <v>0</v>
      </c>
      <c r="D2" s="891">
        <v>1</v>
      </c>
      <c r="E2" s="891">
        <v>2</v>
      </c>
      <c r="F2" s="890">
        <v>3</v>
      </c>
      <c r="G2" s="890">
        <v>4</v>
      </c>
      <c r="H2" s="891">
        <v>5</v>
      </c>
      <c r="I2" s="891">
        <v>6</v>
      </c>
      <c r="J2" s="890">
        <v>7</v>
      </c>
      <c r="K2" s="890">
        <v>8</v>
      </c>
      <c r="L2" s="891">
        <v>9</v>
      </c>
      <c r="M2" s="891">
        <v>10</v>
      </c>
      <c r="N2" s="890">
        <v>11</v>
      </c>
      <c r="O2" s="890">
        <v>12</v>
      </c>
      <c r="P2" s="891">
        <v>13</v>
      </c>
      <c r="Q2" s="891">
        <v>14</v>
      </c>
      <c r="R2" s="890">
        <v>15</v>
      </c>
      <c r="S2" s="890">
        <v>16</v>
      </c>
      <c r="T2" s="891">
        <v>17</v>
      </c>
      <c r="U2" s="891">
        <v>18</v>
      </c>
      <c r="V2" s="1419">
        <v>19</v>
      </c>
      <c r="W2" s="1419">
        <v>20</v>
      </c>
      <c r="X2" s="1420">
        <v>21</v>
      </c>
      <c r="Y2" s="1420">
        <v>22</v>
      </c>
      <c r="Z2" s="1419">
        <v>23</v>
      </c>
      <c r="AA2" s="1419">
        <v>24</v>
      </c>
      <c r="AB2" s="1420">
        <v>25</v>
      </c>
      <c r="AC2" s="1420">
        <v>26</v>
      </c>
      <c r="AD2" s="1419">
        <v>27</v>
      </c>
      <c r="AE2" s="1419">
        <v>28</v>
      </c>
      <c r="AF2" s="1420">
        <v>29</v>
      </c>
      <c r="AG2" s="891">
        <v>30</v>
      </c>
      <c r="AH2" s="890">
        <v>31</v>
      </c>
      <c r="AI2" s="890">
        <v>32</v>
      </c>
      <c r="AJ2" s="891">
        <v>33</v>
      </c>
      <c r="AK2" s="891">
        <v>34</v>
      </c>
      <c r="AL2" s="890">
        <v>35</v>
      </c>
      <c r="AM2" s="890">
        <v>36</v>
      </c>
      <c r="AN2" s="891">
        <v>37</v>
      </c>
      <c r="AO2" s="891">
        <v>38</v>
      </c>
      <c r="AP2" s="890">
        <v>39</v>
      </c>
      <c r="AQ2" s="890">
        <v>40</v>
      </c>
      <c r="AR2" s="891">
        <v>41</v>
      </c>
      <c r="AS2" s="891">
        <v>42</v>
      </c>
      <c r="AT2" s="890">
        <v>43</v>
      </c>
      <c r="AU2" s="890">
        <v>44</v>
      </c>
      <c r="AV2" s="891">
        <v>45</v>
      </c>
      <c r="AW2" s="891">
        <v>46</v>
      </c>
      <c r="AX2" s="890">
        <v>47</v>
      </c>
      <c r="AY2" s="890">
        <v>48</v>
      </c>
      <c r="AZ2" s="891">
        <v>49</v>
      </c>
      <c r="BA2" s="891">
        <v>50</v>
      </c>
      <c r="BB2" s="890">
        <v>51</v>
      </c>
      <c r="BC2" s="890">
        <v>52</v>
      </c>
      <c r="BD2" s="891">
        <v>53</v>
      </c>
      <c r="BE2" s="891">
        <v>54</v>
      </c>
      <c r="BF2" s="890">
        <v>55</v>
      </c>
      <c r="BG2" s="890">
        <v>56</v>
      </c>
      <c r="BH2" s="891">
        <v>57</v>
      </c>
      <c r="BI2" s="891">
        <v>58</v>
      </c>
      <c r="BJ2" s="890">
        <v>59</v>
      </c>
      <c r="BK2" s="890">
        <v>60</v>
      </c>
      <c r="BL2" s="891">
        <v>61</v>
      </c>
      <c r="BM2" s="891">
        <v>62</v>
      </c>
      <c r="BN2" s="890">
        <v>63</v>
      </c>
      <c r="BO2" s="890">
        <v>64</v>
      </c>
      <c r="BP2" s="891">
        <v>65</v>
      </c>
      <c r="BQ2" s="891">
        <v>66</v>
      </c>
      <c r="BR2" s="890">
        <v>67</v>
      </c>
      <c r="BS2" s="890">
        <v>68</v>
      </c>
      <c r="BT2" s="891">
        <v>69</v>
      </c>
      <c r="BU2" s="891">
        <v>70</v>
      </c>
      <c r="BV2" s="890">
        <v>71</v>
      </c>
      <c r="BW2" s="890">
        <v>72</v>
      </c>
      <c r="BX2" s="891">
        <v>73</v>
      </c>
      <c r="BY2" s="891">
        <v>74</v>
      </c>
      <c r="BZ2" s="890">
        <v>75</v>
      </c>
      <c r="CA2" s="890">
        <v>76</v>
      </c>
      <c r="CB2" s="891">
        <v>77</v>
      </c>
      <c r="CC2" s="891">
        <v>78</v>
      </c>
      <c r="CD2" s="890">
        <v>79</v>
      </c>
      <c r="CE2" s="890">
        <v>80</v>
      </c>
      <c r="CF2" s="891">
        <v>81</v>
      </c>
      <c r="CG2" s="891">
        <v>82</v>
      </c>
      <c r="CH2" s="890">
        <v>83</v>
      </c>
      <c r="CI2" s="890">
        <v>84</v>
      </c>
      <c r="CJ2" s="891">
        <v>85</v>
      </c>
      <c r="CK2" s="891">
        <v>86</v>
      </c>
      <c r="CL2" s="890">
        <v>87</v>
      </c>
      <c r="CM2" s="890">
        <v>88</v>
      </c>
      <c r="CN2" s="891">
        <v>89</v>
      </c>
      <c r="CO2" s="891">
        <v>90</v>
      </c>
      <c r="CP2" s="890">
        <v>91</v>
      </c>
      <c r="CQ2" s="890">
        <v>92</v>
      </c>
      <c r="CR2" s="891">
        <v>93</v>
      </c>
      <c r="CS2" s="891">
        <v>94</v>
      </c>
      <c r="CT2" s="890">
        <v>95</v>
      </c>
      <c r="CU2" s="890">
        <v>96</v>
      </c>
      <c r="CV2" s="891">
        <v>97</v>
      </c>
      <c r="CW2" s="891">
        <v>98</v>
      </c>
      <c r="CX2" s="890">
        <v>99</v>
      </c>
      <c r="CY2" s="890">
        <v>100</v>
      </c>
      <c r="CZ2" s="891">
        <v>101</v>
      </c>
      <c r="DA2" s="891">
        <v>102</v>
      </c>
      <c r="DB2" s="890">
        <v>103</v>
      </c>
      <c r="DC2" s="890">
        <v>104</v>
      </c>
      <c r="DD2" s="891">
        <v>105</v>
      </c>
      <c r="DE2" s="891">
        <v>106</v>
      </c>
      <c r="DF2" s="890">
        <v>107</v>
      </c>
      <c r="DG2" s="890">
        <v>108</v>
      </c>
      <c r="DH2" s="891">
        <v>109</v>
      </c>
      <c r="DI2" s="891">
        <v>110</v>
      </c>
      <c r="DJ2" s="890">
        <v>111</v>
      </c>
      <c r="DK2" s="890">
        <v>112</v>
      </c>
      <c r="DL2" s="891">
        <v>113</v>
      </c>
      <c r="DM2" s="891">
        <v>114</v>
      </c>
      <c r="DN2" s="890">
        <v>115</v>
      </c>
      <c r="DO2" s="890">
        <v>116</v>
      </c>
      <c r="DP2" s="891">
        <v>117</v>
      </c>
      <c r="DQ2" s="891">
        <v>118</v>
      </c>
      <c r="DR2" s="890">
        <v>119</v>
      </c>
      <c r="DS2" s="890">
        <v>120</v>
      </c>
      <c r="DT2" s="891">
        <v>121</v>
      </c>
      <c r="DU2" s="891">
        <v>122</v>
      </c>
      <c r="DV2" s="890">
        <v>123</v>
      </c>
      <c r="DW2" s="890">
        <v>124</v>
      </c>
      <c r="DX2" s="891">
        <v>125</v>
      </c>
      <c r="DY2" s="891">
        <v>126</v>
      </c>
      <c r="DZ2" s="890">
        <v>127</v>
      </c>
      <c r="EA2" s="890">
        <v>128</v>
      </c>
      <c r="EB2" s="891">
        <v>129</v>
      </c>
      <c r="EC2" s="891">
        <v>130</v>
      </c>
      <c r="ED2" s="890">
        <v>131</v>
      </c>
      <c r="EE2" s="890">
        <v>132</v>
      </c>
      <c r="EF2" s="891">
        <v>133</v>
      </c>
      <c r="EG2" s="891">
        <v>134</v>
      </c>
      <c r="EH2" s="890">
        <v>135</v>
      </c>
      <c r="EI2" s="890">
        <v>136</v>
      </c>
      <c r="EJ2" s="891">
        <v>137</v>
      </c>
      <c r="EK2" s="891">
        <v>138</v>
      </c>
      <c r="EL2" s="890">
        <v>139</v>
      </c>
      <c r="EM2" s="890">
        <v>140</v>
      </c>
      <c r="EN2" s="891">
        <v>141</v>
      </c>
      <c r="EO2" s="891">
        <v>142</v>
      </c>
      <c r="EP2" s="890">
        <v>143</v>
      </c>
      <c r="EQ2" s="890">
        <v>144</v>
      </c>
      <c r="ER2" s="891">
        <v>145</v>
      </c>
      <c r="ES2" s="891">
        <v>146</v>
      </c>
      <c r="ET2" s="890">
        <v>147</v>
      </c>
      <c r="EU2" s="890">
        <v>148</v>
      </c>
      <c r="EV2" s="891">
        <v>149</v>
      </c>
      <c r="EW2" s="891">
        <v>150</v>
      </c>
      <c r="EX2" s="890">
        <v>151</v>
      </c>
      <c r="EY2" s="890">
        <v>152</v>
      </c>
      <c r="EZ2" s="891">
        <v>153</v>
      </c>
      <c r="FA2" s="891">
        <v>154</v>
      </c>
      <c r="FB2" s="890">
        <v>155</v>
      </c>
      <c r="FC2" s="890">
        <v>156</v>
      </c>
      <c r="FD2" s="891">
        <v>157</v>
      </c>
      <c r="FE2" s="891">
        <v>158</v>
      </c>
      <c r="FF2" s="890">
        <v>159</v>
      </c>
      <c r="FG2" s="890">
        <v>160</v>
      </c>
      <c r="FH2" s="891">
        <v>161</v>
      </c>
      <c r="FI2" s="891">
        <v>162</v>
      </c>
      <c r="FJ2" s="890">
        <v>163</v>
      </c>
      <c r="FK2" s="890">
        <v>164</v>
      </c>
      <c r="FL2" s="891">
        <v>165</v>
      </c>
      <c r="FM2" s="891">
        <v>166</v>
      </c>
      <c r="FN2" s="890">
        <v>167</v>
      </c>
      <c r="FO2" s="890">
        <v>168</v>
      </c>
      <c r="FP2" s="891">
        <v>169</v>
      </c>
      <c r="FQ2" s="891">
        <v>170</v>
      </c>
      <c r="FR2" s="890">
        <v>171</v>
      </c>
      <c r="FS2" s="890">
        <v>172</v>
      </c>
      <c r="FT2" s="891">
        <v>173</v>
      </c>
      <c r="FU2" s="891">
        <v>174</v>
      </c>
      <c r="FV2" s="890">
        <v>175</v>
      </c>
      <c r="FW2" s="890">
        <v>176</v>
      </c>
      <c r="FX2" s="891">
        <v>177</v>
      </c>
      <c r="FY2" s="891">
        <v>178</v>
      </c>
      <c r="FZ2" s="890">
        <v>179</v>
      </c>
      <c r="GA2" s="890">
        <v>180</v>
      </c>
      <c r="GB2" s="891">
        <v>181</v>
      </c>
      <c r="GC2" s="891">
        <v>182</v>
      </c>
      <c r="GD2" s="890">
        <v>183</v>
      </c>
      <c r="GE2" s="890">
        <v>184</v>
      </c>
      <c r="GF2" s="891">
        <v>185</v>
      </c>
      <c r="GG2" s="891">
        <v>186</v>
      </c>
      <c r="GH2" s="890">
        <v>187</v>
      </c>
      <c r="GI2" s="890">
        <v>188</v>
      </c>
      <c r="GJ2" s="891">
        <v>189</v>
      </c>
      <c r="GK2" s="891">
        <v>190</v>
      </c>
      <c r="GL2" s="890">
        <v>191</v>
      </c>
      <c r="GM2" s="890">
        <v>192</v>
      </c>
      <c r="GN2" s="891">
        <v>193</v>
      </c>
      <c r="GO2" s="891">
        <v>194</v>
      </c>
      <c r="GP2" s="890">
        <v>195</v>
      </c>
      <c r="GQ2" s="890">
        <v>196</v>
      </c>
      <c r="GR2" s="891">
        <v>197</v>
      </c>
      <c r="GS2" s="891">
        <v>198</v>
      </c>
      <c r="GT2" s="890">
        <v>199</v>
      </c>
      <c r="GU2" s="890">
        <v>200</v>
      </c>
      <c r="GV2" s="891">
        <v>201</v>
      </c>
      <c r="GW2" s="891">
        <v>202</v>
      </c>
      <c r="GX2" s="890">
        <v>203</v>
      </c>
      <c r="GY2" s="890">
        <v>204</v>
      </c>
      <c r="GZ2" s="891">
        <v>205</v>
      </c>
      <c r="HA2" s="891">
        <v>206</v>
      </c>
      <c r="HB2" s="890">
        <v>207</v>
      </c>
      <c r="HC2" s="890">
        <v>208</v>
      </c>
      <c r="HD2" s="891">
        <v>209</v>
      </c>
      <c r="HE2" s="891">
        <v>210</v>
      </c>
      <c r="HF2" s="890">
        <v>211</v>
      </c>
      <c r="HG2" s="890">
        <v>212</v>
      </c>
      <c r="HH2" s="891">
        <v>213</v>
      </c>
      <c r="HI2" s="891">
        <v>214</v>
      </c>
      <c r="HJ2" s="890">
        <v>215</v>
      </c>
      <c r="HK2" s="890">
        <v>216</v>
      </c>
      <c r="HL2" s="891">
        <v>217</v>
      </c>
      <c r="HM2" s="891">
        <v>218</v>
      </c>
      <c r="HN2" s="890">
        <v>219</v>
      </c>
      <c r="HO2" s="890">
        <v>220</v>
      </c>
      <c r="HP2" s="891">
        <v>221</v>
      </c>
      <c r="HQ2" s="891">
        <v>222</v>
      </c>
      <c r="HR2" s="890">
        <v>223</v>
      </c>
      <c r="HS2" s="890">
        <v>224</v>
      </c>
      <c r="HT2" s="891">
        <v>225</v>
      </c>
      <c r="HU2" s="891">
        <v>226</v>
      </c>
      <c r="HV2" s="890">
        <v>227</v>
      </c>
      <c r="HW2" s="890">
        <v>228</v>
      </c>
      <c r="HX2" s="891">
        <v>229</v>
      </c>
      <c r="HY2" s="891">
        <v>230</v>
      </c>
      <c r="HZ2" s="890">
        <v>231</v>
      </c>
      <c r="IA2" s="890">
        <v>232</v>
      </c>
      <c r="IB2" s="891">
        <v>233</v>
      </c>
      <c r="IC2" s="891">
        <v>234</v>
      </c>
      <c r="ID2" s="890">
        <v>235</v>
      </c>
      <c r="IE2" s="890">
        <v>236</v>
      </c>
      <c r="IF2" s="891">
        <v>237</v>
      </c>
      <c r="IG2" s="891">
        <v>238</v>
      </c>
      <c r="IH2" s="890">
        <v>239</v>
      </c>
      <c r="II2" s="890">
        <v>240</v>
      </c>
      <c r="IJ2" s="891">
        <v>241</v>
      </c>
      <c r="IK2" s="891">
        <v>242</v>
      </c>
      <c r="IL2" s="890">
        <v>243</v>
      </c>
      <c r="IM2" s="890">
        <v>244</v>
      </c>
      <c r="IN2" s="891">
        <v>245</v>
      </c>
      <c r="IO2" s="891">
        <v>246</v>
      </c>
      <c r="IP2" s="890">
        <v>247</v>
      </c>
      <c r="IQ2" s="890">
        <v>248</v>
      </c>
      <c r="IR2" s="891">
        <v>249</v>
      </c>
      <c r="IS2" s="891">
        <v>250</v>
      </c>
      <c r="IT2" s="890">
        <v>251</v>
      </c>
      <c r="IU2" s="890">
        <v>252</v>
      </c>
      <c r="IV2" s="891">
        <v>253</v>
      </c>
      <c r="IW2" s="891">
        <v>254</v>
      </c>
      <c r="IX2" s="890">
        <v>255</v>
      </c>
      <c r="IY2" s="890">
        <v>256</v>
      </c>
      <c r="IZ2" s="891">
        <v>257</v>
      </c>
      <c r="JA2" s="891">
        <v>258</v>
      </c>
      <c r="JB2" s="890">
        <v>259</v>
      </c>
      <c r="JC2" s="890">
        <v>260</v>
      </c>
      <c r="JD2" s="891">
        <v>261</v>
      </c>
      <c r="JE2" s="891">
        <v>262</v>
      </c>
      <c r="JF2" s="890">
        <v>263</v>
      </c>
      <c r="JG2" s="890">
        <v>264</v>
      </c>
      <c r="JH2" s="891">
        <v>265</v>
      </c>
      <c r="JI2" s="891">
        <v>266</v>
      </c>
      <c r="JJ2" s="890">
        <v>267</v>
      </c>
      <c r="JK2" s="890">
        <v>268</v>
      </c>
      <c r="JL2" s="891">
        <v>269</v>
      </c>
      <c r="JM2" s="891">
        <v>270</v>
      </c>
      <c r="JN2" s="890">
        <v>271</v>
      </c>
      <c r="JO2" s="890">
        <v>272</v>
      </c>
      <c r="JP2" s="891">
        <v>273</v>
      </c>
      <c r="JQ2" s="891">
        <v>274</v>
      </c>
      <c r="JR2" s="890">
        <v>275</v>
      </c>
      <c r="JS2" s="890">
        <v>276</v>
      </c>
      <c r="JT2" s="891">
        <v>277</v>
      </c>
      <c r="JU2" s="891">
        <v>278</v>
      </c>
      <c r="JV2" s="890">
        <v>279</v>
      </c>
      <c r="JW2" s="890">
        <v>280</v>
      </c>
      <c r="JX2" s="891">
        <v>281</v>
      </c>
      <c r="JY2" s="891">
        <v>282</v>
      </c>
      <c r="JZ2" s="890">
        <v>283</v>
      </c>
      <c r="KA2" s="890">
        <v>284</v>
      </c>
      <c r="KB2" s="891">
        <v>285</v>
      </c>
      <c r="KC2" s="891">
        <v>286</v>
      </c>
      <c r="KD2" s="890">
        <v>287</v>
      </c>
      <c r="KE2" s="890">
        <v>288</v>
      </c>
      <c r="KF2" s="891">
        <v>289</v>
      </c>
      <c r="KG2" s="891">
        <v>290</v>
      </c>
      <c r="KH2" s="890">
        <v>291</v>
      </c>
      <c r="KI2" s="890">
        <v>292</v>
      </c>
      <c r="KJ2" s="891">
        <v>293</v>
      </c>
      <c r="KK2" s="891">
        <v>294</v>
      </c>
      <c r="KL2" s="890">
        <v>295</v>
      </c>
      <c r="KM2" s="890">
        <v>296</v>
      </c>
      <c r="KN2" s="891">
        <v>297</v>
      </c>
      <c r="KO2" s="891">
        <v>298</v>
      </c>
      <c r="KP2" s="899">
        <v>299</v>
      </c>
      <c r="KQ2" s="871"/>
      <c r="KR2" s="1492"/>
      <c r="KS2" s="1492"/>
      <c r="KT2" s="1492"/>
      <c r="KU2" s="1492"/>
      <c r="KV2" s="1492"/>
    </row>
    <row r="3" spans="1:308" s="184" customFormat="1" hidden="1" x14ac:dyDescent="0.45">
      <c r="A3" s="1726" t="s">
        <v>153</v>
      </c>
      <c r="B3" s="1727"/>
      <c r="C3" s="1218" t="s">
        <v>80</v>
      </c>
      <c r="D3" s="1219" t="s">
        <v>282</v>
      </c>
      <c r="E3" s="1219" t="s">
        <v>13</v>
      </c>
      <c r="F3" s="1219" t="s">
        <v>81</v>
      </c>
      <c r="G3" s="1219" t="s">
        <v>82</v>
      </c>
      <c r="H3" s="1219" t="s">
        <v>13</v>
      </c>
      <c r="I3" s="1219" t="s">
        <v>13</v>
      </c>
      <c r="J3" s="1219" t="s">
        <v>13</v>
      </c>
      <c r="K3" s="1219" t="s">
        <v>658</v>
      </c>
      <c r="L3" s="1219" t="s">
        <v>658</v>
      </c>
      <c r="M3" s="1219" t="s">
        <v>13</v>
      </c>
      <c r="N3" s="1219" t="s">
        <v>13</v>
      </c>
      <c r="O3" s="1219" t="s">
        <v>13</v>
      </c>
      <c r="P3" s="1219" t="s">
        <v>13</v>
      </c>
      <c r="Q3" s="1219" t="s">
        <v>13</v>
      </c>
      <c r="R3" s="1219" t="s">
        <v>81</v>
      </c>
      <c r="S3" s="1219" t="s">
        <v>81</v>
      </c>
      <c r="T3" s="1219" t="s">
        <v>82</v>
      </c>
      <c r="U3" s="1219" t="s">
        <v>82</v>
      </c>
      <c r="V3" s="1219" t="s">
        <v>82</v>
      </c>
      <c r="W3" s="1219" t="s">
        <v>21</v>
      </c>
      <c r="X3" s="1219" t="s">
        <v>23</v>
      </c>
      <c r="Y3" s="1219" t="s">
        <v>283</v>
      </c>
      <c r="Z3" s="1219" t="s">
        <v>25</v>
      </c>
      <c r="AA3" s="1219" t="s">
        <v>162</v>
      </c>
      <c r="AB3" s="1219" t="s">
        <v>284</v>
      </c>
      <c r="AC3" s="1219" t="s">
        <v>487</v>
      </c>
      <c r="AD3" s="1219" t="s">
        <v>285</v>
      </c>
      <c r="AE3" s="1219" t="s">
        <v>286</v>
      </c>
      <c r="AF3" s="1219" t="s">
        <v>287</v>
      </c>
      <c r="AG3" s="1219" t="s">
        <v>288</v>
      </c>
      <c r="AH3" s="1219" t="s">
        <v>289</v>
      </c>
      <c r="AI3" s="1219" t="s">
        <v>290</v>
      </c>
      <c r="AJ3" s="1219" t="s">
        <v>291</v>
      </c>
      <c r="AK3" s="1219"/>
      <c r="AL3" s="1219"/>
      <c r="AM3" s="1219"/>
      <c r="AN3" s="1219"/>
      <c r="AO3" s="1219"/>
      <c r="AP3" s="1219"/>
      <c r="AQ3" s="1219" t="str">
        <f>CONCATENATE("Intervals: ", AQ14)</f>
        <v>Intervals: Moneghetti</v>
      </c>
      <c r="AR3" s="1219" t="str">
        <f t="shared" ref="AR3:BB3" si="0">CONCATENATE("Intervals: ", AR14)</f>
        <v>Intervals: 500m w/ 1min</v>
      </c>
      <c r="AS3" s="1219" t="str">
        <f t="shared" si="0"/>
        <v>Intervals: 500m w/ 30sec</v>
      </c>
      <c r="AT3" s="1219" t="str">
        <f t="shared" si="0"/>
        <v>Intervals: 1km w/ 2min</v>
      </c>
      <c r="AU3" s="1219" t="str">
        <f t="shared" si="0"/>
        <v>Intervals: 1km w/ 1min</v>
      </c>
      <c r="AV3" s="1219" t="str">
        <f t="shared" si="0"/>
        <v>Intervals: 1500m w/ 3min</v>
      </c>
      <c r="AW3" s="1219" t="str">
        <f t="shared" si="0"/>
        <v>Intervals: 1500m w/ 90sec</v>
      </c>
      <c r="AX3" s="1219" t="str">
        <f t="shared" si="0"/>
        <v>Intervals: 2km w/ 3mins</v>
      </c>
      <c r="AY3" s="1219" t="str">
        <f t="shared" si="0"/>
        <v>Intervals: 2km w/ 90sec</v>
      </c>
      <c r="AZ3" s="1219" t="str">
        <f t="shared" si="0"/>
        <v>Intervals: 1-2-1 w/ 2mins</v>
      </c>
      <c r="BA3" s="1219" t="str">
        <f t="shared" si="0"/>
        <v>Intervals: Pyramid</v>
      </c>
      <c r="BB3" s="1219" t="str">
        <f t="shared" si="0"/>
        <v>Intervals: TrackO2 Max</v>
      </c>
      <c r="BC3" s="1219"/>
      <c r="BD3" s="1219"/>
      <c r="BE3" s="1219"/>
      <c r="BF3" s="1219"/>
      <c r="BG3" s="1219"/>
      <c r="BH3" s="1219"/>
      <c r="BI3" s="1219"/>
      <c r="BJ3" s="1219"/>
      <c r="BK3" s="1219" t="str">
        <f>CONCATENATE("Reps: ", BK14)</f>
        <v>Reps: Ladder 800</v>
      </c>
      <c r="BL3" s="1219" t="str">
        <f>BL14</f>
        <v>Intensive Hill Reps</v>
      </c>
      <c r="BM3" s="1219" t="str">
        <f t="shared" ref="BM3:BR3" si="1">BM14</f>
        <v>Extensive Hill Reps</v>
      </c>
      <c r="BN3" s="1219" t="str">
        <f t="shared" si="1"/>
        <v>Hill Reps Progression</v>
      </c>
      <c r="BO3" s="1219" t="str">
        <f t="shared" si="1"/>
        <v>Intensive Sprint Reps</v>
      </c>
      <c r="BP3" s="1219" t="str">
        <f t="shared" si="1"/>
        <v>Extensive Sprints Reps</v>
      </c>
      <c r="BQ3" s="1219" t="str">
        <f t="shared" si="1"/>
        <v>Lactic Sprint Reps</v>
      </c>
      <c r="BR3" s="1219" t="str">
        <f t="shared" si="1"/>
        <v>Sprint Reps Progression</v>
      </c>
      <c r="BS3" s="1219" t="str">
        <f>CONCATENATE("Reps: ", BS14)</f>
        <v>Reps: Tabata</v>
      </c>
      <c r="BT3" s="1219"/>
      <c r="BU3" s="1219" t="s">
        <v>34</v>
      </c>
      <c r="BV3" s="1219" t="s">
        <v>34</v>
      </c>
      <c r="BW3" s="1219" t="s">
        <v>294</v>
      </c>
      <c r="BX3" s="1219" t="s">
        <v>34</v>
      </c>
      <c r="BY3" s="1219" t="s">
        <v>294</v>
      </c>
      <c r="BZ3" s="1219" t="s">
        <v>38</v>
      </c>
      <c r="CA3" s="1219" t="s">
        <v>281</v>
      </c>
      <c r="CB3" s="1219" t="s">
        <v>496</v>
      </c>
      <c r="CC3" s="1219" t="s">
        <v>707</v>
      </c>
      <c r="CD3" s="1219" t="s">
        <v>676</v>
      </c>
      <c r="CE3" s="1219" t="s">
        <v>491</v>
      </c>
      <c r="CF3" s="1219" t="s">
        <v>295</v>
      </c>
      <c r="CG3" s="1219" t="s">
        <v>296</v>
      </c>
      <c r="CH3" s="1219" t="s">
        <v>297</v>
      </c>
      <c r="CI3" s="1219" t="s">
        <v>298</v>
      </c>
      <c r="CJ3" s="1219" t="s">
        <v>299</v>
      </c>
      <c r="CK3" s="1219" t="s">
        <v>300</v>
      </c>
      <c r="CL3" s="1219" t="s">
        <v>301</v>
      </c>
      <c r="CM3" s="1219" t="s">
        <v>302</v>
      </c>
      <c r="CN3" s="1219" t="s">
        <v>477</v>
      </c>
      <c r="CO3" s="1219" t="s">
        <v>303</v>
      </c>
      <c r="CP3" s="1219" t="s">
        <v>488</v>
      </c>
      <c r="CQ3" s="1219" t="s">
        <v>478</v>
      </c>
      <c r="CR3" s="1219" t="s">
        <v>393</v>
      </c>
      <c r="CS3" s="1219" t="s">
        <v>479</v>
      </c>
      <c r="CT3" s="1219" t="s">
        <v>480</v>
      </c>
      <c r="CU3" s="1219" t="s">
        <v>481</v>
      </c>
      <c r="CV3" s="1219" t="s">
        <v>489</v>
      </c>
      <c r="CW3" s="1219" t="s">
        <v>490</v>
      </c>
      <c r="CX3" s="1219" t="s">
        <v>783</v>
      </c>
      <c r="CY3" s="1218" t="s">
        <v>80</v>
      </c>
      <c r="CZ3" s="1219" t="s">
        <v>282</v>
      </c>
      <c r="DA3" s="1219" t="s">
        <v>13</v>
      </c>
      <c r="DB3" s="1219" t="s">
        <v>81</v>
      </c>
      <c r="DC3" s="1219" t="s">
        <v>82</v>
      </c>
      <c r="DD3" s="1219" t="s">
        <v>282</v>
      </c>
      <c r="DE3" s="1219" t="s">
        <v>282</v>
      </c>
      <c r="DF3" s="1219" t="s">
        <v>13</v>
      </c>
      <c r="DG3" s="1219" t="s">
        <v>13</v>
      </c>
      <c r="DH3" s="1219" t="s">
        <v>13</v>
      </c>
      <c r="DI3" s="1219" t="s">
        <v>13</v>
      </c>
      <c r="DJ3" s="1219" t="s">
        <v>13</v>
      </c>
      <c r="DK3" s="1219" t="s">
        <v>13</v>
      </c>
      <c r="DL3" s="1219" t="s">
        <v>13</v>
      </c>
      <c r="DM3" s="1219" t="s">
        <v>13</v>
      </c>
      <c r="DN3" s="1219" t="s">
        <v>81</v>
      </c>
      <c r="DO3" s="1219" t="s">
        <v>81</v>
      </c>
      <c r="DP3" s="1219" t="s">
        <v>82</v>
      </c>
      <c r="DQ3" s="1219" t="s">
        <v>82</v>
      </c>
      <c r="DR3" s="1219" t="s">
        <v>82</v>
      </c>
      <c r="DS3" s="1219" t="s">
        <v>21</v>
      </c>
      <c r="DT3" s="1219" t="s">
        <v>486</v>
      </c>
      <c r="DU3" s="1219" t="s">
        <v>636</v>
      </c>
      <c r="DV3" s="1219" t="s">
        <v>25</v>
      </c>
      <c r="DW3" s="1219" t="s">
        <v>162</v>
      </c>
      <c r="DX3" s="1219" t="s">
        <v>284</v>
      </c>
      <c r="DY3" s="1219" t="s">
        <v>487</v>
      </c>
      <c r="DZ3" s="1219" t="s">
        <v>285</v>
      </c>
      <c r="EA3" s="1219" t="s">
        <v>286</v>
      </c>
      <c r="EB3" s="1219" t="s">
        <v>287</v>
      </c>
      <c r="EC3" s="1219" t="s">
        <v>288</v>
      </c>
      <c r="ED3" s="1219" t="s">
        <v>289</v>
      </c>
      <c r="EE3" s="1219" t="s">
        <v>290</v>
      </c>
      <c r="EF3" s="1219" t="s">
        <v>291</v>
      </c>
      <c r="EG3" s="1219"/>
      <c r="EH3" s="1219"/>
      <c r="EI3" s="1219"/>
      <c r="EJ3" s="1219"/>
      <c r="EK3" s="1219"/>
      <c r="EL3" s="1219"/>
      <c r="EM3" s="1219"/>
      <c r="EN3" s="1219"/>
      <c r="EO3" s="1219"/>
      <c r="EP3" s="1219"/>
      <c r="EQ3" s="1219"/>
      <c r="ER3" s="1219"/>
      <c r="ES3" s="1219"/>
      <c r="ET3" s="1219"/>
      <c r="EU3" s="1219"/>
      <c r="EV3" s="1219"/>
      <c r="EW3" s="1219"/>
      <c r="EX3" s="1219"/>
      <c r="EY3" s="1219"/>
      <c r="EZ3" s="1219"/>
      <c r="FA3" s="1219"/>
      <c r="FB3" s="1219"/>
      <c r="FC3" s="1219"/>
      <c r="FD3" s="1219"/>
      <c r="FE3" s="1219"/>
      <c r="FF3" s="1219"/>
      <c r="FG3" s="1219" t="s">
        <v>269</v>
      </c>
      <c r="FH3" s="1219" t="s">
        <v>271</v>
      </c>
      <c r="FI3" s="1219" t="s">
        <v>261</v>
      </c>
      <c r="FJ3" s="1219" t="s">
        <v>292</v>
      </c>
      <c r="FK3" s="1219" t="s">
        <v>246</v>
      </c>
      <c r="FL3" s="1219" t="s">
        <v>254</v>
      </c>
      <c r="FM3" s="1219" t="s">
        <v>263</v>
      </c>
      <c r="FN3" s="1219" t="s">
        <v>381</v>
      </c>
      <c r="FO3" s="1219" t="s">
        <v>293</v>
      </c>
      <c r="FP3" s="1219" t="s">
        <v>276</v>
      </c>
      <c r="FQ3" s="1219"/>
      <c r="FR3" s="1219"/>
      <c r="FS3" s="1219"/>
      <c r="FT3" s="1219"/>
      <c r="FU3" s="1219"/>
      <c r="FV3" s="1219"/>
      <c r="FW3" s="1219"/>
      <c r="FX3" s="1219"/>
      <c r="FY3" s="1219"/>
      <c r="FZ3" s="1219"/>
      <c r="GA3" s="1219" t="s">
        <v>295</v>
      </c>
      <c r="GB3" s="1219" t="s">
        <v>296</v>
      </c>
      <c r="GC3" s="1219" t="s">
        <v>297</v>
      </c>
      <c r="GD3" s="1219" t="s">
        <v>298</v>
      </c>
      <c r="GE3" s="1219" t="s">
        <v>299</v>
      </c>
      <c r="GF3" s="1219" t="s">
        <v>300</v>
      </c>
      <c r="GG3" s="1219" t="s">
        <v>301</v>
      </c>
      <c r="GH3" s="1219" t="s">
        <v>302</v>
      </c>
      <c r="GI3" s="1219" t="s">
        <v>477</v>
      </c>
      <c r="GJ3" s="1219" t="s">
        <v>303</v>
      </c>
      <c r="GK3" s="1219" t="s">
        <v>478</v>
      </c>
      <c r="GL3" s="1219" t="s">
        <v>393</v>
      </c>
      <c r="GM3" s="1219" t="s">
        <v>479</v>
      </c>
      <c r="GN3" s="1219" t="s">
        <v>480</v>
      </c>
      <c r="GO3" s="1219" t="s">
        <v>481</v>
      </c>
      <c r="GP3" s="1219"/>
      <c r="GQ3" s="1219"/>
      <c r="GR3" s="1219"/>
      <c r="GS3" s="1219"/>
      <c r="GT3" s="1219"/>
      <c r="GU3" s="1218" t="s">
        <v>80</v>
      </c>
      <c r="GV3" s="1219" t="s">
        <v>282</v>
      </c>
      <c r="GW3" s="1219" t="s">
        <v>13</v>
      </c>
      <c r="GX3" s="1219" t="s">
        <v>81</v>
      </c>
      <c r="GY3" s="1219" t="s">
        <v>82</v>
      </c>
      <c r="GZ3" s="1219"/>
      <c r="HA3" s="1219"/>
      <c r="HB3" s="1219" t="s">
        <v>13</v>
      </c>
      <c r="HC3" s="1219" t="s">
        <v>13</v>
      </c>
      <c r="HD3" s="1219" t="s">
        <v>13</v>
      </c>
      <c r="HE3" s="1219" t="s">
        <v>13</v>
      </c>
      <c r="HF3" s="1219" t="s">
        <v>13</v>
      </c>
      <c r="HG3" s="1219" t="s">
        <v>13</v>
      </c>
      <c r="HH3" s="1219" t="s">
        <v>13</v>
      </c>
      <c r="HI3" s="1219" t="s">
        <v>13</v>
      </c>
      <c r="HJ3" s="1219" t="s">
        <v>81</v>
      </c>
      <c r="HK3" s="1219" t="s">
        <v>81</v>
      </c>
      <c r="HL3" s="1219" t="s">
        <v>82</v>
      </c>
      <c r="HM3" s="1219" t="s">
        <v>82</v>
      </c>
      <c r="HN3" s="1219" t="s">
        <v>82</v>
      </c>
      <c r="HO3" s="1218" t="s">
        <v>80</v>
      </c>
      <c r="HP3" s="1219" t="s">
        <v>282</v>
      </c>
      <c r="HQ3" s="1219" t="s">
        <v>13</v>
      </c>
      <c r="HR3" s="1219" t="s">
        <v>81</v>
      </c>
      <c r="HS3" s="1219" t="s">
        <v>82</v>
      </c>
      <c r="HT3" s="1219"/>
      <c r="HU3" s="1219"/>
      <c r="HV3" s="1219" t="s">
        <v>13</v>
      </c>
      <c r="HW3" s="1219" t="s">
        <v>13</v>
      </c>
      <c r="HX3" s="1219" t="s">
        <v>13</v>
      </c>
      <c r="HY3" s="1219" t="s">
        <v>13</v>
      </c>
      <c r="HZ3" s="1219" t="s">
        <v>13</v>
      </c>
      <c r="IA3" s="1219" t="s">
        <v>13</v>
      </c>
      <c r="IB3" s="1219" t="s">
        <v>13</v>
      </c>
      <c r="IC3" s="1219" t="s">
        <v>13</v>
      </c>
      <c r="ID3" s="1219" t="s">
        <v>81</v>
      </c>
      <c r="IE3" s="1219" t="s">
        <v>81</v>
      </c>
      <c r="IF3" s="1219" t="s">
        <v>82</v>
      </c>
      <c r="IG3" s="1219" t="s">
        <v>82</v>
      </c>
      <c r="IH3" s="1219" t="s">
        <v>82</v>
      </c>
      <c r="II3" s="1219" t="s">
        <v>575</v>
      </c>
      <c r="IJ3" s="1219"/>
      <c r="IK3" s="1219"/>
      <c r="IL3" s="1219"/>
      <c r="IM3" s="1219"/>
      <c r="IN3" s="1219"/>
      <c r="IO3" s="1219"/>
      <c r="IP3" s="1219"/>
      <c r="IQ3" s="1219"/>
      <c r="IR3" s="1219"/>
      <c r="IS3" s="1219" t="s">
        <v>724</v>
      </c>
      <c r="IT3" s="1219" t="s">
        <v>742</v>
      </c>
      <c r="IU3" s="1219" t="s">
        <v>743</v>
      </c>
      <c r="IV3" s="1219" t="s">
        <v>744</v>
      </c>
      <c r="IW3" s="1219" t="s">
        <v>745</v>
      </c>
      <c r="IX3" s="1219" t="s">
        <v>731</v>
      </c>
      <c r="IY3" s="1219" t="s">
        <v>730</v>
      </c>
      <c r="IZ3" s="1219" t="s">
        <v>762</v>
      </c>
      <c r="JA3" s="1219" t="s">
        <v>763</v>
      </c>
      <c r="JB3" s="1219" t="s">
        <v>764</v>
      </c>
      <c r="JC3" s="1219"/>
      <c r="JD3" s="1219"/>
      <c r="JE3" s="1219"/>
      <c r="JF3" s="1219"/>
      <c r="JG3" s="1219"/>
      <c r="JH3" s="1219"/>
      <c r="JI3" s="1219"/>
      <c r="JJ3" s="1219"/>
      <c r="JK3" s="1219"/>
      <c r="JL3" s="1219"/>
      <c r="JM3" s="1219"/>
      <c r="JN3" s="1219"/>
      <c r="JO3" s="1219"/>
      <c r="JP3" s="1219"/>
      <c r="JQ3" s="1219"/>
      <c r="JR3" s="1219"/>
      <c r="JS3" s="1219"/>
      <c r="JT3" s="1219"/>
      <c r="JU3" s="1219"/>
      <c r="JV3" s="1219"/>
      <c r="JW3" s="1219" t="s">
        <v>295</v>
      </c>
      <c r="JX3" s="1219" t="s">
        <v>296</v>
      </c>
      <c r="JY3" s="1219" t="s">
        <v>297</v>
      </c>
      <c r="JZ3" s="1219" t="s">
        <v>298</v>
      </c>
      <c r="KA3" s="1219" t="s">
        <v>299</v>
      </c>
      <c r="KB3" s="1219" t="s">
        <v>300</v>
      </c>
      <c r="KC3" s="1219" t="s">
        <v>301</v>
      </c>
      <c r="KD3" s="1219" t="s">
        <v>302</v>
      </c>
      <c r="KE3" s="1219" t="s">
        <v>477</v>
      </c>
      <c r="KF3" s="1219" t="s">
        <v>303</v>
      </c>
      <c r="KG3" s="1219" t="s">
        <v>478</v>
      </c>
      <c r="KH3" s="1219" t="s">
        <v>393</v>
      </c>
      <c r="KI3" s="1219" t="s">
        <v>479</v>
      </c>
      <c r="KJ3" s="1219" t="s">
        <v>480</v>
      </c>
      <c r="KK3" s="1219" t="s">
        <v>481</v>
      </c>
      <c r="KL3" s="1219"/>
      <c r="KM3" s="1219"/>
      <c r="KN3" s="1219"/>
      <c r="KO3" s="1219"/>
      <c r="KP3" s="1220"/>
      <c r="KQ3" s="699" t="s">
        <v>388</v>
      </c>
      <c r="KR3" s="1493"/>
      <c r="KS3" s="1493"/>
      <c r="KT3" s="1493"/>
      <c r="KU3" s="1493"/>
      <c r="KV3" s="1493"/>
    </row>
    <row r="4" spans="1:308" s="188" customFormat="1" hidden="1" x14ac:dyDescent="0.45">
      <c r="A4" s="1726" t="s">
        <v>632</v>
      </c>
      <c r="B4" s="1727"/>
      <c r="C4" s="1218" t="s">
        <v>26</v>
      </c>
      <c r="D4" s="1219" t="s">
        <v>26</v>
      </c>
      <c r="E4" s="1219" t="s">
        <v>26</v>
      </c>
      <c r="F4" s="1219" t="s">
        <v>26</v>
      </c>
      <c r="G4" s="1219" t="s">
        <v>26</v>
      </c>
      <c r="H4" s="1219" t="s">
        <v>26</v>
      </c>
      <c r="I4" s="1219" t="s">
        <v>26</v>
      </c>
      <c r="J4" s="1219" t="s">
        <v>26</v>
      </c>
      <c r="K4" s="1219" t="s">
        <v>26</v>
      </c>
      <c r="L4" s="1219" t="s">
        <v>26</v>
      </c>
      <c r="M4" s="1219" t="s">
        <v>26</v>
      </c>
      <c r="N4" s="1219" t="s">
        <v>26</v>
      </c>
      <c r="O4" s="1219" t="s">
        <v>26</v>
      </c>
      <c r="P4" s="1219" t="s">
        <v>26</v>
      </c>
      <c r="Q4" s="1219" t="s">
        <v>26</v>
      </c>
      <c r="R4" s="1219" t="s">
        <v>26</v>
      </c>
      <c r="S4" s="1219" t="s">
        <v>26</v>
      </c>
      <c r="T4" s="1219" t="s">
        <v>26</v>
      </c>
      <c r="U4" s="1219" t="s">
        <v>26</v>
      </c>
      <c r="V4" s="1219" t="s">
        <v>26</v>
      </c>
      <c r="W4" s="1219" t="s">
        <v>26</v>
      </c>
      <c r="X4" s="1219" t="s">
        <v>26</v>
      </c>
      <c r="Y4" s="1219" t="s">
        <v>26</v>
      </c>
      <c r="Z4" s="1219" t="s">
        <v>26</v>
      </c>
      <c r="AA4" s="1219" t="s">
        <v>26</v>
      </c>
      <c r="AB4" s="1219" t="s">
        <v>26</v>
      </c>
      <c r="AC4" s="1219" t="s">
        <v>26</v>
      </c>
      <c r="AD4" s="1219" t="s">
        <v>26</v>
      </c>
      <c r="AE4" s="1219" t="s">
        <v>26</v>
      </c>
      <c r="AF4" s="1219" t="s">
        <v>26</v>
      </c>
      <c r="AG4" s="1219" t="s">
        <v>26</v>
      </c>
      <c r="AH4" s="1219" t="s">
        <v>26</v>
      </c>
      <c r="AI4" s="1219" t="s">
        <v>26</v>
      </c>
      <c r="AJ4" s="1219" t="s">
        <v>26</v>
      </c>
      <c r="AK4" s="1219"/>
      <c r="AL4" s="1219"/>
      <c r="AM4" s="1219"/>
      <c r="AN4" s="1219"/>
      <c r="AO4" s="1219"/>
      <c r="AP4" s="1219"/>
      <c r="AQ4" s="1219" t="s">
        <v>26</v>
      </c>
      <c r="AR4" s="1219" t="s">
        <v>26</v>
      </c>
      <c r="AS4" s="1219" t="s">
        <v>26</v>
      </c>
      <c r="AT4" s="1219" t="s">
        <v>26</v>
      </c>
      <c r="AU4" s="1219" t="s">
        <v>26</v>
      </c>
      <c r="AV4" s="1219" t="s">
        <v>26</v>
      </c>
      <c r="AW4" s="1219" t="s">
        <v>26</v>
      </c>
      <c r="AX4" s="1219" t="s">
        <v>26</v>
      </c>
      <c r="AY4" s="1219" t="s">
        <v>26</v>
      </c>
      <c r="AZ4" s="1219" t="s">
        <v>26</v>
      </c>
      <c r="BA4" s="1219" t="s">
        <v>26</v>
      </c>
      <c r="BB4" s="1219" t="s">
        <v>26</v>
      </c>
      <c r="BC4" s="1219"/>
      <c r="BD4" s="1219"/>
      <c r="BE4" s="1219"/>
      <c r="BF4" s="1219"/>
      <c r="BG4" s="1219"/>
      <c r="BH4" s="1219"/>
      <c r="BI4" s="1219"/>
      <c r="BJ4" s="1219"/>
      <c r="BK4" s="1219" t="s">
        <v>26</v>
      </c>
      <c r="BL4" s="1219" t="s">
        <v>26</v>
      </c>
      <c r="BM4" s="1219" t="s">
        <v>26</v>
      </c>
      <c r="BN4" s="1219" t="s">
        <v>26</v>
      </c>
      <c r="BO4" s="1219" t="s">
        <v>26</v>
      </c>
      <c r="BP4" s="1219" t="s">
        <v>26</v>
      </c>
      <c r="BQ4" s="1219" t="s">
        <v>26</v>
      </c>
      <c r="BR4" s="1219" t="s">
        <v>26</v>
      </c>
      <c r="BS4" s="1219" t="s">
        <v>26</v>
      </c>
      <c r="BT4" s="1219"/>
      <c r="BU4" s="1219" t="s">
        <v>26</v>
      </c>
      <c r="BV4" s="1219" t="s">
        <v>26</v>
      </c>
      <c r="BW4" s="1219" t="s">
        <v>26</v>
      </c>
      <c r="BX4" s="1219" t="s">
        <v>26</v>
      </c>
      <c r="BY4" s="1219" t="s">
        <v>26</v>
      </c>
      <c r="BZ4" s="1219" t="s">
        <v>49</v>
      </c>
      <c r="CA4" s="1219" t="s">
        <v>49</v>
      </c>
      <c r="CB4" s="1219" t="s">
        <v>26</v>
      </c>
      <c r="CC4" s="1219" t="s">
        <v>50</v>
      </c>
      <c r="CD4" s="1219" t="s">
        <v>50</v>
      </c>
      <c r="CE4" s="1219" t="s">
        <v>26</v>
      </c>
      <c r="CF4" s="1219" t="s">
        <v>26</v>
      </c>
      <c r="CG4" s="1219" t="s">
        <v>26</v>
      </c>
      <c r="CH4" s="1219" t="s">
        <v>26</v>
      </c>
      <c r="CI4" s="1219" t="s">
        <v>26</v>
      </c>
      <c r="CJ4" s="1219" t="s">
        <v>26</v>
      </c>
      <c r="CK4" s="1219" t="s">
        <v>26</v>
      </c>
      <c r="CL4" s="1219" t="s">
        <v>26</v>
      </c>
      <c r="CM4" s="1219" t="s">
        <v>26</v>
      </c>
      <c r="CN4" s="1219" t="s">
        <v>26</v>
      </c>
      <c r="CO4" s="1219" t="s">
        <v>26</v>
      </c>
      <c r="CP4" s="1219" t="s">
        <v>26</v>
      </c>
      <c r="CQ4" s="1219" t="s">
        <v>26</v>
      </c>
      <c r="CR4" s="1219" t="s">
        <v>26</v>
      </c>
      <c r="CS4" s="1219" t="s">
        <v>26</v>
      </c>
      <c r="CT4" s="1219" t="s">
        <v>26</v>
      </c>
      <c r="CU4" s="1219" t="s">
        <v>26</v>
      </c>
      <c r="CV4" s="1219" t="s">
        <v>26</v>
      </c>
      <c r="CW4" s="1219" t="s">
        <v>26</v>
      </c>
      <c r="CX4" s="1219" t="s">
        <v>26</v>
      </c>
      <c r="CY4" s="1218" t="s">
        <v>40</v>
      </c>
      <c r="CZ4" s="1218" t="s">
        <v>40</v>
      </c>
      <c r="DA4" s="1218" t="s">
        <v>40</v>
      </c>
      <c r="DB4" s="1219" t="s">
        <v>40</v>
      </c>
      <c r="DC4" s="1219" t="s">
        <v>40</v>
      </c>
      <c r="DD4" s="1218" t="s">
        <v>40</v>
      </c>
      <c r="DE4" s="1218" t="s">
        <v>40</v>
      </c>
      <c r="DF4" s="1219" t="s">
        <v>40</v>
      </c>
      <c r="DG4" s="1219" t="s">
        <v>40</v>
      </c>
      <c r="DH4" s="1219" t="s">
        <v>40</v>
      </c>
      <c r="DI4" s="1219" t="s">
        <v>40</v>
      </c>
      <c r="DJ4" s="1219" t="s">
        <v>40</v>
      </c>
      <c r="DK4" s="1219" t="s">
        <v>40</v>
      </c>
      <c r="DL4" s="1219" t="s">
        <v>40</v>
      </c>
      <c r="DM4" s="1219" t="s">
        <v>40</v>
      </c>
      <c r="DN4" s="1219" t="s">
        <v>40</v>
      </c>
      <c r="DO4" s="1219" t="s">
        <v>40</v>
      </c>
      <c r="DP4" s="1219" t="s">
        <v>40</v>
      </c>
      <c r="DQ4" s="1219" t="s">
        <v>40</v>
      </c>
      <c r="DR4" s="1219" t="s">
        <v>40</v>
      </c>
      <c r="DS4" s="1219" t="s">
        <v>40</v>
      </c>
      <c r="DT4" s="1219" t="s">
        <v>40</v>
      </c>
      <c r="DU4" s="1219" t="s">
        <v>40</v>
      </c>
      <c r="DV4" s="1219" t="s">
        <v>40</v>
      </c>
      <c r="DW4" s="1219" t="s">
        <v>40</v>
      </c>
      <c r="DX4" s="1219" t="s">
        <v>40</v>
      </c>
      <c r="DY4" s="1219" t="s">
        <v>40</v>
      </c>
      <c r="DZ4" s="1219" t="s">
        <v>40</v>
      </c>
      <c r="EA4" s="1219" t="s">
        <v>40</v>
      </c>
      <c r="EB4" s="1219" t="s">
        <v>40</v>
      </c>
      <c r="EC4" s="1219" t="s">
        <v>40</v>
      </c>
      <c r="ED4" s="1219" t="s">
        <v>40</v>
      </c>
      <c r="EE4" s="1219" t="s">
        <v>40</v>
      </c>
      <c r="EF4" s="1219" t="s">
        <v>40</v>
      </c>
      <c r="EG4" s="1219"/>
      <c r="EH4" s="1219"/>
      <c r="EI4" s="1219"/>
      <c r="EJ4" s="1219"/>
      <c r="EK4" s="1219"/>
      <c r="EL4" s="1219"/>
      <c r="EM4" s="1219"/>
      <c r="EN4" s="1219"/>
      <c r="EO4" s="1219"/>
      <c r="EP4" s="1219"/>
      <c r="EQ4" s="1219"/>
      <c r="ER4" s="1219"/>
      <c r="ES4" s="1219"/>
      <c r="ET4" s="1219"/>
      <c r="EU4" s="1219"/>
      <c r="EV4" s="1219"/>
      <c r="EW4" s="1219"/>
      <c r="EX4" s="1219"/>
      <c r="EY4" s="1219"/>
      <c r="EZ4" s="1219"/>
      <c r="FA4" s="1219"/>
      <c r="FB4" s="1219"/>
      <c r="FC4" s="1219"/>
      <c r="FD4" s="1219"/>
      <c r="FE4" s="1219"/>
      <c r="FF4" s="1219"/>
      <c r="FG4" s="1219" t="s">
        <v>40</v>
      </c>
      <c r="FH4" s="1219" t="s">
        <v>40</v>
      </c>
      <c r="FI4" s="1219" t="s">
        <v>40</v>
      </c>
      <c r="FJ4" s="1219" t="s">
        <v>40</v>
      </c>
      <c r="FK4" s="1219" t="s">
        <v>40</v>
      </c>
      <c r="FL4" s="1219" t="s">
        <v>40</v>
      </c>
      <c r="FM4" s="1219" t="s">
        <v>40</v>
      </c>
      <c r="FN4" s="1219" t="s">
        <v>40</v>
      </c>
      <c r="FO4" s="1219" t="s">
        <v>40</v>
      </c>
      <c r="FP4" s="1219" t="s">
        <v>40</v>
      </c>
      <c r="FQ4" s="1219"/>
      <c r="FR4" s="1219"/>
      <c r="FS4" s="1219"/>
      <c r="FT4" s="1219"/>
      <c r="FU4" s="1219"/>
      <c r="FV4" s="1219"/>
      <c r="FW4" s="1219"/>
      <c r="FX4" s="1219"/>
      <c r="FY4" s="1219"/>
      <c r="FZ4" s="1219"/>
      <c r="GA4" s="1219" t="s">
        <v>40</v>
      </c>
      <c r="GB4" s="1219" t="s">
        <v>40</v>
      </c>
      <c r="GC4" s="1219" t="s">
        <v>40</v>
      </c>
      <c r="GD4" s="1219" t="s">
        <v>40</v>
      </c>
      <c r="GE4" s="1219" t="s">
        <v>40</v>
      </c>
      <c r="GF4" s="1219" t="s">
        <v>40</v>
      </c>
      <c r="GG4" s="1219" t="s">
        <v>40</v>
      </c>
      <c r="GH4" s="1219" t="s">
        <v>40</v>
      </c>
      <c r="GI4" s="1219" t="s">
        <v>40</v>
      </c>
      <c r="GJ4" s="1219" t="s">
        <v>40</v>
      </c>
      <c r="GK4" s="1219" t="s">
        <v>40</v>
      </c>
      <c r="GL4" s="1219" t="s">
        <v>40</v>
      </c>
      <c r="GM4" s="1219" t="s">
        <v>40</v>
      </c>
      <c r="GN4" s="1219" t="s">
        <v>40</v>
      </c>
      <c r="GO4" s="1219" t="s">
        <v>40</v>
      </c>
      <c r="GP4" s="1222"/>
      <c r="GQ4" s="1219"/>
      <c r="GR4" s="1219"/>
      <c r="GS4" s="1219"/>
      <c r="GT4" s="1219"/>
      <c r="GU4" s="1219" t="s">
        <v>46</v>
      </c>
      <c r="GV4" s="1219" t="s">
        <v>46</v>
      </c>
      <c r="GW4" s="1219" t="s">
        <v>46</v>
      </c>
      <c r="GX4" s="1219" t="s">
        <v>46</v>
      </c>
      <c r="GY4" s="1219" t="s">
        <v>46</v>
      </c>
      <c r="GZ4" s="1219"/>
      <c r="HA4" s="1219"/>
      <c r="HB4" s="1219" t="s">
        <v>46</v>
      </c>
      <c r="HC4" s="1219" t="s">
        <v>46</v>
      </c>
      <c r="HD4" s="1219" t="s">
        <v>46</v>
      </c>
      <c r="HE4" s="1219" t="s">
        <v>46</v>
      </c>
      <c r="HF4" s="1219" t="s">
        <v>46</v>
      </c>
      <c r="HG4" s="1219" t="s">
        <v>46</v>
      </c>
      <c r="HH4" s="1219" t="s">
        <v>46</v>
      </c>
      <c r="HI4" s="1219" t="s">
        <v>46</v>
      </c>
      <c r="HJ4" s="1219" t="s">
        <v>46</v>
      </c>
      <c r="HK4" s="1219" t="s">
        <v>46</v>
      </c>
      <c r="HL4" s="1219" t="s">
        <v>46</v>
      </c>
      <c r="HM4" s="1219" t="s">
        <v>46</v>
      </c>
      <c r="HN4" s="1219" t="s">
        <v>46</v>
      </c>
      <c r="HO4" s="1219" t="s">
        <v>49</v>
      </c>
      <c r="HP4" s="1219" t="s">
        <v>49</v>
      </c>
      <c r="HQ4" s="1219" t="s">
        <v>49</v>
      </c>
      <c r="HR4" s="1219" t="s">
        <v>49</v>
      </c>
      <c r="HS4" s="1219" t="s">
        <v>49</v>
      </c>
      <c r="HT4" s="1219"/>
      <c r="HU4" s="1219"/>
      <c r="HV4" s="1219" t="s">
        <v>49</v>
      </c>
      <c r="HW4" s="1219" t="s">
        <v>49</v>
      </c>
      <c r="HX4" s="1219" t="s">
        <v>49</v>
      </c>
      <c r="HY4" s="1219" t="s">
        <v>49</v>
      </c>
      <c r="HZ4" s="1219" t="s">
        <v>49</v>
      </c>
      <c r="IA4" s="1219" t="s">
        <v>49</v>
      </c>
      <c r="IB4" s="1219" t="s">
        <v>49</v>
      </c>
      <c r="IC4" s="1219" t="s">
        <v>49</v>
      </c>
      <c r="ID4" s="1219" t="s">
        <v>49</v>
      </c>
      <c r="IE4" s="1219" t="s">
        <v>49</v>
      </c>
      <c r="IF4" s="1219" t="s">
        <v>49</v>
      </c>
      <c r="IG4" s="1219" t="s">
        <v>49</v>
      </c>
      <c r="IH4" s="1219" t="s">
        <v>49</v>
      </c>
      <c r="II4" s="1219" t="s">
        <v>49</v>
      </c>
      <c r="IJ4" s="1219"/>
      <c r="IK4" s="1219"/>
      <c r="IL4" s="1219"/>
      <c r="IM4" s="1219"/>
      <c r="IN4" s="1219"/>
      <c r="IO4" s="1219"/>
      <c r="IP4" s="1219"/>
      <c r="IQ4" s="1219"/>
      <c r="IR4" s="1219"/>
      <c r="IS4" s="1219"/>
      <c r="IT4" s="1219" t="s">
        <v>26</v>
      </c>
      <c r="IU4" s="1219" t="s">
        <v>26</v>
      </c>
      <c r="IV4" s="1219" t="s">
        <v>26</v>
      </c>
      <c r="IW4" s="1219" t="s">
        <v>26</v>
      </c>
      <c r="IX4" s="1219" t="s">
        <v>26</v>
      </c>
      <c r="IY4" s="1219" t="s">
        <v>26</v>
      </c>
      <c r="IZ4" s="1219" t="s">
        <v>26</v>
      </c>
      <c r="JA4" s="1219" t="s">
        <v>26</v>
      </c>
      <c r="JB4" s="1219" t="s">
        <v>26</v>
      </c>
      <c r="JC4" s="1219"/>
      <c r="JD4" s="1219"/>
      <c r="JE4" s="1219"/>
      <c r="JF4" s="1219"/>
      <c r="JG4" s="1219"/>
      <c r="JH4" s="1219"/>
      <c r="JI4" s="1219"/>
      <c r="JJ4" s="1219"/>
      <c r="JK4" s="1219"/>
      <c r="JL4" s="1219"/>
      <c r="JM4" s="1219"/>
      <c r="JN4" s="1219"/>
      <c r="JO4" s="1219"/>
      <c r="JP4" s="1219"/>
      <c r="JQ4" s="1219"/>
      <c r="JR4" s="1219"/>
      <c r="JS4" s="1219"/>
      <c r="JT4" s="1219"/>
      <c r="JU4" s="1219"/>
      <c r="JV4" s="1219"/>
      <c r="JW4" s="1219" t="s">
        <v>619</v>
      </c>
      <c r="JX4" s="1219" t="s">
        <v>619</v>
      </c>
      <c r="JY4" s="1219" t="s">
        <v>619</v>
      </c>
      <c r="JZ4" s="1219" t="s">
        <v>619</v>
      </c>
      <c r="KA4" s="1219" t="s">
        <v>619</v>
      </c>
      <c r="KB4" s="1219" t="s">
        <v>619</v>
      </c>
      <c r="KC4" s="1219" t="s">
        <v>619</v>
      </c>
      <c r="KD4" s="1219" t="s">
        <v>619</v>
      </c>
      <c r="KE4" s="1219" t="s">
        <v>619</v>
      </c>
      <c r="KF4" s="1219" t="s">
        <v>619</v>
      </c>
      <c r="KG4" s="1219" t="s">
        <v>619</v>
      </c>
      <c r="KH4" s="1219" t="s">
        <v>619</v>
      </c>
      <c r="KI4" s="1219" t="s">
        <v>619</v>
      </c>
      <c r="KJ4" s="1219" t="s">
        <v>619</v>
      </c>
      <c r="KK4" s="1219" t="s">
        <v>619</v>
      </c>
      <c r="KL4" s="1222"/>
      <c r="KM4" s="1219"/>
      <c r="KN4" s="1219"/>
      <c r="KO4" s="1219"/>
      <c r="KP4" s="1220"/>
      <c r="KQ4" s="700" t="s">
        <v>388</v>
      </c>
      <c r="KR4" s="1494"/>
      <c r="KS4" s="1494"/>
      <c r="KT4" s="1494"/>
      <c r="KU4" s="1494"/>
      <c r="KV4" s="1494"/>
    </row>
    <row r="5" spans="1:308" s="188" customFormat="1" hidden="1" x14ac:dyDescent="0.45">
      <c r="A5" s="1730" t="s">
        <v>648</v>
      </c>
      <c r="B5" s="1217" t="s">
        <v>306</v>
      </c>
      <c r="C5" s="894" t="s">
        <v>27</v>
      </c>
      <c r="D5" s="894" t="s">
        <v>27</v>
      </c>
      <c r="E5" s="894" t="s">
        <v>27</v>
      </c>
      <c r="F5" s="894"/>
      <c r="G5" s="894"/>
      <c r="H5" s="894" t="s">
        <v>29</v>
      </c>
      <c r="I5" s="894" t="s">
        <v>29</v>
      </c>
      <c r="J5" s="894" t="s">
        <v>27</v>
      </c>
      <c r="K5" s="894" t="s">
        <v>29</v>
      </c>
      <c r="L5" s="894" t="s">
        <v>29</v>
      </c>
      <c r="M5" s="894" t="s">
        <v>29</v>
      </c>
      <c r="N5" s="894" t="s">
        <v>29</v>
      </c>
      <c r="O5" s="894" t="s">
        <v>29</v>
      </c>
      <c r="P5" s="894" t="s">
        <v>29</v>
      </c>
      <c r="Q5" s="894" t="s">
        <v>29</v>
      </c>
      <c r="R5" s="347"/>
      <c r="S5" s="347"/>
      <c r="T5" s="347"/>
      <c r="U5" s="347"/>
      <c r="V5" s="347"/>
      <c r="W5" s="347"/>
      <c r="X5" s="347" t="s">
        <v>29</v>
      </c>
      <c r="Y5" s="347" t="s">
        <v>29</v>
      </c>
      <c r="Z5" s="347"/>
      <c r="AA5" s="347"/>
      <c r="AB5" s="347"/>
      <c r="AC5" s="347"/>
      <c r="AD5" s="347"/>
      <c r="AE5" s="347"/>
      <c r="AF5" s="347"/>
      <c r="AG5" s="347"/>
      <c r="AH5" s="347"/>
      <c r="AI5" s="347"/>
      <c r="AJ5" s="347"/>
      <c r="AK5" s="347"/>
      <c r="AL5" s="347"/>
      <c r="AM5" s="347"/>
      <c r="AN5" s="347"/>
      <c r="AO5" s="347"/>
      <c r="AP5" s="347"/>
      <c r="AQ5" s="347" t="s">
        <v>29</v>
      </c>
      <c r="AR5" s="347" t="s">
        <v>29</v>
      </c>
      <c r="AS5" s="347" t="s">
        <v>29</v>
      </c>
      <c r="AT5" s="347" t="s">
        <v>29</v>
      </c>
      <c r="AU5" s="347" t="s">
        <v>29</v>
      </c>
      <c r="AV5" s="347" t="s">
        <v>29</v>
      </c>
      <c r="AW5" s="347" t="s">
        <v>29</v>
      </c>
      <c r="AX5" s="347" t="s">
        <v>29</v>
      </c>
      <c r="AY5" s="347" t="s">
        <v>29</v>
      </c>
      <c r="AZ5" s="347" t="s">
        <v>29</v>
      </c>
      <c r="BA5" s="347" t="s">
        <v>29</v>
      </c>
      <c r="BB5" s="347" t="s">
        <v>29</v>
      </c>
      <c r="BC5" s="347"/>
      <c r="BD5" s="347"/>
      <c r="BE5" s="347"/>
      <c r="BF5" s="347"/>
      <c r="BG5" s="347"/>
      <c r="BH5" s="347"/>
      <c r="BI5" s="347"/>
      <c r="BJ5" s="347"/>
      <c r="BK5" s="347" t="s">
        <v>29</v>
      </c>
      <c r="BL5" s="347" t="s">
        <v>29</v>
      </c>
      <c r="BM5" s="347" t="s">
        <v>29</v>
      </c>
      <c r="BN5" s="347" t="s">
        <v>29</v>
      </c>
      <c r="BO5" s="347" t="s">
        <v>29</v>
      </c>
      <c r="BP5" s="347" t="s">
        <v>29</v>
      </c>
      <c r="BQ5" s="347" t="s">
        <v>29</v>
      </c>
      <c r="BR5" s="347" t="s">
        <v>29</v>
      </c>
      <c r="BS5" s="347" t="s">
        <v>29</v>
      </c>
      <c r="BT5" s="347"/>
      <c r="BU5" s="347" t="s">
        <v>27</v>
      </c>
      <c r="BV5" s="347" t="s">
        <v>27</v>
      </c>
      <c r="BW5" s="347" t="s">
        <v>27</v>
      </c>
      <c r="BX5" s="347" t="s">
        <v>27</v>
      </c>
      <c r="BY5" s="347" t="s">
        <v>27</v>
      </c>
      <c r="BZ5" s="347" t="s">
        <v>50</v>
      </c>
      <c r="CA5" s="347" t="s">
        <v>50</v>
      </c>
      <c r="CB5" s="347" t="s">
        <v>29</v>
      </c>
      <c r="CC5" s="347" t="s">
        <v>50</v>
      </c>
      <c r="CD5" s="347" t="s">
        <v>27</v>
      </c>
      <c r="CE5" s="347"/>
      <c r="CF5" s="347"/>
      <c r="CG5" s="347"/>
      <c r="CH5" s="347"/>
      <c r="CI5" s="347"/>
      <c r="CJ5" s="347"/>
      <c r="CK5" s="347"/>
      <c r="CL5" s="347"/>
      <c r="CM5" s="347"/>
      <c r="CN5" s="347"/>
      <c r="CO5" s="347"/>
      <c r="CP5" s="347"/>
      <c r="CQ5" s="347"/>
      <c r="CR5" s="347"/>
      <c r="CS5" s="347"/>
      <c r="CT5" s="347"/>
      <c r="CU5" s="347"/>
      <c r="CV5" s="347"/>
      <c r="CW5" s="347"/>
      <c r="CX5" s="347"/>
      <c r="CY5" s="894" t="s">
        <v>41</v>
      </c>
      <c r="CZ5" s="347" t="s">
        <v>41</v>
      </c>
      <c r="DA5" s="347" t="s">
        <v>41</v>
      </c>
      <c r="DB5" s="347"/>
      <c r="DC5" s="347"/>
      <c r="DD5" s="347" t="s">
        <v>41</v>
      </c>
      <c r="DE5" s="347" t="s">
        <v>41</v>
      </c>
      <c r="DF5" s="347"/>
      <c r="DG5" s="347"/>
      <c r="DH5" s="347"/>
      <c r="DI5" s="347"/>
      <c r="DJ5" s="347"/>
      <c r="DK5" s="347"/>
      <c r="DL5" s="347"/>
      <c r="DM5" s="347"/>
      <c r="DN5" s="347"/>
      <c r="DO5" s="347"/>
      <c r="DP5" s="347"/>
      <c r="DQ5" s="347"/>
      <c r="DR5" s="347"/>
      <c r="DS5" s="347"/>
      <c r="DT5" s="347" t="s">
        <v>41</v>
      </c>
      <c r="DU5" s="347" t="s">
        <v>41</v>
      </c>
      <c r="DV5" s="347"/>
      <c r="DW5" s="347"/>
      <c r="DX5" s="347"/>
      <c r="DY5" s="347" t="s">
        <v>41</v>
      </c>
      <c r="DZ5" s="347" t="s">
        <v>41</v>
      </c>
      <c r="EA5" s="347"/>
      <c r="EB5" s="347"/>
      <c r="EC5" s="347"/>
      <c r="ED5" s="347"/>
      <c r="EE5" s="347"/>
      <c r="EF5" s="347"/>
      <c r="EG5" s="347"/>
      <c r="EH5" s="347"/>
      <c r="EI5" s="347"/>
      <c r="EJ5" s="347"/>
      <c r="EK5" s="347"/>
      <c r="EL5" s="347"/>
      <c r="EM5" s="347"/>
      <c r="EN5" s="347"/>
      <c r="EO5" s="347"/>
      <c r="EP5" s="347"/>
      <c r="EQ5" s="347"/>
      <c r="ER5" s="347"/>
      <c r="ES5" s="347"/>
      <c r="ET5" s="347"/>
      <c r="EU5" s="347"/>
      <c r="EV5" s="347"/>
      <c r="EW5" s="347"/>
      <c r="EX5" s="347"/>
      <c r="EY5" s="347"/>
      <c r="EZ5" s="347"/>
      <c r="FA5" s="347"/>
      <c r="FB5" s="347"/>
      <c r="FC5" s="347"/>
      <c r="FD5" s="347"/>
      <c r="FE5" s="347"/>
      <c r="FF5" s="347"/>
      <c r="FG5" s="347"/>
      <c r="FH5" s="347"/>
      <c r="FI5" s="347"/>
      <c r="FJ5" s="347"/>
      <c r="FK5" s="347"/>
      <c r="FL5" s="347"/>
      <c r="FM5" s="347"/>
      <c r="FN5" s="347"/>
      <c r="FO5" s="347"/>
      <c r="FP5" s="347"/>
      <c r="FQ5" s="347"/>
      <c r="FR5" s="347"/>
      <c r="FS5" s="347"/>
      <c r="FT5" s="347"/>
      <c r="FU5" s="347"/>
      <c r="FV5" s="347"/>
      <c r="FW5" s="347"/>
      <c r="FX5" s="347"/>
      <c r="FY5" s="347"/>
      <c r="FZ5" s="347"/>
      <c r="GA5" s="347"/>
      <c r="GB5" s="347"/>
      <c r="GC5" s="347"/>
      <c r="GD5" s="347"/>
      <c r="GE5" s="347"/>
      <c r="GF5" s="347"/>
      <c r="GG5" s="347"/>
      <c r="GH5" s="347"/>
      <c r="GI5" s="347"/>
      <c r="GJ5" s="347"/>
      <c r="GK5" s="347"/>
      <c r="GL5" s="347"/>
      <c r="GM5" s="347"/>
      <c r="GN5" s="347"/>
      <c r="GO5" s="347"/>
      <c r="GP5" s="347"/>
      <c r="GQ5" s="347"/>
      <c r="GR5" s="347"/>
      <c r="GS5" s="347"/>
      <c r="GT5" s="347"/>
      <c r="GU5" s="347"/>
      <c r="GV5" s="347"/>
      <c r="GW5" s="347"/>
      <c r="GX5" s="347"/>
      <c r="GY5" s="347" t="s">
        <v>48</v>
      </c>
      <c r="GZ5" s="347"/>
      <c r="HA5" s="347"/>
      <c r="HB5" s="347"/>
      <c r="HC5" s="347"/>
      <c r="HD5" s="347"/>
      <c r="HE5" s="347"/>
      <c r="HF5" s="347"/>
      <c r="HG5" s="347"/>
      <c r="HH5" s="347"/>
      <c r="HI5" s="347"/>
      <c r="HJ5" s="347" t="s">
        <v>48</v>
      </c>
      <c r="HK5" s="347" t="s">
        <v>48</v>
      </c>
      <c r="HL5" s="347" t="s">
        <v>48</v>
      </c>
      <c r="HM5" s="347" t="s">
        <v>48</v>
      </c>
      <c r="HN5" s="347" t="s">
        <v>48</v>
      </c>
      <c r="HO5" s="347" t="s">
        <v>619</v>
      </c>
      <c r="HP5" s="347" t="s">
        <v>619</v>
      </c>
      <c r="HQ5" s="347" t="s">
        <v>619</v>
      </c>
      <c r="HR5" s="347" t="s">
        <v>619</v>
      </c>
      <c r="HS5" s="347" t="s">
        <v>619</v>
      </c>
      <c r="HT5" s="347"/>
      <c r="HU5" s="347"/>
      <c r="HV5" s="347" t="s">
        <v>619</v>
      </c>
      <c r="HW5" s="347" t="s">
        <v>619</v>
      </c>
      <c r="HX5" s="347" t="s">
        <v>619</v>
      </c>
      <c r="HY5" s="347" t="s">
        <v>619</v>
      </c>
      <c r="HZ5" s="347" t="s">
        <v>619</v>
      </c>
      <c r="IA5" s="347" t="s">
        <v>619</v>
      </c>
      <c r="IB5" s="347" t="s">
        <v>619</v>
      </c>
      <c r="IC5" s="347" t="s">
        <v>619</v>
      </c>
      <c r="ID5" s="347" t="s">
        <v>619</v>
      </c>
      <c r="IE5" s="347" t="s">
        <v>619</v>
      </c>
      <c r="IF5" s="347" t="s">
        <v>619</v>
      </c>
      <c r="IG5" s="347" t="s">
        <v>619</v>
      </c>
      <c r="IH5" s="347" t="s">
        <v>619</v>
      </c>
      <c r="II5" s="347" t="s">
        <v>573</v>
      </c>
      <c r="IJ5" s="347"/>
      <c r="IK5" s="347"/>
      <c r="IL5" s="347"/>
      <c r="IM5" s="347"/>
      <c r="IN5" s="347"/>
      <c r="IO5" s="347"/>
      <c r="IP5" s="347"/>
      <c r="IQ5" s="347"/>
      <c r="IR5" s="347"/>
      <c r="IS5" s="347"/>
      <c r="IT5" s="347" t="s">
        <v>27</v>
      </c>
      <c r="IU5" s="347" t="s">
        <v>27</v>
      </c>
      <c r="IV5" s="347" t="s">
        <v>27</v>
      </c>
      <c r="IW5" s="347" t="s">
        <v>27</v>
      </c>
      <c r="IX5" s="347" t="s">
        <v>27</v>
      </c>
      <c r="IY5" s="347" t="s">
        <v>27</v>
      </c>
      <c r="IZ5" s="347" t="s">
        <v>27</v>
      </c>
      <c r="JA5" s="347" t="s">
        <v>27</v>
      </c>
      <c r="JB5" s="347" t="s">
        <v>27</v>
      </c>
      <c r="JC5" s="347"/>
      <c r="JD5" s="347"/>
      <c r="JE5" s="347"/>
      <c r="JF5" s="347"/>
      <c r="JG5" s="347"/>
      <c r="JH5" s="347"/>
      <c r="JI5" s="347"/>
      <c r="JJ5" s="347"/>
      <c r="JK5" s="347"/>
      <c r="JL5" s="347"/>
      <c r="JM5" s="347"/>
      <c r="JN5" s="347"/>
      <c r="JO5" s="347"/>
      <c r="JP5" s="347"/>
      <c r="JQ5" s="347"/>
      <c r="JR5" s="347"/>
      <c r="JS5" s="347"/>
      <c r="JT5" s="347"/>
      <c r="JU5" s="347"/>
      <c r="JV5" s="347"/>
      <c r="JW5" s="347" t="s">
        <v>619</v>
      </c>
      <c r="JX5" s="347" t="s">
        <v>619</v>
      </c>
      <c r="JY5" s="347" t="s">
        <v>619</v>
      </c>
      <c r="JZ5" s="347" t="s">
        <v>619</v>
      </c>
      <c r="KA5" s="347" t="s">
        <v>619</v>
      </c>
      <c r="KB5" s="347" t="s">
        <v>619</v>
      </c>
      <c r="KC5" s="347" t="s">
        <v>619</v>
      </c>
      <c r="KD5" s="347" t="s">
        <v>619</v>
      </c>
      <c r="KE5" s="347" t="s">
        <v>619</v>
      </c>
      <c r="KF5" s="347" t="s">
        <v>619</v>
      </c>
      <c r="KG5" s="347" t="s">
        <v>619</v>
      </c>
      <c r="KH5" s="347" t="s">
        <v>619</v>
      </c>
      <c r="KI5" s="347" t="s">
        <v>619</v>
      </c>
      <c r="KJ5" s="347" t="s">
        <v>619</v>
      </c>
      <c r="KK5" s="347" t="s">
        <v>619</v>
      </c>
      <c r="KL5" s="347"/>
      <c r="KM5" s="347"/>
      <c r="KN5" s="347"/>
      <c r="KO5" s="347"/>
      <c r="KP5" s="1212"/>
      <c r="KQ5" s="700" t="s">
        <v>388</v>
      </c>
      <c r="KR5" s="1494"/>
      <c r="KS5" s="1494"/>
      <c r="KT5" s="1494"/>
      <c r="KU5" s="1494"/>
      <c r="KV5" s="1494"/>
    </row>
    <row r="6" spans="1:308" s="188" customFormat="1" hidden="1" x14ac:dyDescent="0.45">
      <c r="A6" s="1730"/>
      <c r="B6" s="1221" t="s">
        <v>307</v>
      </c>
      <c r="C6" s="1214"/>
      <c r="D6" s="1214"/>
      <c r="E6" s="1214"/>
      <c r="F6" s="1214"/>
      <c r="G6" s="1214"/>
      <c r="H6" s="1214"/>
      <c r="I6" s="1215"/>
      <c r="J6" s="1214"/>
      <c r="K6" s="894" t="s">
        <v>29</v>
      </c>
      <c r="L6" s="894" t="s">
        <v>29</v>
      </c>
      <c r="M6" s="894" t="s">
        <v>29</v>
      </c>
      <c r="N6" s="1214"/>
      <c r="O6" s="1214"/>
      <c r="P6" s="1214"/>
      <c r="Q6" s="1214"/>
      <c r="R6" s="1215"/>
      <c r="S6" s="1215"/>
      <c r="T6" s="1215"/>
      <c r="U6" s="1215"/>
      <c r="V6" s="1215"/>
      <c r="W6" s="1215"/>
      <c r="X6" s="1215"/>
      <c r="Y6" s="1215"/>
      <c r="Z6" s="1215"/>
      <c r="AA6" s="1215"/>
      <c r="AB6" s="1215"/>
      <c r="AC6" s="1215"/>
      <c r="AD6" s="1215"/>
      <c r="AE6" s="1215"/>
      <c r="AF6" s="1215"/>
      <c r="AG6" s="1215"/>
      <c r="AH6" s="1215"/>
      <c r="AI6" s="1215"/>
      <c r="AJ6" s="1215"/>
      <c r="AK6" s="1215"/>
      <c r="AL6" s="1215"/>
      <c r="AM6" s="1215"/>
      <c r="AN6" s="1215"/>
      <c r="AO6" s="1215"/>
      <c r="AP6" s="1215"/>
      <c r="AQ6" s="1215"/>
      <c r="AR6" s="1215"/>
      <c r="AS6" s="1215"/>
      <c r="AT6" s="1215"/>
      <c r="AU6" s="1215"/>
      <c r="AV6" s="1215"/>
      <c r="AW6" s="1215"/>
      <c r="AX6" s="1215"/>
      <c r="AY6" s="1215"/>
      <c r="AZ6" s="1215"/>
      <c r="BA6" s="1215"/>
      <c r="BB6" s="1215"/>
      <c r="BC6" s="1215"/>
      <c r="BD6" s="1215"/>
      <c r="BE6" s="1215"/>
      <c r="BF6" s="1215"/>
      <c r="BG6" s="1215"/>
      <c r="BH6" s="1215"/>
      <c r="BI6" s="1215"/>
      <c r="BJ6" s="1215"/>
      <c r="BK6" s="1215" t="s">
        <v>27</v>
      </c>
      <c r="BL6" s="1215" t="s">
        <v>27</v>
      </c>
      <c r="BM6" s="1215" t="s">
        <v>27</v>
      </c>
      <c r="BN6" s="1215" t="s">
        <v>27</v>
      </c>
      <c r="BO6" s="1215" t="s">
        <v>27</v>
      </c>
      <c r="BP6" s="1215" t="s">
        <v>27</v>
      </c>
      <c r="BQ6" s="1215" t="s">
        <v>27</v>
      </c>
      <c r="BR6" s="1215" t="s">
        <v>27</v>
      </c>
      <c r="BS6" s="1215" t="s">
        <v>27</v>
      </c>
      <c r="BT6" s="1215"/>
      <c r="BU6" s="347"/>
      <c r="BV6" s="347" t="s">
        <v>27</v>
      </c>
      <c r="BW6" s="347" t="s">
        <v>27</v>
      </c>
      <c r="BX6" s="347" t="s">
        <v>27</v>
      </c>
      <c r="BY6" s="347" t="s">
        <v>27</v>
      </c>
      <c r="BZ6" s="1215"/>
      <c r="CA6" s="347" t="s">
        <v>50</v>
      </c>
      <c r="CB6" s="1215" t="s">
        <v>50</v>
      </c>
      <c r="CC6" s="1215"/>
      <c r="CD6" s="1215" t="s">
        <v>50</v>
      </c>
      <c r="CE6" s="1215"/>
      <c r="CF6" s="1215"/>
      <c r="CG6" s="1215"/>
      <c r="CH6" s="1215"/>
      <c r="CI6" s="1215"/>
      <c r="CJ6" s="1215"/>
      <c r="CK6" s="1215"/>
      <c r="CL6" s="1215"/>
      <c r="CM6" s="1215"/>
      <c r="CN6" s="1215"/>
      <c r="CO6" s="1215"/>
      <c r="CP6" s="1215"/>
      <c r="CQ6" s="1215"/>
      <c r="CR6" s="1215"/>
      <c r="CS6" s="1215"/>
      <c r="CT6" s="1215"/>
      <c r="CU6" s="1215"/>
      <c r="CV6" s="1215"/>
      <c r="CW6" s="1215"/>
      <c r="CX6" s="1215"/>
      <c r="CY6" s="1214"/>
      <c r="CZ6" s="1215"/>
      <c r="DA6" s="1215"/>
      <c r="DB6" s="1215"/>
      <c r="DC6" s="1215"/>
      <c r="DD6" s="1215"/>
      <c r="DE6" s="1215"/>
      <c r="DF6" s="1215"/>
      <c r="DG6" s="1215"/>
      <c r="DH6" s="1215"/>
      <c r="DI6" s="1215"/>
      <c r="DJ6" s="1215"/>
      <c r="DK6" s="1215"/>
      <c r="DL6" s="1215"/>
      <c r="DM6" s="1215"/>
      <c r="DN6" s="1215"/>
      <c r="DO6" s="1215"/>
      <c r="DP6" s="1215"/>
      <c r="DQ6" s="1215"/>
      <c r="DR6" s="1215"/>
      <c r="DS6" s="1215"/>
      <c r="DT6" s="1215"/>
      <c r="DU6" s="1215"/>
      <c r="DV6" s="1215"/>
      <c r="DW6" s="1215"/>
      <c r="DX6" s="1215"/>
      <c r="DY6" s="1215"/>
      <c r="DZ6" s="1215"/>
      <c r="EA6" s="1215"/>
      <c r="EB6" s="1215"/>
      <c r="EC6" s="1215"/>
      <c r="ED6" s="1215"/>
      <c r="EE6" s="1215"/>
      <c r="EF6" s="1215"/>
      <c r="EG6" s="1215"/>
      <c r="EH6" s="1215"/>
      <c r="EI6" s="1215"/>
      <c r="EJ6" s="1215"/>
      <c r="EK6" s="1215"/>
      <c r="EL6" s="1215"/>
      <c r="EM6" s="1215"/>
      <c r="EN6" s="1215"/>
      <c r="EO6" s="1215"/>
      <c r="EP6" s="1215"/>
      <c r="EQ6" s="1215"/>
      <c r="ER6" s="1215"/>
      <c r="ES6" s="1215"/>
      <c r="ET6" s="1215"/>
      <c r="EU6" s="1215"/>
      <c r="EV6" s="1215"/>
      <c r="EW6" s="1215"/>
      <c r="EX6" s="1215"/>
      <c r="EY6" s="1215"/>
      <c r="EZ6" s="1215"/>
      <c r="FA6" s="1215"/>
      <c r="FB6" s="1215"/>
      <c r="FC6" s="1215"/>
      <c r="FD6" s="1215"/>
      <c r="FE6" s="1215"/>
      <c r="FF6" s="1215"/>
      <c r="FG6" s="1215"/>
      <c r="FH6" s="1215"/>
      <c r="FI6" s="1215"/>
      <c r="FJ6" s="1215"/>
      <c r="FK6" s="1215"/>
      <c r="FL6" s="1215"/>
      <c r="FM6" s="1215"/>
      <c r="FN6" s="1215"/>
      <c r="FO6" s="1215"/>
      <c r="FP6" s="1215"/>
      <c r="FQ6" s="1215"/>
      <c r="FR6" s="1215"/>
      <c r="FS6" s="1215"/>
      <c r="FT6" s="1215"/>
      <c r="FU6" s="1215"/>
      <c r="FV6" s="1215"/>
      <c r="FW6" s="1215"/>
      <c r="FX6" s="1215"/>
      <c r="FY6" s="1215"/>
      <c r="FZ6" s="1215"/>
      <c r="GA6" s="1215"/>
      <c r="GB6" s="1215"/>
      <c r="GC6" s="1215"/>
      <c r="GD6" s="1215"/>
      <c r="GE6" s="1215"/>
      <c r="GF6" s="1215"/>
      <c r="GG6" s="1215"/>
      <c r="GH6" s="1215"/>
      <c r="GI6" s="1215"/>
      <c r="GJ6" s="1215"/>
      <c r="GK6" s="1215"/>
      <c r="GL6" s="1215"/>
      <c r="GM6" s="1215"/>
      <c r="GN6" s="1215"/>
      <c r="GO6" s="1215"/>
      <c r="GP6" s="1215"/>
      <c r="GQ6" s="1215"/>
      <c r="GR6" s="1215"/>
      <c r="GS6" s="1215"/>
      <c r="GT6" s="1215"/>
      <c r="GU6" s="1214"/>
      <c r="GV6" s="1215"/>
      <c r="GW6" s="1215"/>
      <c r="GX6" s="1215"/>
      <c r="GY6" s="1215"/>
      <c r="GZ6" s="1215"/>
      <c r="HA6" s="1215"/>
      <c r="HB6" s="1215"/>
      <c r="HC6" s="1215"/>
      <c r="HD6" s="1215"/>
      <c r="HE6" s="1215"/>
      <c r="HF6" s="1215"/>
      <c r="HG6" s="1215"/>
      <c r="HH6" s="1215"/>
      <c r="HI6" s="1215"/>
      <c r="HJ6" s="1215"/>
      <c r="HK6" s="1215"/>
      <c r="HL6" s="1215"/>
      <c r="HM6" s="1215"/>
      <c r="HN6" s="1215"/>
      <c r="HO6" s="1214"/>
      <c r="HP6" s="1215"/>
      <c r="HQ6" s="1215"/>
      <c r="HR6" s="1215"/>
      <c r="HS6" s="1215"/>
      <c r="HT6" s="1215"/>
      <c r="HU6" s="1215"/>
      <c r="HV6" s="1215"/>
      <c r="HW6" s="1215"/>
      <c r="HX6" s="1215"/>
      <c r="HY6" s="1215"/>
      <c r="HZ6" s="1215"/>
      <c r="IA6" s="1215"/>
      <c r="IB6" s="1215"/>
      <c r="IC6" s="1215"/>
      <c r="ID6" s="1215"/>
      <c r="IE6" s="1215"/>
      <c r="IF6" s="1215"/>
      <c r="IG6" s="1215"/>
      <c r="IH6" s="1215"/>
      <c r="II6" s="1215"/>
      <c r="IJ6" s="1215"/>
      <c r="IK6" s="1215"/>
      <c r="IL6" s="1215"/>
      <c r="IM6" s="1215"/>
      <c r="IN6" s="1215"/>
      <c r="IO6" s="1215"/>
      <c r="IP6" s="1215"/>
      <c r="IQ6" s="1215"/>
      <c r="IR6" s="1215"/>
      <c r="IS6" s="1215"/>
      <c r="IT6" s="1215"/>
      <c r="IU6" s="1215"/>
      <c r="IV6" s="1215"/>
      <c r="IW6" s="1215"/>
      <c r="IX6" s="1215"/>
      <c r="IY6" s="1215"/>
      <c r="IZ6" s="1215"/>
      <c r="JA6" s="1215"/>
      <c r="JB6" s="1215"/>
      <c r="JC6" s="1215"/>
      <c r="JD6" s="1215"/>
      <c r="JE6" s="1215"/>
      <c r="JF6" s="1215"/>
      <c r="JG6" s="1215"/>
      <c r="JH6" s="1215"/>
      <c r="JI6" s="1215"/>
      <c r="JJ6" s="1215"/>
      <c r="JK6" s="1215"/>
      <c r="JL6" s="1215"/>
      <c r="JM6" s="1215"/>
      <c r="JN6" s="1215"/>
      <c r="JO6" s="1215"/>
      <c r="JP6" s="1215"/>
      <c r="JQ6" s="1215"/>
      <c r="JR6" s="1215"/>
      <c r="JS6" s="1215"/>
      <c r="JT6" s="1215"/>
      <c r="JU6" s="1215"/>
      <c r="JV6" s="1215"/>
      <c r="JW6" s="1215"/>
      <c r="JX6" s="1215"/>
      <c r="JY6" s="1215"/>
      <c r="JZ6" s="1215"/>
      <c r="KA6" s="1215"/>
      <c r="KB6" s="1215"/>
      <c r="KC6" s="1215"/>
      <c r="KD6" s="1215"/>
      <c r="KE6" s="1215"/>
      <c r="KF6" s="1215"/>
      <c r="KG6" s="1215"/>
      <c r="KH6" s="1215"/>
      <c r="KI6" s="1215"/>
      <c r="KJ6" s="1215"/>
      <c r="KK6" s="1215"/>
      <c r="KL6" s="1215"/>
      <c r="KM6" s="1215"/>
      <c r="KN6" s="1215"/>
      <c r="KO6" s="1215"/>
      <c r="KP6" s="1216"/>
      <c r="KQ6" s="700"/>
      <c r="KR6" s="1494"/>
      <c r="KS6" s="1494"/>
      <c r="KT6" s="1494"/>
      <c r="KU6" s="1494"/>
      <c r="KV6" s="1494"/>
    </row>
    <row r="7" spans="1:308" s="188" customFormat="1" hidden="1" x14ac:dyDescent="0.45">
      <c r="A7" s="1731"/>
      <c r="B7" s="141" t="s">
        <v>308</v>
      </c>
      <c r="C7" s="189"/>
      <c r="D7" s="189"/>
      <c r="E7" s="189"/>
      <c r="F7" s="189"/>
      <c r="G7" s="189"/>
      <c r="H7" s="189"/>
      <c r="I7" s="189"/>
      <c r="J7" s="189"/>
      <c r="K7" s="189"/>
      <c r="L7" s="189"/>
      <c r="M7" s="189"/>
      <c r="N7" s="189"/>
      <c r="O7" s="189"/>
      <c r="P7" s="189"/>
      <c r="Q7" s="189"/>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c r="AS7" s="190"/>
      <c r="AT7" s="190"/>
      <c r="AU7" s="190"/>
      <c r="AV7" s="190"/>
      <c r="AW7" s="190"/>
      <c r="AX7" s="190"/>
      <c r="AY7" s="190"/>
      <c r="AZ7" s="190"/>
      <c r="BA7" s="190"/>
      <c r="BB7" s="190"/>
      <c r="BC7" s="190"/>
      <c r="BD7" s="190"/>
      <c r="BE7" s="190"/>
      <c r="BF7" s="190"/>
      <c r="BG7" s="190"/>
      <c r="BH7" s="190"/>
      <c r="BI7" s="190"/>
      <c r="BJ7" s="190"/>
      <c r="BK7" s="190"/>
      <c r="BL7" s="190"/>
      <c r="BM7" s="190"/>
      <c r="BN7" s="190"/>
      <c r="BO7" s="190"/>
      <c r="BP7" s="190"/>
      <c r="BQ7" s="190"/>
      <c r="BR7" s="190"/>
      <c r="BS7" s="190"/>
      <c r="BT7" s="190"/>
      <c r="BU7" s="190"/>
      <c r="BV7" s="190"/>
      <c r="BW7" s="190"/>
      <c r="BX7" s="190"/>
      <c r="BY7" s="190" t="s">
        <v>27</v>
      </c>
      <c r="BZ7" s="190"/>
      <c r="CA7" s="190"/>
      <c r="CB7" s="190" t="s">
        <v>50</v>
      </c>
      <c r="CC7" s="190"/>
      <c r="CD7" s="190"/>
      <c r="CE7" s="190"/>
      <c r="CF7" s="190"/>
      <c r="CG7" s="190"/>
      <c r="CH7" s="190"/>
      <c r="CI7" s="190"/>
      <c r="CJ7" s="190"/>
      <c r="CK7" s="190"/>
      <c r="CL7" s="190"/>
      <c r="CM7" s="190"/>
      <c r="CN7" s="190"/>
      <c r="CO7" s="190"/>
      <c r="CP7" s="190"/>
      <c r="CQ7" s="190"/>
      <c r="CR7" s="190"/>
      <c r="CS7" s="190"/>
      <c r="CT7" s="190"/>
      <c r="CU7" s="190"/>
      <c r="CV7" s="190"/>
      <c r="CW7" s="190"/>
      <c r="CX7" s="190"/>
      <c r="CY7" s="189"/>
      <c r="CZ7" s="190"/>
      <c r="DA7" s="190"/>
      <c r="DB7" s="190"/>
      <c r="DC7" s="190"/>
      <c r="DD7" s="190"/>
      <c r="DE7" s="190"/>
      <c r="DF7" s="190"/>
      <c r="DG7" s="190"/>
      <c r="DH7" s="190"/>
      <c r="DI7" s="190"/>
      <c r="DJ7" s="190"/>
      <c r="DK7" s="190"/>
      <c r="DL7" s="190"/>
      <c r="DM7" s="190"/>
      <c r="DN7" s="190"/>
      <c r="DO7" s="190"/>
      <c r="DP7" s="190"/>
      <c r="DQ7" s="190"/>
      <c r="DR7" s="190"/>
      <c r="DS7" s="190"/>
      <c r="DT7" s="190"/>
      <c r="DU7" s="190"/>
      <c r="DV7" s="190"/>
      <c r="DW7" s="190"/>
      <c r="DX7" s="190"/>
      <c r="DY7" s="190"/>
      <c r="DZ7" s="190"/>
      <c r="EA7" s="190"/>
      <c r="EB7" s="190"/>
      <c r="EC7" s="190"/>
      <c r="ED7" s="190"/>
      <c r="EE7" s="190"/>
      <c r="EF7" s="190"/>
      <c r="EG7" s="190"/>
      <c r="EH7" s="190"/>
      <c r="EI7" s="190"/>
      <c r="EJ7" s="190"/>
      <c r="EK7" s="190"/>
      <c r="EL7" s="190"/>
      <c r="EM7" s="190"/>
      <c r="EN7" s="190"/>
      <c r="EO7" s="190"/>
      <c r="EP7" s="190"/>
      <c r="EQ7" s="190"/>
      <c r="ER7" s="190"/>
      <c r="ES7" s="190"/>
      <c r="ET7" s="190"/>
      <c r="EU7" s="190"/>
      <c r="EV7" s="190"/>
      <c r="EW7" s="190"/>
      <c r="EX7" s="190"/>
      <c r="EY7" s="190"/>
      <c r="EZ7" s="190"/>
      <c r="FA7" s="190"/>
      <c r="FB7" s="190"/>
      <c r="FC7" s="190"/>
      <c r="FD7" s="190"/>
      <c r="FE7" s="190"/>
      <c r="FF7" s="190"/>
      <c r="FG7" s="190"/>
      <c r="FH7" s="190"/>
      <c r="FI7" s="190"/>
      <c r="FJ7" s="190"/>
      <c r="FK7" s="190"/>
      <c r="FL7" s="190"/>
      <c r="FM7" s="190"/>
      <c r="FN7" s="190"/>
      <c r="FO7" s="190"/>
      <c r="FP7" s="190"/>
      <c r="FQ7" s="190"/>
      <c r="FR7" s="190"/>
      <c r="FS7" s="190"/>
      <c r="FT7" s="190"/>
      <c r="FU7" s="190"/>
      <c r="FV7" s="190"/>
      <c r="FW7" s="190"/>
      <c r="FX7" s="190"/>
      <c r="FY7" s="190"/>
      <c r="FZ7" s="190"/>
      <c r="GA7" s="190"/>
      <c r="GB7" s="190"/>
      <c r="GC7" s="190"/>
      <c r="GD7" s="190"/>
      <c r="GE7" s="190"/>
      <c r="GF7" s="190"/>
      <c r="GG7" s="190"/>
      <c r="GH7" s="190"/>
      <c r="GI7" s="190"/>
      <c r="GJ7" s="190"/>
      <c r="GK7" s="190"/>
      <c r="GL7" s="190"/>
      <c r="GM7" s="190"/>
      <c r="GN7" s="190"/>
      <c r="GO7" s="190"/>
      <c r="GP7" s="190"/>
      <c r="GQ7" s="190"/>
      <c r="GR7" s="190"/>
      <c r="GS7" s="190"/>
      <c r="GT7" s="190"/>
      <c r="GU7" s="189"/>
      <c r="GV7" s="190"/>
      <c r="GW7" s="190"/>
      <c r="GX7" s="190"/>
      <c r="GY7" s="190"/>
      <c r="GZ7" s="190"/>
      <c r="HA7" s="190"/>
      <c r="HB7" s="190"/>
      <c r="HC7" s="190"/>
      <c r="HD7" s="190"/>
      <c r="HE7" s="190"/>
      <c r="HF7" s="190"/>
      <c r="HG7" s="190"/>
      <c r="HH7" s="190"/>
      <c r="HI7" s="190"/>
      <c r="HJ7" s="190"/>
      <c r="HK7" s="190"/>
      <c r="HL7" s="190"/>
      <c r="HM7" s="190"/>
      <c r="HN7" s="190"/>
      <c r="HO7" s="189"/>
      <c r="HP7" s="190"/>
      <c r="HQ7" s="190"/>
      <c r="HR7" s="190"/>
      <c r="HS7" s="190"/>
      <c r="HT7" s="190"/>
      <c r="HU7" s="190"/>
      <c r="HV7" s="190"/>
      <c r="HW7" s="190"/>
      <c r="HX7" s="190"/>
      <c r="HY7" s="190"/>
      <c r="HZ7" s="190"/>
      <c r="IA7" s="190"/>
      <c r="IB7" s="190"/>
      <c r="IC7" s="190"/>
      <c r="ID7" s="190"/>
      <c r="IE7" s="190"/>
      <c r="IF7" s="190"/>
      <c r="IG7" s="190"/>
      <c r="IH7" s="190"/>
      <c r="II7" s="190"/>
      <c r="IJ7" s="190"/>
      <c r="IK7" s="190"/>
      <c r="IL7" s="190"/>
      <c r="IM7" s="190"/>
      <c r="IN7" s="190"/>
      <c r="IO7" s="190"/>
      <c r="IP7" s="190"/>
      <c r="IQ7" s="190"/>
      <c r="IR7" s="190"/>
      <c r="IS7" s="190"/>
      <c r="IT7" s="190"/>
      <c r="IU7" s="190"/>
      <c r="IV7" s="190"/>
      <c r="IW7" s="190"/>
      <c r="IX7" s="190"/>
      <c r="IY7" s="190"/>
      <c r="IZ7" s="190"/>
      <c r="JA7" s="190"/>
      <c r="JB7" s="190"/>
      <c r="JC7" s="190"/>
      <c r="JD7" s="190"/>
      <c r="JE7" s="190"/>
      <c r="JF7" s="190"/>
      <c r="JG7" s="190"/>
      <c r="JH7" s="190"/>
      <c r="JI7" s="190"/>
      <c r="JJ7" s="190"/>
      <c r="JK7" s="190"/>
      <c r="JL7" s="190"/>
      <c r="JM7" s="190"/>
      <c r="JN7" s="190"/>
      <c r="JO7" s="190"/>
      <c r="JP7" s="190"/>
      <c r="JQ7" s="190"/>
      <c r="JR7" s="190"/>
      <c r="JS7" s="190"/>
      <c r="JT7" s="190"/>
      <c r="JU7" s="190"/>
      <c r="JV7" s="190"/>
      <c r="JW7" s="190"/>
      <c r="JX7" s="190"/>
      <c r="JY7" s="190"/>
      <c r="JZ7" s="190"/>
      <c r="KA7" s="190"/>
      <c r="KB7" s="190"/>
      <c r="KC7" s="190"/>
      <c r="KD7" s="190"/>
      <c r="KE7" s="190"/>
      <c r="KF7" s="190"/>
      <c r="KG7" s="190"/>
      <c r="KH7" s="190"/>
      <c r="KI7" s="190"/>
      <c r="KJ7" s="190"/>
      <c r="KK7" s="190"/>
      <c r="KL7" s="190"/>
      <c r="KM7" s="190"/>
      <c r="KN7" s="190"/>
      <c r="KO7" s="190"/>
      <c r="KP7" s="1211"/>
      <c r="KQ7" s="700"/>
      <c r="KR7" s="1494"/>
      <c r="KS7" s="1494"/>
      <c r="KT7" s="1494"/>
      <c r="KU7" s="1494"/>
      <c r="KV7" s="1494"/>
    </row>
    <row r="8" spans="1:308" s="184" customFormat="1" hidden="1" x14ac:dyDescent="0.45">
      <c r="A8" s="1722" t="s">
        <v>305</v>
      </c>
      <c r="B8" s="1217" t="s">
        <v>306</v>
      </c>
      <c r="C8" s="894" t="s">
        <v>80</v>
      </c>
      <c r="D8" s="347" t="s">
        <v>623</v>
      </c>
      <c r="E8" s="347" t="s">
        <v>13</v>
      </c>
      <c r="F8" s="347" t="s">
        <v>81</v>
      </c>
      <c r="G8" s="347" t="s">
        <v>82</v>
      </c>
      <c r="H8" s="347" t="s">
        <v>13</v>
      </c>
      <c r="I8" s="347" t="s">
        <v>13</v>
      </c>
      <c r="J8" s="347" t="s">
        <v>562</v>
      </c>
      <c r="K8" s="347" t="s">
        <v>13</v>
      </c>
      <c r="L8" s="347" t="s">
        <v>13</v>
      </c>
      <c r="M8" s="347" t="s">
        <v>13</v>
      </c>
      <c r="N8" s="347" t="s">
        <v>13</v>
      </c>
      <c r="O8" s="347" t="s">
        <v>13</v>
      </c>
      <c r="P8" s="347" t="s">
        <v>13</v>
      </c>
      <c r="Q8" s="347" t="s">
        <v>13</v>
      </c>
      <c r="R8" s="347" t="s">
        <v>81</v>
      </c>
      <c r="S8" s="347" t="s">
        <v>81</v>
      </c>
      <c r="T8" s="347" t="s">
        <v>82</v>
      </c>
      <c r="U8" s="347" t="s">
        <v>82</v>
      </c>
      <c r="V8" s="347" t="s">
        <v>82</v>
      </c>
      <c r="W8" s="347" t="s">
        <v>21</v>
      </c>
      <c r="X8" s="347" t="s">
        <v>23</v>
      </c>
      <c r="Y8" s="347" t="s">
        <v>23</v>
      </c>
      <c r="Z8" s="347" t="s">
        <v>83</v>
      </c>
      <c r="AA8" s="347" t="s">
        <v>83</v>
      </c>
      <c r="AB8" s="347" t="s">
        <v>21</v>
      </c>
      <c r="AC8" s="347" t="s">
        <v>23</v>
      </c>
      <c r="AD8" s="347" t="s">
        <v>23</v>
      </c>
      <c r="AE8" s="347" t="s">
        <v>83</v>
      </c>
      <c r="AF8" s="347" t="s">
        <v>83</v>
      </c>
      <c r="AG8" s="347" t="s">
        <v>28</v>
      </c>
      <c r="AH8" s="347" t="s">
        <v>28</v>
      </c>
      <c r="AI8" s="347" t="s">
        <v>28</v>
      </c>
      <c r="AJ8" s="347" t="s">
        <v>28</v>
      </c>
      <c r="AK8" s="347"/>
      <c r="AL8" s="347"/>
      <c r="AM8" s="347"/>
      <c r="AN8" s="347"/>
      <c r="AO8" s="347"/>
      <c r="AP8" s="347"/>
      <c r="AQ8" s="347" t="s">
        <v>30</v>
      </c>
      <c r="AR8" s="347" t="s">
        <v>30</v>
      </c>
      <c r="AS8" s="347" t="s">
        <v>30</v>
      </c>
      <c r="AT8" s="347" t="s">
        <v>30</v>
      </c>
      <c r="AU8" s="347" t="s">
        <v>30</v>
      </c>
      <c r="AV8" s="347" t="s">
        <v>30</v>
      </c>
      <c r="AW8" s="347" t="s">
        <v>30</v>
      </c>
      <c r="AX8" s="347" t="s">
        <v>30</v>
      </c>
      <c r="AY8" s="347" t="s">
        <v>30</v>
      </c>
      <c r="AZ8" s="347" t="s">
        <v>30</v>
      </c>
      <c r="BA8" s="347" t="s">
        <v>30</v>
      </c>
      <c r="BB8" s="347" t="s">
        <v>30</v>
      </c>
      <c r="BC8" s="347"/>
      <c r="BD8" s="347"/>
      <c r="BE8" s="347"/>
      <c r="BF8" s="347"/>
      <c r="BG8" s="347"/>
      <c r="BH8" s="347"/>
      <c r="BI8" s="347"/>
      <c r="BJ8" s="347"/>
      <c r="BK8" s="347" t="s">
        <v>32</v>
      </c>
      <c r="BL8" s="347" t="s">
        <v>32</v>
      </c>
      <c r="BM8" s="347" t="s">
        <v>32</v>
      </c>
      <c r="BN8" s="347" t="s">
        <v>32</v>
      </c>
      <c r="BO8" s="347" t="s">
        <v>32</v>
      </c>
      <c r="BP8" s="347" t="s">
        <v>32</v>
      </c>
      <c r="BQ8" s="347" t="s">
        <v>32</v>
      </c>
      <c r="BR8" s="347" t="s">
        <v>32</v>
      </c>
      <c r="BS8" s="347" t="s">
        <v>32</v>
      </c>
      <c r="BT8" s="347"/>
      <c r="BU8" s="347" t="s">
        <v>34</v>
      </c>
      <c r="BV8" s="347" t="s">
        <v>34</v>
      </c>
      <c r="BW8" s="347" t="s">
        <v>34</v>
      </c>
      <c r="BX8" s="347" t="s">
        <v>34</v>
      </c>
      <c r="BY8" s="347" t="s">
        <v>34</v>
      </c>
      <c r="BZ8" s="347" t="s">
        <v>38</v>
      </c>
      <c r="CA8" s="347" t="s">
        <v>36</v>
      </c>
      <c r="CB8" s="347" t="s">
        <v>13</v>
      </c>
      <c r="CC8" s="347" t="s">
        <v>36</v>
      </c>
      <c r="CD8" s="347" t="s">
        <v>623</v>
      </c>
      <c r="CE8" s="347" t="s">
        <v>53</v>
      </c>
      <c r="CF8" s="347" t="s">
        <v>53</v>
      </c>
      <c r="CG8" s="347" t="s">
        <v>53</v>
      </c>
      <c r="CH8" s="347" t="s">
        <v>53</v>
      </c>
      <c r="CI8" s="347" t="s">
        <v>53</v>
      </c>
      <c r="CJ8" s="347" t="s">
        <v>53</v>
      </c>
      <c r="CK8" s="347" t="s">
        <v>53</v>
      </c>
      <c r="CL8" s="347" t="s">
        <v>53</v>
      </c>
      <c r="CM8" s="347" t="s">
        <v>53</v>
      </c>
      <c r="CN8" s="347" t="s">
        <v>53</v>
      </c>
      <c r="CO8" s="347" t="s">
        <v>53</v>
      </c>
      <c r="CP8" s="347" t="s">
        <v>53</v>
      </c>
      <c r="CQ8" s="347" t="s">
        <v>53</v>
      </c>
      <c r="CR8" s="347" t="s">
        <v>53</v>
      </c>
      <c r="CS8" s="347" t="s">
        <v>53</v>
      </c>
      <c r="CT8" s="347" t="s">
        <v>53</v>
      </c>
      <c r="CU8" s="347" t="s">
        <v>53</v>
      </c>
      <c r="CV8" s="347" t="s">
        <v>53</v>
      </c>
      <c r="CW8" s="347" t="s">
        <v>53</v>
      </c>
      <c r="CX8" s="347" t="s">
        <v>53</v>
      </c>
      <c r="CY8" s="894" t="s">
        <v>80</v>
      </c>
      <c r="CZ8" s="347" t="s">
        <v>623</v>
      </c>
      <c r="DA8" s="347" t="s">
        <v>13</v>
      </c>
      <c r="DB8" s="347" t="s">
        <v>16</v>
      </c>
      <c r="DC8" s="347" t="s">
        <v>19</v>
      </c>
      <c r="DD8" s="347" t="s">
        <v>13</v>
      </c>
      <c r="DE8" s="347" t="s">
        <v>13</v>
      </c>
      <c r="DF8" s="347" t="s">
        <v>562</v>
      </c>
      <c r="DG8" s="347" t="s">
        <v>13</v>
      </c>
      <c r="DH8" s="347" t="s">
        <v>13</v>
      </c>
      <c r="DI8" s="347" t="s">
        <v>13</v>
      </c>
      <c r="DJ8" s="347" t="s">
        <v>13</v>
      </c>
      <c r="DK8" s="347" t="s">
        <v>13</v>
      </c>
      <c r="DL8" s="347" t="s">
        <v>13</v>
      </c>
      <c r="DM8" s="347" t="s">
        <v>13</v>
      </c>
      <c r="DN8" s="347" t="s">
        <v>81</v>
      </c>
      <c r="DO8" s="347" t="s">
        <v>81</v>
      </c>
      <c r="DP8" s="347" t="s">
        <v>82</v>
      </c>
      <c r="DQ8" s="347" t="s">
        <v>82</v>
      </c>
      <c r="DR8" s="347" t="s">
        <v>82</v>
      </c>
      <c r="DS8" s="347" t="s">
        <v>21</v>
      </c>
      <c r="DT8" s="347" t="s">
        <v>23</v>
      </c>
      <c r="DU8" s="347" t="s">
        <v>23</v>
      </c>
      <c r="DV8" s="347" t="s">
        <v>83</v>
      </c>
      <c r="DW8" s="347" t="s">
        <v>83</v>
      </c>
      <c r="DX8" s="347" t="s">
        <v>21</v>
      </c>
      <c r="DY8" s="347" t="s">
        <v>23</v>
      </c>
      <c r="DZ8" s="347" t="s">
        <v>23</v>
      </c>
      <c r="EA8" s="347" t="s">
        <v>83</v>
      </c>
      <c r="EB8" s="347" t="s">
        <v>83</v>
      </c>
      <c r="EC8" s="347" t="s">
        <v>28</v>
      </c>
      <c r="ED8" s="347" t="s">
        <v>28</v>
      </c>
      <c r="EE8" s="347" t="s">
        <v>28</v>
      </c>
      <c r="EF8" s="347" t="s">
        <v>28</v>
      </c>
      <c r="EG8" s="347"/>
      <c r="EH8" s="347"/>
      <c r="EI8" s="347"/>
      <c r="EJ8" s="347"/>
      <c r="EK8" s="347"/>
      <c r="EL8" s="347"/>
      <c r="EM8" s="347"/>
      <c r="EN8" s="347"/>
      <c r="EO8" s="347"/>
      <c r="EP8" s="347"/>
      <c r="EQ8" s="347"/>
      <c r="ER8" s="347"/>
      <c r="ES8" s="347"/>
      <c r="ET8" s="347"/>
      <c r="EU8" s="347"/>
      <c r="EV8" s="347"/>
      <c r="EW8" s="347"/>
      <c r="EX8" s="347"/>
      <c r="EY8" s="347"/>
      <c r="EZ8" s="347"/>
      <c r="FA8" s="347"/>
      <c r="FB8" s="347"/>
      <c r="FC8" s="347"/>
      <c r="FD8" s="347"/>
      <c r="FE8" s="347"/>
      <c r="FF8" s="347"/>
      <c r="FG8" s="347" t="s">
        <v>32</v>
      </c>
      <c r="FH8" s="347" t="s">
        <v>32</v>
      </c>
      <c r="FI8" s="347" t="s">
        <v>32</v>
      </c>
      <c r="FJ8" s="347" t="s">
        <v>32</v>
      </c>
      <c r="FK8" s="347" t="s">
        <v>32</v>
      </c>
      <c r="FL8" s="347" t="s">
        <v>32</v>
      </c>
      <c r="FM8" s="347" t="s">
        <v>32</v>
      </c>
      <c r="FN8" s="347" t="s">
        <v>32</v>
      </c>
      <c r="FO8" s="347" t="s">
        <v>32</v>
      </c>
      <c r="FP8" s="347" t="s">
        <v>32</v>
      </c>
      <c r="FQ8" s="347"/>
      <c r="FR8" s="347"/>
      <c r="FS8" s="347"/>
      <c r="FT8" s="347"/>
      <c r="FU8" s="347"/>
      <c r="FV8" s="347"/>
      <c r="FW8" s="347"/>
      <c r="FX8" s="347"/>
      <c r="FY8" s="347"/>
      <c r="FZ8" s="347"/>
      <c r="GA8" s="347" t="s">
        <v>53</v>
      </c>
      <c r="GB8" s="347" t="s">
        <v>53</v>
      </c>
      <c r="GC8" s="347" t="s">
        <v>53</v>
      </c>
      <c r="GD8" s="347" t="s">
        <v>53</v>
      </c>
      <c r="GE8" s="347" t="s">
        <v>53</v>
      </c>
      <c r="GF8" s="347" t="s">
        <v>53</v>
      </c>
      <c r="GG8" s="347" t="s">
        <v>53</v>
      </c>
      <c r="GH8" s="347" t="s">
        <v>53</v>
      </c>
      <c r="GI8" s="347" t="s">
        <v>53</v>
      </c>
      <c r="GJ8" s="347" t="s">
        <v>53</v>
      </c>
      <c r="GK8" s="347" t="s">
        <v>53</v>
      </c>
      <c r="GL8" s="347" t="s">
        <v>53</v>
      </c>
      <c r="GM8" s="347" t="s">
        <v>53</v>
      </c>
      <c r="GN8" s="347" t="s">
        <v>53</v>
      </c>
      <c r="GO8" s="347" t="s">
        <v>53</v>
      </c>
      <c r="GP8" s="347"/>
      <c r="GQ8" s="347"/>
      <c r="GR8" s="347"/>
      <c r="GS8" s="347"/>
      <c r="GT8" s="347"/>
      <c r="GU8" s="894" t="s">
        <v>80</v>
      </c>
      <c r="GV8" s="347" t="s">
        <v>623</v>
      </c>
      <c r="GW8" s="347" t="s">
        <v>13</v>
      </c>
      <c r="GX8" s="347" t="s">
        <v>81</v>
      </c>
      <c r="GY8" s="347" t="s">
        <v>82</v>
      </c>
      <c r="GZ8" s="347"/>
      <c r="HA8" s="347"/>
      <c r="HB8" s="347" t="s">
        <v>562</v>
      </c>
      <c r="HC8" s="347" t="s">
        <v>13</v>
      </c>
      <c r="HD8" s="347" t="s">
        <v>13</v>
      </c>
      <c r="HE8" s="347" t="s">
        <v>13</v>
      </c>
      <c r="HF8" s="347" t="s">
        <v>13</v>
      </c>
      <c r="HG8" s="347" t="s">
        <v>13</v>
      </c>
      <c r="HH8" s="347" t="s">
        <v>13</v>
      </c>
      <c r="HI8" s="347" t="s">
        <v>13</v>
      </c>
      <c r="HJ8" s="347" t="s">
        <v>81</v>
      </c>
      <c r="HK8" s="347" t="s">
        <v>81</v>
      </c>
      <c r="HL8" s="347" t="s">
        <v>82</v>
      </c>
      <c r="HM8" s="347" t="s">
        <v>82</v>
      </c>
      <c r="HN8" s="347" t="s">
        <v>82</v>
      </c>
      <c r="HO8" s="894" t="s">
        <v>80</v>
      </c>
      <c r="HP8" s="347" t="s">
        <v>623</v>
      </c>
      <c r="HQ8" s="347" t="s">
        <v>13</v>
      </c>
      <c r="HR8" s="347" t="s">
        <v>81</v>
      </c>
      <c r="HS8" s="347" t="s">
        <v>82</v>
      </c>
      <c r="HT8" s="347"/>
      <c r="HU8" s="347"/>
      <c r="HV8" s="347" t="s">
        <v>562</v>
      </c>
      <c r="HW8" s="347" t="s">
        <v>13</v>
      </c>
      <c r="HX8" s="347" t="s">
        <v>13</v>
      </c>
      <c r="HY8" s="347" t="s">
        <v>13</v>
      </c>
      <c r="HZ8" s="347" t="s">
        <v>13</v>
      </c>
      <c r="IA8" s="347" t="s">
        <v>13</v>
      </c>
      <c r="IB8" s="347" t="s">
        <v>13</v>
      </c>
      <c r="IC8" s="347" t="s">
        <v>13</v>
      </c>
      <c r="ID8" s="347" t="s">
        <v>81</v>
      </c>
      <c r="IE8" s="347" t="s">
        <v>81</v>
      </c>
      <c r="IF8" s="347" t="s">
        <v>82</v>
      </c>
      <c r="IG8" s="347" t="s">
        <v>82</v>
      </c>
      <c r="IH8" s="347" t="s">
        <v>82</v>
      </c>
      <c r="II8" s="347" t="s">
        <v>49</v>
      </c>
      <c r="IJ8" s="347"/>
      <c r="IK8" s="347"/>
      <c r="IL8" s="347"/>
      <c r="IM8" s="347"/>
      <c r="IN8" s="347"/>
      <c r="IO8" s="347"/>
      <c r="IP8" s="347"/>
      <c r="IQ8" s="347"/>
      <c r="IR8" s="347"/>
      <c r="IS8" s="347" t="s">
        <v>80</v>
      </c>
      <c r="IT8" s="347" t="s">
        <v>82</v>
      </c>
      <c r="IU8" s="347" t="s">
        <v>82</v>
      </c>
      <c r="IV8" s="347" t="s">
        <v>82</v>
      </c>
      <c r="IW8" s="347" t="s">
        <v>82</v>
      </c>
      <c r="IX8" s="347" t="s">
        <v>82</v>
      </c>
      <c r="IY8" s="347" t="s">
        <v>82</v>
      </c>
      <c r="IZ8" s="347" t="s">
        <v>13</v>
      </c>
      <c r="JA8" s="347"/>
      <c r="JB8" s="347"/>
      <c r="JC8" s="347"/>
      <c r="JD8" s="347"/>
      <c r="JE8" s="347"/>
      <c r="JF8" s="347"/>
      <c r="JG8" s="347"/>
      <c r="JH8" s="347"/>
      <c r="JI8" s="347"/>
      <c r="JJ8" s="347"/>
      <c r="JK8" s="347"/>
      <c r="JL8" s="347"/>
      <c r="JM8" s="347"/>
      <c r="JN8" s="347"/>
      <c r="JO8" s="347"/>
      <c r="JP8" s="347"/>
      <c r="JQ8" s="347"/>
      <c r="JR8" s="347"/>
      <c r="JS8" s="347"/>
      <c r="JT8" s="347"/>
      <c r="JU8" s="347"/>
      <c r="JV8" s="347"/>
      <c r="JW8" s="347" t="s">
        <v>53</v>
      </c>
      <c r="JX8" s="347" t="s">
        <v>53</v>
      </c>
      <c r="JY8" s="347" t="s">
        <v>53</v>
      </c>
      <c r="JZ8" s="347" t="s">
        <v>53</v>
      </c>
      <c r="KA8" s="347" t="s">
        <v>53</v>
      </c>
      <c r="KB8" s="347" t="s">
        <v>53</v>
      </c>
      <c r="KC8" s="347" t="s">
        <v>53</v>
      </c>
      <c r="KD8" s="347" t="s">
        <v>53</v>
      </c>
      <c r="KE8" s="347" t="s">
        <v>53</v>
      </c>
      <c r="KF8" s="347" t="s">
        <v>53</v>
      </c>
      <c r="KG8" s="347" t="s">
        <v>53</v>
      </c>
      <c r="KH8" s="347" t="s">
        <v>53</v>
      </c>
      <c r="KI8" s="347" t="s">
        <v>53</v>
      </c>
      <c r="KJ8" s="347" t="s">
        <v>53</v>
      </c>
      <c r="KK8" s="347" t="s">
        <v>53</v>
      </c>
      <c r="KL8" s="347"/>
      <c r="KM8" s="347"/>
      <c r="KN8" s="347"/>
      <c r="KO8" s="347"/>
      <c r="KP8" s="1212"/>
      <c r="KQ8" s="699" t="s">
        <v>388</v>
      </c>
    </row>
    <row r="9" spans="1:308" s="184" customFormat="1" ht="15" hidden="1" customHeight="1" x14ac:dyDescent="0.45">
      <c r="A9" s="1723"/>
      <c r="B9" s="137" t="s">
        <v>307</v>
      </c>
      <c r="C9" s="186"/>
      <c r="D9" s="187"/>
      <c r="E9" s="187"/>
      <c r="F9" s="187"/>
      <c r="G9" s="187"/>
      <c r="H9" s="187"/>
      <c r="I9" s="187"/>
      <c r="J9" s="187"/>
      <c r="K9" s="187" t="s">
        <v>642</v>
      </c>
      <c r="L9" s="187" t="s">
        <v>642</v>
      </c>
      <c r="M9" s="187" t="s">
        <v>642</v>
      </c>
      <c r="N9" s="187"/>
      <c r="O9" s="187"/>
      <c r="P9" s="187"/>
      <c r="Q9" s="187"/>
      <c r="R9" s="187"/>
      <c r="S9" s="187"/>
      <c r="T9" s="187"/>
      <c r="U9" s="187"/>
      <c r="V9" s="187"/>
      <c r="W9" s="187"/>
      <c r="X9" s="187"/>
      <c r="Y9" s="187"/>
      <c r="Z9" s="187"/>
      <c r="AA9" s="187"/>
      <c r="AB9" s="187" t="s">
        <v>562</v>
      </c>
      <c r="AC9" s="187" t="s">
        <v>562</v>
      </c>
      <c r="AD9" s="187" t="s">
        <v>562</v>
      </c>
      <c r="AE9" s="187" t="s">
        <v>562</v>
      </c>
      <c r="AF9" s="187" t="s">
        <v>562</v>
      </c>
      <c r="AG9" s="187"/>
      <c r="AH9" s="187"/>
      <c r="AI9" s="187"/>
      <c r="AJ9" s="187"/>
      <c r="AK9" s="187"/>
      <c r="AL9" s="187"/>
      <c r="AM9" s="187"/>
      <c r="AN9" s="187"/>
      <c r="AO9" s="187"/>
      <c r="AP9" s="187"/>
      <c r="AQ9" s="187"/>
      <c r="AR9" s="187"/>
      <c r="AS9" s="187"/>
      <c r="AT9" s="187"/>
      <c r="AU9" s="187"/>
      <c r="AV9" s="187"/>
      <c r="AW9" s="187"/>
      <c r="AX9" s="187"/>
      <c r="AY9" s="187"/>
      <c r="AZ9" s="187"/>
      <c r="BA9" s="187"/>
      <c r="BB9" s="187"/>
      <c r="BC9" s="187"/>
      <c r="BD9" s="187"/>
      <c r="BE9" s="187"/>
      <c r="BF9" s="187"/>
      <c r="BG9" s="187"/>
      <c r="BH9" s="187"/>
      <c r="BI9" s="187"/>
      <c r="BJ9" s="187"/>
      <c r="BK9" s="187" t="s">
        <v>562</v>
      </c>
      <c r="BL9" s="187" t="s">
        <v>562</v>
      </c>
      <c r="BM9" s="187" t="s">
        <v>562</v>
      </c>
      <c r="BN9" s="187" t="s">
        <v>562</v>
      </c>
      <c r="BO9" s="187" t="s">
        <v>562</v>
      </c>
      <c r="BP9" s="187" t="s">
        <v>562</v>
      </c>
      <c r="BQ9" s="187" t="s">
        <v>562</v>
      </c>
      <c r="BR9" s="187" t="s">
        <v>562</v>
      </c>
      <c r="BS9" s="187" t="s">
        <v>562</v>
      </c>
      <c r="BT9" s="187"/>
      <c r="BU9" s="187"/>
      <c r="BV9" s="187" t="s">
        <v>642</v>
      </c>
      <c r="BW9" s="187" t="s">
        <v>32</v>
      </c>
      <c r="BX9" s="187" t="s">
        <v>562</v>
      </c>
      <c r="BY9" s="187" t="s">
        <v>32</v>
      </c>
      <c r="BZ9" s="187"/>
      <c r="CA9" s="187" t="s">
        <v>38</v>
      </c>
      <c r="CB9" s="187" t="s">
        <v>36</v>
      </c>
      <c r="CC9" s="187"/>
      <c r="CD9" s="187" t="s">
        <v>36</v>
      </c>
      <c r="CE9" s="187"/>
      <c r="CF9" s="187"/>
      <c r="CG9" s="187"/>
      <c r="CH9" s="187"/>
      <c r="CI9" s="187"/>
      <c r="CJ9" s="187"/>
      <c r="CK9" s="187"/>
      <c r="CL9" s="187"/>
      <c r="CM9" s="187"/>
      <c r="CN9" s="187"/>
      <c r="CO9" s="187"/>
      <c r="CP9" s="187"/>
      <c r="CQ9" s="187"/>
      <c r="CR9" s="187"/>
      <c r="CS9" s="187"/>
      <c r="CT9" s="187"/>
      <c r="CU9" s="187"/>
      <c r="CV9" s="187"/>
      <c r="CW9" s="187"/>
      <c r="CX9" s="187"/>
      <c r="CY9" s="186"/>
      <c r="CZ9" s="187"/>
      <c r="DA9" s="187"/>
      <c r="DB9" s="187"/>
      <c r="DC9" s="187"/>
      <c r="DD9" s="187"/>
      <c r="DE9" s="187"/>
      <c r="DF9" s="187"/>
      <c r="DG9" s="187"/>
      <c r="DH9" s="187"/>
      <c r="DI9" s="187"/>
      <c r="DJ9" s="187"/>
      <c r="DK9" s="187"/>
      <c r="DL9" s="187"/>
      <c r="DM9" s="187"/>
      <c r="DN9" s="187"/>
      <c r="DO9" s="187"/>
      <c r="DP9" s="187"/>
      <c r="DQ9" s="187"/>
      <c r="DR9" s="187"/>
      <c r="DS9" s="187"/>
      <c r="DT9" s="187"/>
      <c r="DU9" s="187"/>
      <c r="DV9" s="187"/>
      <c r="DW9" s="187"/>
      <c r="DX9" s="187" t="s">
        <v>562</v>
      </c>
      <c r="DY9" s="187" t="s">
        <v>562</v>
      </c>
      <c r="DZ9" s="187" t="s">
        <v>562</v>
      </c>
      <c r="EA9" s="187" t="s">
        <v>562</v>
      </c>
      <c r="EB9" s="187" t="s">
        <v>562</v>
      </c>
      <c r="EC9" s="187"/>
      <c r="ED9" s="187"/>
      <c r="EE9" s="187"/>
      <c r="EF9" s="187"/>
      <c r="EG9" s="187"/>
      <c r="EH9" s="187"/>
      <c r="EI9" s="187"/>
      <c r="EJ9" s="187"/>
      <c r="EK9" s="187"/>
      <c r="EL9" s="187"/>
      <c r="EM9" s="187"/>
      <c r="EN9" s="187"/>
      <c r="EO9" s="187"/>
      <c r="EP9" s="187"/>
      <c r="EQ9" s="187"/>
      <c r="ER9" s="187"/>
      <c r="ES9" s="187"/>
      <c r="ET9" s="187"/>
      <c r="EU9" s="187"/>
      <c r="EV9" s="187"/>
      <c r="EW9" s="187"/>
      <c r="EX9" s="187"/>
      <c r="EY9" s="187"/>
      <c r="EZ9" s="187"/>
      <c r="FA9" s="187"/>
      <c r="FB9" s="187"/>
      <c r="FC9" s="187"/>
      <c r="FD9" s="187"/>
      <c r="FE9" s="187"/>
      <c r="FF9" s="187"/>
      <c r="FG9" s="187"/>
      <c r="FH9" s="187"/>
      <c r="FI9" s="187"/>
      <c r="FJ9" s="187"/>
      <c r="FK9" s="187"/>
      <c r="FL9" s="187"/>
      <c r="FM9" s="187"/>
      <c r="FN9" s="187" t="s">
        <v>81</v>
      </c>
      <c r="FO9" s="187"/>
      <c r="FP9" s="187"/>
      <c r="FQ9" s="187"/>
      <c r="FR9" s="187"/>
      <c r="FS9" s="187"/>
      <c r="FT9" s="187"/>
      <c r="FU9" s="187"/>
      <c r="FV9" s="187"/>
      <c r="FW9" s="187"/>
      <c r="FX9" s="187"/>
      <c r="FY9" s="187"/>
      <c r="FZ9" s="187"/>
      <c r="GA9" s="187"/>
      <c r="GB9" s="187"/>
      <c r="GC9" s="187"/>
      <c r="GD9" s="187"/>
      <c r="GE9" s="187"/>
      <c r="GF9" s="187"/>
      <c r="GG9" s="187"/>
      <c r="GH9" s="187"/>
      <c r="GI9" s="187"/>
      <c r="GJ9" s="187"/>
      <c r="GK9" s="187"/>
      <c r="GL9" s="187"/>
      <c r="GM9" s="187"/>
      <c r="GN9" s="187"/>
      <c r="GO9" s="187"/>
      <c r="GP9" s="187"/>
      <c r="GQ9" s="187"/>
      <c r="GR9" s="187"/>
      <c r="GS9" s="187"/>
      <c r="GT9" s="187"/>
      <c r="GU9" s="186"/>
      <c r="GV9" s="187"/>
      <c r="GW9" s="187"/>
      <c r="GX9" s="187"/>
      <c r="GY9" s="187"/>
      <c r="GZ9" s="187"/>
      <c r="HA9" s="187"/>
      <c r="HB9" s="187"/>
      <c r="HC9" s="187"/>
      <c r="HD9" s="187"/>
      <c r="HE9" s="187"/>
      <c r="HF9" s="187"/>
      <c r="HG9" s="187"/>
      <c r="HH9" s="187"/>
      <c r="HI9" s="187"/>
      <c r="HJ9" s="187"/>
      <c r="HK9" s="187"/>
      <c r="HL9" s="187"/>
      <c r="HM9" s="187"/>
      <c r="HN9" s="187"/>
      <c r="HO9" s="186"/>
      <c r="HP9" s="187"/>
      <c r="HQ9" s="187"/>
      <c r="HR9" s="187"/>
      <c r="HS9" s="187"/>
      <c r="HT9" s="187"/>
      <c r="HU9" s="187"/>
      <c r="HV9" s="187"/>
      <c r="HW9" s="187"/>
      <c r="HX9" s="187"/>
      <c r="HY9" s="187"/>
      <c r="HZ9" s="187"/>
      <c r="IA9" s="187"/>
      <c r="IB9" s="187"/>
      <c r="IC9" s="187"/>
      <c r="ID9" s="187"/>
      <c r="IE9" s="187"/>
      <c r="IF9" s="187"/>
      <c r="IG9" s="187"/>
      <c r="IH9" s="187"/>
      <c r="II9" s="187"/>
      <c r="IJ9" s="187"/>
      <c r="IK9" s="187"/>
      <c r="IL9" s="187"/>
      <c r="IM9" s="187"/>
      <c r="IN9" s="187"/>
      <c r="IO9" s="187"/>
      <c r="IP9" s="187"/>
      <c r="IQ9" s="187"/>
      <c r="IR9" s="187"/>
      <c r="IS9" s="187"/>
      <c r="IT9" s="187"/>
      <c r="IU9" s="187"/>
      <c r="IV9" s="187"/>
      <c r="IW9" s="187"/>
      <c r="IX9" s="187"/>
      <c r="IY9" s="187"/>
      <c r="IZ9" s="187"/>
      <c r="JA9" s="187"/>
      <c r="JB9" s="187"/>
      <c r="JC9" s="187"/>
      <c r="JD9" s="187"/>
      <c r="JE9" s="187"/>
      <c r="JF9" s="187"/>
      <c r="JG9" s="187"/>
      <c r="JH9" s="187"/>
      <c r="JI9" s="187"/>
      <c r="JJ9" s="187"/>
      <c r="JK9" s="187"/>
      <c r="JL9" s="187"/>
      <c r="JM9" s="187"/>
      <c r="JN9" s="187"/>
      <c r="JO9" s="187"/>
      <c r="JP9" s="187"/>
      <c r="JQ9" s="187"/>
      <c r="JR9" s="187"/>
      <c r="JS9" s="187"/>
      <c r="JT9" s="187"/>
      <c r="JU9" s="187"/>
      <c r="JV9" s="187"/>
      <c r="JW9" s="187"/>
      <c r="JX9" s="187"/>
      <c r="JY9" s="187"/>
      <c r="JZ9" s="187"/>
      <c r="KA9" s="187"/>
      <c r="KB9" s="187"/>
      <c r="KC9" s="187"/>
      <c r="KD9" s="187"/>
      <c r="KE9" s="187"/>
      <c r="KF9" s="187"/>
      <c r="KG9" s="187"/>
      <c r="KH9" s="187"/>
      <c r="KI9" s="187"/>
      <c r="KJ9" s="187"/>
      <c r="KK9" s="187"/>
      <c r="KL9" s="187"/>
      <c r="KM9" s="187"/>
      <c r="KN9" s="187"/>
      <c r="KO9" s="187"/>
      <c r="KP9" s="1210"/>
      <c r="KQ9" s="699" t="s">
        <v>388</v>
      </c>
    </row>
    <row r="10" spans="1:308" s="184" customFormat="1" hidden="1" x14ac:dyDescent="0.45">
      <c r="A10" s="1724"/>
      <c r="B10" s="141" t="s">
        <v>308</v>
      </c>
      <c r="C10" s="189"/>
      <c r="D10" s="190"/>
      <c r="E10" s="190"/>
      <c r="F10" s="190"/>
      <c r="G10" s="893"/>
      <c r="H10" s="893"/>
      <c r="I10" s="893"/>
      <c r="J10" s="893"/>
      <c r="K10" s="893"/>
      <c r="L10" s="893"/>
      <c r="M10" s="893"/>
      <c r="N10" s="893"/>
      <c r="O10" s="893"/>
      <c r="P10" s="893"/>
      <c r="Q10" s="893"/>
      <c r="R10" s="893"/>
      <c r="S10" s="893"/>
      <c r="T10" s="893"/>
      <c r="U10" s="893"/>
      <c r="V10" s="893"/>
      <c r="W10" s="893"/>
      <c r="X10" s="893"/>
      <c r="Y10" s="893"/>
      <c r="Z10" s="893"/>
      <c r="AA10" s="893"/>
      <c r="AB10" s="893"/>
      <c r="AC10" s="893"/>
      <c r="AD10" s="893"/>
      <c r="AE10" s="893"/>
      <c r="AF10" s="893"/>
      <c r="AG10" s="893"/>
      <c r="AH10" s="893"/>
      <c r="AI10" s="893"/>
      <c r="AJ10" s="893"/>
      <c r="AK10" s="893"/>
      <c r="AL10" s="893"/>
      <c r="AM10" s="893"/>
      <c r="AN10" s="893"/>
      <c r="AO10" s="893"/>
      <c r="AP10" s="893"/>
      <c r="AQ10" s="893"/>
      <c r="AR10" s="893"/>
      <c r="AS10" s="893"/>
      <c r="AT10" s="893"/>
      <c r="AU10" s="893"/>
      <c r="AV10" s="893"/>
      <c r="AW10" s="893"/>
      <c r="AX10" s="893"/>
      <c r="AY10" s="893"/>
      <c r="AZ10" s="893"/>
      <c r="BA10" s="893"/>
      <c r="BB10" s="893"/>
      <c r="BC10" s="893"/>
      <c r="BD10" s="893"/>
      <c r="BE10" s="893"/>
      <c r="BF10" s="893"/>
      <c r="BG10" s="893"/>
      <c r="BH10" s="893"/>
      <c r="BI10" s="893"/>
      <c r="BJ10" s="893"/>
      <c r="BK10" s="893"/>
      <c r="BL10" s="893"/>
      <c r="BM10" s="893"/>
      <c r="BN10" s="893"/>
      <c r="BO10" s="893"/>
      <c r="BP10" s="893"/>
      <c r="BQ10" s="893"/>
      <c r="BR10" s="893"/>
      <c r="BS10" s="893"/>
      <c r="BT10" s="893"/>
      <c r="BU10" s="893"/>
      <c r="BV10" s="893"/>
      <c r="BW10" s="893"/>
      <c r="BX10" s="893"/>
      <c r="BY10" s="893" t="s">
        <v>562</v>
      </c>
      <c r="BZ10" s="893"/>
      <c r="CA10" s="893"/>
      <c r="CB10" s="893" t="s">
        <v>38</v>
      </c>
      <c r="CC10" s="893"/>
      <c r="CD10" s="893"/>
      <c r="CE10" s="893"/>
      <c r="CF10" s="893"/>
      <c r="CG10" s="893"/>
      <c r="CH10" s="893"/>
      <c r="CI10" s="893"/>
      <c r="CJ10" s="893"/>
      <c r="CK10" s="893"/>
      <c r="CL10" s="893"/>
      <c r="CM10" s="893"/>
      <c r="CN10" s="893"/>
      <c r="CO10" s="893"/>
      <c r="CP10" s="893"/>
      <c r="CQ10" s="893"/>
      <c r="CR10" s="893"/>
      <c r="CS10" s="893"/>
      <c r="CT10" s="893"/>
      <c r="CU10" s="893"/>
      <c r="CV10" s="893"/>
      <c r="CW10" s="893"/>
      <c r="CX10" s="893"/>
      <c r="CY10" s="893"/>
      <c r="CZ10" s="893"/>
      <c r="DA10" s="893"/>
      <c r="DB10" s="893"/>
      <c r="DC10" s="893"/>
      <c r="DD10" s="893"/>
      <c r="DE10" s="893"/>
      <c r="DF10" s="893"/>
      <c r="DG10" s="893"/>
      <c r="DH10" s="893"/>
      <c r="DI10" s="893"/>
      <c r="DJ10" s="893"/>
      <c r="DK10" s="893"/>
      <c r="DL10" s="893"/>
      <c r="DM10" s="893"/>
      <c r="DN10" s="893"/>
      <c r="DO10" s="893"/>
      <c r="DP10" s="893"/>
      <c r="DQ10" s="893"/>
      <c r="DR10" s="893"/>
      <c r="DS10" s="893"/>
      <c r="DT10" s="893"/>
      <c r="DU10" s="893"/>
      <c r="DV10" s="893"/>
      <c r="DW10" s="893"/>
      <c r="DX10" s="893"/>
      <c r="DY10" s="893"/>
      <c r="DZ10" s="893"/>
      <c r="EA10" s="893"/>
      <c r="EB10" s="893"/>
      <c r="EC10" s="893"/>
      <c r="ED10" s="893"/>
      <c r="EE10" s="893"/>
      <c r="EF10" s="893"/>
      <c r="EG10" s="893"/>
      <c r="EH10" s="893"/>
      <c r="EI10" s="893"/>
      <c r="EJ10" s="893"/>
      <c r="EK10" s="893"/>
      <c r="EL10" s="893"/>
      <c r="EM10" s="893"/>
      <c r="EN10" s="893"/>
      <c r="EO10" s="893"/>
      <c r="EP10" s="893"/>
      <c r="EQ10" s="893"/>
      <c r="ER10" s="893"/>
      <c r="ES10" s="893"/>
      <c r="ET10" s="893"/>
      <c r="EU10" s="893"/>
      <c r="EV10" s="893"/>
      <c r="EW10" s="893"/>
      <c r="EX10" s="893"/>
      <c r="EY10" s="893"/>
      <c r="EZ10" s="893"/>
      <c r="FA10" s="893"/>
      <c r="FB10" s="893"/>
      <c r="FC10" s="893"/>
      <c r="FD10" s="893"/>
      <c r="FE10" s="893"/>
      <c r="FF10" s="893"/>
      <c r="FG10" s="893"/>
      <c r="FH10" s="893"/>
      <c r="FI10" s="893"/>
      <c r="FJ10" s="893"/>
      <c r="FK10" s="893"/>
      <c r="FL10" s="893"/>
      <c r="FM10" s="893"/>
      <c r="FN10" s="893"/>
      <c r="FO10" s="893"/>
      <c r="FP10" s="893"/>
      <c r="FQ10" s="893"/>
      <c r="FR10" s="893"/>
      <c r="FS10" s="893"/>
      <c r="FT10" s="893"/>
      <c r="FU10" s="893"/>
      <c r="FV10" s="893"/>
      <c r="FW10" s="893"/>
      <c r="FX10" s="893"/>
      <c r="FY10" s="893"/>
      <c r="FZ10" s="893"/>
      <c r="GA10" s="893"/>
      <c r="GB10" s="893"/>
      <c r="GC10" s="893"/>
      <c r="GD10" s="893"/>
      <c r="GE10" s="893"/>
      <c r="GF10" s="893"/>
      <c r="GG10" s="893"/>
      <c r="GH10" s="893"/>
      <c r="GI10" s="893"/>
      <c r="GJ10" s="893"/>
      <c r="GK10" s="893"/>
      <c r="GL10" s="893"/>
      <c r="GM10" s="893"/>
      <c r="GN10" s="893"/>
      <c r="GO10" s="893"/>
      <c r="GP10" s="893"/>
      <c r="GQ10" s="893"/>
      <c r="GR10" s="893"/>
      <c r="GS10" s="893"/>
      <c r="GT10" s="893"/>
      <c r="GU10" s="892"/>
      <c r="GV10" s="893"/>
      <c r="GW10" s="893"/>
      <c r="GX10" s="893"/>
      <c r="GY10" s="893"/>
      <c r="GZ10" s="893"/>
      <c r="HA10" s="893"/>
      <c r="HB10" s="893"/>
      <c r="HC10" s="893"/>
      <c r="HD10" s="893"/>
      <c r="HE10" s="893"/>
      <c r="HF10" s="893"/>
      <c r="HG10" s="893"/>
      <c r="HH10" s="893"/>
      <c r="HI10" s="893"/>
      <c r="HJ10" s="893"/>
      <c r="HK10" s="893"/>
      <c r="HL10" s="893"/>
      <c r="HM10" s="893"/>
      <c r="HN10" s="893"/>
      <c r="HO10" s="892"/>
      <c r="HP10" s="893"/>
      <c r="HQ10" s="893"/>
      <c r="HR10" s="893"/>
      <c r="HS10" s="893"/>
      <c r="HT10" s="893"/>
      <c r="HU10" s="893"/>
      <c r="HV10" s="893"/>
      <c r="HW10" s="893"/>
      <c r="HX10" s="893"/>
      <c r="HY10" s="893"/>
      <c r="HZ10" s="893"/>
      <c r="IA10" s="893"/>
      <c r="IB10" s="893"/>
      <c r="IC10" s="893"/>
      <c r="ID10" s="893"/>
      <c r="IE10" s="893"/>
      <c r="IF10" s="893"/>
      <c r="IG10" s="893"/>
      <c r="IH10" s="893"/>
      <c r="II10" s="893"/>
      <c r="IJ10" s="893"/>
      <c r="IK10" s="893"/>
      <c r="IL10" s="893"/>
      <c r="IM10" s="893"/>
      <c r="IN10" s="893"/>
      <c r="IO10" s="893"/>
      <c r="IP10" s="893"/>
      <c r="IQ10" s="893"/>
      <c r="IR10" s="893"/>
      <c r="IS10" s="893"/>
      <c r="IT10" s="893"/>
      <c r="IU10" s="893"/>
      <c r="IV10" s="893"/>
      <c r="IW10" s="893"/>
      <c r="IX10" s="893"/>
      <c r="IY10" s="893"/>
      <c r="IZ10" s="893"/>
      <c r="JA10" s="893"/>
      <c r="JB10" s="893"/>
      <c r="JC10" s="893"/>
      <c r="JD10" s="893"/>
      <c r="JE10" s="893"/>
      <c r="JF10" s="893"/>
      <c r="JG10" s="893"/>
      <c r="JH10" s="893"/>
      <c r="JI10" s="893"/>
      <c r="JJ10" s="893"/>
      <c r="JK10" s="893"/>
      <c r="JL10" s="893"/>
      <c r="JM10" s="893"/>
      <c r="JN10" s="893"/>
      <c r="JO10" s="893"/>
      <c r="JP10" s="893"/>
      <c r="JQ10" s="893"/>
      <c r="JR10" s="893"/>
      <c r="JS10" s="893"/>
      <c r="JT10" s="893"/>
      <c r="JU10" s="893"/>
      <c r="JV10" s="893"/>
      <c r="JW10" s="893"/>
      <c r="JX10" s="893"/>
      <c r="JY10" s="893"/>
      <c r="JZ10" s="893"/>
      <c r="KA10" s="893"/>
      <c r="KB10" s="893"/>
      <c r="KC10" s="893"/>
      <c r="KD10" s="893"/>
      <c r="KE10" s="893"/>
      <c r="KF10" s="893"/>
      <c r="KG10" s="893"/>
      <c r="KH10" s="893"/>
      <c r="KI10" s="893"/>
      <c r="KJ10" s="893"/>
      <c r="KK10" s="893"/>
      <c r="KL10" s="893"/>
      <c r="KM10" s="893"/>
      <c r="KN10" s="893"/>
      <c r="KO10" s="893"/>
      <c r="KP10" s="1213"/>
      <c r="KQ10" s="699" t="s">
        <v>388</v>
      </c>
    </row>
    <row r="11" spans="1:308" s="184" customFormat="1" ht="15" hidden="1" customHeight="1" x14ac:dyDescent="0.45">
      <c r="A11" s="1738" t="s">
        <v>309</v>
      </c>
      <c r="B11" s="140" t="s">
        <v>306</v>
      </c>
      <c r="C11" s="185"/>
      <c r="D11" s="185"/>
      <c r="E11" s="185"/>
      <c r="F11" s="185"/>
      <c r="G11" s="185"/>
      <c r="H11" s="185">
        <v>20</v>
      </c>
      <c r="I11" s="185">
        <v>30</v>
      </c>
      <c r="J11" s="185"/>
      <c r="K11" s="185">
        <v>20</v>
      </c>
      <c r="L11" s="185">
        <v>30</v>
      </c>
      <c r="M11" s="185">
        <v>40</v>
      </c>
      <c r="N11" s="185">
        <v>60</v>
      </c>
      <c r="O11" s="185">
        <v>120</v>
      </c>
      <c r="P11" s="185">
        <v>180</v>
      </c>
      <c r="Q11" s="185">
        <v>240</v>
      </c>
      <c r="R11" s="185">
        <v>40</v>
      </c>
      <c r="S11" s="185">
        <v>60</v>
      </c>
      <c r="T11" s="185">
        <v>120</v>
      </c>
      <c r="U11" s="185">
        <v>180</v>
      </c>
      <c r="V11" s="185">
        <v>240</v>
      </c>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c r="AZ11" s="185"/>
      <c r="BA11" s="185"/>
      <c r="BB11" s="185"/>
      <c r="BC11" s="185"/>
      <c r="BD11" s="185"/>
      <c r="BE11" s="185"/>
      <c r="BF11" s="185"/>
      <c r="BG11" s="185"/>
      <c r="BH11" s="185"/>
      <c r="BI11" s="185"/>
      <c r="BJ11" s="185"/>
      <c r="BK11" s="185"/>
      <c r="BL11" s="185"/>
      <c r="BM11" s="185"/>
      <c r="BN11" s="185"/>
      <c r="BO11" s="185"/>
      <c r="BP11" s="185"/>
      <c r="BQ11" s="185"/>
      <c r="BR11" s="185"/>
      <c r="BS11" s="185"/>
      <c r="BT11" s="185"/>
      <c r="BU11" s="185"/>
      <c r="BV11" s="185"/>
      <c r="BW11" s="185"/>
      <c r="BX11" s="185"/>
      <c r="BY11" s="185"/>
      <c r="BZ11" s="185"/>
      <c r="CA11" s="185"/>
      <c r="CB11" s="185">
        <v>20</v>
      </c>
      <c r="CC11" s="185"/>
      <c r="CD11" s="185"/>
      <c r="CE11" s="185">
        <v>10</v>
      </c>
      <c r="CF11" s="185">
        <v>15</v>
      </c>
      <c r="CG11" s="185">
        <v>30</v>
      </c>
      <c r="CH11" s="185">
        <v>45</v>
      </c>
      <c r="CI11" s="185">
        <v>60</v>
      </c>
      <c r="CJ11" s="185">
        <v>75</v>
      </c>
      <c r="CK11" s="185">
        <v>90</v>
      </c>
      <c r="CL11" s="185">
        <v>105</v>
      </c>
      <c r="CM11" s="185">
        <v>120</v>
      </c>
      <c r="CN11" s="185">
        <v>150</v>
      </c>
      <c r="CO11" s="185">
        <v>180</v>
      </c>
      <c r="CP11" s="185">
        <v>210</v>
      </c>
      <c r="CQ11" s="185">
        <v>240</v>
      </c>
      <c r="CR11" s="185">
        <v>300</v>
      </c>
      <c r="CS11" s="185">
        <v>360</v>
      </c>
      <c r="CT11" s="185">
        <v>420</v>
      </c>
      <c r="CU11" s="185">
        <v>480</v>
      </c>
      <c r="CV11" s="185">
        <v>540</v>
      </c>
      <c r="CW11" s="185">
        <v>600</v>
      </c>
      <c r="CX11" s="185">
        <v>600</v>
      </c>
      <c r="CY11" s="185"/>
      <c r="CZ11" s="185"/>
      <c r="DA11" s="185"/>
      <c r="DB11" s="185"/>
      <c r="DC11" s="185"/>
      <c r="DD11" s="185">
        <v>20</v>
      </c>
      <c r="DE11" s="185">
        <v>30</v>
      </c>
      <c r="DF11" s="185"/>
      <c r="DG11" s="185">
        <v>20</v>
      </c>
      <c r="DH11" s="185">
        <v>30</v>
      </c>
      <c r="DI11" s="185">
        <v>40</v>
      </c>
      <c r="DJ11" s="185">
        <v>60</v>
      </c>
      <c r="DK11" s="185">
        <v>120</v>
      </c>
      <c r="DL11" s="185">
        <v>180</v>
      </c>
      <c r="DM11" s="185">
        <v>240</v>
      </c>
      <c r="DN11" s="185">
        <v>40</v>
      </c>
      <c r="DO11" s="185">
        <v>60</v>
      </c>
      <c r="DP11" s="185">
        <v>120</v>
      </c>
      <c r="DQ11" s="185">
        <v>180</v>
      </c>
      <c r="DR11" s="185">
        <v>240</v>
      </c>
      <c r="DS11" s="185"/>
      <c r="DT11" s="185"/>
      <c r="DU11" s="185"/>
      <c r="DV11" s="185"/>
      <c r="DW11" s="185"/>
      <c r="DX11" s="185"/>
      <c r="DY11" s="185"/>
      <c r="DZ11" s="185"/>
      <c r="EA11" s="185"/>
      <c r="EB11" s="185"/>
      <c r="EC11" s="185"/>
      <c r="ED11" s="185"/>
      <c r="EE11" s="185"/>
      <c r="EF11" s="185"/>
      <c r="EG11" s="185"/>
      <c r="EH11" s="185"/>
      <c r="EI11" s="185"/>
      <c r="EJ11" s="185"/>
      <c r="EK11" s="185"/>
      <c r="EL11" s="185"/>
      <c r="EM11" s="185"/>
      <c r="EN11" s="185"/>
      <c r="EO11" s="185"/>
      <c r="EP11" s="185"/>
      <c r="EQ11" s="185"/>
      <c r="ER11" s="185"/>
      <c r="ES11" s="185"/>
      <c r="ET11" s="185"/>
      <c r="EU11" s="185"/>
      <c r="EV11" s="185"/>
      <c r="EW11" s="185"/>
      <c r="EX11" s="185"/>
      <c r="EY11" s="185"/>
      <c r="EZ11" s="185"/>
      <c r="FA11" s="185"/>
      <c r="FB11" s="185"/>
      <c r="FC11" s="185"/>
      <c r="FD11" s="185"/>
      <c r="FE11" s="185"/>
      <c r="FF11" s="185"/>
      <c r="FG11" s="185"/>
      <c r="FH11" s="185"/>
      <c r="FI11" s="185"/>
      <c r="FJ11" s="185"/>
      <c r="FK11" s="185"/>
      <c r="FL11" s="185"/>
      <c r="FM11" s="185"/>
      <c r="FN11" s="185"/>
      <c r="FO11" s="185"/>
      <c r="FP11" s="185"/>
      <c r="FQ11" s="185"/>
      <c r="FR11" s="185"/>
      <c r="FS11" s="185"/>
      <c r="FT11" s="185"/>
      <c r="FU11" s="185"/>
      <c r="FV11" s="185"/>
      <c r="FW11" s="185"/>
      <c r="FX11" s="185"/>
      <c r="FY11" s="185"/>
      <c r="FZ11" s="185"/>
      <c r="GA11" s="185">
        <v>15</v>
      </c>
      <c r="GB11" s="185">
        <v>30</v>
      </c>
      <c r="GC11" s="185">
        <v>45</v>
      </c>
      <c r="GD11" s="185">
        <v>60</v>
      </c>
      <c r="GE11" s="185">
        <v>75</v>
      </c>
      <c r="GF11" s="185">
        <v>90</v>
      </c>
      <c r="GG11" s="185">
        <v>105</v>
      </c>
      <c r="GH11" s="185">
        <v>120</v>
      </c>
      <c r="GI11" s="185">
        <v>150</v>
      </c>
      <c r="GJ11" s="185">
        <v>180</v>
      </c>
      <c r="GK11" s="185">
        <v>240</v>
      </c>
      <c r="GL11" s="185">
        <v>300</v>
      </c>
      <c r="GM11" s="185">
        <v>360</v>
      </c>
      <c r="GN11" s="185">
        <v>420</v>
      </c>
      <c r="GO11" s="185">
        <v>480</v>
      </c>
      <c r="GP11" s="185"/>
      <c r="GQ11" s="185"/>
      <c r="GR11" s="185"/>
      <c r="GS11" s="185"/>
      <c r="GT11" s="185"/>
      <c r="GU11" s="185"/>
      <c r="GV11" s="185"/>
      <c r="GW11" s="185"/>
      <c r="GX11" s="185"/>
      <c r="GY11" s="185"/>
      <c r="GZ11" s="185"/>
      <c r="HA11" s="185"/>
      <c r="HB11" s="185"/>
      <c r="HC11" s="185">
        <v>20</v>
      </c>
      <c r="HD11" s="185">
        <v>30</v>
      </c>
      <c r="HE11" s="185">
        <v>40</v>
      </c>
      <c r="HF11" s="185">
        <v>60</v>
      </c>
      <c r="HG11" s="185">
        <v>120</v>
      </c>
      <c r="HH11" s="185">
        <v>180</v>
      </c>
      <c r="HI11" s="185">
        <v>240</v>
      </c>
      <c r="HJ11" s="185">
        <v>40</v>
      </c>
      <c r="HK11" s="185">
        <v>60</v>
      </c>
      <c r="HL11" s="185">
        <v>120</v>
      </c>
      <c r="HM11" s="185">
        <v>180</v>
      </c>
      <c r="HN11" s="185">
        <v>240</v>
      </c>
      <c r="HO11" s="185"/>
      <c r="HP11" s="185"/>
      <c r="HQ11" s="185"/>
      <c r="HR11" s="185"/>
      <c r="HS11" s="185"/>
      <c r="HT11" s="185"/>
      <c r="HU11" s="185"/>
      <c r="HV11" s="185"/>
      <c r="HW11" s="185">
        <v>20</v>
      </c>
      <c r="HX11" s="185">
        <v>30</v>
      </c>
      <c r="HY11" s="185">
        <v>40</v>
      </c>
      <c r="HZ11" s="185">
        <v>60</v>
      </c>
      <c r="IA11" s="185">
        <v>120</v>
      </c>
      <c r="IB11" s="185">
        <v>180</v>
      </c>
      <c r="IC11" s="185">
        <v>240</v>
      </c>
      <c r="ID11" s="185">
        <v>40</v>
      </c>
      <c r="IE11" s="185">
        <v>60</v>
      </c>
      <c r="IF11" s="185">
        <v>120</v>
      </c>
      <c r="IG11" s="185">
        <v>180</v>
      </c>
      <c r="IH11" s="185">
        <v>240</v>
      </c>
      <c r="II11" s="185">
        <v>45</v>
      </c>
      <c r="IJ11" s="185"/>
      <c r="IK11" s="185"/>
      <c r="IL11" s="185"/>
      <c r="IM11" s="185"/>
      <c r="IN11" s="185"/>
      <c r="IO11" s="185"/>
      <c r="IP11" s="185"/>
      <c r="IQ11" s="185"/>
      <c r="IR11" s="185"/>
      <c r="IS11" s="185"/>
      <c r="IT11" s="185"/>
      <c r="IU11" s="185"/>
      <c r="IV11" s="185"/>
      <c r="IW11" s="185"/>
      <c r="IX11" s="185"/>
      <c r="IY11" s="185"/>
      <c r="IZ11" s="185"/>
      <c r="JA11" s="185"/>
      <c r="JB11" s="185"/>
      <c r="JC11" s="185"/>
      <c r="JD11" s="185"/>
      <c r="JE11" s="185"/>
      <c r="JF11" s="185"/>
      <c r="JG11" s="185"/>
      <c r="JH11" s="185"/>
      <c r="JI11" s="185"/>
      <c r="JJ11" s="185"/>
      <c r="JK11" s="185"/>
      <c r="JL11" s="185"/>
      <c r="JM11" s="185"/>
      <c r="JN11" s="185"/>
      <c r="JO11" s="185"/>
      <c r="JP11" s="185"/>
      <c r="JQ11" s="185"/>
      <c r="JR11" s="185"/>
      <c r="JS11" s="185"/>
      <c r="JT11" s="185"/>
      <c r="JU11" s="185"/>
      <c r="JV11" s="185"/>
      <c r="JW11" s="185">
        <v>15</v>
      </c>
      <c r="JX11" s="185">
        <v>30</v>
      </c>
      <c r="JY11" s="185">
        <v>45</v>
      </c>
      <c r="JZ11" s="185">
        <v>60</v>
      </c>
      <c r="KA11" s="185">
        <v>75</v>
      </c>
      <c r="KB11" s="185">
        <v>90</v>
      </c>
      <c r="KC11" s="185">
        <v>105</v>
      </c>
      <c r="KD11" s="185">
        <v>120</v>
      </c>
      <c r="KE11" s="185">
        <v>150</v>
      </c>
      <c r="KF11" s="185">
        <v>180</v>
      </c>
      <c r="KG11" s="185">
        <v>240</v>
      </c>
      <c r="KH11" s="185">
        <v>300</v>
      </c>
      <c r="KI11" s="185">
        <v>360</v>
      </c>
      <c r="KJ11" s="185">
        <v>420</v>
      </c>
      <c r="KK11" s="185">
        <v>480</v>
      </c>
      <c r="KL11" s="185"/>
      <c r="KM11" s="185"/>
      <c r="KN11" s="185"/>
      <c r="KO11" s="185"/>
      <c r="KP11" s="1209"/>
      <c r="KQ11" s="699" t="s">
        <v>388</v>
      </c>
    </row>
    <row r="12" spans="1:308" s="184" customFormat="1" hidden="1" x14ac:dyDescent="0.45">
      <c r="A12" s="1739"/>
      <c r="B12" s="137" t="s">
        <v>307</v>
      </c>
      <c r="C12" s="187"/>
      <c r="D12" s="187"/>
      <c r="E12" s="187"/>
      <c r="F12" s="187"/>
      <c r="G12" s="187"/>
      <c r="H12" s="187"/>
      <c r="I12" s="187"/>
      <c r="J12" s="187"/>
      <c r="K12" s="187">
        <v>5</v>
      </c>
      <c r="L12" s="187">
        <v>5</v>
      </c>
      <c r="M12" s="187"/>
      <c r="N12" s="187"/>
      <c r="O12" s="187"/>
      <c r="P12" s="187"/>
      <c r="Q12" s="187"/>
      <c r="R12" s="187"/>
      <c r="S12" s="187"/>
      <c r="T12" s="187"/>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87"/>
      <c r="AZ12" s="187"/>
      <c r="BA12" s="187"/>
      <c r="BB12" s="187"/>
      <c r="BC12" s="187"/>
      <c r="BD12" s="187"/>
      <c r="BE12" s="187"/>
      <c r="BF12" s="187"/>
      <c r="BG12" s="187"/>
      <c r="BH12" s="187"/>
      <c r="BI12" s="187"/>
      <c r="BJ12" s="187"/>
      <c r="BK12" s="187"/>
      <c r="BL12" s="187"/>
      <c r="BM12" s="187"/>
      <c r="BN12" s="187"/>
      <c r="BO12" s="187"/>
      <c r="BP12" s="187"/>
      <c r="BQ12" s="187"/>
      <c r="BR12" s="187"/>
      <c r="BS12" s="187"/>
      <c r="BT12" s="187"/>
      <c r="BU12" s="187"/>
      <c r="BV12" s="187">
        <v>5</v>
      </c>
      <c r="BW12" s="187"/>
      <c r="BX12" s="187"/>
      <c r="BY12" s="187"/>
      <c r="BZ12" s="187"/>
      <c r="CA12" s="187"/>
      <c r="CB12" s="187"/>
      <c r="CC12" s="187"/>
      <c r="CD12" s="187"/>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87"/>
      <c r="EE12" s="187"/>
      <c r="EF12" s="187"/>
      <c r="EG12" s="187"/>
      <c r="EH12" s="187"/>
      <c r="EI12" s="187"/>
      <c r="EJ12" s="187"/>
      <c r="EK12" s="187"/>
      <c r="EL12" s="187"/>
      <c r="EM12" s="187"/>
      <c r="EN12" s="187"/>
      <c r="EO12" s="187"/>
      <c r="EP12" s="187"/>
      <c r="EQ12" s="187"/>
      <c r="ER12" s="187"/>
      <c r="ES12" s="187"/>
      <c r="ET12" s="187"/>
      <c r="EU12" s="187"/>
      <c r="EV12" s="187"/>
      <c r="EW12" s="187"/>
      <c r="EX12" s="187"/>
      <c r="EY12" s="187"/>
      <c r="EZ12" s="187"/>
      <c r="FA12" s="187"/>
      <c r="FB12" s="187"/>
      <c r="FC12" s="187"/>
      <c r="FD12" s="187"/>
      <c r="FE12" s="187"/>
      <c r="FF12" s="187"/>
      <c r="FG12" s="187"/>
      <c r="FH12" s="187"/>
      <c r="FI12" s="187"/>
      <c r="FJ12" s="187"/>
      <c r="FK12" s="187"/>
      <c r="FL12" s="187"/>
      <c r="FM12" s="187"/>
      <c r="FN12" s="187">
        <v>30</v>
      </c>
      <c r="FO12" s="187"/>
      <c r="FP12" s="187"/>
      <c r="FQ12" s="187"/>
      <c r="FR12" s="187"/>
      <c r="FS12" s="187"/>
      <c r="FT12" s="187"/>
      <c r="FU12" s="187"/>
      <c r="FV12" s="187"/>
      <c r="FW12" s="187"/>
      <c r="FX12" s="187"/>
      <c r="FY12" s="187"/>
      <c r="FZ12" s="187"/>
      <c r="GA12" s="187"/>
      <c r="GB12" s="187"/>
      <c r="GC12" s="187"/>
      <c r="GD12" s="187"/>
      <c r="GE12" s="187"/>
      <c r="GF12" s="187"/>
      <c r="GG12" s="187"/>
      <c r="GH12" s="187"/>
      <c r="GI12" s="187"/>
      <c r="GJ12" s="187"/>
      <c r="GK12" s="187"/>
      <c r="GL12" s="187"/>
      <c r="GM12" s="187"/>
      <c r="GN12" s="187"/>
      <c r="GO12" s="187"/>
      <c r="GP12" s="187"/>
      <c r="GQ12" s="187"/>
      <c r="GR12" s="187"/>
      <c r="GS12" s="187"/>
      <c r="GT12" s="187"/>
      <c r="GU12" s="187"/>
      <c r="GV12" s="187"/>
      <c r="GW12" s="187"/>
      <c r="GX12" s="187"/>
      <c r="GY12" s="187"/>
      <c r="GZ12" s="187"/>
      <c r="HA12" s="187"/>
      <c r="HB12" s="187"/>
      <c r="HC12" s="187"/>
      <c r="HD12" s="187"/>
      <c r="HE12" s="187"/>
      <c r="HF12" s="187"/>
      <c r="HG12" s="187"/>
      <c r="HH12" s="187"/>
      <c r="HI12" s="187"/>
      <c r="HJ12" s="187"/>
      <c r="HK12" s="187"/>
      <c r="HL12" s="187"/>
      <c r="HM12" s="187"/>
      <c r="HN12" s="187"/>
      <c r="HO12" s="187"/>
      <c r="HP12" s="187"/>
      <c r="HQ12" s="187"/>
      <c r="HR12" s="187"/>
      <c r="HS12" s="187"/>
      <c r="HT12" s="187"/>
      <c r="HU12" s="187"/>
      <c r="HV12" s="187"/>
      <c r="HW12" s="187"/>
      <c r="HX12" s="187"/>
      <c r="HY12" s="187"/>
      <c r="HZ12" s="187"/>
      <c r="IA12" s="187"/>
      <c r="IB12" s="187"/>
      <c r="IC12" s="187"/>
      <c r="ID12" s="187"/>
      <c r="IE12" s="187"/>
      <c r="IF12" s="187"/>
      <c r="IG12" s="187"/>
      <c r="IH12" s="187"/>
      <c r="II12" s="187"/>
      <c r="IJ12" s="187"/>
      <c r="IK12" s="187"/>
      <c r="IL12" s="187"/>
      <c r="IM12" s="187"/>
      <c r="IN12" s="187"/>
      <c r="IO12" s="187"/>
      <c r="IP12" s="187"/>
      <c r="IQ12" s="187"/>
      <c r="IR12" s="187"/>
      <c r="IS12" s="187"/>
      <c r="IT12" s="187"/>
      <c r="IU12" s="187"/>
      <c r="IV12" s="187"/>
      <c r="IW12" s="187"/>
      <c r="IX12" s="187"/>
      <c r="IY12" s="187"/>
      <c r="IZ12" s="187"/>
      <c r="JA12" s="187"/>
      <c r="JB12" s="187"/>
      <c r="JC12" s="187"/>
      <c r="JD12" s="187"/>
      <c r="JE12" s="187"/>
      <c r="JF12" s="187"/>
      <c r="JG12" s="187"/>
      <c r="JH12" s="187"/>
      <c r="JI12" s="187"/>
      <c r="JJ12" s="187"/>
      <c r="JK12" s="187"/>
      <c r="JL12" s="187"/>
      <c r="JM12" s="187"/>
      <c r="JN12" s="187"/>
      <c r="JO12" s="187"/>
      <c r="JP12" s="187"/>
      <c r="JQ12" s="187"/>
      <c r="JR12" s="187"/>
      <c r="JS12" s="187"/>
      <c r="JT12" s="187"/>
      <c r="JU12" s="187"/>
      <c r="JV12" s="187"/>
      <c r="JW12" s="187"/>
      <c r="JX12" s="187"/>
      <c r="JY12" s="187"/>
      <c r="JZ12" s="187"/>
      <c r="KA12" s="187"/>
      <c r="KB12" s="187"/>
      <c r="KC12" s="187"/>
      <c r="KD12" s="187"/>
      <c r="KE12" s="187"/>
      <c r="KF12" s="187"/>
      <c r="KG12" s="187"/>
      <c r="KH12" s="187"/>
      <c r="KI12" s="187"/>
      <c r="KJ12" s="187"/>
      <c r="KK12" s="187"/>
      <c r="KL12" s="187"/>
      <c r="KM12" s="187"/>
      <c r="KN12" s="187"/>
      <c r="KO12" s="187"/>
      <c r="KP12" s="1210"/>
      <c r="KQ12" s="699" t="s">
        <v>388</v>
      </c>
    </row>
    <row r="13" spans="1:308" s="184" customFormat="1" hidden="1" x14ac:dyDescent="0.45">
      <c r="A13" s="1740"/>
      <c r="B13" s="141" t="s">
        <v>308</v>
      </c>
      <c r="C13" s="190"/>
      <c r="D13" s="190"/>
      <c r="E13" s="190"/>
      <c r="F13" s="190"/>
      <c r="G13" s="893"/>
      <c r="H13" s="893"/>
      <c r="I13" s="893"/>
      <c r="J13" s="893"/>
      <c r="K13" s="893"/>
      <c r="L13" s="893"/>
      <c r="M13" s="893"/>
      <c r="N13" s="893"/>
      <c r="O13" s="893"/>
      <c r="P13" s="893"/>
      <c r="Q13" s="893"/>
      <c r="R13" s="893"/>
      <c r="S13" s="893"/>
      <c r="T13" s="893"/>
      <c r="U13" s="893"/>
      <c r="V13" s="893"/>
      <c r="W13" s="1198"/>
      <c r="X13" s="1198"/>
      <c r="Y13" s="1198"/>
      <c r="Z13" s="1198"/>
      <c r="AA13" s="1198"/>
      <c r="AB13" s="1198"/>
      <c r="AC13" s="1198"/>
      <c r="AD13" s="1198"/>
      <c r="AE13" s="1198"/>
      <c r="AF13" s="1198"/>
      <c r="AG13" s="893"/>
      <c r="AH13" s="893"/>
      <c r="AI13" s="893"/>
      <c r="AJ13" s="893"/>
      <c r="AK13" s="893"/>
      <c r="AL13" s="893"/>
      <c r="AM13" s="893"/>
      <c r="AN13" s="893"/>
      <c r="AO13" s="893"/>
      <c r="AP13" s="893"/>
      <c r="AQ13" s="893"/>
      <c r="AR13" s="893"/>
      <c r="AS13" s="893"/>
      <c r="AT13" s="893"/>
      <c r="AU13" s="893"/>
      <c r="AV13" s="893"/>
      <c r="AW13" s="893"/>
      <c r="AX13" s="893"/>
      <c r="AY13" s="893"/>
      <c r="AZ13" s="893"/>
      <c r="BA13" s="893"/>
      <c r="BB13" s="893"/>
      <c r="BC13" s="893"/>
      <c r="BD13" s="893"/>
      <c r="BE13" s="893"/>
      <c r="BF13" s="893"/>
      <c r="BG13" s="893"/>
      <c r="BH13" s="893"/>
      <c r="BI13" s="893"/>
      <c r="BJ13" s="893"/>
      <c r="BK13" s="893"/>
      <c r="BL13" s="893"/>
      <c r="BM13" s="893"/>
      <c r="BN13" s="893"/>
      <c r="BO13" s="893"/>
      <c r="BP13" s="893"/>
      <c r="BQ13" s="893"/>
      <c r="BR13" s="893"/>
      <c r="BS13" s="893"/>
      <c r="BT13" s="893"/>
      <c r="BU13" s="893"/>
      <c r="BV13" s="893"/>
      <c r="BW13" s="893"/>
      <c r="BX13" s="893"/>
      <c r="BY13" s="893"/>
      <c r="BZ13" s="893"/>
      <c r="CA13" s="893"/>
      <c r="CB13" s="893"/>
      <c r="CC13" s="893"/>
      <c r="CD13" s="893"/>
      <c r="CE13" s="893"/>
      <c r="CF13" s="893"/>
      <c r="CG13" s="893"/>
      <c r="CH13" s="893"/>
      <c r="CI13" s="893"/>
      <c r="CJ13" s="893"/>
      <c r="CK13" s="893"/>
      <c r="CL13" s="893"/>
      <c r="CM13" s="893"/>
      <c r="CN13" s="893"/>
      <c r="CO13" s="893"/>
      <c r="CP13" s="893"/>
      <c r="CQ13" s="893"/>
      <c r="CR13" s="893"/>
      <c r="CS13" s="893"/>
      <c r="CT13" s="893"/>
      <c r="CU13" s="893"/>
      <c r="CV13" s="893"/>
      <c r="CW13" s="893"/>
      <c r="CX13" s="893"/>
      <c r="CY13" s="892"/>
      <c r="CZ13" s="893"/>
      <c r="DA13" s="893"/>
      <c r="DB13" s="893"/>
      <c r="DC13" s="893"/>
      <c r="DD13" s="893"/>
      <c r="DE13" s="893"/>
      <c r="DF13" s="893"/>
      <c r="DG13" s="893"/>
      <c r="DH13" s="893"/>
      <c r="DI13" s="893"/>
      <c r="DJ13" s="893"/>
      <c r="DK13" s="893"/>
      <c r="DL13" s="893"/>
      <c r="DM13" s="893"/>
      <c r="DN13" s="893"/>
      <c r="DO13" s="893"/>
      <c r="DP13" s="893"/>
      <c r="DQ13" s="893"/>
      <c r="DR13" s="893"/>
      <c r="DS13" s="893"/>
      <c r="DT13" s="893"/>
      <c r="DU13" s="893"/>
      <c r="DV13" s="893"/>
      <c r="DW13" s="893"/>
      <c r="DX13" s="893"/>
      <c r="DY13" s="893"/>
      <c r="DZ13" s="893"/>
      <c r="EA13" s="893"/>
      <c r="EB13" s="893"/>
      <c r="EC13" s="893"/>
      <c r="ED13" s="893"/>
      <c r="EE13" s="893"/>
      <c r="EF13" s="893"/>
      <c r="EG13" s="893"/>
      <c r="EH13" s="893"/>
      <c r="EI13" s="893"/>
      <c r="EJ13" s="893"/>
      <c r="EK13" s="893"/>
      <c r="EL13" s="893"/>
      <c r="EM13" s="893"/>
      <c r="EN13" s="893"/>
      <c r="EO13" s="893"/>
      <c r="EP13" s="893"/>
      <c r="EQ13" s="893"/>
      <c r="ER13" s="893"/>
      <c r="ES13" s="893"/>
      <c r="ET13" s="893"/>
      <c r="EU13" s="893"/>
      <c r="EV13" s="893"/>
      <c r="EW13" s="893"/>
      <c r="EX13" s="893"/>
      <c r="EY13" s="893"/>
      <c r="EZ13" s="893"/>
      <c r="FA13" s="893"/>
      <c r="FB13" s="893"/>
      <c r="FC13" s="893"/>
      <c r="FD13" s="893"/>
      <c r="FE13" s="893"/>
      <c r="FF13" s="893"/>
      <c r="FG13" s="893"/>
      <c r="FH13" s="893"/>
      <c r="FI13" s="893"/>
      <c r="FJ13" s="893"/>
      <c r="FK13" s="893"/>
      <c r="FL13" s="893"/>
      <c r="FM13" s="893"/>
      <c r="FN13" s="190"/>
      <c r="FO13" s="190"/>
      <c r="FP13" s="190"/>
      <c r="FQ13" s="190"/>
      <c r="FR13" s="190"/>
      <c r="FS13" s="190"/>
      <c r="FT13" s="190"/>
      <c r="FU13" s="190"/>
      <c r="FV13" s="190"/>
      <c r="FW13" s="190"/>
      <c r="FX13" s="190"/>
      <c r="FY13" s="190"/>
      <c r="FZ13" s="190"/>
      <c r="GA13" s="190"/>
      <c r="GB13" s="190"/>
      <c r="GC13" s="190"/>
      <c r="GD13" s="190"/>
      <c r="GE13" s="190"/>
      <c r="GF13" s="190"/>
      <c r="GG13" s="190"/>
      <c r="GH13" s="190"/>
      <c r="GI13" s="190"/>
      <c r="GJ13" s="190"/>
      <c r="GK13" s="190"/>
      <c r="GL13" s="190"/>
      <c r="GM13" s="190"/>
      <c r="GN13" s="190"/>
      <c r="GO13" s="190"/>
      <c r="GP13" s="190"/>
      <c r="GQ13" s="190"/>
      <c r="GR13" s="190"/>
      <c r="GS13" s="190"/>
      <c r="GT13" s="190"/>
      <c r="GU13" s="190"/>
      <c r="GV13" s="190"/>
      <c r="GW13" s="190"/>
      <c r="GX13" s="190"/>
      <c r="GY13" s="190"/>
      <c r="GZ13" s="190"/>
      <c r="HA13" s="190"/>
      <c r="HB13" s="190"/>
      <c r="HC13" s="190"/>
      <c r="HD13" s="190"/>
      <c r="HE13" s="190"/>
      <c r="HF13" s="190"/>
      <c r="HG13" s="190"/>
      <c r="HH13" s="190"/>
      <c r="HI13" s="190"/>
      <c r="HJ13" s="190"/>
      <c r="HK13" s="190"/>
      <c r="HL13" s="190"/>
      <c r="HM13" s="190"/>
      <c r="HN13" s="190"/>
      <c r="HO13" s="190"/>
      <c r="HP13" s="190"/>
      <c r="HQ13" s="190"/>
      <c r="HR13" s="190"/>
      <c r="HS13" s="190"/>
      <c r="HT13" s="190"/>
      <c r="HU13" s="190"/>
      <c r="HV13" s="190"/>
      <c r="HW13" s="190"/>
      <c r="HX13" s="190"/>
      <c r="HY13" s="190"/>
      <c r="HZ13" s="190"/>
      <c r="IA13" s="190"/>
      <c r="IB13" s="190"/>
      <c r="IC13" s="190"/>
      <c r="ID13" s="190"/>
      <c r="IE13" s="190"/>
      <c r="IF13" s="190"/>
      <c r="IG13" s="190"/>
      <c r="IH13" s="190"/>
      <c r="II13" s="190"/>
      <c r="IJ13" s="190"/>
      <c r="IK13" s="190"/>
      <c r="IL13" s="190"/>
      <c r="IM13" s="190"/>
      <c r="IN13" s="190"/>
      <c r="IO13" s="190"/>
      <c r="IP13" s="190"/>
      <c r="IQ13" s="190"/>
      <c r="IR13" s="190"/>
      <c r="IS13" s="190"/>
      <c r="IT13" s="190"/>
      <c r="IU13" s="190"/>
      <c r="IV13" s="190"/>
      <c r="IW13" s="190"/>
      <c r="IX13" s="190"/>
      <c r="IY13" s="190"/>
      <c r="IZ13" s="190"/>
      <c r="JA13" s="190"/>
      <c r="JB13" s="190"/>
      <c r="JC13" s="190"/>
      <c r="JD13" s="190"/>
      <c r="JE13" s="190"/>
      <c r="JF13" s="190"/>
      <c r="JG13" s="190"/>
      <c r="JH13" s="190"/>
      <c r="JI13" s="190"/>
      <c r="JJ13" s="190"/>
      <c r="JK13" s="190"/>
      <c r="JL13" s="190"/>
      <c r="JM13" s="190"/>
      <c r="JN13" s="190"/>
      <c r="JO13" s="190"/>
      <c r="JP13" s="190"/>
      <c r="JQ13" s="190"/>
      <c r="JR13" s="190"/>
      <c r="JS13" s="190"/>
      <c r="JT13" s="190"/>
      <c r="JU13" s="190"/>
      <c r="JV13" s="190"/>
      <c r="JW13" s="190"/>
      <c r="JX13" s="190"/>
      <c r="JY13" s="190"/>
      <c r="JZ13" s="190"/>
      <c r="KA13" s="190"/>
      <c r="KB13" s="190"/>
      <c r="KC13" s="190"/>
      <c r="KD13" s="190"/>
      <c r="KE13" s="190"/>
      <c r="KF13" s="190"/>
      <c r="KG13" s="190"/>
      <c r="KH13" s="190"/>
      <c r="KI13" s="190"/>
      <c r="KJ13" s="190"/>
      <c r="KK13" s="190"/>
      <c r="KL13" s="190"/>
      <c r="KM13" s="190"/>
      <c r="KN13" s="190"/>
      <c r="KO13" s="190"/>
      <c r="KP13" s="1211"/>
      <c r="KQ13" s="699" t="s">
        <v>388</v>
      </c>
    </row>
    <row r="14" spans="1:308" s="184" customFormat="1" ht="15" hidden="1" customHeight="1" x14ac:dyDescent="0.45">
      <c r="A14" s="1738" t="s">
        <v>498</v>
      </c>
      <c r="B14" s="140" t="s">
        <v>306</v>
      </c>
      <c r="C14" s="185"/>
      <c r="D14" s="185"/>
      <c r="E14" s="185"/>
      <c r="F14" s="185"/>
      <c r="G14" s="185"/>
      <c r="H14" s="185"/>
      <c r="I14" s="185"/>
      <c r="J14" s="185"/>
      <c r="K14" s="185"/>
      <c r="L14" s="185"/>
      <c r="M14" s="185"/>
      <c r="N14" s="185"/>
      <c r="O14" s="185"/>
      <c r="P14" s="185"/>
      <c r="Q14" s="185"/>
      <c r="R14" s="185"/>
      <c r="S14" s="185"/>
      <c r="T14" s="185"/>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t="s">
        <v>179</v>
      </c>
      <c r="AR14" s="185" t="s">
        <v>514</v>
      </c>
      <c r="AS14" s="185" t="s">
        <v>515</v>
      </c>
      <c r="AT14" s="185" t="s">
        <v>516</v>
      </c>
      <c r="AU14" s="185" t="s">
        <v>517</v>
      </c>
      <c r="AV14" s="185" t="s">
        <v>527</v>
      </c>
      <c r="AW14" s="185" t="s">
        <v>528</v>
      </c>
      <c r="AX14" s="185" t="s">
        <v>526</v>
      </c>
      <c r="AY14" s="185" t="s">
        <v>529</v>
      </c>
      <c r="AZ14" s="185" t="s">
        <v>533</v>
      </c>
      <c r="BA14" s="185" t="s">
        <v>220</v>
      </c>
      <c r="BB14" s="185" t="s">
        <v>231</v>
      </c>
      <c r="BC14" s="185"/>
      <c r="BD14" s="185"/>
      <c r="BE14" s="185"/>
      <c r="BF14" s="185"/>
      <c r="BG14" s="185"/>
      <c r="BH14" s="185"/>
      <c r="BI14" s="185"/>
      <c r="BJ14" s="185"/>
      <c r="BK14" s="185" t="s">
        <v>240</v>
      </c>
      <c r="BL14" s="185" t="s">
        <v>246</v>
      </c>
      <c r="BM14" s="185" t="s">
        <v>254</v>
      </c>
      <c r="BN14" s="185" t="s">
        <v>536</v>
      </c>
      <c r="BO14" s="185" t="s">
        <v>269</v>
      </c>
      <c r="BP14" s="185" t="s">
        <v>537</v>
      </c>
      <c r="BQ14" s="185" t="s">
        <v>261</v>
      </c>
      <c r="BR14" s="185" t="s">
        <v>292</v>
      </c>
      <c r="BS14" s="185" t="s">
        <v>276</v>
      </c>
      <c r="BT14" s="185"/>
      <c r="BU14" s="185"/>
      <c r="BV14" s="185"/>
      <c r="BW14" s="185"/>
      <c r="BX14" s="185"/>
      <c r="BY14" s="185"/>
      <c r="BZ14" s="185"/>
      <c r="CA14" s="185"/>
      <c r="CB14" s="185"/>
      <c r="CC14" s="185"/>
      <c r="CD14" s="185"/>
      <c r="CE14" s="185"/>
      <c r="CF14" s="185"/>
      <c r="CG14" s="185"/>
      <c r="CH14" s="185"/>
      <c r="CI14" s="185"/>
      <c r="CJ14" s="185"/>
      <c r="CK14" s="185"/>
      <c r="CL14" s="185"/>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5"/>
      <c r="DW14" s="185"/>
      <c r="DX14" s="185"/>
      <c r="DY14" s="185"/>
      <c r="DZ14" s="185"/>
      <c r="EA14" s="185"/>
      <c r="EB14" s="185"/>
      <c r="EC14" s="185"/>
      <c r="ED14" s="185"/>
      <c r="EE14" s="185"/>
      <c r="EF14" s="185"/>
      <c r="EG14" s="185"/>
      <c r="EH14" s="185"/>
      <c r="EI14" s="185"/>
      <c r="EJ14" s="185"/>
      <c r="EK14" s="185"/>
      <c r="EL14" s="185"/>
      <c r="EM14" s="185"/>
      <c r="EN14" s="185"/>
      <c r="EO14" s="185"/>
      <c r="EP14" s="185"/>
      <c r="EQ14" s="185"/>
      <c r="ER14" s="185"/>
      <c r="ES14" s="185"/>
      <c r="ET14" s="185"/>
      <c r="EU14" s="185"/>
      <c r="EV14" s="185"/>
      <c r="EW14" s="185"/>
      <c r="EX14" s="185"/>
      <c r="EY14" s="185"/>
      <c r="EZ14" s="185"/>
      <c r="FA14" s="185"/>
      <c r="FB14" s="185"/>
      <c r="FC14" s="185"/>
      <c r="FD14" s="185"/>
      <c r="FE14" s="185"/>
      <c r="FF14" s="185"/>
      <c r="FG14" s="185"/>
      <c r="FH14" s="185"/>
      <c r="FI14" s="185"/>
      <c r="FJ14" s="185"/>
      <c r="FK14" s="185"/>
      <c r="FL14" s="185"/>
      <c r="FM14" s="185"/>
      <c r="FN14" s="185"/>
      <c r="FO14" s="185"/>
      <c r="FP14" s="185"/>
      <c r="FQ14" s="185"/>
      <c r="FR14" s="185"/>
      <c r="FS14" s="185"/>
      <c r="FT14" s="185"/>
      <c r="FU14" s="185"/>
      <c r="FV14" s="185"/>
      <c r="FW14" s="185"/>
      <c r="FX14" s="185"/>
      <c r="FY14" s="185"/>
      <c r="FZ14" s="185"/>
      <c r="GA14" s="185"/>
      <c r="GB14" s="185"/>
      <c r="GC14" s="185"/>
      <c r="GD14" s="185"/>
      <c r="GE14" s="185"/>
      <c r="GF14" s="185"/>
      <c r="GG14" s="185"/>
      <c r="GH14" s="185"/>
      <c r="GI14" s="185"/>
      <c r="GJ14" s="185"/>
      <c r="GK14" s="185"/>
      <c r="GL14" s="185"/>
      <c r="GM14" s="185"/>
      <c r="GN14" s="185"/>
      <c r="GO14" s="185"/>
      <c r="GP14" s="185"/>
      <c r="GQ14" s="185"/>
      <c r="GR14" s="185"/>
      <c r="GS14" s="185"/>
      <c r="GT14" s="185"/>
      <c r="GU14" s="185"/>
      <c r="GV14" s="185"/>
      <c r="GW14" s="185"/>
      <c r="GX14" s="185"/>
      <c r="GY14" s="185"/>
      <c r="GZ14" s="185"/>
      <c r="HA14" s="185"/>
      <c r="HB14" s="185"/>
      <c r="HC14" s="185"/>
      <c r="HD14" s="185"/>
      <c r="HE14" s="185"/>
      <c r="HF14" s="185"/>
      <c r="HG14" s="185"/>
      <c r="HH14" s="185"/>
      <c r="HI14" s="185"/>
      <c r="HJ14" s="185"/>
      <c r="HK14" s="185"/>
      <c r="HL14" s="185"/>
      <c r="HM14" s="185"/>
      <c r="HN14" s="185"/>
      <c r="HO14" s="185"/>
      <c r="HP14" s="185"/>
      <c r="HQ14" s="185"/>
      <c r="HR14" s="185"/>
      <c r="HS14" s="185"/>
      <c r="HT14" s="185"/>
      <c r="HU14" s="185"/>
      <c r="HV14" s="185"/>
      <c r="HW14" s="185"/>
      <c r="HX14" s="185"/>
      <c r="HY14" s="185"/>
      <c r="HZ14" s="185"/>
      <c r="IA14" s="185"/>
      <c r="IB14" s="185"/>
      <c r="IC14" s="185"/>
      <c r="ID14" s="185"/>
      <c r="IE14" s="185"/>
      <c r="IF14" s="185"/>
      <c r="IG14" s="185"/>
      <c r="IH14" s="185"/>
      <c r="II14" s="185"/>
      <c r="IJ14" s="185"/>
      <c r="IK14" s="185"/>
      <c r="IL14" s="185"/>
      <c r="IM14" s="185"/>
      <c r="IN14" s="185"/>
      <c r="IO14" s="185"/>
      <c r="IP14" s="185"/>
      <c r="IQ14" s="185"/>
      <c r="IR14" s="185"/>
      <c r="IS14" s="185"/>
      <c r="IT14" s="185"/>
      <c r="IU14" s="185"/>
      <c r="IV14" s="185"/>
      <c r="IW14" s="185"/>
      <c r="IX14" s="185"/>
      <c r="IY14" s="185"/>
      <c r="IZ14" s="185"/>
      <c r="JA14" s="185"/>
      <c r="JB14" s="185"/>
      <c r="JC14" s="185"/>
      <c r="JD14" s="185"/>
      <c r="JE14" s="185"/>
      <c r="JF14" s="185"/>
      <c r="JG14" s="185"/>
      <c r="JH14" s="185"/>
      <c r="JI14" s="185"/>
      <c r="JJ14" s="185"/>
      <c r="JK14" s="185"/>
      <c r="JL14" s="185"/>
      <c r="JM14" s="185"/>
      <c r="JN14" s="185"/>
      <c r="JO14" s="185"/>
      <c r="JP14" s="185"/>
      <c r="JQ14" s="185"/>
      <c r="JR14" s="185"/>
      <c r="JS14" s="185"/>
      <c r="JT14" s="185"/>
      <c r="JU14" s="185"/>
      <c r="JV14" s="185"/>
      <c r="JW14" s="185"/>
      <c r="JX14" s="185"/>
      <c r="JY14" s="185"/>
      <c r="JZ14" s="185"/>
      <c r="KA14" s="185"/>
      <c r="KB14" s="185"/>
      <c r="KC14" s="185"/>
      <c r="KD14" s="185"/>
      <c r="KE14" s="185"/>
      <c r="KF14" s="185"/>
      <c r="KG14" s="185"/>
      <c r="KH14" s="185"/>
      <c r="KI14" s="185"/>
      <c r="KJ14" s="185"/>
      <c r="KK14" s="185"/>
      <c r="KL14" s="185"/>
      <c r="KM14" s="185"/>
      <c r="KN14" s="185"/>
      <c r="KO14" s="185"/>
      <c r="KP14" s="1209"/>
      <c r="KQ14" s="699" t="s">
        <v>388</v>
      </c>
    </row>
    <row r="15" spans="1:308" s="184" customFormat="1" hidden="1" x14ac:dyDescent="0.45">
      <c r="A15" s="1739"/>
      <c r="B15" s="137" t="s">
        <v>307</v>
      </c>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87"/>
      <c r="AR15" s="187"/>
      <c r="AS15" s="187"/>
      <c r="AT15" s="187"/>
      <c r="AU15" s="187"/>
      <c r="AV15" s="187"/>
      <c r="AW15" s="187"/>
      <c r="AX15" s="187"/>
      <c r="AY15" s="187"/>
      <c r="AZ15" s="187"/>
      <c r="BA15" s="187"/>
      <c r="BB15" s="187"/>
      <c r="BC15" s="187"/>
      <c r="BD15" s="187"/>
      <c r="BE15" s="187"/>
      <c r="BF15" s="187"/>
      <c r="BG15" s="187"/>
      <c r="BH15" s="187"/>
      <c r="BI15" s="187"/>
      <c r="BJ15" s="187"/>
      <c r="BK15" s="187"/>
      <c r="BL15" s="187"/>
      <c r="BM15" s="187"/>
      <c r="BN15" s="187"/>
      <c r="BO15" s="187"/>
      <c r="BP15" s="187"/>
      <c r="BQ15" s="187"/>
      <c r="BR15" s="187"/>
      <c r="BS15" s="187"/>
      <c r="BT15" s="187"/>
      <c r="BU15" s="187"/>
      <c r="BV15" s="187"/>
      <c r="BW15" s="187" t="s">
        <v>292</v>
      </c>
      <c r="BX15" s="187"/>
      <c r="BY15" s="187" t="s">
        <v>292</v>
      </c>
      <c r="BZ15" s="187"/>
      <c r="CA15" s="187"/>
      <c r="CB15" s="187"/>
      <c r="CC15" s="187"/>
      <c r="CD15" s="187"/>
      <c r="CE15" s="187"/>
      <c r="CF15" s="187"/>
      <c r="CG15" s="187"/>
      <c r="CH15" s="187"/>
      <c r="CI15" s="187"/>
      <c r="CJ15" s="187"/>
      <c r="CK15" s="187"/>
      <c r="CL15" s="187"/>
      <c r="CM15" s="187"/>
      <c r="CN15" s="187"/>
      <c r="CO15" s="187"/>
      <c r="CP15" s="187"/>
      <c r="CQ15" s="187"/>
      <c r="CR15" s="187"/>
      <c r="CS15" s="187"/>
      <c r="CT15" s="187"/>
      <c r="CU15" s="187"/>
      <c r="CV15" s="187"/>
      <c r="CW15" s="187"/>
      <c r="CX15" s="187"/>
      <c r="CY15" s="187"/>
      <c r="CZ15" s="187"/>
      <c r="DA15" s="187"/>
      <c r="DB15" s="187"/>
      <c r="DC15" s="187"/>
      <c r="DD15" s="187"/>
      <c r="DE15" s="187"/>
      <c r="DF15" s="187"/>
      <c r="DG15" s="187"/>
      <c r="DH15" s="187"/>
      <c r="DI15" s="187"/>
      <c r="DJ15" s="187"/>
      <c r="DK15" s="187"/>
      <c r="DL15" s="187"/>
      <c r="DM15" s="187"/>
      <c r="DN15" s="187"/>
      <c r="DO15" s="187"/>
      <c r="DP15" s="187"/>
      <c r="DQ15" s="187"/>
      <c r="DR15" s="187"/>
      <c r="DS15" s="187"/>
      <c r="DT15" s="187"/>
      <c r="DU15" s="187"/>
      <c r="DV15" s="187"/>
      <c r="DW15" s="187"/>
      <c r="DX15" s="187"/>
      <c r="DY15" s="187"/>
      <c r="DZ15" s="187"/>
      <c r="EA15" s="187"/>
      <c r="EB15" s="187"/>
      <c r="EC15" s="187"/>
      <c r="ED15" s="187"/>
      <c r="EE15" s="187"/>
      <c r="EF15" s="187"/>
      <c r="EG15" s="187"/>
      <c r="EH15" s="187"/>
      <c r="EI15" s="187"/>
      <c r="EJ15" s="187"/>
      <c r="EK15" s="187"/>
      <c r="EL15" s="187"/>
      <c r="EM15" s="187"/>
      <c r="EN15" s="187"/>
      <c r="EO15" s="187"/>
      <c r="EP15" s="187"/>
      <c r="EQ15" s="187"/>
      <c r="ER15" s="187"/>
      <c r="ES15" s="187"/>
      <c r="ET15" s="187"/>
      <c r="EU15" s="187"/>
      <c r="EV15" s="187"/>
      <c r="EW15" s="187"/>
      <c r="EX15" s="187"/>
      <c r="EY15" s="187"/>
      <c r="EZ15" s="187"/>
      <c r="FA15" s="187"/>
      <c r="FB15" s="187"/>
      <c r="FC15" s="187"/>
      <c r="FD15" s="187"/>
      <c r="FE15" s="187"/>
      <c r="FF15" s="187"/>
      <c r="FG15" s="187"/>
      <c r="FH15" s="187"/>
      <c r="FI15" s="187"/>
      <c r="FJ15" s="187"/>
      <c r="FK15" s="187"/>
      <c r="FL15" s="187"/>
      <c r="FM15" s="187"/>
      <c r="FN15" s="187"/>
      <c r="FO15" s="187"/>
      <c r="FP15" s="187"/>
      <c r="FQ15" s="187"/>
      <c r="FR15" s="187"/>
      <c r="FS15" s="187"/>
      <c r="FT15" s="187"/>
      <c r="FU15" s="187"/>
      <c r="FV15" s="187"/>
      <c r="FW15" s="187"/>
      <c r="FX15" s="187"/>
      <c r="FY15" s="187"/>
      <c r="FZ15" s="187"/>
      <c r="GA15" s="187"/>
      <c r="GB15" s="187"/>
      <c r="GC15" s="187"/>
      <c r="GD15" s="187"/>
      <c r="GE15" s="187"/>
      <c r="GF15" s="187"/>
      <c r="GG15" s="187"/>
      <c r="GH15" s="187"/>
      <c r="GI15" s="187"/>
      <c r="GJ15" s="187"/>
      <c r="GK15" s="187"/>
      <c r="GL15" s="187"/>
      <c r="GM15" s="187"/>
      <c r="GN15" s="187"/>
      <c r="GO15" s="187"/>
      <c r="GP15" s="187"/>
      <c r="GQ15" s="187"/>
      <c r="GR15" s="187"/>
      <c r="GS15" s="187"/>
      <c r="GT15" s="187"/>
      <c r="GU15" s="187"/>
      <c r="GV15" s="187"/>
      <c r="GW15" s="187"/>
      <c r="GX15" s="187"/>
      <c r="GY15" s="187"/>
      <c r="GZ15" s="187"/>
      <c r="HA15" s="187"/>
      <c r="HB15" s="187"/>
      <c r="HC15" s="187"/>
      <c r="HD15" s="187"/>
      <c r="HE15" s="187"/>
      <c r="HF15" s="187"/>
      <c r="HG15" s="187"/>
      <c r="HH15" s="187"/>
      <c r="HI15" s="187"/>
      <c r="HJ15" s="187"/>
      <c r="HK15" s="187"/>
      <c r="HL15" s="187"/>
      <c r="HM15" s="187"/>
      <c r="HN15" s="187"/>
      <c r="HO15" s="187"/>
      <c r="HP15" s="187"/>
      <c r="HQ15" s="187"/>
      <c r="HR15" s="187"/>
      <c r="HS15" s="187"/>
      <c r="HT15" s="187"/>
      <c r="HU15" s="187"/>
      <c r="HV15" s="187"/>
      <c r="HW15" s="187"/>
      <c r="HX15" s="187"/>
      <c r="HY15" s="187"/>
      <c r="HZ15" s="187"/>
      <c r="IA15" s="187"/>
      <c r="IB15" s="187"/>
      <c r="IC15" s="187"/>
      <c r="ID15" s="187"/>
      <c r="IE15" s="187"/>
      <c r="IF15" s="187"/>
      <c r="IG15" s="187"/>
      <c r="IH15" s="187"/>
      <c r="II15" s="187"/>
      <c r="IJ15" s="187"/>
      <c r="IK15" s="187"/>
      <c r="IL15" s="187"/>
      <c r="IM15" s="187"/>
      <c r="IN15" s="187"/>
      <c r="IO15" s="187"/>
      <c r="IP15" s="187"/>
      <c r="IQ15" s="187"/>
      <c r="IR15" s="187"/>
      <c r="IS15" s="187"/>
      <c r="IT15" s="187"/>
      <c r="IU15" s="187"/>
      <c r="IV15" s="187"/>
      <c r="IW15" s="187"/>
      <c r="IX15" s="187"/>
      <c r="IY15" s="187"/>
      <c r="IZ15" s="187"/>
      <c r="JA15" s="187"/>
      <c r="JB15" s="187"/>
      <c r="JC15" s="187"/>
      <c r="JD15" s="187"/>
      <c r="JE15" s="187"/>
      <c r="JF15" s="187"/>
      <c r="JG15" s="187"/>
      <c r="JH15" s="187"/>
      <c r="JI15" s="187"/>
      <c r="JJ15" s="187"/>
      <c r="JK15" s="187"/>
      <c r="JL15" s="187"/>
      <c r="JM15" s="187"/>
      <c r="JN15" s="187"/>
      <c r="JO15" s="187"/>
      <c r="JP15" s="187"/>
      <c r="JQ15" s="187"/>
      <c r="JR15" s="187"/>
      <c r="JS15" s="187"/>
      <c r="JT15" s="187"/>
      <c r="JU15" s="187"/>
      <c r="JV15" s="187"/>
      <c r="JW15" s="187"/>
      <c r="JX15" s="187"/>
      <c r="JY15" s="187"/>
      <c r="JZ15" s="187"/>
      <c r="KA15" s="187"/>
      <c r="KB15" s="187"/>
      <c r="KC15" s="187"/>
      <c r="KD15" s="187"/>
      <c r="KE15" s="187"/>
      <c r="KF15" s="187"/>
      <c r="KG15" s="187"/>
      <c r="KH15" s="187"/>
      <c r="KI15" s="187"/>
      <c r="KJ15" s="187"/>
      <c r="KK15" s="187"/>
      <c r="KL15" s="187"/>
      <c r="KM15" s="187"/>
      <c r="KN15" s="187"/>
      <c r="KO15" s="187"/>
      <c r="KP15" s="1210"/>
      <c r="KQ15" s="699" t="s">
        <v>388</v>
      </c>
    </row>
    <row r="16" spans="1:308" s="184" customFormat="1" hidden="1" x14ac:dyDescent="0.45">
      <c r="A16" s="1740"/>
      <c r="B16" s="141" t="s">
        <v>308</v>
      </c>
      <c r="C16" s="190"/>
      <c r="D16" s="190"/>
      <c r="E16" s="190"/>
      <c r="F16" s="190"/>
      <c r="G16" s="893"/>
      <c r="H16" s="893"/>
      <c r="I16" s="893"/>
      <c r="J16" s="893"/>
      <c r="K16" s="893"/>
      <c r="L16" s="893"/>
      <c r="M16" s="893"/>
      <c r="N16" s="893"/>
      <c r="O16" s="893"/>
      <c r="P16" s="893"/>
      <c r="Q16" s="893"/>
      <c r="R16" s="893"/>
      <c r="S16" s="893"/>
      <c r="T16" s="893"/>
      <c r="U16" s="893"/>
      <c r="V16" s="893"/>
      <c r="W16" s="893"/>
      <c r="X16" s="893"/>
      <c r="Y16" s="893"/>
      <c r="Z16" s="893"/>
      <c r="AA16" s="893"/>
      <c r="AB16" s="893"/>
      <c r="AC16" s="893"/>
      <c r="AD16" s="893"/>
      <c r="AE16" s="893"/>
      <c r="AF16" s="893"/>
      <c r="AG16" s="893"/>
      <c r="AH16" s="893"/>
      <c r="AI16" s="893"/>
      <c r="AJ16" s="893"/>
      <c r="AK16" s="893"/>
      <c r="AL16" s="893"/>
      <c r="AM16" s="893"/>
      <c r="AN16" s="893"/>
      <c r="AO16" s="893"/>
      <c r="AP16" s="893"/>
      <c r="AQ16" s="893"/>
      <c r="AR16" s="893"/>
      <c r="AS16" s="893"/>
      <c r="AT16" s="893"/>
      <c r="AU16" s="893"/>
      <c r="AV16" s="893"/>
      <c r="AW16" s="893"/>
      <c r="AX16" s="893"/>
      <c r="AY16" s="893"/>
      <c r="AZ16" s="893"/>
      <c r="BA16" s="893"/>
      <c r="BB16" s="893"/>
      <c r="BC16" s="893"/>
      <c r="BD16" s="893"/>
      <c r="BE16" s="893"/>
      <c r="BF16" s="893"/>
      <c r="BG16" s="893"/>
      <c r="BH16" s="893"/>
      <c r="BI16" s="893"/>
      <c r="BJ16" s="893"/>
      <c r="BK16" s="893"/>
      <c r="BL16" s="893"/>
      <c r="BM16" s="893"/>
      <c r="BN16" s="893"/>
      <c r="BO16" s="893"/>
      <c r="BP16" s="893"/>
      <c r="BQ16" s="893"/>
      <c r="BR16" s="893"/>
      <c r="BS16" s="893"/>
      <c r="BT16" s="893"/>
      <c r="BU16" s="893"/>
      <c r="BV16" s="893"/>
      <c r="BW16" s="893"/>
      <c r="BX16" s="893"/>
      <c r="BY16" s="893"/>
      <c r="BZ16" s="893"/>
      <c r="CA16" s="893"/>
      <c r="CB16" s="893"/>
      <c r="CC16" s="893"/>
      <c r="CD16" s="893"/>
      <c r="CE16" s="893"/>
      <c r="CF16" s="893"/>
      <c r="CG16" s="893"/>
      <c r="CH16" s="893"/>
      <c r="CI16" s="893"/>
      <c r="CJ16" s="893"/>
      <c r="CK16" s="893"/>
      <c r="CL16" s="893"/>
      <c r="CM16" s="893"/>
      <c r="CN16" s="893"/>
      <c r="CO16" s="893"/>
      <c r="CP16" s="893"/>
      <c r="CQ16" s="893"/>
      <c r="CR16" s="893"/>
      <c r="CS16" s="893"/>
      <c r="CT16" s="893"/>
      <c r="CU16" s="893"/>
      <c r="CV16" s="893"/>
      <c r="CW16" s="893"/>
      <c r="CX16" s="893"/>
      <c r="CY16" s="892"/>
      <c r="CZ16" s="893"/>
      <c r="DA16" s="893"/>
      <c r="DB16" s="893"/>
      <c r="DC16" s="893"/>
      <c r="DD16" s="893"/>
      <c r="DE16" s="893"/>
      <c r="DF16" s="893"/>
      <c r="DG16" s="893"/>
      <c r="DH16" s="893"/>
      <c r="DI16" s="893"/>
      <c r="DJ16" s="893"/>
      <c r="DK16" s="893"/>
      <c r="DL16" s="893"/>
      <c r="DM16" s="893"/>
      <c r="DN16" s="893"/>
      <c r="DO16" s="893"/>
      <c r="DP16" s="893"/>
      <c r="DQ16" s="893"/>
      <c r="DR16" s="893"/>
      <c r="DS16" s="893"/>
      <c r="DT16" s="893"/>
      <c r="DU16" s="893"/>
      <c r="DV16" s="893"/>
      <c r="DW16" s="893"/>
      <c r="DX16" s="893"/>
      <c r="DY16" s="893"/>
      <c r="DZ16" s="893"/>
      <c r="EA16" s="893"/>
      <c r="EB16" s="893"/>
      <c r="EC16" s="893"/>
      <c r="ED16" s="893"/>
      <c r="EE16" s="893"/>
      <c r="EF16" s="893"/>
      <c r="EG16" s="893"/>
      <c r="EH16" s="893"/>
      <c r="EI16" s="893"/>
      <c r="EJ16" s="893"/>
      <c r="EK16" s="893"/>
      <c r="EL16" s="893"/>
      <c r="EM16" s="893"/>
      <c r="EN16" s="893"/>
      <c r="EO16" s="893"/>
      <c r="EP16" s="893"/>
      <c r="EQ16" s="893"/>
      <c r="ER16" s="893"/>
      <c r="ES16" s="893"/>
      <c r="ET16" s="893"/>
      <c r="EU16" s="893"/>
      <c r="EV16" s="893"/>
      <c r="EW16" s="893"/>
      <c r="EX16" s="893"/>
      <c r="EY16" s="893"/>
      <c r="EZ16" s="893"/>
      <c r="FA16" s="893"/>
      <c r="FB16" s="893"/>
      <c r="FC16" s="893"/>
      <c r="FD16" s="893"/>
      <c r="FE16" s="893"/>
      <c r="FF16" s="893"/>
      <c r="FG16" s="893"/>
      <c r="FH16" s="893"/>
      <c r="FI16" s="893"/>
      <c r="FJ16" s="893"/>
      <c r="FK16" s="893"/>
      <c r="FL16" s="893"/>
      <c r="FM16" s="893"/>
      <c r="FN16" s="190"/>
      <c r="FO16" s="190"/>
      <c r="FP16" s="190"/>
      <c r="FQ16" s="190"/>
      <c r="FR16" s="190"/>
      <c r="FS16" s="190"/>
      <c r="FT16" s="190"/>
      <c r="FU16" s="190"/>
      <c r="FV16" s="190"/>
      <c r="FW16" s="190"/>
      <c r="FX16" s="190"/>
      <c r="FY16" s="190"/>
      <c r="FZ16" s="190"/>
      <c r="GA16" s="190"/>
      <c r="GB16" s="190"/>
      <c r="GC16" s="190"/>
      <c r="GD16" s="190"/>
      <c r="GE16" s="190"/>
      <c r="GF16" s="190"/>
      <c r="GG16" s="190"/>
      <c r="GH16" s="190"/>
      <c r="GI16" s="190"/>
      <c r="GJ16" s="190"/>
      <c r="GK16" s="190"/>
      <c r="GL16" s="190"/>
      <c r="GM16" s="190"/>
      <c r="GN16" s="190"/>
      <c r="GO16" s="190"/>
      <c r="GP16" s="190"/>
      <c r="GQ16" s="190"/>
      <c r="GR16" s="190"/>
      <c r="GS16" s="190"/>
      <c r="GT16" s="190"/>
      <c r="GU16" s="190"/>
      <c r="GV16" s="190"/>
      <c r="GW16" s="190"/>
      <c r="GX16" s="190"/>
      <c r="GY16" s="190"/>
      <c r="GZ16" s="190"/>
      <c r="HA16" s="190"/>
      <c r="HB16" s="190"/>
      <c r="HC16" s="190"/>
      <c r="HD16" s="190"/>
      <c r="HE16" s="190"/>
      <c r="HF16" s="190"/>
      <c r="HG16" s="190"/>
      <c r="HH16" s="190"/>
      <c r="HI16" s="190"/>
      <c r="HJ16" s="190"/>
      <c r="HK16" s="190"/>
      <c r="HL16" s="190"/>
      <c r="HM16" s="190"/>
      <c r="HN16" s="190"/>
      <c r="HO16" s="190"/>
      <c r="HP16" s="190"/>
      <c r="HQ16" s="190"/>
      <c r="HR16" s="190"/>
      <c r="HS16" s="190"/>
      <c r="HT16" s="190"/>
      <c r="HU16" s="190"/>
      <c r="HV16" s="190"/>
      <c r="HW16" s="190"/>
      <c r="HX16" s="190"/>
      <c r="HY16" s="190"/>
      <c r="HZ16" s="190"/>
      <c r="IA16" s="190"/>
      <c r="IB16" s="190"/>
      <c r="IC16" s="190"/>
      <c r="ID16" s="190"/>
      <c r="IE16" s="190"/>
      <c r="IF16" s="190"/>
      <c r="IG16" s="190"/>
      <c r="IH16" s="190"/>
      <c r="II16" s="190"/>
      <c r="IJ16" s="190"/>
      <c r="IK16" s="190"/>
      <c r="IL16" s="190"/>
      <c r="IM16" s="190"/>
      <c r="IN16" s="190"/>
      <c r="IO16" s="190"/>
      <c r="IP16" s="190"/>
      <c r="IQ16" s="190"/>
      <c r="IR16" s="190"/>
      <c r="IS16" s="190"/>
      <c r="IT16" s="190"/>
      <c r="IU16" s="190"/>
      <c r="IV16" s="190"/>
      <c r="IW16" s="190"/>
      <c r="IX16" s="190"/>
      <c r="IY16" s="190"/>
      <c r="IZ16" s="190"/>
      <c r="JA16" s="190"/>
      <c r="JB16" s="190"/>
      <c r="JC16" s="190"/>
      <c r="JD16" s="190"/>
      <c r="JE16" s="190"/>
      <c r="JF16" s="190"/>
      <c r="JG16" s="190"/>
      <c r="JH16" s="190"/>
      <c r="JI16" s="190"/>
      <c r="JJ16" s="190"/>
      <c r="JK16" s="190"/>
      <c r="JL16" s="190"/>
      <c r="JM16" s="190"/>
      <c r="JN16" s="190"/>
      <c r="JO16" s="190"/>
      <c r="JP16" s="190"/>
      <c r="JQ16" s="190"/>
      <c r="JR16" s="190"/>
      <c r="JS16" s="190"/>
      <c r="JT16" s="190"/>
      <c r="JU16" s="190"/>
      <c r="JV16" s="190"/>
      <c r="JW16" s="190"/>
      <c r="JX16" s="190"/>
      <c r="JY16" s="190"/>
      <c r="JZ16" s="190"/>
      <c r="KA16" s="190"/>
      <c r="KB16" s="190"/>
      <c r="KC16" s="190"/>
      <c r="KD16" s="190"/>
      <c r="KE16" s="190"/>
      <c r="KF16" s="190"/>
      <c r="KG16" s="190"/>
      <c r="KH16" s="190"/>
      <c r="KI16" s="190"/>
      <c r="KJ16" s="190"/>
      <c r="KK16" s="190"/>
      <c r="KL16" s="190"/>
      <c r="KM16" s="190"/>
      <c r="KN16" s="190"/>
      <c r="KO16" s="190"/>
      <c r="KP16" s="1211"/>
      <c r="KQ16" s="699" t="s">
        <v>388</v>
      </c>
    </row>
    <row r="17" spans="1:303" s="184" customFormat="1" hidden="1" x14ac:dyDescent="0.45">
      <c r="A17" s="1425" t="s">
        <v>724</v>
      </c>
      <c r="B17" s="1221"/>
      <c r="C17" s="1214"/>
      <c r="D17" s="1215" t="s">
        <v>770</v>
      </c>
      <c r="E17" s="1214" t="s">
        <v>762</v>
      </c>
      <c r="F17" s="1215" t="s">
        <v>770</v>
      </c>
      <c r="G17" s="1215" t="s">
        <v>764</v>
      </c>
      <c r="H17" s="1215" t="s">
        <v>762</v>
      </c>
      <c r="I17" s="1215" t="s">
        <v>762</v>
      </c>
      <c r="J17" s="1214" t="s">
        <v>762</v>
      </c>
      <c r="K17" s="1215" t="s">
        <v>762</v>
      </c>
      <c r="L17" s="1215" t="s">
        <v>762</v>
      </c>
      <c r="M17" s="1215" t="s">
        <v>762</v>
      </c>
      <c r="N17" s="1215" t="s">
        <v>762</v>
      </c>
      <c r="O17" s="1215" t="s">
        <v>770</v>
      </c>
      <c r="P17" s="1215" t="s">
        <v>764</v>
      </c>
      <c r="Q17" s="1215" t="s">
        <v>764</v>
      </c>
      <c r="R17" s="1215" t="s">
        <v>762</v>
      </c>
      <c r="S17" s="1215" t="s">
        <v>770</v>
      </c>
      <c r="T17" s="1215" t="s">
        <v>764</v>
      </c>
      <c r="U17" s="1215" t="s">
        <v>764</v>
      </c>
      <c r="V17" s="1215" t="s">
        <v>764</v>
      </c>
      <c r="W17" s="1215" t="s">
        <v>770</v>
      </c>
      <c r="X17" s="1215" t="s">
        <v>770</v>
      </c>
      <c r="Y17" s="1215" t="s">
        <v>770</v>
      </c>
      <c r="Z17" s="1215" t="s">
        <v>770</v>
      </c>
      <c r="AA17" s="1215" t="s">
        <v>770</v>
      </c>
      <c r="AB17" s="1215" t="s">
        <v>770</v>
      </c>
      <c r="AC17" s="1215" t="s">
        <v>770</v>
      </c>
      <c r="AD17" s="1215" t="s">
        <v>770</v>
      </c>
      <c r="AE17" s="1215" t="s">
        <v>770</v>
      </c>
      <c r="AF17" s="1215" t="s">
        <v>770</v>
      </c>
      <c r="AG17" s="1215" t="s">
        <v>770</v>
      </c>
      <c r="AH17" s="1215" t="s">
        <v>770</v>
      </c>
      <c r="AI17" s="1215" t="s">
        <v>770</v>
      </c>
      <c r="AJ17" s="1215" t="s">
        <v>770</v>
      </c>
      <c r="AK17" s="1215"/>
      <c r="AL17" s="1215"/>
      <c r="AM17" s="1215"/>
      <c r="AN17" s="1215"/>
      <c r="AO17" s="1215"/>
      <c r="AP17" s="1215"/>
      <c r="AQ17" s="1215" t="s">
        <v>770</v>
      </c>
      <c r="AR17" s="1215" t="s">
        <v>770</v>
      </c>
      <c r="AS17" s="1215" t="s">
        <v>770</v>
      </c>
      <c r="AT17" s="1215" t="s">
        <v>770</v>
      </c>
      <c r="AU17" s="1215" t="s">
        <v>770</v>
      </c>
      <c r="AV17" s="1215" t="s">
        <v>770</v>
      </c>
      <c r="AW17" s="1215" t="s">
        <v>770</v>
      </c>
      <c r="AX17" s="1215" t="s">
        <v>770</v>
      </c>
      <c r="AY17" s="1215" t="s">
        <v>770</v>
      </c>
      <c r="AZ17" s="1215" t="s">
        <v>770</v>
      </c>
      <c r="BA17" s="1215" t="s">
        <v>770</v>
      </c>
      <c r="BB17" s="1215" t="s">
        <v>770</v>
      </c>
      <c r="BC17" s="1215"/>
      <c r="BD17" s="1215"/>
      <c r="BE17" s="1215"/>
      <c r="BF17" s="1215"/>
      <c r="BG17" s="1215"/>
      <c r="BH17" s="1215"/>
      <c r="BI17" s="1215"/>
      <c r="BJ17" s="1215"/>
      <c r="BK17" s="1215" t="s">
        <v>770</v>
      </c>
      <c r="BL17" s="1215" t="s">
        <v>770</v>
      </c>
      <c r="BM17" s="1215" t="s">
        <v>770</v>
      </c>
      <c r="BN17" s="1215" t="s">
        <v>770</v>
      </c>
      <c r="BO17" s="1215" t="s">
        <v>770</v>
      </c>
      <c r="BP17" s="1215" t="s">
        <v>770</v>
      </c>
      <c r="BQ17" s="1215" t="s">
        <v>770</v>
      </c>
      <c r="BR17" s="1215" t="s">
        <v>770</v>
      </c>
      <c r="BS17" s="1215" t="s">
        <v>770</v>
      </c>
      <c r="BT17" s="1215"/>
      <c r="BU17" s="1215" t="s">
        <v>770</v>
      </c>
      <c r="BV17" s="1215" t="s">
        <v>770</v>
      </c>
      <c r="BW17" s="1215" t="s">
        <v>770</v>
      </c>
      <c r="BX17" s="1215" t="s">
        <v>770</v>
      </c>
      <c r="BY17" s="1215" t="s">
        <v>770</v>
      </c>
      <c r="BZ17" s="1215" t="s">
        <v>762</v>
      </c>
      <c r="CA17" s="1215" t="s">
        <v>762</v>
      </c>
      <c r="CB17" s="1215" t="s">
        <v>762</v>
      </c>
      <c r="CC17" s="1215" t="s">
        <v>762</v>
      </c>
      <c r="CD17" s="1215" t="s">
        <v>762</v>
      </c>
      <c r="CE17" s="1215" t="s">
        <v>719</v>
      </c>
      <c r="CF17" s="1215" t="s">
        <v>719</v>
      </c>
      <c r="CG17" s="1215" t="s">
        <v>719</v>
      </c>
      <c r="CH17" s="1215" t="s">
        <v>719</v>
      </c>
      <c r="CI17" s="1215" t="s">
        <v>719</v>
      </c>
      <c r="CJ17" s="1215" t="s">
        <v>720</v>
      </c>
      <c r="CK17" s="1215" t="s">
        <v>720</v>
      </c>
      <c r="CL17" s="1215" t="s">
        <v>720</v>
      </c>
      <c r="CM17" s="1215" t="s">
        <v>720</v>
      </c>
      <c r="CN17" s="1215" t="s">
        <v>721</v>
      </c>
      <c r="CO17" s="1215" t="s">
        <v>721</v>
      </c>
      <c r="CP17" s="1215" t="s">
        <v>721</v>
      </c>
      <c r="CQ17" s="1215" t="s">
        <v>721</v>
      </c>
      <c r="CR17" s="1215" t="s">
        <v>721</v>
      </c>
      <c r="CS17" s="1215" t="s">
        <v>721</v>
      </c>
      <c r="CT17" s="1215" t="s">
        <v>721</v>
      </c>
      <c r="CU17" s="1215" t="s">
        <v>721</v>
      </c>
      <c r="CV17" s="1215" t="s">
        <v>721</v>
      </c>
      <c r="CW17" s="1215" t="s">
        <v>721</v>
      </c>
      <c r="CX17" s="1215" t="s">
        <v>721</v>
      </c>
      <c r="CY17" s="1214"/>
      <c r="CZ17" s="1215"/>
      <c r="DA17" s="1215"/>
      <c r="DB17" s="1215"/>
      <c r="DC17" s="1215"/>
      <c r="DD17" s="1215"/>
      <c r="DE17" s="1215"/>
      <c r="DF17" s="1215"/>
      <c r="DG17" s="1215"/>
      <c r="DH17" s="1215"/>
      <c r="DI17" s="1215"/>
      <c r="DJ17" s="1215"/>
      <c r="DK17" s="1215"/>
      <c r="DL17" s="1215"/>
      <c r="DM17" s="1215"/>
      <c r="DN17" s="1215"/>
      <c r="DO17" s="1215"/>
      <c r="DP17" s="1215"/>
      <c r="DQ17" s="1215"/>
      <c r="DR17" s="1215"/>
      <c r="DS17" s="1215"/>
      <c r="DT17" s="1215"/>
      <c r="DU17" s="1215"/>
      <c r="DV17" s="1215"/>
      <c r="DW17" s="1215"/>
      <c r="DX17" s="1215"/>
      <c r="DY17" s="1215"/>
      <c r="DZ17" s="1215"/>
      <c r="EA17" s="1215"/>
      <c r="EB17" s="1215"/>
      <c r="EC17" s="1215"/>
      <c r="ED17" s="1215"/>
      <c r="EE17" s="1215"/>
      <c r="EF17" s="1215"/>
      <c r="EG17" s="1215"/>
      <c r="EH17" s="1215"/>
      <c r="EI17" s="1215"/>
      <c r="EJ17" s="1215"/>
      <c r="EK17" s="1215"/>
      <c r="EL17" s="1215"/>
      <c r="EM17" s="1215"/>
      <c r="EN17" s="1215"/>
      <c r="EO17" s="1215"/>
      <c r="EP17" s="1215"/>
      <c r="EQ17" s="1215"/>
      <c r="ER17" s="1215"/>
      <c r="ES17" s="1215"/>
      <c r="ET17" s="1215"/>
      <c r="EU17" s="1215"/>
      <c r="EV17" s="1215"/>
      <c r="EW17" s="1215"/>
      <c r="EX17" s="1215"/>
      <c r="EY17" s="1215"/>
      <c r="EZ17" s="1215"/>
      <c r="FA17" s="1215"/>
      <c r="FB17" s="1215"/>
      <c r="FC17" s="1215"/>
      <c r="FD17" s="1215"/>
      <c r="FE17" s="1215"/>
      <c r="FF17" s="1215"/>
      <c r="FG17" s="1215"/>
      <c r="FH17" s="1215"/>
      <c r="FI17" s="1215"/>
      <c r="FJ17" s="1215"/>
      <c r="FK17" s="1215"/>
      <c r="FL17" s="1215"/>
      <c r="FM17" s="1215"/>
      <c r="FN17" s="1215"/>
      <c r="FO17" s="1215"/>
      <c r="FP17" s="1215"/>
      <c r="FQ17" s="1215"/>
      <c r="FR17" s="1215"/>
      <c r="FS17" s="1215"/>
      <c r="FT17" s="1215"/>
      <c r="FU17" s="1215"/>
      <c r="FV17" s="1215"/>
      <c r="FW17" s="1215"/>
      <c r="FX17" s="1215"/>
      <c r="FY17" s="1215"/>
      <c r="FZ17" s="1215"/>
      <c r="GA17" s="1215"/>
      <c r="GB17" s="1215"/>
      <c r="GC17" s="1215"/>
      <c r="GD17" s="1215"/>
      <c r="GE17" s="1215"/>
      <c r="GF17" s="1215"/>
      <c r="GG17" s="1215"/>
      <c r="GH17" s="1215"/>
      <c r="GI17" s="1215"/>
      <c r="GJ17" s="1215"/>
      <c r="GK17" s="1215"/>
      <c r="GL17" s="1215"/>
      <c r="GM17" s="1215"/>
      <c r="GN17" s="1215"/>
      <c r="GO17" s="1215"/>
      <c r="GP17" s="1215"/>
      <c r="GQ17" s="1215"/>
      <c r="GR17" s="1215"/>
      <c r="GS17" s="1215"/>
      <c r="GT17" s="1215"/>
      <c r="GU17" s="1215"/>
      <c r="GV17" s="1215"/>
      <c r="GW17" s="1215"/>
      <c r="GX17" s="1215"/>
      <c r="GY17" s="1215"/>
      <c r="GZ17" s="1215"/>
      <c r="HA17" s="1215"/>
      <c r="HB17" s="1215"/>
      <c r="HC17" s="1215"/>
      <c r="HD17" s="1215"/>
      <c r="HE17" s="1215"/>
      <c r="HF17" s="1215"/>
      <c r="HG17" s="1215"/>
      <c r="HH17" s="1215"/>
      <c r="HI17" s="1215"/>
      <c r="HJ17" s="1215"/>
      <c r="HK17" s="1215"/>
      <c r="HL17" s="1215"/>
      <c r="HM17" s="1215"/>
      <c r="HN17" s="1215"/>
      <c r="HO17" s="1215"/>
      <c r="HP17" s="1215"/>
      <c r="HQ17" s="1215"/>
      <c r="HR17" s="1215"/>
      <c r="HS17" s="1215"/>
      <c r="HT17" s="1215"/>
      <c r="HU17" s="1215"/>
      <c r="HV17" s="1215"/>
      <c r="HW17" s="1215"/>
      <c r="HX17" s="1215"/>
      <c r="HY17" s="1215"/>
      <c r="HZ17" s="1215"/>
      <c r="IA17" s="1215"/>
      <c r="IB17" s="1215"/>
      <c r="IC17" s="1215"/>
      <c r="ID17" s="1215"/>
      <c r="IE17" s="1215"/>
      <c r="IF17" s="1215"/>
      <c r="IG17" s="1215"/>
      <c r="IH17" s="1215"/>
      <c r="II17" s="1215"/>
      <c r="IJ17" s="1215"/>
      <c r="IK17" s="1215"/>
      <c r="IL17" s="1215"/>
      <c r="IM17" s="1215"/>
      <c r="IN17" s="1215"/>
      <c r="IO17" s="1215"/>
      <c r="IP17" s="1215"/>
      <c r="IQ17" s="1215"/>
      <c r="IR17" s="1215"/>
      <c r="IS17" s="1215" t="s">
        <v>762</v>
      </c>
      <c r="IT17" s="1215" t="s">
        <v>733</v>
      </c>
      <c r="IU17" s="1215" t="s">
        <v>732</v>
      </c>
      <c r="IV17" s="1215" t="s">
        <v>733</v>
      </c>
      <c r="IW17" s="1215" t="s">
        <v>732</v>
      </c>
      <c r="IX17" s="1215" t="s">
        <v>733</v>
      </c>
      <c r="IY17" s="1215" t="s">
        <v>732</v>
      </c>
      <c r="IZ17" s="1215"/>
      <c r="JA17" s="1215"/>
      <c r="JB17" s="1215"/>
      <c r="JC17" s="1215"/>
      <c r="JD17" s="1215"/>
      <c r="JE17" s="1215"/>
      <c r="JF17" s="1215"/>
      <c r="JG17" s="1215"/>
      <c r="JH17" s="1215"/>
      <c r="JI17" s="1215"/>
      <c r="JJ17" s="1215"/>
      <c r="JK17" s="1215"/>
      <c r="JL17" s="1215"/>
      <c r="JM17" s="1215"/>
      <c r="JN17" s="1215"/>
      <c r="JO17" s="1215"/>
      <c r="JP17" s="1215"/>
      <c r="JQ17" s="1215"/>
      <c r="JR17" s="1215"/>
      <c r="JS17" s="1215"/>
      <c r="JT17" s="1215"/>
      <c r="JU17" s="1215"/>
      <c r="JV17" s="1215"/>
      <c r="JW17" s="1215"/>
      <c r="JX17" s="1215"/>
      <c r="JY17" s="1215"/>
      <c r="JZ17" s="1215"/>
      <c r="KA17" s="1215"/>
      <c r="KB17" s="1215"/>
      <c r="KC17" s="1215"/>
      <c r="KD17" s="1215"/>
      <c r="KE17" s="1215"/>
      <c r="KF17" s="1215"/>
      <c r="KG17" s="1215"/>
      <c r="KH17" s="1215"/>
      <c r="KI17" s="1215"/>
      <c r="KJ17" s="1215"/>
      <c r="KK17" s="1215"/>
      <c r="KL17" s="1215"/>
      <c r="KM17" s="1215"/>
      <c r="KN17" s="1215"/>
      <c r="KO17" s="1215"/>
      <c r="KP17" s="1216"/>
      <c r="KQ17" s="699" t="s">
        <v>388</v>
      </c>
    </row>
    <row r="18" spans="1:303" s="188" customFormat="1" hidden="1" x14ac:dyDescent="0.45">
      <c r="A18" s="1747" t="s">
        <v>304</v>
      </c>
      <c r="B18" s="991" t="s">
        <v>306</v>
      </c>
      <c r="C18" s="1227" t="str">
        <f t="array" ref="C18:KP20">IF(sessions_elements="","",
IF(sessions_sport_selection="",
IF(sessions_sport_group="Running",controls_sports_running_focus,IF(sessions_sport_group="Cycling",controls_sports_cycling_focus,IF(sessions_sport_group="Swimming",controls_sports_swimming_focus,""))),
sessions_sport_selection))</f>
        <v>Run</v>
      </c>
      <c r="D18" s="1227" t="str">
        <v>Run</v>
      </c>
      <c r="E18" s="1227" t="str">
        <v>Run</v>
      </c>
      <c r="F18" s="1228" t="str">
        <v>Hilly Trail Run</v>
      </c>
      <c r="G18" s="1228" t="str">
        <v>Hilly Trail Run</v>
      </c>
      <c r="H18" s="1228" t="str">
        <v>Road Run</v>
      </c>
      <c r="I18" s="1228" t="str">
        <v>Road Run</v>
      </c>
      <c r="J18" s="1228" t="str">
        <v>Run</v>
      </c>
      <c r="K18" s="1228" t="str">
        <v>Road Run</v>
      </c>
      <c r="L18" s="1228" t="str">
        <v>Road Run</v>
      </c>
      <c r="M18" s="1228" t="str">
        <v>Road Run</v>
      </c>
      <c r="N18" s="1228" t="str">
        <v>Road Run</v>
      </c>
      <c r="O18" s="1228" t="str">
        <v>Road Run</v>
      </c>
      <c r="P18" s="1228" t="str">
        <v>Road Run</v>
      </c>
      <c r="Q18" s="1228" t="str">
        <v>Road Run</v>
      </c>
      <c r="R18" s="1228" t="str">
        <v>Hilly Trail Run</v>
      </c>
      <c r="S18" s="1228" t="str">
        <v>Hilly Trail Run</v>
      </c>
      <c r="T18" s="1228" t="str">
        <v>Hilly Trail Run</v>
      </c>
      <c r="U18" s="1228" t="str">
        <v>Hilly Trail Run</v>
      </c>
      <c r="V18" s="1228" t="str">
        <v>Hilly Trail Run</v>
      </c>
      <c r="W18" s="1228" t="str">
        <v>Hilly Trail Run</v>
      </c>
      <c r="X18" s="1228" t="str">
        <v>Road Run</v>
      </c>
      <c r="Y18" s="1228" t="str">
        <v>Road Run</v>
      </c>
      <c r="Z18" s="1228" t="str">
        <v>Hilly Trail Run</v>
      </c>
      <c r="AA18" s="1228" t="str">
        <v>Hilly Trail Run</v>
      </c>
      <c r="AB18" s="1228" t="str">
        <v>Hilly Trail Run</v>
      </c>
      <c r="AC18" s="1228" t="str">
        <v>Hilly Trail Run</v>
      </c>
      <c r="AD18" s="1228" t="str">
        <v>Hilly Trail Run</v>
      </c>
      <c r="AE18" s="1228" t="str">
        <v>Hilly Trail Run</v>
      </c>
      <c r="AF18" s="1228" t="str">
        <v>Hilly Trail Run</v>
      </c>
      <c r="AG18" s="1228" t="str">
        <v>Hilly Trail Run</v>
      </c>
      <c r="AH18" s="1228" t="str">
        <v>Hilly Trail Run</v>
      </c>
      <c r="AI18" s="1228" t="str">
        <v>Hilly Trail Run</v>
      </c>
      <c r="AJ18" s="1228" t="str">
        <v>Hilly Trail Run</v>
      </c>
      <c r="AK18" s="1228" t="str">
        <v/>
      </c>
      <c r="AL18" s="1228" t="str">
        <v/>
      </c>
      <c r="AM18" s="1228" t="str">
        <v/>
      </c>
      <c r="AN18" s="1228" t="str">
        <v/>
      </c>
      <c r="AO18" s="1228" t="str">
        <v/>
      </c>
      <c r="AP18" s="1228" t="str">
        <v/>
      </c>
      <c r="AQ18" s="1228" t="str">
        <v>Road Run</v>
      </c>
      <c r="AR18" s="1228" t="str">
        <v>Road Run</v>
      </c>
      <c r="AS18" s="1228" t="str">
        <v>Road Run</v>
      </c>
      <c r="AT18" s="1228" t="str">
        <v>Road Run</v>
      </c>
      <c r="AU18" s="1228" t="str">
        <v>Road Run</v>
      </c>
      <c r="AV18" s="1228" t="str">
        <v>Road Run</v>
      </c>
      <c r="AW18" s="1228" t="str">
        <v>Road Run</v>
      </c>
      <c r="AX18" s="1228" t="str">
        <v>Road Run</v>
      </c>
      <c r="AY18" s="1228" t="str">
        <v>Road Run</v>
      </c>
      <c r="AZ18" s="1228" t="str">
        <v>Road Run</v>
      </c>
      <c r="BA18" s="1228" t="str">
        <v>Road Run</v>
      </c>
      <c r="BB18" s="1228" t="str">
        <v>Road Run</v>
      </c>
      <c r="BC18" s="1228" t="str">
        <v/>
      </c>
      <c r="BD18" s="1228" t="str">
        <v/>
      </c>
      <c r="BE18" s="1228" t="str">
        <v/>
      </c>
      <c r="BF18" s="1228" t="str">
        <v/>
      </c>
      <c r="BG18" s="1228" t="str">
        <v/>
      </c>
      <c r="BH18" s="1228" t="str">
        <v/>
      </c>
      <c r="BI18" s="1228" t="str">
        <v/>
      </c>
      <c r="BJ18" s="1228" t="str">
        <v/>
      </c>
      <c r="BK18" s="1228" t="str">
        <v>Road Run</v>
      </c>
      <c r="BL18" s="1228" t="str">
        <v>Road Run</v>
      </c>
      <c r="BM18" s="1228" t="str">
        <v>Road Run</v>
      </c>
      <c r="BN18" s="1228" t="str">
        <v>Road Run</v>
      </c>
      <c r="BO18" s="1228" t="str">
        <v>Road Run</v>
      </c>
      <c r="BP18" s="1228" t="str">
        <v>Road Run</v>
      </c>
      <c r="BQ18" s="1228" t="str">
        <v>Road Run</v>
      </c>
      <c r="BR18" s="1228" t="str">
        <v>Road Run</v>
      </c>
      <c r="BS18" s="1228" t="str">
        <v>Road Run</v>
      </c>
      <c r="BT18" s="1228" t="str">
        <v/>
      </c>
      <c r="BU18" s="1228" t="str">
        <v>Run</v>
      </c>
      <c r="BV18" s="1228" t="str">
        <v>Run</v>
      </c>
      <c r="BW18" s="1228" t="str">
        <v>Run</v>
      </c>
      <c r="BX18" s="1228" t="str">
        <v>Run</v>
      </c>
      <c r="BY18" s="1228" t="str">
        <v>Run</v>
      </c>
      <c r="BZ18" s="1228" t="str">
        <v>Indoor</v>
      </c>
      <c r="CA18" s="1228" t="str">
        <v>Indoor</v>
      </c>
      <c r="CB18" s="1228" t="str">
        <v>Road Run</v>
      </c>
      <c r="CC18" s="1228" t="str">
        <v>Indoor</v>
      </c>
      <c r="CD18" s="1228" t="str">
        <v>Run</v>
      </c>
      <c r="CE18" s="1228" t="str">
        <v>Hilly Trail Run</v>
      </c>
      <c r="CF18" s="1228" t="str">
        <v>Hilly Trail Run</v>
      </c>
      <c r="CG18" s="1228" t="str">
        <v>Hilly Trail Run</v>
      </c>
      <c r="CH18" s="1228" t="str">
        <v>Hilly Trail Run</v>
      </c>
      <c r="CI18" s="1228" t="str">
        <v>Hilly Trail Run</v>
      </c>
      <c r="CJ18" s="1228" t="str">
        <v>Hilly Trail Run</v>
      </c>
      <c r="CK18" s="1228" t="str">
        <v>Hilly Trail Run</v>
      </c>
      <c r="CL18" s="1228" t="str">
        <v>Hilly Trail Run</v>
      </c>
      <c r="CM18" s="1228" t="str">
        <v>Hilly Trail Run</v>
      </c>
      <c r="CN18" s="1228" t="str">
        <v>Hilly Trail Run</v>
      </c>
      <c r="CO18" s="1228" t="str">
        <v>Hilly Trail Run</v>
      </c>
      <c r="CP18" s="1228" t="str">
        <v>Hilly Trail Run</v>
      </c>
      <c r="CQ18" s="1228" t="str">
        <v>Hilly Trail Run</v>
      </c>
      <c r="CR18" s="1228" t="str">
        <v>Hilly Trail Run</v>
      </c>
      <c r="CS18" s="1228" t="str">
        <v>Hilly Trail Run</v>
      </c>
      <c r="CT18" s="1228" t="str">
        <v>Hilly Trail Run</v>
      </c>
      <c r="CU18" s="1228" t="str">
        <v>Hilly Trail Run</v>
      </c>
      <c r="CV18" s="1228" t="str">
        <v>Hilly Trail Run</v>
      </c>
      <c r="CW18" s="1228" t="str">
        <v>Hilly Trail Run</v>
      </c>
      <c r="CX18" s="1228" t="str">
        <v>Hilly Trail Run</v>
      </c>
      <c r="CY18" s="1227" t="str">
        <v>Road Ride</v>
      </c>
      <c r="CZ18" s="1228" t="str">
        <v>Road Ride</v>
      </c>
      <c r="DA18" s="1228" t="str">
        <v>Road Ride</v>
      </c>
      <c r="DB18" s="1228" t="str">
        <v>Ride</v>
      </c>
      <c r="DC18" s="1228" t="str">
        <v>Ride</v>
      </c>
      <c r="DD18" s="1228" t="str">
        <v>Road Ride</v>
      </c>
      <c r="DE18" s="1228" t="str">
        <v>Road Ride</v>
      </c>
      <c r="DF18" s="1228" t="str">
        <v>Ride</v>
      </c>
      <c r="DG18" s="1228" t="str">
        <v>Ride</v>
      </c>
      <c r="DH18" s="1228" t="str">
        <v>Ride</v>
      </c>
      <c r="DI18" s="1228" t="str">
        <v>Ride</v>
      </c>
      <c r="DJ18" s="1228" t="str">
        <v>Ride</v>
      </c>
      <c r="DK18" s="1228" t="str">
        <v>Ride</v>
      </c>
      <c r="DL18" s="1228" t="str">
        <v>Ride</v>
      </c>
      <c r="DM18" s="1228" t="str">
        <v>Ride</v>
      </c>
      <c r="DN18" s="1228" t="str">
        <v>Ride</v>
      </c>
      <c r="DO18" s="1228" t="str">
        <v>Ride</v>
      </c>
      <c r="DP18" s="1228" t="str">
        <v>Ride</v>
      </c>
      <c r="DQ18" s="1228" t="str">
        <v>Ride</v>
      </c>
      <c r="DR18" s="1228" t="str">
        <v>Ride</v>
      </c>
      <c r="DS18" s="1228" t="str">
        <v>Ride</v>
      </c>
      <c r="DT18" s="1228" t="str">
        <v>Road Ride</v>
      </c>
      <c r="DU18" s="1228" t="str">
        <v>Road Ride</v>
      </c>
      <c r="DV18" s="1228" t="str">
        <v>Ride</v>
      </c>
      <c r="DW18" s="1228" t="str">
        <v>Ride</v>
      </c>
      <c r="DX18" s="1228" t="str">
        <v>Ride</v>
      </c>
      <c r="DY18" s="1228" t="str">
        <v>Road Ride</v>
      </c>
      <c r="DZ18" s="1228" t="str">
        <v>Road Ride</v>
      </c>
      <c r="EA18" s="1228" t="str">
        <v>Ride</v>
      </c>
      <c r="EB18" s="1228" t="str">
        <v>Ride</v>
      </c>
      <c r="EC18" s="1228" t="str">
        <v>Ride</v>
      </c>
      <c r="ED18" s="1228" t="str">
        <v>Ride</v>
      </c>
      <c r="EE18" s="1228" t="str">
        <v>Ride</v>
      </c>
      <c r="EF18" s="1228" t="str">
        <v>Ride</v>
      </c>
      <c r="EG18" s="1228" t="str">
        <v/>
      </c>
      <c r="EH18" s="1228" t="str">
        <v/>
      </c>
      <c r="EI18" s="1228" t="str">
        <v/>
      </c>
      <c r="EJ18" s="1228" t="str">
        <v/>
      </c>
      <c r="EK18" s="1228" t="str">
        <v/>
      </c>
      <c r="EL18" s="1228" t="str">
        <v/>
      </c>
      <c r="EM18" s="1228" t="str">
        <v/>
      </c>
      <c r="EN18" s="1228" t="str">
        <v/>
      </c>
      <c r="EO18" s="1228" t="str">
        <v/>
      </c>
      <c r="EP18" s="1228" t="str">
        <v/>
      </c>
      <c r="EQ18" s="1228" t="str">
        <v/>
      </c>
      <c r="ER18" s="1228" t="str">
        <v/>
      </c>
      <c r="ES18" s="1228" t="str">
        <v/>
      </c>
      <c r="ET18" s="1228" t="str">
        <v/>
      </c>
      <c r="EU18" s="1228" t="str">
        <v/>
      </c>
      <c r="EV18" s="1228" t="str">
        <v/>
      </c>
      <c r="EW18" s="1228" t="str">
        <v/>
      </c>
      <c r="EX18" s="1228" t="str">
        <v/>
      </c>
      <c r="EY18" s="1228" t="str">
        <v/>
      </c>
      <c r="EZ18" s="1228" t="str">
        <v/>
      </c>
      <c r="FA18" s="1228" t="str">
        <v/>
      </c>
      <c r="FB18" s="1228" t="str">
        <v/>
      </c>
      <c r="FC18" s="1228" t="str">
        <v/>
      </c>
      <c r="FD18" s="1228" t="str">
        <v/>
      </c>
      <c r="FE18" s="1228" t="str">
        <v/>
      </c>
      <c r="FF18" s="1228" t="str">
        <v/>
      </c>
      <c r="FG18" s="1228" t="str">
        <v>Ride</v>
      </c>
      <c r="FH18" s="1228" t="str">
        <v>Ride</v>
      </c>
      <c r="FI18" s="1228" t="str">
        <v>Ride</v>
      </c>
      <c r="FJ18" s="1228" t="str">
        <v>Ride</v>
      </c>
      <c r="FK18" s="1228" t="str">
        <v>Ride</v>
      </c>
      <c r="FL18" s="1228" t="str">
        <v>Ride</v>
      </c>
      <c r="FM18" s="1228" t="str">
        <v>Ride</v>
      </c>
      <c r="FN18" s="1228" t="str">
        <v>Ride</v>
      </c>
      <c r="FO18" s="1228" t="str">
        <v>Ride</v>
      </c>
      <c r="FP18" s="1228" t="str">
        <v>Ride</v>
      </c>
      <c r="FQ18" s="1228" t="str">
        <v/>
      </c>
      <c r="FR18" s="1228" t="str">
        <v/>
      </c>
      <c r="FS18" s="1228" t="str">
        <v/>
      </c>
      <c r="FT18" s="1228" t="str">
        <v/>
      </c>
      <c r="FU18" s="1228" t="str">
        <v/>
      </c>
      <c r="FV18" s="1228" t="str">
        <v/>
      </c>
      <c r="FW18" s="1228" t="str">
        <v/>
      </c>
      <c r="FX18" s="1228" t="str">
        <v/>
      </c>
      <c r="FY18" s="1228" t="str">
        <v/>
      </c>
      <c r="FZ18" s="1228" t="str">
        <v/>
      </c>
      <c r="GA18" s="1228" t="str">
        <v>Ride</v>
      </c>
      <c r="GB18" s="1228" t="str">
        <v>Ride</v>
      </c>
      <c r="GC18" s="1228" t="str">
        <v>Ride</v>
      </c>
      <c r="GD18" s="1228" t="str">
        <v>Ride</v>
      </c>
      <c r="GE18" s="1228" t="str">
        <v>Ride</v>
      </c>
      <c r="GF18" s="1228" t="str">
        <v>Ride</v>
      </c>
      <c r="GG18" s="1228" t="str">
        <v>Ride</v>
      </c>
      <c r="GH18" s="1228" t="str">
        <v>Ride</v>
      </c>
      <c r="GI18" s="1228" t="str">
        <v>Ride</v>
      </c>
      <c r="GJ18" s="1228" t="str">
        <v>Ride</v>
      </c>
      <c r="GK18" s="1228" t="str">
        <v>Ride</v>
      </c>
      <c r="GL18" s="1228" t="str">
        <v>Ride</v>
      </c>
      <c r="GM18" s="1228" t="str">
        <v>Ride</v>
      </c>
      <c r="GN18" s="1228" t="str">
        <v>Ride</v>
      </c>
      <c r="GO18" s="1228" t="str">
        <v>Ride</v>
      </c>
      <c r="GP18" s="1228" t="str">
        <v/>
      </c>
      <c r="GQ18" s="1228" t="str">
        <v/>
      </c>
      <c r="GR18" s="1228" t="str">
        <v/>
      </c>
      <c r="GS18" s="1228" t="str">
        <v/>
      </c>
      <c r="GT18" s="1228" t="str">
        <v/>
      </c>
      <c r="GU18" s="1228" t="str">
        <v>Swim</v>
      </c>
      <c r="GV18" s="1228" t="str">
        <v>Swim</v>
      </c>
      <c r="GW18" s="1228" t="str">
        <v>Swim</v>
      </c>
      <c r="GX18" s="1228" t="str">
        <v>Swim</v>
      </c>
      <c r="GY18" s="1228" t="str">
        <v>Open Water Swim</v>
      </c>
      <c r="GZ18" s="1228" t="str">
        <v/>
      </c>
      <c r="HA18" s="1228" t="str">
        <v/>
      </c>
      <c r="HB18" s="1228" t="str">
        <v>Swim</v>
      </c>
      <c r="HC18" s="1228" t="str">
        <v>Swim</v>
      </c>
      <c r="HD18" s="1228" t="str">
        <v>Swim</v>
      </c>
      <c r="HE18" s="1228" t="str">
        <v>Swim</v>
      </c>
      <c r="HF18" s="1228" t="str">
        <v>Swim</v>
      </c>
      <c r="HG18" s="1228" t="str">
        <v>Swim</v>
      </c>
      <c r="HH18" s="1228" t="str">
        <v>Swim</v>
      </c>
      <c r="HI18" s="1228" t="str">
        <v>Swim</v>
      </c>
      <c r="HJ18" s="1228" t="str">
        <v>Open Water Swim</v>
      </c>
      <c r="HK18" s="1228" t="str">
        <v>Open Water Swim</v>
      </c>
      <c r="HL18" s="1228" t="str">
        <v>Open Water Swim</v>
      </c>
      <c r="HM18" s="1228" t="str">
        <v>Open Water Swim</v>
      </c>
      <c r="HN18" s="1228" t="str">
        <v>Open Water Swim</v>
      </c>
      <c r="HO18" s="1228" t="str">
        <v>Paddle</v>
      </c>
      <c r="HP18" s="1228" t="str">
        <v>Paddle</v>
      </c>
      <c r="HQ18" s="1228" t="str">
        <v>Paddle</v>
      </c>
      <c r="HR18" s="1228" t="str">
        <v>Paddle</v>
      </c>
      <c r="HS18" s="1228" t="str">
        <v>Paddle</v>
      </c>
      <c r="HT18" s="1228" t="str">
        <v/>
      </c>
      <c r="HU18" s="1228" t="str">
        <v/>
      </c>
      <c r="HV18" s="1228" t="str">
        <v>Paddle</v>
      </c>
      <c r="HW18" s="1228" t="str">
        <v>Paddle</v>
      </c>
      <c r="HX18" s="1228" t="str">
        <v>Paddle</v>
      </c>
      <c r="HY18" s="1228" t="str">
        <v>Paddle</v>
      </c>
      <c r="HZ18" s="1228" t="str">
        <v>Paddle</v>
      </c>
      <c r="IA18" s="1228" t="str">
        <v>Paddle</v>
      </c>
      <c r="IB18" s="1228" t="str">
        <v>Paddle</v>
      </c>
      <c r="IC18" s="1228" t="str">
        <v>Paddle</v>
      </c>
      <c r="ID18" s="1228" t="str">
        <v>Paddle</v>
      </c>
      <c r="IE18" s="1228" t="str">
        <v>Paddle</v>
      </c>
      <c r="IF18" s="1228" t="str">
        <v>Paddle</v>
      </c>
      <c r="IG18" s="1228" t="str">
        <v>Paddle</v>
      </c>
      <c r="IH18" s="1228" t="str">
        <v>Paddle</v>
      </c>
      <c r="II18" s="1228" t="str">
        <v>Hockey</v>
      </c>
      <c r="IJ18" s="1228" t="str">
        <v/>
      </c>
      <c r="IK18" s="1228" t="str">
        <v/>
      </c>
      <c r="IL18" s="1228" t="str">
        <v/>
      </c>
      <c r="IM18" s="1228" t="str">
        <v/>
      </c>
      <c r="IN18" s="1228" t="str">
        <v/>
      </c>
      <c r="IO18" s="1228" t="str">
        <v/>
      </c>
      <c r="IP18" s="1228" t="str">
        <v/>
      </c>
      <c r="IQ18" s="1228" t="str">
        <v/>
      </c>
      <c r="IR18" s="1228" t="str">
        <v/>
      </c>
      <c r="IS18" s="1228" t="str">
        <v/>
      </c>
      <c r="IT18" s="1228" t="str">
        <v>Run</v>
      </c>
      <c r="IU18" s="1228" t="str">
        <v>Run</v>
      </c>
      <c r="IV18" s="1228" t="str">
        <v>Run</v>
      </c>
      <c r="IW18" s="1228" t="str">
        <v>Run</v>
      </c>
      <c r="IX18" s="1228" t="str">
        <v>Run</v>
      </c>
      <c r="IY18" s="1228" t="str">
        <v>Run</v>
      </c>
      <c r="IZ18" s="1228" t="str">
        <v>Run</v>
      </c>
      <c r="JA18" s="1228" t="str">
        <v/>
      </c>
      <c r="JB18" s="1228" t="str">
        <v/>
      </c>
      <c r="JC18" s="1228" t="str">
        <v/>
      </c>
      <c r="JD18" s="1228" t="str">
        <v/>
      </c>
      <c r="JE18" s="1228" t="str">
        <v/>
      </c>
      <c r="JF18" s="1228" t="str">
        <v/>
      </c>
      <c r="JG18" s="1228" t="str">
        <v/>
      </c>
      <c r="JH18" s="1228" t="str">
        <v/>
      </c>
      <c r="JI18" s="1228" t="str">
        <v/>
      </c>
      <c r="JJ18" s="1228" t="str">
        <v/>
      </c>
      <c r="JK18" s="1228" t="str">
        <v/>
      </c>
      <c r="JL18" s="1228" t="str">
        <v/>
      </c>
      <c r="JM18" s="1228" t="str">
        <v/>
      </c>
      <c r="JN18" s="1228" t="str">
        <v/>
      </c>
      <c r="JO18" s="1228" t="str">
        <v/>
      </c>
      <c r="JP18" s="1228" t="str">
        <v/>
      </c>
      <c r="JQ18" s="1228" t="str">
        <v/>
      </c>
      <c r="JR18" s="1228" t="str">
        <v/>
      </c>
      <c r="JS18" s="1228" t="str">
        <v/>
      </c>
      <c r="JT18" s="1228" t="str">
        <v/>
      </c>
      <c r="JU18" s="1228" t="str">
        <v/>
      </c>
      <c r="JV18" s="1228" t="str">
        <v/>
      </c>
      <c r="JW18" s="1228" t="str">
        <v>Paddle</v>
      </c>
      <c r="JX18" s="1228" t="str">
        <v>Paddle</v>
      </c>
      <c r="JY18" s="1228" t="str">
        <v>Paddle</v>
      </c>
      <c r="JZ18" s="1228" t="str">
        <v>Paddle</v>
      </c>
      <c r="KA18" s="1228" t="str">
        <v>Paddle</v>
      </c>
      <c r="KB18" s="1228" t="str">
        <v>Paddle</v>
      </c>
      <c r="KC18" s="1228" t="str">
        <v>Paddle</v>
      </c>
      <c r="KD18" s="1228" t="str">
        <v>Paddle</v>
      </c>
      <c r="KE18" s="1228" t="str">
        <v>Paddle</v>
      </c>
      <c r="KF18" s="1228" t="str">
        <v>Paddle</v>
      </c>
      <c r="KG18" s="1228" t="str">
        <v>Paddle</v>
      </c>
      <c r="KH18" s="1228" t="str">
        <v>Paddle</v>
      </c>
      <c r="KI18" s="1228" t="str">
        <v>Paddle</v>
      </c>
      <c r="KJ18" s="1228" t="str">
        <v>Paddle</v>
      </c>
      <c r="KK18" s="1228" t="str">
        <v>Paddle</v>
      </c>
      <c r="KL18" s="1228" t="str">
        <v/>
      </c>
      <c r="KM18" s="1228" t="str">
        <v/>
      </c>
      <c r="KN18" s="1228" t="str">
        <v/>
      </c>
      <c r="KO18" s="1228" t="str">
        <v/>
      </c>
      <c r="KP18" s="1229" t="str">
        <v/>
      </c>
      <c r="KQ18" s="700"/>
    </row>
    <row r="19" spans="1:303" s="188" customFormat="1" hidden="1" x14ac:dyDescent="0.45">
      <c r="A19" s="1748"/>
      <c r="B19" s="138" t="s">
        <v>307</v>
      </c>
      <c r="C19" s="1230" t="str">
        <v/>
      </c>
      <c r="D19" s="1230" t="str">
        <v/>
      </c>
      <c r="E19" s="1230" t="str">
        <v/>
      </c>
      <c r="F19" s="1231" t="str">
        <v/>
      </c>
      <c r="G19" s="1231" t="str">
        <v/>
      </c>
      <c r="H19" s="1231" t="str">
        <v/>
      </c>
      <c r="I19" s="1231" t="str">
        <v/>
      </c>
      <c r="J19" s="1231" t="str">
        <v/>
      </c>
      <c r="K19" s="1231" t="str">
        <v>Road Run</v>
      </c>
      <c r="L19" s="1231" t="str">
        <v>Road Run</v>
      </c>
      <c r="M19" s="1231" t="str">
        <v>Road Run</v>
      </c>
      <c r="N19" s="1231" t="str">
        <v/>
      </c>
      <c r="O19" s="1231" t="str">
        <v/>
      </c>
      <c r="P19" s="1231" t="str">
        <v/>
      </c>
      <c r="Q19" s="1231" t="str">
        <v/>
      </c>
      <c r="R19" s="1231" t="str">
        <v/>
      </c>
      <c r="S19" s="1231" t="str">
        <v/>
      </c>
      <c r="T19" s="1231" t="str">
        <v/>
      </c>
      <c r="U19" s="1231" t="str">
        <v/>
      </c>
      <c r="V19" s="1231" t="str">
        <v/>
      </c>
      <c r="W19" s="1231" t="str">
        <v/>
      </c>
      <c r="X19" s="1231" t="str">
        <v/>
      </c>
      <c r="Y19" s="1231" t="str">
        <v/>
      </c>
      <c r="Z19" s="1231" t="str">
        <v/>
      </c>
      <c r="AA19" s="1231" t="str">
        <v/>
      </c>
      <c r="AB19" s="1231" t="str">
        <v>Hilly Trail Run</v>
      </c>
      <c r="AC19" s="1231" t="str">
        <v>Hilly Trail Run</v>
      </c>
      <c r="AD19" s="1231" t="str">
        <v>Hilly Trail Run</v>
      </c>
      <c r="AE19" s="1231" t="str">
        <v>Hilly Trail Run</v>
      </c>
      <c r="AF19" s="1231" t="str">
        <v>Hilly Trail Run</v>
      </c>
      <c r="AG19" s="1231" t="str">
        <v/>
      </c>
      <c r="AH19" s="1231" t="str">
        <v/>
      </c>
      <c r="AI19" s="1231" t="str">
        <v/>
      </c>
      <c r="AJ19" s="1231" t="str">
        <v/>
      </c>
      <c r="AK19" s="1231" t="str">
        <v/>
      </c>
      <c r="AL19" s="1231" t="str">
        <v/>
      </c>
      <c r="AM19" s="1231" t="str">
        <v/>
      </c>
      <c r="AN19" s="1231" t="str">
        <v/>
      </c>
      <c r="AO19" s="1231" t="str">
        <v/>
      </c>
      <c r="AP19" s="1231" t="str">
        <v/>
      </c>
      <c r="AQ19" s="1231" t="str">
        <v/>
      </c>
      <c r="AR19" s="1231" t="str">
        <v/>
      </c>
      <c r="AS19" s="1231" t="str">
        <v/>
      </c>
      <c r="AT19" s="1231" t="str">
        <v/>
      </c>
      <c r="AU19" s="1231" t="str">
        <v/>
      </c>
      <c r="AV19" s="1231" t="str">
        <v/>
      </c>
      <c r="AW19" s="1231" t="str">
        <v/>
      </c>
      <c r="AX19" s="1231" t="str">
        <v/>
      </c>
      <c r="AY19" s="1231" t="str">
        <v/>
      </c>
      <c r="AZ19" s="1231" t="str">
        <v/>
      </c>
      <c r="BA19" s="1231" t="str">
        <v/>
      </c>
      <c r="BB19" s="1231" t="str">
        <v/>
      </c>
      <c r="BC19" s="1231" t="str">
        <v/>
      </c>
      <c r="BD19" s="1231" t="str">
        <v/>
      </c>
      <c r="BE19" s="1231" t="str">
        <v/>
      </c>
      <c r="BF19" s="1231" t="str">
        <v/>
      </c>
      <c r="BG19" s="1231" t="str">
        <v/>
      </c>
      <c r="BH19" s="1231" t="str">
        <v/>
      </c>
      <c r="BI19" s="1231" t="str">
        <v/>
      </c>
      <c r="BJ19" s="1231" t="str">
        <v/>
      </c>
      <c r="BK19" s="1231" t="str">
        <v>Run</v>
      </c>
      <c r="BL19" s="1231" t="str">
        <v>Run</v>
      </c>
      <c r="BM19" s="1231" t="str">
        <v>Run</v>
      </c>
      <c r="BN19" s="1231" t="str">
        <v>Run</v>
      </c>
      <c r="BO19" s="1231" t="str">
        <v>Run</v>
      </c>
      <c r="BP19" s="1231" t="str">
        <v>Run</v>
      </c>
      <c r="BQ19" s="1231" t="str">
        <v>Run</v>
      </c>
      <c r="BR19" s="1231" t="str">
        <v>Run</v>
      </c>
      <c r="BS19" s="1231" t="str">
        <v>Run</v>
      </c>
      <c r="BT19" s="1231" t="str">
        <v/>
      </c>
      <c r="BU19" s="1231" t="str">
        <v/>
      </c>
      <c r="BV19" s="1231" t="str">
        <v>Run</v>
      </c>
      <c r="BW19" s="1231" t="str">
        <v>Run</v>
      </c>
      <c r="BX19" s="1231" t="str">
        <v>Run</v>
      </c>
      <c r="BY19" s="1231" t="str">
        <v>Run</v>
      </c>
      <c r="BZ19" s="1231" t="str">
        <v/>
      </c>
      <c r="CA19" s="1231" t="str">
        <v>Indoor</v>
      </c>
      <c r="CB19" s="1231" t="str">
        <v>Indoor</v>
      </c>
      <c r="CC19" s="1231" t="str">
        <v/>
      </c>
      <c r="CD19" s="1231" t="str">
        <v>Indoor</v>
      </c>
      <c r="CE19" s="1231" t="str">
        <v/>
      </c>
      <c r="CF19" s="1231" t="str">
        <v/>
      </c>
      <c r="CG19" s="1231" t="str">
        <v/>
      </c>
      <c r="CH19" s="1231" t="str">
        <v/>
      </c>
      <c r="CI19" s="1231" t="str">
        <v/>
      </c>
      <c r="CJ19" s="1231" t="str">
        <v/>
      </c>
      <c r="CK19" s="1231" t="str">
        <v/>
      </c>
      <c r="CL19" s="1231" t="str">
        <v/>
      </c>
      <c r="CM19" s="1231" t="str">
        <v/>
      </c>
      <c r="CN19" s="1231" t="str">
        <v/>
      </c>
      <c r="CO19" s="1231" t="str">
        <v/>
      </c>
      <c r="CP19" s="1231" t="str">
        <v/>
      </c>
      <c r="CQ19" s="1231" t="str">
        <v/>
      </c>
      <c r="CR19" s="1231" t="str">
        <v/>
      </c>
      <c r="CS19" s="1231" t="str">
        <v/>
      </c>
      <c r="CT19" s="1231" t="str">
        <v/>
      </c>
      <c r="CU19" s="1231" t="str">
        <v/>
      </c>
      <c r="CV19" s="1231" t="str">
        <v/>
      </c>
      <c r="CW19" s="1231" t="str">
        <v/>
      </c>
      <c r="CX19" s="1231" t="str">
        <v/>
      </c>
      <c r="CY19" s="1230" t="str">
        <v/>
      </c>
      <c r="CZ19" s="1231" t="str">
        <v/>
      </c>
      <c r="DA19" s="1231" t="str">
        <v/>
      </c>
      <c r="DB19" s="1231" t="str">
        <v/>
      </c>
      <c r="DC19" s="1231" t="str">
        <v/>
      </c>
      <c r="DD19" s="1231" t="str">
        <v/>
      </c>
      <c r="DE19" s="1231" t="str">
        <v/>
      </c>
      <c r="DF19" s="1231" t="str">
        <v/>
      </c>
      <c r="DG19" s="1231" t="str">
        <v/>
      </c>
      <c r="DH19" s="1231" t="str">
        <v/>
      </c>
      <c r="DI19" s="1231" t="str">
        <v/>
      </c>
      <c r="DJ19" s="1231" t="str">
        <v/>
      </c>
      <c r="DK19" s="1231" t="str">
        <v/>
      </c>
      <c r="DL19" s="1231" t="str">
        <v/>
      </c>
      <c r="DM19" s="1231" t="str">
        <v/>
      </c>
      <c r="DN19" s="1231" t="str">
        <v/>
      </c>
      <c r="DO19" s="1231" t="str">
        <v/>
      </c>
      <c r="DP19" s="1231" t="str">
        <v/>
      </c>
      <c r="DQ19" s="1231" t="str">
        <v/>
      </c>
      <c r="DR19" s="1231" t="str">
        <v/>
      </c>
      <c r="DS19" s="1231" t="str">
        <v/>
      </c>
      <c r="DT19" s="1231" t="str">
        <v/>
      </c>
      <c r="DU19" s="1231" t="str">
        <v/>
      </c>
      <c r="DV19" s="1231" t="str">
        <v/>
      </c>
      <c r="DW19" s="1231" t="str">
        <v/>
      </c>
      <c r="DX19" s="1231" t="str">
        <v>Ride</v>
      </c>
      <c r="DY19" s="1231" t="str">
        <v>Ride</v>
      </c>
      <c r="DZ19" s="1231" t="str">
        <v>Ride</v>
      </c>
      <c r="EA19" s="1231" t="str">
        <v>Ride</v>
      </c>
      <c r="EB19" s="1231" t="str">
        <v>Ride</v>
      </c>
      <c r="EC19" s="1231" t="str">
        <v/>
      </c>
      <c r="ED19" s="1231" t="str">
        <v/>
      </c>
      <c r="EE19" s="1231" t="str">
        <v/>
      </c>
      <c r="EF19" s="1231" t="str">
        <v/>
      </c>
      <c r="EG19" s="1231" t="str">
        <v/>
      </c>
      <c r="EH19" s="1231" t="str">
        <v/>
      </c>
      <c r="EI19" s="1231" t="str">
        <v/>
      </c>
      <c r="EJ19" s="1231" t="str">
        <v/>
      </c>
      <c r="EK19" s="1231" t="str">
        <v/>
      </c>
      <c r="EL19" s="1231" t="str">
        <v/>
      </c>
      <c r="EM19" s="1231" t="str">
        <v/>
      </c>
      <c r="EN19" s="1231" t="str">
        <v/>
      </c>
      <c r="EO19" s="1231" t="str">
        <v/>
      </c>
      <c r="EP19" s="1231" t="str">
        <v/>
      </c>
      <c r="EQ19" s="1231" t="str">
        <v/>
      </c>
      <c r="ER19" s="1231" t="str">
        <v/>
      </c>
      <c r="ES19" s="1231" t="str">
        <v/>
      </c>
      <c r="ET19" s="1231" t="str">
        <v/>
      </c>
      <c r="EU19" s="1231" t="str">
        <v/>
      </c>
      <c r="EV19" s="1231" t="str">
        <v/>
      </c>
      <c r="EW19" s="1231" t="str">
        <v/>
      </c>
      <c r="EX19" s="1231" t="str">
        <v/>
      </c>
      <c r="EY19" s="1231" t="str">
        <v/>
      </c>
      <c r="EZ19" s="1231" t="str">
        <v/>
      </c>
      <c r="FA19" s="1231" t="str">
        <v/>
      </c>
      <c r="FB19" s="1231" t="str">
        <v/>
      </c>
      <c r="FC19" s="1231" t="str">
        <v/>
      </c>
      <c r="FD19" s="1231" t="str">
        <v/>
      </c>
      <c r="FE19" s="1231" t="str">
        <v/>
      </c>
      <c r="FF19" s="1231" t="str">
        <v/>
      </c>
      <c r="FG19" s="1231" t="str">
        <v/>
      </c>
      <c r="FH19" s="1231" t="str">
        <v/>
      </c>
      <c r="FI19" s="1231" t="str">
        <v/>
      </c>
      <c r="FJ19" s="1231" t="str">
        <v/>
      </c>
      <c r="FK19" s="1231" t="str">
        <v/>
      </c>
      <c r="FL19" s="1231" t="str">
        <v/>
      </c>
      <c r="FM19" s="1231" t="str">
        <v/>
      </c>
      <c r="FN19" s="1231" t="str">
        <v>Ride</v>
      </c>
      <c r="FO19" s="1231" t="str">
        <v/>
      </c>
      <c r="FP19" s="1231" t="str">
        <v/>
      </c>
      <c r="FQ19" s="1231" t="str">
        <v/>
      </c>
      <c r="FR19" s="1231" t="str">
        <v/>
      </c>
      <c r="FS19" s="1231" t="str">
        <v/>
      </c>
      <c r="FT19" s="1231" t="str">
        <v/>
      </c>
      <c r="FU19" s="1231" t="str">
        <v/>
      </c>
      <c r="FV19" s="1231" t="str">
        <v/>
      </c>
      <c r="FW19" s="1231" t="str">
        <v/>
      </c>
      <c r="FX19" s="1231" t="str">
        <v/>
      </c>
      <c r="FY19" s="1231" t="str">
        <v/>
      </c>
      <c r="FZ19" s="1231" t="str">
        <v/>
      </c>
      <c r="GA19" s="1231" t="str">
        <v/>
      </c>
      <c r="GB19" s="1231" t="str">
        <v/>
      </c>
      <c r="GC19" s="1231" t="str">
        <v/>
      </c>
      <c r="GD19" s="1231" t="str">
        <v/>
      </c>
      <c r="GE19" s="1231" t="str">
        <v/>
      </c>
      <c r="GF19" s="1231" t="str">
        <v/>
      </c>
      <c r="GG19" s="1231" t="str">
        <v/>
      </c>
      <c r="GH19" s="1231" t="str">
        <v/>
      </c>
      <c r="GI19" s="1231" t="str">
        <v/>
      </c>
      <c r="GJ19" s="1231" t="str">
        <v/>
      </c>
      <c r="GK19" s="1231" t="str">
        <v/>
      </c>
      <c r="GL19" s="1231" t="str">
        <v/>
      </c>
      <c r="GM19" s="1231" t="str">
        <v/>
      </c>
      <c r="GN19" s="1231" t="str">
        <v/>
      </c>
      <c r="GO19" s="1231" t="str">
        <v/>
      </c>
      <c r="GP19" s="1231" t="str">
        <v/>
      </c>
      <c r="GQ19" s="1231" t="str">
        <v/>
      </c>
      <c r="GR19" s="1231" t="str">
        <v/>
      </c>
      <c r="GS19" s="1231" t="str">
        <v/>
      </c>
      <c r="GT19" s="1231" t="str">
        <v/>
      </c>
      <c r="GU19" s="1231" t="str">
        <v/>
      </c>
      <c r="GV19" s="1231" t="str">
        <v/>
      </c>
      <c r="GW19" s="1231" t="str">
        <v/>
      </c>
      <c r="GX19" s="1231" t="str">
        <v/>
      </c>
      <c r="GY19" s="1231" t="str">
        <v/>
      </c>
      <c r="GZ19" s="1231" t="str">
        <v/>
      </c>
      <c r="HA19" s="1231" t="str">
        <v/>
      </c>
      <c r="HB19" s="1231" t="str">
        <v/>
      </c>
      <c r="HC19" s="1231" t="str">
        <v/>
      </c>
      <c r="HD19" s="1231" t="str">
        <v/>
      </c>
      <c r="HE19" s="1231" t="str">
        <v/>
      </c>
      <c r="HF19" s="1231" t="str">
        <v/>
      </c>
      <c r="HG19" s="1231" t="str">
        <v/>
      </c>
      <c r="HH19" s="1231" t="str">
        <v/>
      </c>
      <c r="HI19" s="1231" t="str">
        <v/>
      </c>
      <c r="HJ19" s="1231" t="str">
        <v/>
      </c>
      <c r="HK19" s="1231" t="str">
        <v/>
      </c>
      <c r="HL19" s="1231" t="str">
        <v/>
      </c>
      <c r="HM19" s="1231" t="str">
        <v/>
      </c>
      <c r="HN19" s="1231" t="str">
        <v/>
      </c>
      <c r="HO19" s="1231" t="str">
        <v/>
      </c>
      <c r="HP19" s="1231" t="str">
        <v/>
      </c>
      <c r="HQ19" s="1231" t="str">
        <v/>
      </c>
      <c r="HR19" s="1231" t="str">
        <v/>
      </c>
      <c r="HS19" s="1231" t="str">
        <v/>
      </c>
      <c r="HT19" s="1231" t="str">
        <v/>
      </c>
      <c r="HU19" s="1231" t="str">
        <v/>
      </c>
      <c r="HV19" s="1231" t="str">
        <v/>
      </c>
      <c r="HW19" s="1231" t="str">
        <v/>
      </c>
      <c r="HX19" s="1231" t="str">
        <v/>
      </c>
      <c r="HY19" s="1231" t="str">
        <v/>
      </c>
      <c r="HZ19" s="1231" t="str">
        <v/>
      </c>
      <c r="IA19" s="1231" t="str">
        <v/>
      </c>
      <c r="IB19" s="1231" t="str">
        <v/>
      </c>
      <c r="IC19" s="1231" t="str">
        <v/>
      </c>
      <c r="ID19" s="1231" t="str">
        <v/>
      </c>
      <c r="IE19" s="1231" t="str">
        <v/>
      </c>
      <c r="IF19" s="1231" t="str">
        <v/>
      </c>
      <c r="IG19" s="1231" t="str">
        <v/>
      </c>
      <c r="IH19" s="1231" t="str">
        <v/>
      </c>
      <c r="II19" s="1231" t="str">
        <v/>
      </c>
      <c r="IJ19" s="1231" t="str">
        <v/>
      </c>
      <c r="IK19" s="1231" t="str">
        <v/>
      </c>
      <c r="IL19" s="1231" t="str">
        <v/>
      </c>
      <c r="IM19" s="1231" t="str">
        <v/>
      </c>
      <c r="IN19" s="1231" t="str">
        <v/>
      </c>
      <c r="IO19" s="1231" t="str">
        <v/>
      </c>
      <c r="IP19" s="1231" t="str">
        <v/>
      </c>
      <c r="IQ19" s="1231" t="str">
        <v/>
      </c>
      <c r="IR19" s="1231" t="str">
        <v/>
      </c>
      <c r="IS19" s="1231" t="str">
        <v/>
      </c>
      <c r="IT19" s="1231" t="str">
        <v/>
      </c>
      <c r="IU19" s="1231" t="str">
        <v/>
      </c>
      <c r="IV19" s="1231" t="str">
        <v/>
      </c>
      <c r="IW19" s="1231" t="str">
        <v/>
      </c>
      <c r="IX19" s="1231" t="str">
        <v/>
      </c>
      <c r="IY19" s="1231" t="str">
        <v/>
      </c>
      <c r="IZ19" s="1231" t="str">
        <v/>
      </c>
      <c r="JA19" s="1231" t="str">
        <v/>
      </c>
      <c r="JB19" s="1231" t="str">
        <v/>
      </c>
      <c r="JC19" s="1231" t="str">
        <v/>
      </c>
      <c r="JD19" s="1231" t="str">
        <v/>
      </c>
      <c r="JE19" s="1231" t="str">
        <v/>
      </c>
      <c r="JF19" s="1231" t="str">
        <v/>
      </c>
      <c r="JG19" s="1231" t="str">
        <v/>
      </c>
      <c r="JH19" s="1231" t="str">
        <v/>
      </c>
      <c r="JI19" s="1231" t="str">
        <v/>
      </c>
      <c r="JJ19" s="1231" t="str">
        <v/>
      </c>
      <c r="JK19" s="1231" t="str">
        <v/>
      </c>
      <c r="JL19" s="1231" t="str">
        <v/>
      </c>
      <c r="JM19" s="1231" t="str">
        <v/>
      </c>
      <c r="JN19" s="1231" t="str">
        <v/>
      </c>
      <c r="JO19" s="1231" t="str">
        <v/>
      </c>
      <c r="JP19" s="1231" t="str">
        <v/>
      </c>
      <c r="JQ19" s="1231" t="str">
        <v/>
      </c>
      <c r="JR19" s="1231" t="str">
        <v/>
      </c>
      <c r="JS19" s="1231" t="str">
        <v/>
      </c>
      <c r="JT19" s="1231" t="str">
        <v/>
      </c>
      <c r="JU19" s="1231" t="str">
        <v/>
      </c>
      <c r="JV19" s="1231" t="str">
        <v/>
      </c>
      <c r="JW19" s="1231" t="str">
        <v/>
      </c>
      <c r="JX19" s="1231" t="str">
        <v/>
      </c>
      <c r="JY19" s="1231" t="str">
        <v/>
      </c>
      <c r="JZ19" s="1231" t="str">
        <v/>
      </c>
      <c r="KA19" s="1231" t="str">
        <v/>
      </c>
      <c r="KB19" s="1231" t="str">
        <v/>
      </c>
      <c r="KC19" s="1231" t="str">
        <v/>
      </c>
      <c r="KD19" s="1231" t="str">
        <v/>
      </c>
      <c r="KE19" s="1231" t="str">
        <v/>
      </c>
      <c r="KF19" s="1231" t="str">
        <v/>
      </c>
      <c r="KG19" s="1231" t="str">
        <v/>
      </c>
      <c r="KH19" s="1231" t="str">
        <v/>
      </c>
      <c r="KI19" s="1231" t="str">
        <v/>
      </c>
      <c r="KJ19" s="1231" t="str">
        <v/>
      </c>
      <c r="KK19" s="1231" t="str">
        <v/>
      </c>
      <c r="KL19" s="1231" t="str">
        <v/>
      </c>
      <c r="KM19" s="1231" t="str">
        <v/>
      </c>
      <c r="KN19" s="1231" t="str">
        <v/>
      </c>
      <c r="KO19" s="1231" t="str">
        <v/>
      </c>
      <c r="KP19" s="1232" t="str">
        <v/>
      </c>
      <c r="KQ19" s="700"/>
    </row>
    <row r="20" spans="1:303" s="188" customFormat="1" hidden="1" x14ac:dyDescent="0.45">
      <c r="A20" s="1749"/>
      <c r="B20" s="1226" t="s">
        <v>308</v>
      </c>
      <c r="C20" s="1223" t="str">
        <v/>
      </c>
      <c r="D20" s="1223" t="str">
        <v/>
      </c>
      <c r="E20" s="1223" t="str">
        <v/>
      </c>
      <c r="F20" s="1224" t="str">
        <v/>
      </c>
      <c r="G20" s="1224" t="str">
        <v/>
      </c>
      <c r="H20" s="1224" t="str">
        <v/>
      </c>
      <c r="I20" s="1224" t="str">
        <v/>
      </c>
      <c r="J20" s="1224" t="str">
        <v/>
      </c>
      <c r="K20" s="1224" t="str">
        <v/>
      </c>
      <c r="L20" s="1224" t="str">
        <v/>
      </c>
      <c r="M20" s="1224" t="str">
        <v/>
      </c>
      <c r="N20" s="1224" t="str">
        <v/>
      </c>
      <c r="O20" s="1224" t="str">
        <v/>
      </c>
      <c r="P20" s="1224" t="str">
        <v/>
      </c>
      <c r="Q20" s="1224" t="str">
        <v/>
      </c>
      <c r="R20" s="1224" t="str">
        <v/>
      </c>
      <c r="S20" s="1224" t="str">
        <v/>
      </c>
      <c r="T20" s="1224" t="str">
        <v/>
      </c>
      <c r="U20" s="1224" t="str">
        <v/>
      </c>
      <c r="V20" s="1224" t="str">
        <v/>
      </c>
      <c r="W20" s="1224" t="str">
        <v/>
      </c>
      <c r="X20" s="1224" t="str">
        <v/>
      </c>
      <c r="Y20" s="1224" t="str">
        <v/>
      </c>
      <c r="Z20" s="1224" t="str">
        <v/>
      </c>
      <c r="AA20" s="1224" t="str">
        <v/>
      </c>
      <c r="AB20" s="1224" t="str">
        <v/>
      </c>
      <c r="AC20" s="1224" t="str">
        <v/>
      </c>
      <c r="AD20" s="1224" t="str">
        <v/>
      </c>
      <c r="AE20" s="1224" t="str">
        <v/>
      </c>
      <c r="AF20" s="1224" t="str">
        <v/>
      </c>
      <c r="AG20" s="1224" t="str">
        <v/>
      </c>
      <c r="AH20" s="1224" t="str">
        <v/>
      </c>
      <c r="AI20" s="1224" t="str">
        <v/>
      </c>
      <c r="AJ20" s="1224" t="str">
        <v/>
      </c>
      <c r="AK20" s="1224" t="str">
        <v/>
      </c>
      <c r="AL20" s="1224" t="str">
        <v/>
      </c>
      <c r="AM20" s="1224" t="str">
        <v/>
      </c>
      <c r="AN20" s="1224" t="str">
        <v/>
      </c>
      <c r="AO20" s="1224" t="str">
        <v/>
      </c>
      <c r="AP20" s="1224" t="str">
        <v/>
      </c>
      <c r="AQ20" s="1224" t="str">
        <v/>
      </c>
      <c r="AR20" s="1224" t="str">
        <v/>
      </c>
      <c r="AS20" s="1224" t="str">
        <v/>
      </c>
      <c r="AT20" s="1224" t="str">
        <v/>
      </c>
      <c r="AU20" s="1224" t="str">
        <v/>
      </c>
      <c r="AV20" s="1224" t="str">
        <v/>
      </c>
      <c r="AW20" s="1224" t="str">
        <v/>
      </c>
      <c r="AX20" s="1224" t="str">
        <v/>
      </c>
      <c r="AY20" s="1224" t="str">
        <v/>
      </c>
      <c r="AZ20" s="1224" t="str">
        <v/>
      </c>
      <c r="BA20" s="1224" t="str">
        <v/>
      </c>
      <c r="BB20" s="1224" t="str">
        <v/>
      </c>
      <c r="BC20" s="1224" t="str">
        <v/>
      </c>
      <c r="BD20" s="1224" t="str">
        <v/>
      </c>
      <c r="BE20" s="1224" t="str">
        <v/>
      </c>
      <c r="BF20" s="1224" t="str">
        <v/>
      </c>
      <c r="BG20" s="1224" t="str">
        <v/>
      </c>
      <c r="BH20" s="1224" t="str">
        <v/>
      </c>
      <c r="BI20" s="1224" t="str">
        <v/>
      </c>
      <c r="BJ20" s="1224" t="str">
        <v/>
      </c>
      <c r="BK20" s="1224" t="str">
        <v/>
      </c>
      <c r="BL20" s="1224" t="str">
        <v/>
      </c>
      <c r="BM20" s="1224" t="str">
        <v/>
      </c>
      <c r="BN20" s="1224" t="str">
        <v/>
      </c>
      <c r="BO20" s="1224" t="str">
        <v/>
      </c>
      <c r="BP20" s="1224" t="str">
        <v/>
      </c>
      <c r="BQ20" s="1224" t="str">
        <v/>
      </c>
      <c r="BR20" s="1224" t="str">
        <v/>
      </c>
      <c r="BS20" s="1224" t="str">
        <v/>
      </c>
      <c r="BT20" s="1224" t="str">
        <v/>
      </c>
      <c r="BU20" s="1224" t="str">
        <v/>
      </c>
      <c r="BV20" s="1224" t="str">
        <v/>
      </c>
      <c r="BW20" s="1224" t="str">
        <v/>
      </c>
      <c r="BX20" s="1224" t="str">
        <v/>
      </c>
      <c r="BY20" s="1224" t="str">
        <v>Run</v>
      </c>
      <c r="BZ20" s="1224" t="str">
        <v/>
      </c>
      <c r="CA20" s="1224" t="str">
        <v/>
      </c>
      <c r="CB20" s="1224" t="str">
        <v>Indoor</v>
      </c>
      <c r="CC20" s="1224" t="str">
        <v/>
      </c>
      <c r="CD20" s="1224" t="str">
        <v/>
      </c>
      <c r="CE20" s="1224" t="str">
        <v/>
      </c>
      <c r="CF20" s="1224" t="str">
        <v/>
      </c>
      <c r="CG20" s="1224" t="str">
        <v/>
      </c>
      <c r="CH20" s="1224" t="str">
        <v/>
      </c>
      <c r="CI20" s="1224" t="str">
        <v/>
      </c>
      <c r="CJ20" s="1224" t="str">
        <v/>
      </c>
      <c r="CK20" s="1224" t="str">
        <v/>
      </c>
      <c r="CL20" s="1224" t="str">
        <v/>
      </c>
      <c r="CM20" s="1224" t="str">
        <v/>
      </c>
      <c r="CN20" s="1224" t="str">
        <v/>
      </c>
      <c r="CO20" s="1224" t="str">
        <v/>
      </c>
      <c r="CP20" s="1224" t="str">
        <v/>
      </c>
      <c r="CQ20" s="1224" t="str">
        <v/>
      </c>
      <c r="CR20" s="1224" t="str">
        <v/>
      </c>
      <c r="CS20" s="1224" t="str">
        <v/>
      </c>
      <c r="CT20" s="1224" t="str">
        <v/>
      </c>
      <c r="CU20" s="1224" t="str">
        <v/>
      </c>
      <c r="CV20" s="1224" t="str">
        <v/>
      </c>
      <c r="CW20" s="1224" t="str">
        <v/>
      </c>
      <c r="CX20" s="1224" t="str">
        <v/>
      </c>
      <c r="CY20" s="1223" t="str">
        <v/>
      </c>
      <c r="CZ20" s="1224" t="str">
        <v/>
      </c>
      <c r="DA20" s="1224" t="str">
        <v/>
      </c>
      <c r="DB20" s="1224" t="str">
        <v/>
      </c>
      <c r="DC20" s="1224" t="str">
        <v/>
      </c>
      <c r="DD20" s="1224" t="str">
        <v/>
      </c>
      <c r="DE20" s="1224" t="str">
        <v/>
      </c>
      <c r="DF20" s="1224" t="str">
        <v/>
      </c>
      <c r="DG20" s="1224" t="str">
        <v/>
      </c>
      <c r="DH20" s="1224" t="str">
        <v/>
      </c>
      <c r="DI20" s="1224" t="str">
        <v/>
      </c>
      <c r="DJ20" s="1224" t="str">
        <v/>
      </c>
      <c r="DK20" s="1224" t="str">
        <v/>
      </c>
      <c r="DL20" s="1224" t="str">
        <v/>
      </c>
      <c r="DM20" s="1224" t="str">
        <v/>
      </c>
      <c r="DN20" s="1224" t="str">
        <v/>
      </c>
      <c r="DO20" s="1224" t="str">
        <v/>
      </c>
      <c r="DP20" s="1224" t="str">
        <v/>
      </c>
      <c r="DQ20" s="1224" t="str">
        <v/>
      </c>
      <c r="DR20" s="1224" t="str">
        <v/>
      </c>
      <c r="DS20" s="1224" t="str">
        <v/>
      </c>
      <c r="DT20" s="1224" t="str">
        <v/>
      </c>
      <c r="DU20" s="1224" t="str">
        <v/>
      </c>
      <c r="DV20" s="1224" t="str">
        <v/>
      </c>
      <c r="DW20" s="1224" t="str">
        <v/>
      </c>
      <c r="DX20" s="1224" t="str">
        <v/>
      </c>
      <c r="DY20" s="1224" t="str">
        <v/>
      </c>
      <c r="DZ20" s="1224" t="str">
        <v/>
      </c>
      <c r="EA20" s="1224" t="str">
        <v/>
      </c>
      <c r="EB20" s="1224" t="str">
        <v/>
      </c>
      <c r="EC20" s="1224" t="str">
        <v/>
      </c>
      <c r="ED20" s="1224" t="str">
        <v/>
      </c>
      <c r="EE20" s="1224" t="str">
        <v/>
      </c>
      <c r="EF20" s="1224" t="str">
        <v/>
      </c>
      <c r="EG20" s="1224" t="str">
        <v/>
      </c>
      <c r="EH20" s="1224" t="str">
        <v/>
      </c>
      <c r="EI20" s="1224" t="str">
        <v/>
      </c>
      <c r="EJ20" s="1224" t="str">
        <v/>
      </c>
      <c r="EK20" s="1224" t="str">
        <v/>
      </c>
      <c r="EL20" s="1224" t="str">
        <v/>
      </c>
      <c r="EM20" s="1224" t="str">
        <v/>
      </c>
      <c r="EN20" s="1224" t="str">
        <v/>
      </c>
      <c r="EO20" s="1224" t="str">
        <v/>
      </c>
      <c r="EP20" s="1224" t="str">
        <v/>
      </c>
      <c r="EQ20" s="1224" t="str">
        <v/>
      </c>
      <c r="ER20" s="1224" t="str">
        <v/>
      </c>
      <c r="ES20" s="1224" t="str">
        <v/>
      </c>
      <c r="ET20" s="1224" t="str">
        <v/>
      </c>
      <c r="EU20" s="1224" t="str">
        <v/>
      </c>
      <c r="EV20" s="1224" t="str">
        <v/>
      </c>
      <c r="EW20" s="1224" t="str">
        <v/>
      </c>
      <c r="EX20" s="1224" t="str">
        <v/>
      </c>
      <c r="EY20" s="1224" t="str">
        <v/>
      </c>
      <c r="EZ20" s="1224" t="str">
        <v/>
      </c>
      <c r="FA20" s="1224" t="str">
        <v/>
      </c>
      <c r="FB20" s="1224" t="str">
        <v/>
      </c>
      <c r="FC20" s="1224" t="str">
        <v/>
      </c>
      <c r="FD20" s="1224" t="str">
        <v/>
      </c>
      <c r="FE20" s="1224" t="str">
        <v/>
      </c>
      <c r="FF20" s="1224" t="str">
        <v/>
      </c>
      <c r="FG20" s="1224" t="str">
        <v/>
      </c>
      <c r="FH20" s="1224" t="str">
        <v/>
      </c>
      <c r="FI20" s="1224" t="str">
        <v/>
      </c>
      <c r="FJ20" s="1224" t="str">
        <v/>
      </c>
      <c r="FK20" s="1224" t="str">
        <v/>
      </c>
      <c r="FL20" s="1224" t="str">
        <v/>
      </c>
      <c r="FM20" s="1224" t="str">
        <v/>
      </c>
      <c r="FN20" s="1224" t="str">
        <v/>
      </c>
      <c r="FO20" s="1224" t="str">
        <v/>
      </c>
      <c r="FP20" s="1224" t="str">
        <v/>
      </c>
      <c r="FQ20" s="1224" t="str">
        <v/>
      </c>
      <c r="FR20" s="1224" t="str">
        <v/>
      </c>
      <c r="FS20" s="1224" t="str">
        <v/>
      </c>
      <c r="FT20" s="1224" t="str">
        <v/>
      </c>
      <c r="FU20" s="1224" t="str">
        <v/>
      </c>
      <c r="FV20" s="1224" t="str">
        <v/>
      </c>
      <c r="FW20" s="1224" t="str">
        <v/>
      </c>
      <c r="FX20" s="1224" t="str">
        <v/>
      </c>
      <c r="FY20" s="1224" t="str">
        <v/>
      </c>
      <c r="FZ20" s="1224" t="str">
        <v/>
      </c>
      <c r="GA20" s="1224" t="str">
        <v/>
      </c>
      <c r="GB20" s="1224" t="str">
        <v/>
      </c>
      <c r="GC20" s="1224" t="str">
        <v/>
      </c>
      <c r="GD20" s="1224" t="str">
        <v/>
      </c>
      <c r="GE20" s="1224" t="str">
        <v/>
      </c>
      <c r="GF20" s="1224" t="str">
        <v/>
      </c>
      <c r="GG20" s="1224" t="str">
        <v/>
      </c>
      <c r="GH20" s="1224" t="str">
        <v/>
      </c>
      <c r="GI20" s="1224" t="str">
        <v/>
      </c>
      <c r="GJ20" s="1224" t="str">
        <v/>
      </c>
      <c r="GK20" s="1224" t="str">
        <v/>
      </c>
      <c r="GL20" s="1224" t="str">
        <v/>
      </c>
      <c r="GM20" s="1224" t="str">
        <v/>
      </c>
      <c r="GN20" s="1224" t="str">
        <v/>
      </c>
      <c r="GO20" s="1224" t="str">
        <v/>
      </c>
      <c r="GP20" s="1224" t="str">
        <v/>
      </c>
      <c r="GQ20" s="1224" t="str">
        <v/>
      </c>
      <c r="GR20" s="1224" t="str">
        <v/>
      </c>
      <c r="GS20" s="1224" t="str">
        <v/>
      </c>
      <c r="GT20" s="1224" t="str">
        <v/>
      </c>
      <c r="GU20" s="1224" t="str">
        <v/>
      </c>
      <c r="GV20" s="1224" t="str">
        <v/>
      </c>
      <c r="GW20" s="1224" t="str">
        <v/>
      </c>
      <c r="GX20" s="1224" t="str">
        <v/>
      </c>
      <c r="GY20" s="1224" t="str">
        <v/>
      </c>
      <c r="GZ20" s="1224" t="str">
        <v/>
      </c>
      <c r="HA20" s="1224" t="str">
        <v/>
      </c>
      <c r="HB20" s="1224" t="str">
        <v/>
      </c>
      <c r="HC20" s="1224" t="str">
        <v/>
      </c>
      <c r="HD20" s="1224" t="str">
        <v/>
      </c>
      <c r="HE20" s="1224" t="str">
        <v/>
      </c>
      <c r="HF20" s="1224" t="str">
        <v/>
      </c>
      <c r="HG20" s="1224" t="str">
        <v/>
      </c>
      <c r="HH20" s="1224" t="str">
        <v/>
      </c>
      <c r="HI20" s="1224" t="str">
        <v/>
      </c>
      <c r="HJ20" s="1224" t="str">
        <v/>
      </c>
      <c r="HK20" s="1224" t="str">
        <v/>
      </c>
      <c r="HL20" s="1224" t="str">
        <v/>
      </c>
      <c r="HM20" s="1224" t="str">
        <v/>
      </c>
      <c r="HN20" s="1224" t="str">
        <v/>
      </c>
      <c r="HO20" s="1224" t="str">
        <v/>
      </c>
      <c r="HP20" s="1224" t="str">
        <v/>
      </c>
      <c r="HQ20" s="1224" t="str">
        <v/>
      </c>
      <c r="HR20" s="1224" t="str">
        <v/>
      </c>
      <c r="HS20" s="1224" t="str">
        <v/>
      </c>
      <c r="HT20" s="1224" t="str">
        <v/>
      </c>
      <c r="HU20" s="1224" t="str">
        <v/>
      </c>
      <c r="HV20" s="1224" t="str">
        <v/>
      </c>
      <c r="HW20" s="1224" t="str">
        <v/>
      </c>
      <c r="HX20" s="1224" t="str">
        <v/>
      </c>
      <c r="HY20" s="1224" t="str">
        <v/>
      </c>
      <c r="HZ20" s="1224" t="str">
        <v/>
      </c>
      <c r="IA20" s="1224" t="str">
        <v/>
      </c>
      <c r="IB20" s="1224" t="str">
        <v/>
      </c>
      <c r="IC20" s="1224" t="str">
        <v/>
      </c>
      <c r="ID20" s="1224" t="str">
        <v/>
      </c>
      <c r="IE20" s="1224" t="str">
        <v/>
      </c>
      <c r="IF20" s="1224" t="str">
        <v/>
      </c>
      <c r="IG20" s="1224" t="str">
        <v/>
      </c>
      <c r="IH20" s="1224" t="str">
        <v/>
      </c>
      <c r="II20" s="1224" t="str">
        <v/>
      </c>
      <c r="IJ20" s="1224" t="str">
        <v/>
      </c>
      <c r="IK20" s="1224" t="str">
        <v/>
      </c>
      <c r="IL20" s="1224" t="str">
        <v/>
      </c>
      <c r="IM20" s="1224" t="str">
        <v/>
      </c>
      <c r="IN20" s="1224" t="str">
        <v/>
      </c>
      <c r="IO20" s="1224" t="str">
        <v/>
      </c>
      <c r="IP20" s="1224" t="str">
        <v/>
      </c>
      <c r="IQ20" s="1224" t="str">
        <v/>
      </c>
      <c r="IR20" s="1224" t="str">
        <v/>
      </c>
      <c r="IS20" s="1224" t="str">
        <v/>
      </c>
      <c r="IT20" s="1224" t="str">
        <v/>
      </c>
      <c r="IU20" s="1224" t="str">
        <v/>
      </c>
      <c r="IV20" s="1224" t="str">
        <v/>
      </c>
      <c r="IW20" s="1224" t="str">
        <v/>
      </c>
      <c r="IX20" s="1224" t="str">
        <v/>
      </c>
      <c r="IY20" s="1224" t="str">
        <v/>
      </c>
      <c r="IZ20" s="1224" t="str">
        <v/>
      </c>
      <c r="JA20" s="1224" t="str">
        <v/>
      </c>
      <c r="JB20" s="1224" t="str">
        <v/>
      </c>
      <c r="JC20" s="1224" t="str">
        <v/>
      </c>
      <c r="JD20" s="1224" t="str">
        <v/>
      </c>
      <c r="JE20" s="1224" t="str">
        <v/>
      </c>
      <c r="JF20" s="1224" t="str">
        <v/>
      </c>
      <c r="JG20" s="1224" t="str">
        <v/>
      </c>
      <c r="JH20" s="1224" t="str">
        <v/>
      </c>
      <c r="JI20" s="1224" t="str">
        <v/>
      </c>
      <c r="JJ20" s="1224" t="str">
        <v/>
      </c>
      <c r="JK20" s="1224" t="str">
        <v/>
      </c>
      <c r="JL20" s="1224" t="str">
        <v/>
      </c>
      <c r="JM20" s="1224" t="str">
        <v/>
      </c>
      <c r="JN20" s="1224" t="str">
        <v/>
      </c>
      <c r="JO20" s="1224" t="str">
        <v/>
      </c>
      <c r="JP20" s="1224" t="str">
        <v/>
      </c>
      <c r="JQ20" s="1224" t="str">
        <v/>
      </c>
      <c r="JR20" s="1224" t="str">
        <v/>
      </c>
      <c r="JS20" s="1224" t="str">
        <v/>
      </c>
      <c r="JT20" s="1224" t="str">
        <v/>
      </c>
      <c r="JU20" s="1224" t="str">
        <v/>
      </c>
      <c r="JV20" s="1224" t="str">
        <v/>
      </c>
      <c r="JW20" s="1224" t="str">
        <v/>
      </c>
      <c r="JX20" s="1224" t="str">
        <v/>
      </c>
      <c r="JY20" s="1224" t="str">
        <v/>
      </c>
      <c r="JZ20" s="1224" t="str">
        <v/>
      </c>
      <c r="KA20" s="1224" t="str">
        <v/>
      </c>
      <c r="KB20" s="1224" t="str">
        <v/>
      </c>
      <c r="KC20" s="1224" t="str">
        <v/>
      </c>
      <c r="KD20" s="1224" t="str">
        <v/>
      </c>
      <c r="KE20" s="1224" t="str">
        <v/>
      </c>
      <c r="KF20" s="1224" t="str">
        <v/>
      </c>
      <c r="KG20" s="1224" t="str">
        <v/>
      </c>
      <c r="KH20" s="1224" t="str">
        <v/>
      </c>
      <c r="KI20" s="1224" t="str">
        <v/>
      </c>
      <c r="KJ20" s="1224" t="str">
        <v/>
      </c>
      <c r="KK20" s="1224" t="str">
        <v/>
      </c>
      <c r="KL20" s="1224" t="str">
        <v/>
      </c>
      <c r="KM20" s="1224" t="str">
        <v/>
      </c>
      <c r="KN20" s="1224" t="str">
        <v/>
      </c>
      <c r="KO20" s="1224" t="str">
        <v/>
      </c>
      <c r="KP20" s="1225" t="str">
        <v/>
      </c>
      <c r="KQ20" s="700"/>
    </row>
    <row r="21" spans="1:303" s="188" customFormat="1" hidden="1" x14ac:dyDescent="0.45">
      <c r="A21" s="1325"/>
      <c r="B21" s="991" t="s">
        <v>306</v>
      </c>
      <c r="C21" s="1227" t="str">
        <f t="array" ref="C21:KP23">IF(sessions_elements="","",
HLOOKUP(sessions_sport, sports, 5,FALSE))</f>
        <v>Running</v>
      </c>
      <c r="D21" s="1227" t="str">
        <v>Running</v>
      </c>
      <c r="E21" s="1227" t="str">
        <v>Running</v>
      </c>
      <c r="F21" s="1228" t="str">
        <v>Trail Running</v>
      </c>
      <c r="G21" s="1228" t="str">
        <v>Trail Running</v>
      </c>
      <c r="H21" s="1228" t="str">
        <v>Running</v>
      </c>
      <c r="I21" s="1228" t="str">
        <v>Running</v>
      </c>
      <c r="J21" s="1228" t="str">
        <v>Running</v>
      </c>
      <c r="K21" s="1228" t="str">
        <v>Running</v>
      </c>
      <c r="L21" s="1228" t="str">
        <v>Running</v>
      </c>
      <c r="M21" s="1228" t="str">
        <v>Running</v>
      </c>
      <c r="N21" s="1228" t="str">
        <v>Running</v>
      </c>
      <c r="O21" s="1228" t="str">
        <v>Running</v>
      </c>
      <c r="P21" s="1228" t="str">
        <v>Running</v>
      </c>
      <c r="Q21" s="1228" t="str">
        <v>Running</v>
      </c>
      <c r="R21" s="1228" t="str">
        <v>Trail Running</v>
      </c>
      <c r="S21" s="1228" t="str">
        <v>Trail Running</v>
      </c>
      <c r="T21" s="1228" t="str">
        <v>Trail Running</v>
      </c>
      <c r="U21" s="1228" t="str">
        <v>Trail Running</v>
      </c>
      <c r="V21" s="1228" t="str">
        <v>Trail Running</v>
      </c>
      <c r="W21" s="1228" t="str">
        <v>Trail Running</v>
      </c>
      <c r="X21" s="1228" t="str">
        <v>Running</v>
      </c>
      <c r="Y21" s="1228" t="str">
        <v>Running</v>
      </c>
      <c r="Z21" s="1228" t="str">
        <v>Trail Running</v>
      </c>
      <c r="AA21" s="1228" t="str">
        <v>Trail Running</v>
      </c>
      <c r="AB21" s="1228" t="str">
        <v>Trail Running</v>
      </c>
      <c r="AC21" s="1228" t="str">
        <v>Trail Running</v>
      </c>
      <c r="AD21" s="1228" t="str">
        <v>Trail Running</v>
      </c>
      <c r="AE21" s="1228" t="str">
        <v>Trail Running</v>
      </c>
      <c r="AF21" s="1228" t="str">
        <v>Trail Running</v>
      </c>
      <c r="AG21" s="1228" t="str">
        <v>Trail Running</v>
      </c>
      <c r="AH21" s="1228" t="str">
        <v>Trail Running</v>
      </c>
      <c r="AI21" s="1228" t="str">
        <v>Trail Running</v>
      </c>
      <c r="AJ21" s="1228" t="str">
        <v>Trail Running</v>
      </c>
      <c r="AK21" s="1228" t="str">
        <v/>
      </c>
      <c r="AL21" s="1228" t="str">
        <v/>
      </c>
      <c r="AM21" s="1228" t="str">
        <v/>
      </c>
      <c r="AN21" s="1228" t="str">
        <v/>
      </c>
      <c r="AO21" s="1228" t="str">
        <v/>
      </c>
      <c r="AP21" s="1228" t="str">
        <v/>
      </c>
      <c r="AQ21" s="1228" t="str">
        <v>Running</v>
      </c>
      <c r="AR21" s="1228" t="str">
        <v>Running</v>
      </c>
      <c r="AS21" s="1228" t="str">
        <v>Running</v>
      </c>
      <c r="AT21" s="1228" t="str">
        <v>Running</v>
      </c>
      <c r="AU21" s="1228" t="str">
        <v>Running</v>
      </c>
      <c r="AV21" s="1228" t="str">
        <v>Running</v>
      </c>
      <c r="AW21" s="1228" t="str">
        <v>Running</v>
      </c>
      <c r="AX21" s="1228" t="str">
        <v>Running</v>
      </c>
      <c r="AY21" s="1228" t="str">
        <v>Running</v>
      </c>
      <c r="AZ21" s="1228" t="str">
        <v>Running</v>
      </c>
      <c r="BA21" s="1228" t="str">
        <v>Running</v>
      </c>
      <c r="BB21" s="1228" t="str">
        <v>Running</v>
      </c>
      <c r="BC21" s="1228" t="str">
        <v/>
      </c>
      <c r="BD21" s="1228" t="str">
        <v/>
      </c>
      <c r="BE21" s="1228" t="str">
        <v/>
      </c>
      <c r="BF21" s="1228" t="str">
        <v/>
      </c>
      <c r="BG21" s="1228" t="str">
        <v/>
      </c>
      <c r="BH21" s="1228" t="str">
        <v/>
      </c>
      <c r="BI21" s="1228" t="str">
        <v/>
      </c>
      <c r="BJ21" s="1228" t="str">
        <v/>
      </c>
      <c r="BK21" s="1228" t="str">
        <v>Running</v>
      </c>
      <c r="BL21" s="1228" t="str">
        <v>Running</v>
      </c>
      <c r="BM21" s="1228" t="str">
        <v>Running</v>
      </c>
      <c r="BN21" s="1228" t="str">
        <v>Running</v>
      </c>
      <c r="BO21" s="1228" t="str">
        <v>Running</v>
      </c>
      <c r="BP21" s="1228" t="str">
        <v>Running</v>
      </c>
      <c r="BQ21" s="1228" t="str">
        <v>Running</v>
      </c>
      <c r="BR21" s="1228" t="str">
        <v>Running</v>
      </c>
      <c r="BS21" s="1228" t="str">
        <v>Running</v>
      </c>
      <c r="BT21" s="1228" t="str">
        <v/>
      </c>
      <c r="BU21" s="1228" t="str">
        <v>Running</v>
      </c>
      <c r="BV21" s="1228" t="str">
        <v>Running</v>
      </c>
      <c r="BW21" s="1228" t="str">
        <v>Running</v>
      </c>
      <c r="BX21" s="1228" t="str">
        <v>Running</v>
      </c>
      <c r="BY21" s="1228" t="str">
        <v>Running</v>
      </c>
      <c r="BZ21" s="1228" t="str">
        <v>Strength</v>
      </c>
      <c r="CA21" s="1228" t="str">
        <v>Strength</v>
      </c>
      <c r="CB21" s="1228" t="str">
        <v>Running</v>
      </c>
      <c r="CC21" s="1228" t="str">
        <v>Strength</v>
      </c>
      <c r="CD21" s="1228" t="str">
        <v>Running</v>
      </c>
      <c r="CE21" s="1228" t="str">
        <v>Trail Running</v>
      </c>
      <c r="CF21" s="1228" t="str">
        <v>Trail Running</v>
      </c>
      <c r="CG21" s="1228" t="str">
        <v>Trail Running</v>
      </c>
      <c r="CH21" s="1228" t="str">
        <v>Trail Running</v>
      </c>
      <c r="CI21" s="1228" t="str">
        <v>Trail Running</v>
      </c>
      <c r="CJ21" s="1228" t="str">
        <v>Trail Running</v>
      </c>
      <c r="CK21" s="1228" t="str">
        <v>Trail Running</v>
      </c>
      <c r="CL21" s="1228" t="str">
        <v>Trail Running</v>
      </c>
      <c r="CM21" s="1228" t="str">
        <v>Trail Running</v>
      </c>
      <c r="CN21" s="1228" t="str">
        <v>Trail Running</v>
      </c>
      <c r="CO21" s="1228" t="str">
        <v>Trail Running</v>
      </c>
      <c r="CP21" s="1228" t="str">
        <v>Trail Running</v>
      </c>
      <c r="CQ21" s="1228" t="str">
        <v>Trail Running</v>
      </c>
      <c r="CR21" s="1228" t="str">
        <v>Trail Running</v>
      </c>
      <c r="CS21" s="1228" t="str">
        <v>Trail Running</v>
      </c>
      <c r="CT21" s="1228" t="str">
        <v>Trail Running</v>
      </c>
      <c r="CU21" s="1228" t="str">
        <v>Trail Running</v>
      </c>
      <c r="CV21" s="1228" t="str">
        <v>Trail Running</v>
      </c>
      <c r="CW21" s="1228" t="str">
        <v>Trail Running</v>
      </c>
      <c r="CX21" s="1228" t="str">
        <v>Trail Running</v>
      </c>
      <c r="CY21" s="1227" t="str">
        <v>Cycling</v>
      </c>
      <c r="CZ21" s="1228" t="str">
        <v>Cycling</v>
      </c>
      <c r="DA21" s="1228" t="str">
        <v>Cycling</v>
      </c>
      <c r="DB21" s="1228" t="str">
        <v>Cycling</v>
      </c>
      <c r="DC21" s="1228" t="str">
        <v>Cycling</v>
      </c>
      <c r="DD21" s="1228" t="str">
        <v>Cycling</v>
      </c>
      <c r="DE21" s="1228" t="str">
        <v>Cycling</v>
      </c>
      <c r="DF21" s="1228" t="str">
        <v>Cycling</v>
      </c>
      <c r="DG21" s="1228" t="str">
        <v>Cycling</v>
      </c>
      <c r="DH21" s="1228" t="str">
        <v>Cycling</v>
      </c>
      <c r="DI21" s="1228" t="str">
        <v>Cycling</v>
      </c>
      <c r="DJ21" s="1228" t="str">
        <v>Cycling</v>
      </c>
      <c r="DK21" s="1228" t="str">
        <v>Cycling</v>
      </c>
      <c r="DL21" s="1228" t="str">
        <v>Cycling</v>
      </c>
      <c r="DM21" s="1228" t="str">
        <v>Cycling</v>
      </c>
      <c r="DN21" s="1228" t="str">
        <v>Cycling</v>
      </c>
      <c r="DO21" s="1228" t="str">
        <v>Cycling</v>
      </c>
      <c r="DP21" s="1228" t="str">
        <v>Cycling</v>
      </c>
      <c r="DQ21" s="1228" t="str">
        <v>Cycling</v>
      </c>
      <c r="DR21" s="1228" t="str">
        <v>Cycling</v>
      </c>
      <c r="DS21" s="1228" t="str">
        <v>Cycling</v>
      </c>
      <c r="DT21" s="1228" t="str">
        <v>Cycling</v>
      </c>
      <c r="DU21" s="1228" t="str">
        <v>Cycling</v>
      </c>
      <c r="DV21" s="1228" t="str">
        <v>Cycling</v>
      </c>
      <c r="DW21" s="1228" t="str">
        <v>Cycling</v>
      </c>
      <c r="DX21" s="1228" t="str">
        <v>Cycling</v>
      </c>
      <c r="DY21" s="1228" t="str">
        <v>Cycling</v>
      </c>
      <c r="DZ21" s="1228" t="str">
        <v>Cycling</v>
      </c>
      <c r="EA21" s="1228" t="str">
        <v>Cycling</v>
      </c>
      <c r="EB21" s="1228" t="str">
        <v>Cycling</v>
      </c>
      <c r="EC21" s="1228" t="str">
        <v>Cycling</v>
      </c>
      <c r="ED21" s="1228" t="str">
        <v>Cycling</v>
      </c>
      <c r="EE21" s="1228" t="str">
        <v>Cycling</v>
      </c>
      <c r="EF21" s="1228" t="str">
        <v>Cycling</v>
      </c>
      <c r="EG21" s="1228" t="str">
        <v/>
      </c>
      <c r="EH21" s="1228" t="str">
        <v/>
      </c>
      <c r="EI21" s="1228" t="str">
        <v/>
      </c>
      <c r="EJ21" s="1228" t="str">
        <v/>
      </c>
      <c r="EK21" s="1228" t="str">
        <v/>
      </c>
      <c r="EL21" s="1228" t="str">
        <v/>
      </c>
      <c r="EM21" s="1228" t="str">
        <v/>
      </c>
      <c r="EN21" s="1228" t="str">
        <v/>
      </c>
      <c r="EO21" s="1228" t="str">
        <v/>
      </c>
      <c r="EP21" s="1228" t="str">
        <v/>
      </c>
      <c r="EQ21" s="1228" t="str">
        <v/>
      </c>
      <c r="ER21" s="1228" t="str">
        <v/>
      </c>
      <c r="ES21" s="1228" t="str">
        <v/>
      </c>
      <c r="ET21" s="1228" t="str">
        <v/>
      </c>
      <c r="EU21" s="1228" t="str">
        <v/>
      </c>
      <c r="EV21" s="1228" t="str">
        <v/>
      </c>
      <c r="EW21" s="1228" t="str">
        <v/>
      </c>
      <c r="EX21" s="1228" t="str">
        <v/>
      </c>
      <c r="EY21" s="1228" t="str">
        <v/>
      </c>
      <c r="EZ21" s="1228" t="str">
        <v/>
      </c>
      <c r="FA21" s="1228" t="str">
        <v/>
      </c>
      <c r="FB21" s="1228" t="str">
        <v/>
      </c>
      <c r="FC21" s="1228" t="str">
        <v/>
      </c>
      <c r="FD21" s="1228" t="str">
        <v/>
      </c>
      <c r="FE21" s="1228" t="str">
        <v/>
      </c>
      <c r="FF21" s="1228" t="str">
        <v/>
      </c>
      <c r="FG21" s="1228" t="str">
        <v>Cycling</v>
      </c>
      <c r="FH21" s="1228" t="str">
        <v>Cycling</v>
      </c>
      <c r="FI21" s="1228" t="str">
        <v>Cycling</v>
      </c>
      <c r="FJ21" s="1228" t="str">
        <v>Cycling</v>
      </c>
      <c r="FK21" s="1228" t="str">
        <v>Cycling</v>
      </c>
      <c r="FL21" s="1228" t="str">
        <v>Cycling</v>
      </c>
      <c r="FM21" s="1228" t="str">
        <v>Cycling</v>
      </c>
      <c r="FN21" s="1228" t="str">
        <v>Cycling</v>
      </c>
      <c r="FO21" s="1228" t="str">
        <v>Cycling</v>
      </c>
      <c r="FP21" s="1228" t="str">
        <v>Cycling</v>
      </c>
      <c r="FQ21" s="1228" t="str">
        <v/>
      </c>
      <c r="FR21" s="1228" t="str">
        <v/>
      </c>
      <c r="FS21" s="1228" t="str">
        <v/>
      </c>
      <c r="FT21" s="1228" t="str">
        <v/>
      </c>
      <c r="FU21" s="1228" t="str">
        <v/>
      </c>
      <c r="FV21" s="1228" t="str">
        <v/>
      </c>
      <c r="FW21" s="1228" t="str">
        <v/>
      </c>
      <c r="FX21" s="1228" t="str">
        <v/>
      </c>
      <c r="FY21" s="1228" t="str">
        <v/>
      </c>
      <c r="FZ21" s="1228" t="str">
        <v/>
      </c>
      <c r="GA21" s="1228" t="str">
        <v>Cycling</v>
      </c>
      <c r="GB21" s="1228" t="str">
        <v>Cycling</v>
      </c>
      <c r="GC21" s="1228" t="str">
        <v>Cycling</v>
      </c>
      <c r="GD21" s="1228" t="str">
        <v>Cycling</v>
      </c>
      <c r="GE21" s="1228" t="str">
        <v>Cycling</v>
      </c>
      <c r="GF21" s="1228" t="str">
        <v>Cycling</v>
      </c>
      <c r="GG21" s="1228" t="str">
        <v>Cycling</v>
      </c>
      <c r="GH21" s="1228" t="str">
        <v>Cycling</v>
      </c>
      <c r="GI21" s="1228" t="str">
        <v>Cycling</v>
      </c>
      <c r="GJ21" s="1228" t="str">
        <v>Cycling</v>
      </c>
      <c r="GK21" s="1228" t="str">
        <v>Cycling</v>
      </c>
      <c r="GL21" s="1228" t="str">
        <v>Cycling</v>
      </c>
      <c r="GM21" s="1228" t="str">
        <v>Cycling</v>
      </c>
      <c r="GN21" s="1228" t="str">
        <v>Cycling</v>
      </c>
      <c r="GO21" s="1228" t="str">
        <v>Cycling</v>
      </c>
      <c r="GP21" s="1228" t="str">
        <v/>
      </c>
      <c r="GQ21" s="1228" t="str">
        <v/>
      </c>
      <c r="GR21" s="1228" t="str">
        <v/>
      </c>
      <c r="GS21" s="1228" t="str">
        <v/>
      </c>
      <c r="GT21" s="1228" t="str">
        <v/>
      </c>
      <c r="GU21" s="1228" t="str">
        <v>Swimming</v>
      </c>
      <c r="GV21" s="1228" t="str">
        <v>Swimming</v>
      </c>
      <c r="GW21" s="1228" t="str">
        <v>Swimming</v>
      </c>
      <c r="GX21" s="1228" t="str">
        <v>Swimming</v>
      </c>
      <c r="GY21" s="1228" t="str">
        <v>Open Water Swim</v>
      </c>
      <c r="GZ21" s="1228" t="str">
        <v/>
      </c>
      <c r="HA21" s="1228" t="str">
        <v/>
      </c>
      <c r="HB21" s="1228" t="str">
        <v>Swimming</v>
      </c>
      <c r="HC21" s="1228" t="str">
        <v>Swimming</v>
      </c>
      <c r="HD21" s="1228" t="str">
        <v>Swimming</v>
      </c>
      <c r="HE21" s="1228" t="str">
        <v>Swimming</v>
      </c>
      <c r="HF21" s="1228" t="str">
        <v>Swimming</v>
      </c>
      <c r="HG21" s="1228" t="str">
        <v>Swimming</v>
      </c>
      <c r="HH21" s="1228" t="str">
        <v>Swimming</v>
      </c>
      <c r="HI21" s="1228" t="str">
        <v>Swimming</v>
      </c>
      <c r="HJ21" s="1228" t="str">
        <v>Open Water Swim</v>
      </c>
      <c r="HK21" s="1228" t="str">
        <v>Open Water Swim</v>
      </c>
      <c r="HL21" s="1228" t="str">
        <v>Open Water Swim</v>
      </c>
      <c r="HM21" s="1228" t="str">
        <v>Open Water Swim</v>
      </c>
      <c r="HN21" s="1228" t="str">
        <v>Open Water Swim</v>
      </c>
      <c r="HO21" s="1228" t="str">
        <v>Kayaking</v>
      </c>
      <c r="HP21" s="1228" t="str">
        <v>Kayaking</v>
      </c>
      <c r="HQ21" s="1228" t="str">
        <v>Kayaking</v>
      </c>
      <c r="HR21" s="1228" t="str">
        <v>Kayaking</v>
      </c>
      <c r="HS21" s="1228" t="str">
        <v>Kayaking</v>
      </c>
      <c r="HT21" s="1228" t="str">
        <v/>
      </c>
      <c r="HU21" s="1228" t="str">
        <v/>
      </c>
      <c r="HV21" s="1228" t="str">
        <v>Kayaking</v>
      </c>
      <c r="HW21" s="1228" t="str">
        <v>Kayaking</v>
      </c>
      <c r="HX21" s="1228" t="str">
        <v>Kayaking</v>
      </c>
      <c r="HY21" s="1228" t="str">
        <v>Kayaking</v>
      </c>
      <c r="HZ21" s="1228" t="str">
        <v>Kayaking</v>
      </c>
      <c r="IA21" s="1228" t="str">
        <v>Kayaking</v>
      </c>
      <c r="IB21" s="1228" t="str">
        <v>Kayaking</v>
      </c>
      <c r="IC21" s="1228" t="str">
        <v>Kayaking</v>
      </c>
      <c r="ID21" s="1228" t="str">
        <v>Kayaking</v>
      </c>
      <c r="IE21" s="1228" t="str">
        <v>Kayaking</v>
      </c>
      <c r="IF21" s="1228" t="str">
        <v>Kayaking</v>
      </c>
      <c r="IG21" s="1228" t="str">
        <v>Kayaking</v>
      </c>
      <c r="IH21" s="1228" t="str">
        <v>Kayaking</v>
      </c>
      <c r="II21" s="1228" t="str">
        <v>Other</v>
      </c>
      <c r="IJ21" s="1228" t="str">
        <v/>
      </c>
      <c r="IK21" s="1228" t="str">
        <v/>
      </c>
      <c r="IL21" s="1228" t="str">
        <v/>
      </c>
      <c r="IM21" s="1228" t="str">
        <v/>
      </c>
      <c r="IN21" s="1228" t="str">
        <v/>
      </c>
      <c r="IO21" s="1228" t="str">
        <v/>
      </c>
      <c r="IP21" s="1228" t="str">
        <v/>
      </c>
      <c r="IQ21" s="1228" t="str">
        <v/>
      </c>
      <c r="IR21" s="1228" t="str">
        <v/>
      </c>
      <c r="IS21" s="1228" t="e">
        <v>#N/A</v>
      </c>
      <c r="IT21" s="1228" t="str">
        <v>Running</v>
      </c>
      <c r="IU21" s="1228" t="str">
        <v>Running</v>
      </c>
      <c r="IV21" s="1228" t="str">
        <v>Running</v>
      </c>
      <c r="IW21" s="1228" t="str">
        <v>Running</v>
      </c>
      <c r="IX21" s="1228" t="str">
        <v>Running</v>
      </c>
      <c r="IY21" s="1228" t="str">
        <v>Running</v>
      </c>
      <c r="IZ21" s="1228" t="str">
        <v>Running</v>
      </c>
      <c r="JA21" s="1228" t="str">
        <v/>
      </c>
      <c r="JB21" s="1228" t="str">
        <v/>
      </c>
      <c r="JC21" s="1228" t="str">
        <v/>
      </c>
      <c r="JD21" s="1228" t="str">
        <v/>
      </c>
      <c r="JE21" s="1228" t="str">
        <v/>
      </c>
      <c r="JF21" s="1228" t="str">
        <v/>
      </c>
      <c r="JG21" s="1228" t="str">
        <v/>
      </c>
      <c r="JH21" s="1228" t="str">
        <v/>
      </c>
      <c r="JI21" s="1228" t="str">
        <v/>
      </c>
      <c r="JJ21" s="1228" t="str">
        <v/>
      </c>
      <c r="JK21" s="1228" t="str">
        <v/>
      </c>
      <c r="JL21" s="1228" t="str">
        <v/>
      </c>
      <c r="JM21" s="1228" t="str">
        <v/>
      </c>
      <c r="JN21" s="1228" t="str">
        <v/>
      </c>
      <c r="JO21" s="1228" t="str">
        <v/>
      </c>
      <c r="JP21" s="1228" t="str">
        <v/>
      </c>
      <c r="JQ21" s="1228" t="str">
        <v/>
      </c>
      <c r="JR21" s="1228" t="str">
        <v/>
      </c>
      <c r="JS21" s="1228" t="str">
        <v/>
      </c>
      <c r="JT21" s="1228" t="str">
        <v/>
      </c>
      <c r="JU21" s="1228" t="str">
        <v/>
      </c>
      <c r="JV21" s="1228" t="str">
        <v/>
      </c>
      <c r="JW21" s="1228" t="str">
        <v>Kayaking</v>
      </c>
      <c r="JX21" s="1228" t="str">
        <v>Kayaking</v>
      </c>
      <c r="JY21" s="1228" t="str">
        <v>Kayaking</v>
      </c>
      <c r="JZ21" s="1228" t="str">
        <v>Kayaking</v>
      </c>
      <c r="KA21" s="1228" t="str">
        <v>Kayaking</v>
      </c>
      <c r="KB21" s="1228" t="str">
        <v>Kayaking</v>
      </c>
      <c r="KC21" s="1228" t="str">
        <v>Kayaking</v>
      </c>
      <c r="KD21" s="1228" t="str">
        <v>Kayaking</v>
      </c>
      <c r="KE21" s="1228" t="str">
        <v>Kayaking</v>
      </c>
      <c r="KF21" s="1228" t="str">
        <v>Kayaking</v>
      </c>
      <c r="KG21" s="1228" t="str">
        <v>Kayaking</v>
      </c>
      <c r="KH21" s="1228" t="str">
        <v>Kayaking</v>
      </c>
      <c r="KI21" s="1228" t="str">
        <v>Kayaking</v>
      </c>
      <c r="KJ21" s="1228" t="str">
        <v>Kayaking</v>
      </c>
      <c r="KK21" s="1228" t="str">
        <v>Kayaking</v>
      </c>
      <c r="KL21" s="1228" t="str">
        <v/>
      </c>
      <c r="KM21" s="1228" t="str">
        <v/>
      </c>
      <c r="KN21" s="1228" t="str">
        <v/>
      </c>
      <c r="KO21" s="1228" t="str">
        <v/>
      </c>
      <c r="KP21" s="1229" t="str">
        <v/>
      </c>
      <c r="KQ21" s="700"/>
    </row>
    <row r="22" spans="1:303" s="188" customFormat="1" hidden="1" x14ac:dyDescent="0.45">
      <c r="A22" s="1325" t="s">
        <v>678</v>
      </c>
      <c r="B22" s="138" t="s">
        <v>307</v>
      </c>
      <c r="C22" s="1230" t="str">
        <v/>
      </c>
      <c r="D22" s="1230" t="str">
        <v/>
      </c>
      <c r="E22" s="1230" t="str">
        <v/>
      </c>
      <c r="F22" s="1231" t="str">
        <v/>
      </c>
      <c r="G22" s="1231" t="str">
        <v/>
      </c>
      <c r="H22" s="1231" t="str">
        <v/>
      </c>
      <c r="I22" s="1231" t="str">
        <v/>
      </c>
      <c r="J22" s="1231" t="str">
        <v/>
      </c>
      <c r="K22" s="1231" t="str">
        <v>Running</v>
      </c>
      <c r="L22" s="1231" t="str">
        <v>Running</v>
      </c>
      <c r="M22" s="1231" t="str">
        <v>Running</v>
      </c>
      <c r="N22" s="1231" t="str">
        <v/>
      </c>
      <c r="O22" s="1231" t="str">
        <v/>
      </c>
      <c r="P22" s="1231" t="str">
        <v/>
      </c>
      <c r="Q22" s="1231" t="str">
        <v/>
      </c>
      <c r="R22" s="1231" t="str">
        <v/>
      </c>
      <c r="S22" s="1231" t="str">
        <v/>
      </c>
      <c r="T22" s="1231" t="str">
        <v/>
      </c>
      <c r="U22" s="1231" t="str">
        <v/>
      </c>
      <c r="V22" s="1231" t="str">
        <v/>
      </c>
      <c r="W22" s="1231" t="str">
        <v/>
      </c>
      <c r="X22" s="1231" t="str">
        <v/>
      </c>
      <c r="Y22" s="1231" t="str">
        <v/>
      </c>
      <c r="Z22" s="1231" t="str">
        <v/>
      </c>
      <c r="AA22" s="1231" t="str">
        <v/>
      </c>
      <c r="AB22" s="1231" t="str">
        <v>Trail Running</v>
      </c>
      <c r="AC22" s="1231" t="str">
        <v>Trail Running</v>
      </c>
      <c r="AD22" s="1231" t="str">
        <v>Trail Running</v>
      </c>
      <c r="AE22" s="1231" t="str">
        <v>Trail Running</v>
      </c>
      <c r="AF22" s="1231" t="str">
        <v>Trail Running</v>
      </c>
      <c r="AG22" s="1231" t="str">
        <v/>
      </c>
      <c r="AH22" s="1231" t="str">
        <v/>
      </c>
      <c r="AI22" s="1231" t="str">
        <v/>
      </c>
      <c r="AJ22" s="1231" t="str">
        <v/>
      </c>
      <c r="AK22" s="1231" t="str">
        <v/>
      </c>
      <c r="AL22" s="1231" t="str">
        <v/>
      </c>
      <c r="AM22" s="1231" t="str">
        <v/>
      </c>
      <c r="AN22" s="1231" t="str">
        <v/>
      </c>
      <c r="AO22" s="1231" t="str">
        <v/>
      </c>
      <c r="AP22" s="1231" t="str">
        <v/>
      </c>
      <c r="AQ22" s="1231" t="str">
        <v/>
      </c>
      <c r="AR22" s="1231" t="str">
        <v/>
      </c>
      <c r="AS22" s="1231" t="str">
        <v/>
      </c>
      <c r="AT22" s="1231" t="str">
        <v/>
      </c>
      <c r="AU22" s="1231" t="str">
        <v/>
      </c>
      <c r="AV22" s="1231" t="str">
        <v/>
      </c>
      <c r="AW22" s="1231" t="str">
        <v/>
      </c>
      <c r="AX22" s="1231" t="str">
        <v/>
      </c>
      <c r="AY22" s="1231" t="str">
        <v/>
      </c>
      <c r="AZ22" s="1231" t="str">
        <v/>
      </c>
      <c r="BA22" s="1231" t="str">
        <v/>
      </c>
      <c r="BB22" s="1231" t="str">
        <v/>
      </c>
      <c r="BC22" s="1231" t="str">
        <v/>
      </c>
      <c r="BD22" s="1231" t="str">
        <v/>
      </c>
      <c r="BE22" s="1231" t="str">
        <v/>
      </c>
      <c r="BF22" s="1231" t="str">
        <v/>
      </c>
      <c r="BG22" s="1231" t="str">
        <v/>
      </c>
      <c r="BH22" s="1231" t="str">
        <v/>
      </c>
      <c r="BI22" s="1231" t="str">
        <v/>
      </c>
      <c r="BJ22" s="1231" t="str">
        <v/>
      </c>
      <c r="BK22" s="1231" t="str">
        <v>Running</v>
      </c>
      <c r="BL22" s="1231" t="str">
        <v>Running</v>
      </c>
      <c r="BM22" s="1231" t="str">
        <v>Running</v>
      </c>
      <c r="BN22" s="1231" t="str">
        <v>Running</v>
      </c>
      <c r="BO22" s="1231" t="str">
        <v>Running</v>
      </c>
      <c r="BP22" s="1231" t="str">
        <v>Running</v>
      </c>
      <c r="BQ22" s="1231" t="str">
        <v>Running</v>
      </c>
      <c r="BR22" s="1231" t="str">
        <v>Running</v>
      </c>
      <c r="BS22" s="1231" t="str">
        <v>Running</v>
      </c>
      <c r="BT22" s="1231" t="str">
        <v/>
      </c>
      <c r="BU22" s="1231" t="str">
        <v/>
      </c>
      <c r="BV22" s="1231" t="str">
        <v>Running</v>
      </c>
      <c r="BW22" s="1231" t="str">
        <v>Running</v>
      </c>
      <c r="BX22" s="1231" t="str">
        <v>Running</v>
      </c>
      <c r="BY22" s="1231" t="str">
        <v>Running</v>
      </c>
      <c r="BZ22" s="1231" t="str">
        <v/>
      </c>
      <c r="CA22" s="1231" t="str">
        <v>Strength</v>
      </c>
      <c r="CB22" s="1231" t="str">
        <v>Strength</v>
      </c>
      <c r="CC22" s="1231" t="str">
        <v/>
      </c>
      <c r="CD22" s="1231" t="str">
        <v>Strength</v>
      </c>
      <c r="CE22" s="1231" t="str">
        <v/>
      </c>
      <c r="CF22" s="1231" t="str">
        <v/>
      </c>
      <c r="CG22" s="1231" t="str">
        <v/>
      </c>
      <c r="CH22" s="1231" t="str">
        <v/>
      </c>
      <c r="CI22" s="1231" t="str">
        <v/>
      </c>
      <c r="CJ22" s="1231" t="str">
        <v/>
      </c>
      <c r="CK22" s="1231" t="str">
        <v/>
      </c>
      <c r="CL22" s="1231" t="str">
        <v/>
      </c>
      <c r="CM22" s="1231" t="str">
        <v/>
      </c>
      <c r="CN22" s="1231" t="str">
        <v/>
      </c>
      <c r="CO22" s="1231" t="str">
        <v/>
      </c>
      <c r="CP22" s="1231" t="str">
        <v/>
      </c>
      <c r="CQ22" s="1231" t="str">
        <v/>
      </c>
      <c r="CR22" s="1231" t="str">
        <v/>
      </c>
      <c r="CS22" s="1231" t="str">
        <v/>
      </c>
      <c r="CT22" s="1231" t="str">
        <v/>
      </c>
      <c r="CU22" s="1231" t="str">
        <v/>
      </c>
      <c r="CV22" s="1231" t="str">
        <v/>
      </c>
      <c r="CW22" s="1231" t="str">
        <v/>
      </c>
      <c r="CX22" s="1231" t="str">
        <v/>
      </c>
      <c r="CY22" s="1230" t="str">
        <v/>
      </c>
      <c r="CZ22" s="1231" t="str">
        <v/>
      </c>
      <c r="DA22" s="1231" t="str">
        <v/>
      </c>
      <c r="DB22" s="1231" t="str">
        <v/>
      </c>
      <c r="DC22" s="1231" t="str">
        <v/>
      </c>
      <c r="DD22" s="1231" t="str">
        <v/>
      </c>
      <c r="DE22" s="1231" t="str">
        <v/>
      </c>
      <c r="DF22" s="1231" t="str">
        <v/>
      </c>
      <c r="DG22" s="1231" t="str">
        <v/>
      </c>
      <c r="DH22" s="1231" t="str">
        <v/>
      </c>
      <c r="DI22" s="1231" t="str">
        <v/>
      </c>
      <c r="DJ22" s="1231" t="str">
        <v/>
      </c>
      <c r="DK22" s="1231" t="str">
        <v/>
      </c>
      <c r="DL22" s="1231" t="str">
        <v/>
      </c>
      <c r="DM22" s="1231" t="str">
        <v/>
      </c>
      <c r="DN22" s="1231" t="str">
        <v/>
      </c>
      <c r="DO22" s="1231" t="str">
        <v/>
      </c>
      <c r="DP22" s="1231" t="str">
        <v/>
      </c>
      <c r="DQ22" s="1231" t="str">
        <v/>
      </c>
      <c r="DR22" s="1231" t="str">
        <v/>
      </c>
      <c r="DS22" s="1231" t="str">
        <v/>
      </c>
      <c r="DT22" s="1231" t="str">
        <v/>
      </c>
      <c r="DU22" s="1231" t="str">
        <v/>
      </c>
      <c r="DV22" s="1231" t="str">
        <v/>
      </c>
      <c r="DW22" s="1231" t="str">
        <v/>
      </c>
      <c r="DX22" s="1231" t="str">
        <v>Cycling</v>
      </c>
      <c r="DY22" s="1231" t="str">
        <v>Cycling</v>
      </c>
      <c r="DZ22" s="1231" t="str">
        <v>Cycling</v>
      </c>
      <c r="EA22" s="1231" t="str">
        <v>Cycling</v>
      </c>
      <c r="EB22" s="1231" t="str">
        <v>Cycling</v>
      </c>
      <c r="EC22" s="1231" t="str">
        <v/>
      </c>
      <c r="ED22" s="1231" t="str">
        <v/>
      </c>
      <c r="EE22" s="1231" t="str">
        <v/>
      </c>
      <c r="EF22" s="1231" t="str">
        <v/>
      </c>
      <c r="EG22" s="1231" t="str">
        <v/>
      </c>
      <c r="EH22" s="1231" t="str">
        <v/>
      </c>
      <c r="EI22" s="1231" t="str">
        <v/>
      </c>
      <c r="EJ22" s="1231" t="str">
        <v/>
      </c>
      <c r="EK22" s="1231" t="str">
        <v/>
      </c>
      <c r="EL22" s="1231" t="str">
        <v/>
      </c>
      <c r="EM22" s="1231" t="str">
        <v/>
      </c>
      <c r="EN22" s="1231" t="str">
        <v/>
      </c>
      <c r="EO22" s="1231" t="str">
        <v/>
      </c>
      <c r="EP22" s="1231" t="str">
        <v/>
      </c>
      <c r="EQ22" s="1231" t="str">
        <v/>
      </c>
      <c r="ER22" s="1231" t="str">
        <v/>
      </c>
      <c r="ES22" s="1231" t="str">
        <v/>
      </c>
      <c r="ET22" s="1231" t="str">
        <v/>
      </c>
      <c r="EU22" s="1231" t="str">
        <v/>
      </c>
      <c r="EV22" s="1231" t="str">
        <v/>
      </c>
      <c r="EW22" s="1231" t="str">
        <v/>
      </c>
      <c r="EX22" s="1231" t="str">
        <v/>
      </c>
      <c r="EY22" s="1231" t="str">
        <v/>
      </c>
      <c r="EZ22" s="1231" t="str">
        <v/>
      </c>
      <c r="FA22" s="1231" t="str">
        <v/>
      </c>
      <c r="FB22" s="1231" t="str">
        <v/>
      </c>
      <c r="FC22" s="1231" t="str">
        <v/>
      </c>
      <c r="FD22" s="1231" t="str">
        <v/>
      </c>
      <c r="FE22" s="1231" t="str">
        <v/>
      </c>
      <c r="FF22" s="1231" t="str">
        <v/>
      </c>
      <c r="FG22" s="1231" t="str">
        <v/>
      </c>
      <c r="FH22" s="1231" t="str">
        <v/>
      </c>
      <c r="FI22" s="1231" t="str">
        <v/>
      </c>
      <c r="FJ22" s="1231" t="str">
        <v/>
      </c>
      <c r="FK22" s="1231" t="str">
        <v/>
      </c>
      <c r="FL22" s="1231" t="str">
        <v/>
      </c>
      <c r="FM22" s="1231" t="str">
        <v/>
      </c>
      <c r="FN22" s="1231" t="str">
        <v>Cycling</v>
      </c>
      <c r="FO22" s="1231" t="str">
        <v/>
      </c>
      <c r="FP22" s="1231" t="str">
        <v/>
      </c>
      <c r="FQ22" s="1231" t="str">
        <v/>
      </c>
      <c r="FR22" s="1231" t="str">
        <v/>
      </c>
      <c r="FS22" s="1231" t="str">
        <v/>
      </c>
      <c r="FT22" s="1231" t="str">
        <v/>
      </c>
      <c r="FU22" s="1231" t="str">
        <v/>
      </c>
      <c r="FV22" s="1231" t="str">
        <v/>
      </c>
      <c r="FW22" s="1231" t="str">
        <v/>
      </c>
      <c r="FX22" s="1231" t="str">
        <v/>
      </c>
      <c r="FY22" s="1231" t="str">
        <v/>
      </c>
      <c r="FZ22" s="1231" t="str">
        <v/>
      </c>
      <c r="GA22" s="1231" t="str">
        <v/>
      </c>
      <c r="GB22" s="1231" t="str">
        <v/>
      </c>
      <c r="GC22" s="1231" t="str">
        <v/>
      </c>
      <c r="GD22" s="1231" t="str">
        <v/>
      </c>
      <c r="GE22" s="1231" t="str">
        <v/>
      </c>
      <c r="GF22" s="1231" t="str">
        <v/>
      </c>
      <c r="GG22" s="1231" t="str">
        <v/>
      </c>
      <c r="GH22" s="1231" t="str">
        <v/>
      </c>
      <c r="GI22" s="1231" t="str">
        <v/>
      </c>
      <c r="GJ22" s="1231" t="str">
        <v/>
      </c>
      <c r="GK22" s="1231" t="str">
        <v/>
      </c>
      <c r="GL22" s="1231" t="str">
        <v/>
      </c>
      <c r="GM22" s="1231" t="str">
        <v/>
      </c>
      <c r="GN22" s="1231" t="str">
        <v/>
      </c>
      <c r="GO22" s="1231" t="str">
        <v/>
      </c>
      <c r="GP22" s="1231" t="str">
        <v/>
      </c>
      <c r="GQ22" s="1231" t="str">
        <v/>
      </c>
      <c r="GR22" s="1231" t="str">
        <v/>
      </c>
      <c r="GS22" s="1231" t="str">
        <v/>
      </c>
      <c r="GT22" s="1231" t="str">
        <v/>
      </c>
      <c r="GU22" s="1231" t="str">
        <v/>
      </c>
      <c r="GV22" s="1231" t="str">
        <v/>
      </c>
      <c r="GW22" s="1231" t="str">
        <v/>
      </c>
      <c r="GX22" s="1231" t="str">
        <v/>
      </c>
      <c r="GY22" s="1231" t="str">
        <v/>
      </c>
      <c r="GZ22" s="1231" t="str">
        <v/>
      </c>
      <c r="HA22" s="1231" t="str">
        <v/>
      </c>
      <c r="HB22" s="1231" t="str">
        <v/>
      </c>
      <c r="HC22" s="1231" t="str">
        <v/>
      </c>
      <c r="HD22" s="1231" t="str">
        <v/>
      </c>
      <c r="HE22" s="1231" t="str">
        <v/>
      </c>
      <c r="HF22" s="1231" t="str">
        <v/>
      </c>
      <c r="HG22" s="1231" t="str">
        <v/>
      </c>
      <c r="HH22" s="1231" t="str">
        <v/>
      </c>
      <c r="HI22" s="1231" t="str">
        <v/>
      </c>
      <c r="HJ22" s="1231" t="str">
        <v/>
      </c>
      <c r="HK22" s="1231" t="str">
        <v/>
      </c>
      <c r="HL22" s="1231" t="str">
        <v/>
      </c>
      <c r="HM22" s="1231" t="str">
        <v/>
      </c>
      <c r="HN22" s="1231" t="str">
        <v/>
      </c>
      <c r="HO22" s="1231" t="str">
        <v/>
      </c>
      <c r="HP22" s="1231" t="str">
        <v/>
      </c>
      <c r="HQ22" s="1231" t="str">
        <v/>
      </c>
      <c r="HR22" s="1231" t="str">
        <v/>
      </c>
      <c r="HS22" s="1231" t="str">
        <v/>
      </c>
      <c r="HT22" s="1231" t="str">
        <v/>
      </c>
      <c r="HU22" s="1231" t="str">
        <v/>
      </c>
      <c r="HV22" s="1231" t="str">
        <v/>
      </c>
      <c r="HW22" s="1231" t="str">
        <v/>
      </c>
      <c r="HX22" s="1231" t="str">
        <v/>
      </c>
      <c r="HY22" s="1231" t="str">
        <v/>
      </c>
      <c r="HZ22" s="1231" t="str">
        <v/>
      </c>
      <c r="IA22" s="1231" t="str">
        <v/>
      </c>
      <c r="IB22" s="1231" t="str">
        <v/>
      </c>
      <c r="IC22" s="1231" t="str">
        <v/>
      </c>
      <c r="ID22" s="1231" t="str">
        <v/>
      </c>
      <c r="IE22" s="1231" t="str">
        <v/>
      </c>
      <c r="IF22" s="1231" t="str">
        <v/>
      </c>
      <c r="IG22" s="1231" t="str">
        <v/>
      </c>
      <c r="IH22" s="1231" t="str">
        <v/>
      </c>
      <c r="II22" s="1231" t="str">
        <v/>
      </c>
      <c r="IJ22" s="1231" t="str">
        <v/>
      </c>
      <c r="IK22" s="1231" t="str">
        <v/>
      </c>
      <c r="IL22" s="1231" t="str">
        <v/>
      </c>
      <c r="IM22" s="1231" t="str">
        <v/>
      </c>
      <c r="IN22" s="1231" t="str">
        <v/>
      </c>
      <c r="IO22" s="1231" t="str">
        <v/>
      </c>
      <c r="IP22" s="1231" t="str">
        <v/>
      </c>
      <c r="IQ22" s="1231" t="str">
        <v/>
      </c>
      <c r="IR22" s="1231" t="str">
        <v/>
      </c>
      <c r="IS22" s="1231" t="str">
        <v/>
      </c>
      <c r="IT22" s="1231" t="str">
        <v/>
      </c>
      <c r="IU22" s="1231" t="str">
        <v/>
      </c>
      <c r="IV22" s="1231" t="str">
        <v/>
      </c>
      <c r="IW22" s="1231" t="str">
        <v/>
      </c>
      <c r="IX22" s="1231" t="str">
        <v/>
      </c>
      <c r="IY22" s="1231" t="str">
        <v/>
      </c>
      <c r="IZ22" s="1231" t="str">
        <v/>
      </c>
      <c r="JA22" s="1231" t="str">
        <v/>
      </c>
      <c r="JB22" s="1231" t="str">
        <v/>
      </c>
      <c r="JC22" s="1231" t="str">
        <v/>
      </c>
      <c r="JD22" s="1231" t="str">
        <v/>
      </c>
      <c r="JE22" s="1231" t="str">
        <v/>
      </c>
      <c r="JF22" s="1231" t="str">
        <v/>
      </c>
      <c r="JG22" s="1231" t="str">
        <v/>
      </c>
      <c r="JH22" s="1231" t="str">
        <v/>
      </c>
      <c r="JI22" s="1231" t="str">
        <v/>
      </c>
      <c r="JJ22" s="1231" t="str">
        <v/>
      </c>
      <c r="JK22" s="1231" t="str">
        <v/>
      </c>
      <c r="JL22" s="1231" t="str">
        <v/>
      </c>
      <c r="JM22" s="1231" t="str">
        <v/>
      </c>
      <c r="JN22" s="1231" t="str">
        <v/>
      </c>
      <c r="JO22" s="1231" t="str">
        <v/>
      </c>
      <c r="JP22" s="1231" t="str">
        <v/>
      </c>
      <c r="JQ22" s="1231" t="str">
        <v/>
      </c>
      <c r="JR22" s="1231" t="str">
        <v/>
      </c>
      <c r="JS22" s="1231" t="str">
        <v/>
      </c>
      <c r="JT22" s="1231" t="str">
        <v/>
      </c>
      <c r="JU22" s="1231" t="str">
        <v/>
      </c>
      <c r="JV22" s="1231" t="str">
        <v/>
      </c>
      <c r="JW22" s="1231" t="str">
        <v/>
      </c>
      <c r="JX22" s="1231" t="str">
        <v/>
      </c>
      <c r="JY22" s="1231" t="str">
        <v/>
      </c>
      <c r="JZ22" s="1231" t="str">
        <v/>
      </c>
      <c r="KA22" s="1231" t="str">
        <v/>
      </c>
      <c r="KB22" s="1231" t="str">
        <v/>
      </c>
      <c r="KC22" s="1231" t="str">
        <v/>
      </c>
      <c r="KD22" s="1231" t="str">
        <v/>
      </c>
      <c r="KE22" s="1231" t="str">
        <v/>
      </c>
      <c r="KF22" s="1231" t="str">
        <v/>
      </c>
      <c r="KG22" s="1231" t="str">
        <v/>
      </c>
      <c r="KH22" s="1231" t="str">
        <v/>
      </c>
      <c r="KI22" s="1231" t="str">
        <v/>
      </c>
      <c r="KJ22" s="1231" t="str">
        <v/>
      </c>
      <c r="KK22" s="1231" t="str">
        <v/>
      </c>
      <c r="KL22" s="1231" t="str">
        <v/>
      </c>
      <c r="KM22" s="1231" t="str">
        <v/>
      </c>
      <c r="KN22" s="1231" t="str">
        <v/>
      </c>
      <c r="KO22" s="1231" t="str">
        <v/>
      </c>
      <c r="KP22" s="1232" t="str">
        <v/>
      </c>
      <c r="KQ22" s="700"/>
    </row>
    <row r="23" spans="1:303" s="188" customFormat="1" hidden="1" x14ac:dyDescent="0.45">
      <c r="A23" s="1325"/>
      <c r="B23" s="1226" t="s">
        <v>308</v>
      </c>
      <c r="C23" s="1223" t="str">
        <v/>
      </c>
      <c r="D23" s="1223" t="str">
        <v/>
      </c>
      <c r="E23" s="1223" t="str">
        <v/>
      </c>
      <c r="F23" s="1224" t="str">
        <v/>
      </c>
      <c r="G23" s="1224" t="str">
        <v/>
      </c>
      <c r="H23" s="1224" t="str">
        <v/>
      </c>
      <c r="I23" s="1224" t="str">
        <v/>
      </c>
      <c r="J23" s="1224" t="str">
        <v/>
      </c>
      <c r="K23" s="1224" t="str">
        <v/>
      </c>
      <c r="L23" s="1224" t="str">
        <v/>
      </c>
      <c r="M23" s="1224" t="str">
        <v/>
      </c>
      <c r="N23" s="1224" t="str">
        <v/>
      </c>
      <c r="O23" s="1224" t="str">
        <v/>
      </c>
      <c r="P23" s="1224" t="str">
        <v/>
      </c>
      <c r="Q23" s="1224" t="str">
        <v/>
      </c>
      <c r="R23" s="1224" t="str">
        <v/>
      </c>
      <c r="S23" s="1224" t="str">
        <v/>
      </c>
      <c r="T23" s="1224" t="str">
        <v/>
      </c>
      <c r="U23" s="1224" t="str">
        <v/>
      </c>
      <c r="V23" s="1224" t="str">
        <v/>
      </c>
      <c r="W23" s="1224" t="str">
        <v/>
      </c>
      <c r="X23" s="1224" t="str">
        <v/>
      </c>
      <c r="Y23" s="1224" t="str">
        <v/>
      </c>
      <c r="Z23" s="1224" t="str">
        <v/>
      </c>
      <c r="AA23" s="1224" t="str">
        <v/>
      </c>
      <c r="AB23" s="1224" t="str">
        <v/>
      </c>
      <c r="AC23" s="1224" t="str">
        <v/>
      </c>
      <c r="AD23" s="1224" t="str">
        <v/>
      </c>
      <c r="AE23" s="1224" t="str">
        <v/>
      </c>
      <c r="AF23" s="1224" t="str">
        <v/>
      </c>
      <c r="AG23" s="1224" t="str">
        <v/>
      </c>
      <c r="AH23" s="1224" t="str">
        <v/>
      </c>
      <c r="AI23" s="1224" t="str">
        <v/>
      </c>
      <c r="AJ23" s="1224" t="str">
        <v/>
      </c>
      <c r="AK23" s="1224" t="str">
        <v/>
      </c>
      <c r="AL23" s="1224" t="str">
        <v/>
      </c>
      <c r="AM23" s="1224" t="str">
        <v/>
      </c>
      <c r="AN23" s="1224" t="str">
        <v/>
      </c>
      <c r="AO23" s="1224" t="str">
        <v/>
      </c>
      <c r="AP23" s="1224" t="str">
        <v/>
      </c>
      <c r="AQ23" s="1224" t="str">
        <v/>
      </c>
      <c r="AR23" s="1224" t="str">
        <v/>
      </c>
      <c r="AS23" s="1224" t="str">
        <v/>
      </c>
      <c r="AT23" s="1224" t="str">
        <v/>
      </c>
      <c r="AU23" s="1224" t="str">
        <v/>
      </c>
      <c r="AV23" s="1224" t="str">
        <v/>
      </c>
      <c r="AW23" s="1224" t="str">
        <v/>
      </c>
      <c r="AX23" s="1224" t="str">
        <v/>
      </c>
      <c r="AY23" s="1224" t="str">
        <v/>
      </c>
      <c r="AZ23" s="1224" t="str">
        <v/>
      </c>
      <c r="BA23" s="1224" t="str">
        <v/>
      </c>
      <c r="BB23" s="1224" t="str">
        <v/>
      </c>
      <c r="BC23" s="1224" t="str">
        <v/>
      </c>
      <c r="BD23" s="1224" t="str">
        <v/>
      </c>
      <c r="BE23" s="1224" t="str">
        <v/>
      </c>
      <c r="BF23" s="1224" t="str">
        <v/>
      </c>
      <c r="BG23" s="1224" t="str">
        <v/>
      </c>
      <c r="BH23" s="1224" t="str">
        <v/>
      </c>
      <c r="BI23" s="1224" t="str">
        <v/>
      </c>
      <c r="BJ23" s="1224" t="str">
        <v/>
      </c>
      <c r="BK23" s="1224" t="str">
        <v/>
      </c>
      <c r="BL23" s="1224" t="str">
        <v/>
      </c>
      <c r="BM23" s="1224" t="str">
        <v/>
      </c>
      <c r="BN23" s="1224" t="str">
        <v/>
      </c>
      <c r="BO23" s="1224" t="str">
        <v/>
      </c>
      <c r="BP23" s="1224" t="str">
        <v/>
      </c>
      <c r="BQ23" s="1224" t="str">
        <v/>
      </c>
      <c r="BR23" s="1224" t="str">
        <v/>
      </c>
      <c r="BS23" s="1224" t="str">
        <v/>
      </c>
      <c r="BT23" s="1224" t="str">
        <v/>
      </c>
      <c r="BU23" s="1224" t="str">
        <v/>
      </c>
      <c r="BV23" s="1224" t="str">
        <v/>
      </c>
      <c r="BW23" s="1224" t="str">
        <v/>
      </c>
      <c r="BX23" s="1224" t="str">
        <v/>
      </c>
      <c r="BY23" s="1224" t="str">
        <v>Running</v>
      </c>
      <c r="BZ23" s="1224" t="str">
        <v/>
      </c>
      <c r="CA23" s="1224" t="str">
        <v/>
      </c>
      <c r="CB23" s="1224" t="str">
        <v>Strength</v>
      </c>
      <c r="CC23" s="1224" t="str">
        <v/>
      </c>
      <c r="CD23" s="1224" t="str">
        <v/>
      </c>
      <c r="CE23" s="1224" t="str">
        <v/>
      </c>
      <c r="CF23" s="1224" t="str">
        <v/>
      </c>
      <c r="CG23" s="1224" t="str">
        <v/>
      </c>
      <c r="CH23" s="1224" t="str">
        <v/>
      </c>
      <c r="CI23" s="1224" t="str">
        <v/>
      </c>
      <c r="CJ23" s="1224" t="str">
        <v/>
      </c>
      <c r="CK23" s="1224" t="str">
        <v/>
      </c>
      <c r="CL23" s="1224" t="str">
        <v/>
      </c>
      <c r="CM23" s="1224" t="str">
        <v/>
      </c>
      <c r="CN23" s="1224" t="str">
        <v/>
      </c>
      <c r="CO23" s="1224" t="str">
        <v/>
      </c>
      <c r="CP23" s="1224" t="str">
        <v/>
      </c>
      <c r="CQ23" s="1224" t="str">
        <v/>
      </c>
      <c r="CR23" s="1224" t="str">
        <v/>
      </c>
      <c r="CS23" s="1224" t="str">
        <v/>
      </c>
      <c r="CT23" s="1224" t="str">
        <v/>
      </c>
      <c r="CU23" s="1224" t="str">
        <v/>
      </c>
      <c r="CV23" s="1224" t="str">
        <v/>
      </c>
      <c r="CW23" s="1224" t="str">
        <v/>
      </c>
      <c r="CX23" s="1224" t="str">
        <v/>
      </c>
      <c r="CY23" s="1223" t="str">
        <v/>
      </c>
      <c r="CZ23" s="1224" t="str">
        <v/>
      </c>
      <c r="DA23" s="1224" t="str">
        <v/>
      </c>
      <c r="DB23" s="1224" t="str">
        <v/>
      </c>
      <c r="DC23" s="1224" t="str">
        <v/>
      </c>
      <c r="DD23" s="1224" t="str">
        <v/>
      </c>
      <c r="DE23" s="1224" t="str">
        <v/>
      </c>
      <c r="DF23" s="1224" t="str">
        <v/>
      </c>
      <c r="DG23" s="1224" t="str">
        <v/>
      </c>
      <c r="DH23" s="1224" t="str">
        <v/>
      </c>
      <c r="DI23" s="1224" t="str">
        <v/>
      </c>
      <c r="DJ23" s="1224" t="str">
        <v/>
      </c>
      <c r="DK23" s="1224" t="str">
        <v/>
      </c>
      <c r="DL23" s="1224" t="str">
        <v/>
      </c>
      <c r="DM23" s="1224" t="str">
        <v/>
      </c>
      <c r="DN23" s="1224" t="str">
        <v/>
      </c>
      <c r="DO23" s="1224" t="str">
        <v/>
      </c>
      <c r="DP23" s="1224" t="str">
        <v/>
      </c>
      <c r="DQ23" s="1224" t="str">
        <v/>
      </c>
      <c r="DR23" s="1224" t="str">
        <v/>
      </c>
      <c r="DS23" s="1224" t="str">
        <v/>
      </c>
      <c r="DT23" s="1224" t="str">
        <v/>
      </c>
      <c r="DU23" s="1224" t="str">
        <v/>
      </c>
      <c r="DV23" s="1224" t="str">
        <v/>
      </c>
      <c r="DW23" s="1224" t="str">
        <v/>
      </c>
      <c r="DX23" s="1224" t="str">
        <v/>
      </c>
      <c r="DY23" s="1224" t="str">
        <v/>
      </c>
      <c r="DZ23" s="1224" t="str">
        <v/>
      </c>
      <c r="EA23" s="1224" t="str">
        <v/>
      </c>
      <c r="EB23" s="1224" t="str">
        <v/>
      </c>
      <c r="EC23" s="1224" t="str">
        <v/>
      </c>
      <c r="ED23" s="1224" t="str">
        <v/>
      </c>
      <c r="EE23" s="1224" t="str">
        <v/>
      </c>
      <c r="EF23" s="1224" t="str">
        <v/>
      </c>
      <c r="EG23" s="1224" t="str">
        <v/>
      </c>
      <c r="EH23" s="1224" t="str">
        <v/>
      </c>
      <c r="EI23" s="1224" t="str">
        <v/>
      </c>
      <c r="EJ23" s="1224" t="str">
        <v/>
      </c>
      <c r="EK23" s="1224" t="str">
        <v/>
      </c>
      <c r="EL23" s="1224" t="str">
        <v/>
      </c>
      <c r="EM23" s="1224" t="str">
        <v/>
      </c>
      <c r="EN23" s="1224" t="str">
        <v/>
      </c>
      <c r="EO23" s="1224" t="str">
        <v/>
      </c>
      <c r="EP23" s="1224" t="str">
        <v/>
      </c>
      <c r="EQ23" s="1224" t="str">
        <v/>
      </c>
      <c r="ER23" s="1224" t="str">
        <v/>
      </c>
      <c r="ES23" s="1224" t="str">
        <v/>
      </c>
      <c r="ET23" s="1224" t="str">
        <v/>
      </c>
      <c r="EU23" s="1224" t="str">
        <v/>
      </c>
      <c r="EV23" s="1224" t="str">
        <v/>
      </c>
      <c r="EW23" s="1224" t="str">
        <v/>
      </c>
      <c r="EX23" s="1224" t="str">
        <v/>
      </c>
      <c r="EY23" s="1224" t="str">
        <v/>
      </c>
      <c r="EZ23" s="1224" t="str">
        <v/>
      </c>
      <c r="FA23" s="1224" t="str">
        <v/>
      </c>
      <c r="FB23" s="1224" t="str">
        <v/>
      </c>
      <c r="FC23" s="1224" t="str">
        <v/>
      </c>
      <c r="FD23" s="1224" t="str">
        <v/>
      </c>
      <c r="FE23" s="1224" t="str">
        <v/>
      </c>
      <c r="FF23" s="1224" t="str">
        <v/>
      </c>
      <c r="FG23" s="1224" t="str">
        <v/>
      </c>
      <c r="FH23" s="1224" t="str">
        <v/>
      </c>
      <c r="FI23" s="1224" t="str">
        <v/>
      </c>
      <c r="FJ23" s="1224" t="str">
        <v/>
      </c>
      <c r="FK23" s="1224" t="str">
        <v/>
      </c>
      <c r="FL23" s="1224" t="str">
        <v/>
      </c>
      <c r="FM23" s="1224" t="str">
        <v/>
      </c>
      <c r="FN23" s="1224" t="str">
        <v/>
      </c>
      <c r="FO23" s="1224" t="str">
        <v/>
      </c>
      <c r="FP23" s="1224" t="str">
        <v/>
      </c>
      <c r="FQ23" s="1224" t="str">
        <v/>
      </c>
      <c r="FR23" s="1224" t="str">
        <v/>
      </c>
      <c r="FS23" s="1224" t="str">
        <v/>
      </c>
      <c r="FT23" s="1224" t="str">
        <v/>
      </c>
      <c r="FU23" s="1224" t="str">
        <v/>
      </c>
      <c r="FV23" s="1224" t="str">
        <v/>
      </c>
      <c r="FW23" s="1224" t="str">
        <v/>
      </c>
      <c r="FX23" s="1224" t="str">
        <v/>
      </c>
      <c r="FY23" s="1224" t="str">
        <v/>
      </c>
      <c r="FZ23" s="1224" t="str">
        <v/>
      </c>
      <c r="GA23" s="1224" t="str">
        <v/>
      </c>
      <c r="GB23" s="1224" t="str">
        <v/>
      </c>
      <c r="GC23" s="1224" t="str">
        <v/>
      </c>
      <c r="GD23" s="1224" t="str">
        <v/>
      </c>
      <c r="GE23" s="1224" t="str">
        <v/>
      </c>
      <c r="GF23" s="1224" t="str">
        <v/>
      </c>
      <c r="GG23" s="1224" t="str">
        <v/>
      </c>
      <c r="GH23" s="1224" t="str">
        <v/>
      </c>
      <c r="GI23" s="1224" t="str">
        <v/>
      </c>
      <c r="GJ23" s="1224" t="str">
        <v/>
      </c>
      <c r="GK23" s="1224" t="str">
        <v/>
      </c>
      <c r="GL23" s="1224" t="str">
        <v/>
      </c>
      <c r="GM23" s="1224" t="str">
        <v/>
      </c>
      <c r="GN23" s="1224" t="str">
        <v/>
      </c>
      <c r="GO23" s="1224" t="str">
        <v/>
      </c>
      <c r="GP23" s="1224" t="str">
        <v/>
      </c>
      <c r="GQ23" s="1224" t="str">
        <v/>
      </c>
      <c r="GR23" s="1224" t="str">
        <v/>
      </c>
      <c r="GS23" s="1224" t="str">
        <v/>
      </c>
      <c r="GT23" s="1224" t="str">
        <v/>
      </c>
      <c r="GU23" s="1224" t="str">
        <v/>
      </c>
      <c r="GV23" s="1224" t="str">
        <v/>
      </c>
      <c r="GW23" s="1224" t="str">
        <v/>
      </c>
      <c r="GX23" s="1224" t="str">
        <v/>
      </c>
      <c r="GY23" s="1224" t="str">
        <v/>
      </c>
      <c r="GZ23" s="1224" t="str">
        <v/>
      </c>
      <c r="HA23" s="1224" t="str">
        <v/>
      </c>
      <c r="HB23" s="1224" t="str">
        <v/>
      </c>
      <c r="HC23" s="1224" t="str">
        <v/>
      </c>
      <c r="HD23" s="1224" t="str">
        <v/>
      </c>
      <c r="HE23" s="1224" t="str">
        <v/>
      </c>
      <c r="HF23" s="1224" t="str">
        <v/>
      </c>
      <c r="HG23" s="1224" t="str">
        <v/>
      </c>
      <c r="HH23" s="1224" t="str">
        <v/>
      </c>
      <c r="HI23" s="1224" t="str">
        <v/>
      </c>
      <c r="HJ23" s="1224" t="str">
        <v/>
      </c>
      <c r="HK23" s="1224" t="str">
        <v/>
      </c>
      <c r="HL23" s="1224" t="str">
        <v/>
      </c>
      <c r="HM23" s="1224" t="str">
        <v/>
      </c>
      <c r="HN23" s="1224" t="str">
        <v/>
      </c>
      <c r="HO23" s="1224" t="str">
        <v/>
      </c>
      <c r="HP23" s="1224" t="str">
        <v/>
      </c>
      <c r="HQ23" s="1224" t="str">
        <v/>
      </c>
      <c r="HR23" s="1224" t="str">
        <v/>
      </c>
      <c r="HS23" s="1224" t="str">
        <v/>
      </c>
      <c r="HT23" s="1224" t="str">
        <v/>
      </c>
      <c r="HU23" s="1224" t="str">
        <v/>
      </c>
      <c r="HV23" s="1224" t="str">
        <v/>
      </c>
      <c r="HW23" s="1224" t="str">
        <v/>
      </c>
      <c r="HX23" s="1224" t="str">
        <v/>
      </c>
      <c r="HY23" s="1224" t="str">
        <v/>
      </c>
      <c r="HZ23" s="1224" t="str">
        <v/>
      </c>
      <c r="IA23" s="1224" t="str">
        <v/>
      </c>
      <c r="IB23" s="1224" t="str">
        <v/>
      </c>
      <c r="IC23" s="1224" t="str">
        <v/>
      </c>
      <c r="ID23" s="1224" t="str">
        <v/>
      </c>
      <c r="IE23" s="1224" t="str">
        <v/>
      </c>
      <c r="IF23" s="1224" t="str">
        <v/>
      </c>
      <c r="IG23" s="1224" t="str">
        <v/>
      </c>
      <c r="IH23" s="1224" t="str">
        <v/>
      </c>
      <c r="II23" s="1224" t="str">
        <v/>
      </c>
      <c r="IJ23" s="1224" t="str">
        <v/>
      </c>
      <c r="IK23" s="1224" t="str">
        <v/>
      </c>
      <c r="IL23" s="1224" t="str">
        <v/>
      </c>
      <c r="IM23" s="1224" t="str">
        <v/>
      </c>
      <c r="IN23" s="1224" t="str">
        <v/>
      </c>
      <c r="IO23" s="1224" t="str">
        <v/>
      </c>
      <c r="IP23" s="1224" t="str">
        <v/>
      </c>
      <c r="IQ23" s="1224" t="str">
        <v/>
      </c>
      <c r="IR23" s="1224" t="str">
        <v/>
      </c>
      <c r="IS23" s="1224" t="str">
        <v/>
      </c>
      <c r="IT23" s="1224" t="str">
        <v/>
      </c>
      <c r="IU23" s="1224" t="str">
        <v/>
      </c>
      <c r="IV23" s="1224" t="str">
        <v/>
      </c>
      <c r="IW23" s="1224" t="str">
        <v/>
      </c>
      <c r="IX23" s="1224" t="str">
        <v/>
      </c>
      <c r="IY23" s="1224" t="str">
        <v/>
      </c>
      <c r="IZ23" s="1224" t="str">
        <v/>
      </c>
      <c r="JA23" s="1224" t="str">
        <v/>
      </c>
      <c r="JB23" s="1224" t="str">
        <v/>
      </c>
      <c r="JC23" s="1224" t="str">
        <v/>
      </c>
      <c r="JD23" s="1224" t="str">
        <v/>
      </c>
      <c r="JE23" s="1224" t="str">
        <v/>
      </c>
      <c r="JF23" s="1224" t="str">
        <v/>
      </c>
      <c r="JG23" s="1224" t="str">
        <v/>
      </c>
      <c r="JH23" s="1224" t="str">
        <v/>
      </c>
      <c r="JI23" s="1224" t="str">
        <v/>
      </c>
      <c r="JJ23" s="1224" t="str">
        <v/>
      </c>
      <c r="JK23" s="1224" t="str">
        <v/>
      </c>
      <c r="JL23" s="1224" t="str">
        <v/>
      </c>
      <c r="JM23" s="1224" t="str">
        <v/>
      </c>
      <c r="JN23" s="1224" t="str">
        <v/>
      </c>
      <c r="JO23" s="1224" t="str">
        <v/>
      </c>
      <c r="JP23" s="1224" t="str">
        <v/>
      </c>
      <c r="JQ23" s="1224" t="str">
        <v/>
      </c>
      <c r="JR23" s="1224" t="str">
        <v/>
      </c>
      <c r="JS23" s="1224" t="str">
        <v/>
      </c>
      <c r="JT23" s="1224" t="str">
        <v/>
      </c>
      <c r="JU23" s="1224" t="str">
        <v/>
      </c>
      <c r="JV23" s="1224" t="str">
        <v/>
      </c>
      <c r="JW23" s="1224" t="str">
        <v/>
      </c>
      <c r="JX23" s="1224" t="str">
        <v/>
      </c>
      <c r="JY23" s="1224" t="str">
        <v/>
      </c>
      <c r="JZ23" s="1224" t="str">
        <v/>
      </c>
      <c r="KA23" s="1224" t="str">
        <v/>
      </c>
      <c r="KB23" s="1224" t="str">
        <v/>
      </c>
      <c r="KC23" s="1224" t="str">
        <v/>
      </c>
      <c r="KD23" s="1224" t="str">
        <v/>
      </c>
      <c r="KE23" s="1224" t="str">
        <v/>
      </c>
      <c r="KF23" s="1224" t="str">
        <v/>
      </c>
      <c r="KG23" s="1224" t="str">
        <v/>
      </c>
      <c r="KH23" s="1224" t="str">
        <v/>
      </c>
      <c r="KI23" s="1224" t="str">
        <v/>
      </c>
      <c r="KJ23" s="1224" t="str">
        <v/>
      </c>
      <c r="KK23" s="1224" t="str">
        <v/>
      </c>
      <c r="KL23" s="1224" t="str">
        <v/>
      </c>
      <c r="KM23" s="1224" t="str">
        <v/>
      </c>
      <c r="KN23" s="1224" t="str">
        <v/>
      </c>
      <c r="KO23" s="1224" t="str">
        <v/>
      </c>
      <c r="KP23" s="1225" t="str">
        <v/>
      </c>
      <c r="KQ23" s="700"/>
    </row>
    <row r="24" spans="1:303" s="188" customFormat="1" hidden="1" x14ac:dyDescent="0.45">
      <c r="A24" s="1754" t="s">
        <v>387</v>
      </c>
      <c r="B24" s="991" t="s">
        <v>306</v>
      </c>
      <c r="C24" s="1227" t="str">
        <f t="array" ref="C24:KP26">IF(sessions_sport="","",
INDEX(sports_symbol,, MATCH(sessions_sport,sports_name,0)))</f>
        <v>🏃</v>
      </c>
      <c r="D24" s="1227" t="str">
        <v>🏃</v>
      </c>
      <c r="E24" s="1227" t="str">
        <v>🏃</v>
      </c>
      <c r="F24" s="1228" t="str">
        <v>🏃</v>
      </c>
      <c r="G24" s="1228" t="str">
        <v>🏃</v>
      </c>
      <c r="H24" s="1228" t="str">
        <v>🏃</v>
      </c>
      <c r="I24" s="1228" t="str">
        <v>🏃</v>
      </c>
      <c r="J24" s="1228" t="str">
        <v>🏃</v>
      </c>
      <c r="K24" s="1228" t="str">
        <v>🏃</v>
      </c>
      <c r="L24" s="1228" t="str">
        <v>🏃</v>
      </c>
      <c r="M24" s="1228" t="str">
        <v>🏃</v>
      </c>
      <c r="N24" s="1228" t="str">
        <v>🏃</v>
      </c>
      <c r="O24" s="1228" t="str">
        <v>🏃</v>
      </c>
      <c r="P24" s="1228" t="str">
        <v>🏃</v>
      </c>
      <c r="Q24" s="1228" t="str">
        <v>🏃</v>
      </c>
      <c r="R24" s="1228" t="str">
        <v>🏃</v>
      </c>
      <c r="S24" s="1228" t="str">
        <v>🏃</v>
      </c>
      <c r="T24" s="1228" t="str">
        <v>🏃</v>
      </c>
      <c r="U24" s="1228" t="str">
        <v>🏃</v>
      </c>
      <c r="V24" s="1228" t="str">
        <v>🏃</v>
      </c>
      <c r="W24" s="1228" t="str">
        <v>🏃</v>
      </c>
      <c r="X24" s="1228" t="str">
        <v>🏃</v>
      </c>
      <c r="Y24" s="1228" t="str">
        <v>🏃</v>
      </c>
      <c r="Z24" s="1228" t="str">
        <v>🏃</v>
      </c>
      <c r="AA24" s="1228" t="str">
        <v>🏃</v>
      </c>
      <c r="AB24" s="1228" t="str">
        <v>🏃</v>
      </c>
      <c r="AC24" s="1228" t="str">
        <v>🏃</v>
      </c>
      <c r="AD24" s="1228" t="str">
        <v>🏃</v>
      </c>
      <c r="AE24" s="1228" t="str">
        <v>🏃</v>
      </c>
      <c r="AF24" s="1228" t="str">
        <v>🏃</v>
      </c>
      <c r="AG24" s="1228" t="str">
        <v>🏃</v>
      </c>
      <c r="AH24" s="1228" t="str">
        <v>🏃</v>
      </c>
      <c r="AI24" s="1228" t="str">
        <v>🏃</v>
      </c>
      <c r="AJ24" s="1228" t="str">
        <v>🏃</v>
      </c>
      <c r="AK24" s="1228" t="str">
        <v/>
      </c>
      <c r="AL24" s="1228" t="str">
        <v/>
      </c>
      <c r="AM24" s="1228" t="str">
        <v/>
      </c>
      <c r="AN24" s="1228" t="str">
        <v/>
      </c>
      <c r="AO24" s="1228" t="str">
        <v/>
      </c>
      <c r="AP24" s="1228" t="str">
        <v/>
      </c>
      <c r="AQ24" s="1228" t="str">
        <v>🏃</v>
      </c>
      <c r="AR24" s="1228" t="str">
        <v>🏃</v>
      </c>
      <c r="AS24" s="1228" t="str">
        <v>🏃</v>
      </c>
      <c r="AT24" s="1228" t="str">
        <v>🏃</v>
      </c>
      <c r="AU24" s="1228" t="str">
        <v>🏃</v>
      </c>
      <c r="AV24" s="1228" t="str">
        <v>🏃</v>
      </c>
      <c r="AW24" s="1228" t="str">
        <v>🏃</v>
      </c>
      <c r="AX24" s="1228" t="str">
        <v>🏃</v>
      </c>
      <c r="AY24" s="1228" t="str">
        <v>🏃</v>
      </c>
      <c r="AZ24" s="1228" t="str">
        <v>🏃</v>
      </c>
      <c r="BA24" s="1228" t="str">
        <v>🏃</v>
      </c>
      <c r="BB24" s="1228" t="str">
        <v>🏃</v>
      </c>
      <c r="BC24" s="1228" t="str">
        <v/>
      </c>
      <c r="BD24" s="1228" t="str">
        <v/>
      </c>
      <c r="BE24" s="1228" t="str">
        <v/>
      </c>
      <c r="BF24" s="1228" t="str">
        <v/>
      </c>
      <c r="BG24" s="1228" t="str">
        <v/>
      </c>
      <c r="BH24" s="1228" t="str">
        <v/>
      </c>
      <c r="BI24" s="1228" t="str">
        <v/>
      </c>
      <c r="BJ24" s="1228" t="str">
        <v/>
      </c>
      <c r="BK24" s="1228" t="str">
        <v>🏃</v>
      </c>
      <c r="BL24" s="1228" t="str">
        <v>🏃</v>
      </c>
      <c r="BM24" s="1228" t="str">
        <v>🏃</v>
      </c>
      <c r="BN24" s="1228" t="str">
        <v>🏃</v>
      </c>
      <c r="BO24" s="1228" t="str">
        <v>🏃</v>
      </c>
      <c r="BP24" s="1228" t="str">
        <v>🏃</v>
      </c>
      <c r="BQ24" s="1228" t="str">
        <v>🏃</v>
      </c>
      <c r="BR24" s="1228" t="str">
        <v>🏃</v>
      </c>
      <c r="BS24" s="1228" t="str">
        <v>🏃</v>
      </c>
      <c r="BT24" s="1228" t="str">
        <v/>
      </c>
      <c r="BU24" s="1228" t="str">
        <v>🏃</v>
      </c>
      <c r="BV24" s="1228" t="str">
        <v>🏃</v>
      </c>
      <c r="BW24" s="1228" t="str">
        <v>🏃</v>
      </c>
      <c r="BX24" s="1228" t="str">
        <v>🏃</v>
      </c>
      <c r="BY24" s="1228" t="str">
        <v>🏃</v>
      </c>
      <c r="BZ24" s="1228" t="str">
        <v>💪</v>
      </c>
      <c r="CA24" s="1228" t="str">
        <v>💪</v>
      </c>
      <c r="CB24" s="1228" t="str">
        <v>🏃</v>
      </c>
      <c r="CC24" s="1228" t="str">
        <v>💪</v>
      </c>
      <c r="CD24" s="1228" t="str">
        <v>🏃</v>
      </c>
      <c r="CE24" s="1228" t="str">
        <v>🏃</v>
      </c>
      <c r="CF24" s="1228" t="str">
        <v>🏃</v>
      </c>
      <c r="CG24" s="1228" t="str">
        <v>🏃</v>
      </c>
      <c r="CH24" s="1228" t="str">
        <v>🏃</v>
      </c>
      <c r="CI24" s="1228" t="str">
        <v>🏃</v>
      </c>
      <c r="CJ24" s="1228" t="str">
        <v>🏃</v>
      </c>
      <c r="CK24" s="1228" t="str">
        <v>🏃</v>
      </c>
      <c r="CL24" s="1228" t="str">
        <v>🏃</v>
      </c>
      <c r="CM24" s="1228" t="str">
        <v>🏃</v>
      </c>
      <c r="CN24" s="1228" t="str">
        <v>🏃</v>
      </c>
      <c r="CO24" s="1228" t="str">
        <v>🏃</v>
      </c>
      <c r="CP24" s="1228" t="str">
        <v>🏃</v>
      </c>
      <c r="CQ24" s="1228" t="str">
        <v>🏃</v>
      </c>
      <c r="CR24" s="1228" t="str">
        <v>🏃</v>
      </c>
      <c r="CS24" s="1228" t="str">
        <v>🏃</v>
      </c>
      <c r="CT24" s="1228" t="str">
        <v>🏃</v>
      </c>
      <c r="CU24" s="1228" t="str">
        <v>🏃</v>
      </c>
      <c r="CV24" s="1228" t="str">
        <v>🏃</v>
      </c>
      <c r="CW24" s="1228" t="str">
        <v>🏃</v>
      </c>
      <c r="CX24" s="1228" t="str">
        <v>🏃</v>
      </c>
      <c r="CY24" s="1227" t="str">
        <v>🚲</v>
      </c>
      <c r="CZ24" s="1228" t="str">
        <v>🚲</v>
      </c>
      <c r="DA24" s="1228" t="str">
        <v>🚲</v>
      </c>
      <c r="DB24" s="1228" t="str">
        <v>🚲</v>
      </c>
      <c r="DC24" s="1228" t="str">
        <v>🚲</v>
      </c>
      <c r="DD24" s="1228" t="str">
        <v>🚲</v>
      </c>
      <c r="DE24" s="1228" t="str">
        <v>🚲</v>
      </c>
      <c r="DF24" s="1228" t="str">
        <v>🚲</v>
      </c>
      <c r="DG24" s="1228" t="str">
        <v>🚲</v>
      </c>
      <c r="DH24" s="1228" t="str">
        <v>🚲</v>
      </c>
      <c r="DI24" s="1228" t="str">
        <v>🚲</v>
      </c>
      <c r="DJ24" s="1228" t="str">
        <v>🚲</v>
      </c>
      <c r="DK24" s="1228" t="str">
        <v>🚲</v>
      </c>
      <c r="DL24" s="1228" t="str">
        <v>🚲</v>
      </c>
      <c r="DM24" s="1228" t="str">
        <v>🚲</v>
      </c>
      <c r="DN24" s="1228" t="str">
        <v>🚲</v>
      </c>
      <c r="DO24" s="1228" t="str">
        <v>🚲</v>
      </c>
      <c r="DP24" s="1228" t="str">
        <v>🚲</v>
      </c>
      <c r="DQ24" s="1228" t="str">
        <v>🚲</v>
      </c>
      <c r="DR24" s="1228" t="str">
        <v>🚲</v>
      </c>
      <c r="DS24" s="1228" t="str">
        <v>🚲</v>
      </c>
      <c r="DT24" s="1228" t="str">
        <v>🚲</v>
      </c>
      <c r="DU24" s="1228" t="str">
        <v>🚲</v>
      </c>
      <c r="DV24" s="1228" t="str">
        <v>🚲</v>
      </c>
      <c r="DW24" s="1228" t="str">
        <v>🚲</v>
      </c>
      <c r="DX24" s="1228" t="str">
        <v>🚲</v>
      </c>
      <c r="DY24" s="1228" t="str">
        <v>🚲</v>
      </c>
      <c r="DZ24" s="1228" t="str">
        <v>🚲</v>
      </c>
      <c r="EA24" s="1228" t="str">
        <v>🚲</v>
      </c>
      <c r="EB24" s="1228" t="str">
        <v>🚲</v>
      </c>
      <c r="EC24" s="1228" t="str">
        <v>🚲</v>
      </c>
      <c r="ED24" s="1228" t="str">
        <v>🚲</v>
      </c>
      <c r="EE24" s="1228" t="str">
        <v>🚲</v>
      </c>
      <c r="EF24" s="1228" t="str">
        <v>🚲</v>
      </c>
      <c r="EG24" s="1228" t="str">
        <v/>
      </c>
      <c r="EH24" s="1228" t="str">
        <v/>
      </c>
      <c r="EI24" s="1228" t="str">
        <v/>
      </c>
      <c r="EJ24" s="1228" t="str">
        <v/>
      </c>
      <c r="EK24" s="1228" t="str">
        <v/>
      </c>
      <c r="EL24" s="1228" t="str">
        <v/>
      </c>
      <c r="EM24" s="1228" t="str">
        <v/>
      </c>
      <c r="EN24" s="1228" t="str">
        <v/>
      </c>
      <c r="EO24" s="1228" t="str">
        <v/>
      </c>
      <c r="EP24" s="1228" t="str">
        <v/>
      </c>
      <c r="EQ24" s="1228" t="str">
        <v/>
      </c>
      <c r="ER24" s="1228" t="str">
        <v/>
      </c>
      <c r="ES24" s="1228" t="str">
        <v/>
      </c>
      <c r="ET24" s="1228" t="str">
        <v/>
      </c>
      <c r="EU24" s="1228" t="str">
        <v/>
      </c>
      <c r="EV24" s="1228" t="str">
        <v/>
      </c>
      <c r="EW24" s="1228" t="str">
        <v/>
      </c>
      <c r="EX24" s="1228" t="str">
        <v/>
      </c>
      <c r="EY24" s="1228" t="str">
        <v/>
      </c>
      <c r="EZ24" s="1228" t="str">
        <v/>
      </c>
      <c r="FA24" s="1228" t="str">
        <v/>
      </c>
      <c r="FB24" s="1228" t="str">
        <v/>
      </c>
      <c r="FC24" s="1228" t="str">
        <v/>
      </c>
      <c r="FD24" s="1228" t="str">
        <v/>
      </c>
      <c r="FE24" s="1228" t="str">
        <v/>
      </c>
      <c r="FF24" s="1228" t="str">
        <v/>
      </c>
      <c r="FG24" s="1228" t="str">
        <v>🚲</v>
      </c>
      <c r="FH24" s="1228" t="str">
        <v>🚲</v>
      </c>
      <c r="FI24" s="1228" t="str">
        <v>🚲</v>
      </c>
      <c r="FJ24" s="1228" t="str">
        <v>🚲</v>
      </c>
      <c r="FK24" s="1228" t="str">
        <v>🚲</v>
      </c>
      <c r="FL24" s="1228" t="str">
        <v>🚲</v>
      </c>
      <c r="FM24" s="1228" t="str">
        <v>🚲</v>
      </c>
      <c r="FN24" s="1228" t="str">
        <v>🚲</v>
      </c>
      <c r="FO24" s="1228" t="str">
        <v>🚲</v>
      </c>
      <c r="FP24" s="1228" t="str">
        <v>🚲</v>
      </c>
      <c r="FQ24" s="1228" t="str">
        <v/>
      </c>
      <c r="FR24" s="1228" t="str">
        <v/>
      </c>
      <c r="FS24" s="1228" t="str">
        <v/>
      </c>
      <c r="FT24" s="1228" t="str">
        <v/>
      </c>
      <c r="FU24" s="1228" t="str">
        <v/>
      </c>
      <c r="FV24" s="1228" t="str">
        <v/>
      </c>
      <c r="FW24" s="1228" t="str">
        <v/>
      </c>
      <c r="FX24" s="1228" t="str">
        <v/>
      </c>
      <c r="FY24" s="1228" t="str">
        <v/>
      </c>
      <c r="FZ24" s="1228" t="str">
        <v/>
      </c>
      <c r="GA24" s="1228" t="str">
        <v>🚲</v>
      </c>
      <c r="GB24" s="1228" t="str">
        <v>🚲</v>
      </c>
      <c r="GC24" s="1228" t="str">
        <v>🚲</v>
      </c>
      <c r="GD24" s="1228" t="str">
        <v>🚲</v>
      </c>
      <c r="GE24" s="1228" t="str">
        <v>🚲</v>
      </c>
      <c r="GF24" s="1228" t="str">
        <v>🚲</v>
      </c>
      <c r="GG24" s="1228" t="str">
        <v>🚲</v>
      </c>
      <c r="GH24" s="1228" t="str">
        <v>🚲</v>
      </c>
      <c r="GI24" s="1228" t="str">
        <v>🚲</v>
      </c>
      <c r="GJ24" s="1228" t="str">
        <v>🚲</v>
      </c>
      <c r="GK24" s="1228" t="str">
        <v>🚲</v>
      </c>
      <c r="GL24" s="1228" t="str">
        <v>🚲</v>
      </c>
      <c r="GM24" s="1228" t="str">
        <v>🚲</v>
      </c>
      <c r="GN24" s="1228" t="str">
        <v>🚲</v>
      </c>
      <c r="GO24" s="1228" t="str">
        <v>🚲</v>
      </c>
      <c r="GP24" s="1228" t="str">
        <v/>
      </c>
      <c r="GQ24" s="1228" t="str">
        <v/>
      </c>
      <c r="GR24" s="1228" t="str">
        <v/>
      </c>
      <c r="GS24" s="1228" t="str">
        <v/>
      </c>
      <c r="GT24" s="1228" t="str">
        <v/>
      </c>
      <c r="GU24" s="1228" t="str">
        <v>🏊</v>
      </c>
      <c r="GV24" s="1228" t="str">
        <v>🏊</v>
      </c>
      <c r="GW24" s="1228" t="str">
        <v>🏊</v>
      </c>
      <c r="GX24" s="1228" t="str">
        <v>🏊</v>
      </c>
      <c r="GY24" s="1228" t="str">
        <v>🏊</v>
      </c>
      <c r="GZ24" s="1228" t="str">
        <v/>
      </c>
      <c r="HA24" s="1228" t="str">
        <v/>
      </c>
      <c r="HB24" s="1228" t="str">
        <v>🏊</v>
      </c>
      <c r="HC24" s="1228" t="str">
        <v>🏊</v>
      </c>
      <c r="HD24" s="1228" t="str">
        <v>🏊</v>
      </c>
      <c r="HE24" s="1228" t="str">
        <v>🏊</v>
      </c>
      <c r="HF24" s="1228" t="str">
        <v>🏊</v>
      </c>
      <c r="HG24" s="1228" t="str">
        <v>🏊</v>
      </c>
      <c r="HH24" s="1228" t="str">
        <v>🏊</v>
      </c>
      <c r="HI24" s="1228" t="str">
        <v>🏊</v>
      </c>
      <c r="HJ24" s="1228" t="str">
        <v>🏊</v>
      </c>
      <c r="HK24" s="1228" t="str">
        <v>🏊</v>
      </c>
      <c r="HL24" s="1228" t="str">
        <v>🏊</v>
      </c>
      <c r="HM24" s="1228" t="str">
        <v>🏊</v>
      </c>
      <c r="HN24" s="1228" t="str">
        <v>🏊</v>
      </c>
      <c r="HO24" s="1228" t="str">
        <v>🛶</v>
      </c>
      <c r="HP24" s="1228" t="str">
        <v>🛶</v>
      </c>
      <c r="HQ24" s="1228" t="str">
        <v>🛶</v>
      </c>
      <c r="HR24" s="1228" t="str">
        <v>🛶</v>
      </c>
      <c r="HS24" s="1228" t="str">
        <v>🛶</v>
      </c>
      <c r="HT24" s="1228" t="str">
        <v/>
      </c>
      <c r="HU24" s="1228" t="str">
        <v/>
      </c>
      <c r="HV24" s="1228" t="str">
        <v>🛶</v>
      </c>
      <c r="HW24" s="1228" t="str">
        <v>🛶</v>
      </c>
      <c r="HX24" s="1228" t="str">
        <v>🛶</v>
      </c>
      <c r="HY24" s="1228" t="str">
        <v>🛶</v>
      </c>
      <c r="HZ24" s="1228" t="str">
        <v>🛶</v>
      </c>
      <c r="IA24" s="1228" t="str">
        <v>🛶</v>
      </c>
      <c r="IB24" s="1228" t="str">
        <v>🛶</v>
      </c>
      <c r="IC24" s="1228" t="str">
        <v>🛶</v>
      </c>
      <c r="ID24" s="1228" t="str">
        <v>🛶</v>
      </c>
      <c r="IE24" s="1228" t="str">
        <v>🛶</v>
      </c>
      <c r="IF24" s="1228" t="str">
        <v>🛶</v>
      </c>
      <c r="IG24" s="1228" t="str">
        <v>🛶</v>
      </c>
      <c r="IH24" s="1228" t="str">
        <v>🛶</v>
      </c>
      <c r="II24" s="1228" t="str">
        <v>🏑</v>
      </c>
      <c r="IJ24" s="1228" t="str">
        <v/>
      </c>
      <c r="IK24" s="1228" t="str">
        <v/>
      </c>
      <c r="IL24" s="1228" t="str">
        <v/>
      </c>
      <c r="IM24" s="1228" t="str">
        <v/>
      </c>
      <c r="IN24" s="1228" t="str">
        <v/>
      </c>
      <c r="IO24" s="1228" t="str">
        <v/>
      </c>
      <c r="IP24" s="1228" t="str">
        <v/>
      </c>
      <c r="IQ24" s="1228" t="str">
        <v/>
      </c>
      <c r="IR24" s="1228" t="str">
        <v/>
      </c>
      <c r="IS24" s="1228" t="str">
        <v/>
      </c>
      <c r="IT24" s="1228" t="str">
        <v>🏃</v>
      </c>
      <c r="IU24" s="1228" t="str">
        <v>🏃</v>
      </c>
      <c r="IV24" s="1228" t="str">
        <v>🏃</v>
      </c>
      <c r="IW24" s="1228" t="str">
        <v>🏃</v>
      </c>
      <c r="IX24" s="1228" t="str">
        <v>🏃</v>
      </c>
      <c r="IY24" s="1228" t="str">
        <v>🏃</v>
      </c>
      <c r="IZ24" s="1228" t="str">
        <v>🏃</v>
      </c>
      <c r="JA24" s="1228" t="str">
        <v/>
      </c>
      <c r="JB24" s="1228" t="str">
        <v/>
      </c>
      <c r="JC24" s="1228" t="str">
        <v/>
      </c>
      <c r="JD24" s="1228" t="str">
        <v/>
      </c>
      <c r="JE24" s="1228" t="str">
        <v/>
      </c>
      <c r="JF24" s="1228" t="str">
        <v/>
      </c>
      <c r="JG24" s="1228" t="str">
        <v/>
      </c>
      <c r="JH24" s="1228" t="str">
        <v/>
      </c>
      <c r="JI24" s="1228" t="str">
        <v/>
      </c>
      <c r="JJ24" s="1228" t="str">
        <v/>
      </c>
      <c r="JK24" s="1228" t="str">
        <v/>
      </c>
      <c r="JL24" s="1228" t="str">
        <v/>
      </c>
      <c r="JM24" s="1228" t="str">
        <v/>
      </c>
      <c r="JN24" s="1228" t="str">
        <v/>
      </c>
      <c r="JO24" s="1228" t="str">
        <v/>
      </c>
      <c r="JP24" s="1228" t="str">
        <v/>
      </c>
      <c r="JQ24" s="1228" t="str">
        <v/>
      </c>
      <c r="JR24" s="1228" t="str">
        <v/>
      </c>
      <c r="JS24" s="1228" t="str">
        <v/>
      </c>
      <c r="JT24" s="1228" t="str">
        <v/>
      </c>
      <c r="JU24" s="1228" t="str">
        <v/>
      </c>
      <c r="JV24" s="1228" t="str">
        <v/>
      </c>
      <c r="JW24" s="1228" t="str">
        <v>🛶</v>
      </c>
      <c r="JX24" s="1228" t="str">
        <v>🛶</v>
      </c>
      <c r="JY24" s="1228" t="str">
        <v>🛶</v>
      </c>
      <c r="JZ24" s="1228" t="str">
        <v>🛶</v>
      </c>
      <c r="KA24" s="1228" t="str">
        <v>🛶</v>
      </c>
      <c r="KB24" s="1228" t="str">
        <v>🛶</v>
      </c>
      <c r="KC24" s="1228" t="str">
        <v>🛶</v>
      </c>
      <c r="KD24" s="1228" t="str">
        <v>🛶</v>
      </c>
      <c r="KE24" s="1228" t="str">
        <v>🛶</v>
      </c>
      <c r="KF24" s="1228" t="str">
        <v>🛶</v>
      </c>
      <c r="KG24" s="1228" t="str">
        <v>🛶</v>
      </c>
      <c r="KH24" s="1228" t="str">
        <v>🛶</v>
      </c>
      <c r="KI24" s="1228" t="str">
        <v>🛶</v>
      </c>
      <c r="KJ24" s="1228" t="str">
        <v>🛶</v>
      </c>
      <c r="KK24" s="1228" t="str">
        <v>🛶</v>
      </c>
      <c r="KL24" s="1228" t="str">
        <v/>
      </c>
      <c r="KM24" s="1228" t="str">
        <v/>
      </c>
      <c r="KN24" s="1228" t="str">
        <v/>
      </c>
      <c r="KO24" s="1228" t="str">
        <v/>
      </c>
      <c r="KP24" s="1229" t="str">
        <v/>
      </c>
      <c r="KQ24" s="700" t="s">
        <v>388</v>
      </c>
    </row>
    <row r="25" spans="1:303" s="188" customFormat="1" hidden="1" x14ac:dyDescent="0.45">
      <c r="A25" s="1755"/>
      <c r="B25" s="138" t="s">
        <v>307</v>
      </c>
      <c r="C25" s="1230" t="str">
        <v/>
      </c>
      <c r="D25" s="1230" t="str">
        <v/>
      </c>
      <c r="E25" s="1230" t="str">
        <v/>
      </c>
      <c r="F25" s="1231" t="str">
        <v/>
      </c>
      <c r="G25" s="1231" t="str">
        <v/>
      </c>
      <c r="H25" s="1231" t="str">
        <v/>
      </c>
      <c r="I25" s="1231" t="str">
        <v/>
      </c>
      <c r="J25" s="1231" t="str">
        <v/>
      </c>
      <c r="K25" s="1231" t="str">
        <v>🏃</v>
      </c>
      <c r="L25" s="1231" t="str">
        <v>🏃</v>
      </c>
      <c r="M25" s="1231" t="str">
        <v>🏃</v>
      </c>
      <c r="N25" s="1231" t="str">
        <v/>
      </c>
      <c r="O25" s="1231" t="str">
        <v/>
      </c>
      <c r="P25" s="1231" t="str">
        <v/>
      </c>
      <c r="Q25" s="1231" t="str">
        <v/>
      </c>
      <c r="R25" s="1231" t="str">
        <v/>
      </c>
      <c r="S25" s="1231" t="str">
        <v/>
      </c>
      <c r="T25" s="1231" t="str">
        <v/>
      </c>
      <c r="U25" s="1231" t="str">
        <v/>
      </c>
      <c r="V25" s="1231" t="str">
        <v/>
      </c>
      <c r="W25" s="1231" t="str">
        <v/>
      </c>
      <c r="X25" s="1231" t="str">
        <v/>
      </c>
      <c r="Y25" s="1231" t="str">
        <v/>
      </c>
      <c r="Z25" s="1231" t="str">
        <v/>
      </c>
      <c r="AA25" s="1231" t="str">
        <v/>
      </c>
      <c r="AB25" s="1231" t="str">
        <v>🏃</v>
      </c>
      <c r="AC25" s="1231" t="str">
        <v>🏃</v>
      </c>
      <c r="AD25" s="1231" t="str">
        <v>🏃</v>
      </c>
      <c r="AE25" s="1231" t="str">
        <v>🏃</v>
      </c>
      <c r="AF25" s="1231" t="str">
        <v>🏃</v>
      </c>
      <c r="AG25" s="1231" t="str">
        <v/>
      </c>
      <c r="AH25" s="1231" t="str">
        <v/>
      </c>
      <c r="AI25" s="1231" t="str">
        <v/>
      </c>
      <c r="AJ25" s="1231" t="str">
        <v/>
      </c>
      <c r="AK25" s="1231" t="str">
        <v/>
      </c>
      <c r="AL25" s="1231" t="str">
        <v/>
      </c>
      <c r="AM25" s="1231" t="str">
        <v/>
      </c>
      <c r="AN25" s="1231" t="str">
        <v/>
      </c>
      <c r="AO25" s="1231" t="str">
        <v/>
      </c>
      <c r="AP25" s="1231" t="str">
        <v/>
      </c>
      <c r="AQ25" s="1231" t="str">
        <v/>
      </c>
      <c r="AR25" s="1231" t="str">
        <v/>
      </c>
      <c r="AS25" s="1231" t="str">
        <v/>
      </c>
      <c r="AT25" s="1231" t="str">
        <v/>
      </c>
      <c r="AU25" s="1231" t="str">
        <v/>
      </c>
      <c r="AV25" s="1231" t="str">
        <v/>
      </c>
      <c r="AW25" s="1231" t="str">
        <v/>
      </c>
      <c r="AX25" s="1231" t="str">
        <v/>
      </c>
      <c r="AY25" s="1231" t="str">
        <v/>
      </c>
      <c r="AZ25" s="1231" t="str">
        <v/>
      </c>
      <c r="BA25" s="1231" t="str">
        <v/>
      </c>
      <c r="BB25" s="1231" t="str">
        <v/>
      </c>
      <c r="BC25" s="1231" t="str">
        <v/>
      </c>
      <c r="BD25" s="1231" t="str">
        <v/>
      </c>
      <c r="BE25" s="1231" t="str">
        <v/>
      </c>
      <c r="BF25" s="1231" t="str">
        <v/>
      </c>
      <c r="BG25" s="1231" t="str">
        <v/>
      </c>
      <c r="BH25" s="1231" t="str">
        <v/>
      </c>
      <c r="BI25" s="1231" t="str">
        <v/>
      </c>
      <c r="BJ25" s="1231" t="str">
        <v/>
      </c>
      <c r="BK25" s="1231" t="str">
        <v>🏃</v>
      </c>
      <c r="BL25" s="1231" t="str">
        <v>🏃</v>
      </c>
      <c r="BM25" s="1231" t="str">
        <v>🏃</v>
      </c>
      <c r="BN25" s="1231" t="str">
        <v>🏃</v>
      </c>
      <c r="BO25" s="1231" t="str">
        <v>🏃</v>
      </c>
      <c r="BP25" s="1231" t="str">
        <v>🏃</v>
      </c>
      <c r="BQ25" s="1231" t="str">
        <v>🏃</v>
      </c>
      <c r="BR25" s="1231" t="str">
        <v>🏃</v>
      </c>
      <c r="BS25" s="1231" t="str">
        <v>🏃</v>
      </c>
      <c r="BT25" s="1231" t="str">
        <v/>
      </c>
      <c r="BU25" s="1231" t="str">
        <v/>
      </c>
      <c r="BV25" s="1231" t="str">
        <v>🏃</v>
      </c>
      <c r="BW25" s="1231" t="str">
        <v>🏃</v>
      </c>
      <c r="BX25" s="1231" t="str">
        <v>🏃</v>
      </c>
      <c r="BY25" s="1231" t="str">
        <v>🏃</v>
      </c>
      <c r="BZ25" s="1231" t="str">
        <v/>
      </c>
      <c r="CA25" s="1231" t="str">
        <v>💪</v>
      </c>
      <c r="CB25" s="1231" t="str">
        <v>💪</v>
      </c>
      <c r="CC25" s="1231" t="str">
        <v/>
      </c>
      <c r="CD25" s="1231" t="str">
        <v>💪</v>
      </c>
      <c r="CE25" s="1231" t="str">
        <v/>
      </c>
      <c r="CF25" s="1231" t="str">
        <v/>
      </c>
      <c r="CG25" s="1231" t="str">
        <v/>
      </c>
      <c r="CH25" s="1231" t="str">
        <v/>
      </c>
      <c r="CI25" s="1231" t="str">
        <v/>
      </c>
      <c r="CJ25" s="1231" t="str">
        <v/>
      </c>
      <c r="CK25" s="1231" t="str">
        <v/>
      </c>
      <c r="CL25" s="1231" t="str">
        <v/>
      </c>
      <c r="CM25" s="1231" t="str">
        <v/>
      </c>
      <c r="CN25" s="1231" t="str">
        <v/>
      </c>
      <c r="CO25" s="1231" t="str">
        <v/>
      </c>
      <c r="CP25" s="1231" t="str">
        <v/>
      </c>
      <c r="CQ25" s="1231" t="str">
        <v/>
      </c>
      <c r="CR25" s="1231" t="str">
        <v/>
      </c>
      <c r="CS25" s="1231" t="str">
        <v/>
      </c>
      <c r="CT25" s="1231" t="str">
        <v/>
      </c>
      <c r="CU25" s="1231" t="str">
        <v/>
      </c>
      <c r="CV25" s="1231" t="str">
        <v/>
      </c>
      <c r="CW25" s="1231" t="str">
        <v/>
      </c>
      <c r="CX25" s="1231" t="str">
        <v/>
      </c>
      <c r="CY25" s="1230" t="str">
        <v/>
      </c>
      <c r="CZ25" s="1231" t="str">
        <v/>
      </c>
      <c r="DA25" s="1231" t="str">
        <v/>
      </c>
      <c r="DB25" s="1231" t="str">
        <v/>
      </c>
      <c r="DC25" s="1231" t="str">
        <v/>
      </c>
      <c r="DD25" s="1231" t="str">
        <v/>
      </c>
      <c r="DE25" s="1231" t="str">
        <v/>
      </c>
      <c r="DF25" s="1231" t="str">
        <v/>
      </c>
      <c r="DG25" s="1231" t="str">
        <v/>
      </c>
      <c r="DH25" s="1231" t="str">
        <v/>
      </c>
      <c r="DI25" s="1231" t="str">
        <v/>
      </c>
      <c r="DJ25" s="1231" t="str">
        <v/>
      </c>
      <c r="DK25" s="1231" t="str">
        <v/>
      </c>
      <c r="DL25" s="1231" t="str">
        <v/>
      </c>
      <c r="DM25" s="1231" t="str">
        <v/>
      </c>
      <c r="DN25" s="1231" t="str">
        <v/>
      </c>
      <c r="DO25" s="1231" t="str">
        <v/>
      </c>
      <c r="DP25" s="1231" t="str">
        <v/>
      </c>
      <c r="DQ25" s="1231" t="str">
        <v/>
      </c>
      <c r="DR25" s="1231" t="str">
        <v/>
      </c>
      <c r="DS25" s="1231" t="str">
        <v/>
      </c>
      <c r="DT25" s="1231" t="str">
        <v/>
      </c>
      <c r="DU25" s="1231" t="str">
        <v/>
      </c>
      <c r="DV25" s="1231" t="str">
        <v/>
      </c>
      <c r="DW25" s="1231" t="str">
        <v/>
      </c>
      <c r="DX25" s="1231" t="str">
        <v>🚲</v>
      </c>
      <c r="DY25" s="1231" t="str">
        <v>🚲</v>
      </c>
      <c r="DZ25" s="1231" t="str">
        <v>🚲</v>
      </c>
      <c r="EA25" s="1231" t="str">
        <v>🚲</v>
      </c>
      <c r="EB25" s="1231" t="str">
        <v>🚲</v>
      </c>
      <c r="EC25" s="1231" t="str">
        <v/>
      </c>
      <c r="ED25" s="1231" t="str">
        <v/>
      </c>
      <c r="EE25" s="1231" t="str">
        <v/>
      </c>
      <c r="EF25" s="1231" t="str">
        <v/>
      </c>
      <c r="EG25" s="1231" t="str">
        <v/>
      </c>
      <c r="EH25" s="1231" t="str">
        <v/>
      </c>
      <c r="EI25" s="1231" t="str">
        <v/>
      </c>
      <c r="EJ25" s="1231" t="str">
        <v/>
      </c>
      <c r="EK25" s="1231" t="str">
        <v/>
      </c>
      <c r="EL25" s="1231" t="str">
        <v/>
      </c>
      <c r="EM25" s="1231" t="str">
        <v/>
      </c>
      <c r="EN25" s="1231" t="str">
        <v/>
      </c>
      <c r="EO25" s="1231" t="str">
        <v/>
      </c>
      <c r="EP25" s="1231" t="str">
        <v/>
      </c>
      <c r="EQ25" s="1231" t="str">
        <v/>
      </c>
      <c r="ER25" s="1231" t="str">
        <v/>
      </c>
      <c r="ES25" s="1231" t="str">
        <v/>
      </c>
      <c r="ET25" s="1231" t="str">
        <v/>
      </c>
      <c r="EU25" s="1231" t="str">
        <v/>
      </c>
      <c r="EV25" s="1231" t="str">
        <v/>
      </c>
      <c r="EW25" s="1231" t="str">
        <v/>
      </c>
      <c r="EX25" s="1231" t="str">
        <v/>
      </c>
      <c r="EY25" s="1231" t="str">
        <v/>
      </c>
      <c r="EZ25" s="1231" t="str">
        <v/>
      </c>
      <c r="FA25" s="1231" t="str">
        <v/>
      </c>
      <c r="FB25" s="1231" t="str">
        <v/>
      </c>
      <c r="FC25" s="1231" t="str">
        <v/>
      </c>
      <c r="FD25" s="1231" t="str">
        <v/>
      </c>
      <c r="FE25" s="1231" t="str">
        <v/>
      </c>
      <c r="FF25" s="1231" t="str">
        <v/>
      </c>
      <c r="FG25" s="1231" t="str">
        <v/>
      </c>
      <c r="FH25" s="1231" t="str">
        <v/>
      </c>
      <c r="FI25" s="1231" t="str">
        <v/>
      </c>
      <c r="FJ25" s="1231" t="str">
        <v/>
      </c>
      <c r="FK25" s="1231" t="str">
        <v/>
      </c>
      <c r="FL25" s="1231" t="str">
        <v/>
      </c>
      <c r="FM25" s="1231" t="str">
        <v/>
      </c>
      <c r="FN25" s="1231" t="str">
        <v>🚲</v>
      </c>
      <c r="FO25" s="1231" t="str">
        <v/>
      </c>
      <c r="FP25" s="1231" t="str">
        <v/>
      </c>
      <c r="FQ25" s="1231" t="str">
        <v/>
      </c>
      <c r="FR25" s="1231" t="str">
        <v/>
      </c>
      <c r="FS25" s="1231" t="str">
        <v/>
      </c>
      <c r="FT25" s="1231" t="str">
        <v/>
      </c>
      <c r="FU25" s="1231" t="str">
        <v/>
      </c>
      <c r="FV25" s="1231" t="str">
        <v/>
      </c>
      <c r="FW25" s="1231" t="str">
        <v/>
      </c>
      <c r="FX25" s="1231" t="str">
        <v/>
      </c>
      <c r="FY25" s="1231" t="str">
        <v/>
      </c>
      <c r="FZ25" s="1231" t="str">
        <v/>
      </c>
      <c r="GA25" s="1231" t="str">
        <v/>
      </c>
      <c r="GB25" s="1231" t="str">
        <v/>
      </c>
      <c r="GC25" s="1231" t="str">
        <v/>
      </c>
      <c r="GD25" s="1231" t="str">
        <v/>
      </c>
      <c r="GE25" s="1231" t="str">
        <v/>
      </c>
      <c r="GF25" s="1231" t="str">
        <v/>
      </c>
      <c r="GG25" s="1231" t="str">
        <v/>
      </c>
      <c r="GH25" s="1231" t="str">
        <v/>
      </c>
      <c r="GI25" s="1231" t="str">
        <v/>
      </c>
      <c r="GJ25" s="1231" t="str">
        <v/>
      </c>
      <c r="GK25" s="1231" t="str">
        <v/>
      </c>
      <c r="GL25" s="1231" t="str">
        <v/>
      </c>
      <c r="GM25" s="1231" t="str">
        <v/>
      </c>
      <c r="GN25" s="1231" t="str">
        <v/>
      </c>
      <c r="GO25" s="1231" t="str">
        <v/>
      </c>
      <c r="GP25" s="1231" t="str">
        <v/>
      </c>
      <c r="GQ25" s="1231" t="str">
        <v/>
      </c>
      <c r="GR25" s="1231" t="str">
        <v/>
      </c>
      <c r="GS25" s="1231" t="str">
        <v/>
      </c>
      <c r="GT25" s="1231" t="str">
        <v/>
      </c>
      <c r="GU25" s="1231" t="str">
        <v/>
      </c>
      <c r="GV25" s="1231" t="str">
        <v/>
      </c>
      <c r="GW25" s="1231" t="str">
        <v/>
      </c>
      <c r="GX25" s="1231" t="str">
        <v/>
      </c>
      <c r="GY25" s="1231" t="str">
        <v/>
      </c>
      <c r="GZ25" s="1231" t="str">
        <v/>
      </c>
      <c r="HA25" s="1231" t="str">
        <v/>
      </c>
      <c r="HB25" s="1231" t="str">
        <v/>
      </c>
      <c r="HC25" s="1231" t="str">
        <v/>
      </c>
      <c r="HD25" s="1231" t="str">
        <v/>
      </c>
      <c r="HE25" s="1231" t="str">
        <v/>
      </c>
      <c r="HF25" s="1231" t="str">
        <v/>
      </c>
      <c r="HG25" s="1231" t="str">
        <v/>
      </c>
      <c r="HH25" s="1231" t="str">
        <v/>
      </c>
      <c r="HI25" s="1231" t="str">
        <v/>
      </c>
      <c r="HJ25" s="1231" t="str">
        <v/>
      </c>
      <c r="HK25" s="1231" t="str">
        <v/>
      </c>
      <c r="HL25" s="1231" t="str">
        <v/>
      </c>
      <c r="HM25" s="1231" t="str">
        <v/>
      </c>
      <c r="HN25" s="1231" t="str">
        <v/>
      </c>
      <c r="HO25" s="1231" t="str">
        <v/>
      </c>
      <c r="HP25" s="1231" t="str">
        <v/>
      </c>
      <c r="HQ25" s="1231" t="str">
        <v/>
      </c>
      <c r="HR25" s="1231" t="str">
        <v/>
      </c>
      <c r="HS25" s="1231" t="str">
        <v/>
      </c>
      <c r="HT25" s="1231" t="str">
        <v/>
      </c>
      <c r="HU25" s="1231" t="str">
        <v/>
      </c>
      <c r="HV25" s="1231" t="str">
        <v/>
      </c>
      <c r="HW25" s="1231" t="str">
        <v/>
      </c>
      <c r="HX25" s="1231" t="str">
        <v/>
      </c>
      <c r="HY25" s="1231" t="str">
        <v/>
      </c>
      <c r="HZ25" s="1231" t="str">
        <v/>
      </c>
      <c r="IA25" s="1231" t="str">
        <v/>
      </c>
      <c r="IB25" s="1231" t="str">
        <v/>
      </c>
      <c r="IC25" s="1231" t="str">
        <v/>
      </c>
      <c r="ID25" s="1231" t="str">
        <v/>
      </c>
      <c r="IE25" s="1231" t="str">
        <v/>
      </c>
      <c r="IF25" s="1231" t="str">
        <v/>
      </c>
      <c r="IG25" s="1231" t="str">
        <v/>
      </c>
      <c r="IH25" s="1231" t="str">
        <v/>
      </c>
      <c r="II25" s="1231" t="str">
        <v/>
      </c>
      <c r="IJ25" s="1231" t="str">
        <v/>
      </c>
      <c r="IK25" s="1231" t="str">
        <v/>
      </c>
      <c r="IL25" s="1231" t="str">
        <v/>
      </c>
      <c r="IM25" s="1231" t="str">
        <v/>
      </c>
      <c r="IN25" s="1231" t="str">
        <v/>
      </c>
      <c r="IO25" s="1231" t="str">
        <v/>
      </c>
      <c r="IP25" s="1231" t="str">
        <v/>
      </c>
      <c r="IQ25" s="1231" t="str">
        <v/>
      </c>
      <c r="IR25" s="1231" t="str">
        <v/>
      </c>
      <c r="IS25" s="1231" t="str">
        <v/>
      </c>
      <c r="IT25" s="1231" t="str">
        <v/>
      </c>
      <c r="IU25" s="1231" t="str">
        <v/>
      </c>
      <c r="IV25" s="1231" t="str">
        <v/>
      </c>
      <c r="IW25" s="1231" t="str">
        <v/>
      </c>
      <c r="IX25" s="1231" t="str">
        <v/>
      </c>
      <c r="IY25" s="1231" t="str">
        <v/>
      </c>
      <c r="IZ25" s="1231" t="str">
        <v/>
      </c>
      <c r="JA25" s="1231" t="str">
        <v/>
      </c>
      <c r="JB25" s="1231" t="str">
        <v/>
      </c>
      <c r="JC25" s="1231" t="str">
        <v/>
      </c>
      <c r="JD25" s="1231" t="str">
        <v/>
      </c>
      <c r="JE25" s="1231" t="str">
        <v/>
      </c>
      <c r="JF25" s="1231" t="str">
        <v/>
      </c>
      <c r="JG25" s="1231" t="str">
        <v/>
      </c>
      <c r="JH25" s="1231" t="str">
        <v/>
      </c>
      <c r="JI25" s="1231" t="str">
        <v/>
      </c>
      <c r="JJ25" s="1231" t="str">
        <v/>
      </c>
      <c r="JK25" s="1231" t="str">
        <v/>
      </c>
      <c r="JL25" s="1231" t="str">
        <v/>
      </c>
      <c r="JM25" s="1231" t="str">
        <v/>
      </c>
      <c r="JN25" s="1231" t="str">
        <v/>
      </c>
      <c r="JO25" s="1231" t="str">
        <v/>
      </c>
      <c r="JP25" s="1231" t="str">
        <v/>
      </c>
      <c r="JQ25" s="1231" t="str">
        <v/>
      </c>
      <c r="JR25" s="1231" t="str">
        <v/>
      </c>
      <c r="JS25" s="1231" t="str">
        <v/>
      </c>
      <c r="JT25" s="1231" t="str">
        <v/>
      </c>
      <c r="JU25" s="1231" t="str">
        <v/>
      </c>
      <c r="JV25" s="1231" t="str">
        <v/>
      </c>
      <c r="JW25" s="1231" t="str">
        <v/>
      </c>
      <c r="JX25" s="1231" t="str">
        <v/>
      </c>
      <c r="JY25" s="1231" t="str">
        <v/>
      </c>
      <c r="JZ25" s="1231" t="str">
        <v/>
      </c>
      <c r="KA25" s="1231" t="str">
        <v/>
      </c>
      <c r="KB25" s="1231" t="str">
        <v/>
      </c>
      <c r="KC25" s="1231" t="str">
        <v/>
      </c>
      <c r="KD25" s="1231" t="str">
        <v/>
      </c>
      <c r="KE25" s="1231" t="str">
        <v/>
      </c>
      <c r="KF25" s="1231" t="str">
        <v/>
      </c>
      <c r="KG25" s="1231" t="str">
        <v/>
      </c>
      <c r="KH25" s="1231" t="str">
        <v/>
      </c>
      <c r="KI25" s="1231" t="str">
        <v/>
      </c>
      <c r="KJ25" s="1231" t="str">
        <v/>
      </c>
      <c r="KK25" s="1231" t="str">
        <v/>
      </c>
      <c r="KL25" s="1231" t="str">
        <v/>
      </c>
      <c r="KM25" s="1231" t="str">
        <v/>
      </c>
      <c r="KN25" s="1231" t="str">
        <v/>
      </c>
      <c r="KO25" s="1231" t="str">
        <v/>
      </c>
      <c r="KP25" s="1232" t="str">
        <v/>
      </c>
      <c r="KQ25" s="700"/>
    </row>
    <row r="26" spans="1:303" s="188" customFormat="1" hidden="1" x14ac:dyDescent="0.45">
      <c r="A26" s="1755"/>
      <c r="B26" s="138" t="s">
        <v>308</v>
      </c>
      <c r="C26" s="1230" t="str">
        <v/>
      </c>
      <c r="D26" s="1230" t="str">
        <v/>
      </c>
      <c r="E26" s="1230" t="str">
        <v/>
      </c>
      <c r="F26" s="1231" t="str">
        <v/>
      </c>
      <c r="G26" s="1231" t="str">
        <v/>
      </c>
      <c r="H26" s="1231" t="str">
        <v/>
      </c>
      <c r="I26" s="1231" t="str">
        <v/>
      </c>
      <c r="J26" s="1231" t="str">
        <v/>
      </c>
      <c r="K26" s="1231" t="str">
        <v/>
      </c>
      <c r="L26" s="1231" t="str">
        <v/>
      </c>
      <c r="M26" s="1231" t="str">
        <v/>
      </c>
      <c r="N26" s="1231" t="str">
        <v/>
      </c>
      <c r="O26" s="1231" t="str">
        <v/>
      </c>
      <c r="P26" s="1231" t="str">
        <v/>
      </c>
      <c r="Q26" s="1231" t="str">
        <v/>
      </c>
      <c r="R26" s="1231" t="str">
        <v/>
      </c>
      <c r="S26" s="1231" t="str">
        <v/>
      </c>
      <c r="T26" s="1231" t="str">
        <v/>
      </c>
      <c r="U26" s="1231" t="str">
        <v/>
      </c>
      <c r="V26" s="1231" t="str">
        <v/>
      </c>
      <c r="W26" s="1231" t="str">
        <v/>
      </c>
      <c r="X26" s="1231" t="str">
        <v/>
      </c>
      <c r="Y26" s="1231" t="str">
        <v/>
      </c>
      <c r="Z26" s="1231" t="str">
        <v/>
      </c>
      <c r="AA26" s="1231" t="str">
        <v/>
      </c>
      <c r="AB26" s="1231" t="str">
        <v/>
      </c>
      <c r="AC26" s="1231" t="str">
        <v/>
      </c>
      <c r="AD26" s="1231" t="str">
        <v/>
      </c>
      <c r="AE26" s="1231" t="str">
        <v/>
      </c>
      <c r="AF26" s="1231" t="str">
        <v/>
      </c>
      <c r="AG26" s="1231" t="str">
        <v/>
      </c>
      <c r="AH26" s="1231" t="str">
        <v/>
      </c>
      <c r="AI26" s="1231" t="str">
        <v/>
      </c>
      <c r="AJ26" s="1231" t="str">
        <v/>
      </c>
      <c r="AK26" s="1231" t="str">
        <v/>
      </c>
      <c r="AL26" s="1231" t="str">
        <v/>
      </c>
      <c r="AM26" s="1231" t="str">
        <v/>
      </c>
      <c r="AN26" s="1231" t="str">
        <v/>
      </c>
      <c r="AO26" s="1231" t="str">
        <v/>
      </c>
      <c r="AP26" s="1231" t="str">
        <v/>
      </c>
      <c r="AQ26" s="1231" t="str">
        <v/>
      </c>
      <c r="AR26" s="1231" t="str">
        <v/>
      </c>
      <c r="AS26" s="1231" t="str">
        <v/>
      </c>
      <c r="AT26" s="1231" t="str">
        <v/>
      </c>
      <c r="AU26" s="1231" t="str">
        <v/>
      </c>
      <c r="AV26" s="1231" t="str">
        <v/>
      </c>
      <c r="AW26" s="1231" t="str">
        <v/>
      </c>
      <c r="AX26" s="1231" t="str">
        <v/>
      </c>
      <c r="AY26" s="1231" t="str">
        <v/>
      </c>
      <c r="AZ26" s="1231" t="str">
        <v/>
      </c>
      <c r="BA26" s="1231" t="str">
        <v/>
      </c>
      <c r="BB26" s="1231" t="str">
        <v/>
      </c>
      <c r="BC26" s="1231" t="str">
        <v/>
      </c>
      <c r="BD26" s="1231" t="str">
        <v/>
      </c>
      <c r="BE26" s="1231" t="str">
        <v/>
      </c>
      <c r="BF26" s="1231" t="str">
        <v/>
      </c>
      <c r="BG26" s="1231" t="str">
        <v/>
      </c>
      <c r="BH26" s="1231" t="str">
        <v/>
      </c>
      <c r="BI26" s="1231" t="str">
        <v/>
      </c>
      <c r="BJ26" s="1231" t="str">
        <v/>
      </c>
      <c r="BK26" s="1231" t="str">
        <v/>
      </c>
      <c r="BL26" s="1231" t="str">
        <v/>
      </c>
      <c r="BM26" s="1231" t="str">
        <v/>
      </c>
      <c r="BN26" s="1231" t="str">
        <v/>
      </c>
      <c r="BO26" s="1231" t="str">
        <v/>
      </c>
      <c r="BP26" s="1231" t="str">
        <v/>
      </c>
      <c r="BQ26" s="1231" t="str">
        <v/>
      </c>
      <c r="BR26" s="1231" t="str">
        <v/>
      </c>
      <c r="BS26" s="1231" t="str">
        <v/>
      </c>
      <c r="BT26" s="1231" t="str">
        <v/>
      </c>
      <c r="BU26" s="1231" t="str">
        <v/>
      </c>
      <c r="BV26" s="1231" t="str">
        <v/>
      </c>
      <c r="BW26" s="1231" t="str">
        <v/>
      </c>
      <c r="BX26" s="1231" t="str">
        <v/>
      </c>
      <c r="BY26" s="1231" t="str">
        <v>🏃</v>
      </c>
      <c r="BZ26" s="1231" t="str">
        <v/>
      </c>
      <c r="CA26" s="1231" t="str">
        <v/>
      </c>
      <c r="CB26" s="1231" t="str">
        <v>💪</v>
      </c>
      <c r="CC26" s="1231" t="str">
        <v/>
      </c>
      <c r="CD26" s="1231" t="str">
        <v/>
      </c>
      <c r="CE26" s="1231" t="str">
        <v/>
      </c>
      <c r="CF26" s="1231" t="str">
        <v/>
      </c>
      <c r="CG26" s="1231" t="str">
        <v/>
      </c>
      <c r="CH26" s="1231" t="str">
        <v/>
      </c>
      <c r="CI26" s="1231" t="str">
        <v/>
      </c>
      <c r="CJ26" s="1231" t="str">
        <v/>
      </c>
      <c r="CK26" s="1231" t="str">
        <v/>
      </c>
      <c r="CL26" s="1231" t="str">
        <v/>
      </c>
      <c r="CM26" s="1231" t="str">
        <v/>
      </c>
      <c r="CN26" s="1231" t="str">
        <v/>
      </c>
      <c r="CO26" s="1231" t="str">
        <v/>
      </c>
      <c r="CP26" s="1231" t="str">
        <v/>
      </c>
      <c r="CQ26" s="1231" t="str">
        <v/>
      </c>
      <c r="CR26" s="1231" t="str">
        <v/>
      </c>
      <c r="CS26" s="1231" t="str">
        <v/>
      </c>
      <c r="CT26" s="1231" t="str">
        <v/>
      </c>
      <c r="CU26" s="1231" t="str">
        <v/>
      </c>
      <c r="CV26" s="1231" t="str">
        <v/>
      </c>
      <c r="CW26" s="1231" t="str">
        <v/>
      </c>
      <c r="CX26" s="1231" t="str">
        <v/>
      </c>
      <c r="CY26" s="1230" t="str">
        <v/>
      </c>
      <c r="CZ26" s="1231" t="str">
        <v/>
      </c>
      <c r="DA26" s="1231" t="str">
        <v/>
      </c>
      <c r="DB26" s="1231" t="str">
        <v/>
      </c>
      <c r="DC26" s="1231" t="str">
        <v/>
      </c>
      <c r="DD26" s="1231" t="str">
        <v/>
      </c>
      <c r="DE26" s="1231" t="str">
        <v/>
      </c>
      <c r="DF26" s="1231" t="str">
        <v/>
      </c>
      <c r="DG26" s="1231" t="str">
        <v/>
      </c>
      <c r="DH26" s="1231" t="str">
        <v/>
      </c>
      <c r="DI26" s="1231" t="str">
        <v/>
      </c>
      <c r="DJ26" s="1231" t="str">
        <v/>
      </c>
      <c r="DK26" s="1231" t="str">
        <v/>
      </c>
      <c r="DL26" s="1231" t="str">
        <v/>
      </c>
      <c r="DM26" s="1231" t="str">
        <v/>
      </c>
      <c r="DN26" s="1231" t="str">
        <v/>
      </c>
      <c r="DO26" s="1231" t="str">
        <v/>
      </c>
      <c r="DP26" s="1231" t="str">
        <v/>
      </c>
      <c r="DQ26" s="1231" t="str">
        <v/>
      </c>
      <c r="DR26" s="1231" t="str">
        <v/>
      </c>
      <c r="DS26" s="1231" t="str">
        <v/>
      </c>
      <c r="DT26" s="1231" t="str">
        <v/>
      </c>
      <c r="DU26" s="1231" t="str">
        <v/>
      </c>
      <c r="DV26" s="1231" t="str">
        <v/>
      </c>
      <c r="DW26" s="1231" t="str">
        <v/>
      </c>
      <c r="DX26" s="1231" t="str">
        <v/>
      </c>
      <c r="DY26" s="1231" t="str">
        <v/>
      </c>
      <c r="DZ26" s="1231" t="str">
        <v/>
      </c>
      <c r="EA26" s="1231" t="str">
        <v/>
      </c>
      <c r="EB26" s="1231" t="str">
        <v/>
      </c>
      <c r="EC26" s="1231" t="str">
        <v/>
      </c>
      <c r="ED26" s="1231" t="str">
        <v/>
      </c>
      <c r="EE26" s="1231" t="str">
        <v/>
      </c>
      <c r="EF26" s="1231" t="str">
        <v/>
      </c>
      <c r="EG26" s="1231" t="str">
        <v/>
      </c>
      <c r="EH26" s="1231" t="str">
        <v/>
      </c>
      <c r="EI26" s="1231" t="str">
        <v/>
      </c>
      <c r="EJ26" s="1231" t="str">
        <v/>
      </c>
      <c r="EK26" s="1231" t="str">
        <v/>
      </c>
      <c r="EL26" s="1231" t="str">
        <v/>
      </c>
      <c r="EM26" s="1231" t="str">
        <v/>
      </c>
      <c r="EN26" s="1231" t="str">
        <v/>
      </c>
      <c r="EO26" s="1231" t="str">
        <v/>
      </c>
      <c r="EP26" s="1231" t="str">
        <v/>
      </c>
      <c r="EQ26" s="1231" t="str">
        <v/>
      </c>
      <c r="ER26" s="1231" t="str">
        <v/>
      </c>
      <c r="ES26" s="1231" t="str">
        <v/>
      </c>
      <c r="ET26" s="1231" t="str">
        <v/>
      </c>
      <c r="EU26" s="1231" t="str">
        <v/>
      </c>
      <c r="EV26" s="1231" t="str">
        <v/>
      </c>
      <c r="EW26" s="1231" t="str">
        <v/>
      </c>
      <c r="EX26" s="1231" t="str">
        <v/>
      </c>
      <c r="EY26" s="1231" t="str">
        <v/>
      </c>
      <c r="EZ26" s="1231" t="str">
        <v/>
      </c>
      <c r="FA26" s="1231" t="str">
        <v/>
      </c>
      <c r="FB26" s="1231" t="str">
        <v/>
      </c>
      <c r="FC26" s="1231" t="str">
        <v/>
      </c>
      <c r="FD26" s="1231" t="str">
        <v/>
      </c>
      <c r="FE26" s="1231" t="str">
        <v/>
      </c>
      <c r="FF26" s="1231" t="str">
        <v/>
      </c>
      <c r="FG26" s="1231" t="str">
        <v/>
      </c>
      <c r="FH26" s="1231" t="str">
        <v/>
      </c>
      <c r="FI26" s="1231" t="str">
        <v/>
      </c>
      <c r="FJ26" s="1231" t="str">
        <v/>
      </c>
      <c r="FK26" s="1231" t="str">
        <v/>
      </c>
      <c r="FL26" s="1231" t="str">
        <v/>
      </c>
      <c r="FM26" s="1231" t="str">
        <v/>
      </c>
      <c r="FN26" s="1231" t="str">
        <v/>
      </c>
      <c r="FO26" s="1231" t="str">
        <v/>
      </c>
      <c r="FP26" s="1231" t="str">
        <v/>
      </c>
      <c r="FQ26" s="1231" t="str">
        <v/>
      </c>
      <c r="FR26" s="1231" t="str">
        <v/>
      </c>
      <c r="FS26" s="1231" t="str">
        <v/>
      </c>
      <c r="FT26" s="1231" t="str">
        <v/>
      </c>
      <c r="FU26" s="1231" t="str">
        <v/>
      </c>
      <c r="FV26" s="1231" t="str">
        <v/>
      </c>
      <c r="FW26" s="1231" t="str">
        <v/>
      </c>
      <c r="FX26" s="1231" t="str">
        <v/>
      </c>
      <c r="FY26" s="1231" t="str">
        <v/>
      </c>
      <c r="FZ26" s="1231" t="str">
        <v/>
      </c>
      <c r="GA26" s="1231" t="str">
        <v/>
      </c>
      <c r="GB26" s="1231" t="str">
        <v/>
      </c>
      <c r="GC26" s="1231" t="str">
        <v/>
      </c>
      <c r="GD26" s="1231" t="str">
        <v/>
      </c>
      <c r="GE26" s="1231" t="str">
        <v/>
      </c>
      <c r="GF26" s="1231" t="str">
        <v/>
      </c>
      <c r="GG26" s="1231" t="str">
        <v/>
      </c>
      <c r="GH26" s="1231" t="str">
        <v/>
      </c>
      <c r="GI26" s="1231" t="str">
        <v/>
      </c>
      <c r="GJ26" s="1231" t="str">
        <v/>
      </c>
      <c r="GK26" s="1231" t="str">
        <v/>
      </c>
      <c r="GL26" s="1231" t="str">
        <v/>
      </c>
      <c r="GM26" s="1231" t="str">
        <v/>
      </c>
      <c r="GN26" s="1231" t="str">
        <v/>
      </c>
      <c r="GO26" s="1231" t="str">
        <v/>
      </c>
      <c r="GP26" s="1231" t="str">
        <v/>
      </c>
      <c r="GQ26" s="1231" t="str">
        <v/>
      </c>
      <c r="GR26" s="1231" t="str">
        <v/>
      </c>
      <c r="GS26" s="1231" t="str">
        <v/>
      </c>
      <c r="GT26" s="1231" t="str">
        <v/>
      </c>
      <c r="GU26" s="1231" t="str">
        <v/>
      </c>
      <c r="GV26" s="1231" t="str">
        <v/>
      </c>
      <c r="GW26" s="1231" t="str">
        <v/>
      </c>
      <c r="GX26" s="1231" t="str">
        <v/>
      </c>
      <c r="GY26" s="1231" t="str">
        <v/>
      </c>
      <c r="GZ26" s="1231" t="str">
        <v/>
      </c>
      <c r="HA26" s="1231" t="str">
        <v/>
      </c>
      <c r="HB26" s="1231" t="str">
        <v/>
      </c>
      <c r="HC26" s="1231" t="str">
        <v/>
      </c>
      <c r="HD26" s="1231" t="str">
        <v/>
      </c>
      <c r="HE26" s="1231" t="str">
        <v/>
      </c>
      <c r="HF26" s="1231" t="str">
        <v/>
      </c>
      <c r="HG26" s="1231" t="str">
        <v/>
      </c>
      <c r="HH26" s="1231" t="str">
        <v/>
      </c>
      <c r="HI26" s="1231" t="str">
        <v/>
      </c>
      <c r="HJ26" s="1231" t="str">
        <v/>
      </c>
      <c r="HK26" s="1231" t="str">
        <v/>
      </c>
      <c r="HL26" s="1231" t="str">
        <v/>
      </c>
      <c r="HM26" s="1231" t="str">
        <v/>
      </c>
      <c r="HN26" s="1231" t="str">
        <v/>
      </c>
      <c r="HO26" s="1231" t="str">
        <v/>
      </c>
      <c r="HP26" s="1231" t="str">
        <v/>
      </c>
      <c r="HQ26" s="1231" t="str">
        <v/>
      </c>
      <c r="HR26" s="1231" t="str">
        <v/>
      </c>
      <c r="HS26" s="1231" t="str">
        <v/>
      </c>
      <c r="HT26" s="1231" t="str">
        <v/>
      </c>
      <c r="HU26" s="1231" t="str">
        <v/>
      </c>
      <c r="HV26" s="1231" t="str">
        <v/>
      </c>
      <c r="HW26" s="1231" t="str">
        <v/>
      </c>
      <c r="HX26" s="1231" t="str">
        <v/>
      </c>
      <c r="HY26" s="1231" t="str">
        <v/>
      </c>
      <c r="HZ26" s="1231" t="str">
        <v/>
      </c>
      <c r="IA26" s="1231" t="str">
        <v/>
      </c>
      <c r="IB26" s="1231" t="str">
        <v/>
      </c>
      <c r="IC26" s="1231" t="str">
        <v/>
      </c>
      <c r="ID26" s="1231" t="str">
        <v/>
      </c>
      <c r="IE26" s="1231" t="str">
        <v/>
      </c>
      <c r="IF26" s="1231" t="str">
        <v/>
      </c>
      <c r="IG26" s="1231" t="str">
        <v/>
      </c>
      <c r="IH26" s="1231" t="str">
        <v/>
      </c>
      <c r="II26" s="1231" t="str">
        <v/>
      </c>
      <c r="IJ26" s="1231" t="str">
        <v/>
      </c>
      <c r="IK26" s="1231" t="str">
        <v/>
      </c>
      <c r="IL26" s="1231" t="str">
        <v/>
      </c>
      <c r="IM26" s="1231" t="str">
        <v/>
      </c>
      <c r="IN26" s="1231" t="str">
        <v/>
      </c>
      <c r="IO26" s="1231" t="str">
        <v/>
      </c>
      <c r="IP26" s="1231" t="str">
        <v/>
      </c>
      <c r="IQ26" s="1231" t="str">
        <v/>
      </c>
      <c r="IR26" s="1231" t="str">
        <v/>
      </c>
      <c r="IS26" s="1231" t="str">
        <v/>
      </c>
      <c r="IT26" s="1231" t="str">
        <v/>
      </c>
      <c r="IU26" s="1231" t="str">
        <v/>
      </c>
      <c r="IV26" s="1231" t="str">
        <v/>
      </c>
      <c r="IW26" s="1231" t="str">
        <v/>
      </c>
      <c r="IX26" s="1231" t="str">
        <v/>
      </c>
      <c r="IY26" s="1231" t="str">
        <v/>
      </c>
      <c r="IZ26" s="1231" t="str">
        <v/>
      </c>
      <c r="JA26" s="1231" t="str">
        <v/>
      </c>
      <c r="JB26" s="1231" t="str">
        <v/>
      </c>
      <c r="JC26" s="1231" t="str">
        <v/>
      </c>
      <c r="JD26" s="1231" t="str">
        <v/>
      </c>
      <c r="JE26" s="1231" t="str">
        <v/>
      </c>
      <c r="JF26" s="1231" t="str">
        <v/>
      </c>
      <c r="JG26" s="1231" t="str">
        <v/>
      </c>
      <c r="JH26" s="1231" t="str">
        <v/>
      </c>
      <c r="JI26" s="1231" t="str">
        <v/>
      </c>
      <c r="JJ26" s="1231" t="str">
        <v/>
      </c>
      <c r="JK26" s="1231" t="str">
        <v/>
      </c>
      <c r="JL26" s="1231" t="str">
        <v/>
      </c>
      <c r="JM26" s="1231" t="str">
        <v/>
      </c>
      <c r="JN26" s="1231" t="str">
        <v/>
      </c>
      <c r="JO26" s="1231" t="str">
        <v/>
      </c>
      <c r="JP26" s="1231" t="str">
        <v/>
      </c>
      <c r="JQ26" s="1231" t="str">
        <v/>
      </c>
      <c r="JR26" s="1231" t="str">
        <v/>
      </c>
      <c r="JS26" s="1231" t="str">
        <v/>
      </c>
      <c r="JT26" s="1231" t="str">
        <v/>
      </c>
      <c r="JU26" s="1231" t="str">
        <v/>
      </c>
      <c r="JV26" s="1231" t="str">
        <v/>
      </c>
      <c r="JW26" s="1231" t="str">
        <v/>
      </c>
      <c r="JX26" s="1231" t="str">
        <v/>
      </c>
      <c r="JY26" s="1231" t="str">
        <v/>
      </c>
      <c r="JZ26" s="1231" t="str">
        <v/>
      </c>
      <c r="KA26" s="1231" t="str">
        <v/>
      </c>
      <c r="KB26" s="1231" t="str">
        <v/>
      </c>
      <c r="KC26" s="1231" t="str">
        <v/>
      </c>
      <c r="KD26" s="1231" t="str">
        <v/>
      </c>
      <c r="KE26" s="1231" t="str">
        <v/>
      </c>
      <c r="KF26" s="1231" t="str">
        <v/>
      </c>
      <c r="KG26" s="1231" t="str">
        <v/>
      </c>
      <c r="KH26" s="1231" t="str">
        <v/>
      </c>
      <c r="KI26" s="1231" t="str">
        <v/>
      </c>
      <c r="KJ26" s="1231" t="str">
        <v/>
      </c>
      <c r="KK26" s="1231" t="str">
        <v/>
      </c>
      <c r="KL26" s="1231" t="str">
        <v/>
      </c>
      <c r="KM26" s="1231" t="str">
        <v/>
      </c>
      <c r="KN26" s="1231" t="str">
        <v/>
      </c>
      <c r="KO26" s="1231" t="str">
        <v/>
      </c>
      <c r="KP26" s="1232" t="str">
        <v/>
      </c>
      <c r="KQ26" s="700"/>
    </row>
    <row r="27" spans="1:303" s="188" customFormat="1" hidden="1" x14ac:dyDescent="0.45">
      <c r="A27" s="1756"/>
      <c r="B27" s="1495" t="s">
        <v>724</v>
      </c>
      <c r="C27" s="1501" t="str">
        <f t="array" ref="C27:KP27">IF(sessions_nutrition="","","🍴")</f>
        <v/>
      </c>
      <c r="D27" s="1501" t="str">
        <v>🍴</v>
      </c>
      <c r="E27" s="1501" t="str">
        <v>🍴</v>
      </c>
      <c r="F27" s="1502" t="str">
        <v>🍴</v>
      </c>
      <c r="G27" s="1502" t="str">
        <v>🍴</v>
      </c>
      <c r="H27" s="1502" t="str">
        <v>🍴</v>
      </c>
      <c r="I27" s="1502" t="str">
        <v>🍴</v>
      </c>
      <c r="J27" s="1502" t="str">
        <v>🍴</v>
      </c>
      <c r="K27" s="1502" t="str">
        <v>🍴</v>
      </c>
      <c r="L27" s="1502" t="str">
        <v>🍴</v>
      </c>
      <c r="M27" s="1502" t="str">
        <v>🍴</v>
      </c>
      <c r="N27" s="1502" t="str">
        <v>🍴</v>
      </c>
      <c r="O27" s="1502" t="str">
        <v>🍴</v>
      </c>
      <c r="P27" s="1502" t="str">
        <v>🍴</v>
      </c>
      <c r="Q27" s="1502" t="str">
        <v>🍴</v>
      </c>
      <c r="R27" s="1502" t="str">
        <v>🍴</v>
      </c>
      <c r="S27" s="1502" t="str">
        <v>🍴</v>
      </c>
      <c r="T27" s="1502" t="str">
        <v>🍴</v>
      </c>
      <c r="U27" s="1502" t="str">
        <v>🍴</v>
      </c>
      <c r="V27" s="1502" t="str">
        <v>🍴</v>
      </c>
      <c r="W27" s="1502" t="str">
        <v>🍴</v>
      </c>
      <c r="X27" s="1502" t="str">
        <v>🍴</v>
      </c>
      <c r="Y27" s="1502" t="str">
        <v>🍴</v>
      </c>
      <c r="Z27" s="1502" t="str">
        <v>🍴</v>
      </c>
      <c r="AA27" s="1502" t="str">
        <v>🍴</v>
      </c>
      <c r="AB27" s="1502" t="str">
        <v>🍴</v>
      </c>
      <c r="AC27" s="1502" t="str">
        <v>🍴</v>
      </c>
      <c r="AD27" s="1502" t="str">
        <v>🍴</v>
      </c>
      <c r="AE27" s="1502" t="str">
        <v>🍴</v>
      </c>
      <c r="AF27" s="1502" t="str">
        <v>🍴</v>
      </c>
      <c r="AG27" s="1502" t="str">
        <v>🍴</v>
      </c>
      <c r="AH27" s="1502" t="str">
        <v>🍴</v>
      </c>
      <c r="AI27" s="1502" t="str">
        <v>🍴</v>
      </c>
      <c r="AJ27" s="1502" t="str">
        <v>🍴</v>
      </c>
      <c r="AK27" s="1502" t="str">
        <v/>
      </c>
      <c r="AL27" s="1502" t="str">
        <v/>
      </c>
      <c r="AM27" s="1502" t="str">
        <v/>
      </c>
      <c r="AN27" s="1502" t="str">
        <v/>
      </c>
      <c r="AO27" s="1502" t="str">
        <v/>
      </c>
      <c r="AP27" s="1502" t="str">
        <v/>
      </c>
      <c r="AQ27" s="1502" t="str">
        <v>🍴</v>
      </c>
      <c r="AR27" s="1502" t="str">
        <v>🍴</v>
      </c>
      <c r="AS27" s="1502" t="str">
        <v>🍴</v>
      </c>
      <c r="AT27" s="1502" t="str">
        <v>🍴</v>
      </c>
      <c r="AU27" s="1502" t="str">
        <v>🍴</v>
      </c>
      <c r="AV27" s="1502" t="str">
        <v>🍴</v>
      </c>
      <c r="AW27" s="1502" t="str">
        <v>🍴</v>
      </c>
      <c r="AX27" s="1502" t="str">
        <v>🍴</v>
      </c>
      <c r="AY27" s="1502" t="str">
        <v>🍴</v>
      </c>
      <c r="AZ27" s="1502" t="str">
        <v>🍴</v>
      </c>
      <c r="BA27" s="1502" t="str">
        <v>🍴</v>
      </c>
      <c r="BB27" s="1502" t="str">
        <v>🍴</v>
      </c>
      <c r="BC27" s="1502" t="str">
        <v/>
      </c>
      <c r="BD27" s="1502" t="str">
        <v/>
      </c>
      <c r="BE27" s="1502" t="str">
        <v/>
      </c>
      <c r="BF27" s="1502" t="str">
        <v/>
      </c>
      <c r="BG27" s="1502" t="str">
        <v/>
      </c>
      <c r="BH27" s="1502" t="str">
        <v/>
      </c>
      <c r="BI27" s="1502" t="str">
        <v/>
      </c>
      <c r="BJ27" s="1502" t="str">
        <v/>
      </c>
      <c r="BK27" s="1502" t="str">
        <v>🍴</v>
      </c>
      <c r="BL27" s="1502" t="str">
        <v>🍴</v>
      </c>
      <c r="BM27" s="1502" t="str">
        <v>🍴</v>
      </c>
      <c r="BN27" s="1502" t="str">
        <v>🍴</v>
      </c>
      <c r="BO27" s="1502" t="str">
        <v>🍴</v>
      </c>
      <c r="BP27" s="1502" t="str">
        <v>🍴</v>
      </c>
      <c r="BQ27" s="1502" t="str">
        <v>🍴</v>
      </c>
      <c r="BR27" s="1502" t="str">
        <v>🍴</v>
      </c>
      <c r="BS27" s="1502" t="str">
        <v>🍴</v>
      </c>
      <c r="BT27" s="1502" t="str">
        <v/>
      </c>
      <c r="BU27" s="1502" t="str">
        <v>🍴</v>
      </c>
      <c r="BV27" s="1502" t="str">
        <v>🍴</v>
      </c>
      <c r="BW27" s="1502" t="str">
        <v>🍴</v>
      </c>
      <c r="BX27" s="1502" t="str">
        <v>🍴</v>
      </c>
      <c r="BY27" s="1502" t="str">
        <v>🍴</v>
      </c>
      <c r="BZ27" s="1502" t="str">
        <v>🍴</v>
      </c>
      <c r="CA27" s="1502" t="str">
        <v>🍴</v>
      </c>
      <c r="CB27" s="1502" t="str">
        <v>🍴</v>
      </c>
      <c r="CC27" s="1502" t="str">
        <v>🍴</v>
      </c>
      <c r="CD27" s="1502" t="str">
        <v>🍴</v>
      </c>
      <c r="CE27" s="1502" t="str">
        <v>🍴</v>
      </c>
      <c r="CF27" s="1502" t="str">
        <v>🍴</v>
      </c>
      <c r="CG27" s="1502" t="str">
        <v>🍴</v>
      </c>
      <c r="CH27" s="1502" t="str">
        <v>🍴</v>
      </c>
      <c r="CI27" s="1502" t="str">
        <v>🍴</v>
      </c>
      <c r="CJ27" s="1502" t="str">
        <v>🍴</v>
      </c>
      <c r="CK27" s="1502" t="str">
        <v>🍴</v>
      </c>
      <c r="CL27" s="1502" t="str">
        <v>🍴</v>
      </c>
      <c r="CM27" s="1502" t="str">
        <v>🍴</v>
      </c>
      <c r="CN27" s="1502" t="str">
        <v>🍴</v>
      </c>
      <c r="CO27" s="1502" t="str">
        <v>🍴</v>
      </c>
      <c r="CP27" s="1502" t="str">
        <v>🍴</v>
      </c>
      <c r="CQ27" s="1502" t="str">
        <v>🍴</v>
      </c>
      <c r="CR27" s="1502" t="str">
        <v>🍴</v>
      </c>
      <c r="CS27" s="1502" t="str">
        <v>🍴</v>
      </c>
      <c r="CT27" s="1502" t="str">
        <v>🍴</v>
      </c>
      <c r="CU27" s="1502" t="str">
        <v>🍴</v>
      </c>
      <c r="CV27" s="1502" t="str">
        <v>🍴</v>
      </c>
      <c r="CW27" s="1502" t="str">
        <v>🍴</v>
      </c>
      <c r="CX27" s="1502" t="str">
        <v>🍴</v>
      </c>
      <c r="CY27" s="1501" t="str">
        <v/>
      </c>
      <c r="CZ27" s="1502" t="str">
        <v/>
      </c>
      <c r="DA27" s="1502" t="str">
        <v/>
      </c>
      <c r="DB27" s="1502" t="str">
        <v/>
      </c>
      <c r="DC27" s="1502" t="str">
        <v/>
      </c>
      <c r="DD27" s="1502" t="str">
        <v/>
      </c>
      <c r="DE27" s="1502" t="str">
        <v/>
      </c>
      <c r="DF27" s="1502" t="str">
        <v/>
      </c>
      <c r="DG27" s="1502" t="str">
        <v/>
      </c>
      <c r="DH27" s="1502" t="str">
        <v/>
      </c>
      <c r="DI27" s="1502" t="str">
        <v/>
      </c>
      <c r="DJ27" s="1502" t="str">
        <v/>
      </c>
      <c r="DK27" s="1502" t="str">
        <v/>
      </c>
      <c r="DL27" s="1502" t="str">
        <v/>
      </c>
      <c r="DM27" s="1502" t="str">
        <v/>
      </c>
      <c r="DN27" s="1502" t="str">
        <v/>
      </c>
      <c r="DO27" s="1502" t="str">
        <v/>
      </c>
      <c r="DP27" s="1502" t="str">
        <v/>
      </c>
      <c r="DQ27" s="1502" t="str">
        <v/>
      </c>
      <c r="DR27" s="1502" t="str">
        <v/>
      </c>
      <c r="DS27" s="1502" t="str">
        <v/>
      </c>
      <c r="DT27" s="1502" t="str">
        <v/>
      </c>
      <c r="DU27" s="1502" t="str">
        <v/>
      </c>
      <c r="DV27" s="1502" t="str">
        <v/>
      </c>
      <c r="DW27" s="1502" t="str">
        <v/>
      </c>
      <c r="DX27" s="1502" t="str">
        <v/>
      </c>
      <c r="DY27" s="1502" t="str">
        <v/>
      </c>
      <c r="DZ27" s="1502" t="str">
        <v/>
      </c>
      <c r="EA27" s="1502" t="str">
        <v/>
      </c>
      <c r="EB27" s="1502" t="str">
        <v/>
      </c>
      <c r="EC27" s="1502" t="str">
        <v/>
      </c>
      <c r="ED27" s="1502" t="str">
        <v/>
      </c>
      <c r="EE27" s="1502" t="str">
        <v/>
      </c>
      <c r="EF27" s="1502" t="str">
        <v/>
      </c>
      <c r="EG27" s="1502" t="str">
        <v/>
      </c>
      <c r="EH27" s="1502" t="str">
        <v/>
      </c>
      <c r="EI27" s="1502" t="str">
        <v/>
      </c>
      <c r="EJ27" s="1502" t="str">
        <v/>
      </c>
      <c r="EK27" s="1502" t="str">
        <v/>
      </c>
      <c r="EL27" s="1502" t="str">
        <v/>
      </c>
      <c r="EM27" s="1502" t="str">
        <v/>
      </c>
      <c r="EN27" s="1502" t="str">
        <v/>
      </c>
      <c r="EO27" s="1502" t="str">
        <v/>
      </c>
      <c r="EP27" s="1502" t="str">
        <v/>
      </c>
      <c r="EQ27" s="1502" t="str">
        <v/>
      </c>
      <c r="ER27" s="1502" t="str">
        <v/>
      </c>
      <c r="ES27" s="1502" t="str">
        <v/>
      </c>
      <c r="ET27" s="1502" t="str">
        <v/>
      </c>
      <c r="EU27" s="1502" t="str">
        <v/>
      </c>
      <c r="EV27" s="1502" t="str">
        <v/>
      </c>
      <c r="EW27" s="1502" t="str">
        <v/>
      </c>
      <c r="EX27" s="1502" t="str">
        <v/>
      </c>
      <c r="EY27" s="1502" t="str">
        <v/>
      </c>
      <c r="EZ27" s="1502" t="str">
        <v/>
      </c>
      <c r="FA27" s="1502" t="str">
        <v/>
      </c>
      <c r="FB27" s="1502" t="str">
        <v/>
      </c>
      <c r="FC27" s="1502" t="str">
        <v/>
      </c>
      <c r="FD27" s="1502" t="str">
        <v/>
      </c>
      <c r="FE27" s="1502" t="str">
        <v/>
      </c>
      <c r="FF27" s="1502" t="str">
        <v/>
      </c>
      <c r="FG27" s="1502" t="str">
        <v/>
      </c>
      <c r="FH27" s="1502" t="str">
        <v/>
      </c>
      <c r="FI27" s="1502" t="str">
        <v/>
      </c>
      <c r="FJ27" s="1502" t="str">
        <v/>
      </c>
      <c r="FK27" s="1502" t="str">
        <v/>
      </c>
      <c r="FL27" s="1502" t="str">
        <v/>
      </c>
      <c r="FM27" s="1502" t="str">
        <v/>
      </c>
      <c r="FN27" s="1502" t="str">
        <v/>
      </c>
      <c r="FO27" s="1502" t="str">
        <v/>
      </c>
      <c r="FP27" s="1502" t="str">
        <v/>
      </c>
      <c r="FQ27" s="1502" t="str">
        <v/>
      </c>
      <c r="FR27" s="1502" t="str">
        <v/>
      </c>
      <c r="FS27" s="1502" t="str">
        <v/>
      </c>
      <c r="FT27" s="1502" t="str">
        <v/>
      </c>
      <c r="FU27" s="1502" t="str">
        <v/>
      </c>
      <c r="FV27" s="1502" t="str">
        <v/>
      </c>
      <c r="FW27" s="1502" t="str">
        <v/>
      </c>
      <c r="FX27" s="1502" t="str">
        <v/>
      </c>
      <c r="FY27" s="1502" t="str">
        <v/>
      </c>
      <c r="FZ27" s="1502" t="str">
        <v/>
      </c>
      <c r="GA27" s="1502" t="str">
        <v/>
      </c>
      <c r="GB27" s="1502" t="str">
        <v/>
      </c>
      <c r="GC27" s="1502" t="str">
        <v/>
      </c>
      <c r="GD27" s="1502" t="str">
        <v/>
      </c>
      <c r="GE27" s="1502" t="str">
        <v/>
      </c>
      <c r="GF27" s="1502" t="str">
        <v/>
      </c>
      <c r="GG27" s="1502" t="str">
        <v/>
      </c>
      <c r="GH27" s="1502" t="str">
        <v/>
      </c>
      <c r="GI27" s="1502" t="str">
        <v/>
      </c>
      <c r="GJ27" s="1502" t="str">
        <v/>
      </c>
      <c r="GK27" s="1502" t="str">
        <v/>
      </c>
      <c r="GL27" s="1502" t="str">
        <v/>
      </c>
      <c r="GM27" s="1502" t="str">
        <v/>
      </c>
      <c r="GN27" s="1502" t="str">
        <v/>
      </c>
      <c r="GO27" s="1502" t="str">
        <v/>
      </c>
      <c r="GP27" s="1502" t="str">
        <v/>
      </c>
      <c r="GQ27" s="1502" t="str">
        <v/>
      </c>
      <c r="GR27" s="1502" t="str">
        <v/>
      </c>
      <c r="GS27" s="1502" t="str">
        <v/>
      </c>
      <c r="GT27" s="1502" t="str">
        <v/>
      </c>
      <c r="GU27" s="1502" t="str">
        <v/>
      </c>
      <c r="GV27" s="1502" t="str">
        <v/>
      </c>
      <c r="GW27" s="1502" t="str">
        <v/>
      </c>
      <c r="GX27" s="1502" t="str">
        <v/>
      </c>
      <c r="GY27" s="1502" t="str">
        <v/>
      </c>
      <c r="GZ27" s="1502" t="str">
        <v/>
      </c>
      <c r="HA27" s="1502" t="str">
        <v/>
      </c>
      <c r="HB27" s="1502" t="str">
        <v/>
      </c>
      <c r="HC27" s="1502" t="str">
        <v/>
      </c>
      <c r="HD27" s="1502" t="str">
        <v/>
      </c>
      <c r="HE27" s="1502" t="str">
        <v/>
      </c>
      <c r="HF27" s="1502" t="str">
        <v/>
      </c>
      <c r="HG27" s="1502" t="str">
        <v/>
      </c>
      <c r="HH27" s="1502" t="str">
        <v/>
      </c>
      <c r="HI27" s="1502" t="str">
        <v/>
      </c>
      <c r="HJ27" s="1502" t="str">
        <v/>
      </c>
      <c r="HK27" s="1502" t="str">
        <v/>
      </c>
      <c r="HL27" s="1502" t="str">
        <v/>
      </c>
      <c r="HM27" s="1502" t="str">
        <v/>
      </c>
      <c r="HN27" s="1502" t="str">
        <v/>
      </c>
      <c r="HO27" s="1502" t="str">
        <v/>
      </c>
      <c r="HP27" s="1502" t="str">
        <v/>
      </c>
      <c r="HQ27" s="1502" t="str">
        <v/>
      </c>
      <c r="HR27" s="1502" t="str">
        <v/>
      </c>
      <c r="HS27" s="1502" t="str">
        <v/>
      </c>
      <c r="HT27" s="1502" t="str">
        <v/>
      </c>
      <c r="HU27" s="1502" t="str">
        <v/>
      </c>
      <c r="HV27" s="1502" t="str">
        <v/>
      </c>
      <c r="HW27" s="1502" t="str">
        <v/>
      </c>
      <c r="HX27" s="1502" t="str">
        <v/>
      </c>
      <c r="HY27" s="1502" t="str">
        <v/>
      </c>
      <c r="HZ27" s="1502" t="str">
        <v/>
      </c>
      <c r="IA27" s="1502" t="str">
        <v/>
      </c>
      <c r="IB27" s="1502" t="str">
        <v/>
      </c>
      <c r="IC27" s="1502" t="str">
        <v/>
      </c>
      <c r="ID27" s="1502" t="str">
        <v/>
      </c>
      <c r="IE27" s="1502" t="str">
        <v/>
      </c>
      <c r="IF27" s="1502" t="str">
        <v/>
      </c>
      <c r="IG27" s="1502" t="str">
        <v/>
      </c>
      <c r="IH27" s="1502" t="str">
        <v/>
      </c>
      <c r="II27" s="1502" t="str">
        <v/>
      </c>
      <c r="IJ27" s="1502" t="str">
        <v/>
      </c>
      <c r="IK27" s="1502" t="str">
        <v/>
      </c>
      <c r="IL27" s="1502" t="str">
        <v/>
      </c>
      <c r="IM27" s="1502" t="str">
        <v/>
      </c>
      <c r="IN27" s="1502" t="str">
        <v/>
      </c>
      <c r="IO27" s="1502" t="str">
        <v/>
      </c>
      <c r="IP27" s="1502" t="str">
        <v/>
      </c>
      <c r="IQ27" s="1502" t="str">
        <v/>
      </c>
      <c r="IR27" s="1502" t="str">
        <v/>
      </c>
      <c r="IS27" s="1502" t="str">
        <v>🍴</v>
      </c>
      <c r="IT27" s="1502" t="str">
        <v>🍴</v>
      </c>
      <c r="IU27" s="1502" t="str">
        <v>🍴</v>
      </c>
      <c r="IV27" s="1502" t="str">
        <v>🍴</v>
      </c>
      <c r="IW27" s="1502" t="str">
        <v>🍴</v>
      </c>
      <c r="IX27" s="1502" t="str">
        <v>🍴</v>
      </c>
      <c r="IY27" s="1502" t="str">
        <v>🍴</v>
      </c>
      <c r="IZ27" s="1502" t="str">
        <v/>
      </c>
      <c r="JA27" s="1502" t="str">
        <v/>
      </c>
      <c r="JB27" s="1502" t="str">
        <v/>
      </c>
      <c r="JC27" s="1502" t="str">
        <v/>
      </c>
      <c r="JD27" s="1502" t="str">
        <v/>
      </c>
      <c r="JE27" s="1502" t="str">
        <v/>
      </c>
      <c r="JF27" s="1502" t="str">
        <v/>
      </c>
      <c r="JG27" s="1502" t="str">
        <v/>
      </c>
      <c r="JH27" s="1502" t="str">
        <v/>
      </c>
      <c r="JI27" s="1502" t="str">
        <v/>
      </c>
      <c r="JJ27" s="1502" t="str">
        <v/>
      </c>
      <c r="JK27" s="1502" t="str">
        <v/>
      </c>
      <c r="JL27" s="1502" t="str">
        <v/>
      </c>
      <c r="JM27" s="1502" t="str">
        <v/>
      </c>
      <c r="JN27" s="1502" t="str">
        <v/>
      </c>
      <c r="JO27" s="1502" t="str">
        <v/>
      </c>
      <c r="JP27" s="1502" t="str">
        <v/>
      </c>
      <c r="JQ27" s="1502" t="str">
        <v/>
      </c>
      <c r="JR27" s="1502" t="str">
        <v/>
      </c>
      <c r="JS27" s="1502" t="str">
        <v/>
      </c>
      <c r="JT27" s="1502" t="str">
        <v/>
      </c>
      <c r="JU27" s="1502" t="str">
        <v/>
      </c>
      <c r="JV27" s="1502" t="str">
        <v/>
      </c>
      <c r="JW27" s="1502" t="str">
        <v/>
      </c>
      <c r="JX27" s="1502" t="str">
        <v/>
      </c>
      <c r="JY27" s="1502" t="str">
        <v/>
      </c>
      <c r="JZ27" s="1502" t="str">
        <v/>
      </c>
      <c r="KA27" s="1502" t="str">
        <v/>
      </c>
      <c r="KB27" s="1502" t="str">
        <v/>
      </c>
      <c r="KC27" s="1502" t="str">
        <v/>
      </c>
      <c r="KD27" s="1502" t="str">
        <v/>
      </c>
      <c r="KE27" s="1502" t="str">
        <v/>
      </c>
      <c r="KF27" s="1502" t="str">
        <v/>
      </c>
      <c r="KG27" s="1502" t="str">
        <v/>
      </c>
      <c r="KH27" s="1502" t="str">
        <v/>
      </c>
      <c r="KI27" s="1502" t="str">
        <v/>
      </c>
      <c r="KJ27" s="1502" t="str">
        <v/>
      </c>
      <c r="KK27" s="1502" t="str">
        <v/>
      </c>
      <c r="KL27" s="1502" t="str">
        <v/>
      </c>
      <c r="KM27" s="1502" t="str">
        <v/>
      </c>
      <c r="KN27" s="1502" t="str">
        <v/>
      </c>
      <c r="KO27" s="1502" t="str">
        <v/>
      </c>
      <c r="KP27" s="1503" t="str">
        <v/>
      </c>
      <c r="KQ27" s="700"/>
    </row>
    <row r="28" spans="1:303" s="188" customFormat="1" hidden="1" x14ac:dyDescent="0.45">
      <c r="A28" s="1754" t="s">
        <v>492</v>
      </c>
      <c r="B28" s="142" t="s">
        <v>306</v>
      </c>
      <c r="C28" s="873">
        <f t="array" ref="C28:KP30">IFERROR(MATCH(sessions_elements,elements_name,0),"")</f>
        <v>1</v>
      </c>
      <c r="D28" s="873">
        <v>4</v>
      </c>
      <c r="E28" s="873">
        <v>3</v>
      </c>
      <c r="F28" s="192">
        <v>5</v>
      </c>
      <c r="G28" s="192">
        <v>7</v>
      </c>
      <c r="H28" s="192">
        <v>3</v>
      </c>
      <c r="I28" s="192">
        <v>3</v>
      </c>
      <c r="J28" s="192">
        <v>20</v>
      </c>
      <c r="K28" s="192">
        <v>3</v>
      </c>
      <c r="L28" s="192">
        <v>3</v>
      </c>
      <c r="M28" s="192">
        <v>3</v>
      </c>
      <c r="N28" s="192">
        <v>3</v>
      </c>
      <c r="O28" s="192">
        <v>3</v>
      </c>
      <c r="P28" s="192">
        <v>3</v>
      </c>
      <c r="Q28" s="192">
        <v>3</v>
      </c>
      <c r="R28" s="192">
        <v>5</v>
      </c>
      <c r="S28" s="192">
        <v>5</v>
      </c>
      <c r="T28" s="192">
        <v>7</v>
      </c>
      <c r="U28" s="192">
        <v>7</v>
      </c>
      <c r="V28" s="192">
        <v>7</v>
      </c>
      <c r="W28" s="192">
        <v>9</v>
      </c>
      <c r="X28" s="192">
        <v>10</v>
      </c>
      <c r="Y28" s="192">
        <v>10</v>
      </c>
      <c r="Z28" s="192">
        <v>11</v>
      </c>
      <c r="AA28" s="192">
        <v>11</v>
      </c>
      <c r="AB28" s="192">
        <v>9</v>
      </c>
      <c r="AC28" s="192">
        <v>10</v>
      </c>
      <c r="AD28" s="192">
        <v>10</v>
      </c>
      <c r="AE28" s="192">
        <v>11</v>
      </c>
      <c r="AF28" s="192">
        <v>11</v>
      </c>
      <c r="AG28" s="192">
        <v>12</v>
      </c>
      <c r="AH28" s="192">
        <v>12</v>
      </c>
      <c r="AI28" s="192">
        <v>12</v>
      </c>
      <c r="AJ28" s="192">
        <v>12</v>
      </c>
      <c r="AK28" s="192" t="str">
        <v/>
      </c>
      <c r="AL28" s="192" t="str">
        <v/>
      </c>
      <c r="AM28" s="192" t="str">
        <v/>
      </c>
      <c r="AN28" s="192" t="str">
        <v/>
      </c>
      <c r="AO28" s="192" t="str">
        <v/>
      </c>
      <c r="AP28" s="192" t="str">
        <v/>
      </c>
      <c r="AQ28" s="192">
        <v>13</v>
      </c>
      <c r="AR28" s="192">
        <v>13</v>
      </c>
      <c r="AS28" s="192">
        <v>13</v>
      </c>
      <c r="AT28" s="192">
        <v>13</v>
      </c>
      <c r="AU28" s="192">
        <v>13</v>
      </c>
      <c r="AV28" s="192">
        <v>13</v>
      </c>
      <c r="AW28" s="192">
        <v>13</v>
      </c>
      <c r="AX28" s="192">
        <v>13</v>
      </c>
      <c r="AY28" s="192">
        <v>13</v>
      </c>
      <c r="AZ28" s="192">
        <v>13</v>
      </c>
      <c r="BA28" s="192">
        <v>13</v>
      </c>
      <c r="BB28" s="192">
        <v>13</v>
      </c>
      <c r="BC28" s="192" t="str">
        <v/>
      </c>
      <c r="BD28" s="192" t="str">
        <v/>
      </c>
      <c r="BE28" s="192" t="str">
        <v/>
      </c>
      <c r="BF28" s="192" t="str">
        <v/>
      </c>
      <c r="BG28" s="192" t="str">
        <v/>
      </c>
      <c r="BH28" s="192" t="str">
        <v/>
      </c>
      <c r="BI28" s="192" t="str">
        <v/>
      </c>
      <c r="BJ28" s="192" t="str">
        <v/>
      </c>
      <c r="BK28" s="192">
        <v>14</v>
      </c>
      <c r="BL28" s="192">
        <v>14</v>
      </c>
      <c r="BM28" s="192">
        <v>14</v>
      </c>
      <c r="BN28" s="192">
        <v>14</v>
      </c>
      <c r="BO28" s="192">
        <v>14</v>
      </c>
      <c r="BP28" s="192">
        <v>14</v>
      </c>
      <c r="BQ28" s="192">
        <v>14</v>
      </c>
      <c r="BR28" s="192">
        <v>14</v>
      </c>
      <c r="BS28" s="192">
        <v>14</v>
      </c>
      <c r="BT28" s="192" t="str">
        <v/>
      </c>
      <c r="BU28" s="192">
        <v>15</v>
      </c>
      <c r="BV28" s="192">
        <v>15</v>
      </c>
      <c r="BW28" s="192">
        <v>15</v>
      </c>
      <c r="BX28" s="192">
        <v>15</v>
      </c>
      <c r="BY28" s="192">
        <v>15</v>
      </c>
      <c r="BZ28" s="192">
        <v>17</v>
      </c>
      <c r="CA28" s="192">
        <v>16</v>
      </c>
      <c r="CB28" s="192">
        <v>3</v>
      </c>
      <c r="CC28" s="192">
        <v>16</v>
      </c>
      <c r="CD28" s="192">
        <v>4</v>
      </c>
      <c r="CE28" s="192">
        <v>18</v>
      </c>
      <c r="CF28" s="192">
        <v>18</v>
      </c>
      <c r="CG28" s="192">
        <v>18</v>
      </c>
      <c r="CH28" s="192">
        <v>18</v>
      </c>
      <c r="CI28" s="192">
        <v>18</v>
      </c>
      <c r="CJ28" s="192">
        <v>18</v>
      </c>
      <c r="CK28" s="192">
        <v>18</v>
      </c>
      <c r="CL28" s="192">
        <v>18</v>
      </c>
      <c r="CM28" s="192">
        <v>18</v>
      </c>
      <c r="CN28" s="192">
        <v>18</v>
      </c>
      <c r="CO28" s="192">
        <v>18</v>
      </c>
      <c r="CP28" s="192">
        <v>18</v>
      </c>
      <c r="CQ28" s="192">
        <v>18</v>
      </c>
      <c r="CR28" s="192">
        <v>18</v>
      </c>
      <c r="CS28" s="192">
        <v>18</v>
      </c>
      <c r="CT28" s="192">
        <v>18</v>
      </c>
      <c r="CU28" s="192">
        <v>18</v>
      </c>
      <c r="CV28" s="192">
        <v>18</v>
      </c>
      <c r="CW28" s="192">
        <v>18</v>
      </c>
      <c r="CX28" s="192">
        <v>18</v>
      </c>
      <c r="CY28" s="873">
        <v>1</v>
      </c>
      <c r="CZ28" s="192">
        <v>4</v>
      </c>
      <c r="DA28" s="192">
        <v>3</v>
      </c>
      <c r="DB28" s="192">
        <v>6</v>
      </c>
      <c r="DC28" s="192">
        <v>8</v>
      </c>
      <c r="DD28" s="192">
        <v>3</v>
      </c>
      <c r="DE28" s="192">
        <v>3</v>
      </c>
      <c r="DF28" s="192">
        <v>20</v>
      </c>
      <c r="DG28" s="192">
        <v>3</v>
      </c>
      <c r="DH28" s="192">
        <v>3</v>
      </c>
      <c r="DI28" s="192">
        <v>3</v>
      </c>
      <c r="DJ28" s="192">
        <v>3</v>
      </c>
      <c r="DK28" s="192">
        <v>3</v>
      </c>
      <c r="DL28" s="192">
        <v>3</v>
      </c>
      <c r="DM28" s="192">
        <v>3</v>
      </c>
      <c r="DN28" s="192">
        <v>5</v>
      </c>
      <c r="DO28" s="192">
        <v>5</v>
      </c>
      <c r="DP28" s="192">
        <v>7</v>
      </c>
      <c r="DQ28" s="192">
        <v>7</v>
      </c>
      <c r="DR28" s="192">
        <v>7</v>
      </c>
      <c r="DS28" s="192">
        <v>9</v>
      </c>
      <c r="DT28" s="192">
        <v>10</v>
      </c>
      <c r="DU28" s="192">
        <v>10</v>
      </c>
      <c r="DV28" s="192">
        <v>11</v>
      </c>
      <c r="DW28" s="192">
        <v>11</v>
      </c>
      <c r="DX28" s="192">
        <v>9</v>
      </c>
      <c r="DY28" s="192">
        <v>10</v>
      </c>
      <c r="DZ28" s="192">
        <v>10</v>
      </c>
      <c r="EA28" s="192">
        <v>11</v>
      </c>
      <c r="EB28" s="192">
        <v>11</v>
      </c>
      <c r="EC28" s="192">
        <v>12</v>
      </c>
      <c r="ED28" s="192">
        <v>12</v>
      </c>
      <c r="EE28" s="192">
        <v>12</v>
      </c>
      <c r="EF28" s="192">
        <v>12</v>
      </c>
      <c r="EG28" s="192" t="str">
        <v/>
      </c>
      <c r="EH28" s="192" t="str">
        <v/>
      </c>
      <c r="EI28" s="192" t="str">
        <v/>
      </c>
      <c r="EJ28" s="192" t="str">
        <v/>
      </c>
      <c r="EK28" s="192" t="str">
        <v/>
      </c>
      <c r="EL28" s="192" t="str">
        <v/>
      </c>
      <c r="EM28" s="192" t="str">
        <v/>
      </c>
      <c r="EN28" s="192" t="str">
        <v/>
      </c>
      <c r="EO28" s="192" t="str">
        <v/>
      </c>
      <c r="EP28" s="192" t="str">
        <v/>
      </c>
      <c r="EQ28" s="192" t="str">
        <v/>
      </c>
      <c r="ER28" s="192" t="str">
        <v/>
      </c>
      <c r="ES28" s="192" t="str">
        <v/>
      </c>
      <c r="ET28" s="192" t="str">
        <v/>
      </c>
      <c r="EU28" s="192" t="str">
        <v/>
      </c>
      <c r="EV28" s="192" t="str">
        <v/>
      </c>
      <c r="EW28" s="192" t="str">
        <v/>
      </c>
      <c r="EX28" s="192" t="str">
        <v/>
      </c>
      <c r="EY28" s="192" t="str">
        <v/>
      </c>
      <c r="EZ28" s="192" t="str">
        <v/>
      </c>
      <c r="FA28" s="192" t="str">
        <v/>
      </c>
      <c r="FB28" s="192" t="str">
        <v/>
      </c>
      <c r="FC28" s="192" t="str">
        <v/>
      </c>
      <c r="FD28" s="192" t="str">
        <v/>
      </c>
      <c r="FE28" s="192" t="str">
        <v/>
      </c>
      <c r="FF28" s="192" t="str">
        <v/>
      </c>
      <c r="FG28" s="192">
        <v>14</v>
      </c>
      <c r="FH28" s="192">
        <v>14</v>
      </c>
      <c r="FI28" s="192">
        <v>14</v>
      </c>
      <c r="FJ28" s="192">
        <v>14</v>
      </c>
      <c r="FK28" s="192">
        <v>14</v>
      </c>
      <c r="FL28" s="192">
        <v>14</v>
      </c>
      <c r="FM28" s="192">
        <v>14</v>
      </c>
      <c r="FN28" s="192">
        <v>14</v>
      </c>
      <c r="FO28" s="192">
        <v>14</v>
      </c>
      <c r="FP28" s="192">
        <v>14</v>
      </c>
      <c r="FQ28" s="192" t="str">
        <v/>
      </c>
      <c r="FR28" s="192" t="str">
        <v/>
      </c>
      <c r="FS28" s="192" t="str">
        <v/>
      </c>
      <c r="FT28" s="192" t="str">
        <v/>
      </c>
      <c r="FU28" s="192" t="str">
        <v/>
      </c>
      <c r="FV28" s="192" t="str">
        <v/>
      </c>
      <c r="FW28" s="192" t="str">
        <v/>
      </c>
      <c r="FX28" s="192" t="str">
        <v/>
      </c>
      <c r="FY28" s="192" t="str">
        <v/>
      </c>
      <c r="FZ28" s="192" t="str">
        <v/>
      </c>
      <c r="GA28" s="192">
        <v>18</v>
      </c>
      <c r="GB28" s="192">
        <v>18</v>
      </c>
      <c r="GC28" s="192">
        <v>18</v>
      </c>
      <c r="GD28" s="192">
        <v>18</v>
      </c>
      <c r="GE28" s="192">
        <v>18</v>
      </c>
      <c r="GF28" s="192">
        <v>18</v>
      </c>
      <c r="GG28" s="192">
        <v>18</v>
      </c>
      <c r="GH28" s="192">
        <v>18</v>
      </c>
      <c r="GI28" s="192">
        <v>18</v>
      </c>
      <c r="GJ28" s="192">
        <v>18</v>
      </c>
      <c r="GK28" s="192">
        <v>18</v>
      </c>
      <c r="GL28" s="192">
        <v>18</v>
      </c>
      <c r="GM28" s="192">
        <v>18</v>
      </c>
      <c r="GN28" s="192">
        <v>18</v>
      </c>
      <c r="GO28" s="192">
        <v>18</v>
      </c>
      <c r="GP28" s="192" t="str">
        <v/>
      </c>
      <c r="GQ28" s="192" t="str">
        <v/>
      </c>
      <c r="GR28" s="192" t="str">
        <v/>
      </c>
      <c r="GS28" s="192" t="str">
        <v/>
      </c>
      <c r="GT28" s="192" t="str">
        <v/>
      </c>
      <c r="GU28" s="192">
        <v>1</v>
      </c>
      <c r="GV28" s="192">
        <v>4</v>
      </c>
      <c r="GW28" s="192">
        <v>3</v>
      </c>
      <c r="GX28" s="192">
        <v>5</v>
      </c>
      <c r="GY28" s="192">
        <v>7</v>
      </c>
      <c r="GZ28" s="192" t="str">
        <v/>
      </c>
      <c r="HA28" s="192" t="str">
        <v/>
      </c>
      <c r="HB28" s="192">
        <v>20</v>
      </c>
      <c r="HC28" s="192">
        <v>3</v>
      </c>
      <c r="HD28" s="192">
        <v>3</v>
      </c>
      <c r="HE28" s="192">
        <v>3</v>
      </c>
      <c r="HF28" s="192">
        <v>3</v>
      </c>
      <c r="HG28" s="192">
        <v>3</v>
      </c>
      <c r="HH28" s="192">
        <v>3</v>
      </c>
      <c r="HI28" s="192">
        <v>3</v>
      </c>
      <c r="HJ28" s="192">
        <v>5</v>
      </c>
      <c r="HK28" s="192">
        <v>5</v>
      </c>
      <c r="HL28" s="192">
        <v>7</v>
      </c>
      <c r="HM28" s="192">
        <v>7</v>
      </c>
      <c r="HN28" s="192">
        <v>7</v>
      </c>
      <c r="HO28" s="192">
        <v>1</v>
      </c>
      <c r="HP28" s="192">
        <v>4</v>
      </c>
      <c r="HQ28" s="192">
        <v>3</v>
      </c>
      <c r="HR28" s="192">
        <v>5</v>
      </c>
      <c r="HS28" s="192">
        <v>7</v>
      </c>
      <c r="HT28" s="192" t="str">
        <v/>
      </c>
      <c r="HU28" s="192" t="str">
        <v/>
      </c>
      <c r="HV28" s="192">
        <v>20</v>
      </c>
      <c r="HW28" s="192">
        <v>3</v>
      </c>
      <c r="HX28" s="192">
        <v>3</v>
      </c>
      <c r="HY28" s="192">
        <v>3</v>
      </c>
      <c r="HZ28" s="192">
        <v>3</v>
      </c>
      <c r="IA28" s="192">
        <v>3</v>
      </c>
      <c r="IB28" s="192">
        <v>3</v>
      </c>
      <c r="IC28" s="192">
        <v>3</v>
      </c>
      <c r="ID28" s="192">
        <v>5</v>
      </c>
      <c r="IE28" s="192">
        <v>5</v>
      </c>
      <c r="IF28" s="192">
        <v>7</v>
      </c>
      <c r="IG28" s="192">
        <v>7</v>
      </c>
      <c r="IH28" s="192">
        <v>7</v>
      </c>
      <c r="II28" s="192">
        <v>24</v>
      </c>
      <c r="IJ28" s="192" t="str">
        <v/>
      </c>
      <c r="IK28" s="192" t="str">
        <v/>
      </c>
      <c r="IL28" s="192" t="str">
        <v/>
      </c>
      <c r="IM28" s="192" t="str">
        <v/>
      </c>
      <c r="IN28" s="192" t="str">
        <v/>
      </c>
      <c r="IO28" s="192" t="str">
        <v/>
      </c>
      <c r="IP28" s="192" t="str">
        <v/>
      </c>
      <c r="IQ28" s="192" t="str">
        <v/>
      </c>
      <c r="IR28" s="192" t="str">
        <v/>
      </c>
      <c r="IS28" s="192">
        <v>1</v>
      </c>
      <c r="IT28" s="192">
        <v>7</v>
      </c>
      <c r="IU28" s="192">
        <v>7</v>
      </c>
      <c r="IV28" s="192">
        <v>7</v>
      </c>
      <c r="IW28" s="192">
        <v>7</v>
      </c>
      <c r="IX28" s="192">
        <v>7</v>
      </c>
      <c r="IY28" s="192">
        <v>7</v>
      </c>
      <c r="IZ28" s="192">
        <v>3</v>
      </c>
      <c r="JA28" s="192" t="str">
        <v/>
      </c>
      <c r="JB28" s="192" t="str">
        <v/>
      </c>
      <c r="JC28" s="192" t="str">
        <v/>
      </c>
      <c r="JD28" s="192" t="str">
        <v/>
      </c>
      <c r="JE28" s="192" t="str">
        <v/>
      </c>
      <c r="JF28" s="192" t="str">
        <v/>
      </c>
      <c r="JG28" s="192" t="str">
        <v/>
      </c>
      <c r="JH28" s="192" t="str">
        <v/>
      </c>
      <c r="JI28" s="192" t="str">
        <v/>
      </c>
      <c r="JJ28" s="192" t="str">
        <v/>
      </c>
      <c r="JK28" s="192" t="str">
        <v/>
      </c>
      <c r="JL28" s="192" t="str">
        <v/>
      </c>
      <c r="JM28" s="192" t="str">
        <v/>
      </c>
      <c r="JN28" s="192" t="str">
        <v/>
      </c>
      <c r="JO28" s="192" t="str">
        <v/>
      </c>
      <c r="JP28" s="192" t="str">
        <v/>
      </c>
      <c r="JQ28" s="192" t="str">
        <v/>
      </c>
      <c r="JR28" s="192" t="str">
        <v/>
      </c>
      <c r="JS28" s="192" t="str">
        <v/>
      </c>
      <c r="JT28" s="192" t="str">
        <v/>
      </c>
      <c r="JU28" s="192" t="str">
        <v/>
      </c>
      <c r="JV28" s="192" t="str">
        <v/>
      </c>
      <c r="JW28" s="192">
        <v>18</v>
      </c>
      <c r="JX28" s="192">
        <v>18</v>
      </c>
      <c r="JY28" s="192">
        <v>18</v>
      </c>
      <c r="JZ28" s="192">
        <v>18</v>
      </c>
      <c r="KA28" s="192">
        <v>18</v>
      </c>
      <c r="KB28" s="192">
        <v>18</v>
      </c>
      <c r="KC28" s="192">
        <v>18</v>
      </c>
      <c r="KD28" s="192">
        <v>18</v>
      </c>
      <c r="KE28" s="192">
        <v>18</v>
      </c>
      <c r="KF28" s="192">
        <v>18</v>
      </c>
      <c r="KG28" s="192">
        <v>18</v>
      </c>
      <c r="KH28" s="192">
        <v>18</v>
      </c>
      <c r="KI28" s="192">
        <v>18</v>
      </c>
      <c r="KJ28" s="192">
        <v>18</v>
      </c>
      <c r="KK28" s="192">
        <v>18</v>
      </c>
      <c r="KL28" s="192" t="str">
        <v/>
      </c>
      <c r="KM28" s="192" t="str">
        <v/>
      </c>
      <c r="KN28" s="192" t="str">
        <v/>
      </c>
      <c r="KO28" s="192" t="str">
        <v/>
      </c>
      <c r="KP28" s="901" t="str">
        <v/>
      </c>
      <c r="KQ28" s="700" t="s">
        <v>388</v>
      </c>
    </row>
    <row r="29" spans="1:303" s="188" customFormat="1" hidden="1" x14ac:dyDescent="0.45">
      <c r="A29" s="1755"/>
      <c r="B29" s="138" t="s">
        <v>307</v>
      </c>
      <c r="C29" s="195" t="str">
        <v/>
      </c>
      <c r="D29" s="195" t="str">
        <v/>
      </c>
      <c r="E29" s="195" t="str">
        <v/>
      </c>
      <c r="F29" s="196" t="str">
        <v/>
      </c>
      <c r="G29" s="196" t="str">
        <v/>
      </c>
      <c r="H29" s="196" t="str">
        <v/>
      </c>
      <c r="I29" s="196" t="str">
        <v/>
      </c>
      <c r="J29" s="196" t="str">
        <v/>
      </c>
      <c r="K29" s="196">
        <v>21</v>
      </c>
      <c r="L29" s="196">
        <v>21</v>
      </c>
      <c r="M29" s="196">
        <v>21</v>
      </c>
      <c r="N29" s="196" t="str">
        <v/>
      </c>
      <c r="O29" s="196" t="str">
        <v/>
      </c>
      <c r="P29" s="196" t="str">
        <v/>
      </c>
      <c r="Q29" s="196" t="str">
        <v/>
      </c>
      <c r="R29" s="196" t="str">
        <v/>
      </c>
      <c r="S29" s="196" t="str">
        <v/>
      </c>
      <c r="T29" s="196" t="str">
        <v/>
      </c>
      <c r="U29" s="196" t="str">
        <v/>
      </c>
      <c r="V29" s="196" t="str">
        <v/>
      </c>
      <c r="W29" s="196" t="str">
        <v/>
      </c>
      <c r="X29" s="196" t="str">
        <v/>
      </c>
      <c r="Y29" s="196" t="str">
        <v/>
      </c>
      <c r="Z29" s="196" t="str">
        <v/>
      </c>
      <c r="AA29" s="196" t="str">
        <v/>
      </c>
      <c r="AB29" s="196">
        <v>20</v>
      </c>
      <c r="AC29" s="196">
        <v>20</v>
      </c>
      <c r="AD29" s="196">
        <v>20</v>
      </c>
      <c r="AE29" s="196">
        <v>20</v>
      </c>
      <c r="AF29" s="196">
        <v>20</v>
      </c>
      <c r="AG29" s="196" t="str">
        <v/>
      </c>
      <c r="AH29" s="196" t="str">
        <v/>
      </c>
      <c r="AI29" s="196" t="str">
        <v/>
      </c>
      <c r="AJ29" s="196" t="str">
        <v/>
      </c>
      <c r="AK29" s="196" t="str">
        <v/>
      </c>
      <c r="AL29" s="196" t="str">
        <v/>
      </c>
      <c r="AM29" s="196" t="str">
        <v/>
      </c>
      <c r="AN29" s="196" t="str">
        <v/>
      </c>
      <c r="AO29" s="196" t="str">
        <v/>
      </c>
      <c r="AP29" s="196" t="str">
        <v/>
      </c>
      <c r="AQ29" s="196" t="str">
        <v/>
      </c>
      <c r="AR29" s="196" t="str">
        <v/>
      </c>
      <c r="AS29" s="196" t="str">
        <v/>
      </c>
      <c r="AT29" s="196" t="str">
        <v/>
      </c>
      <c r="AU29" s="196" t="str">
        <v/>
      </c>
      <c r="AV29" s="196" t="str">
        <v/>
      </c>
      <c r="AW29" s="196" t="str">
        <v/>
      </c>
      <c r="AX29" s="196" t="str">
        <v/>
      </c>
      <c r="AY29" s="196" t="str">
        <v/>
      </c>
      <c r="AZ29" s="196" t="str">
        <v/>
      </c>
      <c r="BA29" s="196" t="str">
        <v/>
      </c>
      <c r="BB29" s="196" t="str">
        <v/>
      </c>
      <c r="BC29" s="196" t="str">
        <v/>
      </c>
      <c r="BD29" s="196" t="str">
        <v/>
      </c>
      <c r="BE29" s="196" t="str">
        <v/>
      </c>
      <c r="BF29" s="196" t="str">
        <v/>
      </c>
      <c r="BG29" s="196" t="str">
        <v/>
      </c>
      <c r="BH29" s="196" t="str">
        <v/>
      </c>
      <c r="BI29" s="196" t="str">
        <v/>
      </c>
      <c r="BJ29" s="196" t="str">
        <v/>
      </c>
      <c r="BK29" s="196">
        <v>20</v>
      </c>
      <c r="BL29" s="196">
        <v>20</v>
      </c>
      <c r="BM29" s="196">
        <v>20</v>
      </c>
      <c r="BN29" s="196">
        <v>20</v>
      </c>
      <c r="BO29" s="196">
        <v>20</v>
      </c>
      <c r="BP29" s="196">
        <v>20</v>
      </c>
      <c r="BQ29" s="196">
        <v>20</v>
      </c>
      <c r="BR29" s="196">
        <v>20</v>
      </c>
      <c r="BS29" s="196">
        <v>20</v>
      </c>
      <c r="BT29" s="196" t="str">
        <v/>
      </c>
      <c r="BU29" s="196" t="str">
        <v/>
      </c>
      <c r="BV29" s="196">
        <v>21</v>
      </c>
      <c r="BW29" s="196">
        <v>14</v>
      </c>
      <c r="BX29" s="196">
        <v>20</v>
      </c>
      <c r="BY29" s="196">
        <v>14</v>
      </c>
      <c r="BZ29" s="196" t="str">
        <v/>
      </c>
      <c r="CA29" s="196">
        <v>17</v>
      </c>
      <c r="CB29" s="196">
        <v>16</v>
      </c>
      <c r="CC29" s="196" t="str">
        <v/>
      </c>
      <c r="CD29" s="196">
        <v>16</v>
      </c>
      <c r="CE29" s="196" t="str">
        <v/>
      </c>
      <c r="CF29" s="196" t="str">
        <v/>
      </c>
      <c r="CG29" s="196" t="str">
        <v/>
      </c>
      <c r="CH29" s="196" t="str">
        <v/>
      </c>
      <c r="CI29" s="196" t="str">
        <v/>
      </c>
      <c r="CJ29" s="196" t="str">
        <v/>
      </c>
      <c r="CK29" s="196" t="str">
        <v/>
      </c>
      <c r="CL29" s="196" t="str">
        <v/>
      </c>
      <c r="CM29" s="196" t="str">
        <v/>
      </c>
      <c r="CN29" s="196" t="str">
        <v/>
      </c>
      <c r="CO29" s="196" t="str">
        <v/>
      </c>
      <c r="CP29" s="196" t="str">
        <v/>
      </c>
      <c r="CQ29" s="196" t="str">
        <v/>
      </c>
      <c r="CR29" s="196" t="str">
        <v/>
      </c>
      <c r="CS29" s="196" t="str">
        <v/>
      </c>
      <c r="CT29" s="196" t="str">
        <v/>
      </c>
      <c r="CU29" s="196" t="str">
        <v/>
      </c>
      <c r="CV29" s="196" t="str">
        <v/>
      </c>
      <c r="CW29" s="196" t="str">
        <v/>
      </c>
      <c r="CX29" s="196" t="str">
        <v/>
      </c>
      <c r="CY29" s="195" t="str">
        <v/>
      </c>
      <c r="CZ29" s="196" t="str">
        <v/>
      </c>
      <c r="DA29" s="196" t="str">
        <v/>
      </c>
      <c r="DB29" s="196" t="str">
        <v/>
      </c>
      <c r="DC29" s="196" t="str">
        <v/>
      </c>
      <c r="DD29" s="196" t="str">
        <v/>
      </c>
      <c r="DE29" s="196" t="str">
        <v/>
      </c>
      <c r="DF29" s="196" t="str">
        <v/>
      </c>
      <c r="DG29" s="196" t="str">
        <v/>
      </c>
      <c r="DH29" s="196" t="str">
        <v/>
      </c>
      <c r="DI29" s="196" t="str">
        <v/>
      </c>
      <c r="DJ29" s="196" t="str">
        <v/>
      </c>
      <c r="DK29" s="196" t="str">
        <v/>
      </c>
      <c r="DL29" s="196" t="str">
        <v/>
      </c>
      <c r="DM29" s="196" t="str">
        <v/>
      </c>
      <c r="DN29" s="196" t="str">
        <v/>
      </c>
      <c r="DO29" s="196" t="str">
        <v/>
      </c>
      <c r="DP29" s="196" t="str">
        <v/>
      </c>
      <c r="DQ29" s="196" t="str">
        <v/>
      </c>
      <c r="DR29" s="196" t="str">
        <v/>
      </c>
      <c r="DS29" s="196" t="str">
        <v/>
      </c>
      <c r="DT29" s="196" t="str">
        <v/>
      </c>
      <c r="DU29" s="196" t="str">
        <v/>
      </c>
      <c r="DV29" s="196" t="str">
        <v/>
      </c>
      <c r="DW29" s="196" t="str">
        <v/>
      </c>
      <c r="DX29" s="196">
        <v>20</v>
      </c>
      <c r="DY29" s="196">
        <v>20</v>
      </c>
      <c r="DZ29" s="196">
        <v>20</v>
      </c>
      <c r="EA29" s="196">
        <v>20</v>
      </c>
      <c r="EB29" s="196">
        <v>20</v>
      </c>
      <c r="EC29" s="196" t="str">
        <v/>
      </c>
      <c r="ED29" s="196" t="str">
        <v/>
      </c>
      <c r="EE29" s="196" t="str">
        <v/>
      </c>
      <c r="EF29" s="196" t="str">
        <v/>
      </c>
      <c r="EG29" s="196" t="str">
        <v/>
      </c>
      <c r="EH29" s="196" t="str">
        <v/>
      </c>
      <c r="EI29" s="196" t="str">
        <v/>
      </c>
      <c r="EJ29" s="196" t="str">
        <v/>
      </c>
      <c r="EK29" s="196" t="str">
        <v/>
      </c>
      <c r="EL29" s="196" t="str">
        <v/>
      </c>
      <c r="EM29" s="196" t="str">
        <v/>
      </c>
      <c r="EN29" s="196" t="str">
        <v/>
      </c>
      <c r="EO29" s="196" t="str">
        <v/>
      </c>
      <c r="EP29" s="196" t="str">
        <v/>
      </c>
      <c r="EQ29" s="196" t="str">
        <v/>
      </c>
      <c r="ER29" s="196" t="str">
        <v/>
      </c>
      <c r="ES29" s="196" t="str">
        <v/>
      </c>
      <c r="ET29" s="196" t="str">
        <v/>
      </c>
      <c r="EU29" s="196" t="str">
        <v/>
      </c>
      <c r="EV29" s="196" t="str">
        <v/>
      </c>
      <c r="EW29" s="196" t="str">
        <v/>
      </c>
      <c r="EX29" s="196" t="str">
        <v/>
      </c>
      <c r="EY29" s="196" t="str">
        <v/>
      </c>
      <c r="EZ29" s="196" t="str">
        <v/>
      </c>
      <c r="FA29" s="196" t="str">
        <v/>
      </c>
      <c r="FB29" s="196" t="str">
        <v/>
      </c>
      <c r="FC29" s="196" t="str">
        <v/>
      </c>
      <c r="FD29" s="196" t="str">
        <v/>
      </c>
      <c r="FE29" s="196" t="str">
        <v/>
      </c>
      <c r="FF29" s="196" t="str">
        <v/>
      </c>
      <c r="FG29" s="196" t="str">
        <v/>
      </c>
      <c r="FH29" s="196" t="str">
        <v/>
      </c>
      <c r="FI29" s="196" t="str">
        <v/>
      </c>
      <c r="FJ29" s="196" t="str">
        <v/>
      </c>
      <c r="FK29" s="196" t="str">
        <v/>
      </c>
      <c r="FL29" s="196" t="str">
        <v/>
      </c>
      <c r="FM29" s="196" t="str">
        <v/>
      </c>
      <c r="FN29" s="196">
        <v>5</v>
      </c>
      <c r="FO29" s="196" t="str">
        <v/>
      </c>
      <c r="FP29" s="196" t="str">
        <v/>
      </c>
      <c r="FQ29" s="196" t="str">
        <v/>
      </c>
      <c r="FR29" s="196" t="str">
        <v/>
      </c>
      <c r="FS29" s="196" t="str">
        <v/>
      </c>
      <c r="FT29" s="196" t="str">
        <v/>
      </c>
      <c r="FU29" s="196" t="str">
        <v/>
      </c>
      <c r="FV29" s="196" t="str">
        <v/>
      </c>
      <c r="FW29" s="196" t="str">
        <v/>
      </c>
      <c r="FX29" s="196" t="str">
        <v/>
      </c>
      <c r="FY29" s="196" t="str">
        <v/>
      </c>
      <c r="FZ29" s="196" t="str">
        <v/>
      </c>
      <c r="GA29" s="196" t="str">
        <v/>
      </c>
      <c r="GB29" s="196" t="str">
        <v/>
      </c>
      <c r="GC29" s="196" t="str">
        <v/>
      </c>
      <c r="GD29" s="196" t="str">
        <v/>
      </c>
      <c r="GE29" s="196" t="str">
        <v/>
      </c>
      <c r="GF29" s="196" t="str">
        <v/>
      </c>
      <c r="GG29" s="196" t="str">
        <v/>
      </c>
      <c r="GH29" s="196" t="str">
        <v/>
      </c>
      <c r="GI29" s="196" t="str">
        <v/>
      </c>
      <c r="GJ29" s="196" t="str">
        <v/>
      </c>
      <c r="GK29" s="196" t="str">
        <v/>
      </c>
      <c r="GL29" s="196" t="str">
        <v/>
      </c>
      <c r="GM29" s="196" t="str">
        <v/>
      </c>
      <c r="GN29" s="196" t="str">
        <v/>
      </c>
      <c r="GO29" s="196" t="str">
        <v/>
      </c>
      <c r="GP29" s="196" t="str">
        <v/>
      </c>
      <c r="GQ29" s="196" t="str">
        <v/>
      </c>
      <c r="GR29" s="196" t="str">
        <v/>
      </c>
      <c r="GS29" s="196" t="str">
        <v/>
      </c>
      <c r="GT29" s="196" t="str">
        <v/>
      </c>
      <c r="GU29" s="196" t="str">
        <v/>
      </c>
      <c r="GV29" s="196" t="str">
        <v/>
      </c>
      <c r="GW29" s="196" t="str">
        <v/>
      </c>
      <c r="GX29" s="196" t="str">
        <v/>
      </c>
      <c r="GY29" s="196" t="str">
        <v/>
      </c>
      <c r="GZ29" s="196" t="str">
        <v/>
      </c>
      <c r="HA29" s="196" t="str">
        <v/>
      </c>
      <c r="HB29" s="196" t="str">
        <v/>
      </c>
      <c r="HC29" s="196" t="str">
        <v/>
      </c>
      <c r="HD29" s="196" t="str">
        <v/>
      </c>
      <c r="HE29" s="196" t="str">
        <v/>
      </c>
      <c r="HF29" s="196" t="str">
        <v/>
      </c>
      <c r="HG29" s="196" t="str">
        <v/>
      </c>
      <c r="HH29" s="196" t="str">
        <v/>
      </c>
      <c r="HI29" s="196" t="str">
        <v/>
      </c>
      <c r="HJ29" s="196" t="str">
        <v/>
      </c>
      <c r="HK29" s="196" t="str">
        <v/>
      </c>
      <c r="HL29" s="196" t="str">
        <v/>
      </c>
      <c r="HM29" s="196" t="str">
        <v/>
      </c>
      <c r="HN29" s="196" t="str">
        <v/>
      </c>
      <c r="HO29" s="196" t="str">
        <v/>
      </c>
      <c r="HP29" s="196" t="str">
        <v/>
      </c>
      <c r="HQ29" s="196" t="str">
        <v/>
      </c>
      <c r="HR29" s="196" t="str">
        <v/>
      </c>
      <c r="HS29" s="196" t="str">
        <v/>
      </c>
      <c r="HT29" s="196" t="str">
        <v/>
      </c>
      <c r="HU29" s="196" t="str">
        <v/>
      </c>
      <c r="HV29" s="196" t="str">
        <v/>
      </c>
      <c r="HW29" s="196" t="str">
        <v/>
      </c>
      <c r="HX29" s="196" t="str">
        <v/>
      </c>
      <c r="HY29" s="196" t="str">
        <v/>
      </c>
      <c r="HZ29" s="196" t="str">
        <v/>
      </c>
      <c r="IA29" s="196" t="str">
        <v/>
      </c>
      <c r="IB29" s="196" t="str">
        <v/>
      </c>
      <c r="IC29" s="196" t="str">
        <v/>
      </c>
      <c r="ID29" s="196" t="str">
        <v/>
      </c>
      <c r="IE29" s="196" t="str">
        <v/>
      </c>
      <c r="IF29" s="196" t="str">
        <v/>
      </c>
      <c r="IG29" s="196" t="str">
        <v/>
      </c>
      <c r="IH29" s="196" t="str">
        <v/>
      </c>
      <c r="II29" s="196" t="str">
        <v/>
      </c>
      <c r="IJ29" s="196" t="str">
        <v/>
      </c>
      <c r="IK29" s="196" t="str">
        <v/>
      </c>
      <c r="IL29" s="196" t="str">
        <v/>
      </c>
      <c r="IM29" s="196" t="str">
        <v/>
      </c>
      <c r="IN29" s="196" t="str">
        <v/>
      </c>
      <c r="IO29" s="196" t="str">
        <v/>
      </c>
      <c r="IP29" s="196" t="str">
        <v/>
      </c>
      <c r="IQ29" s="196" t="str">
        <v/>
      </c>
      <c r="IR29" s="196" t="str">
        <v/>
      </c>
      <c r="IS29" s="196" t="str">
        <v/>
      </c>
      <c r="IT29" s="196" t="str">
        <v/>
      </c>
      <c r="IU29" s="196" t="str">
        <v/>
      </c>
      <c r="IV29" s="196" t="str">
        <v/>
      </c>
      <c r="IW29" s="196" t="str">
        <v/>
      </c>
      <c r="IX29" s="196" t="str">
        <v/>
      </c>
      <c r="IY29" s="196" t="str">
        <v/>
      </c>
      <c r="IZ29" s="196" t="str">
        <v/>
      </c>
      <c r="JA29" s="196" t="str">
        <v/>
      </c>
      <c r="JB29" s="196" t="str">
        <v/>
      </c>
      <c r="JC29" s="196" t="str">
        <v/>
      </c>
      <c r="JD29" s="196" t="str">
        <v/>
      </c>
      <c r="JE29" s="196" t="str">
        <v/>
      </c>
      <c r="JF29" s="196" t="str">
        <v/>
      </c>
      <c r="JG29" s="196" t="str">
        <v/>
      </c>
      <c r="JH29" s="196" t="str">
        <v/>
      </c>
      <c r="JI29" s="196" t="str">
        <v/>
      </c>
      <c r="JJ29" s="196" t="str">
        <v/>
      </c>
      <c r="JK29" s="196" t="str">
        <v/>
      </c>
      <c r="JL29" s="196" t="str">
        <v/>
      </c>
      <c r="JM29" s="196" t="str">
        <v/>
      </c>
      <c r="JN29" s="196" t="str">
        <v/>
      </c>
      <c r="JO29" s="196" t="str">
        <v/>
      </c>
      <c r="JP29" s="196" t="str">
        <v/>
      </c>
      <c r="JQ29" s="196" t="str">
        <v/>
      </c>
      <c r="JR29" s="196" t="str">
        <v/>
      </c>
      <c r="JS29" s="196" t="str">
        <v/>
      </c>
      <c r="JT29" s="196" t="str">
        <v/>
      </c>
      <c r="JU29" s="196" t="str">
        <v/>
      </c>
      <c r="JV29" s="196" t="str">
        <v/>
      </c>
      <c r="JW29" s="196" t="str">
        <v/>
      </c>
      <c r="JX29" s="196" t="str">
        <v/>
      </c>
      <c r="JY29" s="196" t="str">
        <v/>
      </c>
      <c r="JZ29" s="196" t="str">
        <v/>
      </c>
      <c r="KA29" s="196" t="str">
        <v/>
      </c>
      <c r="KB29" s="196" t="str">
        <v/>
      </c>
      <c r="KC29" s="196" t="str">
        <v/>
      </c>
      <c r="KD29" s="196" t="str">
        <v/>
      </c>
      <c r="KE29" s="196" t="str">
        <v/>
      </c>
      <c r="KF29" s="196" t="str">
        <v/>
      </c>
      <c r="KG29" s="196" t="str">
        <v/>
      </c>
      <c r="KH29" s="196" t="str">
        <v/>
      </c>
      <c r="KI29" s="196" t="str">
        <v/>
      </c>
      <c r="KJ29" s="196" t="str">
        <v/>
      </c>
      <c r="KK29" s="196" t="str">
        <v/>
      </c>
      <c r="KL29" s="196" t="str">
        <v/>
      </c>
      <c r="KM29" s="196" t="str">
        <v/>
      </c>
      <c r="KN29" s="196" t="str">
        <v/>
      </c>
      <c r="KO29" s="196" t="str">
        <v/>
      </c>
      <c r="KP29" s="903" t="str">
        <v/>
      </c>
      <c r="KQ29" s="700" t="s">
        <v>388</v>
      </c>
    </row>
    <row r="30" spans="1:303" s="188" customFormat="1" hidden="1" x14ac:dyDescent="0.45">
      <c r="A30" s="1755"/>
      <c r="B30" s="143" t="s">
        <v>308</v>
      </c>
      <c r="C30" s="989" t="str">
        <v/>
      </c>
      <c r="D30" s="989" t="str">
        <v/>
      </c>
      <c r="E30" s="989" t="str">
        <v/>
      </c>
      <c r="F30" s="988" t="str">
        <v/>
      </c>
      <c r="G30" s="988" t="str">
        <v/>
      </c>
      <c r="H30" s="988" t="str">
        <v/>
      </c>
      <c r="I30" s="988" t="str">
        <v/>
      </c>
      <c r="J30" s="988" t="str">
        <v/>
      </c>
      <c r="K30" s="988" t="str">
        <v/>
      </c>
      <c r="L30" s="988" t="str">
        <v/>
      </c>
      <c r="M30" s="988" t="str">
        <v/>
      </c>
      <c r="N30" s="988" t="str">
        <v/>
      </c>
      <c r="O30" s="988" t="str">
        <v/>
      </c>
      <c r="P30" s="988" t="str">
        <v/>
      </c>
      <c r="Q30" s="988" t="str">
        <v/>
      </c>
      <c r="R30" s="988" t="str">
        <v/>
      </c>
      <c r="S30" s="988" t="str">
        <v/>
      </c>
      <c r="T30" s="988" t="str">
        <v/>
      </c>
      <c r="U30" s="988" t="str">
        <v/>
      </c>
      <c r="V30" s="988" t="str">
        <v/>
      </c>
      <c r="W30" s="988" t="str">
        <v/>
      </c>
      <c r="X30" s="988" t="str">
        <v/>
      </c>
      <c r="Y30" s="988" t="str">
        <v/>
      </c>
      <c r="Z30" s="988" t="str">
        <v/>
      </c>
      <c r="AA30" s="988" t="str">
        <v/>
      </c>
      <c r="AB30" s="988" t="str">
        <v/>
      </c>
      <c r="AC30" s="988" t="str">
        <v/>
      </c>
      <c r="AD30" s="988" t="str">
        <v/>
      </c>
      <c r="AE30" s="988" t="str">
        <v/>
      </c>
      <c r="AF30" s="988" t="str">
        <v/>
      </c>
      <c r="AG30" s="988" t="str">
        <v/>
      </c>
      <c r="AH30" s="988" t="str">
        <v/>
      </c>
      <c r="AI30" s="988" t="str">
        <v/>
      </c>
      <c r="AJ30" s="988" t="str">
        <v/>
      </c>
      <c r="AK30" s="988" t="str">
        <v/>
      </c>
      <c r="AL30" s="988" t="str">
        <v/>
      </c>
      <c r="AM30" s="988" t="str">
        <v/>
      </c>
      <c r="AN30" s="988" t="str">
        <v/>
      </c>
      <c r="AO30" s="988" t="str">
        <v/>
      </c>
      <c r="AP30" s="988" t="str">
        <v/>
      </c>
      <c r="AQ30" s="988" t="str">
        <v/>
      </c>
      <c r="AR30" s="988" t="str">
        <v/>
      </c>
      <c r="AS30" s="988" t="str">
        <v/>
      </c>
      <c r="AT30" s="988" t="str">
        <v/>
      </c>
      <c r="AU30" s="988" t="str">
        <v/>
      </c>
      <c r="AV30" s="988" t="str">
        <v/>
      </c>
      <c r="AW30" s="988" t="str">
        <v/>
      </c>
      <c r="AX30" s="988" t="str">
        <v/>
      </c>
      <c r="AY30" s="988" t="str">
        <v/>
      </c>
      <c r="AZ30" s="988" t="str">
        <v/>
      </c>
      <c r="BA30" s="988" t="str">
        <v/>
      </c>
      <c r="BB30" s="988" t="str">
        <v/>
      </c>
      <c r="BC30" s="988" t="str">
        <v/>
      </c>
      <c r="BD30" s="988" t="str">
        <v/>
      </c>
      <c r="BE30" s="988" t="str">
        <v/>
      </c>
      <c r="BF30" s="988" t="str">
        <v/>
      </c>
      <c r="BG30" s="988" t="str">
        <v/>
      </c>
      <c r="BH30" s="988" t="str">
        <v/>
      </c>
      <c r="BI30" s="988" t="str">
        <v/>
      </c>
      <c r="BJ30" s="988" t="str">
        <v/>
      </c>
      <c r="BK30" s="988" t="str">
        <v/>
      </c>
      <c r="BL30" s="988" t="str">
        <v/>
      </c>
      <c r="BM30" s="988" t="str">
        <v/>
      </c>
      <c r="BN30" s="988" t="str">
        <v/>
      </c>
      <c r="BO30" s="988" t="str">
        <v/>
      </c>
      <c r="BP30" s="988" t="str">
        <v/>
      </c>
      <c r="BQ30" s="988" t="str">
        <v/>
      </c>
      <c r="BR30" s="988" t="str">
        <v/>
      </c>
      <c r="BS30" s="988" t="str">
        <v/>
      </c>
      <c r="BT30" s="988" t="str">
        <v/>
      </c>
      <c r="BU30" s="988" t="str">
        <v/>
      </c>
      <c r="BV30" s="988" t="str">
        <v/>
      </c>
      <c r="BW30" s="988" t="str">
        <v/>
      </c>
      <c r="BX30" s="988" t="str">
        <v/>
      </c>
      <c r="BY30" s="988">
        <v>20</v>
      </c>
      <c r="BZ30" s="988" t="str">
        <v/>
      </c>
      <c r="CA30" s="988" t="str">
        <v/>
      </c>
      <c r="CB30" s="988">
        <v>17</v>
      </c>
      <c r="CC30" s="988" t="str">
        <v/>
      </c>
      <c r="CD30" s="988" t="str">
        <v/>
      </c>
      <c r="CE30" s="988" t="str">
        <v/>
      </c>
      <c r="CF30" s="988" t="str">
        <v/>
      </c>
      <c r="CG30" s="988" t="str">
        <v/>
      </c>
      <c r="CH30" s="988" t="str">
        <v/>
      </c>
      <c r="CI30" s="988" t="str">
        <v/>
      </c>
      <c r="CJ30" s="988" t="str">
        <v/>
      </c>
      <c r="CK30" s="988" t="str">
        <v/>
      </c>
      <c r="CL30" s="988" t="str">
        <v/>
      </c>
      <c r="CM30" s="988" t="str">
        <v/>
      </c>
      <c r="CN30" s="988" t="str">
        <v/>
      </c>
      <c r="CO30" s="988" t="str">
        <v/>
      </c>
      <c r="CP30" s="988" t="str">
        <v/>
      </c>
      <c r="CQ30" s="988" t="str">
        <v/>
      </c>
      <c r="CR30" s="988" t="str">
        <v/>
      </c>
      <c r="CS30" s="988" t="str">
        <v/>
      </c>
      <c r="CT30" s="988" t="str">
        <v/>
      </c>
      <c r="CU30" s="988" t="str">
        <v/>
      </c>
      <c r="CV30" s="988" t="str">
        <v/>
      </c>
      <c r="CW30" s="988" t="str">
        <v/>
      </c>
      <c r="CX30" s="988" t="str">
        <v/>
      </c>
      <c r="CY30" s="989" t="str">
        <v/>
      </c>
      <c r="CZ30" s="988" t="str">
        <v/>
      </c>
      <c r="DA30" s="988" t="str">
        <v/>
      </c>
      <c r="DB30" s="988" t="str">
        <v/>
      </c>
      <c r="DC30" s="988" t="str">
        <v/>
      </c>
      <c r="DD30" s="988" t="str">
        <v/>
      </c>
      <c r="DE30" s="988" t="str">
        <v/>
      </c>
      <c r="DF30" s="988" t="str">
        <v/>
      </c>
      <c r="DG30" s="988" t="str">
        <v/>
      </c>
      <c r="DH30" s="988" t="str">
        <v/>
      </c>
      <c r="DI30" s="988" t="str">
        <v/>
      </c>
      <c r="DJ30" s="988" t="str">
        <v/>
      </c>
      <c r="DK30" s="988" t="str">
        <v/>
      </c>
      <c r="DL30" s="988" t="str">
        <v/>
      </c>
      <c r="DM30" s="988" t="str">
        <v/>
      </c>
      <c r="DN30" s="988" t="str">
        <v/>
      </c>
      <c r="DO30" s="988" t="str">
        <v/>
      </c>
      <c r="DP30" s="988" t="str">
        <v/>
      </c>
      <c r="DQ30" s="988" t="str">
        <v/>
      </c>
      <c r="DR30" s="988" t="str">
        <v/>
      </c>
      <c r="DS30" s="988" t="str">
        <v/>
      </c>
      <c r="DT30" s="988" t="str">
        <v/>
      </c>
      <c r="DU30" s="988" t="str">
        <v/>
      </c>
      <c r="DV30" s="988" t="str">
        <v/>
      </c>
      <c r="DW30" s="988" t="str">
        <v/>
      </c>
      <c r="DX30" s="988" t="str">
        <v/>
      </c>
      <c r="DY30" s="988" t="str">
        <v/>
      </c>
      <c r="DZ30" s="988" t="str">
        <v/>
      </c>
      <c r="EA30" s="988" t="str">
        <v/>
      </c>
      <c r="EB30" s="988" t="str">
        <v/>
      </c>
      <c r="EC30" s="988" t="str">
        <v/>
      </c>
      <c r="ED30" s="988" t="str">
        <v/>
      </c>
      <c r="EE30" s="988" t="str">
        <v/>
      </c>
      <c r="EF30" s="988" t="str">
        <v/>
      </c>
      <c r="EG30" s="988" t="str">
        <v/>
      </c>
      <c r="EH30" s="988" t="str">
        <v/>
      </c>
      <c r="EI30" s="988" t="str">
        <v/>
      </c>
      <c r="EJ30" s="988" t="str">
        <v/>
      </c>
      <c r="EK30" s="988" t="str">
        <v/>
      </c>
      <c r="EL30" s="988" t="str">
        <v/>
      </c>
      <c r="EM30" s="988" t="str">
        <v/>
      </c>
      <c r="EN30" s="988" t="str">
        <v/>
      </c>
      <c r="EO30" s="988" t="str">
        <v/>
      </c>
      <c r="EP30" s="988" t="str">
        <v/>
      </c>
      <c r="EQ30" s="988" t="str">
        <v/>
      </c>
      <c r="ER30" s="988" t="str">
        <v/>
      </c>
      <c r="ES30" s="988" t="str">
        <v/>
      </c>
      <c r="ET30" s="988" t="str">
        <v/>
      </c>
      <c r="EU30" s="988" t="str">
        <v/>
      </c>
      <c r="EV30" s="988" t="str">
        <v/>
      </c>
      <c r="EW30" s="988" t="str">
        <v/>
      </c>
      <c r="EX30" s="988" t="str">
        <v/>
      </c>
      <c r="EY30" s="988" t="str">
        <v/>
      </c>
      <c r="EZ30" s="988" t="str">
        <v/>
      </c>
      <c r="FA30" s="988" t="str">
        <v/>
      </c>
      <c r="FB30" s="988" t="str">
        <v/>
      </c>
      <c r="FC30" s="988" t="str">
        <v/>
      </c>
      <c r="FD30" s="988" t="str">
        <v/>
      </c>
      <c r="FE30" s="988" t="str">
        <v/>
      </c>
      <c r="FF30" s="988" t="str">
        <v/>
      </c>
      <c r="FG30" s="988" t="str">
        <v/>
      </c>
      <c r="FH30" s="988" t="str">
        <v/>
      </c>
      <c r="FI30" s="988" t="str">
        <v/>
      </c>
      <c r="FJ30" s="988" t="str">
        <v/>
      </c>
      <c r="FK30" s="988" t="str">
        <v/>
      </c>
      <c r="FL30" s="988" t="str">
        <v/>
      </c>
      <c r="FM30" s="988" t="str">
        <v/>
      </c>
      <c r="FN30" s="988" t="str">
        <v/>
      </c>
      <c r="FO30" s="988" t="str">
        <v/>
      </c>
      <c r="FP30" s="988" t="str">
        <v/>
      </c>
      <c r="FQ30" s="988" t="str">
        <v/>
      </c>
      <c r="FR30" s="988" t="str">
        <v/>
      </c>
      <c r="FS30" s="988" t="str">
        <v/>
      </c>
      <c r="FT30" s="988" t="str">
        <v/>
      </c>
      <c r="FU30" s="988" t="str">
        <v/>
      </c>
      <c r="FV30" s="988" t="str">
        <v/>
      </c>
      <c r="FW30" s="988" t="str">
        <v/>
      </c>
      <c r="FX30" s="988" t="str">
        <v/>
      </c>
      <c r="FY30" s="988" t="str">
        <v/>
      </c>
      <c r="FZ30" s="988" t="str">
        <v/>
      </c>
      <c r="GA30" s="988" t="str">
        <v/>
      </c>
      <c r="GB30" s="988" t="str">
        <v/>
      </c>
      <c r="GC30" s="988" t="str">
        <v/>
      </c>
      <c r="GD30" s="988" t="str">
        <v/>
      </c>
      <c r="GE30" s="988" t="str">
        <v/>
      </c>
      <c r="GF30" s="988" t="str">
        <v/>
      </c>
      <c r="GG30" s="988" t="str">
        <v/>
      </c>
      <c r="GH30" s="988" t="str">
        <v/>
      </c>
      <c r="GI30" s="988" t="str">
        <v/>
      </c>
      <c r="GJ30" s="988" t="str">
        <v/>
      </c>
      <c r="GK30" s="988" t="str">
        <v/>
      </c>
      <c r="GL30" s="988" t="str">
        <v/>
      </c>
      <c r="GM30" s="988" t="str">
        <v/>
      </c>
      <c r="GN30" s="988" t="str">
        <v/>
      </c>
      <c r="GO30" s="988" t="str">
        <v/>
      </c>
      <c r="GP30" s="988" t="str">
        <v/>
      </c>
      <c r="GQ30" s="988" t="str">
        <v/>
      </c>
      <c r="GR30" s="988" t="str">
        <v/>
      </c>
      <c r="GS30" s="988" t="str">
        <v/>
      </c>
      <c r="GT30" s="988" t="str">
        <v/>
      </c>
      <c r="GU30" s="988" t="str">
        <v/>
      </c>
      <c r="GV30" s="988" t="str">
        <v/>
      </c>
      <c r="GW30" s="988" t="str">
        <v/>
      </c>
      <c r="GX30" s="988" t="str">
        <v/>
      </c>
      <c r="GY30" s="988" t="str">
        <v/>
      </c>
      <c r="GZ30" s="988" t="str">
        <v/>
      </c>
      <c r="HA30" s="988" t="str">
        <v/>
      </c>
      <c r="HB30" s="988" t="str">
        <v/>
      </c>
      <c r="HC30" s="988" t="str">
        <v/>
      </c>
      <c r="HD30" s="988" t="str">
        <v/>
      </c>
      <c r="HE30" s="988" t="str">
        <v/>
      </c>
      <c r="HF30" s="988" t="str">
        <v/>
      </c>
      <c r="HG30" s="988" t="str">
        <v/>
      </c>
      <c r="HH30" s="988" t="str">
        <v/>
      </c>
      <c r="HI30" s="988" t="str">
        <v/>
      </c>
      <c r="HJ30" s="988" t="str">
        <v/>
      </c>
      <c r="HK30" s="988" t="str">
        <v/>
      </c>
      <c r="HL30" s="988" t="str">
        <v/>
      </c>
      <c r="HM30" s="988" t="str">
        <v/>
      </c>
      <c r="HN30" s="988" t="str">
        <v/>
      </c>
      <c r="HO30" s="988" t="str">
        <v/>
      </c>
      <c r="HP30" s="988" t="str">
        <v/>
      </c>
      <c r="HQ30" s="988" t="str">
        <v/>
      </c>
      <c r="HR30" s="988" t="str">
        <v/>
      </c>
      <c r="HS30" s="988" t="str">
        <v/>
      </c>
      <c r="HT30" s="988" t="str">
        <v/>
      </c>
      <c r="HU30" s="988" t="str">
        <v/>
      </c>
      <c r="HV30" s="988" t="str">
        <v/>
      </c>
      <c r="HW30" s="988" t="str">
        <v/>
      </c>
      <c r="HX30" s="988" t="str">
        <v/>
      </c>
      <c r="HY30" s="988" t="str">
        <v/>
      </c>
      <c r="HZ30" s="988" t="str">
        <v/>
      </c>
      <c r="IA30" s="988" t="str">
        <v/>
      </c>
      <c r="IB30" s="988" t="str">
        <v/>
      </c>
      <c r="IC30" s="988" t="str">
        <v/>
      </c>
      <c r="ID30" s="988" t="str">
        <v/>
      </c>
      <c r="IE30" s="988" t="str">
        <v/>
      </c>
      <c r="IF30" s="988" t="str">
        <v/>
      </c>
      <c r="IG30" s="988" t="str">
        <v/>
      </c>
      <c r="IH30" s="988" t="str">
        <v/>
      </c>
      <c r="II30" s="988" t="str">
        <v/>
      </c>
      <c r="IJ30" s="988" t="str">
        <v/>
      </c>
      <c r="IK30" s="988" t="str">
        <v/>
      </c>
      <c r="IL30" s="988" t="str">
        <v/>
      </c>
      <c r="IM30" s="988" t="str">
        <v/>
      </c>
      <c r="IN30" s="988" t="str">
        <v/>
      </c>
      <c r="IO30" s="988" t="str">
        <v/>
      </c>
      <c r="IP30" s="988" t="str">
        <v/>
      </c>
      <c r="IQ30" s="988" t="str">
        <v/>
      </c>
      <c r="IR30" s="988" t="str">
        <v/>
      </c>
      <c r="IS30" s="988" t="str">
        <v/>
      </c>
      <c r="IT30" s="988" t="str">
        <v/>
      </c>
      <c r="IU30" s="988" t="str">
        <v/>
      </c>
      <c r="IV30" s="988" t="str">
        <v/>
      </c>
      <c r="IW30" s="988" t="str">
        <v/>
      </c>
      <c r="IX30" s="988" t="str">
        <v/>
      </c>
      <c r="IY30" s="988" t="str">
        <v/>
      </c>
      <c r="IZ30" s="988" t="str">
        <v/>
      </c>
      <c r="JA30" s="988" t="str">
        <v/>
      </c>
      <c r="JB30" s="988" t="str">
        <v/>
      </c>
      <c r="JC30" s="988" t="str">
        <v/>
      </c>
      <c r="JD30" s="988" t="str">
        <v/>
      </c>
      <c r="JE30" s="988" t="str">
        <v/>
      </c>
      <c r="JF30" s="988" t="str">
        <v/>
      </c>
      <c r="JG30" s="988" t="str">
        <v/>
      </c>
      <c r="JH30" s="988" t="str">
        <v/>
      </c>
      <c r="JI30" s="988" t="str">
        <v/>
      </c>
      <c r="JJ30" s="988" t="str">
        <v/>
      </c>
      <c r="JK30" s="988" t="str">
        <v/>
      </c>
      <c r="JL30" s="988" t="str">
        <v/>
      </c>
      <c r="JM30" s="988" t="str">
        <v/>
      </c>
      <c r="JN30" s="988" t="str">
        <v/>
      </c>
      <c r="JO30" s="988" t="str">
        <v/>
      </c>
      <c r="JP30" s="988" t="str">
        <v/>
      </c>
      <c r="JQ30" s="988" t="str">
        <v/>
      </c>
      <c r="JR30" s="988" t="str">
        <v/>
      </c>
      <c r="JS30" s="988" t="str">
        <v/>
      </c>
      <c r="JT30" s="988" t="str">
        <v/>
      </c>
      <c r="JU30" s="988" t="str">
        <v/>
      </c>
      <c r="JV30" s="988" t="str">
        <v/>
      </c>
      <c r="JW30" s="988" t="str">
        <v/>
      </c>
      <c r="JX30" s="988" t="str">
        <v/>
      </c>
      <c r="JY30" s="988" t="str">
        <v/>
      </c>
      <c r="JZ30" s="988" t="str">
        <v/>
      </c>
      <c r="KA30" s="988" t="str">
        <v/>
      </c>
      <c r="KB30" s="988" t="str">
        <v/>
      </c>
      <c r="KC30" s="988" t="str">
        <v/>
      </c>
      <c r="KD30" s="988" t="str">
        <v/>
      </c>
      <c r="KE30" s="988" t="str">
        <v/>
      </c>
      <c r="KF30" s="988" t="str">
        <v/>
      </c>
      <c r="KG30" s="988" t="str">
        <v/>
      </c>
      <c r="KH30" s="988" t="str">
        <v/>
      </c>
      <c r="KI30" s="988" t="str">
        <v/>
      </c>
      <c r="KJ30" s="988" t="str">
        <v/>
      </c>
      <c r="KK30" s="988" t="str">
        <v/>
      </c>
      <c r="KL30" s="988" t="str">
        <v/>
      </c>
      <c r="KM30" s="988" t="str">
        <v/>
      </c>
      <c r="KN30" s="988" t="str">
        <v/>
      </c>
      <c r="KO30" s="988" t="str">
        <v/>
      </c>
      <c r="KP30" s="990" t="str">
        <v/>
      </c>
      <c r="KQ30" s="700" t="s">
        <v>388</v>
      </c>
    </row>
    <row r="31" spans="1:303" s="188" customFormat="1" hidden="1" x14ac:dyDescent="0.45">
      <c r="A31" s="1756"/>
      <c r="B31" s="945" t="s">
        <v>724</v>
      </c>
      <c r="C31" s="195" t="str">
        <f t="array" ref="C31:KP31">IFERROR( MATCH(sessions_nutrition, fuellings_name, 0), "")</f>
        <v/>
      </c>
      <c r="D31" s="196">
        <v>9</v>
      </c>
      <c r="E31" s="196">
        <v>8</v>
      </c>
      <c r="F31" s="196">
        <v>9</v>
      </c>
      <c r="G31" s="196">
        <v>10</v>
      </c>
      <c r="H31" s="196">
        <v>8</v>
      </c>
      <c r="I31" s="196">
        <v>8</v>
      </c>
      <c r="J31" s="196">
        <v>8</v>
      </c>
      <c r="K31" s="196">
        <v>8</v>
      </c>
      <c r="L31" s="196">
        <v>8</v>
      </c>
      <c r="M31" s="196">
        <v>8</v>
      </c>
      <c r="N31" s="196">
        <v>8</v>
      </c>
      <c r="O31" s="196">
        <v>9</v>
      </c>
      <c r="P31" s="196">
        <v>10</v>
      </c>
      <c r="Q31" s="196">
        <v>10</v>
      </c>
      <c r="R31" s="196">
        <v>8</v>
      </c>
      <c r="S31" s="196">
        <v>9</v>
      </c>
      <c r="T31" s="196">
        <v>10</v>
      </c>
      <c r="U31" s="196">
        <v>10</v>
      </c>
      <c r="V31" s="196">
        <v>10</v>
      </c>
      <c r="W31" s="196">
        <v>9</v>
      </c>
      <c r="X31" s="196">
        <v>9</v>
      </c>
      <c r="Y31" s="196">
        <v>9</v>
      </c>
      <c r="Z31" s="196">
        <v>9</v>
      </c>
      <c r="AA31" s="196">
        <v>9</v>
      </c>
      <c r="AB31" s="196">
        <v>9</v>
      </c>
      <c r="AC31" s="196">
        <v>9</v>
      </c>
      <c r="AD31" s="196">
        <v>9</v>
      </c>
      <c r="AE31" s="196">
        <v>9</v>
      </c>
      <c r="AF31" s="196">
        <v>9</v>
      </c>
      <c r="AG31" s="196">
        <v>9</v>
      </c>
      <c r="AH31" s="196">
        <v>9</v>
      </c>
      <c r="AI31" s="196">
        <v>9</v>
      </c>
      <c r="AJ31" s="196">
        <v>9</v>
      </c>
      <c r="AK31" s="196" t="str">
        <v/>
      </c>
      <c r="AL31" s="196" t="str">
        <v/>
      </c>
      <c r="AM31" s="196" t="str">
        <v/>
      </c>
      <c r="AN31" s="196" t="str">
        <v/>
      </c>
      <c r="AO31" s="196" t="str">
        <v/>
      </c>
      <c r="AP31" s="196" t="str">
        <v/>
      </c>
      <c r="AQ31" s="196">
        <v>9</v>
      </c>
      <c r="AR31" s="196">
        <v>9</v>
      </c>
      <c r="AS31" s="196">
        <v>9</v>
      </c>
      <c r="AT31" s="196">
        <v>9</v>
      </c>
      <c r="AU31" s="196">
        <v>9</v>
      </c>
      <c r="AV31" s="196">
        <v>9</v>
      </c>
      <c r="AW31" s="196">
        <v>9</v>
      </c>
      <c r="AX31" s="196">
        <v>9</v>
      </c>
      <c r="AY31" s="196">
        <v>9</v>
      </c>
      <c r="AZ31" s="196">
        <v>9</v>
      </c>
      <c r="BA31" s="196">
        <v>9</v>
      </c>
      <c r="BB31" s="196">
        <v>9</v>
      </c>
      <c r="BC31" s="196" t="str">
        <v/>
      </c>
      <c r="BD31" s="196" t="str">
        <v/>
      </c>
      <c r="BE31" s="196" t="str">
        <v/>
      </c>
      <c r="BF31" s="196" t="str">
        <v/>
      </c>
      <c r="BG31" s="196" t="str">
        <v/>
      </c>
      <c r="BH31" s="196" t="str">
        <v/>
      </c>
      <c r="BI31" s="196" t="str">
        <v/>
      </c>
      <c r="BJ31" s="196" t="str">
        <v/>
      </c>
      <c r="BK31" s="196">
        <v>9</v>
      </c>
      <c r="BL31" s="196">
        <v>9</v>
      </c>
      <c r="BM31" s="196">
        <v>9</v>
      </c>
      <c r="BN31" s="196">
        <v>9</v>
      </c>
      <c r="BO31" s="196">
        <v>9</v>
      </c>
      <c r="BP31" s="196">
        <v>9</v>
      </c>
      <c r="BQ31" s="196">
        <v>9</v>
      </c>
      <c r="BR31" s="196">
        <v>9</v>
      </c>
      <c r="BS31" s="196">
        <v>9</v>
      </c>
      <c r="BT31" s="196" t="str">
        <v/>
      </c>
      <c r="BU31" s="196">
        <v>9</v>
      </c>
      <c r="BV31" s="196">
        <v>9</v>
      </c>
      <c r="BW31" s="196">
        <v>9</v>
      </c>
      <c r="BX31" s="196">
        <v>9</v>
      </c>
      <c r="BY31" s="196">
        <v>9</v>
      </c>
      <c r="BZ31" s="196">
        <v>8</v>
      </c>
      <c r="CA31" s="196">
        <v>8</v>
      </c>
      <c r="CB31" s="196">
        <v>8</v>
      </c>
      <c r="CC31" s="196">
        <v>8</v>
      </c>
      <c r="CD31" s="196">
        <v>8</v>
      </c>
      <c r="CE31" s="196">
        <v>5</v>
      </c>
      <c r="CF31" s="196">
        <v>5</v>
      </c>
      <c r="CG31" s="196">
        <v>5</v>
      </c>
      <c r="CH31" s="196">
        <v>5</v>
      </c>
      <c r="CI31" s="196">
        <v>5</v>
      </c>
      <c r="CJ31" s="196">
        <v>6</v>
      </c>
      <c r="CK31" s="196">
        <v>6</v>
      </c>
      <c r="CL31" s="196">
        <v>6</v>
      </c>
      <c r="CM31" s="196">
        <v>6</v>
      </c>
      <c r="CN31" s="196">
        <v>7</v>
      </c>
      <c r="CO31" s="196">
        <v>7</v>
      </c>
      <c r="CP31" s="196">
        <v>7</v>
      </c>
      <c r="CQ31" s="196">
        <v>7</v>
      </c>
      <c r="CR31" s="196">
        <v>7</v>
      </c>
      <c r="CS31" s="196">
        <v>7</v>
      </c>
      <c r="CT31" s="196">
        <v>7</v>
      </c>
      <c r="CU31" s="196">
        <v>7</v>
      </c>
      <c r="CV31" s="196">
        <v>7</v>
      </c>
      <c r="CW31" s="196">
        <v>7</v>
      </c>
      <c r="CX31" s="196">
        <v>7</v>
      </c>
      <c r="CY31" s="195" t="str">
        <v/>
      </c>
      <c r="CZ31" s="196" t="str">
        <v/>
      </c>
      <c r="DA31" s="196" t="str">
        <v/>
      </c>
      <c r="DB31" s="196" t="str">
        <v/>
      </c>
      <c r="DC31" s="196" t="str">
        <v/>
      </c>
      <c r="DD31" s="196" t="str">
        <v/>
      </c>
      <c r="DE31" s="196" t="str">
        <v/>
      </c>
      <c r="DF31" s="196" t="str">
        <v/>
      </c>
      <c r="DG31" s="196" t="str">
        <v/>
      </c>
      <c r="DH31" s="196" t="str">
        <v/>
      </c>
      <c r="DI31" s="196" t="str">
        <v/>
      </c>
      <c r="DJ31" s="196" t="str">
        <v/>
      </c>
      <c r="DK31" s="196" t="str">
        <v/>
      </c>
      <c r="DL31" s="196" t="str">
        <v/>
      </c>
      <c r="DM31" s="196" t="str">
        <v/>
      </c>
      <c r="DN31" s="196" t="str">
        <v/>
      </c>
      <c r="DO31" s="196" t="str">
        <v/>
      </c>
      <c r="DP31" s="196" t="str">
        <v/>
      </c>
      <c r="DQ31" s="196" t="str">
        <v/>
      </c>
      <c r="DR31" s="196" t="str">
        <v/>
      </c>
      <c r="DS31" s="196" t="str">
        <v/>
      </c>
      <c r="DT31" s="196" t="str">
        <v/>
      </c>
      <c r="DU31" s="196" t="str">
        <v/>
      </c>
      <c r="DV31" s="196" t="str">
        <v/>
      </c>
      <c r="DW31" s="196" t="str">
        <v/>
      </c>
      <c r="DX31" s="196" t="str">
        <v/>
      </c>
      <c r="DY31" s="196" t="str">
        <v/>
      </c>
      <c r="DZ31" s="196" t="str">
        <v/>
      </c>
      <c r="EA31" s="196" t="str">
        <v/>
      </c>
      <c r="EB31" s="196" t="str">
        <v/>
      </c>
      <c r="EC31" s="196" t="str">
        <v/>
      </c>
      <c r="ED31" s="196" t="str">
        <v/>
      </c>
      <c r="EE31" s="196" t="str">
        <v/>
      </c>
      <c r="EF31" s="196" t="str">
        <v/>
      </c>
      <c r="EG31" s="196" t="str">
        <v/>
      </c>
      <c r="EH31" s="196" t="str">
        <v/>
      </c>
      <c r="EI31" s="196" t="str">
        <v/>
      </c>
      <c r="EJ31" s="196" t="str">
        <v/>
      </c>
      <c r="EK31" s="196" t="str">
        <v/>
      </c>
      <c r="EL31" s="196" t="str">
        <v/>
      </c>
      <c r="EM31" s="196" t="str">
        <v/>
      </c>
      <c r="EN31" s="196" t="str">
        <v/>
      </c>
      <c r="EO31" s="196" t="str">
        <v/>
      </c>
      <c r="EP31" s="196" t="str">
        <v/>
      </c>
      <c r="EQ31" s="196" t="str">
        <v/>
      </c>
      <c r="ER31" s="196" t="str">
        <v/>
      </c>
      <c r="ES31" s="196" t="str">
        <v/>
      </c>
      <c r="ET31" s="196" t="str">
        <v/>
      </c>
      <c r="EU31" s="196" t="str">
        <v/>
      </c>
      <c r="EV31" s="196" t="str">
        <v/>
      </c>
      <c r="EW31" s="196" t="str">
        <v/>
      </c>
      <c r="EX31" s="196" t="str">
        <v/>
      </c>
      <c r="EY31" s="196" t="str">
        <v/>
      </c>
      <c r="EZ31" s="196" t="str">
        <v/>
      </c>
      <c r="FA31" s="196" t="str">
        <v/>
      </c>
      <c r="FB31" s="196" t="str">
        <v/>
      </c>
      <c r="FC31" s="196" t="str">
        <v/>
      </c>
      <c r="FD31" s="196" t="str">
        <v/>
      </c>
      <c r="FE31" s="196" t="str">
        <v/>
      </c>
      <c r="FF31" s="196" t="str">
        <v/>
      </c>
      <c r="FG31" s="196" t="str">
        <v/>
      </c>
      <c r="FH31" s="196" t="str">
        <v/>
      </c>
      <c r="FI31" s="196" t="str">
        <v/>
      </c>
      <c r="FJ31" s="196" t="str">
        <v/>
      </c>
      <c r="FK31" s="196" t="str">
        <v/>
      </c>
      <c r="FL31" s="196" t="str">
        <v/>
      </c>
      <c r="FM31" s="196" t="str">
        <v/>
      </c>
      <c r="FN31" s="196" t="str">
        <v/>
      </c>
      <c r="FO31" s="196" t="str">
        <v/>
      </c>
      <c r="FP31" s="196" t="str">
        <v/>
      </c>
      <c r="FQ31" s="196" t="str">
        <v/>
      </c>
      <c r="FR31" s="196" t="str">
        <v/>
      </c>
      <c r="FS31" s="196" t="str">
        <v/>
      </c>
      <c r="FT31" s="196" t="str">
        <v/>
      </c>
      <c r="FU31" s="196" t="str">
        <v/>
      </c>
      <c r="FV31" s="196" t="str">
        <v/>
      </c>
      <c r="FW31" s="196" t="str">
        <v/>
      </c>
      <c r="FX31" s="196" t="str">
        <v/>
      </c>
      <c r="FY31" s="196" t="str">
        <v/>
      </c>
      <c r="FZ31" s="196" t="str">
        <v/>
      </c>
      <c r="GA31" s="196" t="str">
        <v/>
      </c>
      <c r="GB31" s="196" t="str">
        <v/>
      </c>
      <c r="GC31" s="196" t="str">
        <v/>
      </c>
      <c r="GD31" s="196" t="str">
        <v/>
      </c>
      <c r="GE31" s="196" t="str">
        <v/>
      </c>
      <c r="GF31" s="196" t="str">
        <v/>
      </c>
      <c r="GG31" s="196" t="str">
        <v/>
      </c>
      <c r="GH31" s="196" t="str">
        <v/>
      </c>
      <c r="GI31" s="196" t="str">
        <v/>
      </c>
      <c r="GJ31" s="196" t="str">
        <v/>
      </c>
      <c r="GK31" s="196" t="str">
        <v/>
      </c>
      <c r="GL31" s="196" t="str">
        <v/>
      </c>
      <c r="GM31" s="196" t="str">
        <v/>
      </c>
      <c r="GN31" s="196" t="str">
        <v/>
      </c>
      <c r="GO31" s="196" t="str">
        <v/>
      </c>
      <c r="GP31" s="196" t="str">
        <v/>
      </c>
      <c r="GQ31" s="196" t="str">
        <v/>
      </c>
      <c r="GR31" s="196" t="str">
        <v/>
      </c>
      <c r="GS31" s="196" t="str">
        <v/>
      </c>
      <c r="GT31" s="196" t="str">
        <v/>
      </c>
      <c r="GU31" s="196" t="str">
        <v/>
      </c>
      <c r="GV31" s="196" t="str">
        <v/>
      </c>
      <c r="GW31" s="196" t="str">
        <v/>
      </c>
      <c r="GX31" s="196" t="str">
        <v/>
      </c>
      <c r="GY31" s="196" t="str">
        <v/>
      </c>
      <c r="GZ31" s="196" t="str">
        <v/>
      </c>
      <c r="HA31" s="196" t="str">
        <v/>
      </c>
      <c r="HB31" s="196" t="str">
        <v/>
      </c>
      <c r="HC31" s="196" t="str">
        <v/>
      </c>
      <c r="HD31" s="196" t="str">
        <v/>
      </c>
      <c r="HE31" s="196" t="str">
        <v/>
      </c>
      <c r="HF31" s="196" t="str">
        <v/>
      </c>
      <c r="HG31" s="196" t="str">
        <v/>
      </c>
      <c r="HH31" s="196" t="str">
        <v/>
      </c>
      <c r="HI31" s="196" t="str">
        <v/>
      </c>
      <c r="HJ31" s="196" t="str">
        <v/>
      </c>
      <c r="HK31" s="196" t="str">
        <v/>
      </c>
      <c r="HL31" s="196" t="str">
        <v/>
      </c>
      <c r="HM31" s="196" t="str">
        <v/>
      </c>
      <c r="HN31" s="196" t="str">
        <v/>
      </c>
      <c r="HO31" s="196" t="str">
        <v/>
      </c>
      <c r="HP31" s="196" t="str">
        <v/>
      </c>
      <c r="HQ31" s="196" t="str">
        <v/>
      </c>
      <c r="HR31" s="196" t="str">
        <v/>
      </c>
      <c r="HS31" s="196" t="str">
        <v/>
      </c>
      <c r="HT31" s="196" t="str">
        <v/>
      </c>
      <c r="HU31" s="196" t="str">
        <v/>
      </c>
      <c r="HV31" s="196" t="str">
        <v/>
      </c>
      <c r="HW31" s="196" t="str">
        <v/>
      </c>
      <c r="HX31" s="196" t="str">
        <v/>
      </c>
      <c r="HY31" s="196" t="str">
        <v/>
      </c>
      <c r="HZ31" s="196" t="str">
        <v/>
      </c>
      <c r="IA31" s="196" t="str">
        <v/>
      </c>
      <c r="IB31" s="196" t="str">
        <v/>
      </c>
      <c r="IC31" s="196" t="str">
        <v/>
      </c>
      <c r="ID31" s="196" t="str">
        <v/>
      </c>
      <c r="IE31" s="196" t="str">
        <v/>
      </c>
      <c r="IF31" s="196" t="str">
        <v/>
      </c>
      <c r="IG31" s="196" t="str">
        <v/>
      </c>
      <c r="IH31" s="196" t="str">
        <v/>
      </c>
      <c r="II31" s="196" t="str">
        <v/>
      </c>
      <c r="IJ31" s="196" t="str">
        <v/>
      </c>
      <c r="IK31" s="196" t="str">
        <v/>
      </c>
      <c r="IL31" s="196" t="str">
        <v/>
      </c>
      <c r="IM31" s="196" t="str">
        <v/>
      </c>
      <c r="IN31" s="196" t="str">
        <v/>
      </c>
      <c r="IO31" s="196" t="str">
        <v/>
      </c>
      <c r="IP31" s="196" t="str">
        <v/>
      </c>
      <c r="IQ31" s="196" t="str">
        <v/>
      </c>
      <c r="IR31" s="196" t="str">
        <v/>
      </c>
      <c r="IS31" s="196">
        <v>8</v>
      </c>
      <c r="IT31" s="196">
        <v>4</v>
      </c>
      <c r="IU31" s="196">
        <v>3</v>
      </c>
      <c r="IV31" s="196">
        <v>4</v>
      </c>
      <c r="IW31" s="196">
        <v>3</v>
      </c>
      <c r="IX31" s="196">
        <v>4</v>
      </c>
      <c r="IY31" s="196">
        <v>3</v>
      </c>
      <c r="IZ31" s="196" t="str">
        <v/>
      </c>
      <c r="JA31" s="196" t="str">
        <v/>
      </c>
      <c r="JB31" s="196" t="str">
        <v/>
      </c>
      <c r="JC31" s="196" t="str">
        <v/>
      </c>
      <c r="JD31" s="196" t="str">
        <v/>
      </c>
      <c r="JE31" s="196" t="str">
        <v/>
      </c>
      <c r="JF31" s="196" t="str">
        <v/>
      </c>
      <c r="JG31" s="196" t="str">
        <v/>
      </c>
      <c r="JH31" s="196" t="str">
        <v/>
      </c>
      <c r="JI31" s="196" t="str">
        <v/>
      </c>
      <c r="JJ31" s="196" t="str">
        <v/>
      </c>
      <c r="JK31" s="196" t="str">
        <v/>
      </c>
      <c r="JL31" s="196" t="str">
        <v/>
      </c>
      <c r="JM31" s="196" t="str">
        <v/>
      </c>
      <c r="JN31" s="196" t="str">
        <v/>
      </c>
      <c r="JO31" s="196" t="str">
        <v/>
      </c>
      <c r="JP31" s="196" t="str">
        <v/>
      </c>
      <c r="JQ31" s="196" t="str">
        <v/>
      </c>
      <c r="JR31" s="196" t="str">
        <v/>
      </c>
      <c r="JS31" s="196" t="str">
        <v/>
      </c>
      <c r="JT31" s="196" t="str">
        <v/>
      </c>
      <c r="JU31" s="196" t="str">
        <v/>
      </c>
      <c r="JV31" s="196" t="str">
        <v/>
      </c>
      <c r="JW31" s="196" t="str">
        <v/>
      </c>
      <c r="JX31" s="196" t="str">
        <v/>
      </c>
      <c r="JY31" s="196" t="str">
        <v/>
      </c>
      <c r="JZ31" s="196" t="str">
        <v/>
      </c>
      <c r="KA31" s="196" t="str">
        <v/>
      </c>
      <c r="KB31" s="196" t="str">
        <v/>
      </c>
      <c r="KC31" s="196" t="str">
        <v/>
      </c>
      <c r="KD31" s="196" t="str">
        <v/>
      </c>
      <c r="KE31" s="196" t="str">
        <v/>
      </c>
      <c r="KF31" s="196" t="str">
        <v/>
      </c>
      <c r="KG31" s="196" t="str">
        <v/>
      </c>
      <c r="KH31" s="196" t="str">
        <v/>
      </c>
      <c r="KI31" s="196" t="str">
        <v/>
      </c>
      <c r="KJ31" s="196" t="str">
        <v/>
      </c>
      <c r="KK31" s="196" t="str">
        <v/>
      </c>
      <c r="KL31" s="196" t="str">
        <v/>
      </c>
      <c r="KM31" s="196" t="str">
        <v/>
      </c>
      <c r="KN31" s="196" t="str">
        <v/>
      </c>
      <c r="KO31" s="196" t="str">
        <v/>
      </c>
      <c r="KP31" s="903" t="str">
        <v/>
      </c>
      <c r="KQ31" s="700" t="s">
        <v>388</v>
      </c>
    </row>
    <row r="32" spans="1:303" s="184" customFormat="1" hidden="1" x14ac:dyDescent="0.45">
      <c r="A32" s="1741" t="s">
        <v>84</v>
      </c>
      <c r="B32" s="142" t="s">
        <v>306</v>
      </c>
      <c r="C32" s="191" t="str">
        <f t="array" ref="C32:KP34">IFERROR(INDEX(elements_duration_code,,sessions_elements_index),"")</f>
        <v>duration_rest</v>
      </c>
      <c r="D32" s="192" t="str">
        <v>duration_filler1</v>
      </c>
      <c r="E32" s="192" t="str">
        <v>duration_easy</v>
      </c>
      <c r="F32" s="192" t="str">
        <v>duration_steady</v>
      </c>
      <c r="G32" s="192" t="str">
        <v>duration_long</v>
      </c>
      <c r="H32" s="192" t="str">
        <v>duration_easy</v>
      </c>
      <c r="I32" s="192" t="str">
        <v>duration_easy</v>
      </c>
      <c r="J32" s="192" t="str">
        <v>duration_filler2</v>
      </c>
      <c r="K32" s="192" t="str">
        <v>duration_easy</v>
      </c>
      <c r="L32" s="192" t="str">
        <v>duration_easy</v>
      </c>
      <c r="M32" s="192" t="str">
        <v>duration_easy</v>
      </c>
      <c r="N32" s="192" t="str">
        <v>duration_easy</v>
      </c>
      <c r="O32" s="192" t="str">
        <v>duration_easy</v>
      </c>
      <c r="P32" s="192" t="str">
        <v>duration_easy</v>
      </c>
      <c r="Q32" s="192" t="str">
        <v>duration_easy</v>
      </c>
      <c r="R32" s="192" t="str">
        <v>duration_steady</v>
      </c>
      <c r="S32" s="192" t="str">
        <v>duration_steady</v>
      </c>
      <c r="T32" s="192" t="str">
        <v>duration_long</v>
      </c>
      <c r="U32" s="192" t="str">
        <v>duration_long</v>
      </c>
      <c r="V32" s="192" t="str">
        <v>duration_long</v>
      </c>
      <c r="W32" s="192" t="str">
        <v>duration_subthreshold</v>
      </c>
      <c r="X32" s="192" t="str">
        <v>duration_tempo</v>
      </c>
      <c r="Y32" s="192" t="str">
        <v>duration_tempo</v>
      </c>
      <c r="Z32" s="192" t="str">
        <v>duration_hilltempo</v>
      </c>
      <c r="AA32" s="192" t="str">
        <v>duration_hilltempo</v>
      </c>
      <c r="AB32" s="192" t="str">
        <v>duration_subthreshold</v>
      </c>
      <c r="AC32" s="192" t="str">
        <v>duration_tempo</v>
      </c>
      <c r="AD32" s="192" t="str">
        <v>duration_tempo</v>
      </c>
      <c r="AE32" s="192" t="str">
        <v>duration_hilltempo</v>
      </c>
      <c r="AF32" s="192" t="str">
        <v>duration_hilltempo</v>
      </c>
      <c r="AG32" s="192" t="str">
        <v>duration_fartlek</v>
      </c>
      <c r="AH32" s="192" t="str">
        <v>duration_fartlek</v>
      </c>
      <c r="AI32" s="192" t="str">
        <v>duration_fartlek</v>
      </c>
      <c r="AJ32" s="192" t="str">
        <v>duration_fartlek</v>
      </c>
      <c r="AK32" s="192" t="str">
        <v/>
      </c>
      <c r="AL32" s="192" t="str">
        <v/>
      </c>
      <c r="AM32" s="192" t="str">
        <v/>
      </c>
      <c r="AN32" s="192" t="str">
        <v/>
      </c>
      <c r="AO32" s="192" t="str">
        <v/>
      </c>
      <c r="AP32" s="192" t="str">
        <v/>
      </c>
      <c r="AQ32" s="192" t="str">
        <v>duration_intervals</v>
      </c>
      <c r="AR32" s="192" t="str">
        <v>duration_intervals</v>
      </c>
      <c r="AS32" s="192" t="str">
        <v>duration_intervals</v>
      </c>
      <c r="AT32" s="192" t="str">
        <v>duration_intervals</v>
      </c>
      <c r="AU32" s="192" t="str">
        <v>duration_intervals</v>
      </c>
      <c r="AV32" s="192" t="str">
        <v>duration_intervals</v>
      </c>
      <c r="AW32" s="192" t="str">
        <v>duration_intervals</v>
      </c>
      <c r="AX32" s="192" t="str">
        <v>duration_intervals</v>
      </c>
      <c r="AY32" s="192" t="str">
        <v>duration_intervals</v>
      </c>
      <c r="AZ32" s="192" t="str">
        <v>duration_intervals</v>
      </c>
      <c r="BA32" s="192" t="str">
        <v>duration_intervals</v>
      </c>
      <c r="BB32" s="192" t="str">
        <v>duration_intervals</v>
      </c>
      <c r="BC32" s="192" t="str">
        <v/>
      </c>
      <c r="BD32" s="192" t="str">
        <v/>
      </c>
      <c r="BE32" s="192" t="str">
        <v/>
      </c>
      <c r="BF32" s="192" t="str">
        <v/>
      </c>
      <c r="BG32" s="192" t="str">
        <v/>
      </c>
      <c r="BH32" s="192" t="str">
        <v/>
      </c>
      <c r="BI32" s="192" t="str">
        <v/>
      </c>
      <c r="BJ32" s="192" t="str">
        <v/>
      </c>
      <c r="BK32" s="192" t="str">
        <v>duration_reps</v>
      </c>
      <c r="BL32" s="192" t="str">
        <v>duration_reps</v>
      </c>
      <c r="BM32" s="192" t="str">
        <v>duration_reps</v>
      </c>
      <c r="BN32" s="192" t="str">
        <v>duration_reps</v>
      </c>
      <c r="BO32" s="192" t="str">
        <v>duration_reps</v>
      </c>
      <c r="BP32" s="192" t="str">
        <v>duration_reps</v>
      </c>
      <c r="BQ32" s="192" t="str">
        <v>duration_reps</v>
      </c>
      <c r="BR32" s="192" t="str">
        <v>duration_reps</v>
      </c>
      <c r="BS32" s="192" t="str">
        <v>duration_reps</v>
      </c>
      <c r="BT32" s="192" t="str">
        <v/>
      </c>
      <c r="BU32" s="192" t="str">
        <v>duration_drills</v>
      </c>
      <c r="BV32" s="192" t="str">
        <v>duration_drills</v>
      </c>
      <c r="BW32" s="192" t="str">
        <v>duration_drills</v>
      </c>
      <c r="BX32" s="192" t="str">
        <v>duration_drills</v>
      </c>
      <c r="BY32" s="192" t="str">
        <v>duration_drills</v>
      </c>
      <c r="BZ32" s="192" t="str">
        <v>duration_maint</v>
      </c>
      <c r="CA32" s="192" t="str">
        <v>duration_strength</v>
      </c>
      <c r="CB32" s="192" t="str">
        <v>duration_easy</v>
      </c>
      <c r="CC32" s="192" t="str">
        <v>duration_strength</v>
      </c>
      <c r="CD32" s="192" t="str">
        <v>duration_filler1</v>
      </c>
      <c r="CE32" s="192">
        <v>0</v>
      </c>
      <c r="CF32" s="192">
        <v>0</v>
      </c>
      <c r="CG32" s="192">
        <v>0</v>
      </c>
      <c r="CH32" s="192">
        <v>0</v>
      </c>
      <c r="CI32" s="192">
        <v>0</v>
      </c>
      <c r="CJ32" s="192">
        <v>0</v>
      </c>
      <c r="CK32" s="192">
        <v>0</v>
      </c>
      <c r="CL32" s="192">
        <v>0</v>
      </c>
      <c r="CM32" s="192">
        <v>0</v>
      </c>
      <c r="CN32" s="192">
        <v>0</v>
      </c>
      <c r="CO32" s="192">
        <v>0</v>
      </c>
      <c r="CP32" s="192">
        <v>0</v>
      </c>
      <c r="CQ32" s="192">
        <v>0</v>
      </c>
      <c r="CR32" s="192">
        <v>0</v>
      </c>
      <c r="CS32" s="192">
        <v>0</v>
      </c>
      <c r="CT32" s="192">
        <v>0</v>
      </c>
      <c r="CU32" s="192">
        <v>0</v>
      </c>
      <c r="CV32" s="192">
        <v>0</v>
      </c>
      <c r="CW32" s="192">
        <v>0</v>
      </c>
      <c r="CX32" s="192">
        <v>0</v>
      </c>
      <c r="CY32" s="873" t="str">
        <v>duration_rest</v>
      </c>
      <c r="CZ32" s="192" t="str">
        <v>duration_filler1</v>
      </c>
      <c r="DA32" s="192" t="str">
        <v>duration_easy</v>
      </c>
      <c r="DB32" s="192" t="str">
        <v>duration_steady_cycle</v>
      </c>
      <c r="DC32" s="192" t="str">
        <v>duration_long_cycle</v>
      </c>
      <c r="DD32" s="192" t="str">
        <v>duration_easy</v>
      </c>
      <c r="DE32" s="192" t="str">
        <v>duration_easy</v>
      </c>
      <c r="DF32" s="192" t="str">
        <v>duration_filler2</v>
      </c>
      <c r="DG32" s="192" t="str">
        <v>duration_easy</v>
      </c>
      <c r="DH32" s="192" t="str">
        <v>duration_easy</v>
      </c>
      <c r="DI32" s="192" t="str">
        <v>duration_easy</v>
      </c>
      <c r="DJ32" s="192" t="str">
        <v>duration_easy</v>
      </c>
      <c r="DK32" s="192" t="str">
        <v>duration_easy</v>
      </c>
      <c r="DL32" s="192" t="str">
        <v>duration_easy</v>
      </c>
      <c r="DM32" s="192" t="str">
        <v>duration_easy</v>
      </c>
      <c r="DN32" s="192" t="str">
        <v>duration_steady</v>
      </c>
      <c r="DO32" s="192" t="str">
        <v>duration_steady</v>
      </c>
      <c r="DP32" s="192" t="str">
        <v>duration_long</v>
      </c>
      <c r="DQ32" s="192" t="str">
        <v>duration_long</v>
      </c>
      <c r="DR32" s="192" t="str">
        <v>duration_long</v>
      </c>
      <c r="DS32" s="192" t="str">
        <v>duration_subthreshold</v>
      </c>
      <c r="DT32" s="192" t="str">
        <v>duration_tempo</v>
      </c>
      <c r="DU32" s="192" t="str">
        <v>duration_tempo</v>
      </c>
      <c r="DV32" s="192" t="str">
        <v>duration_hilltempo</v>
      </c>
      <c r="DW32" s="192" t="str">
        <v>duration_hilltempo</v>
      </c>
      <c r="DX32" s="192" t="str">
        <v>duration_subthreshold</v>
      </c>
      <c r="DY32" s="192" t="str">
        <v>duration_tempo</v>
      </c>
      <c r="DZ32" s="192" t="str">
        <v>duration_tempo</v>
      </c>
      <c r="EA32" s="192" t="str">
        <v>duration_hilltempo</v>
      </c>
      <c r="EB32" s="192" t="str">
        <v>duration_hilltempo</v>
      </c>
      <c r="EC32" s="192" t="str">
        <v>duration_fartlek</v>
      </c>
      <c r="ED32" s="192" t="str">
        <v>duration_fartlek</v>
      </c>
      <c r="EE32" s="192" t="str">
        <v>duration_fartlek</v>
      </c>
      <c r="EF32" s="192" t="str">
        <v>duration_fartlek</v>
      </c>
      <c r="EG32" s="192" t="str">
        <v/>
      </c>
      <c r="EH32" s="192" t="str">
        <v/>
      </c>
      <c r="EI32" s="192" t="str">
        <v/>
      </c>
      <c r="EJ32" s="192" t="str">
        <v/>
      </c>
      <c r="EK32" s="192" t="str">
        <v/>
      </c>
      <c r="EL32" s="192" t="str">
        <v/>
      </c>
      <c r="EM32" s="192" t="str">
        <v/>
      </c>
      <c r="EN32" s="192" t="str">
        <v/>
      </c>
      <c r="EO32" s="192" t="str">
        <v/>
      </c>
      <c r="EP32" s="192" t="str">
        <v/>
      </c>
      <c r="EQ32" s="192" t="str">
        <v/>
      </c>
      <c r="ER32" s="192" t="str">
        <v/>
      </c>
      <c r="ES32" s="192" t="str">
        <v/>
      </c>
      <c r="ET32" s="192" t="str">
        <v/>
      </c>
      <c r="EU32" s="192" t="str">
        <v/>
      </c>
      <c r="EV32" s="192" t="str">
        <v/>
      </c>
      <c r="EW32" s="192" t="str">
        <v/>
      </c>
      <c r="EX32" s="192" t="str">
        <v/>
      </c>
      <c r="EY32" s="192" t="str">
        <v/>
      </c>
      <c r="EZ32" s="192" t="str">
        <v/>
      </c>
      <c r="FA32" s="192" t="str">
        <v/>
      </c>
      <c r="FB32" s="192" t="str">
        <v/>
      </c>
      <c r="FC32" s="192" t="str">
        <v/>
      </c>
      <c r="FD32" s="192" t="str">
        <v/>
      </c>
      <c r="FE32" s="192" t="str">
        <v/>
      </c>
      <c r="FF32" s="192" t="str">
        <v/>
      </c>
      <c r="FG32" s="192" t="str">
        <v>duration_reps</v>
      </c>
      <c r="FH32" s="192" t="str">
        <v>duration_reps</v>
      </c>
      <c r="FI32" s="192" t="str">
        <v>duration_reps</v>
      </c>
      <c r="FJ32" s="192" t="str">
        <v>duration_reps</v>
      </c>
      <c r="FK32" s="192" t="str">
        <v>duration_reps</v>
      </c>
      <c r="FL32" s="192" t="str">
        <v>duration_reps</v>
      </c>
      <c r="FM32" s="192" t="str">
        <v>duration_reps</v>
      </c>
      <c r="FN32" s="192" t="str">
        <v>duration_reps</v>
      </c>
      <c r="FO32" s="192" t="str">
        <v>duration_reps</v>
      </c>
      <c r="FP32" s="192" t="str">
        <v>duration_reps</v>
      </c>
      <c r="FQ32" s="192" t="str">
        <v/>
      </c>
      <c r="FR32" s="192" t="str">
        <v/>
      </c>
      <c r="FS32" s="192" t="str">
        <v/>
      </c>
      <c r="FT32" s="192" t="str">
        <v/>
      </c>
      <c r="FU32" s="192" t="str">
        <v/>
      </c>
      <c r="FV32" s="192" t="str">
        <v/>
      </c>
      <c r="FW32" s="192" t="str">
        <v/>
      </c>
      <c r="FX32" s="192" t="str">
        <v/>
      </c>
      <c r="FY32" s="192" t="str">
        <v/>
      </c>
      <c r="FZ32" s="192" t="str">
        <v/>
      </c>
      <c r="GA32" s="192">
        <v>0</v>
      </c>
      <c r="GB32" s="192">
        <v>0</v>
      </c>
      <c r="GC32" s="192">
        <v>0</v>
      </c>
      <c r="GD32" s="192">
        <v>0</v>
      </c>
      <c r="GE32" s="192">
        <v>0</v>
      </c>
      <c r="GF32" s="192">
        <v>0</v>
      </c>
      <c r="GG32" s="192">
        <v>0</v>
      </c>
      <c r="GH32" s="192">
        <v>0</v>
      </c>
      <c r="GI32" s="192">
        <v>0</v>
      </c>
      <c r="GJ32" s="192">
        <v>0</v>
      </c>
      <c r="GK32" s="192">
        <v>0</v>
      </c>
      <c r="GL32" s="192">
        <v>0</v>
      </c>
      <c r="GM32" s="192">
        <v>0</v>
      </c>
      <c r="GN32" s="192">
        <v>0</v>
      </c>
      <c r="GO32" s="192">
        <v>0</v>
      </c>
      <c r="GP32" s="192" t="str">
        <v/>
      </c>
      <c r="GQ32" s="192" t="str">
        <v/>
      </c>
      <c r="GR32" s="192" t="str">
        <v/>
      </c>
      <c r="GS32" s="192" t="str">
        <v/>
      </c>
      <c r="GT32" s="192" t="str">
        <v/>
      </c>
      <c r="GU32" s="192" t="str">
        <v>duration_rest</v>
      </c>
      <c r="GV32" s="192" t="str">
        <v>duration_filler1</v>
      </c>
      <c r="GW32" s="192" t="str">
        <v>duration_easy</v>
      </c>
      <c r="GX32" s="192" t="str">
        <v>duration_steady</v>
      </c>
      <c r="GY32" s="192" t="str">
        <v>duration_long</v>
      </c>
      <c r="GZ32" s="192" t="str">
        <v/>
      </c>
      <c r="HA32" s="192" t="str">
        <v/>
      </c>
      <c r="HB32" s="192" t="str">
        <v>duration_filler2</v>
      </c>
      <c r="HC32" s="192" t="str">
        <v>duration_easy</v>
      </c>
      <c r="HD32" s="192" t="str">
        <v>duration_easy</v>
      </c>
      <c r="HE32" s="192" t="str">
        <v>duration_easy</v>
      </c>
      <c r="HF32" s="192" t="str">
        <v>duration_easy</v>
      </c>
      <c r="HG32" s="192" t="str">
        <v>duration_easy</v>
      </c>
      <c r="HH32" s="192" t="str">
        <v>duration_easy</v>
      </c>
      <c r="HI32" s="192" t="str">
        <v>duration_easy</v>
      </c>
      <c r="HJ32" s="192" t="str">
        <v>duration_steady</v>
      </c>
      <c r="HK32" s="192" t="str">
        <v>duration_steady</v>
      </c>
      <c r="HL32" s="192" t="str">
        <v>duration_long</v>
      </c>
      <c r="HM32" s="192" t="str">
        <v>duration_long</v>
      </c>
      <c r="HN32" s="192" t="str">
        <v>duration_long</v>
      </c>
      <c r="HO32" s="192" t="str">
        <v>duration_rest</v>
      </c>
      <c r="HP32" s="192" t="str">
        <v>duration_filler1</v>
      </c>
      <c r="HQ32" s="192" t="str">
        <v>duration_easy</v>
      </c>
      <c r="HR32" s="192" t="str">
        <v>duration_steady</v>
      </c>
      <c r="HS32" s="192" t="str">
        <v>duration_long</v>
      </c>
      <c r="HT32" s="192" t="str">
        <v/>
      </c>
      <c r="HU32" s="192" t="str">
        <v/>
      </c>
      <c r="HV32" s="192" t="str">
        <v>duration_filler2</v>
      </c>
      <c r="HW32" s="192" t="str">
        <v>duration_easy</v>
      </c>
      <c r="HX32" s="192" t="str">
        <v>duration_easy</v>
      </c>
      <c r="HY32" s="192" t="str">
        <v>duration_easy</v>
      </c>
      <c r="HZ32" s="192" t="str">
        <v>duration_easy</v>
      </c>
      <c r="IA32" s="192" t="str">
        <v>duration_easy</v>
      </c>
      <c r="IB32" s="192" t="str">
        <v>duration_easy</v>
      </c>
      <c r="IC32" s="192" t="str">
        <v>duration_easy</v>
      </c>
      <c r="ID32" s="192" t="str">
        <v>duration_steady</v>
      </c>
      <c r="IE32" s="192" t="str">
        <v>duration_steady</v>
      </c>
      <c r="IF32" s="192" t="str">
        <v>duration_long</v>
      </c>
      <c r="IG32" s="192" t="str">
        <v>duration_long</v>
      </c>
      <c r="IH32" s="192" t="str">
        <v>duration_long</v>
      </c>
      <c r="II32" s="192" t="str">
        <v>duration_easy</v>
      </c>
      <c r="IJ32" s="192" t="str">
        <v/>
      </c>
      <c r="IK32" s="192" t="str">
        <v/>
      </c>
      <c r="IL32" s="192" t="str">
        <v/>
      </c>
      <c r="IM32" s="192" t="str">
        <v/>
      </c>
      <c r="IN32" s="192" t="str">
        <v/>
      </c>
      <c r="IO32" s="192" t="str">
        <v/>
      </c>
      <c r="IP32" s="192" t="str">
        <v/>
      </c>
      <c r="IQ32" s="192" t="str">
        <v/>
      </c>
      <c r="IR32" s="192" t="str">
        <v/>
      </c>
      <c r="IS32" s="192" t="str">
        <v>duration_rest</v>
      </c>
      <c r="IT32" s="192" t="str">
        <v>duration_long</v>
      </c>
      <c r="IU32" s="192" t="str">
        <v>duration_long</v>
      </c>
      <c r="IV32" s="192" t="str">
        <v>duration_long</v>
      </c>
      <c r="IW32" s="192" t="str">
        <v>duration_long</v>
      </c>
      <c r="IX32" s="192" t="str">
        <v>duration_long</v>
      </c>
      <c r="IY32" s="192" t="str">
        <v>duration_long</v>
      </c>
      <c r="IZ32" s="192" t="str">
        <v>duration_easy</v>
      </c>
      <c r="JA32" s="192" t="str">
        <v/>
      </c>
      <c r="JB32" s="192" t="str">
        <v/>
      </c>
      <c r="JC32" s="192" t="str">
        <v/>
      </c>
      <c r="JD32" s="192" t="str">
        <v/>
      </c>
      <c r="JE32" s="192" t="str">
        <v/>
      </c>
      <c r="JF32" s="192" t="str">
        <v/>
      </c>
      <c r="JG32" s="192" t="str">
        <v/>
      </c>
      <c r="JH32" s="192" t="str">
        <v/>
      </c>
      <c r="JI32" s="192" t="str">
        <v/>
      </c>
      <c r="JJ32" s="192" t="str">
        <v/>
      </c>
      <c r="JK32" s="192" t="str">
        <v/>
      </c>
      <c r="JL32" s="192" t="str">
        <v/>
      </c>
      <c r="JM32" s="192" t="str">
        <v/>
      </c>
      <c r="JN32" s="192" t="str">
        <v/>
      </c>
      <c r="JO32" s="192" t="str">
        <v/>
      </c>
      <c r="JP32" s="192" t="str">
        <v/>
      </c>
      <c r="JQ32" s="192" t="str">
        <v/>
      </c>
      <c r="JR32" s="192" t="str">
        <v/>
      </c>
      <c r="JS32" s="192" t="str">
        <v/>
      </c>
      <c r="JT32" s="192" t="str">
        <v/>
      </c>
      <c r="JU32" s="192" t="str">
        <v/>
      </c>
      <c r="JV32" s="192" t="str">
        <v/>
      </c>
      <c r="JW32" s="192">
        <v>0</v>
      </c>
      <c r="JX32" s="192">
        <v>0</v>
      </c>
      <c r="JY32" s="192">
        <v>0</v>
      </c>
      <c r="JZ32" s="192">
        <v>0</v>
      </c>
      <c r="KA32" s="192">
        <v>0</v>
      </c>
      <c r="KB32" s="192">
        <v>0</v>
      </c>
      <c r="KC32" s="192">
        <v>0</v>
      </c>
      <c r="KD32" s="192">
        <v>0</v>
      </c>
      <c r="KE32" s="192">
        <v>0</v>
      </c>
      <c r="KF32" s="192">
        <v>0</v>
      </c>
      <c r="KG32" s="192">
        <v>0</v>
      </c>
      <c r="KH32" s="192">
        <v>0</v>
      </c>
      <c r="KI32" s="192">
        <v>0</v>
      </c>
      <c r="KJ32" s="192">
        <v>0</v>
      </c>
      <c r="KK32" s="192">
        <v>0</v>
      </c>
      <c r="KL32" s="192" t="str">
        <v/>
      </c>
      <c r="KM32" s="192" t="str">
        <v/>
      </c>
      <c r="KN32" s="192" t="str">
        <v/>
      </c>
      <c r="KO32" s="192" t="str">
        <v/>
      </c>
      <c r="KP32" s="901" t="str">
        <v/>
      </c>
      <c r="KQ32" s="699" t="s">
        <v>388</v>
      </c>
    </row>
    <row r="33" spans="1:303" s="184" customFormat="1" hidden="1" x14ac:dyDescent="0.45">
      <c r="A33" s="1742"/>
      <c r="B33" s="138" t="s">
        <v>307</v>
      </c>
      <c r="C33" s="193" t="str">
        <v/>
      </c>
      <c r="D33" s="193" t="str">
        <v/>
      </c>
      <c r="E33" s="193" t="str">
        <v/>
      </c>
      <c r="F33" s="193" t="str">
        <v/>
      </c>
      <c r="G33" s="193" t="str">
        <v/>
      </c>
      <c r="H33" s="193" t="str">
        <v/>
      </c>
      <c r="I33" s="193" t="str">
        <v/>
      </c>
      <c r="J33" s="193" t="str">
        <v/>
      </c>
      <c r="K33" s="193" t="str">
        <v>duration_easy</v>
      </c>
      <c r="L33" s="193" t="str">
        <v>duration_easy</v>
      </c>
      <c r="M33" s="193" t="str">
        <v>duration_easy</v>
      </c>
      <c r="N33" s="193" t="str">
        <v/>
      </c>
      <c r="O33" s="193" t="str">
        <v/>
      </c>
      <c r="P33" s="193" t="str">
        <v/>
      </c>
      <c r="Q33" s="193" t="str">
        <v/>
      </c>
      <c r="R33" s="193" t="str">
        <v/>
      </c>
      <c r="S33" s="193" t="str">
        <v/>
      </c>
      <c r="T33" s="193" t="str">
        <v/>
      </c>
      <c r="U33" s="193" t="str">
        <v/>
      </c>
      <c r="V33" s="193" t="str">
        <v/>
      </c>
      <c r="W33" s="193" t="str">
        <v/>
      </c>
      <c r="X33" s="193" t="str">
        <v/>
      </c>
      <c r="Y33" s="193" t="str">
        <v/>
      </c>
      <c r="Z33" s="193" t="str">
        <v/>
      </c>
      <c r="AA33" s="193" t="str">
        <v/>
      </c>
      <c r="AB33" s="193" t="str">
        <v>duration_filler2</v>
      </c>
      <c r="AC33" s="193" t="str">
        <v>duration_filler2</v>
      </c>
      <c r="AD33" s="193" t="str">
        <v>duration_filler2</v>
      </c>
      <c r="AE33" s="193" t="str">
        <v>duration_filler2</v>
      </c>
      <c r="AF33" s="193" t="str">
        <v>duration_filler2</v>
      </c>
      <c r="AG33" s="193" t="str">
        <v/>
      </c>
      <c r="AH33" s="193" t="str">
        <v/>
      </c>
      <c r="AI33" s="193" t="str">
        <v/>
      </c>
      <c r="AJ33" s="193" t="str">
        <v/>
      </c>
      <c r="AK33" s="193" t="str">
        <v/>
      </c>
      <c r="AL33" s="193" t="str">
        <v/>
      </c>
      <c r="AM33" s="193" t="str">
        <v/>
      </c>
      <c r="AN33" s="193" t="str">
        <v/>
      </c>
      <c r="AO33" s="193" t="str">
        <v/>
      </c>
      <c r="AP33" s="193" t="str">
        <v/>
      </c>
      <c r="AQ33" s="193" t="str">
        <v/>
      </c>
      <c r="AR33" s="193" t="str">
        <v/>
      </c>
      <c r="AS33" s="193" t="str">
        <v/>
      </c>
      <c r="AT33" s="193" t="str">
        <v/>
      </c>
      <c r="AU33" s="193" t="str">
        <v/>
      </c>
      <c r="AV33" s="193" t="str">
        <v/>
      </c>
      <c r="AW33" s="193" t="str">
        <v/>
      </c>
      <c r="AX33" s="193" t="str">
        <v/>
      </c>
      <c r="AY33" s="193" t="str">
        <v/>
      </c>
      <c r="AZ33" s="193" t="str">
        <v/>
      </c>
      <c r="BA33" s="193" t="str">
        <v/>
      </c>
      <c r="BB33" s="193" t="str">
        <v/>
      </c>
      <c r="BC33" s="193" t="str">
        <v/>
      </c>
      <c r="BD33" s="193" t="str">
        <v/>
      </c>
      <c r="BE33" s="193" t="str">
        <v/>
      </c>
      <c r="BF33" s="193" t="str">
        <v/>
      </c>
      <c r="BG33" s="193" t="str">
        <v/>
      </c>
      <c r="BH33" s="193" t="str">
        <v/>
      </c>
      <c r="BI33" s="193" t="str">
        <v/>
      </c>
      <c r="BJ33" s="193" t="str">
        <v/>
      </c>
      <c r="BK33" s="193" t="str">
        <v>duration_filler2</v>
      </c>
      <c r="BL33" s="193" t="str">
        <v>duration_filler2</v>
      </c>
      <c r="BM33" s="193" t="str">
        <v>duration_filler2</v>
      </c>
      <c r="BN33" s="193" t="str">
        <v>duration_filler2</v>
      </c>
      <c r="BO33" s="193" t="str">
        <v>duration_filler2</v>
      </c>
      <c r="BP33" s="193" t="str">
        <v>duration_filler2</v>
      </c>
      <c r="BQ33" s="193" t="str">
        <v>duration_filler2</v>
      </c>
      <c r="BR33" s="193" t="str">
        <v>duration_filler2</v>
      </c>
      <c r="BS33" s="193" t="str">
        <v>duration_filler2</v>
      </c>
      <c r="BT33" s="193" t="str">
        <v/>
      </c>
      <c r="BU33" s="193" t="str">
        <v/>
      </c>
      <c r="BV33" s="193" t="str">
        <v>duration_easy</v>
      </c>
      <c r="BW33" s="193" t="str">
        <v>duration_reps</v>
      </c>
      <c r="BX33" s="193" t="str">
        <v>duration_filler2</v>
      </c>
      <c r="BY33" s="193" t="str">
        <v>duration_reps</v>
      </c>
      <c r="BZ33" s="193" t="str">
        <v/>
      </c>
      <c r="CA33" s="193" t="str">
        <v>duration_maint</v>
      </c>
      <c r="CB33" s="193" t="str">
        <v>duration_strength</v>
      </c>
      <c r="CC33" s="193" t="str">
        <v/>
      </c>
      <c r="CD33" s="193" t="str">
        <v>duration_strength</v>
      </c>
      <c r="CE33" s="193" t="str">
        <v/>
      </c>
      <c r="CF33" s="193" t="str">
        <v/>
      </c>
      <c r="CG33" s="193" t="str">
        <v/>
      </c>
      <c r="CH33" s="193" t="str">
        <v/>
      </c>
      <c r="CI33" s="193" t="str">
        <v/>
      </c>
      <c r="CJ33" s="193" t="str">
        <v/>
      </c>
      <c r="CK33" s="193" t="str">
        <v/>
      </c>
      <c r="CL33" s="193" t="str">
        <v/>
      </c>
      <c r="CM33" s="193" t="str">
        <v/>
      </c>
      <c r="CN33" s="193" t="str">
        <v/>
      </c>
      <c r="CO33" s="193" t="str">
        <v/>
      </c>
      <c r="CP33" s="193" t="str">
        <v/>
      </c>
      <c r="CQ33" s="193" t="str">
        <v/>
      </c>
      <c r="CR33" s="193" t="str">
        <v/>
      </c>
      <c r="CS33" s="193" t="str">
        <v/>
      </c>
      <c r="CT33" s="193" t="str">
        <v/>
      </c>
      <c r="CU33" s="193" t="str">
        <v/>
      </c>
      <c r="CV33" s="193" t="str">
        <v/>
      </c>
      <c r="CW33" s="193" t="str">
        <v/>
      </c>
      <c r="CX33" s="193" t="str">
        <v/>
      </c>
      <c r="CY33" s="197" t="str">
        <v/>
      </c>
      <c r="CZ33" s="193" t="str">
        <v/>
      </c>
      <c r="DA33" s="193" t="str">
        <v/>
      </c>
      <c r="DB33" s="193" t="str">
        <v/>
      </c>
      <c r="DC33" s="193" t="str">
        <v/>
      </c>
      <c r="DD33" s="193" t="str">
        <v/>
      </c>
      <c r="DE33" s="193" t="str">
        <v/>
      </c>
      <c r="DF33" s="193" t="str">
        <v/>
      </c>
      <c r="DG33" s="193" t="str">
        <v/>
      </c>
      <c r="DH33" s="193" t="str">
        <v/>
      </c>
      <c r="DI33" s="193" t="str">
        <v/>
      </c>
      <c r="DJ33" s="193" t="str">
        <v/>
      </c>
      <c r="DK33" s="193" t="str">
        <v/>
      </c>
      <c r="DL33" s="193" t="str">
        <v/>
      </c>
      <c r="DM33" s="193" t="str">
        <v/>
      </c>
      <c r="DN33" s="193" t="str">
        <v/>
      </c>
      <c r="DO33" s="193" t="str">
        <v/>
      </c>
      <c r="DP33" s="193" t="str">
        <v/>
      </c>
      <c r="DQ33" s="193" t="str">
        <v/>
      </c>
      <c r="DR33" s="193" t="str">
        <v/>
      </c>
      <c r="DS33" s="193" t="str">
        <v/>
      </c>
      <c r="DT33" s="193" t="str">
        <v/>
      </c>
      <c r="DU33" s="193" t="str">
        <v/>
      </c>
      <c r="DV33" s="193" t="str">
        <v/>
      </c>
      <c r="DW33" s="193" t="str">
        <v/>
      </c>
      <c r="DX33" s="193" t="str">
        <v>duration_filler2</v>
      </c>
      <c r="DY33" s="193" t="str">
        <v>duration_filler2</v>
      </c>
      <c r="DZ33" s="193" t="str">
        <v>duration_filler2</v>
      </c>
      <c r="EA33" s="193" t="str">
        <v>duration_filler2</v>
      </c>
      <c r="EB33" s="193" t="str">
        <v>duration_filler2</v>
      </c>
      <c r="EC33" s="193" t="str">
        <v/>
      </c>
      <c r="ED33" s="193" t="str">
        <v/>
      </c>
      <c r="EE33" s="193" t="str">
        <v/>
      </c>
      <c r="EF33" s="193" t="str">
        <v/>
      </c>
      <c r="EG33" s="193" t="str">
        <v/>
      </c>
      <c r="EH33" s="193" t="str">
        <v/>
      </c>
      <c r="EI33" s="193" t="str">
        <v/>
      </c>
      <c r="EJ33" s="193" t="str">
        <v/>
      </c>
      <c r="EK33" s="193" t="str">
        <v/>
      </c>
      <c r="EL33" s="193" t="str">
        <v/>
      </c>
      <c r="EM33" s="193" t="str">
        <v/>
      </c>
      <c r="EN33" s="193" t="str">
        <v/>
      </c>
      <c r="EO33" s="193" t="str">
        <v/>
      </c>
      <c r="EP33" s="193" t="str">
        <v/>
      </c>
      <c r="EQ33" s="193" t="str">
        <v/>
      </c>
      <c r="ER33" s="193" t="str">
        <v/>
      </c>
      <c r="ES33" s="193" t="str">
        <v/>
      </c>
      <c r="ET33" s="193" t="str">
        <v/>
      </c>
      <c r="EU33" s="193" t="str">
        <v/>
      </c>
      <c r="EV33" s="193" t="str">
        <v/>
      </c>
      <c r="EW33" s="193" t="str">
        <v/>
      </c>
      <c r="EX33" s="193" t="str">
        <v/>
      </c>
      <c r="EY33" s="193" t="str">
        <v/>
      </c>
      <c r="EZ33" s="193" t="str">
        <v/>
      </c>
      <c r="FA33" s="193" t="str">
        <v/>
      </c>
      <c r="FB33" s="193" t="str">
        <v/>
      </c>
      <c r="FC33" s="193" t="str">
        <v/>
      </c>
      <c r="FD33" s="193" t="str">
        <v/>
      </c>
      <c r="FE33" s="193" t="str">
        <v/>
      </c>
      <c r="FF33" s="193" t="str">
        <v/>
      </c>
      <c r="FG33" s="193" t="str">
        <v/>
      </c>
      <c r="FH33" s="193" t="str">
        <v/>
      </c>
      <c r="FI33" s="193" t="str">
        <v/>
      </c>
      <c r="FJ33" s="193" t="str">
        <v/>
      </c>
      <c r="FK33" s="193" t="str">
        <v/>
      </c>
      <c r="FL33" s="193" t="str">
        <v/>
      </c>
      <c r="FM33" s="193" t="str">
        <v/>
      </c>
      <c r="FN33" s="193" t="str">
        <v>duration_steady</v>
      </c>
      <c r="FO33" s="193" t="str">
        <v/>
      </c>
      <c r="FP33" s="193" t="str">
        <v/>
      </c>
      <c r="FQ33" s="193" t="str">
        <v/>
      </c>
      <c r="FR33" s="193" t="str">
        <v/>
      </c>
      <c r="FS33" s="193" t="str">
        <v/>
      </c>
      <c r="FT33" s="193" t="str">
        <v/>
      </c>
      <c r="FU33" s="193" t="str">
        <v/>
      </c>
      <c r="FV33" s="193" t="str">
        <v/>
      </c>
      <c r="FW33" s="193" t="str">
        <v/>
      </c>
      <c r="FX33" s="193" t="str">
        <v/>
      </c>
      <c r="FY33" s="193" t="str">
        <v/>
      </c>
      <c r="FZ33" s="193" t="str">
        <v/>
      </c>
      <c r="GA33" s="193" t="str">
        <v/>
      </c>
      <c r="GB33" s="193" t="str">
        <v/>
      </c>
      <c r="GC33" s="193" t="str">
        <v/>
      </c>
      <c r="GD33" s="193" t="str">
        <v/>
      </c>
      <c r="GE33" s="193" t="str">
        <v/>
      </c>
      <c r="GF33" s="193" t="str">
        <v/>
      </c>
      <c r="GG33" s="193" t="str">
        <v/>
      </c>
      <c r="GH33" s="193" t="str">
        <v/>
      </c>
      <c r="GI33" s="193" t="str">
        <v/>
      </c>
      <c r="GJ33" s="193" t="str">
        <v/>
      </c>
      <c r="GK33" s="193" t="str">
        <v/>
      </c>
      <c r="GL33" s="193" t="str">
        <v/>
      </c>
      <c r="GM33" s="193" t="str">
        <v/>
      </c>
      <c r="GN33" s="193" t="str">
        <v/>
      </c>
      <c r="GO33" s="193" t="str">
        <v/>
      </c>
      <c r="GP33" s="193" t="str">
        <v/>
      </c>
      <c r="GQ33" s="193" t="str">
        <v/>
      </c>
      <c r="GR33" s="193" t="str">
        <v/>
      </c>
      <c r="GS33" s="193" t="str">
        <v/>
      </c>
      <c r="GT33" s="193" t="str">
        <v/>
      </c>
      <c r="GU33" s="193" t="str">
        <v/>
      </c>
      <c r="GV33" s="193" t="str">
        <v/>
      </c>
      <c r="GW33" s="193" t="str">
        <v/>
      </c>
      <c r="GX33" s="193" t="str">
        <v/>
      </c>
      <c r="GY33" s="193" t="str">
        <v/>
      </c>
      <c r="GZ33" s="193" t="str">
        <v/>
      </c>
      <c r="HA33" s="193" t="str">
        <v/>
      </c>
      <c r="HB33" s="193" t="str">
        <v/>
      </c>
      <c r="HC33" s="193" t="str">
        <v/>
      </c>
      <c r="HD33" s="193" t="str">
        <v/>
      </c>
      <c r="HE33" s="193" t="str">
        <v/>
      </c>
      <c r="HF33" s="193" t="str">
        <v/>
      </c>
      <c r="HG33" s="193" t="str">
        <v/>
      </c>
      <c r="HH33" s="193" t="str">
        <v/>
      </c>
      <c r="HI33" s="193" t="str">
        <v/>
      </c>
      <c r="HJ33" s="193" t="str">
        <v/>
      </c>
      <c r="HK33" s="193" t="str">
        <v/>
      </c>
      <c r="HL33" s="193" t="str">
        <v/>
      </c>
      <c r="HM33" s="193" t="str">
        <v/>
      </c>
      <c r="HN33" s="193" t="str">
        <v/>
      </c>
      <c r="HO33" s="193" t="str">
        <v/>
      </c>
      <c r="HP33" s="193" t="str">
        <v/>
      </c>
      <c r="HQ33" s="193" t="str">
        <v/>
      </c>
      <c r="HR33" s="193" t="str">
        <v/>
      </c>
      <c r="HS33" s="193" t="str">
        <v/>
      </c>
      <c r="HT33" s="193" t="str">
        <v/>
      </c>
      <c r="HU33" s="193" t="str">
        <v/>
      </c>
      <c r="HV33" s="193" t="str">
        <v/>
      </c>
      <c r="HW33" s="193" t="str">
        <v/>
      </c>
      <c r="HX33" s="193" t="str">
        <v/>
      </c>
      <c r="HY33" s="193" t="str">
        <v/>
      </c>
      <c r="HZ33" s="193" t="str">
        <v/>
      </c>
      <c r="IA33" s="193" t="str">
        <v/>
      </c>
      <c r="IB33" s="193" t="str">
        <v/>
      </c>
      <c r="IC33" s="193" t="str">
        <v/>
      </c>
      <c r="ID33" s="193" t="str">
        <v/>
      </c>
      <c r="IE33" s="193" t="str">
        <v/>
      </c>
      <c r="IF33" s="193" t="str">
        <v/>
      </c>
      <c r="IG33" s="193" t="str">
        <v/>
      </c>
      <c r="IH33" s="193" t="str">
        <v/>
      </c>
      <c r="II33" s="193" t="str">
        <v/>
      </c>
      <c r="IJ33" s="193" t="str">
        <v/>
      </c>
      <c r="IK33" s="193" t="str">
        <v/>
      </c>
      <c r="IL33" s="193" t="str">
        <v/>
      </c>
      <c r="IM33" s="193" t="str">
        <v/>
      </c>
      <c r="IN33" s="193" t="str">
        <v/>
      </c>
      <c r="IO33" s="193" t="str">
        <v/>
      </c>
      <c r="IP33" s="193" t="str">
        <v/>
      </c>
      <c r="IQ33" s="193" t="str">
        <v/>
      </c>
      <c r="IR33" s="193" t="str">
        <v/>
      </c>
      <c r="IS33" s="193" t="str">
        <v/>
      </c>
      <c r="IT33" s="193" t="str">
        <v/>
      </c>
      <c r="IU33" s="193" t="str">
        <v/>
      </c>
      <c r="IV33" s="193" t="str">
        <v/>
      </c>
      <c r="IW33" s="193" t="str">
        <v/>
      </c>
      <c r="IX33" s="193" t="str">
        <v/>
      </c>
      <c r="IY33" s="193" t="str">
        <v/>
      </c>
      <c r="IZ33" s="193" t="str">
        <v/>
      </c>
      <c r="JA33" s="193" t="str">
        <v/>
      </c>
      <c r="JB33" s="193" t="str">
        <v/>
      </c>
      <c r="JC33" s="193" t="str">
        <v/>
      </c>
      <c r="JD33" s="193" t="str">
        <v/>
      </c>
      <c r="JE33" s="193" t="str">
        <v/>
      </c>
      <c r="JF33" s="193" t="str">
        <v/>
      </c>
      <c r="JG33" s="193" t="str">
        <v/>
      </c>
      <c r="JH33" s="193" t="str">
        <v/>
      </c>
      <c r="JI33" s="193" t="str">
        <v/>
      </c>
      <c r="JJ33" s="193" t="str">
        <v/>
      </c>
      <c r="JK33" s="193" t="str">
        <v/>
      </c>
      <c r="JL33" s="193" t="str">
        <v/>
      </c>
      <c r="JM33" s="193" t="str">
        <v/>
      </c>
      <c r="JN33" s="193" t="str">
        <v/>
      </c>
      <c r="JO33" s="193" t="str">
        <v/>
      </c>
      <c r="JP33" s="193" t="str">
        <v/>
      </c>
      <c r="JQ33" s="193" t="str">
        <v/>
      </c>
      <c r="JR33" s="193" t="str">
        <v/>
      </c>
      <c r="JS33" s="193" t="str">
        <v/>
      </c>
      <c r="JT33" s="193" t="str">
        <v/>
      </c>
      <c r="JU33" s="193" t="str">
        <v/>
      </c>
      <c r="JV33" s="193" t="str">
        <v/>
      </c>
      <c r="JW33" s="193" t="str">
        <v/>
      </c>
      <c r="JX33" s="193" t="str">
        <v/>
      </c>
      <c r="JY33" s="193" t="str">
        <v/>
      </c>
      <c r="JZ33" s="193" t="str">
        <v/>
      </c>
      <c r="KA33" s="193" t="str">
        <v/>
      </c>
      <c r="KB33" s="193" t="str">
        <v/>
      </c>
      <c r="KC33" s="193" t="str">
        <v/>
      </c>
      <c r="KD33" s="193" t="str">
        <v/>
      </c>
      <c r="KE33" s="193" t="str">
        <v/>
      </c>
      <c r="KF33" s="193" t="str">
        <v/>
      </c>
      <c r="KG33" s="193" t="str">
        <v/>
      </c>
      <c r="KH33" s="193" t="str">
        <v/>
      </c>
      <c r="KI33" s="193" t="str">
        <v/>
      </c>
      <c r="KJ33" s="193" t="str">
        <v/>
      </c>
      <c r="KK33" s="193" t="str">
        <v/>
      </c>
      <c r="KL33" s="193" t="str">
        <v/>
      </c>
      <c r="KM33" s="193" t="str">
        <v/>
      </c>
      <c r="KN33" s="193" t="str">
        <v/>
      </c>
      <c r="KO33" s="193" t="str">
        <v/>
      </c>
      <c r="KP33" s="900" t="str">
        <v/>
      </c>
      <c r="KQ33" s="699" t="s">
        <v>388</v>
      </c>
    </row>
    <row r="34" spans="1:303" s="184" customFormat="1" hidden="1" x14ac:dyDescent="0.45">
      <c r="A34" s="1743"/>
      <c r="B34" s="143" t="s">
        <v>308</v>
      </c>
      <c r="C34" s="194" t="str">
        <v/>
      </c>
      <c r="D34" s="194" t="str">
        <v/>
      </c>
      <c r="E34" s="194" t="str">
        <v/>
      </c>
      <c r="F34" s="194" t="str">
        <v/>
      </c>
      <c r="G34" s="194" t="str">
        <v/>
      </c>
      <c r="H34" s="194" t="str">
        <v/>
      </c>
      <c r="I34" s="194" t="str">
        <v/>
      </c>
      <c r="J34" s="194" t="str">
        <v/>
      </c>
      <c r="K34" s="194" t="str">
        <v/>
      </c>
      <c r="L34" s="194" t="str">
        <v/>
      </c>
      <c r="M34" s="194" t="str">
        <v/>
      </c>
      <c r="N34" s="194" t="str">
        <v/>
      </c>
      <c r="O34" s="194" t="str">
        <v/>
      </c>
      <c r="P34" s="194" t="str">
        <v/>
      </c>
      <c r="Q34" s="194" t="str">
        <v/>
      </c>
      <c r="R34" s="194" t="str">
        <v/>
      </c>
      <c r="S34" s="194" t="str">
        <v/>
      </c>
      <c r="T34" s="194" t="str">
        <v/>
      </c>
      <c r="U34" s="194" t="str">
        <v/>
      </c>
      <c r="V34" s="194" t="str">
        <v/>
      </c>
      <c r="W34" s="194" t="str">
        <v/>
      </c>
      <c r="X34" s="194" t="str">
        <v/>
      </c>
      <c r="Y34" s="194" t="str">
        <v/>
      </c>
      <c r="Z34" s="194" t="str">
        <v/>
      </c>
      <c r="AA34" s="194" t="str">
        <v/>
      </c>
      <c r="AB34" s="194" t="str">
        <v/>
      </c>
      <c r="AC34" s="194" t="str">
        <v/>
      </c>
      <c r="AD34" s="194" t="str">
        <v/>
      </c>
      <c r="AE34" s="194" t="str">
        <v/>
      </c>
      <c r="AF34" s="194" t="str">
        <v/>
      </c>
      <c r="AG34" s="194" t="str">
        <v/>
      </c>
      <c r="AH34" s="194" t="str">
        <v/>
      </c>
      <c r="AI34" s="194" t="str">
        <v/>
      </c>
      <c r="AJ34" s="194" t="str">
        <v/>
      </c>
      <c r="AK34" s="194" t="str">
        <v/>
      </c>
      <c r="AL34" s="194" t="str">
        <v/>
      </c>
      <c r="AM34" s="194" t="str">
        <v/>
      </c>
      <c r="AN34" s="194" t="str">
        <v/>
      </c>
      <c r="AO34" s="194" t="str">
        <v/>
      </c>
      <c r="AP34" s="194" t="str">
        <v/>
      </c>
      <c r="AQ34" s="194" t="str">
        <v/>
      </c>
      <c r="AR34" s="194" t="str">
        <v/>
      </c>
      <c r="AS34" s="194" t="str">
        <v/>
      </c>
      <c r="AT34" s="194" t="str">
        <v/>
      </c>
      <c r="AU34" s="194" t="str">
        <v/>
      </c>
      <c r="AV34" s="194" t="str">
        <v/>
      </c>
      <c r="AW34" s="194" t="str">
        <v/>
      </c>
      <c r="AX34" s="194" t="str">
        <v/>
      </c>
      <c r="AY34" s="194" t="str">
        <v/>
      </c>
      <c r="AZ34" s="194" t="str">
        <v/>
      </c>
      <c r="BA34" s="194" t="str">
        <v/>
      </c>
      <c r="BB34" s="194" t="str">
        <v/>
      </c>
      <c r="BC34" s="194" t="str">
        <v/>
      </c>
      <c r="BD34" s="194" t="str">
        <v/>
      </c>
      <c r="BE34" s="194" t="str">
        <v/>
      </c>
      <c r="BF34" s="194" t="str">
        <v/>
      </c>
      <c r="BG34" s="194" t="str">
        <v/>
      </c>
      <c r="BH34" s="194" t="str">
        <v/>
      </c>
      <c r="BI34" s="194" t="str">
        <v/>
      </c>
      <c r="BJ34" s="194" t="str">
        <v/>
      </c>
      <c r="BK34" s="194" t="str">
        <v/>
      </c>
      <c r="BL34" s="194" t="str">
        <v/>
      </c>
      <c r="BM34" s="194" t="str">
        <v/>
      </c>
      <c r="BN34" s="194" t="str">
        <v/>
      </c>
      <c r="BO34" s="194" t="str">
        <v/>
      </c>
      <c r="BP34" s="194" t="str">
        <v/>
      </c>
      <c r="BQ34" s="194" t="str">
        <v/>
      </c>
      <c r="BR34" s="194" t="str">
        <v/>
      </c>
      <c r="BS34" s="194" t="str">
        <v/>
      </c>
      <c r="BT34" s="194" t="str">
        <v/>
      </c>
      <c r="BU34" s="194" t="str">
        <v/>
      </c>
      <c r="BV34" s="194" t="str">
        <v/>
      </c>
      <c r="BW34" s="194" t="str">
        <v/>
      </c>
      <c r="BX34" s="194" t="str">
        <v/>
      </c>
      <c r="BY34" s="194" t="str">
        <v>duration_filler2</v>
      </c>
      <c r="BZ34" s="194" t="str">
        <v/>
      </c>
      <c r="CA34" s="194" t="str">
        <v/>
      </c>
      <c r="CB34" s="194" t="str">
        <v>duration_maint</v>
      </c>
      <c r="CC34" s="194" t="str">
        <v/>
      </c>
      <c r="CD34" s="194" t="str">
        <v/>
      </c>
      <c r="CE34" s="194" t="str">
        <v/>
      </c>
      <c r="CF34" s="194" t="str">
        <v/>
      </c>
      <c r="CG34" s="194" t="str">
        <v/>
      </c>
      <c r="CH34" s="194" t="str">
        <v/>
      </c>
      <c r="CI34" s="194" t="str">
        <v/>
      </c>
      <c r="CJ34" s="194" t="str">
        <v/>
      </c>
      <c r="CK34" s="194" t="str">
        <v/>
      </c>
      <c r="CL34" s="194" t="str">
        <v/>
      </c>
      <c r="CM34" s="194" t="str">
        <v/>
      </c>
      <c r="CN34" s="194" t="str">
        <v/>
      </c>
      <c r="CO34" s="194" t="str">
        <v/>
      </c>
      <c r="CP34" s="194" t="str">
        <v/>
      </c>
      <c r="CQ34" s="194" t="str">
        <v/>
      </c>
      <c r="CR34" s="194" t="str">
        <v/>
      </c>
      <c r="CS34" s="194" t="str">
        <v/>
      </c>
      <c r="CT34" s="194" t="str">
        <v/>
      </c>
      <c r="CU34" s="194" t="str">
        <v/>
      </c>
      <c r="CV34" s="194" t="str">
        <v/>
      </c>
      <c r="CW34" s="194" t="str">
        <v/>
      </c>
      <c r="CX34" s="194" t="str">
        <v/>
      </c>
      <c r="CY34" s="874" t="str">
        <v/>
      </c>
      <c r="CZ34" s="194" t="str">
        <v/>
      </c>
      <c r="DA34" s="194" t="str">
        <v/>
      </c>
      <c r="DB34" s="194" t="str">
        <v/>
      </c>
      <c r="DC34" s="194" t="str">
        <v/>
      </c>
      <c r="DD34" s="194" t="str">
        <v/>
      </c>
      <c r="DE34" s="194" t="str">
        <v/>
      </c>
      <c r="DF34" s="194" t="str">
        <v/>
      </c>
      <c r="DG34" s="194" t="str">
        <v/>
      </c>
      <c r="DH34" s="194" t="str">
        <v/>
      </c>
      <c r="DI34" s="194" t="str">
        <v/>
      </c>
      <c r="DJ34" s="194" t="str">
        <v/>
      </c>
      <c r="DK34" s="194" t="str">
        <v/>
      </c>
      <c r="DL34" s="194" t="str">
        <v/>
      </c>
      <c r="DM34" s="194" t="str">
        <v/>
      </c>
      <c r="DN34" s="194" t="str">
        <v/>
      </c>
      <c r="DO34" s="194" t="str">
        <v/>
      </c>
      <c r="DP34" s="194" t="str">
        <v/>
      </c>
      <c r="DQ34" s="194" t="str">
        <v/>
      </c>
      <c r="DR34" s="194" t="str">
        <v/>
      </c>
      <c r="DS34" s="194" t="str">
        <v/>
      </c>
      <c r="DT34" s="194" t="str">
        <v/>
      </c>
      <c r="DU34" s="194" t="str">
        <v/>
      </c>
      <c r="DV34" s="194" t="str">
        <v/>
      </c>
      <c r="DW34" s="194" t="str">
        <v/>
      </c>
      <c r="DX34" s="194" t="str">
        <v/>
      </c>
      <c r="DY34" s="194" t="str">
        <v/>
      </c>
      <c r="DZ34" s="194" t="str">
        <v/>
      </c>
      <c r="EA34" s="194" t="str">
        <v/>
      </c>
      <c r="EB34" s="194" t="str">
        <v/>
      </c>
      <c r="EC34" s="194" t="str">
        <v/>
      </c>
      <c r="ED34" s="194" t="str">
        <v/>
      </c>
      <c r="EE34" s="194" t="str">
        <v/>
      </c>
      <c r="EF34" s="194" t="str">
        <v/>
      </c>
      <c r="EG34" s="194" t="str">
        <v/>
      </c>
      <c r="EH34" s="194" t="str">
        <v/>
      </c>
      <c r="EI34" s="194" t="str">
        <v/>
      </c>
      <c r="EJ34" s="194" t="str">
        <v/>
      </c>
      <c r="EK34" s="194" t="str">
        <v/>
      </c>
      <c r="EL34" s="194" t="str">
        <v/>
      </c>
      <c r="EM34" s="194" t="str">
        <v/>
      </c>
      <c r="EN34" s="194" t="str">
        <v/>
      </c>
      <c r="EO34" s="194" t="str">
        <v/>
      </c>
      <c r="EP34" s="194" t="str">
        <v/>
      </c>
      <c r="EQ34" s="194" t="str">
        <v/>
      </c>
      <c r="ER34" s="194" t="str">
        <v/>
      </c>
      <c r="ES34" s="194" t="str">
        <v/>
      </c>
      <c r="ET34" s="194" t="str">
        <v/>
      </c>
      <c r="EU34" s="194" t="str">
        <v/>
      </c>
      <c r="EV34" s="194" t="str">
        <v/>
      </c>
      <c r="EW34" s="194" t="str">
        <v/>
      </c>
      <c r="EX34" s="194" t="str">
        <v/>
      </c>
      <c r="EY34" s="194" t="str">
        <v/>
      </c>
      <c r="EZ34" s="194" t="str">
        <v/>
      </c>
      <c r="FA34" s="194" t="str">
        <v/>
      </c>
      <c r="FB34" s="194" t="str">
        <v/>
      </c>
      <c r="FC34" s="194" t="str">
        <v/>
      </c>
      <c r="FD34" s="194" t="str">
        <v/>
      </c>
      <c r="FE34" s="194" t="str">
        <v/>
      </c>
      <c r="FF34" s="194" t="str">
        <v/>
      </c>
      <c r="FG34" s="194" t="str">
        <v/>
      </c>
      <c r="FH34" s="194" t="str">
        <v/>
      </c>
      <c r="FI34" s="194" t="str">
        <v/>
      </c>
      <c r="FJ34" s="194" t="str">
        <v/>
      </c>
      <c r="FK34" s="194" t="str">
        <v/>
      </c>
      <c r="FL34" s="194" t="str">
        <v/>
      </c>
      <c r="FM34" s="194" t="str">
        <v/>
      </c>
      <c r="FN34" s="194" t="str">
        <v/>
      </c>
      <c r="FO34" s="194" t="str">
        <v/>
      </c>
      <c r="FP34" s="194" t="str">
        <v/>
      </c>
      <c r="FQ34" s="194" t="str">
        <v/>
      </c>
      <c r="FR34" s="194" t="str">
        <v/>
      </c>
      <c r="FS34" s="194" t="str">
        <v/>
      </c>
      <c r="FT34" s="194" t="str">
        <v/>
      </c>
      <c r="FU34" s="194" t="str">
        <v/>
      </c>
      <c r="FV34" s="194" t="str">
        <v/>
      </c>
      <c r="FW34" s="194" t="str">
        <v/>
      </c>
      <c r="FX34" s="194" t="str">
        <v/>
      </c>
      <c r="FY34" s="194" t="str">
        <v/>
      </c>
      <c r="FZ34" s="194" t="str">
        <v/>
      </c>
      <c r="GA34" s="194" t="str">
        <v/>
      </c>
      <c r="GB34" s="194" t="str">
        <v/>
      </c>
      <c r="GC34" s="194" t="str">
        <v/>
      </c>
      <c r="GD34" s="194" t="str">
        <v/>
      </c>
      <c r="GE34" s="194" t="str">
        <v/>
      </c>
      <c r="GF34" s="194" t="str">
        <v/>
      </c>
      <c r="GG34" s="194" t="str">
        <v/>
      </c>
      <c r="GH34" s="194" t="str">
        <v/>
      </c>
      <c r="GI34" s="194" t="str">
        <v/>
      </c>
      <c r="GJ34" s="194" t="str">
        <v/>
      </c>
      <c r="GK34" s="194" t="str">
        <v/>
      </c>
      <c r="GL34" s="194" t="str">
        <v/>
      </c>
      <c r="GM34" s="194" t="str">
        <v/>
      </c>
      <c r="GN34" s="194" t="str">
        <v/>
      </c>
      <c r="GO34" s="194" t="str">
        <v/>
      </c>
      <c r="GP34" s="194" t="str">
        <v/>
      </c>
      <c r="GQ34" s="194" t="str">
        <v/>
      </c>
      <c r="GR34" s="194" t="str">
        <v/>
      </c>
      <c r="GS34" s="194" t="str">
        <v/>
      </c>
      <c r="GT34" s="194" t="str">
        <v/>
      </c>
      <c r="GU34" s="194" t="str">
        <v/>
      </c>
      <c r="GV34" s="194" t="str">
        <v/>
      </c>
      <c r="GW34" s="194" t="str">
        <v/>
      </c>
      <c r="GX34" s="194" t="str">
        <v/>
      </c>
      <c r="GY34" s="194" t="str">
        <v/>
      </c>
      <c r="GZ34" s="194" t="str">
        <v/>
      </c>
      <c r="HA34" s="194" t="str">
        <v/>
      </c>
      <c r="HB34" s="194" t="str">
        <v/>
      </c>
      <c r="HC34" s="194" t="str">
        <v/>
      </c>
      <c r="HD34" s="194" t="str">
        <v/>
      </c>
      <c r="HE34" s="194" t="str">
        <v/>
      </c>
      <c r="HF34" s="194" t="str">
        <v/>
      </c>
      <c r="HG34" s="194" t="str">
        <v/>
      </c>
      <c r="HH34" s="194" t="str">
        <v/>
      </c>
      <c r="HI34" s="194" t="str">
        <v/>
      </c>
      <c r="HJ34" s="194" t="str">
        <v/>
      </c>
      <c r="HK34" s="194" t="str">
        <v/>
      </c>
      <c r="HL34" s="194" t="str">
        <v/>
      </c>
      <c r="HM34" s="194" t="str">
        <v/>
      </c>
      <c r="HN34" s="194" t="str">
        <v/>
      </c>
      <c r="HO34" s="194" t="str">
        <v/>
      </c>
      <c r="HP34" s="194" t="str">
        <v/>
      </c>
      <c r="HQ34" s="194" t="str">
        <v/>
      </c>
      <c r="HR34" s="194" t="str">
        <v/>
      </c>
      <c r="HS34" s="194" t="str">
        <v/>
      </c>
      <c r="HT34" s="194" t="str">
        <v/>
      </c>
      <c r="HU34" s="194" t="str">
        <v/>
      </c>
      <c r="HV34" s="194" t="str">
        <v/>
      </c>
      <c r="HW34" s="194" t="str">
        <v/>
      </c>
      <c r="HX34" s="194" t="str">
        <v/>
      </c>
      <c r="HY34" s="194" t="str">
        <v/>
      </c>
      <c r="HZ34" s="194" t="str">
        <v/>
      </c>
      <c r="IA34" s="194" t="str">
        <v/>
      </c>
      <c r="IB34" s="194" t="str">
        <v/>
      </c>
      <c r="IC34" s="194" t="str">
        <v/>
      </c>
      <c r="ID34" s="194" t="str">
        <v/>
      </c>
      <c r="IE34" s="194" t="str">
        <v/>
      </c>
      <c r="IF34" s="194" t="str">
        <v/>
      </c>
      <c r="IG34" s="194" t="str">
        <v/>
      </c>
      <c r="IH34" s="194" t="str">
        <v/>
      </c>
      <c r="II34" s="194" t="str">
        <v/>
      </c>
      <c r="IJ34" s="194" t="str">
        <v/>
      </c>
      <c r="IK34" s="194" t="str">
        <v/>
      </c>
      <c r="IL34" s="194" t="str">
        <v/>
      </c>
      <c r="IM34" s="194" t="str">
        <v/>
      </c>
      <c r="IN34" s="194" t="str">
        <v/>
      </c>
      <c r="IO34" s="194" t="str">
        <v/>
      </c>
      <c r="IP34" s="194" t="str">
        <v/>
      </c>
      <c r="IQ34" s="194" t="str">
        <v/>
      </c>
      <c r="IR34" s="194" t="str">
        <v/>
      </c>
      <c r="IS34" s="194" t="str">
        <v/>
      </c>
      <c r="IT34" s="194" t="str">
        <v/>
      </c>
      <c r="IU34" s="194" t="str">
        <v/>
      </c>
      <c r="IV34" s="194" t="str">
        <v/>
      </c>
      <c r="IW34" s="194" t="str">
        <v/>
      </c>
      <c r="IX34" s="194" t="str">
        <v/>
      </c>
      <c r="IY34" s="194" t="str">
        <v/>
      </c>
      <c r="IZ34" s="194" t="str">
        <v/>
      </c>
      <c r="JA34" s="194" t="str">
        <v/>
      </c>
      <c r="JB34" s="194" t="str">
        <v/>
      </c>
      <c r="JC34" s="194" t="str">
        <v/>
      </c>
      <c r="JD34" s="194" t="str">
        <v/>
      </c>
      <c r="JE34" s="194" t="str">
        <v/>
      </c>
      <c r="JF34" s="194" t="str">
        <v/>
      </c>
      <c r="JG34" s="194" t="str">
        <v/>
      </c>
      <c r="JH34" s="194" t="str">
        <v/>
      </c>
      <c r="JI34" s="194" t="str">
        <v/>
      </c>
      <c r="JJ34" s="194" t="str">
        <v/>
      </c>
      <c r="JK34" s="194" t="str">
        <v/>
      </c>
      <c r="JL34" s="194" t="str">
        <v/>
      </c>
      <c r="JM34" s="194" t="str">
        <v/>
      </c>
      <c r="JN34" s="194" t="str">
        <v/>
      </c>
      <c r="JO34" s="194" t="str">
        <v/>
      </c>
      <c r="JP34" s="194" t="str">
        <v/>
      </c>
      <c r="JQ34" s="194" t="str">
        <v/>
      </c>
      <c r="JR34" s="194" t="str">
        <v/>
      </c>
      <c r="JS34" s="194" t="str">
        <v/>
      </c>
      <c r="JT34" s="194" t="str">
        <v/>
      </c>
      <c r="JU34" s="194" t="str">
        <v/>
      </c>
      <c r="JV34" s="194" t="str">
        <v/>
      </c>
      <c r="JW34" s="194" t="str">
        <v/>
      </c>
      <c r="JX34" s="194" t="str">
        <v/>
      </c>
      <c r="JY34" s="194" t="str">
        <v/>
      </c>
      <c r="JZ34" s="194" t="str">
        <v/>
      </c>
      <c r="KA34" s="194" t="str">
        <v/>
      </c>
      <c r="KB34" s="194" t="str">
        <v/>
      </c>
      <c r="KC34" s="194" t="str">
        <v/>
      </c>
      <c r="KD34" s="194" t="str">
        <v/>
      </c>
      <c r="KE34" s="194" t="str">
        <v/>
      </c>
      <c r="KF34" s="194" t="str">
        <v/>
      </c>
      <c r="KG34" s="194" t="str">
        <v/>
      </c>
      <c r="KH34" s="194" t="str">
        <v/>
      </c>
      <c r="KI34" s="194" t="str">
        <v/>
      </c>
      <c r="KJ34" s="194" t="str">
        <v/>
      </c>
      <c r="KK34" s="194" t="str">
        <v/>
      </c>
      <c r="KL34" s="194" t="str">
        <v/>
      </c>
      <c r="KM34" s="194" t="str">
        <v/>
      </c>
      <c r="KN34" s="194" t="str">
        <v/>
      </c>
      <c r="KO34" s="194" t="str">
        <v/>
      </c>
      <c r="KP34" s="902" t="str">
        <v/>
      </c>
      <c r="KQ34" s="699" t="s">
        <v>388</v>
      </c>
    </row>
    <row r="35" spans="1:303" s="184" customFormat="1" hidden="1" x14ac:dyDescent="0.45">
      <c r="A35" s="1747" t="s">
        <v>497</v>
      </c>
      <c r="B35" s="142" t="s">
        <v>306</v>
      </c>
      <c r="C35" s="983" t="str">
        <f t="array" ref="C35:KP37">IFERROR(MATCH(sessions_intervals_selection,intervals_name,0),"")</f>
        <v/>
      </c>
      <c r="D35" s="984" t="str">
        <v/>
      </c>
      <c r="E35" s="984" t="str">
        <v/>
      </c>
      <c r="F35" s="984" t="str">
        <v/>
      </c>
      <c r="G35" s="984" t="str">
        <v/>
      </c>
      <c r="H35" s="984" t="str">
        <v/>
      </c>
      <c r="I35" s="984" t="str">
        <v/>
      </c>
      <c r="J35" s="984" t="str">
        <v/>
      </c>
      <c r="K35" s="984" t="str">
        <v/>
      </c>
      <c r="L35" s="984" t="str">
        <v/>
      </c>
      <c r="M35" s="984" t="str">
        <v/>
      </c>
      <c r="N35" s="984" t="str">
        <v/>
      </c>
      <c r="O35" s="984" t="str">
        <v/>
      </c>
      <c r="P35" s="984" t="str">
        <v/>
      </c>
      <c r="Q35" s="984" t="str">
        <v/>
      </c>
      <c r="R35" s="984" t="str">
        <v/>
      </c>
      <c r="S35" s="984" t="str">
        <v/>
      </c>
      <c r="T35" s="984" t="str">
        <v/>
      </c>
      <c r="U35" s="984" t="str">
        <v/>
      </c>
      <c r="V35" s="984" t="str">
        <v/>
      </c>
      <c r="W35" s="984" t="str">
        <v/>
      </c>
      <c r="X35" s="984" t="str">
        <v/>
      </c>
      <c r="Y35" s="984" t="str">
        <v/>
      </c>
      <c r="Z35" s="984" t="str">
        <v/>
      </c>
      <c r="AA35" s="984" t="str">
        <v/>
      </c>
      <c r="AB35" s="984" t="str">
        <v/>
      </c>
      <c r="AC35" s="984" t="str">
        <v/>
      </c>
      <c r="AD35" s="984" t="str">
        <v/>
      </c>
      <c r="AE35" s="984" t="str">
        <v/>
      </c>
      <c r="AF35" s="984" t="str">
        <v/>
      </c>
      <c r="AG35" s="984" t="str">
        <v/>
      </c>
      <c r="AH35" s="984" t="str">
        <v/>
      </c>
      <c r="AI35" s="984" t="str">
        <v/>
      </c>
      <c r="AJ35" s="984" t="str">
        <v/>
      </c>
      <c r="AK35" s="984" t="str">
        <v/>
      </c>
      <c r="AL35" s="984" t="str">
        <v/>
      </c>
      <c r="AM35" s="984" t="str">
        <v/>
      </c>
      <c r="AN35" s="984" t="str">
        <v/>
      </c>
      <c r="AO35" s="984" t="str">
        <v/>
      </c>
      <c r="AP35" s="984" t="str">
        <v/>
      </c>
      <c r="AQ35" s="984">
        <v>9</v>
      </c>
      <c r="AR35" s="984">
        <v>10</v>
      </c>
      <c r="AS35" s="984">
        <v>11</v>
      </c>
      <c r="AT35" s="984">
        <v>12</v>
      </c>
      <c r="AU35" s="984">
        <v>13</v>
      </c>
      <c r="AV35" s="984">
        <v>14</v>
      </c>
      <c r="AW35" s="984">
        <v>15</v>
      </c>
      <c r="AX35" s="984">
        <v>16</v>
      </c>
      <c r="AY35" s="984">
        <v>17</v>
      </c>
      <c r="AZ35" s="984">
        <v>18</v>
      </c>
      <c r="BA35" s="984">
        <v>19</v>
      </c>
      <c r="BB35" s="984" t="str">
        <v/>
      </c>
      <c r="BC35" s="984" t="str">
        <v/>
      </c>
      <c r="BD35" s="984" t="str">
        <v/>
      </c>
      <c r="BE35" s="984" t="str">
        <v/>
      </c>
      <c r="BF35" s="984" t="str">
        <v/>
      </c>
      <c r="BG35" s="984" t="str">
        <v/>
      </c>
      <c r="BH35" s="984" t="str">
        <v/>
      </c>
      <c r="BI35" s="984" t="str">
        <v/>
      </c>
      <c r="BJ35" s="984" t="str">
        <v/>
      </c>
      <c r="BK35" s="984">
        <v>21</v>
      </c>
      <c r="BL35" s="984">
        <v>22</v>
      </c>
      <c r="BM35" s="984">
        <v>23</v>
      </c>
      <c r="BN35" s="984">
        <v>25</v>
      </c>
      <c r="BO35" s="984">
        <v>26</v>
      </c>
      <c r="BP35" s="984">
        <v>27</v>
      </c>
      <c r="BQ35" s="984">
        <v>28</v>
      </c>
      <c r="BR35" s="984">
        <v>29</v>
      </c>
      <c r="BS35" s="984">
        <v>30</v>
      </c>
      <c r="BT35" s="984" t="str">
        <v/>
      </c>
      <c r="BU35" s="984" t="str">
        <v/>
      </c>
      <c r="BV35" s="984" t="str">
        <v/>
      </c>
      <c r="BW35" s="984" t="str">
        <v/>
      </c>
      <c r="BX35" s="984" t="str">
        <v/>
      </c>
      <c r="BY35" s="984" t="str">
        <v/>
      </c>
      <c r="BZ35" s="984" t="str">
        <v/>
      </c>
      <c r="CA35" s="984" t="str">
        <v/>
      </c>
      <c r="CB35" s="984" t="str">
        <v/>
      </c>
      <c r="CC35" s="984" t="str">
        <v/>
      </c>
      <c r="CD35" s="984" t="str">
        <v/>
      </c>
      <c r="CE35" s="984" t="str">
        <v/>
      </c>
      <c r="CF35" s="984" t="str">
        <v/>
      </c>
      <c r="CG35" s="984" t="str">
        <v/>
      </c>
      <c r="CH35" s="984" t="str">
        <v/>
      </c>
      <c r="CI35" s="984" t="str">
        <v/>
      </c>
      <c r="CJ35" s="984" t="str">
        <v/>
      </c>
      <c r="CK35" s="984" t="str">
        <v/>
      </c>
      <c r="CL35" s="984" t="str">
        <v/>
      </c>
      <c r="CM35" s="984" t="str">
        <v/>
      </c>
      <c r="CN35" s="984" t="str">
        <v/>
      </c>
      <c r="CO35" s="984" t="str">
        <v/>
      </c>
      <c r="CP35" s="984" t="str">
        <v/>
      </c>
      <c r="CQ35" s="984" t="str">
        <v/>
      </c>
      <c r="CR35" s="984" t="str">
        <v/>
      </c>
      <c r="CS35" s="984" t="str">
        <v/>
      </c>
      <c r="CT35" s="984" t="str">
        <v/>
      </c>
      <c r="CU35" s="984" t="str">
        <v/>
      </c>
      <c r="CV35" s="984" t="str">
        <v/>
      </c>
      <c r="CW35" s="984" t="str">
        <v/>
      </c>
      <c r="CX35" s="984" t="str">
        <v/>
      </c>
      <c r="CY35" s="983" t="str">
        <v/>
      </c>
      <c r="CZ35" s="984" t="str">
        <v/>
      </c>
      <c r="DA35" s="984" t="str">
        <v/>
      </c>
      <c r="DB35" s="984" t="str">
        <v/>
      </c>
      <c r="DC35" s="984" t="str">
        <v/>
      </c>
      <c r="DD35" s="984" t="str">
        <v/>
      </c>
      <c r="DE35" s="984" t="str">
        <v/>
      </c>
      <c r="DF35" s="984" t="str">
        <v/>
      </c>
      <c r="DG35" s="984" t="str">
        <v/>
      </c>
      <c r="DH35" s="984" t="str">
        <v/>
      </c>
      <c r="DI35" s="984" t="str">
        <v/>
      </c>
      <c r="DJ35" s="984" t="str">
        <v/>
      </c>
      <c r="DK35" s="984" t="str">
        <v/>
      </c>
      <c r="DL35" s="984" t="str">
        <v/>
      </c>
      <c r="DM35" s="984" t="str">
        <v/>
      </c>
      <c r="DN35" s="984" t="str">
        <v/>
      </c>
      <c r="DO35" s="984" t="str">
        <v/>
      </c>
      <c r="DP35" s="984" t="str">
        <v/>
      </c>
      <c r="DQ35" s="984" t="str">
        <v/>
      </c>
      <c r="DR35" s="984" t="str">
        <v/>
      </c>
      <c r="DS35" s="984" t="str">
        <v/>
      </c>
      <c r="DT35" s="984" t="str">
        <v/>
      </c>
      <c r="DU35" s="984" t="str">
        <v/>
      </c>
      <c r="DV35" s="984" t="str">
        <v/>
      </c>
      <c r="DW35" s="984" t="str">
        <v/>
      </c>
      <c r="DX35" s="984" t="str">
        <v/>
      </c>
      <c r="DY35" s="984" t="str">
        <v/>
      </c>
      <c r="DZ35" s="984" t="str">
        <v/>
      </c>
      <c r="EA35" s="984" t="str">
        <v/>
      </c>
      <c r="EB35" s="984" t="str">
        <v/>
      </c>
      <c r="EC35" s="984" t="str">
        <v/>
      </c>
      <c r="ED35" s="984" t="str">
        <v/>
      </c>
      <c r="EE35" s="984" t="str">
        <v/>
      </c>
      <c r="EF35" s="984" t="str">
        <v/>
      </c>
      <c r="EG35" s="984" t="str">
        <v/>
      </c>
      <c r="EH35" s="984" t="str">
        <v/>
      </c>
      <c r="EI35" s="984" t="str">
        <v/>
      </c>
      <c r="EJ35" s="984" t="str">
        <v/>
      </c>
      <c r="EK35" s="984" t="str">
        <v/>
      </c>
      <c r="EL35" s="984" t="str">
        <v/>
      </c>
      <c r="EM35" s="984" t="str">
        <v/>
      </c>
      <c r="EN35" s="984" t="str">
        <v/>
      </c>
      <c r="EO35" s="984" t="str">
        <v/>
      </c>
      <c r="EP35" s="984" t="str">
        <v/>
      </c>
      <c r="EQ35" s="984" t="str">
        <v/>
      </c>
      <c r="ER35" s="984" t="str">
        <v/>
      </c>
      <c r="ES35" s="984" t="str">
        <v/>
      </c>
      <c r="ET35" s="984" t="str">
        <v/>
      </c>
      <c r="EU35" s="984" t="str">
        <v/>
      </c>
      <c r="EV35" s="984" t="str">
        <v/>
      </c>
      <c r="EW35" s="984" t="str">
        <v/>
      </c>
      <c r="EX35" s="984" t="str">
        <v/>
      </c>
      <c r="EY35" s="984" t="str">
        <v/>
      </c>
      <c r="EZ35" s="984" t="str">
        <v/>
      </c>
      <c r="FA35" s="984" t="str">
        <v/>
      </c>
      <c r="FB35" s="984" t="str">
        <v/>
      </c>
      <c r="FC35" s="984" t="str">
        <v/>
      </c>
      <c r="FD35" s="984" t="str">
        <v/>
      </c>
      <c r="FE35" s="984" t="str">
        <v/>
      </c>
      <c r="FF35" s="984" t="str">
        <v/>
      </c>
      <c r="FG35" s="984" t="str">
        <v/>
      </c>
      <c r="FH35" s="984" t="str">
        <v/>
      </c>
      <c r="FI35" s="984" t="str">
        <v/>
      </c>
      <c r="FJ35" s="984" t="str">
        <v/>
      </c>
      <c r="FK35" s="984" t="str">
        <v/>
      </c>
      <c r="FL35" s="984" t="str">
        <v/>
      </c>
      <c r="FM35" s="984" t="str">
        <v/>
      </c>
      <c r="FN35" s="984" t="str">
        <v/>
      </c>
      <c r="FO35" s="984" t="str">
        <v/>
      </c>
      <c r="FP35" s="984" t="str">
        <v/>
      </c>
      <c r="FQ35" s="984" t="str">
        <v/>
      </c>
      <c r="FR35" s="984" t="str">
        <v/>
      </c>
      <c r="FS35" s="984" t="str">
        <v/>
      </c>
      <c r="FT35" s="984" t="str">
        <v/>
      </c>
      <c r="FU35" s="984" t="str">
        <v/>
      </c>
      <c r="FV35" s="984" t="str">
        <v/>
      </c>
      <c r="FW35" s="984" t="str">
        <v/>
      </c>
      <c r="FX35" s="984" t="str">
        <v/>
      </c>
      <c r="FY35" s="984" t="str">
        <v/>
      </c>
      <c r="FZ35" s="984" t="str">
        <v/>
      </c>
      <c r="GA35" s="984" t="str">
        <v/>
      </c>
      <c r="GB35" s="984" t="str">
        <v/>
      </c>
      <c r="GC35" s="984" t="str">
        <v/>
      </c>
      <c r="GD35" s="984" t="str">
        <v/>
      </c>
      <c r="GE35" s="984" t="str">
        <v/>
      </c>
      <c r="GF35" s="984" t="str">
        <v/>
      </c>
      <c r="GG35" s="984" t="str">
        <v/>
      </c>
      <c r="GH35" s="984" t="str">
        <v/>
      </c>
      <c r="GI35" s="984" t="str">
        <v/>
      </c>
      <c r="GJ35" s="984" t="str">
        <v/>
      </c>
      <c r="GK35" s="984" t="str">
        <v/>
      </c>
      <c r="GL35" s="984" t="str">
        <v/>
      </c>
      <c r="GM35" s="984" t="str">
        <v/>
      </c>
      <c r="GN35" s="984" t="str">
        <v/>
      </c>
      <c r="GO35" s="984" t="str">
        <v/>
      </c>
      <c r="GP35" s="984" t="str">
        <v/>
      </c>
      <c r="GQ35" s="984" t="str">
        <v/>
      </c>
      <c r="GR35" s="984" t="str">
        <v/>
      </c>
      <c r="GS35" s="984" t="str">
        <v/>
      </c>
      <c r="GT35" s="984" t="str">
        <v/>
      </c>
      <c r="GU35" s="984" t="str">
        <v/>
      </c>
      <c r="GV35" s="984" t="str">
        <v/>
      </c>
      <c r="GW35" s="984" t="str">
        <v/>
      </c>
      <c r="GX35" s="984" t="str">
        <v/>
      </c>
      <c r="GY35" s="984" t="str">
        <v/>
      </c>
      <c r="GZ35" s="984" t="str">
        <v/>
      </c>
      <c r="HA35" s="984" t="str">
        <v/>
      </c>
      <c r="HB35" s="984" t="str">
        <v/>
      </c>
      <c r="HC35" s="984" t="str">
        <v/>
      </c>
      <c r="HD35" s="984" t="str">
        <v/>
      </c>
      <c r="HE35" s="984" t="str">
        <v/>
      </c>
      <c r="HF35" s="984" t="str">
        <v/>
      </c>
      <c r="HG35" s="984" t="str">
        <v/>
      </c>
      <c r="HH35" s="984" t="str">
        <v/>
      </c>
      <c r="HI35" s="984" t="str">
        <v/>
      </c>
      <c r="HJ35" s="984" t="str">
        <v/>
      </c>
      <c r="HK35" s="984" t="str">
        <v/>
      </c>
      <c r="HL35" s="984" t="str">
        <v/>
      </c>
      <c r="HM35" s="984" t="str">
        <v/>
      </c>
      <c r="HN35" s="984" t="str">
        <v/>
      </c>
      <c r="HO35" s="984" t="str">
        <v/>
      </c>
      <c r="HP35" s="984" t="str">
        <v/>
      </c>
      <c r="HQ35" s="984" t="str">
        <v/>
      </c>
      <c r="HR35" s="984" t="str">
        <v/>
      </c>
      <c r="HS35" s="984" t="str">
        <v/>
      </c>
      <c r="HT35" s="984" t="str">
        <v/>
      </c>
      <c r="HU35" s="984" t="str">
        <v/>
      </c>
      <c r="HV35" s="984" t="str">
        <v/>
      </c>
      <c r="HW35" s="984" t="str">
        <v/>
      </c>
      <c r="HX35" s="984" t="str">
        <v/>
      </c>
      <c r="HY35" s="984" t="str">
        <v/>
      </c>
      <c r="HZ35" s="984" t="str">
        <v/>
      </c>
      <c r="IA35" s="984" t="str">
        <v/>
      </c>
      <c r="IB35" s="984" t="str">
        <v/>
      </c>
      <c r="IC35" s="984" t="str">
        <v/>
      </c>
      <c r="ID35" s="984" t="str">
        <v/>
      </c>
      <c r="IE35" s="984" t="str">
        <v/>
      </c>
      <c r="IF35" s="984" t="str">
        <v/>
      </c>
      <c r="IG35" s="984" t="str">
        <v/>
      </c>
      <c r="IH35" s="984" t="str">
        <v/>
      </c>
      <c r="II35" s="984" t="str">
        <v/>
      </c>
      <c r="IJ35" s="984" t="str">
        <v/>
      </c>
      <c r="IK35" s="984" t="str">
        <v/>
      </c>
      <c r="IL35" s="984" t="str">
        <v/>
      </c>
      <c r="IM35" s="984" t="str">
        <v/>
      </c>
      <c r="IN35" s="984" t="str">
        <v/>
      </c>
      <c r="IO35" s="984" t="str">
        <v/>
      </c>
      <c r="IP35" s="984" t="str">
        <v/>
      </c>
      <c r="IQ35" s="984" t="str">
        <v/>
      </c>
      <c r="IR35" s="984" t="str">
        <v/>
      </c>
      <c r="IS35" s="984" t="str">
        <v/>
      </c>
      <c r="IT35" s="984" t="str">
        <v/>
      </c>
      <c r="IU35" s="984" t="str">
        <v/>
      </c>
      <c r="IV35" s="984" t="str">
        <v/>
      </c>
      <c r="IW35" s="984" t="str">
        <v/>
      </c>
      <c r="IX35" s="984" t="str">
        <v/>
      </c>
      <c r="IY35" s="984" t="str">
        <v/>
      </c>
      <c r="IZ35" s="984" t="str">
        <v/>
      </c>
      <c r="JA35" s="984" t="str">
        <v/>
      </c>
      <c r="JB35" s="984" t="str">
        <v/>
      </c>
      <c r="JC35" s="984" t="str">
        <v/>
      </c>
      <c r="JD35" s="984" t="str">
        <v/>
      </c>
      <c r="JE35" s="984" t="str">
        <v/>
      </c>
      <c r="JF35" s="984" t="str">
        <v/>
      </c>
      <c r="JG35" s="984" t="str">
        <v/>
      </c>
      <c r="JH35" s="984" t="str">
        <v/>
      </c>
      <c r="JI35" s="984" t="str">
        <v/>
      </c>
      <c r="JJ35" s="984" t="str">
        <v/>
      </c>
      <c r="JK35" s="984" t="str">
        <v/>
      </c>
      <c r="JL35" s="984" t="str">
        <v/>
      </c>
      <c r="JM35" s="984" t="str">
        <v/>
      </c>
      <c r="JN35" s="984" t="str">
        <v/>
      </c>
      <c r="JO35" s="984" t="str">
        <v/>
      </c>
      <c r="JP35" s="984" t="str">
        <v/>
      </c>
      <c r="JQ35" s="984" t="str">
        <v/>
      </c>
      <c r="JR35" s="984" t="str">
        <v/>
      </c>
      <c r="JS35" s="984" t="str">
        <v/>
      </c>
      <c r="JT35" s="984" t="str">
        <v/>
      </c>
      <c r="JU35" s="984" t="str">
        <v/>
      </c>
      <c r="JV35" s="984" t="str">
        <v/>
      </c>
      <c r="JW35" s="984" t="str">
        <v/>
      </c>
      <c r="JX35" s="984" t="str">
        <v/>
      </c>
      <c r="JY35" s="984" t="str">
        <v/>
      </c>
      <c r="JZ35" s="984" t="str">
        <v/>
      </c>
      <c r="KA35" s="984" t="str">
        <v/>
      </c>
      <c r="KB35" s="984" t="str">
        <v/>
      </c>
      <c r="KC35" s="984" t="str">
        <v/>
      </c>
      <c r="KD35" s="984" t="str">
        <v/>
      </c>
      <c r="KE35" s="984" t="str">
        <v/>
      </c>
      <c r="KF35" s="984" t="str">
        <v/>
      </c>
      <c r="KG35" s="984" t="str">
        <v/>
      </c>
      <c r="KH35" s="984" t="str">
        <v/>
      </c>
      <c r="KI35" s="984" t="str">
        <v/>
      </c>
      <c r="KJ35" s="984" t="str">
        <v/>
      </c>
      <c r="KK35" s="984" t="str">
        <v/>
      </c>
      <c r="KL35" s="984" t="str">
        <v/>
      </c>
      <c r="KM35" s="984" t="str">
        <v/>
      </c>
      <c r="KN35" s="984" t="str">
        <v/>
      </c>
      <c r="KO35" s="984" t="str">
        <v/>
      </c>
      <c r="KP35" s="985" t="str">
        <v/>
      </c>
      <c r="KQ35" s="699" t="s">
        <v>388</v>
      </c>
    </row>
    <row r="36" spans="1:303" s="184" customFormat="1" hidden="1" x14ac:dyDescent="0.45">
      <c r="A36" s="1748"/>
      <c r="B36" s="138" t="s">
        <v>307</v>
      </c>
      <c r="C36" s="986" t="str">
        <v/>
      </c>
      <c r="D36" s="987" t="str">
        <v/>
      </c>
      <c r="E36" s="987" t="str">
        <v/>
      </c>
      <c r="F36" s="987" t="str">
        <v/>
      </c>
      <c r="G36" s="987" t="str">
        <v/>
      </c>
      <c r="H36" s="987" t="str">
        <v/>
      </c>
      <c r="I36" s="987" t="str">
        <v/>
      </c>
      <c r="J36" s="987" t="str">
        <v/>
      </c>
      <c r="K36" s="987" t="str">
        <v/>
      </c>
      <c r="L36" s="987" t="str">
        <v/>
      </c>
      <c r="M36" s="987" t="str">
        <v/>
      </c>
      <c r="N36" s="987" t="str">
        <v/>
      </c>
      <c r="O36" s="987" t="str">
        <v/>
      </c>
      <c r="P36" s="987" t="str">
        <v/>
      </c>
      <c r="Q36" s="987" t="str">
        <v/>
      </c>
      <c r="R36" s="987" t="str">
        <v/>
      </c>
      <c r="S36" s="987" t="str">
        <v/>
      </c>
      <c r="T36" s="987" t="str">
        <v/>
      </c>
      <c r="U36" s="987" t="str">
        <v/>
      </c>
      <c r="V36" s="987" t="str">
        <v/>
      </c>
      <c r="W36" s="987" t="str">
        <v/>
      </c>
      <c r="X36" s="987" t="str">
        <v/>
      </c>
      <c r="Y36" s="987" t="str">
        <v/>
      </c>
      <c r="Z36" s="987" t="str">
        <v/>
      </c>
      <c r="AA36" s="987" t="str">
        <v/>
      </c>
      <c r="AB36" s="987" t="str">
        <v/>
      </c>
      <c r="AC36" s="987" t="str">
        <v/>
      </c>
      <c r="AD36" s="987" t="str">
        <v/>
      </c>
      <c r="AE36" s="987" t="str">
        <v/>
      </c>
      <c r="AF36" s="987" t="str">
        <v/>
      </c>
      <c r="AG36" s="987" t="str">
        <v/>
      </c>
      <c r="AH36" s="987" t="str">
        <v/>
      </c>
      <c r="AI36" s="987" t="str">
        <v/>
      </c>
      <c r="AJ36" s="987" t="str">
        <v/>
      </c>
      <c r="AK36" s="987" t="str">
        <v/>
      </c>
      <c r="AL36" s="987" t="str">
        <v/>
      </c>
      <c r="AM36" s="987" t="str">
        <v/>
      </c>
      <c r="AN36" s="987" t="str">
        <v/>
      </c>
      <c r="AO36" s="987" t="str">
        <v/>
      </c>
      <c r="AP36" s="987" t="str">
        <v/>
      </c>
      <c r="AQ36" s="987" t="str">
        <v/>
      </c>
      <c r="AR36" s="987" t="str">
        <v/>
      </c>
      <c r="AS36" s="987" t="str">
        <v/>
      </c>
      <c r="AT36" s="987" t="str">
        <v/>
      </c>
      <c r="AU36" s="987" t="str">
        <v/>
      </c>
      <c r="AV36" s="987" t="str">
        <v/>
      </c>
      <c r="AW36" s="987" t="str">
        <v/>
      </c>
      <c r="AX36" s="987" t="str">
        <v/>
      </c>
      <c r="AY36" s="987" t="str">
        <v/>
      </c>
      <c r="AZ36" s="987" t="str">
        <v/>
      </c>
      <c r="BA36" s="987" t="str">
        <v/>
      </c>
      <c r="BB36" s="987" t="str">
        <v/>
      </c>
      <c r="BC36" s="987" t="str">
        <v/>
      </c>
      <c r="BD36" s="987" t="str">
        <v/>
      </c>
      <c r="BE36" s="987" t="str">
        <v/>
      </c>
      <c r="BF36" s="987" t="str">
        <v/>
      </c>
      <c r="BG36" s="987" t="str">
        <v/>
      </c>
      <c r="BH36" s="987" t="str">
        <v/>
      </c>
      <c r="BI36" s="987" t="str">
        <v/>
      </c>
      <c r="BJ36" s="987" t="str">
        <v/>
      </c>
      <c r="BK36" s="987" t="str">
        <v/>
      </c>
      <c r="BL36" s="987" t="str">
        <v/>
      </c>
      <c r="BM36" s="987" t="str">
        <v/>
      </c>
      <c r="BN36" s="987" t="str">
        <v/>
      </c>
      <c r="BO36" s="987" t="str">
        <v/>
      </c>
      <c r="BP36" s="987" t="str">
        <v/>
      </c>
      <c r="BQ36" s="987" t="str">
        <v/>
      </c>
      <c r="BR36" s="987" t="str">
        <v/>
      </c>
      <c r="BS36" s="987" t="str">
        <v/>
      </c>
      <c r="BT36" s="987" t="str">
        <v/>
      </c>
      <c r="BU36" s="987" t="str">
        <v/>
      </c>
      <c r="BV36" s="987" t="str">
        <v/>
      </c>
      <c r="BW36" s="987">
        <v>29</v>
      </c>
      <c r="BX36" s="987" t="str">
        <v/>
      </c>
      <c r="BY36" s="987">
        <v>29</v>
      </c>
      <c r="BZ36" s="987" t="str">
        <v/>
      </c>
      <c r="CA36" s="987" t="str">
        <v/>
      </c>
      <c r="CB36" s="987" t="str">
        <v/>
      </c>
      <c r="CC36" s="987" t="str">
        <v/>
      </c>
      <c r="CD36" s="987" t="str">
        <v/>
      </c>
      <c r="CE36" s="987" t="str">
        <v/>
      </c>
      <c r="CF36" s="987" t="str">
        <v/>
      </c>
      <c r="CG36" s="987" t="str">
        <v/>
      </c>
      <c r="CH36" s="987" t="str">
        <v/>
      </c>
      <c r="CI36" s="987" t="str">
        <v/>
      </c>
      <c r="CJ36" s="987" t="str">
        <v/>
      </c>
      <c r="CK36" s="987" t="str">
        <v/>
      </c>
      <c r="CL36" s="987" t="str">
        <v/>
      </c>
      <c r="CM36" s="987" t="str">
        <v/>
      </c>
      <c r="CN36" s="987" t="str">
        <v/>
      </c>
      <c r="CO36" s="987" t="str">
        <v/>
      </c>
      <c r="CP36" s="987" t="str">
        <v/>
      </c>
      <c r="CQ36" s="987" t="str">
        <v/>
      </c>
      <c r="CR36" s="987" t="str">
        <v/>
      </c>
      <c r="CS36" s="987" t="str">
        <v/>
      </c>
      <c r="CT36" s="987" t="str">
        <v/>
      </c>
      <c r="CU36" s="987" t="str">
        <v/>
      </c>
      <c r="CV36" s="987" t="str">
        <v/>
      </c>
      <c r="CW36" s="987" t="str">
        <v/>
      </c>
      <c r="CX36" s="193" t="str">
        <v/>
      </c>
      <c r="CY36" s="197" t="str">
        <v/>
      </c>
      <c r="CZ36" s="193" t="str">
        <v/>
      </c>
      <c r="DA36" s="193" t="str">
        <v/>
      </c>
      <c r="DB36" s="193" t="str">
        <v/>
      </c>
      <c r="DC36" s="193" t="str">
        <v/>
      </c>
      <c r="DD36" s="193" t="str">
        <v/>
      </c>
      <c r="DE36" s="193" t="str">
        <v/>
      </c>
      <c r="DF36" s="193" t="str">
        <v/>
      </c>
      <c r="DG36" s="193" t="str">
        <v/>
      </c>
      <c r="DH36" s="193" t="str">
        <v/>
      </c>
      <c r="DI36" s="193" t="str">
        <v/>
      </c>
      <c r="DJ36" s="193" t="str">
        <v/>
      </c>
      <c r="DK36" s="193" t="str">
        <v/>
      </c>
      <c r="DL36" s="193" t="str">
        <v/>
      </c>
      <c r="DM36" s="193" t="str">
        <v/>
      </c>
      <c r="DN36" s="193" t="str">
        <v/>
      </c>
      <c r="DO36" s="193" t="str">
        <v/>
      </c>
      <c r="DP36" s="193" t="str">
        <v/>
      </c>
      <c r="DQ36" s="193" t="str">
        <v/>
      </c>
      <c r="DR36" s="193" t="str">
        <v/>
      </c>
      <c r="DS36" s="193" t="str">
        <v/>
      </c>
      <c r="DT36" s="193" t="str">
        <v/>
      </c>
      <c r="DU36" s="193" t="str">
        <v/>
      </c>
      <c r="DV36" s="193" t="str">
        <v/>
      </c>
      <c r="DW36" s="193" t="str">
        <v/>
      </c>
      <c r="DX36" s="193" t="str">
        <v/>
      </c>
      <c r="DY36" s="193" t="str">
        <v/>
      </c>
      <c r="DZ36" s="193" t="str">
        <v/>
      </c>
      <c r="EA36" s="193" t="str">
        <v/>
      </c>
      <c r="EB36" s="193" t="str">
        <v/>
      </c>
      <c r="EC36" s="193" t="str">
        <v/>
      </c>
      <c r="ED36" s="193" t="str">
        <v/>
      </c>
      <c r="EE36" s="193" t="str">
        <v/>
      </c>
      <c r="EF36" s="193" t="str">
        <v/>
      </c>
      <c r="EG36" s="193" t="str">
        <v/>
      </c>
      <c r="EH36" s="193" t="str">
        <v/>
      </c>
      <c r="EI36" s="193" t="str">
        <v/>
      </c>
      <c r="EJ36" s="193" t="str">
        <v/>
      </c>
      <c r="EK36" s="193" t="str">
        <v/>
      </c>
      <c r="EL36" s="193" t="str">
        <v/>
      </c>
      <c r="EM36" s="193" t="str">
        <v/>
      </c>
      <c r="EN36" s="193" t="str">
        <v/>
      </c>
      <c r="EO36" s="193" t="str">
        <v/>
      </c>
      <c r="EP36" s="193" t="str">
        <v/>
      </c>
      <c r="EQ36" s="193" t="str">
        <v/>
      </c>
      <c r="ER36" s="193" t="str">
        <v/>
      </c>
      <c r="ES36" s="193" t="str">
        <v/>
      </c>
      <c r="ET36" s="193" t="str">
        <v/>
      </c>
      <c r="EU36" s="193" t="str">
        <v/>
      </c>
      <c r="EV36" s="193" t="str">
        <v/>
      </c>
      <c r="EW36" s="193" t="str">
        <v/>
      </c>
      <c r="EX36" s="193" t="str">
        <v/>
      </c>
      <c r="EY36" s="193" t="str">
        <v/>
      </c>
      <c r="EZ36" s="193" t="str">
        <v/>
      </c>
      <c r="FA36" s="193" t="str">
        <v/>
      </c>
      <c r="FB36" s="193" t="str">
        <v/>
      </c>
      <c r="FC36" s="193" t="str">
        <v/>
      </c>
      <c r="FD36" s="193" t="str">
        <v/>
      </c>
      <c r="FE36" s="193" t="str">
        <v/>
      </c>
      <c r="FF36" s="193" t="str">
        <v/>
      </c>
      <c r="FG36" s="193" t="str">
        <v/>
      </c>
      <c r="FH36" s="193" t="str">
        <v/>
      </c>
      <c r="FI36" s="193" t="str">
        <v/>
      </c>
      <c r="FJ36" s="193" t="str">
        <v/>
      </c>
      <c r="FK36" s="193" t="str">
        <v/>
      </c>
      <c r="FL36" s="193" t="str">
        <v/>
      </c>
      <c r="FM36" s="193" t="str">
        <v/>
      </c>
      <c r="FN36" s="193" t="str">
        <v/>
      </c>
      <c r="FO36" s="193" t="str">
        <v/>
      </c>
      <c r="FP36" s="193" t="str">
        <v/>
      </c>
      <c r="FQ36" s="193" t="str">
        <v/>
      </c>
      <c r="FR36" s="193" t="str">
        <v/>
      </c>
      <c r="FS36" s="193" t="str">
        <v/>
      </c>
      <c r="FT36" s="193" t="str">
        <v/>
      </c>
      <c r="FU36" s="193" t="str">
        <v/>
      </c>
      <c r="FV36" s="193" t="str">
        <v/>
      </c>
      <c r="FW36" s="193" t="str">
        <v/>
      </c>
      <c r="FX36" s="193" t="str">
        <v/>
      </c>
      <c r="FY36" s="193" t="str">
        <v/>
      </c>
      <c r="FZ36" s="193" t="str">
        <v/>
      </c>
      <c r="GA36" s="193" t="str">
        <v/>
      </c>
      <c r="GB36" s="193" t="str">
        <v/>
      </c>
      <c r="GC36" s="193" t="str">
        <v/>
      </c>
      <c r="GD36" s="193" t="str">
        <v/>
      </c>
      <c r="GE36" s="193" t="str">
        <v/>
      </c>
      <c r="GF36" s="193" t="str">
        <v/>
      </c>
      <c r="GG36" s="193" t="str">
        <v/>
      </c>
      <c r="GH36" s="193" t="str">
        <v/>
      </c>
      <c r="GI36" s="193" t="str">
        <v/>
      </c>
      <c r="GJ36" s="193" t="str">
        <v/>
      </c>
      <c r="GK36" s="193" t="str">
        <v/>
      </c>
      <c r="GL36" s="193" t="str">
        <v/>
      </c>
      <c r="GM36" s="193" t="str">
        <v/>
      </c>
      <c r="GN36" s="193" t="str">
        <v/>
      </c>
      <c r="GO36" s="193" t="str">
        <v/>
      </c>
      <c r="GP36" s="193" t="str">
        <v/>
      </c>
      <c r="GQ36" s="193" t="str">
        <v/>
      </c>
      <c r="GR36" s="193" t="str">
        <v/>
      </c>
      <c r="GS36" s="193" t="str">
        <v/>
      </c>
      <c r="GT36" s="193" t="str">
        <v/>
      </c>
      <c r="GU36" s="193" t="str">
        <v/>
      </c>
      <c r="GV36" s="193" t="str">
        <v/>
      </c>
      <c r="GW36" s="193" t="str">
        <v/>
      </c>
      <c r="GX36" s="193" t="str">
        <v/>
      </c>
      <c r="GY36" s="193" t="str">
        <v/>
      </c>
      <c r="GZ36" s="193" t="str">
        <v/>
      </c>
      <c r="HA36" s="193" t="str">
        <v/>
      </c>
      <c r="HB36" s="193" t="str">
        <v/>
      </c>
      <c r="HC36" s="193" t="str">
        <v/>
      </c>
      <c r="HD36" s="193" t="str">
        <v/>
      </c>
      <c r="HE36" s="193" t="str">
        <v/>
      </c>
      <c r="HF36" s="193" t="str">
        <v/>
      </c>
      <c r="HG36" s="193" t="str">
        <v/>
      </c>
      <c r="HH36" s="193" t="str">
        <v/>
      </c>
      <c r="HI36" s="193" t="str">
        <v/>
      </c>
      <c r="HJ36" s="193" t="str">
        <v/>
      </c>
      <c r="HK36" s="193" t="str">
        <v/>
      </c>
      <c r="HL36" s="193" t="str">
        <v/>
      </c>
      <c r="HM36" s="193" t="str">
        <v/>
      </c>
      <c r="HN36" s="193" t="str">
        <v/>
      </c>
      <c r="HO36" s="193" t="str">
        <v/>
      </c>
      <c r="HP36" s="193" t="str">
        <v/>
      </c>
      <c r="HQ36" s="193" t="str">
        <v/>
      </c>
      <c r="HR36" s="193" t="str">
        <v/>
      </c>
      <c r="HS36" s="193" t="str">
        <v/>
      </c>
      <c r="HT36" s="193" t="str">
        <v/>
      </c>
      <c r="HU36" s="193" t="str">
        <v/>
      </c>
      <c r="HV36" s="193" t="str">
        <v/>
      </c>
      <c r="HW36" s="193" t="str">
        <v/>
      </c>
      <c r="HX36" s="193" t="str">
        <v/>
      </c>
      <c r="HY36" s="193" t="str">
        <v/>
      </c>
      <c r="HZ36" s="193" t="str">
        <v/>
      </c>
      <c r="IA36" s="193" t="str">
        <v/>
      </c>
      <c r="IB36" s="193" t="str">
        <v/>
      </c>
      <c r="IC36" s="193" t="str">
        <v/>
      </c>
      <c r="ID36" s="193" t="str">
        <v/>
      </c>
      <c r="IE36" s="193" t="str">
        <v/>
      </c>
      <c r="IF36" s="193" t="str">
        <v/>
      </c>
      <c r="IG36" s="193" t="str">
        <v/>
      </c>
      <c r="IH36" s="193" t="str">
        <v/>
      </c>
      <c r="II36" s="193" t="str">
        <v/>
      </c>
      <c r="IJ36" s="193" t="str">
        <v/>
      </c>
      <c r="IK36" s="193" t="str">
        <v/>
      </c>
      <c r="IL36" s="193" t="str">
        <v/>
      </c>
      <c r="IM36" s="193" t="str">
        <v/>
      </c>
      <c r="IN36" s="193" t="str">
        <v/>
      </c>
      <c r="IO36" s="193" t="str">
        <v/>
      </c>
      <c r="IP36" s="193" t="str">
        <v/>
      </c>
      <c r="IQ36" s="193" t="str">
        <v/>
      </c>
      <c r="IR36" s="193" t="str">
        <v/>
      </c>
      <c r="IS36" s="193" t="str">
        <v/>
      </c>
      <c r="IT36" s="193" t="str">
        <v/>
      </c>
      <c r="IU36" s="193" t="str">
        <v/>
      </c>
      <c r="IV36" s="193" t="str">
        <v/>
      </c>
      <c r="IW36" s="193" t="str">
        <v/>
      </c>
      <c r="IX36" s="193" t="str">
        <v/>
      </c>
      <c r="IY36" s="193" t="str">
        <v/>
      </c>
      <c r="IZ36" s="193" t="str">
        <v/>
      </c>
      <c r="JA36" s="193" t="str">
        <v/>
      </c>
      <c r="JB36" s="193" t="str">
        <v/>
      </c>
      <c r="JC36" s="193" t="str">
        <v/>
      </c>
      <c r="JD36" s="193" t="str">
        <v/>
      </c>
      <c r="JE36" s="193" t="str">
        <v/>
      </c>
      <c r="JF36" s="193" t="str">
        <v/>
      </c>
      <c r="JG36" s="193" t="str">
        <v/>
      </c>
      <c r="JH36" s="193" t="str">
        <v/>
      </c>
      <c r="JI36" s="193" t="str">
        <v/>
      </c>
      <c r="JJ36" s="193" t="str">
        <v/>
      </c>
      <c r="JK36" s="193" t="str">
        <v/>
      </c>
      <c r="JL36" s="193" t="str">
        <v/>
      </c>
      <c r="JM36" s="193" t="str">
        <v/>
      </c>
      <c r="JN36" s="193" t="str">
        <v/>
      </c>
      <c r="JO36" s="193" t="str">
        <v/>
      </c>
      <c r="JP36" s="193" t="str">
        <v/>
      </c>
      <c r="JQ36" s="193" t="str">
        <v/>
      </c>
      <c r="JR36" s="193" t="str">
        <v/>
      </c>
      <c r="JS36" s="193" t="str">
        <v/>
      </c>
      <c r="JT36" s="193" t="str">
        <v/>
      </c>
      <c r="JU36" s="193" t="str">
        <v/>
      </c>
      <c r="JV36" s="193" t="str">
        <v/>
      </c>
      <c r="JW36" s="193" t="str">
        <v/>
      </c>
      <c r="JX36" s="193" t="str">
        <v/>
      </c>
      <c r="JY36" s="193" t="str">
        <v/>
      </c>
      <c r="JZ36" s="193" t="str">
        <v/>
      </c>
      <c r="KA36" s="193" t="str">
        <v/>
      </c>
      <c r="KB36" s="193" t="str">
        <v/>
      </c>
      <c r="KC36" s="193" t="str">
        <v/>
      </c>
      <c r="KD36" s="193" t="str">
        <v/>
      </c>
      <c r="KE36" s="193" t="str">
        <v/>
      </c>
      <c r="KF36" s="193" t="str">
        <v/>
      </c>
      <c r="KG36" s="193" t="str">
        <v/>
      </c>
      <c r="KH36" s="193" t="str">
        <v/>
      </c>
      <c r="KI36" s="193" t="str">
        <v/>
      </c>
      <c r="KJ36" s="193" t="str">
        <v/>
      </c>
      <c r="KK36" s="193" t="str">
        <v/>
      </c>
      <c r="KL36" s="193" t="str">
        <v/>
      </c>
      <c r="KM36" s="193" t="str">
        <v/>
      </c>
      <c r="KN36" s="193" t="str">
        <v/>
      </c>
      <c r="KO36" s="193" t="str">
        <v/>
      </c>
      <c r="KP36" s="900" t="str">
        <v/>
      </c>
      <c r="KQ36" s="699" t="s">
        <v>388</v>
      </c>
    </row>
    <row r="37" spans="1:303" s="184" customFormat="1" hidden="1" x14ac:dyDescent="0.45">
      <c r="A37" s="1749"/>
      <c r="B37" s="143" t="s">
        <v>308</v>
      </c>
      <c r="C37" s="874" t="str">
        <v/>
      </c>
      <c r="D37" s="194" t="str">
        <v/>
      </c>
      <c r="E37" s="194" t="str">
        <v/>
      </c>
      <c r="F37" s="194" t="str">
        <v/>
      </c>
      <c r="G37" s="194" t="str">
        <v/>
      </c>
      <c r="H37" s="194" t="str">
        <v/>
      </c>
      <c r="I37" s="194" t="str">
        <v/>
      </c>
      <c r="J37" s="194" t="str">
        <v/>
      </c>
      <c r="K37" s="194" t="str">
        <v/>
      </c>
      <c r="L37" s="194" t="str">
        <v/>
      </c>
      <c r="M37" s="194" t="str">
        <v/>
      </c>
      <c r="N37" s="194" t="str">
        <v/>
      </c>
      <c r="O37" s="194" t="str">
        <v/>
      </c>
      <c r="P37" s="194" t="str">
        <v/>
      </c>
      <c r="Q37" s="194" t="str">
        <v/>
      </c>
      <c r="R37" s="194" t="str">
        <v/>
      </c>
      <c r="S37" s="194" t="str">
        <v/>
      </c>
      <c r="T37" s="194" t="str">
        <v/>
      </c>
      <c r="U37" s="194" t="str">
        <v/>
      </c>
      <c r="V37" s="194" t="str">
        <v/>
      </c>
      <c r="W37" s="194" t="str">
        <v/>
      </c>
      <c r="X37" s="194" t="str">
        <v/>
      </c>
      <c r="Y37" s="194" t="str">
        <v/>
      </c>
      <c r="Z37" s="194" t="str">
        <v/>
      </c>
      <c r="AA37" s="194" t="str">
        <v/>
      </c>
      <c r="AB37" s="194" t="str">
        <v/>
      </c>
      <c r="AC37" s="194" t="str">
        <v/>
      </c>
      <c r="AD37" s="194" t="str">
        <v/>
      </c>
      <c r="AE37" s="194" t="str">
        <v/>
      </c>
      <c r="AF37" s="194" t="str">
        <v/>
      </c>
      <c r="AG37" s="194" t="str">
        <v/>
      </c>
      <c r="AH37" s="194" t="str">
        <v/>
      </c>
      <c r="AI37" s="194" t="str">
        <v/>
      </c>
      <c r="AJ37" s="194" t="str">
        <v/>
      </c>
      <c r="AK37" s="194" t="str">
        <v/>
      </c>
      <c r="AL37" s="194" t="str">
        <v/>
      </c>
      <c r="AM37" s="194" t="str">
        <v/>
      </c>
      <c r="AN37" s="194" t="str">
        <v/>
      </c>
      <c r="AO37" s="194" t="str">
        <v/>
      </c>
      <c r="AP37" s="194" t="str">
        <v/>
      </c>
      <c r="AQ37" s="194" t="str">
        <v/>
      </c>
      <c r="AR37" s="194" t="str">
        <v/>
      </c>
      <c r="AS37" s="194" t="str">
        <v/>
      </c>
      <c r="AT37" s="194" t="str">
        <v/>
      </c>
      <c r="AU37" s="194" t="str">
        <v/>
      </c>
      <c r="AV37" s="194" t="str">
        <v/>
      </c>
      <c r="AW37" s="194" t="str">
        <v/>
      </c>
      <c r="AX37" s="194" t="str">
        <v/>
      </c>
      <c r="AY37" s="194" t="str">
        <v/>
      </c>
      <c r="AZ37" s="194" t="str">
        <v/>
      </c>
      <c r="BA37" s="194" t="str">
        <v/>
      </c>
      <c r="BB37" s="194" t="str">
        <v/>
      </c>
      <c r="BC37" s="194" t="str">
        <v/>
      </c>
      <c r="BD37" s="194" t="str">
        <v/>
      </c>
      <c r="BE37" s="194" t="str">
        <v/>
      </c>
      <c r="BF37" s="194" t="str">
        <v/>
      </c>
      <c r="BG37" s="194" t="str">
        <v/>
      </c>
      <c r="BH37" s="194" t="str">
        <v/>
      </c>
      <c r="BI37" s="194" t="str">
        <v/>
      </c>
      <c r="BJ37" s="194" t="str">
        <v/>
      </c>
      <c r="BK37" s="194" t="str">
        <v/>
      </c>
      <c r="BL37" s="194" t="str">
        <v/>
      </c>
      <c r="BM37" s="194" t="str">
        <v/>
      </c>
      <c r="BN37" s="194" t="str">
        <v/>
      </c>
      <c r="BO37" s="194" t="str">
        <v/>
      </c>
      <c r="BP37" s="194" t="str">
        <v/>
      </c>
      <c r="BQ37" s="194" t="str">
        <v/>
      </c>
      <c r="BR37" s="194" t="str">
        <v/>
      </c>
      <c r="BS37" s="194" t="str">
        <v/>
      </c>
      <c r="BT37" s="194" t="str">
        <v/>
      </c>
      <c r="BU37" s="194" t="str">
        <v/>
      </c>
      <c r="BV37" s="194" t="str">
        <v/>
      </c>
      <c r="BW37" s="194" t="str">
        <v/>
      </c>
      <c r="BX37" s="194" t="str">
        <v/>
      </c>
      <c r="BY37" s="194" t="str">
        <v/>
      </c>
      <c r="BZ37" s="194" t="str">
        <v/>
      </c>
      <c r="CA37" s="194" t="str">
        <v/>
      </c>
      <c r="CB37" s="194" t="str">
        <v/>
      </c>
      <c r="CC37" s="194" t="str">
        <v/>
      </c>
      <c r="CD37" s="194" t="str">
        <v/>
      </c>
      <c r="CE37" s="194" t="str">
        <v/>
      </c>
      <c r="CF37" s="194" t="str">
        <v/>
      </c>
      <c r="CG37" s="194" t="str">
        <v/>
      </c>
      <c r="CH37" s="194" t="str">
        <v/>
      </c>
      <c r="CI37" s="194" t="str">
        <v/>
      </c>
      <c r="CJ37" s="194" t="str">
        <v/>
      </c>
      <c r="CK37" s="194" t="str">
        <v/>
      </c>
      <c r="CL37" s="194" t="str">
        <v/>
      </c>
      <c r="CM37" s="194" t="str">
        <v/>
      </c>
      <c r="CN37" s="194" t="str">
        <v/>
      </c>
      <c r="CO37" s="194" t="str">
        <v/>
      </c>
      <c r="CP37" s="194" t="str">
        <v/>
      </c>
      <c r="CQ37" s="194" t="str">
        <v/>
      </c>
      <c r="CR37" s="194" t="str">
        <v/>
      </c>
      <c r="CS37" s="194" t="str">
        <v/>
      </c>
      <c r="CT37" s="194" t="str">
        <v/>
      </c>
      <c r="CU37" s="194" t="str">
        <v/>
      </c>
      <c r="CV37" s="194" t="str">
        <v/>
      </c>
      <c r="CW37" s="194" t="str">
        <v/>
      </c>
      <c r="CX37" s="988" t="str">
        <v/>
      </c>
      <c r="CY37" s="989" t="str">
        <v/>
      </c>
      <c r="CZ37" s="988" t="str">
        <v/>
      </c>
      <c r="DA37" s="988" t="str">
        <v/>
      </c>
      <c r="DB37" s="988" t="str">
        <v/>
      </c>
      <c r="DC37" s="988" t="str">
        <v/>
      </c>
      <c r="DD37" s="988" t="str">
        <v/>
      </c>
      <c r="DE37" s="988" t="str">
        <v/>
      </c>
      <c r="DF37" s="988" t="str">
        <v/>
      </c>
      <c r="DG37" s="988" t="str">
        <v/>
      </c>
      <c r="DH37" s="988" t="str">
        <v/>
      </c>
      <c r="DI37" s="988" t="str">
        <v/>
      </c>
      <c r="DJ37" s="988" t="str">
        <v/>
      </c>
      <c r="DK37" s="988" t="str">
        <v/>
      </c>
      <c r="DL37" s="988" t="str">
        <v/>
      </c>
      <c r="DM37" s="988" t="str">
        <v/>
      </c>
      <c r="DN37" s="988" t="str">
        <v/>
      </c>
      <c r="DO37" s="988" t="str">
        <v/>
      </c>
      <c r="DP37" s="988" t="str">
        <v/>
      </c>
      <c r="DQ37" s="988" t="str">
        <v/>
      </c>
      <c r="DR37" s="988" t="str">
        <v/>
      </c>
      <c r="DS37" s="988" t="str">
        <v/>
      </c>
      <c r="DT37" s="988" t="str">
        <v/>
      </c>
      <c r="DU37" s="988" t="str">
        <v/>
      </c>
      <c r="DV37" s="988" t="str">
        <v/>
      </c>
      <c r="DW37" s="988" t="str">
        <v/>
      </c>
      <c r="DX37" s="988" t="str">
        <v/>
      </c>
      <c r="DY37" s="988" t="str">
        <v/>
      </c>
      <c r="DZ37" s="988" t="str">
        <v/>
      </c>
      <c r="EA37" s="988" t="str">
        <v/>
      </c>
      <c r="EB37" s="988" t="str">
        <v/>
      </c>
      <c r="EC37" s="988" t="str">
        <v/>
      </c>
      <c r="ED37" s="988" t="str">
        <v/>
      </c>
      <c r="EE37" s="988" t="str">
        <v/>
      </c>
      <c r="EF37" s="988" t="str">
        <v/>
      </c>
      <c r="EG37" s="988" t="str">
        <v/>
      </c>
      <c r="EH37" s="988" t="str">
        <v/>
      </c>
      <c r="EI37" s="988" t="str">
        <v/>
      </c>
      <c r="EJ37" s="988" t="str">
        <v/>
      </c>
      <c r="EK37" s="988" t="str">
        <v/>
      </c>
      <c r="EL37" s="988" t="str">
        <v/>
      </c>
      <c r="EM37" s="988" t="str">
        <v/>
      </c>
      <c r="EN37" s="988" t="str">
        <v/>
      </c>
      <c r="EO37" s="988" t="str">
        <v/>
      </c>
      <c r="EP37" s="988" t="str">
        <v/>
      </c>
      <c r="EQ37" s="988" t="str">
        <v/>
      </c>
      <c r="ER37" s="988" t="str">
        <v/>
      </c>
      <c r="ES37" s="988" t="str">
        <v/>
      </c>
      <c r="ET37" s="988" t="str">
        <v/>
      </c>
      <c r="EU37" s="988" t="str">
        <v/>
      </c>
      <c r="EV37" s="988" t="str">
        <v/>
      </c>
      <c r="EW37" s="988" t="str">
        <v/>
      </c>
      <c r="EX37" s="988" t="str">
        <v/>
      </c>
      <c r="EY37" s="988" t="str">
        <v/>
      </c>
      <c r="EZ37" s="988" t="str">
        <v/>
      </c>
      <c r="FA37" s="988" t="str">
        <v/>
      </c>
      <c r="FB37" s="988" t="str">
        <v/>
      </c>
      <c r="FC37" s="988" t="str">
        <v/>
      </c>
      <c r="FD37" s="988" t="str">
        <v/>
      </c>
      <c r="FE37" s="988" t="str">
        <v/>
      </c>
      <c r="FF37" s="988" t="str">
        <v/>
      </c>
      <c r="FG37" s="988" t="str">
        <v/>
      </c>
      <c r="FH37" s="988" t="str">
        <v/>
      </c>
      <c r="FI37" s="988" t="str">
        <v/>
      </c>
      <c r="FJ37" s="988" t="str">
        <v/>
      </c>
      <c r="FK37" s="988" t="str">
        <v/>
      </c>
      <c r="FL37" s="988" t="str">
        <v/>
      </c>
      <c r="FM37" s="988" t="str">
        <v/>
      </c>
      <c r="FN37" s="988" t="str">
        <v/>
      </c>
      <c r="FO37" s="988" t="str">
        <v/>
      </c>
      <c r="FP37" s="988" t="str">
        <v/>
      </c>
      <c r="FQ37" s="988" t="str">
        <v/>
      </c>
      <c r="FR37" s="988" t="str">
        <v/>
      </c>
      <c r="FS37" s="988" t="str">
        <v/>
      </c>
      <c r="FT37" s="988" t="str">
        <v/>
      </c>
      <c r="FU37" s="988" t="str">
        <v/>
      </c>
      <c r="FV37" s="988" t="str">
        <v/>
      </c>
      <c r="FW37" s="988" t="str">
        <v/>
      </c>
      <c r="FX37" s="988" t="str">
        <v/>
      </c>
      <c r="FY37" s="988" t="str">
        <v/>
      </c>
      <c r="FZ37" s="988" t="str">
        <v/>
      </c>
      <c r="GA37" s="988" t="str">
        <v/>
      </c>
      <c r="GB37" s="988" t="str">
        <v/>
      </c>
      <c r="GC37" s="988" t="str">
        <v/>
      </c>
      <c r="GD37" s="988" t="str">
        <v/>
      </c>
      <c r="GE37" s="988" t="str">
        <v/>
      </c>
      <c r="GF37" s="988" t="str">
        <v/>
      </c>
      <c r="GG37" s="988" t="str">
        <v/>
      </c>
      <c r="GH37" s="988" t="str">
        <v/>
      </c>
      <c r="GI37" s="988" t="str">
        <v/>
      </c>
      <c r="GJ37" s="988" t="str">
        <v/>
      </c>
      <c r="GK37" s="988" t="str">
        <v/>
      </c>
      <c r="GL37" s="988" t="str">
        <v/>
      </c>
      <c r="GM37" s="988" t="str">
        <v/>
      </c>
      <c r="GN37" s="988" t="str">
        <v/>
      </c>
      <c r="GO37" s="988" t="str">
        <v/>
      </c>
      <c r="GP37" s="988" t="str">
        <v/>
      </c>
      <c r="GQ37" s="988" t="str">
        <v/>
      </c>
      <c r="GR37" s="988" t="str">
        <v/>
      </c>
      <c r="GS37" s="988" t="str">
        <v/>
      </c>
      <c r="GT37" s="988" t="str">
        <v/>
      </c>
      <c r="GU37" s="988" t="str">
        <v/>
      </c>
      <c r="GV37" s="988" t="str">
        <v/>
      </c>
      <c r="GW37" s="988" t="str">
        <v/>
      </c>
      <c r="GX37" s="988" t="str">
        <v/>
      </c>
      <c r="GY37" s="988" t="str">
        <v/>
      </c>
      <c r="GZ37" s="988" t="str">
        <v/>
      </c>
      <c r="HA37" s="988" t="str">
        <v/>
      </c>
      <c r="HB37" s="988" t="str">
        <v/>
      </c>
      <c r="HC37" s="988" t="str">
        <v/>
      </c>
      <c r="HD37" s="988" t="str">
        <v/>
      </c>
      <c r="HE37" s="988" t="str">
        <v/>
      </c>
      <c r="HF37" s="988" t="str">
        <v/>
      </c>
      <c r="HG37" s="988" t="str">
        <v/>
      </c>
      <c r="HH37" s="988" t="str">
        <v/>
      </c>
      <c r="HI37" s="988" t="str">
        <v/>
      </c>
      <c r="HJ37" s="988" t="str">
        <v/>
      </c>
      <c r="HK37" s="988" t="str">
        <v/>
      </c>
      <c r="HL37" s="988" t="str">
        <v/>
      </c>
      <c r="HM37" s="988" t="str">
        <v/>
      </c>
      <c r="HN37" s="988" t="str">
        <v/>
      </c>
      <c r="HO37" s="988" t="str">
        <v/>
      </c>
      <c r="HP37" s="988" t="str">
        <v/>
      </c>
      <c r="HQ37" s="988" t="str">
        <v/>
      </c>
      <c r="HR37" s="988" t="str">
        <v/>
      </c>
      <c r="HS37" s="988" t="str">
        <v/>
      </c>
      <c r="HT37" s="988" t="str">
        <v/>
      </c>
      <c r="HU37" s="988" t="str">
        <v/>
      </c>
      <c r="HV37" s="988" t="str">
        <v/>
      </c>
      <c r="HW37" s="988" t="str">
        <v/>
      </c>
      <c r="HX37" s="988" t="str">
        <v/>
      </c>
      <c r="HY37" s="988" t="str">
        <v/>
      </c>
      <c r="HZ37" s="988" t="str">
        <v/>
      </c>
      <c r="IA37" s="988" t="str">
        <v/>
      </c>
      <c r="IB37" s="988" t="str">
        <v/>
      </c>
      <c r="IC37" s="988" t="str">
        <v/>
      </c>
      <c r="ID37" s="988" t="str">
        <v/>
      </c>
      <c r="IE37" s="988" t="str">
        <v/>
      </c>
      <c r="IF37" s="988" t="str">
        <v/>
      </c>
      <c r="IG37" s="988" t="str">
        <v/>
      </c>
      <c r="IH37" s="988" t="str">
        <v/>
      </c>
      <c r="II37" s="988" t="str">
        <v/>
      </c>
      <c r="IJ37" s="988" t="str">
        <v/>
      </c>
      <c r="IK37" s="988" t="str">
        <v/>
      </c>
      <c r="IL37" s="988" t="str">
        <v/>
      </c>
      <c r="IM37" s="988" t="str">
        <v/>
      </c>
      <c r="IN37" s="988" t="str">
        <v/>
      </c>
      <c r="IO37" s="988" t="str">
        <v/>
      </c>
      <c r="IP37" s="988" t="str">
        <v/>
      </c>
      <c r="IQ37" s="988" t="str">
        <v/>
      </c>
      <c r="IR37" s="988" t="str">
        <v/>
      </c>
      <c r="IS37" s="988" t="str">
        <v/>
      </c>
      <c r="IT37" s="988" t="str">
        <v/>
      </c>
      <c r="IU37" s="988" t="str">
        <v/>
      </c>
      <c r="IV37" s="988" t="str">
        <v/>
      </c>
      <c r="IW37" s="988" t="str">
        <v/>
      </c>
      <c r="IX37" s="988" t="str">
        <v/>
      </c>
      <c r="IY37" s="988" t="str">
        <v/>
      </c>
      <c r="IZ37" s="988" t="str">
        <v/>
      </c>
      <c r="JA37" s="988" t="str">
        <v/>
      </c>
      <c r="JB37" s="988" t="str">
        <v/>
      </c>
      <c r="JC37" s="988" t="str">
        <v/>
      </c>
      <c r="JD37" s="988" t="str">
        <v/>
      </c>
      <c r="JE37" s="988" t="str">
        <v/>
      </c>
      <c r="JF37" s="988" t="str">
        <v/>
      </c>
      <c r="JG37" s="988" t="str">
        <v/>
      </c>
      <c r="JH37" s="988" t="str">
        <v/>
      </c>
      <c r="JI37" s="988" t="str">
        <v/>
      </c>
      <c r="JJ37" s="988" t="str">
        <v/>
      </c>
      <c r="JK37" s="988" t="str">
        <v/>
      </c>
      <c r="JL37" s="988" t="str">
        <v/>
      </c>
      <c r="JM37" s="988" t="str">
        <v/>
      </c>
      <c r="JN37" s="988" t="str">
        <v/>
      </c>
      <c r="JO37" s="988" t="str">
        <v/>
      </c>
      <c r="JP37" s="988" t="str">
        <v/>
      </c>
      <c r="JQ37" s="988" t="str">
        <v/>
      </c>
      <c r="JR37" s="988" t="str">
        <v/>
      </c>
      <c r="JS37" s="988" t="str">
        <v/>
      </c>
      <c r="JT37" s="988" t="str">
        <v/>
      </c>
      <c r="JU37" s="988" t="str">
        <v/>
      </c>
      <c r="JV37" s="988" t="str">
        <v/>
      </c>
      <c r="JW37" s="988" t="str">
        <v/>
      </c>
      <c r="JX37" s="988" t="str">
        <v/>
      </c>
      <c r="JY37" s="988" t="str">
        <v/>
      </c>
      <c r="JZ37" s="988" t="str">
        <v/>
      </c>
      <c r="KA37" s="988" t="str">
        <v/>
      </c>
      <c r="KB37" s="988" t="str">
        <v/>
      </c>
      <c r="KC37" s="988" t="str">
        <v/>
      </c>
      <c r="KD37" s="988" t="str">
        <v/>
      </c>
      <c r="KE37" s="988" t="str">
        <v/>
      </c>
      <c r="KF37" s="988" t="str">
        <v/>
      </c>
      <c r="KG37" s="988" t="str">
        <v/>
      </c>
      <c r="KH37" s="988" t="str">
        <v/>
      </c>
      <c r="KI37" s="988" t="str">
        <v/>
      </c>
      <c r="KJ37" s="988" t="str">
        <v/>
      </c>
      <c r="KK37" s="988" t="str">
        <v/>
      </c>
      <c r="KL37" s="988" t="str">
        <v/>
      </c>
      <c r="KM37" s="988" t="str">
        <v/>
      </c>
      <c r="KN37" s="988" t="str">
        <v/>
      </c>
      <c r="KO37" s="988" t="str">
        <v/>
      </c>
      <c r="KP37" s="990" t="str">
        <v/>
      </c>
      <c r="KQ37" s="699" t="s">
        <v>388</v>
      </c>
    </row>
    <row r="38" spans="1:303" s="184" customFormat="1" hidden="1" x14ac:dyDescent="0.45">
      <c r="A38" s="1747" t="s">
        <v>310</v>
      </c>
      <c r="B38" s="991" t="s">
        <v>306</v>
      </c>
      <c r="C38" s="980" t="str">
        <f t="array" ref="C38:KP40">IFERROR(INDEX(intervals_array,,sessions_intervals_index),"")</f>
        <v/>
      </c>
      <c r="D38" s="981" t="str">
        <v/>
      </c>
      <c r="E38" s="981" t="str">
        <v/>
      </c>
      <c r="F38" s="981" t="str">
        <v/>
      </c>
      <c r="G38" s="981" t="str">
        <v/>
      </c>
      <c r="H38" s="981" t="str">
        <v/>
      </c>
      <c r="I38" s="981" t="str">
        <v/>
      </c>
      <c r="J38" s="981" t="str">
        <v/>
      </c>
      <c r="K38" s="981" t="str">
        <v/>
      </c>
      <c r="L38" s="981" t="str">
        <v/>
      </c>
      <c r="M38" s="981" t="str">
        <v/>
      </c>
      <c r="N38" s="981" t="str">
        <v/>
      </c>
      <c r="O38" s="981" t="str">
        <v/>
      </c>
      <c r="P38" s="981" t="str">
        <v/>
      </c>
      <c r="Q38" s="981" t="str">
        <v/>
      </c>
      <c r="R38" s="981" t="str">
        <v/>
      </c>
      <c r="S38" s="981" t="str">
        <v/>
      </c>
      <c r="T38" s="981" t="str">
        <v/>
      </c>
      <c r="U38" s="981" t="str">
        <v/>
      </c>
      <c r="V38" s="981" t="str">
        <v/>
      </c>
      <c r="W38" s="981" t="str">
        <v/>
      </c>
      <c r="X38" s="981" t="str">
        <v/>
      </c>
      <c r="Y38" s="981" t="str">
        <v/>
      </c>
      <c r="Z38" s="981" t="str">
        <v/>
      </c>
      <c r="AA38" s="981" t="str">
        <v/>
      </c>
      <c r="AB38" s="981" t="str">
        <v/>
      </c>
      <c r="AC38" s="981" t="str">
        <v/>
      </c>
      <c r="AD38" s="981" t="str">
        <v/>
      </c>
      <c r="AE38" s="981" t="str">
        <v/>
      </c>
      <c r="AF38" s="981" t="str">
        <v/>
      </c>
      <c r="AG38" s="981" t="str">
        <v/>
      </c>
      <c r="AH38" s="981" t="str">
        <v/>
      </c>
      <c r="AI38" s="981" t="str">
        <v/>
      </c>
      <c r="AJ38" s="981" t="str">
        <v/>
      </c>
      <c r="AK38" s="981" t="str">
        <v/>
      </c>
      <c r="AL38" s="981" t="str">
        <v/>
      </c>
      <c r="AM38" s="981" t="str">
        <v/>
      </c>
      <c r="AN38" s="981" t="str">
        <v/>
      </c>
      <c r="AO38" s="981" t="str">
        <v/>
      </c>
      <c r="AP38" s="981" t="str">
        <v/>
      </c>
      <c r="AQ38" s="981" t="str">
        <v>intervals_moneghetti</v>
      </c>
      <c r="AR38" s="981" t="str">
        <v>intervals_500m_r1min</v>
      </c>
      <c r="AS38" s="981" t="str">
        <v>intervals_500m_r30sec</v>
      </c>
      <c r="AT38" s="981" t="str">
        <v>intervals_1km_r2min</v>
      </c>
      <c r="AU38" s="981" t="str">
        <v>intervals_1km_r1min</v>
      </c>
      <c r="AV38" s="981" t="str">
        <v>intervals_1500m_r3min</v>
      </c>
      <c r="AW38" s="981" t="str">
        <v>intervals_1500m_r90sec</v>
      </c>
      <c r="AX38" s="981" t="str">
        <v>intervals_2km_r3min</v>
      </c>
      <c r="AY38" s="981" t="str">
        <v>intervals_2km_r90sec</v>
      </c>
      <c r="AZ38" s="981" t="str">
        <v>intervals_121_r2min</v>
      </c>
      <c r="BA38" s="981" t="str">
        <v>intervals_pyramid</v>
      </c>
      <c r="BB38" s="981" t="str">
        <v/>
      </c>
      <c r="BC38" s="981" t="str">
        <v/>
      </c>
      <c r="BD38" s="981" t="str">
        <v/>
      </c>
      <c r="BE38" s="981" t="str">
        <v/>
      </c>
      <c r="BF38" s="981" t="str">
        <v/>
      </c>
      <c r="BG38" s="981" t="str">
        <v/>
      </c>
      <c r="BH38" s="981" t="str">
        <v/>
      </c>
      <c r="BI38" s="981" t="str">
        <v/>
      </c>
      <c r="BJ38" s="981" t="str">
        <v/>
      </c>
      <c r="BK38" s="981" t="str">
        <v>reps_ladder_800</v>
      </c>
      <c r="BL38" s="981" t="str">
        <v>reps_intensive_hills</v>
      </c>
      <c r="BM38" s="981" t="str">
        <v>reps_extensive_hills</v>
      </c>
      <c r="BN38" s="981" t="str">
        <v>reps_complete_progression_hills</v>
      </c>
      <c r="BO38" s="981" t="str">
        <v>reps_intensive_sprints</v>
      </c>
      <c r="BP38" s="981" t="str">
        <v>reps_extensive_sprints</v>
      </c>
      <c r="BQ38" s="981" t="str">
        <v>reps_lactic_sprints</v>
      </c>
      <c r="BR38" s="981" t="str">
        <v>reps_complete_progression_sprints</v>
      </c>
      <c r="BS38" s="981" t="str">
        <v>reps_tabata</v>
      </c>
      <c r="BT38" s="981" t="str">
        <v/>
      </c>
      <c r="BU38" s="981" t="str">
        <v/>
      </c>
      <c r="BV38" s="981" t="str">
        <v/>
      </c>
      <c r="BW38" s="981" t="str">
        <v/>
      </c>
      <c r="BX38" s="981" t="str">
        <v/>
      </c>
      <c r="BY38" s="981" t="str">
        <v/>
      </c>
      <c r="BZ38" s="981" t="str">
        <v/>
      </c>
      <c r="CA38" s="981" t="str">
        <v/>
      </c>
      <c r="CB38" s="981" t="str">
        <v/>
      </c>
      <c r="CC38" s="981" t="str">
        <v/>
      </c>
      <c r="CD38" s="981" t="str">
        <v/>
      </c>
      <c r="CE38" s="981" t="str">
        <v/>
      </c>
      <c r="CF38" s="981" t="str">
        <v/>
      </c>
      <c r="CG38" s="981" t="str">
        <v/>
      </c>
      <c r="CH38" s="981" t="str">
        <v/>
      </c>
      <c r="CI38" s="981" t="str">
        <v/>
      </c>
      <c r="CJ38" s="981" t="str">
        <v/>
      </c>
      <c r="CK38" s="981" t="str">
        <v/>
      </c>
      <c r="CL38" s="981" t="str">
        <v/>
      </c>
      <c r="CM38" s="981" t="str">
        <v/>
      </c>
      <c r="CN38" s="981" t="str">
        <v/>
      </c>
      <c r="CO38" s="981" t="str">
        <v/>
      </c>
      <c r="CP38" s="981" t="str">
        <v/>
      </c>
      <c r="CQ38" s="981" t="str">
        <v/>
      </c>
      <c r="CR38" s="981" t="str">
        <v/>
      </c>
      <c r="CS38" s="981" t="str">
        <v/>
      </c>
      <c r="CT38" s="981" t="str">
        <v/>
      </c>
      <c r="CU38" s="981" t="str">
        <v/>
      </c>
      <c r="CV38" s="981" t="str">
        <v/>
      </c>
      <c r="CW38" s="981" t="str">
        <v/>
      </c>
      <c r="CX38" s="981" t="str">
        <v/>
      </c>
      <c r="CY38" s="980" t="str">
        <v/>
      </c>
      <c r="CZ38" s="981" t="str">
        <v/>
      </c>
      <c r="DA38" s="981" t="str">
        <v/>
      </c>
      <c r="DB38" s="981" t="str">
        <v/>
      </c>
      <c r="DC38" s="981" t="str">
        <v/>
      </c>
      <c r="DD38" s="981" t="str">
        <v/>
      </c>
      <c r="DE38" s="981" t="str">
        <v/>
      </c>
      <c r="DF38" s="981" t="str">
        <v/>
      </c>
      <c r="DG38" s="981" t="str">
        <v/>
      </c>
      <c r="DH38" s="981" t="str">
        <v/>
      </c>
      <c r="DI38" s="981" t="str">
        <v/>
      </c>
      <c r="DJ38" s="981" t="str">
        <v/>
      </c>
      <c r="DK38" s="981" t="str">
        <v/>
      </c>
      <c r="DL38" s="981" t="str">
        <v/>
      </c>
      <c r="DM38" s="981" t="str">
        <v/>
      </c>
      <c r="DN38" s="981" t="str">
        <v/>
      </c>
      <c r="DO38" s="981" t="str">
        <v/>
      </c>
      <c r="DP38" s="981" t="str">
        <v/>
      </c>
      <c r="DQ38" s="981" t="str">
        <v/>
      </c>
      <c r="DR38" s="981" t="str">
        <v/>
      </c>
      <c r="DS38" s="981" t="str">
        <v/>
      </c>
      <c r="DT38" s="981" t="str">
        <v/>
      </c>
      <c r="DU38" s="981" t="str">
        <v/>
      </c>
      <c r="DV38" s="981" t="str">
        <v/>
      </c>
      <c r="DW38" s="981" t="str">
        <v/>
      </c>
      <c r="DX38" s="981" t="str">
        <v/>
      </c>
      <c r="DY38" s="981" t="str">
        <v/>
      </c>
      <c r="DZ38" s="981" t="str">
        <v/>
      </c>
      <c r="EA38" s="981" t="str">
        <v/>
      </c>
      <c r="EB38" s="981" t="str">
        <v/>
      </c>
      <c r="EC38" s="981" t="str">
        <v/>
      </c>
      <c r="ED38" s="981" t="str">
        <v/>
      </c>
      <c r="EE38" s="981" t="str">
        <v/>
      </c>
      <c r="EF38" s="981" t="str">
        <v/>
      </c>
      <c r="EG38" s="981" t="str">
        <v/>
      </c>
      <c r="EH38" s="981" t="str">
        <v/>
      </c>
      <c r="EI38" s="981" t="str">
        <v/>
      </c>
      <c r="EJ38" s="981" t="str">
        <v/>
      </c>
      <c r="EK38" s="981" t="str">
        <v/>
      </c>
      <c r="EL38" s="981" t="str">
        <v/>
      </c>
      <c r="EM38" s="981" t="str">
        <v/>
      </c>
      <c r="EN38" s="981" t="str">
        <v/>
      </c>
      <c r="EO38" s="981" t="str">
        <v/>
      </c>
      <c r="EP38" s="981" t="str">
        <v/>
      </c>
      <c r="EQ38" s="981" t="str">
        <v/>
      </c>
      <c r="ER38" s="981" t="str">
        <v/>
      </c>
      <c r="ES38" s="981" t="str">
        <v/>
      </c>
      <c r="ET38" s="981" t="str">
        <v/>
      </c>
      <c r="EU38" s="981" t="str">
        <v/>
      </c>
      <c r="EV38" s="981" t="str">
        <v/>
      </c>
      <c r="EW38" s="981" t="str">
        <v/>
      </c>
      <c r="EX38" s="981" t="str">
        <v/>
      </c>
      <c r="EY38" s="981" t="str">
        <v/>
      </c>
      <c r="EZ38" s="981" t="str">
        <v/>
      </c>
      <c r="FA38" s="981" t="str">
        <v/>
      </c>
      <c r="FB38" s="981" t="str">
        <v/>
      </c>
      <c r="FC38" s="981" t="str">
        <v/>
      </c>
      <c r="FD38" s="981" t="str">
        <v/>
      </c>
      <c r="FE38" s="981" t="str">
        <v/>
      </c>
      <c r="FF38" s="981" t="str">
        <v/>
      </c>
      <c r="FG38" s="981" t="str">
        <v/>
      </c>
      <c r="FH38" s="981" t="str">
        <v/>
      </c>
      <c r="FI38" s="981" t="str">
        <v/>
      </c>
      <c r="FJ38" s="981" t="str">
        <v/>
      </c>
      <c r="FK38" s="981" t="str">
        <v/>
      </c>
      <c r="FL38" s="981" t="str">
        <v/>
      </c>
      <c r="FM38" s="981" t="str">
        <v/>
      </c>
      <c r="FN38" s="981" t="str">
        <v/>
      </c>
      <c r="FO38" s="981" t="str">
        <v/>
      </c>
      <c r="FP38" s="981" t="str">
        <v/>
      </c>
      <c r="FQ38" s="981" t="str">
        <v/>
      </c>
      <c r="FR38" s="981" t="str">
        <v/>
      </c>
      <c r="FS38" s="981" t="str">
        <v/>
      </c>
      <c r="FT38" s="981" t="str">
        <v/>
      </c>
      <c r="FU38" s="981" t="str">
        <v/>
      </c>
      <c r="FV38" s="981" t="str">
        <v/>
      </c>
      <c r="FW38" s="981" t="str">
        <v/>
      </c>
      <c r="FX38" s="981" t="str">
        <v/>
      </c>
      <c r="FY38" s="981" t="str">
        <v/>
      </c>
      <c r="FZ38" s="981" t="str">
        <v/>
      </c>
      <c r="GA38" s="981" t="str">
        <v/>
      </c>
      <c r="GB38" s="981" t="str">
        <v/>
      </c>
      <c r="GC38" s="981" t="str">
        <v/>
      </c>
      <c r="GD38" s="981" t="str">
        <v/>
      </c>
      <c r="GE38" s="981" t="str">
        <v/>
      </c>
      <c r="GF38" s="981" t="str">
        <v/>
      </c>
      <c r="GG38" s="981" t="str">
        <v/>
      </c>
      <c r="GH38" s="981" t="str">
        <v/>
      </c>
      <c r="GI38" s="981" t="str">
        <v/>
      </c>
      <c r="GJ38" s="981" t="str">
        <v/>
      </c>
      <c r="GK38" s="981" t="str">
        <v/>
      </c>
      <c r="GL38" s="981" t="str">
        <v/>
      </c>
      <c r="GM38" s="981" t="str">
        <v/>
      </c>
      <c r="GN38" s="981" t="str">
        <v/>
      </c>
      <c r="GO38" s="981" t="str">
        <v/>
      </c>
      <c r="GP38" s="981" t="str">
        <v/>
      </c>
      <c r="GQ38" s="981" t="str">
        <v/>
      </c>
      <c r="GR38" s="981" t="str">
        <v/>
      </c>
      <c r="GS38" s="981" t="str">
        <v/>
      </c>
      <c r="GT38" s="981" t="str">
        <v/>
      </c>
      <c r="GU38" s="981" t="str">
        <v/>
      </c>
      <c r="GV38" s="981" t="str">
        <v/>
      </c>
      <c r="GW38" s="981" t="str">
        <v/>
      </c>
      <c r="GX38" s="981" t="str">
        <v/>
      </c>
      <c r="GY38" s="981" t="str">
        <v/>
      </c>
      <c r="GZ38" s="981" t="str">
        <v/>
      </c>
      <c r="HA38" s="981" t="str">
        <v/>
      </c>
      <c r="HB38" s="981" t="str">
        <v/>
      </c>
      <c r="HC38" s="981" t="str">
        <v/>
      </c>
      <c r="HD38" s="981" t="str">
        <v/>
      </c>
      <c r="HE38" s="981" t="str">
        <v/>
      </c>
      <c r="HF38" s="981" t="str">
        <v/>
      </c>
      <c r="HG38" s="981" t="str">
        <v/>
      </c>
      <c r="HH38" s="981" t="str">
        <v/>
      </c>
      <c r="HI38" s="981" t="str">
        <v/>
      </c>
      <c r="HJ38" s="981" t="str">
        <v/>
      </c>
      <c r="HK38" s="981" t="str">
        <v/>
      </c>
      <c r="HL38" s="981" t="str">
        <v/>
      </c>
      <c r="HM38" s="981" t="str">
        <v/>
      </c>
      <c r="HN38" s="981" t="str">
        <v/>
      </c>
      <c r="HO38" s="981" t="str">
        <v/>
      </c>
      <c r="HP38" s="981" t="str">
        <v/>
      </c>
      <c r="HQ38" s="981" t="str">
        <v/>
      </c>
      <c r="HR38" s="981" t="str">
        <v/>
      </c>
      <c r="HS38" s="981" t="str">
        <v/>
      </c>
      <c r="HT38" s="981" t="str">
        <v/>
      </c>
      <c r="HU38" s="981" t="str">
        <v/>
      </c>
      <c r="HV38" s="981" t="str">
        <v/>
      </c>
      <c r="HW38" s="981" t="str">
        <v/>
      </c>
      <c r="HX38" s="981" t="str">
        <v/>
      </c>
      <c r="HY38" s="981" t="str">
        <v/>
      </c>
      <c r="HZ38" s="981" t="str">
        <v/>
      </c>
      <c r="IA38" s="981" t="str">
        <v/>
      </c>
      <c r="IB38" s="981" t="str">
        <v/>
      </c>
      <c r="IC38" s="981" t="str">
        <v/>
      </c>
      <c r="ID38" s="981" t="str">
        <v/>
      </c>
      <c r="IE38" s="981" t="str">
        <v/>
      </c>
      <c r="IF38" s="981" t="str">
        <v/>
      </c>
      <c r="IG38" s="981" t="str">
        <v/>
      </c>
      <c r="IH38" s="981" t="str">
        <v/>
      </c>
      <c r="II38" s="981" t="str">
        <v/>
      </c>
      <c r="IJ38" s="981" t="str">
        <v/>
      </c>
      <c r="IK38" s="981" t="str">
        <v/>
      </c>
      <c r="IL38" s="981" t="str">
        <v/>
      </c>
      <c r="IM38" s="981" t="str">
        <v/>
      </c>
      <c r="IN38" s="981" t="str">
        <v/>
      </c>
      <c r="IO38" s="981" t="str">
        <v/>
      </c>
      <c r="IP38" s="981" t="str">
        <v/>
      </c>
      <c r="IQ38" s="981" t="str">
        <v/>
      </c>
      <c r="IR38" s="981" t="str">
        <v/>
      </c>
      <c r="IS38" s="981" t="str">
        <v/>
      </c>
      <c r="IT38" s="981" t="str">
        <v/>
      </c>
      <c r="IU38" s="981" t="str">
        <v/>
      </c>
      <c r="IV38" s="981" t="str">
        <v/>
      </c>
      <c r="IW38" s="981" t="str">
        <v/>
      </c>
      <c r="IX38" s="981" t="str">
        <v/>
      </c>
      <c r="IY38" s="981" t="str">
        <v/>
      </c>
      <c r="IZ38" s="981" t="str">
        <v/>
      </c>
      <c r="JA38" s="981" t="str">
        <v/>
      </c>
      <c r="JB38" s="981" t="str">
        <v/>
      </c>
      <c r="JC38" s="981" t="str">
        <v/>
      </c>
      <c r="JD38" s="981" t="str">
        <v/>
      </c>
      <c r="JE38" s="981" t="str">
        <v/>
      </c>
      <c r="JF38" s="981" t="str">
        <v/>
      </c>
      <c r="JG38" s="981" t="str">
        <v/>
      </c>
      <c r="JH38" s="981" t="str">
        <v/>
      </c>
      <c r="JI38" s="981" t="str">
        <v/>
      </c>
      <c r="JJ38" s="981" t="str">
        <v/>
      </c>
      <c r="JK38" s="981" t="str">
        <v/>
      </c>
      <c r="JL38" s="981" t="str">
        <v/>
      </c>
      <c r="JM38" s="981" t="str">
        <v/>
      </c>
      <c r="JN38" s="981" t="str">
        <v/>
      </c>
      <c r="JO38" s="981" t="str">
        <v/>
      </c>
      <c r="JP38" s="981" t="str">
        <v/>
      </c>
      <c r="JQ38" s="981" t="str">
        <v/>
      </c>
      <c r="JR38" s="981" t="str">
        <v/>
      </c>
      <c r="JS38" s="981" t="str">
        <v/>
      </c>
      <c r="JT38" s="981" t="str">
        <v/>
      </c>
      <c r="JU38" s="981" t="str">
        <v/>
      </c>
      <c r="JV38" s="981" t="str">
        <v/>
      </c>
      <c r="JW38" s="981" t="str">
        <v/>
      </c>
      <c r="JX38" s="981" t="str">
        <v/>
      </c>
      <c r="JY38" s="981" t="str">
        <v/>
      </c>
      <c r="JZ38" s="981" t="str">
        <v/>
      </c>
      <c r="KA38" s="981" t="str">
        <v/>
      </c>
      <c r="KB38" s="981" t="str">
        <v/>
      </c>
      <c r="KC38" s="981" t="str">
        <v/>
      </c>
      <c r="KD38" s="981" t="str">
        <v/>
      </c>
      <c r="KE38" s="981" t="str">
        <v/>
      </c>
      <c r="KF38" s="981" t="str">
        <v/>
      </c>
      <c r="KG38" s="981" t="str">
        <v/>
      </c>
      <c r="KH38" s="981" t="str">
        <v/>
      </c>
      <c r="KI38" s="981" t="str">
        <v/>
      </c>
      <c r="KJ38" s="981" t="str">
        <v/>
      </c>
      <c r="KK38" s="981" t="str">
        <v/>
      </c>
      <c r="KL38" s="981" t="str">
        <v/>
      </c>
      <c r="KM38" s="981" t="str">
        <v/>
      </c>
      <c r="KN38" s="981" t="str">
        <v/>
      </c>
      <c r="KO38" s="981" t="str">
        <v/>
      </c>
      <c r="KP38" s="982" t="str">
        <v/>
      </c>
      <c r="KQ38" s="699" t="s">
        <v>388</v>
      </c>
    </row>
    <row r="39" spans="1:303" s="184" customFormat="1" hidden="1" x14ac:dyDescent="0.45">
      <c r="A39" s="1748"/>
      <c r="B39" s="138" t="s">
        <v>307</v>
      </c>
      <c r="C39" s="197" t="str">
        <v/>
      </c>
      <c r="D39" s="193" t="str">
        <v/>
      </c>
      <c r="E39" s="193" t="str">
        <v/>
      </c>
      <c r="F39" s="193" t="str">
        <v/>
      </c>
      <c r="G39" s="193" t="str">
        <v/>
      </c>
      <c r="H39" s="193" t="str">
        <v/>
      </c>
      <c r="I39" s="193" t="str">
        <v/>
      </c>
      <c r="J39" s="193" t="str">
        <v/>
      </c>
      <c r="K39" s="193" t="str">
        <v/>
      </c>
      <c r="L39" s="193" t="str">
        <v/>
      </c>
      <c r="M39" s="193" t="str">
        <v/>
      </c>
      <c r="N39" s="193" t="str">
        <v/>
      </c>
      <c r="O39" s="193" t="str">
        <v/>
      </c>
      <c r="P39" s="193" t="str">
        <v/>
      </c>
      <c r="Q39" s="193" t="str">
        <v/>
      </c>
      <c r="R39" s="193" t="str">
        <v/>
      </c>
      <c r="S39" s="193" t="str">
        <v/>
      </c>
      <c r="T39" s="193" t="str">
        <v/>
      </c>
      <c r="U39" s="193" t="str">
        <v/>
      </c>
      <c r="V39" s="193" t="str">
        <v/>
      </c>
      <c r="W39" s="193" t="str">
        <v/>
      </c>
      <c r="X39" s="193" t="str">
        <v/>
      </c>
      <c r="Y39" s="193" t="str">
        <v/>
      </c>
      <c r="Z39" s="193" t="str">
        <v/>
      </c>
      <c r="AA39" s="193" t="str">
        <v/>
      </c>
      <c r="AB39" s="193" t="str">
        <v/>
      </c>
      <c r="AC39" s="193" t="str">
        <v/>
      </c>
      <c r="AD39" s="193" t="str">
        <v/>
      </c>
      <c r="AE39" s="193" t="str">
        <v/>
      </c>
      <c r="AF39" s="193" t="str">
        <v/>
      </c>
      <c r="AG39" s="193" t="str">
        <v/>
      </c>
      <c r="AH39" s="193" t="str">
        <v/>
      </c>
      <c r="AI39" s="193" t="str">
        <v/>
      </c>
      <c r="AJ39" s="193" t="str">
        <v/>
      </c>
      <c r="AK39" s="193" t="str">
        <v/>
      </c>
      <c r="AL39" s="193" t="str">
        <v/>
      </c>
      <c r="AM39" s="193" t="str">
        <v/>
      </c>
      <c r="AN39" s="193" t="str">
        <v/>
      </c>
      <c r="AO39" s="193" t="str">
        <v/>
      </c>
      <c r="AP39" s="193" t="str">
        <v/>
      </c>
      <c r="AQ39" s="193" t="str">
        <v/>
      </c>
      <c r="AR39" s="193" t="str">
        <v/>
      </c>
      <c r="AS39" s="193" t="str">
        <v/>
      </c>
      <c r="AT39" s="193" t="str">
        <v/>
      </c>
      <c r="AU39" s="193" t="str">
        <v/>
      </c>
      <c r="AV39" s="193" t="str">
        <v/>
      </c>
      <c r="AW39" s="193" t="str">
        <v/>
      </c>
      <c r="AX39" s="193" t="str">
        <v/>
      </c>
      <c r="AY39" s="193" t="str">
        <v/>
      </c>
      <c r="AZ39" s="193" t="str">
        <v/>
      </c>
      <c r="BA39" s="193" t="str">
        <v/>
      </c>
      <c r="BB39" s="193" t="str">
        <v/>
      </c>
      <c r="BC39" s="193" t="str">
        <v/>
      </c>
      <c r="BD39" s="193" t="str">
        <v/>
      </c>
      <c r="BE39" s="193" t="str">
        <v/>
      </c>
      <c r="BF39" s="193" t="str">
        <v/>
      </c>
      <c r="BG39" s="193" t="str">
        <v/>
      </c>
      <c r="BH39" s="193" t="str">
        <v/>
      </c>
      <c r="BI39" s="193" t="str">
        <v/>
      </c>
      <c r="BJ39" s="193" t="str">
        <v/>
      </c>
      <c r="BK39" s="193" t="str">
        <v/>
      </c>
      <c r="BL39" s="193" t="str">
        <v/>
      </c>
      <c r="BM39" s="193" t="str">
        <v/>
      </c>
      <c r="BN39" s="193" t="str">
        <v/>
      </c>
      <c r="BO39" s="193" t="str">
        <v/>
      </c>
      <c r="BP39" s="193" t="str">
        <v/>
      </c>
      <c r="BQ39" s="193" t="str">
        <v/>
      </c>
      <c r="BR39" s="193" t="str">
        <v/>
      </c>
      <c r="BS39" s="193" t="str">
        <v/>
      </c>
      <c r="BT39" s="193" t="str">
        <v/>
      </c>
      <c r="BU39" s="193" t="str">
        <v/>
      </c>
      <c r="BV39" s="193" t="str">
        <v/>
      </c>
      <c r="BW39" s="193" t="str">
        <v>reps_complete_progression_sprints</v>
      </c>
      <c r="BX39" s="193" t="str">
        <v/>
      </c>
      <c r="BY39" s="193" t="str">
        <v>reps_complete_progression_sprints</v>
      </c>
      <c r="BZ39" s="193" t="str">
        <v/>
      </c>
      <c r="CA39" s="193" t="str">
        <v/>
      </c>
      <c r="CB39" s="193" t="str">
        <v/>
      </c>
      <c r="CC39" s="193" t="str">
        <v/>
      </c>
      <c r="CD39" s="193" t="str">
        <v/>
      </c>
      <c r="CE39" s="193" t="str">
        <v/>
      </c>
      <c r="CF39" s="193" t="str">
        <v/>
      </c>
      <c r="CG39" s="193" t="str">
        <v/>
      </c>
      <c r="CH39" s="193" t="str">
        <v/>
      </c>
      <c r="CI39" s="193" t="str">
        <v/>
      </c>
      <c r="CJ39" s="193" t="str">
        <v/>
      </c>
      <c r="CK39" s="193" t="str">
        <v/>
      </c>
      <c r="CL39" s="193" t="str">
        <v/>
      </c>
      <c r="CM39" s="193" t="str">
        <v/>
      </c>
      <c r="CN39" s="193" t="str">
        <v/>
      </c>
      <c r="CO39" s="193" t="str">
        <v/>
      </c>
      <c r="CP39" s="193" t="str">
        <v/>
      </c>
      <c r="CQ39" s="193" t="str">
        <v/>
      </c>
      <c r="CR39" s="193" t="str">
        <v/>
      </c>
      <c r="CS39" s="193" t="str">
        <v/>
      </c>
      <c r="CT39" s="193" t="str">
        <v/>
      </c>
      <c r="CU39" s="193" t="str">
        <v/>
      </c>
      <c r="CV39" s="193" t="str">
        <v/>
      </c>
      <c r="CW39" s="193" t="str">
        <v/>
      </c>
      <c r="CX39" s="193" t="str">
        <v/>
      </c>
      <c r="CY39" s="197" t="str">
        <v/>
      </c>
      <c r="CZ39" s="193" t="str">
        <v/>
      </c>
      <c r="DA39" s="193" t="str">
        <v/>
      </c>
      <c r="DB39" s="193" t="str">
        <v/>
      </c>
      <c r="DC39" s="193" t="str">
        <v/>
      </c>
      <c r="DD39" s="193" t="str">
        <v/>
      </c>
      <c r="DE39" s="193" t="str">
        <v/>
      </c>
      <c r="DF39" s="193" t="str">
        <v/>
      </c>
      <c r="DG39" s="193" t="str">
        <v/>
      </c>
      <c r="DH39" s="193" t="str">
        <v/>
      </c>
      <c r="DI39" s="193" t="str">
        <v/>
      </c>
      <c r="DJ39" s="193" t="str">
        <v/>
      </c>
      <c r="DK39" s="193" t="str">
        <v/>
      </c>
      <c r="DL39" s="193" t="str">
        <v/>
      </c>
      <c r="DM39" s="193" t="str">
        <v/>
      </c>
      <c r="DN39" s="193" t="str">
        <v/>
      </c>
      <c r="DO39" s="193" t="str">
        <v/>
      </c>
      <c r="DP39" s="193" t="str">
        <v/>
      </c>
      <c r="DQ39" s="193" t="str">
        <v/>
      </c>
      <c r="DR39" s="193" t="str">
        <v/>
      </c>
      <c r="DS39" s="193" t="str">
        <v/>
      </c>
      <c r="DT39" s="193" t="str">
        <v/>
      </c>
      <c r="DU39" s="193" t="str">
        <v/>
      </c>
      <c r="DV39" s="193" t="str">
        <v/>
      </c>
      <c r="DW39" s="193" t="str">
        <v/>
      </c>
      <c r="DX39" s="193" t="str">
        <v/>
      </c>
      <c r="DY39" s="193" t="str">
        <v/>
      </c>
      <c r="DZ39" s="193" t="str">
        <v/>
      </c>
      <c r="EA39" s="193" t="str">
        <v/>
      </c>
      <c r="EB39" s="193" t="str">
        <v/>
      </c>
      <c r="EC39" s="193" t="str">
        <v/>
      </c>
      <c r="ED39" s="193" t="str">
        <v/>
      </c>
      <c r="EE39" s="193" t="str">
        <v/>
      </c>
      <c r="EF39" s="193" t="str">
        <v/>
      </c>
      <c r="EG39" s="193" t="str">
        <v/>
      </c>
      <c r="EH39" s="193" t="str">
        <v/>
      </c>
      <c r="EI39" s="193" t="str">
        <v/>
      </c>
      <c r="EJ39" s="193" t="str">
        <v/>
      </c>
      <c r="EK39" s="193" t="str">
        <v/>
      </c>
      <c r="EL39" s="193" t="str">
        <v/>
      </c>
      <c r="EM39" s="193" t="str">
        <v/>
      </c>
      <c r="EN39" s="193" t="str">
        <v/>
      </c>
      <c r="EO39" s="193" t="str">
        <v/>
      </c>
      <c r="EP39" s="193" t="str">
        <v/>
      </c>
      <c r="EQ39" s="193" t="str">
        <v/>
      </c>
      <c r="ER39" s="193" t="str">
        <v/>
      </c>
      <c r="ES39" s="193" t="str">
        <v/>
      </c>
      <c r="ET39" s="193" t="str">
        <v/>
      </c>
      <c r="EU39" s="193" t="str">
        <v/>
      </c>
      <c r="EV39" s="193" t="str">
        <v/>
      </c>
      <c r="EW39" s="193" t="str">
        <v/>
      </c>
      <c r="EX39" s="193" t="str">
        <v/>
      </c>
      <c r="EY39" s="193" t="str">
        <v/>
      </c>
      <c r="EZ39" s="193" t="str">
        <v/>
      </c>
      <c r="FA39" s="193" t="str">
        <v/>
      </c>
      <c r="FB39" s="193" t="str">
        <v/>
      </c>
      <c r="FC39" s="193" t="str">
        <v/>
      </c>
      <c r="FD39" s="193" t="str">
        <v/>
      </c>
      <c r="FE39" s="193" t="str">
        <v/>
      </c>
      <c r="FF39" s="193" t="str">
        <v/>
      </c>
      <c r="FG39" s="193" t="str">
        <v/>
      </c>
      <c r="FH39" s="193" t="str">
        <v/>
      </c>
      <c r="FI39" s="193" t="str">
        <v/>
      </c>
      <c r="FJ39" s="193" t="str">
        <v/>
      </c>
      <c r="FK39" s="193" t="str">
        <v/>
      </c>
      <c r="FL39" s="193" t="str">
        <v/>
      </c>
      <c r="FM39" s="193" t="str">
        <v/>
      </c>
      <c r="FN39" s="193" t="str">
        <v/>
      </c>
      <c r="FO39" s="193" t="str">
        <v/>
      </c>
      <c r="FP39" s="193" t="str">
        <v/>
      </c>
      <c r="FQ39" s="193" t="str">
        <v/>
      </c>
      <c r="FR39" s="193" t="str">
        <v/>
      </c>
      <c r="FS39" s="193" t="str">
        <v/>
      </c>
      <c r="FT39" s="193" t="str">
        <v/>
      </c>
      <c r="FU39" s="193" t="str">
        <v/>
      </c>
      <c r="FV39" s="193" t="str">
        <v/>
      </c>
      <c r="FW39" s="193" t="str">
        <v/>
      </c>
      <c r="FX39" s="193" t="str">
        <v/>
      </c>
      <c r="FY39" s="193" t="str">
        <v/>
      </c>
      <c r="FZ39" s="193" t="str">
        <v/>
      </c>
      <c r="GA39" s="193" t="str">
        <v/>
      </c>
      <c r="GB39" s="193" t="str">
        <v/>
      </c>
      <c r="GC39" s="193" t="str">
        <v/>
      </c>
      <c r="GD39" s="193" t="str">
        <v/>
      </c>
      <c r="GE39" s="193" t="str">
        <v/>
      </c>
      <c r="GF39" s="193" t="str">
        <v/>
      </c>
      <c r="GG39" s="193" t="str">
        <v/>
      </c>
      <c r="GH39" s="193" t="str">
        <v/>
      </c>
      <c r="GI39" s="193" t="str">
        <v/>
      </c>
      <c r="GJ39" s="193" t="str">
        <v/>
      </c>
      <c r="GK39" s="193" t="str">
        <v/>
      </c>
      <c r="GL39" s="193" t="str">
        <v/>
      </c>
      <c r="GM39" s="193" t="str">
        <v/>
      </c>
      <c r="GN39" s="193" t="str">
        <v/>
      </c>
      <c r="GO39" s="193" t="str">
        <v/>
      </c>
      <c r="GP39" s="193" t="str">
        <v/>
      </c>
      <c r="GQ39" s="193" t="str">
        <v/>
      </c>
      <c r="GR39" s="193" t="str">
        <v/>
      </c>
      <c r="GS39" s="193" t="str">
        <v/>
      </c>
      <c r="GT39" s="193" t="str">
        <v/>
      </c>
      <c r="GU39" s="193" t="str">
        <v/>
      </c>
      <c r="GV39" s="193" t="str">
        <v/>
      </c>
      <c r="GW39" s="193" t="str">
        <v/>
      </c>
      <c r="GX39" s="193" t="str">
        <v/>
      </c>
      <c r="GY39" s="193" t="str">
        <v/>
      </c>
      <c r="GZ39" s="193" t="str">
        <v/>
      </c>
      <c r="HA39" s="193" t="str">
        <v/>
      </c>
      <c r="HB39" s="193" t="str">
        <v/>
      </c>
      <c r="HC39" s="193" t="str">
        <v/>
      </c>
      <c r="HD39" s="193" t="str">
        <v/>
      </c>
      <c r="HE39" s="193" t="str">
        <v/>
      </c>
      <c r="HF39" s="193" t="str">
        <v/>
      </c>
      <c r="HG39" s="193" t="str">
        <v/>
      </c>
      <c r="HH39" s="193" t="str">
        <v/>
      </c>
      <c r="HI39" s="193" t="str">
        <v/>
      </c>
      <c r="HJ39" s="193" t="str">
        <v/>
      </c>
      <c r="HK39" s="193" t="str">
        <v/>
      </c>
      <c r="HL39" s="193" t="str">
        <v/>
      </c>
      <c r="HM39" s="193" t="str">
        <v/>
      </c>
      <c r="HN39" s="193" t="str">
        <v/>
      </c>
      <c r="HO39" s="193" t="str">
        <v/>
      </c>
      <c r="HP39" s="193" t="str">
        <v/>
      </c>
      <c r="HQ39" s="193" t="str">
        <v/>
      </c>
      <c r="HR39" s="193" t="str">
        <v/>
      </c>
      <c r="HS39" s="193" t="str">
        <v/>
      </c>
      <c r="HT39" s="193" t="str">
        <v/>
      </c>
      <c r="HU39" s="193" t="str">
        <v/>
      </c>
      <c r="HV39" s="193" t="str">
        <v/>
      </c>
      <c r="HW39" s="193" t="str">
        <v/>
      </c>
      <c r="HX39" s="193" t="str">
        <v/>
      </c>
      <c r="HY39" s="193" t="str">
        <v/>
      </c>
      <c r="HZ39" s="193" t="str">
        <v/>
      </c>
      <c r="IA39" s="193" t="str">
        <v/>
      </c>
      <c r="IB39" s="193" t="str">
        <v/>
      </c>
      <c r="IC39" s="193" t="str">
        <v/>
      </c>
      <c r="ID39" s="193" t="str">
        <v/>
      </c>
      <c r="IE39" s="193" t="str">
        <v/>
      </c>
      <c r="IF39" s="193" t="str">
        <v/>
      </c>
      <c r="IG39" s="193" t="str">
        <v/>
      </c>
      <c r="IH39" s="193" t="str">
        <v/>
      </c>
      <c r="II39" s="193" t="str">
        <v/>
      </c>
      <c r="IJ39" s="193" t="str">
        <v/>
      </c>
      <c r="IK39" s="193" t="str">
        <v/>
      </c>
      <c r="IL39" s="193" t="str">
        <v/>
      </c>
      <c r="IM39" s="193" t="str">
        <v/>
      </c>
      <c r="IN39" s="193" t="str">
        <v/>
      </c>
      <c r="IO39" s="193" t="str">
        <v/>
      </c>
      <c r="IP39" s="193" t="str">
        <v/>
      </c>
      <c r="IQ39" s="193" t="str">
        <v/>
      </c>
      <c r="IR39" s="193" t="str">
        <v/>
      </c>
      <c r="IS39" s="193" t="str">
        <v/>
      </c>
      <c r="IT39" s="193" t="str">
        <v/>
      </c>
      <c r="IU39" s="193" t="str">
        <v/>
      </c>
      <c r="IV39" s="193" t="str">
        <v/>
      </c>
      <c r="IW39" s="193" t="str">
        <v/>
      </c>
      <c r="IX39" s="193" t="str">
        <v/>
      </c>
      <c r="IY39" s="193" t="str">
        <v/>
      </c>
      <c r="IZ39" s="193" t="str">
        <v/>
      </c>
      <c r="JA39" s="193" t="str">
        <v/>
      </c>
      <c r="JB39" s="193" t="str">
        <v/>
      </c>
      <c r="JC39" s="193" t="str">
        <v/>
      </c>
      <c r="JD39" s="193" t="str">
        <v/>
      </c>
      <c r="JE39" s="193" t="str">
        <v/>
      </c>
      <c r="JF39" s="193" t="str">
        <v/>
      </c>
      <c r="JG39" s="193" t="str">
        <v/>
      </c>
      <c r="JH39" s="193" t="str">
        <v/>
      </c>
      <c r="JI39" s="193" t="str">
        <v/>
      </c>
      <c r="JJ39" s="193" t="str">
        <v/>
      </c>
      <c r="JK39" s="193" t="str">
        <v/>
      </c>
      <c r="JL39" s="193" t="str">
        <v/>
      </c>
      <c r="JM39" s="193" t="str">
        <v/>
      </c>
      <c r="JN39" s="193" t="str">
        <v/>
      </c>
      <c r="JO39" s="193" t="str">
        <v/>
      </c>
      <c r="JP39" s="193" t="str">
        <v/>
      </c>
      <c r="JQ39" s="193" t="str">
        <v/>
      </c>
      <c r="JR39" s="193" t="str">
        <v/>
      </c>
      <c r="JS39" s="193" t="str">
        <v/>
      </c>
      <c r="JT39" s="193" t="str">
        <v/>
      </c>
      <c r="JU39" s="193" t="str">
        <v/>
      </c>
      <c r="JV39" s="193" t="str">
        <v/>
      </c>
      <c r="JW39" s="193" t="str">
        <v/>
      </c>
      <c r="JX39" s="193" t="str">
        <v/>
      </c>
      <c r="JY39" s="193" t="str">
        <v/>
      </c>
      <c r="JZ39" s="193" t="str">
        <v/>
      </c>
      <c r="KA39" s="193" t="str">
        <v/>
      </c>
      <c r="KB39" s="193" t="str">
        <v/>
      </c>
      <c r="KC39" s="193" t="str">
        <v/>
      </c>
      <c r="KD39" s="193" t="str">
        <v/>
      </c>
      <c r="KE39" s="193" t="str">
        <v/>
      </c>
      <c r="KF39" s="193" t="str">
        <v/>
      </c>
      <c r="KG39" s="193" t="str">
        <v/>
      </c>
      <c r="KH39" s="193" t="str">
        <v/>
      </c>
      <c r="KI39" s="193" t="str">
        <v/>
      </c>
      <c r="KJ39" s="193" t="str">
        <v/>
      </c>
      <c r="KK39" s="193" t="str">
        <v/>
      </c>
      <c r="KL39" s="193" t="str">
        <v/>
      </c>
      <c r="KM39" s="193" t="str">
        <v/>
      </c>
      <c r="KN39" s="193" t="str">
        <v/>
      </c>
      <c r="KO39" s="193" t="str">
        <v/>
      </c>
      <c r="KP39" s="900" t="str">
        <v/>
      </c>
      <c r="KQ39" s="699" t="s">
        <v>388</v>
      </c>
    </row>
    <row r="40" spans="1:303" s="184" customFormat="1" hidden="1" x14ac:dyDescent="0.45">
      <c r="A40" s="1749"/>
      <c r="B40" s="143" t="s">
        <v>308</v>
      </c>
      <c r="C40" s="874" t="str">
        <v/>
      </c>
      <c r="D40" s="194" t="str">
        <v/>
      </c>
      <c r="E40" s="194" t="str">
        <v/>
      </c>
      <c r="F40" s="194" t="str">
        <v/>
      </c>
      <c r="G40" s="194" t="str">
        <v/>
      </c>
      <c r="H40" s="194" t="str">
        <v/>
      </c>
      <c r="I40" s="194" t="str">
        <v/>
      </c>
      <c r="J40" s="194" t="str">
        <v/>
      </c>
      <c r="K40" s="194" t="str">
        <v/>
      </c>
      <c r="L40" s="194" t="str">
        <v/>
      </c>
      <c r="M40" s="194" t="str">
        <v/>
      </c>
      <c r="N40" s="194" t="str">
        <v/>
      </c>
      <c r="O40" s="194" t="str">
        <v/>
      </c>
      <c r="P40" s="194" t="str">
        <v/>
      </c>
      <c r="Q40" s="194" t="str">
        <v/>
      </c>
      <c r="R40" s="194" t="str">
        <v/>
      </c>
      <c r="S40" s="194" t="str">
        <v/>
      </c>
      <c r="T40" s="194" t="str">
        <v/>
      </c>
      <c r="U40" s="194" t="str">
        <v/>
      </c>
      <c r="V40" s="194" t="str">
        <v/>
      </c>
      <c r="W40" s="194" t="str">
        <v/>
      </c>
      <c r="X40" s="194" t="str">
        <v/>
      </c>
      <c r="Y40" s="194" t="str">
        <v/>
      </c>
      <c r="Z40" s="194" t="str">
        <v/>
      </c>
      <c r="AA40" s="194" t="str">
        <v/>
      </c>
      <c r="AB40" s="194" t="str">
        <v/>
      </c>
      <c r="AC40" s="194" t="str">
        <v/>
      </c>
      <c r="AD40" s="194" t="str">
        <v/>
      </c>
      <c r="AE40" s="194" t="str">
        <v/>
      </c>
      <c r="AF40" s="194" t="str">
        <v/>
      </c>
      <c r="AG40" s="194" t="str">
        <v/>
      </c>
      <c r="AH40" s="194" t="str">
        <v/>
      </c>
      <c r="AI40" s="194" t="str">
        <v/>
      </c>
      <c r="AJ40" s="194" t="str">
        <v/>
      </c>
      <c r="AK40" s="194" t="str">
        <v/>
      </c>
      <c r="AL40" s="194" t="str">
        <v/>
      </c>
      <c r="AM40" s="194" t="str">
        <v/>
      </c>
      <c r="AN40" s="194" t="str">
        <v/>
      </c>
      <c r="AO40" s="194" t="str">
        <v/>
      </c>
      <c r="AP40" s="194" t="str">
        <v/>
      </c>
      <c r="AQ40" s="194" t="str">
        <v/>
      </c>
      <c r="AR40" s="194" t="str">
        <v/>
      </c>
      <c r="AS40" s="194" t="str">
        <v/>
      </c>
      <c r="AT40" s="194" t="str">
        <v/>
      </c>
      <c r="AU40" s="194" t="str">
        <v/>
      </c>
      <c r="AV40" s="194" t="str">
        <v/>
      </c>
      <c r="AW40" s="194" t="str">
        <v/>
      </c>
      <c r="AX40" s="194" t="str">
        <v/>
      </c>
      <c r="AY40" s="194" t="str">
        <v/>
      </c>
      <c r="AZ40" s="194" t="str">
        <v/>
      </c>
      <c r="BA40" s="194" t="str">
        <v/>
      </c>
      <c r="BB40" s="194" t="str">
        <v/>
      </c>
      <c r="BC40" s="194" t="str">
        <v/>
      </c>
      <c r="BD40" s="194" t="str">
        <v/>
      </c>
      <c r="BE40" s="194" t="str">
        <v/>
      </c>
      <c r="BF40" s="194" t="str">
        <v/>
      </c>
      <c r="BG40" s="194" t="str">
        <v/>
      </c>
      <c r="BH40" s="194" t="str">
        <v/>
      </c>
      <c r="BI40" s="194" t="str">
        <v/>
      </c>
      <c r="BJ40" s="194" t="str">
        <v/>
      </c>
      <c r="BK40" s="194" t="str">
        <v/>
      </c>
      <c r="BL40" s="194" t="str">
        <v/>
      </c>
      <c r="BM40" s="194" t="str">
        <v/>
      </c>
      <c r="BN40" s="194" t="str">
        <v/>
      </c>
      <c r="BO40" s="194" t="str">
        <v/>
      </c>
      <c r="BP40" s="194" t="str">
        <v/>
      </c>
      <c r="BQ40" s="194" t="str">
        <v/>
      </c>
      <c r="BR40" s="194" t="str">
        <v/>
      </c>
      <c r="BS40" s="194" t="str">
        <v/>
      </c>
      <c r="BT40" s="194" t="str">
        <v/>
      </c>
      <c r="BU40" s="194" t="str">
        <v/>
      </c>
      <c r="BV40" s="194" t="str">
        <v/>
      </c>
      <c r="BW40" s="194" t="str">
        <v/>
      </c>
      <c r="BX40" s="194" t="str">
        <v/>
      </c>
      <c r="BY40" s="194" t="str">
        <v/>
      </c>
      <c r="BZ40" s="194" t="str">
        <v/>
      </c>
      <c r="CA40" s="194" t="str">
        <v/>
      </c>
      <c r="CB40" s="194" t="str">
        <v/>
      </c>
      <c r="CC40" s="194" t="str">
        <v/>
      </c>
      <c r="CD40" s="194" t="str">
        <v/>
      </c>
      <c r="CE40" s="194" t="str">
        <v/>
      </c>
      <c r="CF40" s="194" t="str">
        <v/>
      </c>
      <c r="CG40" s="194" t="str">
        <v/>
      </c>
      <c r="CH40" s="194" t="str">
        <v/>
      </c>
      <c r="CI40" s="194" t="str">
        <v/>
      </c>
      <c r="CJ40" s="194" t="str">
        <v/>
      </c>
      <c r="CK40" s="194" t="str">
        <v/>
      </c>
      <c r="CL40" s="194" t="str">
        <v/>
      </c>
      <c r="CM40" s="194" t="str">
        <v/>
      </c>
      <c r="CN40" s="194" t="str">
        <v/>
      </c>
      <c r="CO40" s="194" t="str">
        <v/>
      </c>
      <c r="CP40" s="194" t="str">
        <v/>
      </c>
      <c r="CQ40" s="194" t="str">
        <v/>
      </c>
      <c r="CR40" s="194" t="str">
        <v/>
      </c>
      <c r="CS40" s="194" t="str">
        <v/>
      </c>
      <c r="CT40" s="194" t="str">
        <v/>
      </c>
      <c r="CU40" s="194" t="str">
        <v/>
      </c>
      <c r="CV40" s="194" t="str">
        <v/>
      </c>
      <c r="CW40" s="194" t="str">
        <v/>
      </c>
      <c r="CX40" s="194" t="str">
        <v/>
      </c>
      <c r="CY40" s="874" t="str">
        <v/>
      </c>
      <c r="CZ40" s="194" t="str">
        <v/>
      </c>
      <c r="DA40" s="194" t="str">
        <v/>
      </c>
      <c r="DB40" s="194" t="str">
        <v/>
      </c>
      <c r="DC40" s="194" t="str">
        <v/>
      </c>
      <c r="DD40" s="194" t="str">
        <v/>
      </c>
      <c r="DE40" s="194" t="str">
        <v/>
      </c>
      <c r="DF40" s="194" t="str">
        <v/>
      </c>
      <c r="DG40" s="194" t="str">
        <v/>
      </c>
      <c r="DH40" s="194" t="str">
        <v/>
      </c>
      <c r="DI40" s="194" t="str">
        <v/>
      </c>
      <c r="DJ40" s="194" t="str">
        <v/>
      </c>
      <c r="DK40" s="194" t="str">
        <v/>
      </c>
      <c r="DL40" s="194" t="str">
        <v/>
      </c>
      <c r="DM40" s="194" t="str">
        <v/>
      </c>
      <c r="DN40" s="194" t="str">
        <v/>
      </c>
      <c r="DO40" s="194" t="str">
        <v/>
      </c>
      <c r="DP40" s="194" t="str">
        <v/>
      </c>
      <c r="DQ40" s="194" t="str">
        <v/>
      </c>
      <c r="DR40" s="194" t="str">
        <v/>
      </c>
      <c r="DS40" s="194" t="str">
        <v/>
      </c>
      <c r="DT40" s="194" t="str">
        <v/>
      </c>
      <c r="DU40" s="194" t="str">
        <v/>
      </c>
      <c r="DV40" s="194" t="str">
        <v/>
      </c>
      <c r="DW40" s="194" t="str">
        <v/>
      </c>
      <c r="DX40" s="194" t="str">
        <v/>
      </c>
      <c r="DY40" s="194" t="str">
        <v/>
      </c>
      <c r="DZ40" s="194" t="str">
        <v/>
      </c>
      <c r="EA40" s="194" t="str">
        <v/>
      </c>
      <c r="EB40" s="194" t="str">
        <v/>
      </c>
      <c r="EC40" s="194" t="str">
        <v/>
      </c>
      <c r="ED40" s="194" t="str">
        <v/>
      </c>
      <c r="EE40" s="194" t="str">
        <v/>
      </c>
      <c r="EF40" s="194" t="str">
        <v/>
      </c>
      <c r="EG40" s="194" t="str">
        <v/>
      </c>
      <c r="EH40" s="194" t="str">
        <v/>
      </c>
      <c r="EI40" s="194" t="str">
        <v/>
      </c>
      <c r="EJ40" s="194" t="str">
        <v/>
      </c>
      <c r="EK40" s="194" t="str">
        <v/>
      </c>
      <c r="EL40" s="194" t="str">
        <v/>
      </c>
      <c r="EM40" s="194" t="str">
        <v/>
      </c>
      <c r="EN40" s="194" t="str">
        <v/>
      </c>
      <c r="EO40" s="194" t="str">
        <v/>
      </c>
      <c r="EP40" s="194" t="str">
        <v/>
      </c>
      <c r="EQ40" s="194" t="str">
        <v/>
      </c>
      <c r="ER40" s="194" t="str">
        <v/>
      </c>
      <c r="ES40" s="194" t="str">
        <v/>
      </c>
      <c r="ET40" s="194" t="str">
        <v/>
      </c>
      <c r="EU40" s="194" t="str">
        <v/>
      </c>
      <c r="EV40" s="194" t="str">
        <v/>
      </c>
      <c r="EW40" s="194" t="str">
        <v/>
      </c>
      <c r="EX40" s="194" t="str">
        <v/>
      </c>
      <c r="EY40" s="194" t="str">
        <v/>
      </c>
      <c r="EZ40" s="194" t="str">
        <v/>
      </c>
      <c r="FA40" s="194" t="str">
        <v/>
      </c>
      <c r="FB40" s="194" t="str">
        <v/>
      </c>
      <c r="FC40" s="194" t="str">
        <v/>
      </c>
      <c r="FD40" s="194" t="str">
        <v/>
      </c>
      <c r="FE40" s="194" t="str">
        <v/>
      </c>
      <c r="FF40" s="194" t="str">
        <v/>
      </c>
      <c r="FG40" s="194" t="str">
        <v/>
      </c>
      <c r="FH40" s="194" t="str">
        <v/>
      </c>
      <c r="FI40" s="194" t="str">
        <v/>
      </c>
      <c r="FJ40" s="194" t="str">
        <v/>
      </c>
      <c r="FK40" s="194" t="str">
        <v/>
      </c>
      <c r="FL40" s="194" t="str">
        <v/>
      </c>
      <c r="FM40" s="194" t="str">
        <v/>
      </c>
      <c r="FN40" s="194" t="str">
        <v/>
      </c>
      <c r="FO40" s="194" t="str">
        <v/>
      </c>
      <c r="FP40" s="194" t="str">
        <v/>
      </c>
      <c r="FQ40" s="194" t="str">
        <v/>
      </c>
      <c r="FR40" s="194" t="str">
        <v/>
      </c>
      <c r="FS40" s="194" t="str">
        <v/>
      </c>
      <c r="FT40" s="194" t="str">
        <v/>
      </c>
      <c r="FU40" s="194" t="str">
        <v/>
      </c>
      <c r="FV40" s="194" t="str">
        <v/>
      </c>
      <c r="FW40" s="194" t="str">
        <v/>
      </c>
      <c r="FX40" s="194" t="str">
        <v/>
      </c>
      <c r="FY40" s="194" t="str">
        <v/>
      </c>
      <c r="FZ40" s="194" t="str">
        <v/>
      </c>
      <c r="GA40" s="194" t="str">
        <v/>
      </c>
      <c r="GB40" s="194" t="str">
        <v/>
      </c>
      <c r="GC40" s="194" t="str">
        <v/>
      </c>
      <c r="GD40" s="194" t="str">
        <v/>
      </c>
      <c r="GE40" s="194" t="str">
        <v/>
      </c>
      <c r="GF40" s="194" t="str">
        <v/>
      </c>
      <c r="GG40" s="194" t="str">
        <v/>
      </c>
      <c r="GH40" s="194" t="str">
        <v/>
      </c>
      <c r="GI40" s="194" t="str">
        <v/>
      </c>
      <c r="GJ40" s="194" t="str">
        <v/>
      </c>
      <c r="GK40" s="194" t="str">
        <v/>
      </c>
      <c r="GL40" s="194" t="str">
        <v/>
      </c>
      <c r="GM40" s="194" t="str">
        <v/>
      </c>
      <c r="GN40" s="194" t="str">
        <v/>
      </c>
      <c r="GO40" s="194" t="str">
        <v/>
      </c>
      <c r="GP40" s="194" t="str">
        <v/>
      </c>
      <c r="GQ40" s="194" t="str">
        <v/>
      </c>
      <c r="GR40" s="194" t="str">
        <v/>
      </c>
      <c r="GS40" s="194" t="str">
        <v/>
      </c>
      <c r="GT40" s="194" t="str">
        <v/>
      </c>
      <c r="GU40" s="194" t="str">
        <v/>
      </c>
      <c r="GV40" s="194" t="str">
        <v/>
      </c>
      <c r="GW40" s="194" t="str">
        <v/>
      </c>
      <c r="GX40" s="194" t="str">
        <v/>
      </c>
      <c r="GY40" s="194" t="str">
        <v/>
      </c>
      <c r="GZ40" s="194" t="str">
        <v/>
      </c>
      <c r="HA40" s="194" t="str">
        <v/>
      </c>
      <c r="HB40" s="194" t="str">
        <v/>
      </c>
      <c r="HC40" s="194" t="str">
        <v/>
      </c>
      <c r="HD40" s="194" t="str">
        <v/>
      </c>
      <c r="HE40" s="194" t="str">
        <v/>
      </c>
      <c r="HF40" s="194" t="str">
        <v/>
      </c>
      <c r="HG40" s="194" t="str">
        <v/>
      </c>
      <c r="HH40" s="194" t="str">
        <v/>
      </c>
      <c r="HI40" s="194" t="str">
        <v/>
      </c>
      <c r="HJ40" s="194" t="str">
        <v/>
      </c>
      <c r="HK40" s="194" t="str">
        <v/>
      </c>
      <c r="HL40" s="194" t="str">
        <v/>
      </c>
      <c r="HM40" s="194" t="str">
        <v/>
      </c>
      <c r="HN40" s="194" t="str">
        <v/>
      </c>
      <c r="HO40" s="194" t="str">
        <v/>
      </c>
      <c r="HP40" s="194" t="str">
        <v/>
      </c>
      <c r="HQ40" s="194" t="str">
        <v/>
      </c>
      <c r="HR40" s="194" t="str">
        <v/>
      </c>
      <c r="HS40" s="194" t="str">
        <v/>
      </c>
      <c r="HT40" s="194" t="str">
        <v/>
      </c>
      <c r="HU40" s="194" t="str">
        <v/>
      </c>
      <c r="HV40" s="194" t="str">
        <v/>
      </c>
      <c r="HW40" s="194" t="str">
        <v/>
      </c>
      <c r="HX40" s="194" t="str">
        <v/>
      </c>
      <c r="HY40" s="194" t="str">
        <v/>
      </c>
      <c r="HZ40" s="194" t="str">
        <v/>
      </c>
      <c r="IA40" s="194" t="str">
        <v/>
      </c>
      <c r="IB40" s="194" t="str">
        <v/>
      </c>
      <c r="IC40" s="194" t="str">
        <v/>
      </c>
      <c r="ID40" s="194" t="str">
        <v/>
      </c>
      <c r="IE40" s="194" t="str">
        <v/>
      </c>
      <c r="IF40" s="194" t="str">
        <v/>
      </c>
      <c r="IG40" s="194" t="str">
        <v/>
      </c>
      <c r="IH40" s="194" t="str">
        <v/>
      </c>
      <c r="II40" s="194" t="str">
        <v/>
      </c>
      <c r="IJ40" s="194" t="str">
        <v/>
      </c>
      <c r="IK40" s="194" t="str">
        <v/>
      </c>
      <c r="IL40" s="194" t="str">
        <v/>
      </c>
      <c r="IM40" s="194" t="str">
        <v/>
      </c>
      <c r="IN40" s="194" t="str">
        <v/>
      </c>
      <c r="IO40" s="194" t="str">
        <v/>
      </c>
      <c r="IP40" s="194" t="str">
        <v/>
      </c>
      <c r="IQ40" s="194" t="str">
        <v/>
      </c>
      <c r="IR40" s="194" t="str">
        <v/>
      </c>
      <c r="IS40" s="194" t="str">
        <v/>
      </c>
      <c r="IT40" s="194" t="str">
        <v/>
      </c>
      <c r="IU40" s="194" t="str">
        <v/>
      </c>
      <c r="IV40" s="194" t="str">
        <v/>
      </c>
      <c r="IW40" s="194" t="str">
        <v/>
      </c>
      <c r="IX40" s="194" t="str">
        <v/>
      </c>
      <c r="IY40" s="194" t="str">
        <v/>
      </c>
      <c r="IZ40" s="194" t="str">
        <v/>
      </c>
      <c r="JA40" s="194" t="str">
        <v/>
      </c>
      <c r="JB40" s="194" t="str">
        <v/>
      </c>
      <c r="JC40" s="194" t="str">
        <v/>
      </c>
      <c r="JD40" s="194" t="str">
        <v/>
      </c>
      <c r="JE40" s="194" t="str">
        <v/>
      </c>
      <c r="JF40" s="194" t="str">
        <v/>
      </c>
      <c r="JG40" s="194" t="str">
        <v/>
      </c>
      <c r="JH40" s="194" t="str">
        <v/>
      </c>
      <c r="JI40" s="194" t="str">
        <v/>
      </c>
      <c r="JJ40" s="194" t="str">
        <v/>
      </c>
      <c r="JK40" s="194" t="str">
        <v/>
      </c>
      <c r="JL40" s="194" t="str">
        <v/>
      </c>
      <c r="JM40" s="194" t="str">
        <v/>
      </c>
      <c r="JN40" s="194" t="str">
        <v/>
      </c>
      <c r="JO40" s="194" t="str">
        <v/>
      </c>
      <c r="JP40" s="194" t="str">
        <v/>
      </c>
      <c r="JQ40" s="194" t="str">
        <v/>
      </c>
      <c r="JR40" s="194" t="str">
        <v/>
      </c>
      <c r="JS40" s="194" t="str">
        <v/>
      </c>
      <c r="JT40" s="194" t="str">
        <v/>
      </c>
      <c r="JU40" s="194" t="str">
        <v/>
      </c>
      <c r="JV40" s="194" t="str">
        <v/>
      </c>
      <c r="JW40" s="194" t="str">
        <v/>
      </c>
      <c r="JX40" s="194" t="str">
        <v/>
      </c>
      <c r="JY40" s="194" t="str">
        <v/>
      </c>
      <c r="JZ40" s="194" t="str">
        <v/>
      </c>
      <c r="KA40" s="194" t="str">
        <v/>
      </c>
      <c r="KB40" s="194" t="str">
        <v/>
      </c>
      <c r="KC40" s="194" t="str">
        <v/>
      </c>
      <c r="KD40" s="194" t="str">
        <v/>
      </c>
      <c r="KE40" s="194" t="str">
        <v/>
      </c>
      <c r="KF40" s="194" t="str">
        <v/>
      </c>
      <c r="KG40" s="194" t="str">
        <v/>
      </c>
      <c r="KH40" s="194" t="str">
        <v/>
      </c>
      <c r="KI40" s="194" t="str">
        <v/>
      </c>
      <c r="KJ40" s="194" t="str">
        <v/>
      </c>
      <c r="KK40" s="194" t="str">
        <v/>
      </c>
      <c r="KL40" s="194" t="str">
        <v/>
      </c>
      <c r="KM40" s="194" t="str">
        <v/>
      </c>
      <c r="KN40" s="194" t="str">
        <v/>
      </c>
      <c r="KO40" s="194" t="str">
        <v/>
      </c>
      <c r="KP40" s="902" t="str">
        <v/>
      </c>
      <c r="KQ40" s="699" t="s">
        <v>388</v>
      </c>
    </row>
    <row r="41" spans="1:303" s="184" customFormat="1" hidden="1" x14ac:dyDescent="0.45">
      <c r="A41" s="1752" t="s">
        <v>685</v>
      </c>
      <c r="B41" s="1753"/>
      <c r="C41" s="1430" t="str">
        <f t="array" ref="C41:KP41">IFERROR(IF(FIND("Intervals", sessions_element_primary)&gt;0, "Intervals",""), IFERROR(IF(FIND("Reps", sessions_element_primary)&gt;0, "Reps",""),
IFERROR(IF(FIND("Intervals", sessions_element_secondary)&gt;0, "Intervals",""), IFERROR(IF(FIND("Reps", sessions_element_secondary)&gt;0, "Reps",""),
IFERROR(IF(FIND("Intervals", sessions_element_tertiary)&gt;0, "Intervals",""), IFERROR(IF(FIND("Reps", sessions_element_tertiary)&gt;0, "Reps",""), ""))))))</f>
        <v/>
      </c>
      <c r="D41" s="1430" t="str">
        <v/>
      </c>
      <c r="E41" s="1430" t="str">
        <v/>
      </c>
      <c r="F41" s="1430" t="str">
        <v/>
      </c>
      <c r="G41" s="1430" t="str">
        <v/>
      </c>
      <c r="H41" s="1430" t="str">
        <v/>
      </c>
      <c r="I41" s="1430" t="str">
        <v/>
      </c>
      <c r="J41" s="1430" t="str">
        <v/>
      </c>
      <c r="K41" s="1430" t="str">
        <v/>
      </c>
      <c r="L41" s="1430" t="str">
        <v/>
      </c>
      <c r="M41" s="1430" t="str">
        <v/>
      </c>
      <c r="N41" s="1430" t="str">
        <v/>
      </c>
      <c r="O41" s="1430" t="str">
        <v/>
      </c>
      <c r="P41" s="1430" t="str">
        <v/>
      </c>
      <c r="Q41" s="1430" t="str">
        <v/>
      </c>
      <c r="R41" s="1430" t="str">
        <v/>
      </c>
      <c r="S41" s="1430" t="str">
        <v/>
      </c>
      <c r="T41" s="1430" t="str">
        <v/>
      </c>
      <c r="U41" s="1430" t="str">
        <v/>
      </c>
      <c r="V41" s="1430" t="str">
        <v/>
      </c>
      <c r="W41" s="1430" t="str">
        <v/>
      </c>
      <c r="X41" s="1430" t="str">
        <v/>
      </c>
      <c r="Y41" s="1430" t="str">
        <v/>
      </c>
      <c r="Z41" s="1430" t="str">
        <v/>
      </c>
      <c r="AA41" s="1430" t="str">
        <v/>
      </c>
      <c r="AB41" s="1430" t="str">
        <v/>
      </c>
      <c r="AC41" s="1430" t="str">
        <v/>
      </c>
      <c r="AD41" s="1430" t="str">
        <v/>
      </c>
      <c r="AE41" s="1430" t="str">
        <v/>
      </c>
      <c r="AF41" s="1430" t="str">
        <v/>
      </c>
      <c r="AG41" s="1430" t="str">
        <v/>
      </c>
      <c r="AH41" s="1430" t="str">
        <v/>
      </c>
      <c r="AI41" s="1430" t="str">
        <v/>
      </c>
      <c r="AJ41" s="1430" t="str">
        <v/>
      </c>
      <c r="AK41" s="1430" t="str">
        <v/>
      </c>
      <c r="AL41" s="1430" t="str">
        <v/>
      </c>
      <c r="AM41" s="1430" t="str">
        <v/>
      </c>
      <c r="AN41" s="1430" t="str">
        <v/>
      </c>
      <c r="AO41" s="1430" t="str">
        <v/>
      </c>
      <c r="AP41" s="1430" t="str">
        <v/>
      </c>
      <c r="AQ41" s="1430" t="str">
        <v>Intervals</v>
      </c>
      <c r="AR41" s="1430" t="str">
        <v>Intervals</v>
      </c>
      <c r="AS41" s="1430" t="str">
        <v>Intervals</v>
      </c>
      <c r="AT41" s="1430" t="str">
        <v>Intervals</v>
      </c>
      <c r="AU41" s="1430" t="str">
        <v>Intervals</v>
      </c>
      <c r="AV41" s="1430" t="str">
        <v>Intervals</v>
      </c>
      <c r="AW41" s="1430" t="str">
        <v>Intervals</v>
      </c>
      <c r="AX41" s="1430" t="str">
        <v>Intervals</v>
      </c>
      <c r="AY41" s="1430" t="str">
        <v>Intervals</v>
      </c>
      <c r="AZ41" s="1430" t="str">
        <v>Intervals</v>
      </c>
      <c r="BA41" s="1430" t="str">
        <v>Intervals</v>
      </c>
      <c r="BB41" s="1430" t="str">
        <v>Intervals</v>
      </c>
      <c r="BC41" s="1430" t="str">
        <v/>
      </c>
      <c r="BD41" s="1430" t="str">
        <v/>
      </c>
      <c r="BE41" s="1430" t="str">
        <v/>
      </c>
      <c r="BF41" s="1430" t="str">
        <v/>
      </c>
      <c r="BG41" s="1430" t="str">
        <v/>
      </c>
      <c r="BH41" s="1430" t="str">
        <v/>
      </c>
      <c r="BI41" s="1430" t="str">
        <v/>
      </c>
      <c r="BJ41" s="1430" t="str">
        <v/>
      </c>
      <c r="BK41" s="1430" t="str">
        <v>Reps</v>
      </c>
      <c r="BL41" s="1430" t="str">
        <v>Reps</v>
      </c>
      <c r="BM41" s="1430" t="str">
        <v>Reps</v>
      </c>
      <c r="BN41" s="1430" t="str">
        <v>Reps</v>
      </c>
      <c r="BO41" s="1430" t="str">
        <v>Reps</v>
      </c>
      <c r="BP41" s="1430" t="str">
        <v>Reps</v>
      </c>
      <c r="BQ41" s="1430" t="str">
        <v>Reps</v>
      </c>
      <c r="BR41" s="1430" t="str">
        <v>Reps</v>
      </c>
      <c r="BS41" s="1430" t="str">
        <v>Reps</v>
      </c>
      <c r="BT41" s="1430" t="str">
        <v/>
      </c>
      <c r="BU41" s="1430" t="str">
        <v/>
      </c>
      <c r="BV41" s="1430" t="str">
        <v/>
      </c>
      <c r="BW41" s="1430" t="str">
        <v>Reps</v>
      </c>
      <c r="BX41" s="1430" t="str">
        <v/>
      </c>
      <c r="BY41" s="1430" t="str">
        <v>Reps</v>
      </c>
      <c r="BZ41" s="1430" t="str">
        <v/>
      </c>
      <c r="CA41" s="1430" t="str">
        <v/>
      </c>
      <c r="CB41" s="1430" t="str">
        <v/>
      </c>
      <c r="CC41" s="1430" t="str">
        <v/>
      </c>
      <c r="CD41" s="1430" t="str">
        <v/>
      </c>
      <c r="CE41" s="1430" t="str">
        <v/>
      </c>
      <c r="CF41" s="1430" t="str">
        <v/>
      </c>
      <c r="CG41" s="1430" t="str">
        <v/>
      </c>
      <c r="CH41" s="1430" t="str">
        <v/>
      </c>
      <c r="CI41" s="1430" t="str">
        <v/>
      </c>
      <c r="CJ41" s="1430" t="str">
        <v/>
      </c>
      <c r="CK41" s="1430" t="str">
        <v/>
      </c>
      <c r="CL41" s="1430" t="str">
        <v/>
      </c>
      <c r="CM41" s="1430" t="str">
        <v/>
      </c>
      <c r="CN41" s="1430" t="str">
        <v/>
      </c>
      <c r="CO41" s="1430" t="str">
        <v/>
      </c>
      <c r="CP41" s="1430" t="str">
        <v/>
      </c>
      <c r="CQ41" s="1430" t="str">
        <v/>
      </c>
      <c r="CR41" s="1430" t="str">
        <v/>
      </c>
      <c r="CS41" s="1430" t="str">
        <v/>
      </c>
      <c r="CT41" s="1430" t="str">
        <v/>
      </c>
      <c r="CU41" s="1430" t="str">
        <v/>
      </c>
      <c r="CV41" s="1430" t="str">
        <v/>
      </c>
      <c r="CW41" s="1430" t="str">
        <v/>
      </c>
      <c r="CX41" s="1430" t="str">
        <v/>
      </c>
      <c r="CY41" s="1429" t="str">
        <v/>
      </c>
      <c r="CZ41" s="1430" t="str">
        <v/>
      </c>
      <c r="DA41" s="1430" t="str">
        <v/>
      </c>
      <c r="DB41" s="1430" t="str">
        <v/>
      </c>
      <c r="DC41" s="1430" t="str">
        <v/>
      </c>
      <c r="DD41" s="1430" t="str">
        <v/>
      </c>
      <c r="DE41" s="1430" t="str">
        <v/>
      </c>
      <c r="DF41" s="1430" t="str">
        <v/>
      </c>
      <c r="DG41" s="1430" t="str">
        <v/>
      </c>
      <c r="DH41" s="1430" t="str">
        <v/>
      </c>
      <c r="DI41" s="1430" t="str">
        <v/>
      </c>
      <c r="DJ41" s="1430" t="str">
        <v/>
      </c>
      <c r="DK41" s="1430" t="str">
        <v/>
      </c>
      <c r="DL41" s="1430" t="str">
        <v/>
      </c>
      <c r="DM41" s="1430" t="str">
        <v/>
      </c>
      <c r="DN41" s="1430" t="str">
        <v/>
      </c>
      <c r="DO41" s="1430" t="str">
        <v/>
      </c>
      <c r="DP41" s="1430" t="str">
        <v/>
      </c>
      <c r="DQ41" s="1430" t="str">
        <v/>
      </c>
      <c r="DR41" s="1430" t="str">
        <v/>
      </c>
      <c r="DS41" s="1430" t="str">
        <v/>
      </c>
      <c r="DT41" s="1430" t="str">
        <v/>
      </c>
      <c r="DU41" s="1430" t="str">
        <v/>
      </c>
      <c r="DV41" s="1430" t="str">
        <v/>
      </c>
      <c r="DW41" s="1430" t="str">
        <v/>
      </c>
      <c r="DX41" s="1430" t="str">
        <v/>
      </c>
      <c r="DY41" s="1430" t="str">
        <v/>
      </c>
      <c r="DZ41" s="1430" t="str">
        <v/>
      </c>
      <c r="EA41" s="1430" t="str">
        <v/>
      </c>
      <c r="EB41" s="1430" t="str">
        <v/>
      </c>
      <c r="EC41" s="1430" t="str">
        <v/>
      </c>
      <c r="ED41" s="1430" t="str">
        <v/>
      </c>
      <c r="EE41" s="1430" t="str">
        <v/>
      </c>
      <c r="EF41" s="1430" t="str">
        <v/>
      </c>
      <c r="EG41" s="1430" t="str">
        <v/>
      </c>
      <c r="EH41" s="1430" t="str">
        <v/>
      </c>
      <c r="EI41" s="1430" t="str">
        <v/>
      </c>
      <c r="EJ41" s="1430" t="str">
        <v/>
      </c>
      <c r="EK41" s="1430" t="str">
        <v/>
      </c>
      <c r="EL41" s="1430" t="str">
        <v/>
      </c>
      <c r="EM41" s="1430" t="str">
        <v/>
      </c>
      <c r="EN41" s="1430" t="str">
        <v/>
      </c>
      <c r="EO41" s="1430" t="str">
        <v/>
      </c>
      <c r="EP41" s="1430" t="str">
        <v/>
      </c>
      <c r="EQ41" s="1430" t="str">
        <v/>
      </c>
      <c r="ER41" s="1430" t="str">
        <v/>
      </c>
      <c r="ES41" s="1430" t="str">
        <v/>
      </c>
      <c r="ET41" s="1430" t="str">
        <v/>
      </c>
      <c r="EU41" s="1430" t="str">
        <v/>
      </c>
      <c r="EV41" s="1430" t="str">
        <v/>
      </c>
      <c r="EW41" s="1430" t="str">
        <v/>
      </c>
      <c r="EX41" s="1430" t="str">
        <v/>
      </c>
      <c r="EY41" s="1430" t="str">
        <v/>
      </c>
      <c r="EZ41" s="1430" t="str">
        <v/>
      </c>
      <c r="FA41" s="1430" t="str">
        <v/>
      </c>
      <c r="FB41" s="1430" t="str">
        <v/>
      </c>
      <c r="FC41" s="1430" t="str">
        <v/>
      </c>
      <c r="FD41" s="1430" t="str">
        <v/>
      </c>
      <c r="FE41" s="1430" t="str">
        <v/>
      </c>
      <c r="FF41" s="1430" t="str">
        <v/>
      </c>
      <c r="FG41" s="1430" t="str">
        <v>Reps</v>
      </c>
      <c r="FH41" s="1430" t="str">
        <v>Reps</v>
      </c>
      <c r="FI41" s="1430" t="str">
        <v>Reps</v>
      </c>
      <c r="FJ41" s="1430" t="str">
        <v>Reps</v>
      </c>
      <c r="FK41" s="1430" t="str">
        <v>Reps</v>
      </c>
      <c r="FL41" s="1430" t="str">
        <v>Reps</v>
      </c>
      <c r="FM41" s="1430" t="str">
        <v>Reps</v>
      </c>
      <c r="FN41" s="1430" t="str">
        <v>Reps</v>
      </c>
      <c r="FO41" s="1430" t="str">
        <v>Reps</v>
      </c>
      <c r="FP41" s="1430" t="str">
        <v>Reps</v>
      </c>
      <c r="FQ41" s="1430" t="str">
        <v/>
      </c>
      <c r="FR41" s="1430" t="str">
        <v/>
      </c>
      <c r="FS41" s="1430" t="str">
        <v/>
      </c>
      <c r="FT41" s="1430" t="str">
        <v/>
      </c>
      <c r="FU41" s="1430" t="str">
        <v/>
      </c>
      <c r="FV41" s="1430" t="str">
        <v/>
      </c>
      <c r="FW41" s="1430" t="str">
        <v/>
      </c>
      <c r="FX41" s="1430" t="str">
        <v/>
      </c>
      <c r="FY41" s="1430" t="str">
        <v/>
      </c>
      <c r="FZ41" s="1430" t="str">
        <v/>
      </c>
      <c r="GA41" s="1430" t="str">
        <v/>
      </c>
      <c r="GB41" s="1430" t="str">
        <v/>
      </c>
      <c r="GC41" s="1430" t="str">
        <v/>
      </c>
      <c r="GD41" s="1430" t="str">
        <v/>
      </c>
      <c r="GE41" s="1430" t="str">
        <v/>
      </c>
      <c r="GF41" s="1430" t="str">
        <v/>
      </c>
      <c r="GG41" s="1430" t="str">
        <v/>
      </c>
      <c r="GH41" s="1430" t="str">
        <v/>
      </c>
      <c r="GI41" s="1430" t="str">
        <v/>
      </c>
      <c r="GJ41" s="1430" t="str">
        <v/>
      </c>
      <c r="GK41" s="1430" t="str">
        <v/>
      </c>
      <c r="GL41" s="1430" t="str">
        <v/>
      </c>
      <c r="GM41" s="1430" t="str">
        <v/>
      </c>
      <c r="GN41" s="1430" t="str">
        <v/>
      </c>
      <c r="GO41" s="1430" t="str">
        <v/>
      </c>
      <c r="GP41" s="1430" t="str">
        <v/>
      </c>
      <c r="GQ41" s="1430" t="str">
        <v/>
      </c>
      <c r="GR41" s="1430" t="str">
        <v/>
      </c>
      <c r="GS41" s="1430" t="str">
        <v/>
      </c>
      <c r="GT41" s="1430" t="str">
        <v/>
      </c>
      <c r="GU41" s="1430" t="str">
        <v/>
      </c>
      <c r="GV41" s="1430" t="str">
        <v/>
      </c>
      <c r="GW41" s="1430" t="str">
        <v/>
      </c>
      <c r="GX41" s="1430" t="str">
        <v/>
      </c>
      <c r="GY41" s="1430" t="str">
        <v/>
      </c>
      <c r="GZ41" s="1430" t="str">
        <v/>
      </c>
      <c r="HA41" s="1430" t="str">
        <v/>
      </c>
      <c r="HB41" s="1430" t="str">
        <v/>
      </c>
      <c r="HC41" s="1430" t="str">
        <v/>
      </c>
      <c r="HD41" s="1430" t="str">
        <v/>
      </c>
      <c r="HE41" s="1430" t="str">
        <v/>
      </c>
      <c r="HF41" s="1430" t="str">
        <v/>
      </c>
      <c r="HG41" s="1430" t="str">
        <v/>
      </c>
      <c r="HH41" s="1430" t="str">
        <v/>
      </c>
      <c r="HI41" s="1430" t="str">
        <v/>
      </c>
      <c r="HJ41" s="1430" t="str">
        <v/>
      </c>
      <c r="HK41" s="1430" t="str">
        <v/>
      </c>
      <c r="HL41" s="1430" t="str">
        <v/>
      </c>
      <c r="HM41" s="1430" t="str">
        <v/>
      </c>
      <c r="HN41" s="1430" t="str">
        <v/>
      </c>
      <c r="HO41" s="1430" t="str">
        <v/>
      </c>
      <c r="HP41" s="1430" t="str">
        <v/>
      </c>
      <c r="HQ41" s="1430" t="str">
        <v/>
      </c>
      <c r="HR41" s="1430" t="str">
        <v/>
      </c>
      <c r="HS41" s="1430" t="str">
        <v/>
      </c>
      <c r="HT41" s="1430" t="str">
        <v/>
      </c>
      <c r="HU41" s="1430" t="str">
        <v/>
      </c>
      <c r="HV41" s="1430" t="str">
        <v/>
      </c>
      <c r="HW41" s="1430" t="str">
        <v/>
      </c>
      <c r="HX41" s="1430" t="str">
        <v/>
      </c>
      <c r="HY41" s="1430" t="str">
        <v/>
      </c>
      <c r="HZ41" s="1430" t="str">
        <v/>
      </c>
      <c r="IA41" s="1430" t="str">
        <v/>
      </c>
      <c r="IB41" s="1430" t="str">
        <v/>
      </c>
      <c r="IC41" s="1430" t="str">
        <v/>
      </c>
      <c r="ID41" s="1430" t="str">
        <v/>
      </c>
      <c r="IE41" s="1430" t="str">
        <v/>
      </c>
      <c r="IF41" s="1430" t="str">
        <v/>
      </c>
      <c r="IG41" s="1430" t="str">
        <v/>
      </c>
      <c r="IH41" s="1430" t="str">
        <v/>
      </c>
      <c r="II41" s="1430" t="str">
        <v/>
      </c>
      <c r="IJ41" s="1430" t="str">
        <v/>
      </c>
      <c r="IK41" s="1430" t="str">
        <v/>
      </c>
      <c r="IL41" s="1430" t="str">
        <v/>
      </c>
      <c r="IM41" s="1430" t="str">
        <v/>
      </c>
      <c r="IN41" s="1430" t="str">
        <v/>
      </c>
      <c r="IO41" s="1430" t="str">
        <v/>
      </c>
      <c r="IP41" s="1430" t="str">
        <v/>
      </c>
      <c r="IQ41" s="1430" t="str">
        <v/>
      </c>
      <c r="IR41" s="1430" t="str">
        <v/>
      </c>
      <c r="IS41" s="1430" t="str">
        <v/>
      </c>
      <c r="IT41" s="1430" t="str">
        <v/>
      </c>
      <c r="IU41" s="1430" t="str">
        <v/>
      </c>
      <c r="IV41" s="1430" t="str">
        <v/>
      </c>
      <c r="IW41" s="1430" t="str">
        <v/>
      </c>
      <c r="IX41" s="1430" t="str">
        <v/>
      </c>
      <c r="IY41" s="1430" t="str">
        <v/>
      </c>
      <c r="IZ41" s="1430" t="str">
        <v/>
      </c>
      <c r="JA41" s="1430" t="str">
        <v/>
      </c>
      <c r="JB41" s="1430" t="str">
        <v/>
      </c>
      <c r="JC41" s="1430" t="str">
        <v/>
      </c>
      <c r="JD41" s="1430" t="str">
        <v/>
      </c>
      <c r="JE41" s="1430" t="str">
        <v/>
      </c>
      <c r="JF41" s="1430" t="str">
        <v/>
      </c>
      <c r="JG41" s="1430" t="str">
        <v/>
      </c>
      <c r="JH41" s="1430" t="str">
        <v/>
      </c>
      <c r="JI41" s="1430" t="str">
        <v/>
      </c>
      <c r="JJ41" s="1430" t="str">
        <v/>
      </c>
      <c r="JK41" s="1430" t="str">
        <v/>
      </c>
      <c r="JL41" s="1430" t="str">
        <v/>
      </c>
      <c r="JM41" s="1430" t="str">
        <v/>
      </c>
      <c r="JN41" s="1430" t="str">
        <v/>
      </c>
      <c r="JO41" s="1430" t="str">
        <v/>
      </c>
      <c r="JP41" s="1430" t="str">
        <v/>
      </c>
      <c r="JQ41" s="1430" t="str">
        <v/>
      </c>
      <c r="JR41" s="1430" t="str">
        <v/>
      </c>
      <c r="JS41" s="1430" t="str">
        <v/>
      </c>
      <c r="JT41" s="1430" t="str">
        <v/>
      </c>
      <c r="JU41" s="1430" t="str">
        <v/>
      </c>
      <c r="JV41" s="1430" t="str">
        <v/>
      </c>
      <c r="JW41" s="1430" t="str">
        <v/>
      </c>
      <c r="JX41" s="1430" t="str">
        <v/>
      </c>
      <c r="JY41" s="1430" t="str">
        <v/>
      </c>
      <c r="JZ41" s="1430" t="str">
        <v/>
      </c>
      <c r="KA41" s="1430" t="str">
        <v/>
      </c>
      <c r="KB41" s="1430" t="str">
        <v/>
      </c>
      <c r="KC41" s="1430" t="str">
        <v/>
      </c>
      <c r="KD41" s="1430" t="str">
        <v/>
      </c>
      <c r="KE41" s="1430" t="str">
        <v/>
      </c>
      <c r="KF41" s="1430" t="str">
        <v/>
      </c>
      <c r="KG41" s="1430" t="str">
        <v/>
      </c>
      <c r="KH41" s="1430" t="str">
        <v/>
      </c>
      <c r="KI41" s="1430" t="str">
        <v/>
      </c>
      <c r="KJ41" s="1430" t="str">
        <v/>
      </c>
      <c r="KK41" s="1430" t="str">
        <v/>
      </c>
      <c r="KL41" s="1430" t="str">
        <v/>
      </c>
      <c r="KM41" s="1430" t="str">
        <v/>
      </c>
      <c r="KN41" s="1430" t="str">
        <v/>
      </c>
      <c r="KO41" s="1430" t="str">
        <v/>
      </c>
      <c r="KP41" s="1431" t="str">
        <v/>
      </c>
      <c r="KQ41" s="699"/>
    </row>
    <row r="42" spans="1:303" s="184" customFormat="1" hidden="1" x14ac:dyDescent="0.45">
      <c r="A42" s="1752" t="s">
        <v>735</v>
      </c>
      <c r="B42" s="1753"/>
      <c r="C42" s="1429" t="str">
        <f t="array" ref="C42:KP42">IFERROR(IF(FIND("High Carb", sessions_nutrition)&gt;0, "High Carb",""), "")</f>
        <v/>
      </c>
      <c r="D42" s="1429" t="str">
        <v/>
      </c>
      <c r="E42" s="1429" t="str">
        <v/>
      </c>
      <c r="F42" s="1430" t="str">
        <v/>
      </c>
      <c r="G42" s="1430" t="str">
        <v/>
      </c>
      <c r="H42" s="1430" t="str">
        <v/>
      </c>
      <c r="I42" s="1430" t="str">
        <v/>
      </c>
      <c r="J42" s="1430" t="str">
        <v/>
      </c>
      <c r="K42" s="1430" t="str">
        <v/>
      </c>
      <c r="L42" s="1430" t="str">
        <v/>
      </c>
      <c r="M42" s="1430" t="str">
        <v/>
      </c>
      <c r="N42" s="1430" t="str">
        <v/>
      </c>
      <c r="O42" s="1430" t="str">
        <v/>
      </c>
      <c r="P42" s="1430" t="str">
        <v/>
      </c>
      <c r="Q42" s="1430" t="str">
        <v/>
      </c>
      <c r="R42" s="1430" t="str">
        <v/>
      </c>
      <c r="S42" s="1430" t="str">
        <v/>
      </c>
      <c r="T42" s="1430" t="str">
        <v/>
      </c>
      <c r="U42" s="1430" t="str">
        <v/>
      </c>
      <c r="V42" s="1430" t="str">
        <v/>
      </c>
      <c r="W42" s="1430" t="str">
        <v/>
      </c>
      <c r="X42" s="1430" t="str">
        <v/>
      </c>
      <c r="Y42" s="1430" t="str">
        <v/>
      </c>
      <c r="Z42" s="1430" t="str">
        <v/>
      </c>
      <c r="AA42" s="1430" t="str">
        <v/>
      </c>
      <c r="AB42" s="1430" t="str">
        <v/>
      </c>
      <c r="AC42" s="1430" t="str">
        <v/>
      </c>
      <c r="AD42" s="1430" t="str">
        <v/>
      </c>
      <c r="AE42" s="1430" t="str">
        <v/>
      </c>
      <c r="AF42" s="1430" t="str">
        <v/>
      </c>
      <c r="AG42" s="1430" t="str">
        <v/>
      </c>
      <c r="AH42" s="1430" t="str">
        <v/>
      </c>
      <c r="AI42" s="1430" t="str">
        <v/>
      </c>
      <c r="AJ42" s="1430" t="str">
        <v/>
      </c>
      <c r="AK42" s="1430" t="str">
        <v/>
      </c>
      <c r="AL42" s="1430" t="str">
        <v/>
      </c>
      <c r="AM42" s="1430" t="str">
        <v/>
      </c>
      <c r="AN42" s="1430" t="str">
        <v/>
      </c>
      <c r="AO42" s="1430" t="str">
        <v/>
      </c>
      <c r="AP42" s="1430" t="str">
        <v/>
      </c>
      <c r="AQ42" s="1430" t="str">
        <v/>
      </c>
      <c r="AR42" s="1430" t="str">
        <v/>
      </c>
      <c r="AS42" s="1430" t="str">
        <v/>
      </c>
      <c r="AT42" s="1430" t="str">
        <v/>
      </c>
      <c r="AU42" s="1430" t="str">
        <v/>
      </c>
      <c r="AV42" s="1430" t="str">
        <v/>
      </c>
      <c r="AW42" s="1430" t="str">
        <v/>
      </c>
      <c r="AX42" s="1430" t="str">
        <v/>
      </c>
      <c r="AY42" s="1430" t="str">
        <v/>
      </c>
      <c r="AZ42" s="1430" t="str">
        <v/>
      </c>
      <c r="BA42" s="1430" t="str">
        <v/>
      </c>
      <c r="BB42" s="1430" t="str">
        <v/>
      </c>
      <c r="BC42" s="1430" t="str">
        <v/>
      </c>
      <c r="BD42" s="1430" t="str">
        <v/>
      </c>
      <c r="BE42" s="1430" t="str">
        <v/>
      </c>
      <c r="BF42" s="1430" t="str">
        <v/>
      </c>
      <c r="BG42" s="1430" t="str">
        <v/>
      </c>
      <c r="BH42" s="1430" t="str">
        <v/>
      </c>
      <c r="BI42" s="1430" t="str">
        <v/>
      </c>
      <c r="BJ42" s="1430" t="str">
        <v/>
      </c>
      <c r="BK42" s="1430" t="str">
        <v/>
      </c>
      <c r="BL42" s="1430" t="str">
        <v/>
      </c>
      <c r="BM42" s="1430" t="str">
        <v/>
      </c>
      <c r="BN42" s="1430" t="str">
        <v/>
      </c>
      <c r="BO42" s="1430" t="str">
        <v/>
      </c>
      <c r="BP42" s="1430" t="str">
        <v/>
      </c>
      <c r="BQ42" s="1430" t="str">
        <v/>
      </c>
      <c r="BR42" s="1430" t="str">
        <v/>
      </c>
      <c r="BS42" s="1430" t="str">
        <v/>
      </c>
      <c r="BT42" s="1430" t="str">
        <v/>
      </c>
      <c r="BU42" s="1430" t="str">
        <v/>
      </c>
      <c r="BV42" s="1430" t="str">
        <v/>
      </c>
      <c r="BW42" s="1430" t="str">
        <v/>
      </c>
      <c r="BX42" s="1430" t="str">
        <v/>
      </c>
      <c r="BY42" s="1430" t="str">
        <v/>
      </c>
      <c r="BZ42" s="1430" t="str">
        <v/>
      </c>
      <c r="CA42" s="1430" t="str">
        <v/>
      </c>
      <c r="CB42" s="1430" t="str">
        <v/>
      </c>
      <c r="CC42" s="1430" t="str">
        <v/>
      </c>
      <c r="CD42" s="1430" t="str">
        <v/>
      </c>
      <c r="CE42" s="1430" t="str">
        <v/>
      </c>
      <c r="CF42" s="1430" t="str">
        <v/>
      </c>
      <c r="CG42" s="1430" t="str">
        <v/>
      </c>
      <c r="CH42" s="1430" t="str">
        <v/>
      </c>
      <c r="CI42" s="1430" t="str">
        <v/>
      </c>
      <c r="CJ42" s="1430" t="str">
        <v/>
      </c>
      <c r="CK42" s="1430" t="str">
        <v/>
      </c>
      <c r="CL42" s="1430" t="str">
        <v/>
      </c>
      <c r="CM42" s="1430" t="str">
        <v/>
      </c>
      <c r="CN42" s="1430" t="str">
        <v/>
      </c>
      <c r="CO42" s="1430" t="str">
        <v/>
      </c>
      <c r="CP42" s="1430" t="str">
        <v/>
      </c>
      <c r="CQ42" s="1430" t="str">
        <v/>
      </c>
      <c r="CR42" s="1430" t="str">
        <v/>
      </c>
      <c r="CS42" s="1430" t="str">
        <v/>
      </c>
      <c r="CT42" s="1430" t="str">
        <v/>
      </c>
      <c r="CU42" s="1430" t="str">
        <v/>
      </c>
      <c r="CV42" s="1430" t="str">
        <v/>
      </c>
      <c r="CW42" s="1430" t="str">
        <v/>
      </c>
      <c r="CX42" s="1430" t="str">
        <v/>
      </c>
      <c r="CY42" s="1429" t="str">
        <v/>
      </c>
      <c r="CZ42" s="1430" t="str">
        <v/>
      </c>
      <c r="DA42" s="1430" t="str">
        <v/>
      </c>
      <c r="DB42" s="1430" t="str">
        <v/>
      </c>
      <c r="DC42" s="1430" t="str">
        <v/>
      </c>
      <c r="DD42" s="1430" t="str">
        <v/>
      </c>
      <c r="DE42" s="1430" t="str">
        <v/>
      </c>
      <c r="DF42" s="1430" t="str">
        <v/>
      </c>
      <c r="DG42" s="1430" t="str">
        <v/>
      </c>
      <c r="DH42" s="1430" t="str">
        <v/>
      </c>
      <c r="DI42" s="1430" t="str">
        <v/>
      </c>
      <c r="DJ42" s="1430" t="str">
        <v/>
      </c>
      <c r="DK42" s="1430" t="str">
        <v/>
      </c>
      <c r="DL42" s="1430" t="str">
        <v/>
      </c>
      <c r="DM42" s="1430" t="str">
        <v/>
      </c>
      <c r="DN42" s="1430" t="str">
        <v/>
      </c>
      <c r="DO42" s="1430" t="str">
        <v/>
      </c>
      <c r="DP42" s="1430" t="str">
        <v/>
      </c>
      <c r="DQ42" s="1430" t="str">
        <v/>
      </c>
      <c r="DR42" s="1430" t="str">
        <v/>
      </c>
      <c r="DS42" s="1430" t="str">
        <v/>
      </c>
      <c r="DT42" s="1430" t="str">
        <v/>
      </c>
      <c r="DU42" s="1430" t="str">
        <v/>
      </c>
      <c r="DV42" s="1430" t="str">
        <v/>
      </c>
      <c r="DW42" s="1430" t="str">
        <v/>
      </c>
      <c r="DX42" s="1430" t="str">
        <v/>
      </c>
      <c r="DY42" s="1430" t="str">
        <v/>
      </c>
      <c r="DZ42" s="1430" t="str">
        <v/>
      </c>
      <c r="EA42" s="1430" t="str">
        <v/>
      </c>
      <c r="EB42" s="1430" t="str">
        <v/>
      </c>
      <c r="EC42" s="1430" t="str">
        <v/>
      </c>
      <c r="ED42" s="1430" t="str">
        <v/>
      </c>
      <c r="EE42" s="1430" t="str">
        <v/>
      </c>
      <c r="EF42" s="1430" t="str">
        <v/>
      </c>
      <c r="EG42" s="1430" t="str">
        <v/>
      </c>
      <c r="EH42" s="1430" t="str">
        <v/>
      </c>
      <c r="EI42" s="1430" t="str">
        <v/>
      </c>
      <c r="EJ42" s="1430" t="str">
        <v/>
      </c>
      <c r="EK42" s="1430" t="str">
        <v/>
      </c>
      <c r="EL42" s="1430" t="str">
        <v/>
      </c>
      <c r="EM42" s="1430" t="str">
        <v/>
      </c>
      <c r="EN42" s="1430" t="str">
        <v/>
      </c>
      <c r="EO42" s="1430" t="str">
        <v/>
      </c>
      <c r="EP42" s="1430" t="str">
        <v/>
      </c>
      <c r="EQ42" s="1430" t="str">
        <v/>
      </c>
      <c r="ER42" s="1430" t="str">
        <v/>
      </c>
      <c r="ES42" s="1430" t="str">
        <v/>
      </c>
      <c r="ET42" s="1430" t="str">
        <v/>
      </c>
      <c r="EU42" s="1430" t="str">
        <v/>
      </c>
      <c r="EV42" s="1430" t="str">
        <v/>
      </c>
      <c r="EW42" s="1430" t="str">
        <v/>
      </c>
      <c r="EX42" s="1430" t="str">
        <v/>
      </c>
      <c r="EY42" s="1430" t="str">
        <v/>
      </c>
      <c r="EZ42" s="1430" t="str">
        <v/>
      </c>
      <c r="FA42" s="1430" t="str">
        <v/>
      </c>
      <c r="FB42" s="1430" t="str">
        <v/>
      </c>
      <c r="FC42" s="1430" t="str">
        <v/>
      </c>
      <c r="FD42" s="1430" t="str">
        <v/>
      </c>
      <c r="FE42" s="1430" t="str">
        <v/>
      </c>
      <c r="FF42" s="1430" t="str">
        <v/>
      </c>
      <c r="FG42" s="1430" t="str">
        <v/>
      </c>
      <c r="FH42" s="1430" t="str">
        <v/>
      </c>
      <c r="FI42" s="1430" t="str">
        <v/>
      </c>
      <c r="FJ42" s="1430" t="str">
        <v/>
      </c>
      <c r="FK42" s="1430" t="str">
        <v/>
      </c>
      <c r="FL42" s="1430" t="str">
        <v/>
      </c>
      <c r="FM42" s="1430" t="str">
        <v/>
      </c>
      <c r="FN42" s="1430" t="str">
        <v/>
      </c>
      <c r="FO42" s="1430" t="str">
        <v/>
      </c>
      <c r="FP42" s="1430" t="str">
        <v/>
      </c>
      <c r="FQ42" s="1430" t="str">
        <v/>
      </c>
      <c r="FR42" s="1430" t="str">
        <v/>
      </c>
      <c r="FS42" s="1430" t="str">
        <v/>
      </c>
      <c r="FT42" s="1430" t="str">
        <v/>
      </c>
      <c r="FU42" s="1430" t="str">
        <v/>
      </c>
      <c r="FV42" s="1430" t="str">
        <v/>
      </c>
      <c r="FW42" s="1430" t="str">
        <v/>
      </c>
      <c r="FX42" s="1430" t="str">
        <v/>
      </c>
      <c r="FY42" s="1430" t="str">
        <v/>
      </c>
      <c r="FZ42" s="1430" t="str">
        <v/>
      </c>
      <c r="GA42" s="1430" t="str">
        <v/>
      </c>
      <c r="GB42" s="1430" t="str">
        <v/>
      </c>
      <c r="GC42" s="1430" t="str">
        <v/>
      </c>
      <c r="GD42" s="1430" t="str">
        <v/>
      </c>
      <c r="GE42" s="1430" t="str">
        <v/>
      </c>
      <c r="GF42" s="1430" t="str">
        <v/>
      </c>
      <c r="GG42" s="1430" t="str">
        <v/>
      </c>
      <c r="GH42" s="1430" t="str">
        <v/>
      </c>
      <c r="GI42" s="1430" t="str">
        <v/>
      </c>
      <c r="GJ42" s="1430" t="str">
        <v/>
      </c>
      <c r="GK42" s="1430" t="str">
        <v/>
      </c>
      <c r="GL42" s="1430" t="str">
        <v/>
      </c>
      <c r="GM42" s="1430" t="str">
        <v/>
      </c>
      <c r="GN42" s="1430" t="str">
        <v/>
      </c>
      <c r="GO42" s="1430" t="str">
        <v/>
      </c>
      <c r="GP42" s="1430" t="str">
        <v/>
      </c>
      <c r="GQ42" s="1430" t="str">
        <v/>
      </c>
      <c r="GR42" s="1430" t="str">
        <v/>
      </c>
      <c r="GS42" s="1430" t="str">
        <v/>
      </c>
      <c r="GT42" s="1430" t="str">
        <v/>
      </c>
      <c r="GU42" s="1430" t="str">
        <v/>
      </c>
      <c r="GV42" s="1430" t="str">
        <v/>
      </c>
      <c r="GW42" s="1430" t="str">
        <v/>
      </c>
      <c r="GX42" s="1430" t="str">
        <v/>
      </c>
      <c r="GY42" s="1430" t="str">
        <v/>
      </c>
      <c r="GZ42" s="1430" t="str">
        <v/>
      </c>
      <c r="HA42" s="1430" t="str">
        <v/>
      </c>
      <c r="HB42" s="1430" t="str">
        <v/>
      </c>
      <c r="HC42" s="1430" t="str">
        <v/>
      </c>
      <c r="HD42" s="1430" t="str">
        <v/>
      </c>
      <c r="HE42" s="1430" t="str">
        <v/>
      </c>
      <c r="HF42" s="1430" t="str">
        <v/>
      </c>
      <c r="HG42" s="1430" t="str">
        <v/>
      </c>
      <c r="HH42" s="1430" t="str">
        <v/>
      </c>
      <c r="HI42" s="1430" t="str">
        <v/>
      </c>
      <c r="HJ42" s="1430" t="str">
        <v/>
      </c>
      <c r="HK42" s="1430" t="str">
        <v/>
      </c>
      <c r="HL42" s="1430" t="str">
        <v/>
      </c>
      <c r="HM42" s="1430" t="str">
        <v/>
      </c>
      <c r="HN42" s="1430" t="str">
        <v/>
      </c>
      <c r="HO42" s="1430" t="str">
        <v/>
      </c>
      <c r="HP42" s="1430" t="str">
        <v/>
      </c>
      <c r="HQ42" s="1430" t="str">
        <v/>
      </c>
      <c r="HR42" s="1430" t="str">
        <v/>
      </c>
      <c r="HS42" s="1430" t="str">
        <v/>
      </c>
      <c r="HT42" s="1430" t="str">
        <v/>
      </c>
      <c r="HU42" s="1430" t="str">
        <v/>
      </c>
      <c r="HV42" s="1430" t="str">
        <v/>
      </c>
      <c r="HW42" s="1430" t="str">
        <v/>
      </c>
      <c r="HX42" s="1430" t="str">
        <v/>
      </c>
      <c r="HY42" s="1430" t="str">
        <v/>
      </c>
      <c r="HZ42" s="1430" t="str">
        <v/>
      </c>
      <c r="IA42" s="1430" t="str">
        <v/>
      </c>
      <c r="IB42" s="1430" t="str">
        <v/>
      </c>
      <c r="IC42" s="1430" t="str">
        <v/>
      </c>
      <c r="ID42" s="1430" t="str">
        <v/>
      </c>
      <c r="IE42" s="1430" t="str">
        <v/>
      </c>
      <c r="IF42" s="1430" t="str">
        <v/>
      </c>
      <c r="IG42" s="1430" t="str">
        <v/>
      </c>
      <c r="IH42" s="1430" t="str">
        <v/>
      </c>
      <c r="II42" s="1430" t="str">
        <v/>
      </c>
      <c r="IJ42" s="1430" t="str">
        <v/>
      </c>
      <c r="IK42" s="1430" t="str">
        <v/>
      </c>
      <c r="IL42" s="1430" t="str">
        <v/>
      </c>
      <c r="IM42" s="1430" t="str">
        <v/>
      </c>
      <c r="IN42" s="1430" t="str">
        <v/>
      </c>
      <c r="IO42" s="1430" t="str">
        <v/>
      </c>
      <c r="IP42" s="1430" t="str">
        <v/>
      </c>
      <c r="IQ42" s="1430" t="str">
        <v/>
      </c>
      <c r="IR42" s="1430" t="str">
        <v/>
      </c>
      <c r="IS42" s="1430" t="str">
        <v/>
      </c>
      <c r="IT42" s="1430" t="str">
        <v/>
      </c>
      <c r="IU42" s="1430" t="str">
        <v>High Carb</v>
      </c>
      <c r="IV42" s="1430" t="str">
        <v/>
      </c>
      <c r="IW42" s="1430" t="str">
        <v>High Carb</v>
      </c>
      <c r="IX42" s="1430" t="str">
        <v/>
      </c>
      <c r="IY42" s="1430" t="str">
        <v>High Carb</v>
      </c>
      <c r="IZ42" s="1430" t="str">
        <v/>
      </c>
      <c r="JA42" s="1430" t="str">
        <v/>
      </c>
      <c r="JB42" s="1430" t="str">
        <v/>
      </c>
      <c r="JC42" s="1430" t="str">
        <v/>
      </c>
      <c r="JD42" s="1430" t="str">
        <v/>
      </c>
      <c r="JE42" s="1430" t="str">
        <v/>
      </c>
      <c r="JF42" s="1430" t="str">
        <v/>
      </c>
      <c r="JG42" s="1430" t="str">
        <v/>
      </c>
      <c r="JH42" s="1430" t="str">
        <v/>
      </c>
      <c r="JI42" s="1430" t="str">
        <v/>
      </c>
      <c r="JJ42" s="1430" t="str">
        <v/>
      </c>
      <c r="JK42" s="1430" t="str">
        <v/>
      </c>
      <c r="JL42" s="1430" t="str">
        <v/>
      </c>
      <c r="JM42" s="1430" t="str">
        <v/>
      </c>
      <c r="JN42" s="1430" t="str">
        <v/>
      </c>
      <c r="JO42" s="1430" t="str">
        <v/>
      </c>
      <c r="JP42" s="1430" t="str">
        <v/>
      </c>
      <c r="JQ42" s="1430" t="str">
        <v/>
      </c>
      <c r="JR42" s="1430" t="str">
        <v/>
      </c>
      <c r="JS42" s="1430" t="str">
        <v/>
      </c>
      <c r="JT42" s="1430" t="str">
        <v/>
      </c>
      <c r="JU42" s="1430" t="str">
        <v/>
      </c>
      <c r="JV42" s="1430" t="str">
        <v/>
      </c>
      <c r="JW42" s="1430" t="str">
        <v/>
      </c>
      <c r="JX42" s="1430" t="str">
        <v/>
      </c>
      <c r="JY42" s="1430" t="str">
        <v/>
      </c>
      <c r="JZ42" s="1430" t="str">
        <v/>
      </c>
      <c r="KA42" s="1430" t="str">
        <v/>
      </c>
      <c r="KB42" s="1430" t="str">
        <v/>
      </c>
      <c r="KC42" s="1430" t="str">
        <v/>
      </c>
      <c r="KD42" s="1430" t="str">
        <v/>
      </c>
      <c r="KE42" s="1430" t="str">
        <v/>
      </c>
      <c r="KF42" s="1430" t="str">
        <v/>
      </c>
      <c r="KG42" s="1430" t="str">
        <v/>
      </c>
      <c r="KH42" s="1430" t="str">
        <v/>
      </c>
      <c r="KI42" s="1430" t="str">
        <v/>
      </c>
      <c r="KJ42" s="1430" t="str">
        <v/>
      </c>
      <c r="KK42" s="1430" t="str">
        <v/>
      </c>
      <c r="KL42" s="1430" t="str">
        <v/>
      </c>
      <c r="KM42" s="1430" t="str">
        <v/>
      </c>
      <c r="KN42" s="1430" t="str">
        <v/>
      </c>
      <c r="KO42" s="1430" t="str">
        <v/>
      </c>
      <c r="KP42" s="1431" t="str">
        <v/>
      </c>
      <c r="KQ42" s="699" t="s">
        <v>388</v>
      </c>
    </row>
    <row r="43" spans="1:303" s="184" customFormat="1" hidden="1" x14ac:dyDescent="0.45">
      <c r="A43" s="1748" t="s">
        <v>661</v>
      </c>
      <c r="B43" s="1495" t="s">
        <v>306</v>
      </c>
      <c r="C43" s="980" t="str">
        <f t="array" ref="C43:KP45">IFERROR(INDEX(elements_WUWD,,sessions_elements_index),"")</f>
        <v>No</v>
      </c>
      <c r="D43" s="981" t="str">
        <v>No</v>
      </c>
      <c r="E43" s="981" t="str">
        <v>No</v>
      </c>
      <c r="F43" s="981" t="str">
        <v>No</v>
      </c>
      <c r="G43" s="981" t="str">
        <v>No</v>
      </c>
      <c r="H43" s="981" t="str">
        <v>No</v>
      </c>
      <c r="I43" s="981" t="str">
        <v>No</v>
      </c>
      <c r="J43" s="981" t="str">
        <v>No</v>
      </c>
      <c r="K43" s="981" t="str">
        <v>No</v>
      </c>
      <c r="L43" s="981" t="str">
        <v>No</v>
      </c>
      <c r="M43" s="981" t="str">
        <v>No</v>
      </c>
      <c r="N43" s="981" t="str">
        <v>No</v>
      </c>
      <c r="O43" s="981" t="str">
        <v>No</v>
      </c>
      <c r="P43" s="981" t="str">
        <v>No</v>
      </c>
      <c r="Q43" s="981" t="str">
        <v>No</v>
      </c>
      <c r="R43" s="981" t="str">
        <v>No</v>
      </c>
      <c r="S43" s="981" t="str">
        <v>No</v>
      </c>
      <c r="T43" s="981" t="str">
        <v>No</v>
      </c>
      <c r="U43" s="981" t="str">
        <v>No</v>
      </c>
      <c r="V43" s="981" t="str">
        <v>No</v>
      </c>
      <c r="W43" s="981" t="str">
        <v>Yes</v>
      </c>
      <c r="X43" s="981" t="str">
        <v>Yes</v>
      </c>
      <c r="Y43" s="981" t="str">
        <v>Yes</v>
      </c>
      <c r="Z43" s="981" t="str">
        <v>Yes</v>
      </c>
      <c r="AA43" s="981" t="str">
        <v>Yes</v>
      </c>
      <c r="AB43" s="981" t="str">
        <v>Yes</v>
      </c>
      <c r="AC43" s="981" t="str">
        <v>Yes</v>
      </c>
      <c r="AD43" s="981" t="str">
        <v>Yes</v>
      </c>
      <c r="AE43" s="981" t="str">
        <v>Yes</v>
      </c>
      <c r="AF43" s="981" t="str">
        <v>Yes</v>
      </c>
      <c r="AG43" s="981" t="str">
        <v>Yes</v>
      </c>
      <c r="AH43" s="981" t="str">
        <v>Yes</v>
      </c>
      <c r="AI43" s="981" t="str">
        <v>Yes</v>
      </c>
      <c r="AJ43" s="981" t="str">
        <v>Yes</v>
      </c>
      <c r="AK43" s="981" t="str">
        <v/>
      </c>
      <c r="AL43" s="981" t="str">
        <v/>
      </c>
      <c r="AM43" s="981" t="str">
        <v/>
      </c>
      <c r="AN43" s="981" t="str">
        <v/>
      </c>
      <c r="AO43" s="981" t="str">
        <v/>
      </c>
      <c r="AP43" s="981" t="str">
        <v/>
      </c>
      <c r="AQ43" s="981" t="str">
        <v>Yes</v>
      </c>
      <c r="AR43" s="981" t="str">
        <v>Yes</v>
      </c>
      <c r="AS43" s="981" t="str">
        <v>Yes</v>
      </c>
      <c r="AT43" s="981" t="str">
        <v>Yes</v>
      </c>
      <c r="AU43" s="981" t="str">
        <v>Yes</v>
      </c>
      <c r="AV43" s="981" t="str">
        <v>Yes</v>
      </c>
      <c r="AW43" s="981" t="str">
        <v>Yes</v>
      </c>
      <c r="AX43" s="981" t="str">
        <v>Yes</v>
      </c>
      <c r="AY43" s="981" t="str">
        <v>Yes</v>
      </c>
      <c r="AZ43" s="981" t="str">
        <v>Yes</v>
      </c>
      <c r="BA43" s="981" t="str">
        <v>Yes</v>
      </c>
      <c r="BB43" s="981" t="str">
        <v>Yes</v>
      </c>
      <c r="BC43" s="981" t="str">
        <v/>
      </c>
      <c r="BD43" s="981" t="str">
        <v/>
      </c>
      <c r="BE43" s="981" t="str">
        <v/>
      </c>
      <c r="BF43" s="981" t="str">
        <v/>
      </c>
      <c r="BG43" s="981" t="str">
        <v/>
      </c>
      <c r="BH43" s="981" t="str">
        <v/>
      </c>
      <c r="BI43" s="981" t="str">
        <v/>
      </c>
      <c r="BJ43" s="981" t="str">
        <v/>
      </c>
      <c r="BK43" s="981" t="str">
        <v>Yes</v>
      </c>
      <c r="BL43" s="981" t="str">
        <v>Yes</v>
      </c>
      <c r="BM43" s="981" t="str">
        <v>Yes</v>
      </c>
      <c r="BN43" s="981" t="str">
        <v>Yes</v>
      </c>
      <c r="BO43" s="981" t="str">
        <v>Yes</v>
      </c>
      <c r="BP43" s="981" t="str">
        <v>Yes</v>
      </c>
      <c r="BQ43" s="981" t="str">
        <v>Yes</v>
      </c>
      <c r="BR43" s="981" t="str">
        <v>Yes</v>
      </c>
      <c r="BS43" s="981" t="str">
        <v>Yes</v>
      </c>
      <c r="BT43" s="981" t="str">
        <v/>
      </c>
      <c r="BU43" s="981" t="str">
        <v>Yes</v>
      </c>
      <c r="BV43" s="981" t="str">
        <v>Yes</v>
      </c>
      <c r="BW43" s="981" t="str">
        <v>Yes</v>
      </c>
      <c r="BX43" s="981" t="str">
        <v>Yes</v>
      </c>
      <c r="BY43" s="981" t="str">
        <v>Yes</v>
      </c>
      <c r="BZ43" s="981" t="str">
        <v>No</v>
      </c>
      <c r="CA43" s="981" t="str">
        <v>No</v>
      </c>
      <c r="CB43" s="981" t="str">
        <v>No</v>
      </c>
      <c r="CC43" s="981" t="str">
        <v>No</v>
      </c>
      <c r="CD43" s="981" t="str">
        <v>No</v>
      </c>
      <c r="CE43" s="981" t="str">
        <v>Yes</v>
      </c>
      <c r="CF43" s="981" t="str">
        <v>Yes</v>
      </c>
      <c r="CG43" s="981" t="str">
        <v>Yes</v>
      </c>
      <c r="CH43" s="981" t="str">
        <v>Yes</v>
      </c>
      <c r="CI43" s="981" t="str">
        <v>Yes</v>
      </c>
      <c r="CJ43" s="981" t="str">
        <v>Yes</v>
      </c>
      <c r="CK43" s="981" t="str">
        <v>Yes</v>
      </c>
      <c r="CL43" s="981" t="str">
        <v>Yes</v>
      </c>
      <c r="CM43" s="981" t="str">
        <v>Yes</v>
      </c>
      <c r="CN43" s="981" t="str">
        <v>Yes</v>
      </c>
      <c r="CO43" s="981" t="str">
        <v>Yes</v>
      </c>
      <c r="CP43" s="981" t="str">
        <v>Yes</v>
      </c>
      <c r="CQ43" s="981" t="str">
        <v>Yes</v>
      </c>
      <c r="CR43" s="981" t="str">
        <v>Yes</v>
      </c>
      <c r="CS43" s="981" t="str">
        <v>Yes</v>
      </c>
      <c r="CT43" s="981" t="str">
        <v>Yes</v>
      </c>
      <c r="CU43" s="981" t="str">
        <v>Yes</v>
      </c>
      <c r="CV43" s="981" t="str">
        <v>Yes</v>
      </c>
      <c r="CW43" s="981" t="str">
        <v>Yes</v>
      </c>
      <c r="CX43" s="981" t="str">
        <v>Yes</v>
      </c>
      <c r="CY43" s="980" t="str">
        <v>No</v>
      </c>
      <c r="CZ43" s="981" t="str">
        <v>No</v>
      </c>
      <c r="DA43" s="981" t="str">
        <v>No</v>
      </c>
      <c r="DB43" s="981" t="str">
        <v>No</v>
      </c>
      <c r="DC43" s="981" t="str">
        <v>No</v>
      </c>
      <c r="DD43" s="981" t="str">
        <v>No</v>
      </c>
      <c r="DE43" s="981" t="str">
        <v>No</v>
      </c>
      <c r="DF43" s="981" t="str">
        <v>No</v>
      </c>
      <c r="DG43" s="981" t="str">
        <v>No</v>
      </c>
      <c r="DH43" s="981" t="str">
        <v>No</v>
      </c>
      <c r="DI43" s="981" t="str">
        <v>No</v>
      </c>
      <c r="DJ43" s="981" t="str">
        <v>No</v>
      </c>
      <c r="DK43" s="981" t="str">
        <v>No</v>
      </c>
      <c r="DL43" s="981" t="str">
        <v>No</v>
      </c>
      <c r="DM43" s="981" t="str">
        <v>No</v>
      </c>
      <c r="DN43" s="981" t="str">
        <v>No</v>
      </c>
      <c r="DO43" s="981" t="str">
        <v>No</v>
      </c>
      <c r="DP43" s="981" t="str">
        <v>No</v>
      </c>
      <c r="DQ43" s="981" t="str">
        <v>No</v>
      </c>
      <c r="DR43" s="981" t="str">
        <v>No</v>
      </c>
      <c r="DS43" s="981" t="str">
        <v>Yes</v>
      </c>
      <c r="DT43" s="981" t="str">
        <v>Yes</v>
      </c>
      <c r="DU43" s="981" t="str">
        <v>Yes</v>
      </c>
      <c r="DV43" s="981" t="str">
        <v>Yes</v>
      </c>
      <c r="DW43" s="981" t="str">
        <v>Yes</v>
      </c>
      <c r="DX43" s="981" t="str">
        <v>Yes</v>
      </c>
      <c r="DY43" s="981" t="str">
        <v>Yes</v>
      </c>
      <c r="DZ43" s="981" t="str">
        <v>Yes</v>
      </c>
      <c r="EA43" s="981" t="str">
        <v>Yes</v>
      </c>
      <c r="EB43" s="981" t="str">
        <v>Yes</v>
      </c>
      <c r="EC43" s="981" t="str">
        <v>Yes</v>
      </c>
      <c r="ED43" s="981" t="str">
        <v>Yes</v>
      </c>
      <c r="EE43" s="981" t="str">
        <v>Yes</v>
      </c>
      <c r="EF43" s="981" t="str">
        <v>Yes</v>
      </c>
      <c r="EG43" s="981" t="str">
        <v/>
      </c>
      <c r="EH43" s="981" t="str">
        <v/>
      </c>
      <c r="EI43" s="981" t="str">
        <v/>
      </c>
      <c r="EJ43" s="981" t="str">
        <v/>
      </c>
      <c r="EK43" s="981" t="str">
        <v/>
      </c>
      <c r="EL43" s="981" t="str">
        <v/>
      </c>
      <c r="EM43" s="981" t="str">
        <v/>
      </c>
      <c r="EN43" s="981" t="str">
        <v/>
      </c>
      <c r="EO43" s="981" t="str">
        <v/>
      </c>
      <c r="EP43" s="981" t="str">
        <v/>
      </c>
      <c r="EQ43" s="981" t="str">
        <v/>
      </c>
      <c r="ER43" s="981" t="str">
        <v/>
      </c>
      <c r="ES43" s="981" t="str">
        <v/>
      </c>
      <c r="ET43" s="981" t="str">
        <v/>
      </c>
      <c r="EU43" s="981" t="str">
        <v/>
      </c>
      <c r="EV43" s="981" t="str">
        <v/>
      </c>
      <c r="EW43" s="981" t="str">
        <v/>
      </c>
      <c r="EX43" s="981" t="str">
        <v/>
      </c>
      <c r="EY43" s="981" t="str">
        <v/>
      </c>
      <c r="EZ43" s="981" t="str">
        <v/>
      </c>
      <c r="FA43" s="981" t="str">
        <v/>
      </c>
      <c r="FB43" s="981" t="str">
        <v/>
      </c>
      <c r="FC43" s="981" t="str">
        <v/>
      </c>
      <c r="FD43" s="981" t="str">
        <v/>
      </c>
      <c r="FE43" s="981" t="str">
        <v/>
      </c>
      <c r="FF43" s="981" t="str">
        <v/>
      </c>
      <c r="FG43" s="981" t="str">
        <v>Yes</v>
      </c>
      <c r="FH43" s="981" t="str">
        <v>Yes</v>
      </c>
      <c r="FI43" s="981" t="str">
        <v>Yes</v>
      </c>
      <c r="FJ43" s="981" t="str">
        <v>Yes</v>
      </c>
      <c r="FK43" s="981" t="str">
        <v>Yes</v>
      </c>
      <c r="FL43" s="981" t="str">
        <v>Yes</v>
      </c>
      <c r="FM43" s="981" t="str">
        <v>Yes</v>
      </c>
      <c r="FN43" s="981" t="str">
        <v>Yes</v>
      </c>
      <c r="FO43" s="981" t="str">
        <v>Yes</v>
      </c>
      <c r="FP43" s="981" t="str">
        <v>Yes</v>
      </c>
      <c r="FQ43" s="981" t="str">
        <v/>
      </c>
      <c r="FR43" s="981" t="str">
        <v/>
      </c>
      <c r="FS43" s="981" t="str">
        <v/>
      </c>
      <c r="FT43" s="981" t="str">
        <v/>
      </c>
      <c r="FU43" s="981" t="str">
        <v/>
      </c>
      <c r="FV43" s="981" t="str">
        <v/>
      </c>
      <c r="FW43" s="981" t="str">
        <v/>
      </c>
      <c r="FX43" s="981" t="str">
        <v/>
      </c>
      <c r="FY43" s="981" t="str">
        <v/>
      </c>
      <c r="FZ43" s="981" t="str">
        <v/>
      </c>
      <c r="GA43" s="981" t="str">
        <v>Yes</v>
      </c>
      <c r="GB43" s="981" t="str">
        <v>Yes</v>
      </c>
      <c r="GC43" s="981" t="str">
        <v>Yes</v>
      </c>
      <c r="GD43" s="981" t="str">
        <v>Yes</v>
      </c>
      <c r="GE43" s="981" t="str">
        <v>Yes</v>
      </c>
      <c r="GF43" s="981" t="str">
        <v>Yes</v>
      </c>
      <c r="GG43" s="981" t="str">
        <v>Yes</v>
      </c>
      <c r="GH43" s="981" t="str">
        <v>Yes</v>
      </c>
      <c r="GI43" s="981" t="str">
        <v>Yes</v>
      </c>
      <c r="GJ43" s="981" t="str">
        <v>Yes</v>
      </c>
      <c r="GK43" s="981" t="str">
        <v>Yes</v>
      </c>
      <c r="GL43" s="981" t="str">
        <v>Yes</v>
      </c>
      <c r="GM43" s="981" t="str">
        <v>Yes</v>
      </c>
      <c r="GN43" s="981" t="str">
        <v>Yes</v>
      </c>
      <c r="GO43" s="981" t="str">
        <v>Yes</v>
      </c>
      <c r="GP43" s="981" t="str">
        <v/>
      </c>
      <c r="GQ43" s="981" t="str">
        <v/>
      </c>
      <c r="GR43" s="981" t="str">
        <v/>
      </c>
      <c r="GS43" s="981" t="str">
        <v/>
      </c>
      <c r="GT43" s="981" t="str">
        <v/>
      </c>
      <c r="GU43" s="981" t="str">
        <v>No</v>
      </c>
      <c r="GV43" s="981" t="str">
        <v>No</v>
      </c>
      <c r="GW43" s="981" t="str">
        <v>No</v>
      </c>
      <c r="GX43" s="981" t="str">
        <v>No</v>
      </c>
      <c r="GY43" s="981" t="str">
        <v>No</v>
      </c>
      <c r="GZ43" s="981" t="str">
        <v/>
      </c>
      <c r="HA43" s="981" t="str">
        <v/>
      </c>
      <c r="HB43" s="981" t="str">
        <v>No</v>
      </c>
      <c r="HC43" s="981" t="str">
        <v>No</v>
      </c>
      <c r="HD43" s="981" t="str">
        <v>No</v>
      </c>
      <c r="HE43" s="981" t="str">
        <v>No</v>
      </c>
      <c r="HF43" s="981" t="str">
        <v>No</v>
      </c>
      <c r="HG43" s="981" t="str">
        <v>No</v>
      </c>
      <c r="HH43" s="981" t="str">
        <v>No</v>
      </c>
      <c r="HI43" s="981" t="str">
        <v>No</v>
      </c>
      <c r="HJ43" s="981" t="str">
        <v>No</v>
      </c>
      <c r="HK43" s="981" t="str">
        <v>No</v>
      </c>
      <c r="HL43" s="981" t="str">
        <v>No</v>
      </c>
      <c r="HM43" s="981" t="str">
        <v>No</v>
      </c>
      <c r="HN43" s="981" t="str">
        <v>No</v>
      </c>
      <c r="HO43" s="981" t="str">
        <v>No</v>
      </c>
      <c r="HP43" s="981" t="str">
        <v>No</v>
      </c>
      <c r="HQ43" s="981" t="str">
        <v>No</v>
      </c>
      <c r="HR43" s="981" t="str">
        <v>No</v>
      </c>
      <c r="HS43" s="981" t="str">
        <v>No</v>
      </c>
      <c r="HT43" s="981" t="str">
        <v/>
      </c>
      <c r="HU43" s="981" t="str">
        <v/>
      </c>
      <c r="HV43" s="981" t="str">
        <v>No</v>
      </c>
      <c r="HW43" s="981" t="str">
        <v>No</v>
      </c>
      <c r="HX43" s="981" t="str">
        <v>No</v>
      </c>
      <c r="HY43" s="981" t="str">
        <v>No</v>
      </c>
      <c r="HZ43" s="981" t="str">
        <v>No</v>
      </c>
      <c r="IA43" s="981" t="str">
        <v>No</v>
      </c>
      <c r="IB43" s="981" t="str">
        <v>No</v>
      </c>
      <c r="IC43" s="981" t="str">
        <v>No</v>
      </c>
      <c r="ID43" s="981" t="str">
        <v>No</v>
      </c>
      <c r="IE43" s="981" t="str">
        <v>No</v>
      </c>
      <c r="IF43" s="981" t="str">
        <v>No</v>
      </c>
      <c r="IG43" s="981" t="str">
        <v>No</v>
      </c>
      <c r="IH43" s="981" t="str">
        <v>No</v>
      </c>
      <c r="II43" s="981" t="str">
        <v>No</v>
      </c>
      <c r="IJ43" s="981" t="str">
        <v/>
      </c>
      <c r="IK43" s="981" t="str">
        <v/>
      </c>
      <c r="IL43" s="981" t="str">
        <v/>
      </c>
      <c r="IM43" s="981" t="str">
        <v/>
      </c>
      <c r="IN43" s="981" t="str">
        <v/>
      </c>
      <c r="IO43" s="981" t="str">
        <v/>
      </c>
      <c r="IP43" s="981" t="str">
        <v/>
      </c>
      <c r="IQ43" s="981" t="str">
        <v/>
      </c>
      <c r="IR43" s="981" t="str">
        <v/>
      </c>
      <c r="IS43" s="981" t="str">
        <v>No</v>
      </c>
      <c r="IT43" s="981" t="str">
        <v>No</v>
      </c>
      <c r="IU43" s="981" t="str">
        <v>No</v>
      </c>
      <c r="IV43" s="981" t="str">
        <v>No</v>
      </c>
      <c r="IW43" s="981" t="str">
        <v>No</v>
      </c>
      <c r="IX43" s="981" t="str">
        <v>No</v>
      </c>
      <c r="IY43" s="981" t="str">
        <v>No</v>
      </c>
      <c r="IZ43" s="981" t="str">
        <v>No</v>
      </c>
      <c r="JA43" s="981" t="str">
        <v/>
      </c>
      <c r="JB43" s="981" t="str">
        <v/>
      </c>
      <c r="JC43" s="981" t="str">
        <v/>
      </c>
      <c r="JD43" s="981" t="str">
        <v/>
      </c>
      <c r="JE43" s="981" t="str">
        <v/>
      </c>
      <c r="JF43" s="981" t="str">
        <v/>
      </c>
      <c r="JG43" s="981" t="str">
        <v/>
      </c>
      <c r="JH43" s="981" t="str">
        <v/>
      </c>
      <c r="JI43" s="981" t="str">
        <v/>
      </c>
      <c r="JJ43" s="981" t="str">
        <v/>
      </c>
      <c r="JK43" s="981" t="str">
        <v/>
      </c>
      <c r="JL43" s="981" t="str">
        <v/>
      </c>
      <c r="JM43" s="981" t="str">
        <v/>
      </c>
      <c r="JN43" s="981" t="str">
        <v/>
      </c>
      <c r="JO43" s="981" t="str">
        <v/>
      </c>
      <c r="JP43" s="981" t="str">
        <v/>
      </c>
      <c r="JQ43" s="981" t="str">
        <v/>
      </c>
      <c r="JR43" s="981" t="str">
        <v/>
      </c>
      <c r="JS43" s="981" t="str">
        <v/>
      </c>
      <c r="JT43" s="981" t="str">
        <v/>
      </c>
      <c r="JU43" s="981" t="str">
        <v/>
      </c>
      <c r="JV43" s="981" t="str">
        <v/>
      </c>
      <c r="JW43" s="981" t="str">
        <v>Yes</v>
      </c>
      <c r="JX43" s="981" t="str">
        <v>Yes</v>
      </c>
      <c r="JY43" s="981" t="str">
        <v>Yes</v>
      </c>
      <c r="JZ43" s="981" t="str">
        <v>Yes</v>
      </c>
      <c r="KA43" s="981" t="str">
        <v>Yes</v>
      </c>
      <c r="KB43" s="981" t="str">
        <v>Yes</v>
      </c>
      <c r="KC43" s="981" t="str">
        <v>Yes</v>
      </c>
      <c r="KD43" s="981" t="str">
        <v>Yes</v>
      </c>
      <c r="KE43" s="981" t="str">
        <v>Yes</v>
      </c>
      <c r="KF43" s="981" t="str">
        <v>Yes</v>
      </c>
      <c r="KG43" s="981" t="str">
        <v>Yes</v>
      </c>
      <c r="KH43" s="981" t="str">
        <v>Yes</v>
      </c>
      <c r="KI43" s="981" t="str">
        <v>Yes</v>
      </c>
      <c r="KJ43" s="981" t="str">
        <v>Yes</v>
      </c>
      <c r="KK43" s="981" t="str">
        <v>Yes</v>
      </c>
      <c r="KL43" s="981" t="str">
        <v/>
      </c>
      <c r="KM43" s="981" t="str">
        <v/>
      </c>
      <c r="KN43" s="981" t="str">
        <v/>
      </c>
      <c r="KO43" s="981" t="str">
        <v/>
      </c>
      <c r="KP43" s="982" t="str">
        <v/>
      </c>
      <c r="KQ43" s="699"/>
    </row>
    <row r="44" spans="1:303" s="188" customFormat="1" hidden="1" x14ac:dyDescent="0.45">
      <c r="A44" s="1748"/>
      <c r="B44" s="138" t="s">
        <v>307</v>
      </c>
      <c r="C44" s="197" t="str">
        <v/>
      </c>
      <c r="D44" s="193" t="str">
        <v/>
      </c>
      <c r="E44" s="193" t="str">
        <v/>
      </c>
      <c r="F44" s="193" t="str">
        <v/>
      </c>
      <c r="G44" s="193" t="str">
        <v/>
      </c>
      <c r="H44" s="193" t="str">
        <v/>
      </c>
      <c r="I44" s="193" t="str">
        <v/>
      </c>
      <c r="J44" s="193" t="str">
        <v/>
      </c>
      <c r="K44" s="193" t="str">
        <v>Yes</v>
      </c>
      <c r="L44" s="193" t="str">
        <v>Yes</v>
      </c>
      <c r="M44" s="193" t="str">
        <v>Yes</v>
      </c>
      <c r="N44" s="193" t="str">
        <v/>
      </c>
      <c r="O44" s="193" t="str">
        <v/>
      </c>
      <c r="P44" s="193" t="str">
        <v/>
      </c>
      <c r="Q44" s="193" t="str">
        <v/>
      </c>
      <c r="R44" s="193" t="str">
        <v/>
      </c>
      <c r="S44" s="193" t="str">
        <v/>
      </c>
      <c r="T44" s="193" t="str">
        <v/>
      </c>
      <c r="U44" s="193" t="str">
        <v/>
      </c>
      <c r="V44" s="193" t="str">
        <v/>
      </c>
      <c r="W44" s="193" t="str">
        <v/>
      </c>
      <c r="X44" s="193" t="str">
        <v/>
      </c>
      <c r="Y44" s="193" t="str">
        <v/>
      </c>
      <c r="Z44" s="193" t="str">
        <v/>
      </c>
      <c r="AA44" s="193" t="str">
        <v/>
      </c>
      <c r="AB44" s="193" t="str">
        <v>No</v>
      </c>
      <c r="AC44" s="193" t="str">
        <v>No</v>
      </c>
      <c r="AD44" s="193" t="str">
        <v>No</v>
      </c>
      <c r="AE44" s="193" t="str">
        <v>No</v>
      </c>
      <c r="AF44" s="193" t="str">
        <v>No</v>
      </c>
      <c r="AG44" s="193" t="str">
        <v/>
      </c>
      <c r="AH44" s="193" t="str">
        <v/>
      </c>
      <c r="AI44" s="193" t="str">
        <v/>
      </c>
      <c r="AJ44" s="193" t="str">
        <v/>
      </c>
      <c r="AK44" s="193" t="str">
        <v/>
      </c>
      <c r="AL44" s="193" t="str">
        <v/>
      </c>
      <c r="AM44" s="193" t="str">
        <v/>
      </c>
      <c r="AN44" s="193" t="str">
        <v/>
      </c>
      <c r="AO44" s="193" t="str">
        <v/>
      </c>
      <c r="AP44" s="193" t="str">
        <v/>
      </c>
      <c r="AQ44" s="193" t="str">
        <v/>
      </c>
      <c r="AR44" s="193" t="str">
        <v/>
      </c>
      <c r="AS44" s="193" t="str">
        <v/>
      </c>
      <c r="AT44" s="193" t="str">
        <v/>
      </c>
      <c r="AU44" s="193" t="str">
        <v/>
      </c>
      <c r="AV44" s="193" t="str">
        <v/>
      </c>
      <c r="AW44" s="193" t="str">
        <v/>
      </c>
      <c r="AX44" s="193" t="str">
        <v/>
      </c>
      <c r="AY44" s="193" t="str">
        <v/>
      </c>
      <c r="AZ44" s="193" t="str">
        <v/>
      </c>
      <c r="BA44" s="193" t="str">
        <v/>
      </c>
      <c r="BB44" s="193" t="str">
        <v/>
      </c>
      <c r="BC44" s="193" t="str">
        <v/>
      </c>
      <c r="BD44" s="193" t="str">
        <v/>
      </c>
      <c r="BE44" s="193" t="str">
        <v/>
      </c>
      <c r="BF44" s="193" t="str">
        <v/>
      </c>
      <c r="BG44" s="193" t="str">
        <v/>
      </c>
      <c r="BH44" s="193" t="str">
        <v/>
      </c>
      <c r="BI44" s="193" t="str">
        <v/>
      </c>
      <c r="BJ44" s="193" t="str">
        <v/>
      </c>
      <c r="BK44" s="193" t="str">
        <v>No</v>
      </c>
      <c r="BL44" s="193" t="str">
        <v>No</v>
      </c>
      <c r="BM44" s="193" t="str">
        <v>No</v>
      </c>
      <c r="BN44" s="193" t="str">
        <v>No</v>
      </c>
      <c r="BO44" s="193" t="str">
        <v>No</v>
      </c>
      <c r="BP44" s="193" t="str">
        <v>No</v>
      </c>
      <c r="BQ44" s="193" t="str">
        <v>No</v>
      </c>
      <c r="BR44" s="193" t="str">
        <v>No</v>
      </c>
      <c r="BS44" s="193" t="str">
        <v>No</v>
      </c>
      <c r="BT44" s="193" t="str">
        <v/>
      </c>
      <c r="BU44" s="193" t="str">
        <v/>
      </c>
      <c r="BV44" s="193" t="str">
        <v>Yes</v>
      </c>
      <c r="BW44" s="193" t="str">
        <v>Yes</v>
      </c>
      <c r="BX44" s="193" t="str">
        <v>No</v>
      </c>
      <c r="BY44" s="193" t="str">
        <v>Yes</v>
      </c>
      <c r="BZ44" s="193" t="str">
        <v/>
      </c>
      <c r="CA44" s="193" t="str">
        <v>No</v>
      </c>
      <c r="CB44" s="193" t="str">
        <v>No</v>
      </c>
      <c r="CC44" s="193" t="str">
        <v/>
      </c>
      <c r="CD44" s="193" t="str">
        <v>No</v>
      </c>
      <c r="CE44" s="193" t="str">
        <v/>
      </c>
      <c r="CF44" s="193" t="str">
        <v/>
      </c>
      <c r="CG44" s="193" t="str">
        <v/>
      </c>
      <c r="CH44" s="193" t="str">
        <v/>
      </c>
      <c r="CI44" s="193" t="str">
        <v/>
      </c>
      <c r="CJ44" s="193" t="str">
        <v/>
      </c>
      <c r="CK44" s="193" t="str">
        <v/>
      </c>
      <c r="CL44" s="193" t="str">
        <v/>
      </c>
      <c r="CM44" s="193" t="str">
        <v/>
      </c>
      <c r="CN44" s="193" t="str">
        <v/>
      </c>
      <c r="CO44" s="193" t="str">
        <v/>
      </c>
      <c r="CP44" s="193" t="str">
        <v/>
      </c>
      <c r="CQ44" s="193" t="str">
        <v/>
      </c>
      <c r="CR44" s="193" t="str">
        <v/>
      </c>
      <c r="CS44" s="193" t="str">
        <v/>
      </c>
      <c r="CT44" s="193" t="str">
        <v/>
      </c>
      <c r="CU44" s="193" t="str">
        <v/>
      </c>
      <c r="CV44" s="193" t="str">
        <v/>
      </c>
      <c r="CW44" s="193" t="str">
        <v/>
      </c>
      <c r="CX44" s="193" t="str">
        <v/>
      </c>
      <c r="CY44" s="197" t="str">
        <v/>
      </c>
      <c r="CZ44" s="193" t="str">
        <v/>
      </c>
      <c r="DA44" s="193" t="str">
        <v/>
      </c>
      <c r="DB44" s="193" t="str">
        <v/>
      </c>
      <c r="DC44" s="193" t="str">
        <v/>
      </c>
      <c r="DD44" s="193" t="str">
        <v/>
      </c>
      <c r="DE44" s="193" t="str">
        <v/>
      </c>
      <c r="DF44" s="193" t="str">
        <v/>
      </c>
      <c r="DG44" s="193" t="str">
        <v/>
      </c>
      <c r="DH44" s="193" t="str">
        <v/>
      </c>
      <c r="DI44" s="193" t="str">
        <v/>
      </c>
      <c r="DJ44" s="193" t="str">
        <v/>
      </c>
      <c r="DK44" s="193" t="str">
        <v/>
      </c>
      <c r="DL44" s="193" t="str">
        <v/>
      </c>
      <c r="DM44" s="193" t="str">
        <v/>
      </c>
      <c r="DN44" s="193" t="str">
        <v/>
      </c>
      <c r="DO44" s="193" t="str">
        <v/>
      </c>
      <c r="DP44" s="193" t="str">
        <v/>
      </c>
      <c r="DQ44" s="193" t="str">
        <v/>
      </c>
      <c r="DR44" s="193" t="str">
        <v/>
      </c>
      <c r="DS44" s="193" t="str">
        <v/>
      </c>
      <c r="DT44" s="193" t="str">
        <v/>
      </c>
      <c r="DU44" s="193" t="str">
        <v/>
      </c>
      <c r="DV44" s="193" t="str">
        <v/>
      </c>
      <c r="DW44" s="193" t="str">
        <v/>
      </c>
      <c r="DX44" s="193" t="str">
        <v>No</v>
      </c>
      <c r="DY44" s="193" t="str">
        <v>No</v>
      </c>
      <c r="DZ44" s="193" t="str">
        <v>No</v>
      </c>
      <c r="EA44" s="193" t="str">
        <v>No</v>
      </c>
      <c r="EB44" s="193" t="str">
        <v>No</v>
      </c>
      <c r="EC44" s="193" t="str">
        <v/>
      </c>
      <c r="ED44" s="193" t="str">
        <v/>
      </c>
      <c r="EE44" s="193" t="str">
        <v/>
      </c>
      <c r="EF44" s="193" t="str">
        <v/>
      </c>
      <c r="EG44" s="193" t="str">
        <v/>
      </c>
      <c r="EH44" s="193" t="str">
        <v/>
      </c>
      <c r="EI44" s="193" t="str">
        <v/>
      </c>
      <c r="EJ44" s="193" t="str">
        <v/>
      </c>
      <c r="EK44" s="193" t="str">
        <v/>
      </c>
      <c r="EL44" s="193" t="str">
        <v/>
      </c>
      <c r="EM44" s="193" t="str">
        <v/>
      </c>
      <c r="EN44" s="193" t="str">
        <v/>
      </c>
      <c r="EO44" s="193" t="str">
        <v/>
      </c>
      <c r="EP44" s="193" t="str">
        <v/>
      </c>
      <c r="EQ44" s="193" t="str">
        <v/>
      </c>
      <c r="ER44" s="193" t="str">
        <v/>
      </c>
      <c r="ES44" s="193" t="str">
        <v/>
      </c>
      <c r="ET44" s="193" t="str">
        <v/>
      </c>
      <c r="EU44" s="193" t="str">
        <v/>
      </c>
      <c r="EV44" s="193" t="str">
        <v/>
      </c>
      <c r="EW44" s="193" t="str">
        <v/>
      </c>
      <c r="EX44" s="193" t="str">
        <v/>
      </c>
      <c r="EY44" s="193" t="str">
        <v/>
      </c>
      <c r="EZ44" s="193" t="str">
        <v/>
      </c>
      <c r="FA44" s="193" t="str">
        <v/>
      </c>
      <c r="FB44" s="193" t="str">
        <v/>
      </c>
      <c r="FC44" s="193" t="str">
        <v/>
      </c>
      <c r="FD44" s="193" t="str">
        <v/>
      </c>
      <c r="FE44" s="193" t="str">
        <v/>
      </c>
      <c r="FF44" s="193" t="str">
        <v/>
      </c>
      <c r="FG44" s="193" t="str">
        <v/>
      </c>
      <c r="FH44" s="193" t="str">
        <v/>
      </c>
      <c r="FI44" s="193" t="str">
        <v/>
      </c>
      <c r="FJ44" s="193" t="str">
        <v/>
      </c>
      <c r="FK44" s="193" t="str">
        <v/>
      </c>
      <c r="FL44" s="193" t="str">
        <v/>
      </c>
      <c r="FM44" s="193" t="str">
        <v/>
      </c>
      <c r="FN44" s="193" t="str">
        <v>No</v>
      </c>
      <c r="FO44" s="193" t="str">
        <v/>
      </c>
      <c r="FP44" s="193" t="str">
        <v/>
      </c>
      <c r="FQ44" s="193" t="str">
        <v/>
      </c>
      <c r="FR44" s="193" t="str">
        <v/>
      </c>
      <c r="FS44" s="193" t="str">
        <v/>
      </c>
      <c r="FT44" s="193" t="str">
        <v/>
      </c>
      <c r="FU44" s="193" t="str">
        <v/>
      </c>
      <c r="FV44" s="193" t="str">
        <v/>
      </c>
      <c r="FW44" s="193" t="str">
        <v/>
      </c>
      <c r="FX44" s="193" t="str">
        <v/>
      </c>
      <c r="FY44" s="193" t="str">
        <v/>
      </c>
      <c r="FZ44" s="193" t="str">
        <v/>
      </c>
      <c r="GA44" s="193" t="str">
        <v/>
      </c>
      <c r="GB44" s="193" t="str">
        <v/>
      </c>
      <c r="GC44" s="193" t="str">
        <v/>
      </c>
      <c r="GD44" s="193" t="str">
        <v/>
      </c>
      <c r="GE44" s="193" t="str">
        <v/>
      </c>
      <c r="GF44" s="193" t="str">
        <v/>
      </c>
      <c r="GG44" s="193" t="str">
        <v/>
      </c>
      <c r="GH44" s="193" t="str">
        <v/>
      </c>
      <c r="GI44" s="193" t="str">
        <v/>
      </c>
      <c r="GJ44" s="193" t="str">
        <v/>
      </c>
      <c r="GK44" s="193" t="str">
        <v/>
      </c>
      <c r="GL44" s="193" t="str">
        <v/>
      </c>
      <c r="GM44" s="193" t="str">
        <v/>
      </c>
      <c r="GN44" s="193" t="str">
        <v/>
      </c>
      <c r="GO44" s="193" t="str">
        <v/>
      </c>
      <c r="GP44" s="193" t="str">
        <v/>
      </c>
      <c r="GQ44" s="193" t="str">
        <v/>
      </c>
      <c r="GR44" s="193" t="str">
        <v/>
      </c>
      <c r="GS44" s="193" t="str">
        <v/>
      </c>
      <c r="GT44" s="193" t="str">
        <v/>
      </c>
      <c r="GU44" s="193" t="str">
        <v/>
      </c>
      <c r="GV44" s="193" t="str">
        <v/>
      </c>
      <c r="GW44" s="193" t="str">
        <v/>
      </c>
      <c r="GX44" s="193" t="str">
        <v/>
      </c>
      <c r="GY44" s="193" t="str">
        <v/>
      </c>
      <c r="GZ44" s="193" t="str">
        <v/>
      </c>
      <c r="HA44" s="193" t="str">
        <v/>
      </c>
      <c r="HB44" s="193" t="str">
        <v/>
      </c>
      <c r="HC44" s="193" t="str">
        <v/>
      </c>
      <c r="HD44" s="193" t="str">
        <v/>
      </c>
      <c r="HE44" s="193" t="str">
        <v/>
      </c>
      <c r="HF44" s="193" t="str">
        <v/>
      </c>
      <c r="HG44" s="193" t="str">
        <v/>
      </c>
      <c r="HH44" s="193" t="str">
        <v/>
      </c>
      <c r="HI44" s="193" t="str">
        <v/>
      </c>
      <c r="HJ44" s="193" t="str">
        <v/>
      </c>
      <c r="HK44" s="193" t="str">
        <v/>
      </c>
      <c r="HL44" s="193" t="str">
        <v/>
      </c>
      <c r="HM44" s="193" t="str">
        <v/>
      </c>
      <c r="HN44" s="193" t="str">
        <v/>
      </c>
      <c r="HO44" s="193" t="str">
        <v/>
      </c>
      <c r="HP44" s="193" t="str">
        <v/>
      </c>
      <c r="HQ44" s="193" t="str">
        <v/>
      </c>
      <c r="HR44" s="193" t="str">
        <v/>
      </c>
      <c r="HS44" s="193" t="str">
        <v/>
      </c>
      <c r="HT44" s="193" t="str">
        <v/>
      </c>
      <c r="HU44" s="193" t="str">
        <v/>
      </c>
      <c r="HV44" s="193" t="str">
        <v/>
      </c>
      <c r="HW44" s="193" t="str">
        <v/>
      </c>
      <c r="HX44" s="193" t="str">
        <v/>
      </c>
      <c r="HY44" s="193" t="str">
        <v/>
      </c>
      <c r="HZ44" s="193" t="str">
        <v/>
      </c>
      <c r="IA44" s="193" t="str">
        <v/>
      </c>
      <c r="IB44" s="193" t="str">
        <v/>
      </c>
      <c r="IC44" s="193" t="str">
        <v/>
      </c>
      <c r="ID44" s="193" t="str">
        <v/>
      </c>
      <c r="IE44" s="193" t="str">
        <v/>
      </c>
      <c r="IF44" s="193" t="str">
        <v/>
      </c>
      <c r="IG44" s="193" t="str">
        <v/>
      </c>
      <c r="IH44" s="193" t="str">
        <v/>
      </c>
      <c r="II44" s="193" t="str">
        <v/>
      </c>
      <c r="IJ44" s="193" t="str">
        <v/>
      </c>
      <c r="IK44" s="193" t="str">
        <v/>
      </c>
      <c r="IL44" s="193" t="str">
        <v/>
      </c>
      <c r="IM44" s="193" t="str">
        <v/>
      </c>
      <c r="IN44" s="193" t="str">
        <v/>
      </c>
      <c r="IO44" s="193" t="str">
        <v/>
      </c>
      <c r="IP44" s="193" t="str">
        <v/>
      </c>
      <c r="IQ44" s="193" t="str">
        <v/>
      </c>
      <c r="IR44" s="193" t="str">
        <v/>
      </c>
      <c r="IS44" s="193" t="str">
        <v/>
      </c>
      <c r="IT44" s="193" t="str">
        <v/>
      </c>
      <c r="IU44" s="193" t="str">
        <v/>
      </c>
      <c r="IV44" s="193" t="str">
        <v/>
      </c>
      <c r="IW44" s="193" t="str">
        <v/>
      </c>
      <c r="IX44" s="193" t="str">
        <v/>
      </c>
      <c r="IY44" s="193" t="str">
        <v/>
      </c>
      <c r="IZ44" s="193" t="str">
        <v/>
      </c>
      <c r="JA44" s="193" t="str">
        <v/>
      </c>
      <c r="JB44" s="193" t="str">
        <v/>
      </c>
      <c r="JC44" s="193" t="str">
        <v/>
      </c>
      <c r="JD44" s="193" t="str">
        <v/>
      </c>
      <c r="JE44" s="193" t="str">
        <v/>
      </c>
      <c r="JF44" s="193" t="str">
        <v/>
      </c>
      <c r="JG44" s="193" t="str">
        <v/>
      </c>
      <c r="JH44" s="193" t="str">
        <v/>
      </c>
      <c r="JI44" s="193" t="str">
        <v/>
      </c>
      <c r="JJ44" s="193" t="str">
        <v/>
      </c>
      <c r="JK44" s="193" t="str">
        <v/>
      </c>
      <c r="JL44" s="193" t="str">
        <v/>
      </c>
      <c r="JM44" s="193" t="str">
        <v/>
      </c>
      <c r="JN44" s="193" t="str">
        <v/>
      </c>
      <c r="JO44" s="193" t="str">
        <v/>
      </c>
      <c r="JP44" s="193" t="str">
        <v/>
      </c>
      <c r="JQ44" s="193" t="str">
        <v/>
      </c>
      <c r="JR44" s="193" t="str">
        <v/>
      </c>
      <c r="JS44" s="193" t="str">
        <v/>
      </c>
      <c r="JT44" s="193" t="str">
        <v/>
      </c>
      <c r="JU44" s="193" t="str">
        <v/>
      </c>
      <c r="JV44" s="193" t="str">
        <v/>
      </c>
      <c r="JW44" s="193" t="str">
        <v/>
      </c>
      <c r="JX44" s="193" t="str">
        <v/>
      </c>
      <c r="JY44" s="193" t="str">
        <v/>
      </c>
      <c r="JZ44" s="193" t="str">
        <v/>
      </c>
      <c r="KA44" s="193" t="str">
        <v/>
      </c>
      <c r="KB44" s="193" t="str">
        <v/>
      </c>
      <c r="KC44" s="193" t="str">
        <v/>
      </c>
      <c r="KD44" s="193" t="str">
        <v/>
      </c>
      <c r="KE44" s="193" t="str">
        <v/>
      </c>
      <c r="KF44" s="193" t="str">
        <v/>
      </c>
      <c r="KG44" s="193" t="str">
        <v/>
      </c>
      <c r="KH44" s="193" t="str">
        <v/>
      </c>
      <c r="KI44" s="193" t="str">
        <v/>
      </c>
      <c r="KJ44" s="193" t="str">
        <v/>
      </c>
      <c r="KK44" s="193" t="str">
        <v/>
      </c>
      <c r="KL44" s="193" t="str">
        <v/>
      </c>
      <c r="KM44" s="193" t="str">
        <v/>
      </c>
      <c r="KN44" s="193" t="str">
        <v/>
      </c>
      <c r="KO44" s="193" t="str">
        <v/>
      </c>
      <c r="KP44" s="900" t="str">
        <v/>
      </c>
      <c r="KQ44" s="700" t="s">
        <v>388</v>
      </c>
    </row>
    <row r="45" spans="1:303" s="188" customFormat="1" hidden="1" x14ac:dyDescent="0.45">
      <c r="A45" s="1749"/>
      <c r="B45" s="143" t="s">
        <v>308</v>
      </c>
      <c r="C45" s="874" t="str">
        <v/>
      </c>
      <c r="D45" s="194" t="str">
        <v/>
      </c>
      <c r="E45" s="194" t="str">
        <v/>
      </c>
      <c r="F45" s="194" t="str">
        <v/>
      </c>
      <c r="G45" s="194" t="str">
        <v/>
      </c>
      <c r="H45" s="194" t="str">
        <v/>
      </c>
      <c r="I45" s="194" t="str">
        <v/>
      </c>
      <c r="J45" s="194" t="str">
        <v/>
      </c>
      <c r="K45" s="194" t="str">
        <v/>
      </c>
      <c r="L45" s="194" t="str">
        <v/>
      </c>
      <c r="M45" s="194" t="str">
        <v/>
      </c>
      <c r="N45" s="194" t="str">
        <v/>
      </c>
      <c r="O45" s="194" t="str">
        <v/>
      </c>
      <c r="P45" s="194" t="str">
        <v/>
      </c>
      <c r="Q45" s="194" t="str">
        <v/>
      </c>
      <c r="R45" s="194" t="str">
        <v/>
      </c>
      <c r="S45" s="194" t="str">
        <v/>
      </c>
      <c r="T45" s="194" t="str">
        <v/>
      </c>
      <c r="U45" s="194" t="str">
        <v/>
      </c>
      <c r="V45" s="194" t="str">
        <v/>
      </c>
      <c r="W45" s="194" t="str">
        <v/>
      </c>
      <c r="X45" s="194" t="str">
        <v/>
      </c>
      <c r="Y45" s="194" t="str">
        <v/>
      </c>
      <c r="Z45" s="194" t="str">
        <v/>
      </c>
      <c r="AA45" s="194" t="str">
        <v/>
      </c>
      <c r="AB45" s="194" t="str">
        <v/>
      </c>
      <c r="AC45" s="194" t="str">
        <v/>
      </c>
      <c r="AD45" s="194" t="str">
        <v/>
      </c>
      <c r="AE45" s="194" t="str">
        <v/>
      </c>
      <c r="AF45" s="194" t="str">
        <v/>
      </c>
      <c r="AG45" s="194" t="str">
        <v/>
      </c>
      <c r="AH45" s="194" t="str">
        <v/>
      </c>
      <c r="AI45" s="194" t="str">
        <v/>
      </c>
      <c r="AJ45" s="194" t="str">
        <v/>
      </c>
      <c r="AK45" s="194" t="str">
        <v/>
      </c>
      <c r="AL45" s="194" t="str">
        <v/>
      </c>
      <c r="AM45" s="194" t="str">
        <v/>
      </c>
      <c r="AN45" s="194" t="str">
        <v/>
      </c>
      <c r="AO45" s="194" t="str">
        <v/>
      </c>
      <c r="AP45" s="194" t="str">
        <v/>
      </c>
      <c r="AQ45" s="194" t="str">
        <v/>
      </c>
      <c r="AR45" s="194" t="str">
        <v/>
      </c>
      <c r="AS45" s="194" t="str">
        <v/>
      </c>
      <c r="AT45" s="194" t="str">
        <v/>
      </c>
      <c r="AU45" s="194" t="str">
        <v/>
      </c>
      <c r="AV45" s="194" t="str">
        <v/>
      </c>
      <c r="AW45" s="194" t="str">
        <v/>
      </c>
      <c r="AX45" s="194" t="str">
        <v/>
      </c>
      <c r="AY45" s="194" t="str">
        <v/>
      </c>
      <c r="AZ45" s="194" t="str">
        <v/>
      </c>
      <c r="BA45" s="194" t="str">
        <v/>
      </c>
      <c r="BB45" s="194" t="str">
        <v/>
      </c>
      <c r="BC45" s="194" t="str">
        <v/>
      </c>
      <c r="BD45" s="194" t="str">
        <v/>
      </c>
      <c r="BE45" s="194" t="str">
        <v/>
      </c>
      <c r="BF45" s="194" t="str">
        <v/>
      </c>
      <c r="BG45" s="194" t="str">
        <v/>
      </c>
      <c r="BH45" s="194" t="str">
        <v/>
      </c>
      <c r="BI45" s="194" t="str">
        <v/>
      </c>
      <c r="BJ45" s="194" t="str">
        <v/>
      </c>
      <c r="BK45" s="194" t="str">
        <v/>
      </c>
      <c r="BL45" s="194" t="str">
        <v/>
      </c>
      <c r="BM45" s="194" t="str">
        <v/>
      </c>
      <c r="BN45" s="194" t="str">
        <v/>
      </c>
      <c r="BO45" s="194" t="str">
        <v/>
      </c>
      <c r="BP45" s="194" t="str">
        <v/>
      </c>
      <c r="BQ45" s="194" t="str">
        <v/>
      </c>
      <c r="BR45" s="194" t="str">
        <v/>
      </c>
      <c r="BS45" s="194" t="str">
        <v/>
      </c>
      <c r="BT45" s="194" t="str">
        <v/>
      </c>
      <c r="BU45" s="194" t="str">
        <v/>
      </c>
      <c r="BV45" s="194" t="str">
        <v/>
      </c>
      <c r="BW45" s="194" t="str">
        <v/>
      </c>
      <c r="BX45" s="194" t="str">
        <v/>
      </c>
      <c r="BY45" s="194" t="str">
        <v>No</v>
      </c>
      <c r="BZ45" s="194" t="str">
        <v/>
      </c>
      <c r="CA45" s="194" t="str">
        <v/>
      </c>
      <c r="CB45" s="194" t="str">
        <v>No</v>
      </c>
      <c r="CC45" s="194" t="str">
        <v/>
      </c>
      <c r="CD45" s="194" t="str">
        <v/>
      </c>
      <c r="CE45" s="194" t="str">
        <v/>
      </c>
      <c r="CF45" s="194" t="str">
        <v/>
      </c>
      <c r="CG45" s="194" t="str">
        <v/>
      </c>
      <c r="CH45" s="194" t="str">
        <v/>
      </c>
      <c r="CI45" s="194" t="str">
        <v/>
      </c>
      <c r="CJ45" s="194" t="str">
        <v/>
      </c>
      <c r="CK45" s="194" t="str">
        <v/>
      </c>
      <c r="CL45" s="194" t="str">
        <v/>
      </c>
      <c r="CM45" s="194" t="str">
        <v/>
      </c>
      <c r="CN45" s="194" t="str">
        <v/>
      </c>
      <c r="CO45" s="194" t="str">
        <v/>
      </c>
      <c r="CP45" s="194" t="str">
        <v/>
      </c>
      <c r="CQ45" s="194" t="str">
        <v/>
      </c>
      <c r="CR45" s="194" t="str">
        <v/>
      </c>
      <c r="CS45" s="194" t="str">
        <v/>
      </c>
      <c r="CT45" s="194" t="str">
        <v/>
      </c>
      <c r="CU45" s="194" t="str">
        <v/>
      </c>
      <c r="CV45" s="194" t="str">
        <v/>
      </c>
      <c r="CW45" s="194" t="str">
        <v/>
      </c>
      <c r="CX45" s="194" t="str">
        <v/>
      </c>
      <c r="CY45" s="874" t="str">
        <v/>
      </c>
      <c r="CZ45" s="194" t="str">
        <v/>
      </c>
      <c r="DA45" s="194" t="str">
        <v/>
      </c>
      <c r="DB45" s="194" t="str">
        <v/>
      </c>
      <c r="DC45" s="194" t="str">
        <v/>
      </c>
      <c r="DD45" s="194" t="str">
        <v/>
      </c>
      <c r="DE45" s="194" t="str">
        <v/>
      </c>
      <c r="DF45" s="194" t="str">
        <v/>
      </c>
      <c r="DG45" s="194" t="str">
        <v/>
      </c>
      <c r="DH45" s="194" t="str">
        <v/>
      </c>
      <c r="DI45" s="194" t="str">
        <v/>
      </c>
      <c r="DJ45" s="194" t="str">
        <v/>
      </c>
      <c r="DK45" s="194" t="str">
        <v/>
      </c>
      <c r="DL45" s="194" t="str">
        <v/>
      </c>
      <c r="DM45" s="194" t="str">
        <v/>
      </c>
      <c r="DN45" s="194" t="str">
        <v/>
      </c>
      <c r="DO45" s="194" t="str">
        <v/>
      </c>
      <c r="DP45" s="194" t="str">
        <v/>
      </c>
      <c r="DQ45" s="194" t="str">
        <v/>
      </c>
      <c r="DR45" s="194" t="str">
        <v/>
      </c>
      <c r="DS45" s="194" t="str">
        <v/>
      </c>
      <c r="DT45" s="194" t="str">
        <v/>
      </c>
      <c r="DU45" s="194" t="str">
        <v/>
      </c>
      <c r="DV45" s="194" t="str">
        <v/>
      </c>
      <c r="DW45" s="194" t="str">
        <v/>
      </c>
      <c r="DX45" s="194" t="str">
        <v/>
      </c>
      <c r="DY45" s="194" t="str">
        <v/>
      </c>
      <c r="DZ45" s="194" t="str">
        <v/>
      </c>
      <c r="EA45" s="194" t="str">
        <v/>
      </c>
      <c r="EB45" s="194" t="str">
        <v/>
      </c>
      <c r="EC45" s="194" t="str">
        <v/>
      </c>
      <c r="ED45" s="194" t="str">
        <v/>
      </c>
      <c r="EE45" s="194" t="str">
        <v/>
      </c>
      <c r="EF45" s="194" t="str">
        <v/>
      </c>
      <c r="EG45" s="194" t="str">
        <v/>
      </c>
      <c r="EH45" s="194" t="str">
        <v/>
      </c>
      <c r="EI45" s="194" t="str">
        <v/>
      </c>
      <c r="EJ45" s="194" t="str">
        <v/>
      </c>
      <c r="EK45" s="194" t="str">
        <v/>
      </c>
      <c r="EL45" s="194" t="str">
        <v/>
      </c>
      <c r="EM45" s="194" t="str">
        <v/>
      </c>
      <c r="EN45" s="194" t="str">
        <v/>
      </c>
      <c r="EO45" s="194" t="str">
        <v/>
      </c>
      <c r="EP45" s="194" t="str">
        <v/>
      </c>
      <c r="EQ45" s="194" t="str">
        <v/>
      </c>
      <c r="ER45" s="194" t="str">
        <v/>
      </c>
      <c r="ES45" s="194" t="str">
        <v/>
      </c>
      <c r="ET45" s="194" t="str">
        <v/>
      </c>
      <c r="EU45" s="194" t="str">
        <v/>
      </c>
      <c r="EV45" s="194" t="str">
        <v/>
      </c>
      <c r="EW45" s="194" t="str">
        <v/>
      </c>
      <c r="EX45" s="194" t="str">
        <v/>
      </c>
      <c r="EY45" s="194" t="str">
        <v/>
      </c>
      <c r="EZ45" s="194" t="str">
        <v/>
      </c>
      <c r="FA45" s="194" t="str">
        <v/>
      </c>
      <c r="FB45" s="194" t="str">
        <v/>
      </c>
      <c r="FC45" s="194" t="str">
        <v/>
      </c>
      <c r="FD45" s="194" t="str">
        <v/>
      </c>
      <c r="FE45" s="194" t="str">
        <v/>
      </c>
      <c r="FF45" s="194" t="str">
        <v/>
      </c>
      <c r="FG45" s="194" t="str">
        <v/>
      </c>
      <c r="FH45" s="194" t="str">
        <v/>
      </c>
      <c r="FI45" s="194" t="str">
        <v/>
      </c>
      <c r="FJ45" s="194" t="str">
        <v/>
      </c>
      <c r="FK45" s="194" t="str">
        <v/>
      </c>
      <c r="FL45" s="194" t="str">
        <v/>
      </c>
      <c r="FM45" s="194" t="str">
        <v/>
      </c>
      <c r="FN45" s="194" t="str">
        <v/>
      </c>
      <c r="FO45" s="194" t="str">
        <v/>
      </c>
      <c r="FP45" s="194" t="str">
        <v/>
      </c>
      <c r="FQ45" s="194" t="str">
        <v/>
      </c>
      <c r="FR45" s="194" t="str">
        <v/>
      </c>
      <c r="FS45" s="194" t="str">
        <v/>
      </c>
      <c r="FT45" s="194" t="str">
        <v/>
      </c>
      <c r="FU45" s="194" t="str">
        <v/>
      </c>
      <c r="FV45" s="194" t="str">
        <v/>
      </c>
      <c r="FW45" s="194" t="str">
        <v/>
      </c>
      <c r="FX45" s="194" t="str">
        <v/>
      </c>
      <c r="FY45" s="194" t="str">
        <v/>
      </c>
      <c r="FZ45" s="194" t="str">
        <v/>
      </c>
      <c r="GA45" s="194" t="str">
        <v/>
      </c>
      <c r="GB45" s="194" t="str">
        <v/>
      </c>
      <c r="GC45" s="194" t="str">
        <v/>
      </c>
      <c r="GD45" s="194" t="str">
        <v/>
      </c>
      <c r="GE45" s="194" t="str">
        <v/>
      </c>
      <c r="GF45" s="194" t="str">
        <v/>
      </c>
      <c r="GG45" s="194" t="str">
        <v/>
      </c>
      <c r="GH45" s="194" t="str">
        <v/>
      </c>
      <c r="GI45" s="194" t="str">
        <v/>
      </c>
      <c r="GJ45" s="194" t="str">
        <v/>
      </c>
      <c r="GK45" s="194" t="str">
        <v/>
      </c>
      <c r="GL45" s="194" t="str">
        <v/>
      </c>
      <c r="GM45" s="194" t="str">
        <v/>
      </c>
      <c r="GN45" s="194" t="str">
        <v/>
      </c>
      <c r="GO45" s="194" t="str">
        <v/>
      </c>
      <c r="GP45" s="194" t="str">
        <v/>
      </c>
      <c r="GQ45" s="194" t="str">
        <v/>
      </c>
      <c r="GR45" s="194" t="str">
        <v/>
      </c>
      <c r="GS45" s="194" t="str">
        <v/>
      </c>
      <c r="GT45" s="194" t="str">
        <v/>
      </c>
      <c r="GU45" s="194" t="str">
        <v/>
      </c>
      <c r="GV45" s="194" t="str">
        <v/>
      </c>
      <c r="GW45" s="194" t="str">
        <v/>
      </c>
      <c r="GX45" s="194" t="str">
        <v/>
      </c>
      <c r="GY45" s="194" t="str">
        <v/>
      </c>
      <c r="GZ45" s="194" t="str">
        <v/>
      </c>
      <c r="HA45" s="194" t="str">
        <v/>
      </c>
      <c r="HB45" s="194" t="str">
        <v/>
      </c>
      <c r="HC45" s="194" t="str">
        <v/>
      </c>
      <c r="HD45" s="194" t="str">
        <v/>
      </c>
      <c r="HE45" s="194" t="str">
        <v/>
      </c>
      <c r="HF45" s="194" t="str">
        <v/>
      </c>
      <c r="HG45" s="194" t="str">
        <v/>
      </c>
      <c r="HH45" s="194" t="str">
        <v/>
      </c>
      <c r="HI45" s="194" t="str">
        <v/>
      </c>
      <c r="HJ45" s="194" t="str">
        <v/>
      </c>
      <c r="HK45" s="194" t="str">
        <v/>
      </c>
      <c r="HL45" s="194" t="str">
        <v/>
      </c>
      <c r="HM45" s="194" t="str">
        <v/>
      </c>
      <c r="HN45" s="194" t="str">
        <v/>
      </c>
      <c r="HO45" s="194" t="str">
        <v/>
      </c>
      <c r="HP45" s="194" t="str">
        <v/>
      </c>
      <c r="HQ45" s="194" t="str">
        <v/>
      </c>
      <c r="HR45" s="194" t="str">
        <v/>
      </c>
      <c r="HS45" s="194" t="str">
        <v/>
      </c>
      <c r="HT45" s="194" t="str">
        <v/>
      </c>
      <c r="HU45" s="194" t="str">
        <v/>
      </c>
      <c r="HV45" s="194" t="str">
        <v/>
      </c>
      <c r="HW45" s="194" t="str">
        <v/>
      </c>
      <c r="HX45" s="194" t="str">
        <v/>
      </c>
      <c r="HY45" s="194" t="str">
        <v/>
      </c>
      <c r="HZ45" s="194" t="str">
        <v/>
      </c>
      <c r="IA45" s="194" t="str">
        <v/>
      </c>
      <c r="IB45" s="194" t="str">
        <v/>
      </c>
      <c r="IC45" s="194" t="str">
        <v/>
      </c>
      <c r="ID45" s="194" t="str">
        <v/>
      </c>
      <c r="IE45" s="194" t="str">
        <v/>
      </c>
      <c r="IF45" s="194" t="str">
        <v/>
      </c>
      <c r="IG45" s="194" t="str">
        <v/>
      </c>
      <c r="IH45" s="194" t="str">
        <v/>
      </c>
      <c r="II45" s="194" t="str">
        <v/>
      </c>
      <c r="IJ45" s="194" t="str">
        <v/>
      </c>
      <c r="IK45" s="194" t="str">
        <v/>
      </c>
      <c r="IL45" s="194" t="str">
        <v/>
      </c>
      <c r="IM45" s="194" t="str">
        <v/>
      </c>
      <c r="IN45" s="194" t="str">
        <v/>
      </c>
      <c r="IO45" s="194" t="str">
        <v/>
      </c>
      <c r="IP45" s="194" t="str">
        <v/>
      </c>
      <c r="IQ45" s="194" t="str">
        <v/>
      </c>
      <c r="IR45" s="194" t="str">
        <v/>
      </c>
      <c r="IS45" s="194" t="str">
        <v/>
      </c>
      <c r="IT45" s="194" t="str">
        <v/>
      </c>
      <c r="IU45" s="194" t="str">
        <v/>
      </c>
      <c r="IV45" s="194" t="str">
        <v/>
      </c>
      <c r="IW45" s="194" t="str">
        <v/>
      </c>
      <c r="IX45" s="194" t="str">
        <v/>
      </c>
      <c r="IY45" s="194" t="str">
        <v/>
      </c>
      <c r="IZ45" s="194" t="str">
        <v/>
      </c>
      <c r="JA45" s="194" t="str">
        <v/>
      </c>
      <c r="JB45" s="194" t="str">
        <v/>
      </c>
      <c r="JC45" s="194" t="str">
        <v/>
      </c>
      <c r="JD45" s="194" t="str">
        <v/>
      </c>
      <c r="JE45" s="194" t="str">
        <v/>
      </c>
      <c r="JF45" s="194" t="str">
        <v/>
      </c>
      <c r="JG45" s="194" t="str">
        <v/>
      </c>
      <c r="JH45" s="194" t="str">
        <v/>
      </c>
      <c r="JI45" s="194" t="str">
        <v/>
      </c>
      <c r="JJ45" s="194" t="str">
        <v/>
      </c>
      <c r="JK45" s="194" t="str">
        <v/>
      </c>
      <c r="JL45" s="194" t="str">
        <v/>
      </c>
      <c r="JM45" s="194" t="str">
        <v/>
      </c>
      <c r="JN45" s="194" t="str">
        <v/>
      </c>
      <c r="JO45" s="194" t="str">
        <v/>
      </c>
      <c r="JP45" s="194" t="str">
        <v/>
      </c>
      <c r="JQ45" s="194" t="str">
        <v/>
      </c>
      <c r="JR45" s="194" t="str">
        <v/>
      </c>
      <c r="JS45" s="194" t="str">
        <v/>
      </c>
      <c r="JT45" s="194" t="str">
        <v/>
      </c>
      <c r="JU45" s="194" t="str">
        <v/>
      </c>
      <c r="JV45" s="194" t="str">
        <v/>
      </c>
      <c r="JW45" s="194" t="str">
        <v/>
      </c>
      <c r="JX45" s="194" t="str">
        <v/>
      </c>
      <c r="JY45" s="194" t="str">
        <v/>
      </c>
      <c r="JZ45" s="194" t="str">
        <v/>
      </c>
      <c r="KA45" s="194" t="str">
        <v/>
      </c>
      <c r="KB45" s="194" t="str">
        <v/>
      </c>
      <c r="KC45" s="194" t="str">
        <v/>
      </c>
      <c r="KD45" s="194" t="str">
        <v/>
      </c>
      <c r="KE45" s="194" t="str">
        <v/>
      </c>
      <c r="KF45" s="194" t="str">
        <v/>
      </c>
      <c r="KG45" s="194" t="str">
        <v/>
      </c>
      <c r="KH45" s="194" t="str">
        <v/>
      </c>
      <c r="KI45" s="194" t="str">
        <v/>
      </c>
      <c r="KJ45" s="194" t="str">
        <v/>
      </c>
      <c r="KK45" s="194" t="str">
        <v/>
      </c>
      <c r="KL45" s="194" t="str">
        <v/>
      </c>
      <c r="KM45" s="194" t="str">
        <v/>
      </c>
      <c r="KN45" s="194" t="str">
        <v/>
      </c>
      <c r="KO45" s="194" t="str">
        <v/>
      </c>
      <c r="KP45" s="902" t="str">
        <v/>
      </c>
      <c r="KQ45" s="700"/>
    </row>
    <row r="46" spans="1:303" s="188" customFormat="1" hidden="1" x14ac:dyDescent="0.45">
      <c r="A46" s="1750" t="s">
        <v>132</v>
      </c>
      <c r="B46" s="1751"/>
      <c r="C46" s="1429" t="str">
        <f t="array" ref="C46:KP46">IFERROR(IF(INDEX(elements_recoveries,,sessions_element_index_primary) = "Yes", "Yes", "No"),"")</f>
        <v>No</v>
      </c>
      <c r="D46" s="1430" t="str">
        <v>No</v>
      </c>
      <c r="E46" s="1430" t="str">
        <v>No</v>
      </c>
      <c r="F46" s="1430" t="str">
        <v>No</v>
      </c>
      <c r="G46" s="1430" t="str">
        <v>No</v>
      </c>
      <c r="H46" s="1430" t="str">
        <v>No</v>
      </c>
      <c r="I46" s="1430" t="str">
        <v>No</v>
      </c>
      <c r="J46" s="1430" t="str">
        <v>No</v>
      </c>
      <c r="K46" s="1430" t="str">
        <v>No</v>
      </c>
      <c r="L46" s="1430" t="str">
        <v>No</v>
      </c>
      <c r="M46" s="1430" t="str">
        <v>No</v>
      </c>
      <c r="N46" s="1430" t="str">
        <v>No</v>
      </c>
      <c r="O46" s="1430" t="str">
        <v>No</v>
      </c>
      <c r="P46" s="1430" t="str">
        <v>No</v>
      </c>
      <c r="Q46" s="1430" t="str">
        <v>No</v>
      </c>
      <c r="R46" s="1430" t="str">
        <v>No</v>
      </c>
      <c r="S46" s="1430" t="str">
        <v>No</v>
      </c>
      <c r="T46" s="1430" t="str">
        <v>No</v>
      </c>
      <c r="U46" s="1430" t="str">
        <v>No</v>
      </c>
      <c r="V46" s="1430" t="str">
        <v>No</v>
      </c>
      <c r="W46" s="1430" t="str">
        <v>No</v>
      </c>
      <c r="X46" s="1430" t="str">
        <v>No</v>
      </c>
      <c r="Y46" s="1430" t="str">
        <v>No</v>
      </c>
      <c r="Z46" s="1430" t="str">
        <v>No</v>
      </c>
      <c r="AA46" s="1430" t="str">
        <v>No</v>
      </c>
      <c r="AB46" s="1430" t="str">
        <v>No</v>
      </c>
      <c r="AC46" s="1430" t="str">
        <v>No</v>
      </c>
      <c r="AD46" s="1430" t="str">
        <v>No</v>
      </c>
      <c r="AE46" s="1430" t="str">
        <v>No</v>
      </c>
      <c r="AF46" s="1430" t="str">
        <v>No</v>
      </c>
      <c r="AG46" s="1430" t="str">
        <v>No</v>
      </c>
      <c r="AH46" s="1430" t="str">
        <v>No</v>
      </c>
      <c r="AI46" s="1430" t="str">
        <v>No</v>
      </c>
      <c r="AJ46" s="1430" t="str">
        <v>No</v>
      </c>
      <c r="AK46" s="1430" t="str">
        <v/>
      </c>
      <c r="AL46" s="1430" t="str">
        <v/>
      </c>
      <c r="AM46" s="1430" t="str">
        <v/>
      </c>
      <c r="AN46" s="1430" t="str">
        <v/>
      </c>
      <c r="AO46" s="1430" t="str">
        <v/>
      </c>
      <c r="AP46" s="1430" t="str">
        <v/>
      </c>
      <c r="AQ46" s="1430" t="str">
        <v>Yes</v>
      </c>
      <c r="AR46" s="1430" t="str">
        <v>Yes</v>
      </c>
      <c r="AS46" s="1430" t="str">
        <v>Yes</v>
      </c>
      <c r="AT46" s="1430" t="str">
        <v>Yes</v>
      </c>
      <c r="AU46" s="1430" t="str">
        <v>Yes</v>
      </c>
      <c r="AV46" s="1430" t="str">
        <v>Yes</v>
      </c>
      <c r="AW46" s="1430" t="str">
        <v>Yes</v>
      </c>
      <c r="AX46" s="1430" t="str">
        <v>Yes</v>
      </c>
      <c r="AY46" s="1430" t="str">
        <v>Yes</v>
      </c>
      <c r="AZ46" s="1430" t="str">
        <v>Yes</v>
      </c>
      <c r="BA46" s="1430" t="str">
        <v>Yes</v>
      </c>
      <c r="BB46" s="1430" t="str">
        <v>Yes</v>
      </c>
      <c r="BC46" s="1430" t="str">
        <v/>
      </c>
      <c r="BD46" s="1430" t="str">
        <v/>
      </c>
      <c r="BE46" s="1430" t="str">
        <v/>
      </c>
      <c r="BF46" s="1430" t="str">
        <v/>
      </c>
      <c r="BG46" s="1430" t="str">
        <v/>
      </c>
      <c r="BH46" s="1430" t="str">
        <v/>
      </c>
      <c r="BI46" s="1430" t="str">
        <v/>
      </c>
      <c r="BJ46" s="1430" t="str">
        <v/>
      </c>
      <c r="BK46" s="1430" t="str">
        <v>Yes</v>
      </c>
      <c r="BL46" s="1430" t="str">
        <v>Yes</v>
      </c>
      <c r="BM46" s="1430" t="str">
        <v>Yes</v>
      </c>
      <c r="BN46" s="1430" t="str">
        <v>Yes</v>
      </c>
      <c r="BO46" s="1430" t="str">
        <v>Yes</v>
      </c>
      <c r="BP46" s="1430" t="str">
        <v>Yes</v>
      </c>
      <c r="BQ46" s="1430" t="str">
        <v>Yes</v>
      </c>
      <c r="BR46" s="1430" t="str">
        <v>Yes</v>
      </c>
      <c r="BS46" s="1430" t="str">
        <v>Yes</v>
      </c>
      <c r="BT46" s="1430" t="str">
        <v/>
      </c>
      <c r="BU46" s="1430" t="str">
        <v>No</v>
      </c>
      <c r="BV46" s="1430" t="str">
        <v>No</v>
      </c>
      <c r="BW46" s="1430" t="str">
        <v>No</v>
      </c>
      <c r="BX46" s="1430" t="str">
        <v>No</v>
      </c>
      <c r="BY46" s="1430" t="str">
        <v>No</v>
      </c>
      <c r="BZ46" s="1430" t="str">
        <v>No</v>
      </c>
      <c r="CA46" s="1430" t="str">
        <v>No</v>
      </c>
      <c r="CB46" s="1430" t="str">
        <v>No</v>
      </c>
      <c r="CC46" s="1430" t="str">
        <v>No</v>
      </c>
      <c r="CD46" s="1430" t="str">
        <v>No</v>
      </c>
      <c r="CE46" s="1430" t="str">
        <v>No</v>
      </c>
      <c r="CF46" s="1430" t="str">
        <v>No</v>
      </c>
      <c r="CG46" s="1430" t="str">
        <v>No</v>
      </c>
      <c r="CH46" s="1430" t="str">
        <v>No</v>
      </c>
      <c r="CI46" s="1430" t="str">
        <v>No</v>
      </c>
      <c r="CJ46" s="1430" t="str">
        <v>No</v>
      </c>
      <c r="CK46" s="1430" t="str">
        <v>No</v>
      </c>
      <c r="CL46" s="1430" t="str">
        <v>No</v>
      </c>
      <c r="CM46" s="1430" t="str">
        <v>No</v>
      </c>
      <c r="CN46" s="1430" t="str">
        <v>No</v>
      </c>
      <c r="CO46" s="1430" t="str">
        <v>No</v>
      </c>
      <c r="CP46" s="1430" t="str">
        <v>No</v>
      </c>
      <c r="CQ46" s="1430" t="str">
        <v>No</v>
      </c>
      <c r="CR46" s="1430" t="str">
        <v>No</v>
      </c>
      <c r="CS46" s="1430" t="str">
        <v>No</v>
      </c>
      <c r="CT46" s="1430" t="str">
        <v>No</v>
      </c>
      <c r="CU46" s="1430" t="str">
        <v>No</v>
      </c>
      <c r="CV46" s="1430" t="str">
        <v>No</v>
      </c>
      <c r="CW46" s="1430" t="str">
        <v>No</v>
      </c>
      <c r="CX46" s="1430" t="str">
        <v>No</v>
      </c>
      <c r="CY46" s="1429" t="str">
        <v>No</v>
      </c>
      <c r="CZ46" s="1430" t="str">
        <v>No</v>
      </c>
      <c r="DA46" s="1430" t="str">
        <v>No</v>
      </c>
      <c r="DB46" s="1430" t="str">
        <v>No</v>
      </c>
      <c r="DC46" s="1430" t="str">
        <v>No</v>
      </c>
      <c r="DD46" s="1430" t="str">
        <v>No</v>
      </c>
      <c r="DE46" s="1430" t="str">
        <v>No</v>
      </c>
      <c r="DF46" s="1430" t="str">
        <v>No</v>
      </c>
      <c r="DG46" s="1430" t="str">
        <v>No</v>
      </c>
      <c r="DH46" s="1430" t="str">
        <v>No</v>
      </c>
      <c r="DI46" s="1430" t="str">
        <v>No</v>
      </c>
      <c r="DJ46" s="1430" t="str">
        <v>No</v>
      </c>
      <c r="DK46" s="1430" t="str">
        <v>No</v>
      </c>
      <c r="DL46" s="1430" t="str">
        <v>No</v>
      </c>
      <c r="DM46" s="1430" t="str">
        <v>No</v>
      </c>
      <c r="DN46" s="1430" t="str">
        <v>No</v>
      </c>
      <c r="DO46" s="1430" t="str">
        <v>No</v>
      </c>
      <c r="DP46" s="1430" t="str">
        <v>No</v>
      </c>
      <c r="DQ46" s="1430" t="str">
        <v>No</v>
      </c>
      <c r="DR46" s="1430" t="str">
        <v>No</v>
      </c>
      <c r="DS46" s="1430" t="str">
        <v>No</v>
      </c>
      <c r="DT46" s="1430" t="str">
        <v>No</v>
      </c>
      <c r="DU46" s="1430" t="str">
        <v>No</v>
      </c>
      <c r="DV46" s="1430" t="str">
        <v>No</v>
      </c>
      <c r="DW46" s="1430" t="str">
        <v>No</v>
      </c>
      <c r="DX46" s="1430" t="str">
        <v>No</v>
      </c>
      <c r="DY46" s="1430" t="str">
        <v>No</v>
      </c>
      <c r="DZ46" s="1430" t="str">
        <v>No</v>
      </c>
      <c r="EA46" s="1430" t="str">
        <v>No</v>
      </c>
      <c r="EB46" s="1430" t="str">
        <v>No</v>
      </c>
      <c r="EC46" s="1430" t="str">
        <v>No</v>
      </c>
      <c r="ED46" s="1430" t="str">
        <v>No</v>
      </c>
      <c r="EE46" s="1430" t="str">
        <v>No</v>
      </c>
      <c r="EF46" s="1430" t="str">
        <v>No</v>
      </c>
      <c r="EG46" s="1430" t="str">
        <v/>
      </c>
      <c r="EH46" s="1430" t="str">
        <v/>
      </c>
      <c r="EI46" s="1430" t="str">
        <v/>
      </c>
      <c r="EJ46" s="1430" t="str">
        <v/>
      </c>
      <c r="EK46" s="1430" t="str">
        <v/>
      </c>
      <c r="EL46" s="1430" t="str">
        <v/>
      </c>
      <c r="EM46" s="1430" t="str">
        <v/>
      </c>
      <c r="EN46" s="1430" t="str">
        <v/>
      </c>
      <c r="EO46" s="1430" t="str">
        <v/>
      </c>
      <c r="EP46" s="1430" t="str">
        <v/>
      </c>
      <c r="EQ46" s="1430" t="str">
        <v/>
      </c>
      <c r="ER46" s="1430" t="str">
        <v/>
      </c>
      <c r="ES46" s="1430" t="str">
        <v/>
      </c>
      <c r="ET46" s="1430" t="str">
        <v/>
      </c>
      <c r="EU46" s="1430" t="str">
        <v/>
      </c>
      <c r="EV46" s="1430" t="str">
        <v/>
      </c>
      <c r="EW46" s="1430" t="str">
        <v/>
      </c>
      <c r="EX46" s="1430" t="str">
        <v/>
      </c>
      <c r="EY46" s="1430" t="str">
        <v/>
      </c>
      <c r="EZ46" s="1430" t="str">
        <v/>
      </c>
      <c r="FA46" s="1430" t="str">
        <v/>
      </c>
      <c r="FB46" s="1430" t="str">
        <v/>
      </c>
      <c r="FC46" s="1430" t="str">
        <v/>
      </c>
      <c r="FD46" s="1430" t="str">
        <v/>
      </c>
      <c r="FE46" s="1430" t="str">
        <v/>
      </c>
      <c r="FF46" s="1430" t="str">
        <v/>
      </c>
      <c r="FG46" s="1430" t="str">
        <v>Yes</v>
      </c>
      <c r="FH46" s="1430" t="str">
        <v>Yes</v>
      </c>
      <c r="FI46" s="1430" t="str">
        <v>Yes</v>
      </c>
      <c r="FJ46" s="1430" t="str">
        <v>Yes</v>
      </c>
      <c r="FK46" s="1430" t="str">
        <v>Yes</v>
      </c>
      <c r="FL46" s="1430" t="str">
        <v>Yes</v>
      </c>
      <c r="FM46" s="1430" t="str">
        <v>Yes</v>
      </c>
      <c r="FN46" s="1430" t="str">
        <v>Yes</v>
      </c>
      <c r="FO46" s="1430" t="str">
        <v>Yes</v>
      </c>
      <c r="FP46" s="1430" t="str">
        <v>Yes</v>
      </c>
      <c r="FQ46" s="1430" t="str">
        <v/>
      </c>
      <c r="FR46" s="1430" t="str">
        <v/>
      </c>
      <c r="FS46" s="1430" t="str">
        <v/>
      </c>
      <c r="FT46" s="1430" t="str">
        <v/>
      </c>
      <c r="FU46" s="1430" t="str">
        <v/>
      </c>
      <c r="FV46" s="1430" t="str">
        <v/>
      </c>
      <c r="FW46" s="1430" t="str">
        <v/>
      </c>
      <c r="FX46" s="1430" t="str">
        <v/>
      </c>
      <c r="FY46" s="1430" t="str">
        <v/>
      </c>
      <c r="FZ46" s="1430" t="str">
        <v/>
      </c>
      <c r="GA46" s="1430" t="str">
        <v>No</v>
      </c>
      <c r="GB46" s="1430" t="str">
        <v>No</v>
      </c>
      <c r="GC46" s="1430" t="str">
        <v>No</v>
      </c>
      <c r="GD46" s="1430" t="str">
        <v>No</v>
      </c>
      <c r="GE46" s="1430" t="str">
        <v>No</v>
      </c>
      <c r="GF46" s="1430" t="str">
        <v>No</v>
      </c>
      <c r="GG46" s="1430" t="str">
        <v>No</v>
      </c>
      <c r="GH46" s="1430" t="str">
        <v>No</v>
      </c>
      <c r="GI46" s="1430" t="str">
        <v>No</v>
      </c>
      <c r="GJ46" s="1430" t="str">
        <v>No</v>
      </c>
      <c r="GK46" s="1430" t="str">
        <v>No</v>
      </c>
      <c r="GL46" s="1430" t="str">
        <v>No</v>
      </c>
      <c r="GM46" s="1430" t="str">
        <v>No</v>
      </c>
      <c r="GN46" s="1430" t="str">
        <v>No</v>
      </c>
      <c r="GO46" s="1430" t="str">
        <v>No</v>
      </c>
      <c r="GP46" s="1430" t="str">
        <v/>
      </c>
      <c r="GQ46" s="1430" t="str">
        <v/>
      </c>
      <c r="GR46" s="1430" t="str">
        <v/>
      </c>
      <c r="GS46" s="1430" t="str">
        <v/>
      </c>
      <c r="GT46" s="1430" t="str">
        <v/>
      </c>
      <c r="GU46" s="1430" t="str">
        <v>No</v>
      </c>
      <c r="GV46" s="1430" t="str">
        <v>No</v>
      </c>
      <c r="GW46" s="1430" t="str">
        <v>No</v>
      </c>
      <c r="GX46" s="1430" t="str">
        <v>No</v>
      </c>
      <c r="GY46" s="1430" t="str">
        <v>No</v>
      </c>
      <c r="GZ46" s="1430" t="str">
        <v/>
      </c>
      <c r="HA46" s="1430" t="str">
        <v/>
      </c>
      <c r="HB46" s="1430" t="str">
        <v>No</v>
      </c>
      <c r="HC46" s="1430" t="str">
        <v>No</v>
      </c>
      <c r="HD46" s="1430" t="str">
        <v>No</v>
      </c>
      <c r="HE46" s="1430" t="str">
        <v>No</v>
      </c>
      <c r="HF46" s="1430" t="str">
        <v>No</v>
      </c>
      <c r="HG46" s="1430" t="str">
        <v>No</v>
      </c>
      <c r="HH46" s="1430" t="str">
        <v>No</v>
      </c>
      <c r="HI46" s="1430" t="str">
        <v>No</v>
      </c>
      <c r="HJ46" s="1430" t="str">
        <v>No</v>
      </c>
      <c r="HK46" s="1430" t="str">
        <v>No</v>
      </c>
      <c r="HL46" s="1430" t="str">
        <v>No</v>
      </c>
      <c r="HM46" s="1430" t="str">
        <v>No</v>
      </c>
      <c r="HN46" s="1430" t="str">
        <v>No</v>
      </c>
      <c r="HO46" s="1430" t="str">
        <v>No</v>
      </c>
      <c r="HP46" s="1430" t="str">
        <v>No</v>
      </c>
      <c r="HQ46" s="1430" t="str">
        <v>No</v>
      </c>
      <c r="HR46" s="1430" t="str">
        <v>No</v>
      </c>
      <c r="HS46" s="1430" t="str">
        <v>No</v>
      </c>
      <c r="HT46" s="1430" t="str">
        <v/>
      </c>
      <c r="HU46" s="1430" t="str">
        <v/>
      </c>
      <c r="HV46" s="1430" t="str">
        <v>No</v>
      </c>
      <c r="HW46" s="1430" t="str">
        <v>No</v>
      </c>
      <c r="HX46" s="1430" t="str">
        <v>No</v>
      </c>
      <c r="HY46" s="1430" t="str">
        <v>No</v>
      </c>
      <c r="HZ46" s="1430" t="str">
        <v>No</v>
      </c>
      <c r="IA46" s="1430" t="str">
        <v>No</v>
      </c>
      <c r="IB46" s="1430" t="str">
        <v>No</v>
      </c>
      <c r="IC46" s="1430" t="str">
        <v>No</v>
      </c>
      <c r="ID46" s="1430" t="str">
        <v>No</v>
      </c>
      <c r="IE46" s="1430" t="str">
        <v>No</v>
      </c>
      <c r="IF46" s="1430" t="str">
        <v>No</v>
      </c>
      <c r="IG46" s="1430" t="str">
        <v>No</v>
      </c>
      <c r="IH46" s="1430" t="str">
        <v>No</v>
      </c>
      <c r="II46" s="1430" t="str">
        <v>No</v>
      </c>
      <c r="IJ46" s="1430" t="str">
        <v/>
      </c>
      <c r="IK46" s="1430" t="str">
        <v/>
      </c>
      <c r="IL46" s="1430" t="str">
        <v/>
      </c>
      <c r="IM46" s="1430" t="str">
        <v/>
      </c>
      <c r="IN46" s="1430" t="str">
        <v/>
      </c>
      <c r="IO46" s="1430" t="str">
        <v/>
      </c>
      <c r="IP46" s="1430" t="str">
        <v/>
      </c>
      <c r="IQ46" s="1430" t="str">
        <v/>
      </c>
      <c r="IR46" s="1430" t="str">
        <v/>
      </c>
      <c r="IS46" s="1430" t="str">
        <v>No</v>
      </c>
      <c r="IT46" s="1430" t="str">
        <v>No</v>
      </c>
      <c r="IU46" s="1430" t="str">
        <v>No</v>
      </c>
      <c r="IV46" s="1430" t="str">
        <v>No</v>
      </c>
      <c r="IW46" s="1430" t="str">
        <v>No</v>
      </c>
      <c r="IX46" s="1430" t="str">
        <v>No</v>
      </c>
      <c r="IY46" s="1430" t="str">
        <v>No</v>
      </c>
      <c r="IZ46" s="1430" t="str">
        <v>No</v>
      </c>
      <c r="JA46" s="1430" t="str">
        <v/>
      </c>
      <c r="JB46" s="1430" t="str">
        <v/>
      </c>
      <c r="JC46" s="1430" t="str">
        <v/>
      </c>
      <c r="JD46" s="1430" t="str">
        <v/>
      </c>
      <c r="JE46" s="1430" t="str">
        <v/>
      </c>
      <c r="JF46" s="1430" t="str">
        <v/>
      </c>
      <c r="JG46" s="1430" t="str">
        <v/>
      </c>
      <c r="JH46" s="1430" t="str">
        <v/>
      </c>
      <c r="JI46" s="1430" t="str">
        <v/>
      </c>
      <c r="JJ46" s="1430" t="str">
        <v/>
      </c>
      <c r="JK46" s="1430" t="str">
        <v/>
      </c>
      <c r="JL46" s="1430" t="str">
        <v/>
      </c>
      <c r="JM46" s="1430" t="str">
        <v/>
      </c>
      <c r="JN46" s="1430" t="str">
        <v/>
      </c>
      <c r="JO46" s="1430" t="str">
        <v/>
      </c>
      <c r="JP46" s="1430" t="str">
        <v/>
      </c>
      <c r="JQ46" s="1430" t="str">
        <v/>
      </c>
      <c r="JR46" s="1430" t="str">
        <v/>
      </c>
      <c r="JS46" s="1430" t="str">
        <v/>
      </c>
      <c r="JT46" s="1430" t="str">
        <v/>
      </c>
      <c r="JU46" s="1430" t="str">
        <v/>
      </c>
      <c r="JV46" s="1430" t="str">
        <v/>
      </c>
      <c r="JW46" s="1430" t="str">
        <v>No</v>
      </c>
      <c r="JX46" s="1430" t="str">
        <v>No</v>
      </c>
      <c r="JY46" s="1430" t="str">
        <v>No</v>
      </c>
      <c r="JZ46" s="1430" t="str">
        <v>No</v>
      </c>
      <c r="KA46" s="1430" t="str">
        <v>No</v>
      </c>
      <c r="KB46" s="1430" t="str">
        <v>No</v>
      </c>
      <c r="KC46" s="1430" t="str">
        <v>No</v>
      </c>
      <c r="KD46" s="1430" t="str">
        <v>No</v>
      </c>
      <c r="KE46" s="1430" t="str">
        <v>No</v>
      </c>
      <c r="KF46" s="1430" t="str">
        <v>No</v>
      </c>
      <c r="KG46" s="1430" t="str">
        <v>No</v>
      </c>
      <c r="KH46" s="1430" t="str">
        <v>No</v>
      </c>
      <c r="KI46" s="1430" t="str">
        <v>No</v>
      </c>
      <c r="KJ46" s="1430" t="str">
        <v>No</v>
      </c>
      <c r="KK46" s="1430" t="str">
        <v>No</v>
      </c>
      <c r="KL46" s="1430" t="str">
        <v/>
      </c>
      <c r="KM46" s="1430" t="str">
        <v/>
      </c>
      <c r="KN46" s="1430" t="str">
        <v/>
      </c>
      <c r="KO46" s="1430" t="str">
        <v/>
      </c>
      <c r="KP46" s="1431" t="str">
        <v/>
      </c>
      <c r="KQ46" s="700" t="s">
        <v>388</v>
      </c>
    </row>
    <row r="47" spans="1:303" s="184" customFormat="1" hidden="1" x14ac:dyDescent="0.45">
      <c r="A47" s="1744" t="s">
        <v>359</v>
      </c>
      <c r="B47" s="144" t="s">
        <v>306</v>
      </c>
      <c r="C47" s="198">
        <f t="array" ref="C47:KP49">IFERROR(IF(sessions_elements="Race",
(((sessions_HR-athlete_HR_rest)/(athlete_HR_max_run-athlete_HR_rest))*0.64*EXP(IF(athlete_gender="female",1.67,1.92)*((sessions_HR-athlete_HR_rest)/(athlete_HR_max_run-athlete_HR_rest)))),
INDEX(elements_load,2,sessions_elements_index)),"")</f>
        <v>0</v>
      </c>
      <c r="D47" s="198">
        <v>1.3035376127570943</v>
      </c>
      <c r="E47" s="198">
        <v>1.3035376127570943</v>
      </c>
      <c r="F47" s="198">
        <v>1.6618372060036211</v>
      </c>
      <c r="G47" s="198">
        <v>1.6618372060036211</v>
      </c>
      <c r="H47" s="198">
        <v>1.3035376127570943</v>
      </c>
      <c r="I47" s="198">
        <v>1.3035376127570943</v>
      </c>
      <c r="J47" s="198">
        <v>1.3035376127570943</v>
      </c>
      <c r="K47" s="198">
        <v>1.3035376127570943</v>
      </c>
      <c r="L47" s="198">
        <v>1.3035376127570943</v>
      </c>
      <c r="M47" s="198">
        <v>1.3035376127570943</v>
      </c>
      <c r="N47" s="198">
        <v>1.3035376127570943</v>
      </c>
      <c r="O47" s="198">
        <v>1.3035376127570943</v>
      </c>
      <c r="P47" s="198">
        <v>1.3035376127570943</v>
      </c>
      <c r="Q47" s="198">
        <v>1.3035376127570943</v>
      </c>
      <c r="R47" s="198">
        <v>1.6618372060036211</v>
      </c>
      <c r="S47" s="198">
        <v>1.6618372060036211</v>
      </c>
      <c r="T47" s="198">
        <v>1.6618372060036211</v>
      </c>
      <c r="U47" s="198">
        <v>1.6618372060036211</v>
      </c>
      <c r="V47" s="198">
        <v>1.6618372060036211</v>
      </c>
      <c r="W47" s="198">
        <v>2.3470541354876326</v>
      </c>
      <c r="X47" s="198">
        <v>3.1875609275280241</v>
      </c>
      <c r="Y47" s="198">
        <v>3.1875609275280241</v>
      </c>
      <c r="Z47" s="198">
        <v>3.1875609275280241</v>
      </c>
      <c r="AA47" s="198">
        <v>3.1875609275280241</v>
      </c>
      <c r="AB47" s="198">
        <v>2.3470541354876326</v>
      </c>
      <c r="AC47" s="198">
        <v>3.1875609275280241</v>
      </c>
      <c r="AD47" s="198">
        <v>3.1875609275280241</v>
      </c>
      <c r="AE47" s="198">
        <v>3.1875609275280241</v>
      </c>
      <c r="AF47" s="198">
        <v>3.1875609275280241</v>
      </c>
      <c r="AG47" s="198">
        <v>2.3470541354876326</v>
      </c>
      <c r="AH47" s="198">
        <v>2.3470541354876326</v>
      </c>
      <c r="AI47" s="198">
        <v>2.3470541354876326</v>
      </c>
      <c r="AJ47" s="198">
        <v>2.3470541354876326</v>
      </c>
      <c r="AK47" s="198" t="str">
        <v/>
      </c>
      <c r="AL47" s="198" t="str">
        <v/>
      </c>
      <c r="AM47" s="198" t="str">
        <v/>
      </c>
      <c r="AN47" s="198" t="str">
        <v/>
      </c>
      <c r="AO47" s="198" t="str">
        <v/>
      </c>
      <c r="AP47" s="198" t="str">
        <v/>
      </c>
      <c r="AQ47" s="198">
        <v>4.0190880267827698</v>
      </c>
      <c r="AR47" s="198">
        <v>4.0190880267827698</v>
      </c>
      <c r="AS47" s="198">
        <v>4.0190880267827698</v>
      </c>
      <c r="AT47" s="198">
        <v>4.0190880267827698</v>
      </c>
      <c r="AU47" s="198">
        <v>4.0190880267827698</v>
      </c>
      <c r="AV47" s="198">
        <v>4.0190880267827698</v>
      </c>
      <c r="AW47" s="198">
        <v>4.0190880267827698</v>
      </c>
      <c r="AX47" s="198">
        <v>4.0190880267827698</v>
      </c>
      <c r="AY47" s="198">
        <v>4.0190880267827698</v>
      </c>
      <c r="AZ47" s="198">
        <v>4.0190880267827698</v>
      </c>
      <c r="BA47" s="198">
        <v>4.0190880267827698</v>
      </c>
      <c r="BB47" s="198">
        <v>4.0190880267827698</v>
      </c>
      <c r="BC47" s="198" t="str">
        <v/>
      </c>
      <c r="BD47" s="198" t="str">
        <v/>
      </c>
      <c r="BE47" s="198" t="str">
        <v/>
      </c>
      <c r="BF47" s="198" t="str">
        <v/>
      </c>
      <c r="BG47" s="198" t="str">
        <v/>
      </c>
      <c r="BH47" s="198" t="str">
        <v/>
      </c>
      <c r="BI47" s="198" t="str">
        <v/>
      </c>
      <c r="BJ47" s="198" t="str">
        <v/>
      </c>
      <c r="BK47" s="198">
        <v>7.7808226550921527</v>
      </c>
      <c r="BL47" s="198">
        <v>7.7808226550921527</v>
      </c>
      <c r="BM47" s="198">
        <v>7.7808226550921527</v>
      </c>
      <c r="BN47" s="198">
        <v>7.7808226550921527</v>
      </c>
      <c r="BO47" s="198">
        <v>7.7808226550921527</v>
      </c>
      <c r="BP47" s="198">
        <v>7.7808226550921527</v>
      </c>
      <c r="BQ47" s="198">
        <v>7.7808226550921527</v>
      </c>
      <c r="BR47" s="198">
        <v>7.7808226550921527</v>
      </c>
      <c r="BS47" s="198">
        <v>7.7808226550921527</v>
      </c>
      <c r="BT47" s="198" t="str">
        <v/>
      </c>
      <c r="BU47" s="198">
        <v>1.6618372060036211</v>
      </c>
      <c r="BV47" s="198">
        <v>1.6618372060036211</v>
      </c>
      <c r="BW47" s="198">
        <v>1.6618372060036211</v>
      </c>
      <c r="BX47" s="198">
        <v>1.6618372060036211</v>
      </c>
      <c r="BY47" s="198">
        <v>1.6618372060036211</v>
      </c>
      <c r="BZ47" s="198">
        <v>0</v>
      </c>
      <c r="CA47" s="198">
        <v>0</v>
      </c>
      <c r="CB47" s="198">
        <v>1.3035376127570943</v>
      </c>
      <c r="CC47" s="198">
        <v>0</v>
      </c>
      <c r="CD47" s="198">
        <v>1.3035376127570943</v>
      </c>
      <c r="CE47" s="198">
        <v>4.4560004196028578</v>
      </c>
      <c r="CF47" s="198">
        <v>4.0190880267827698</v>
      </c>
      <c r="CG47" s="198">
        <v>3.6202563098131781</v>
      </c>
      <c r="CH47" s="198">
        <v>3.3979311770932425</v>
      </c>
      <c r="CI47" s="198">
        <v>3.1875609275280241</v>
      </c>
      <c r="CJ47" s="198">
        <v>3.0536586287489138</v>
      </c>
      <c r="CK47" s="198">
        <v>2.9246323681790631</v>
      </c>
      <c r="CL47" s="198">
        <v>2.8618960201572388</v>
      </c>
      <c r="CM47" s="198">
        <v>2.8003172753736965</v>
      </c>
      <c r="CN47" s="198">
        <v>2.6805538064937902</v>
      </c>
      <c r="CO47" s="198">
        <v>2.6223304888990029</v>
      </c>
      <c r="CP47" s="198">
        <v>2.5651875774370754</v>
      </c>
      <c r="CQ47" s="198">
        <v>2.5651875774370754</v>
      </c>
      <c r="CR47" s="198">
        <v>2.5091065537663697</v>
      </c>
      <c r="CS47" s="198">
        <v>2.5091065537663697</v>
      </c>
      <c r="CT47" s="198">
        <v>2.4540692020815742</v>
      </c>
      <c r="CU47" s="198">
        <v>2.4540692020815742</v>
      </c>
      <c r="CV47" s="198">
        <v>2.4540692020815742</v>
      </c>
      <c r="CW47" s="198">
        <v>2.4540692020815742</v>
      </c>
      <c r="CX47" s="198">
        <v>2.4540692020815742</v>
      </c>
      <c r="CY47" s="875">
        <v>0</v>
      </c>
      <c r="CZ47" s="198">
        <v>1.3035376127570943</v>
      </c>
      <c r="DA47" s="198">
        <v>1.3035376127570943</v>
      </c>
      <c r="DB47" s="198">
        <v>1.6618372060036211</v>
      </c>
      <c r="DC47" s="198">
        <v>1.6618372060036211</v>
      </c>
      <c r="DD47" s="198">
        <v>1.3035376127570943</v>
      </c>
      <c r="DE47" s="198">
        <v>1.3035376127570943</v>
      </c>
      <c r="DF47" s="198">
        <v>1.3035376127570943</v>
      </c>
      <c r="DG47" s="198">
        <v>1.3035376127570943</v>
      </c>
      <c r="DH47" s="198">
        <v>1.3035376127570943</v>
      </c>
      <c r="DI47" s="198">
        <v>1.3035376127570943</v>
      </c>
      <c r="DJ47" s="198">
        <v>1.3035376127570943</v>
      </c>
      <c r="DK47" s="198">
        <v>1.3035376127570943</v>
      </c>
      <c r="DL47" s="198">
        <v>1.3035376127570943</v>
      </c>
      <c r="DM47" s="198">
        <v>1.3035376127570943</v>
      </c>
      <c r="DN47" s="198">
        <v>1.6618372060036211</v>
      </c>
      <c r="DO47" s="198">
        <v>1.6618372060036211</v>
      </c>
      <c r="DP47" s="198">
        <v>1.6618372060036211</v>
      </c>
      <c r="DQ47" s="198">
        <v>1.6618372060036211</v>
      </c>
      <c r="DR47" s="198">
        <v>1.6618372060036211</v>
      </c>
      <c r="DS47" s="198">
        <v>2.3470541354876326</v>
      </c>
      <c r="DT47" s="198">
        <v>3.1875609275280241</v>
      </c>
      <c r="DU47" s="198">
        <v>3.1875609275280241</v>
      </c>
      <c r="DV47" s="198">
        <v>3.1875609275280241</v>
      </c>
      <c r="DW47" s="198">
        <v>3.1875609275280241</v>
      </c>
      <c r="DX47" s="198">
        <v>2.3470541354876326</v>
      </c>
      <c r="DY47" s="198">
        <v>3.1875609275280241</v>
      </c>
      <c r="DZ47" s="198">
        <v>3.1875609275280241</v>
      </c>
      <c r="EA47" s="198">
        <v>3.1875609275280241</v>
      </c>
      <c r="EB47" s="198">
        <v>3.1875609275280241</v>
      </c>
      <c r="EC47" s="198">
        <v>2.3470541354876326</v>
      </c>
      <c r="ED47" s="198">
        <v>2.3470541354876326</v>
      </c>
      <c r="EE47" s="198">
        <v>2.3470541354876326</v>
      </c>
      <c r="EF47" s="198">
        <v>2.3470541354876326</v>
      </c>
      <c r="EG47" s="198" t="str">
        <v/>
      </c>
      <c r="EH47" s="198" t="str">
        <v/>
      </c>
      <c r="EI47" s="198" t="str">
        <v/>
      </c>
      <c r="EJ47" s="198" t="str">
        <v/>
      </c>
      <c r="EK47" s="198" t="str">
        <v/>
      </c>
      <c r="EL47" s="198" t="str">
        <v/>
      </c>
      <c r="EM47" s="198" t="str">
        <v/>
      </c>
      <c r="EN47" s="198" t="str">
        <v/>
      </c>
      <c r="EO47" s="198" t="str">
        <v/>
      </c>
      <c r="EP47" s="198" t="str">
        <v/>
      </c>
      <c r="EQ47" s="198" t="str">
        <v/>
      </c>
      <c r="ER47" s="198" t="str">
        <v/>
      </c>
      <c r="ES47" s="198" t="str">
        <v/>
      </c>
      <c r="ET47" s="198" t="str">
        <v/>
      </c>
      <c r="EU47" s="198" t="str">
        <v/>
      </c>
      <c r="EV47" s="198" t="str">
        <v/>
      </c>
      <c r="EW47" s="198" t="str">
        <v/>
      </c>
      <c r="EX47" s="198" t="str">
        <v/>
      </c>
      <c r="EY47" s="198" t="str">
        <v/>
      </c>
      <c r="EZ47" s="198" t="str">
        <v/>
      </c>
      <c r="FA47" s="198" t="str">
        <v/>
      </c>
      <c r="FB47" s="198" t="str">
        <v/>
      </c>
      <c r="FC47" s="198" t="str">
        <v/>
      </c>
      <c r="FD47" s="198" t="str">
        <v/>
      </c>
      <c r="FE47" s="198" t="str">
        <v/>
      </c>
      <c r="FF47" s="198" t="str">
        <v/>
      </c>
      <c r="FG47" s="198">
        <v>7.7808226550921527</v>
      </c>
      <c r="FH47" s="198">
        <v>7.7808226550921527</v>
      </c>
      <c r="FI47" s="198">
        <v>7.7808226550921527</v>
      </c>
      <c r="FJ47" s="198">
        <v>7.7808226550921527</v>
      </c>
      <c r="FK47" s="198">
        <v>7.7808226550921527</v>
      </c>
      <c r="FL47" s="198">
        <v>7.7808226550921527</v>
      </c>
      <c r="FM47" s="198">
        <v>7.7808226550921527</v>
      </c>
      <c r="FN47" s="198">
        <v>7.7808226550921527</v>
      </c>
      <c r="FO47" s="198">
        <v>7.7808226550921527</v>
      </c>
      <c r="FP47" s="198">
        <v>7.7808226550921527</v>
      </c>
      <c r="FQ47" s="198" t="str">
        <v/>
      </c>
      <c r="FR47" s="198" t="str">
        <v/>
      </c>
      <c r="FS47" s="198" t="str">
        <v/>
      </c>
      <c r="FT47" s="198" t="str">
        <v/>
      </c>
      <c r="FU47" s="198" t="str">
        <v/>
      </c>
      <c r="FV47" s="198" t="str">
        <v/>
      </c>
      <c r="FW47" s="198" t="str">
        <v/>
      </c>
      <c r="FX47" s="198" t="str">
        <v/>
      </c>
      <c r="FY47" s="198" t="str">
        <v/>
      </c>
      <c r="FZ47" s="198" t="str">
        <v/>
      </c>
      <c r="GA47" s="198">
        <v>4.0190880267827698</v>
      </c>
      <c r="GB47" s="198">
        <v>3.6202563098131781</v>
      </c>
      <c r="GC47" s="198">
        <v>3.3979311770932425</v>
      </c>
      <c r="GD47" s="198">
        <v>3.1875609275280241</v>
      </c>
      <c r="GE47" s="198">
        <v>3.0536586287489138</v>
      </c>
      <c r="GF47" s="198">
        <v>2.9246323681790631</v>
      </c>
      <c r="GG47" s="198">
        <v>2.8618960201572388</v>
      </c>
      <c r="GH47" s="198">
        <v>2.8003172753736965</v>
      </c>
      <c r="GI47" s="198">
        <v>2.6805538064937902</v>
      </c>
      <c r="GJ47" s="198">
        <v>2.6223304888990029</v>
      </c>
      <c r="GK47" s="198">
        <v>2.5651875774370754</v>
      </c>
      <c r="GL47" s="198">
        <v>2.5091065537663697</v>
      </c>
      <c r="GM47" s="198">
        <v>2.5091065537663697</v>
      </c>
      <c r="GN47" s="198">
        <v>2.4540692020815742</v>
      </c>
      <c r="GO47" s="198">
        <v>2.4540692020815742</v>
      </c>
      <c r="GP47" s="198" t="str">
        <v/>
      </c>
      <c r="GQ47" s="198" t="str">
        <v/>
      </c>
      <c r="GR47" s="198" t="str">
        <v/>
      </c>
      <c r="GS47" s="198" t="str">
        <v/>
      </c>
      <c r="GT47" s="198" t="str">
        <v/>
      </c>
      <c r="GU47" s="198">
        <v>0</v>
      </c>
      <c r="GV47" s="198">
        <v>1.3035376127570943</v>
      </c>
      <c r="GW47" s="198">
        <v>1.3035376127570943</v>
      </c>
      <c r="GX47" s="198">
        <v>1.6618372060036211</v>
      </c>
      <c r="GY47" s="198">
        <v>1.6618372060036211</v>
      </c>
      <c r="GZ47" s="198" t="str">
        <v/>
      </c>
      <c r="HA47" s="198" t="str">
        <v/>
      </c>
      <c r="HB47" s="198">
        <v>1.3035376127570943</v>
      </c>
      <c r="HC47" s="198">
        <v>1.3035376127570943</v>
      </c>
      <c r="HD47" s="198">
        <v>1.3035376127570943</v>
      </c>
      <c r="HE47" s="198">
        <v>1.3035376127570943</v>
      </c>
      <c r="HF47" s="198">
        <v>1.3035376127570943</v>
      </c>
      <c r="HG47" s="198">
        <v>1.3035376127570943</v>
      </c>
      <c r="HH47" s="198">
        <v>1.3035376127570943</v>
      </c>
      <c r="HI47" s="198">
        <v>1.3035376127570943</v>
      </c>
      <c r="HJ47" s="198">
        <v>1.6618372060036211</v>
      </c>
      <c r="HK47" s="198">
        <v>1.6618372060036211</v>
      </c>
      <c r="HL47" s="198">
        <v>1.6618372060036211</v>
      </c>
      <c r="HM47" s="198">
        <v>1.6618372060036211</v>
      </c>
      <c r="HN47" s="198">
        <v>1.6618372060036211</v>
      </c>
      <c r="HO47" s="198">
        <v>0</v>
      </c>
      <c r="HP47" s="198">
        <v>1.3035376127570943</v>
      </c>
      <c r="HQ47" s="198">
        <v>1.3035376127570943</v>
      </c>
      <c r="HR47" s="198">
        <v>1.6618372060036211</v>
      </c>
      <c r="HS47" s="198">
        <v>1.6618372060036211</v>
      </c>
      <c r="HT47" s="198" t="str">
        <v/>
      </c>
      <c r="HU47" s="198" t="str">
        <v/>
      </c>
      <c r="HV47" s="198">
        <v>1.3035376127570943</v>
      </c>
      <c r="HW47" s="198">
        <v>1.3035376127570943</v>
      </c>
      <c r="HX47" s="198">
        <v>1.3035376127570943</v>
      </c>
      <c r="HY47" s="198">
        <v>1.3035376127570943</v>
      </c>
      <c r="HZ47" s="198">
        <v>1.3035376127570943</v>
      </c>
      <c r="IA47" s="198">
        <v>1.3035376127570943</v>
      </c>
      <c r="IB47" s="198">
        <v>1.3035376127570943</v>
      </c>
      <c r="IC47" s="198">
        <v>1.3035376127570943</v>
      </c>
      <c r="ID47" s="198">
        <v>1.6618372060036211</v>
      </c>
      <c r="IE47" s="198">
        <v>1.6618372060036211</v>
      </c>
      <c r="IF47" s="198">
        <v>1.6618372060036211</v>
      </c>
      <c r="IG47" s="198">
        <v>1.6618372060036211</v>
      </c>
      <c r="IH47" s="198">
        <v>1.6618372060036211</v>
      </c>
      <c r="II47" s="198">
        <v>1.3035376127570943</v>
      </c>
      <c r="IJ47" s="198" t="str">
        <v/>
      </c>
      <c r="IK47" s="198" t="str">
        <v/>
      </c>
      <c r="IL47" s="198" t="str">
        <v/>
      </c>
      <c r="IM47" s="198" t="str">
        <v/>
      </c>
      <c r="IN47" s="198" t="str">
        <v/>
      </c>
      <c r="IO47" s="198" t="str">
        <v/>
      </c>
      <c r="IP47" s="198" t="str">
        <v/>
      </c>
      <c r="IQ47" s="198" t="str">
        <v/>
      </c>
      <c r="IR47" s="198" t="str">
        <v/>
      </c>
      <c r="IS47" s="198">
        <v>0</v>
      </c>
      <c r="IT47" s="198">
        <v>1.6618372060036211</v>
      </c>
      <c r="IU47" s="198">
        <v>1.6618372060036211</v>
      </c>
      <c r="IV47" s="198">
        <v>1.6618372060036211</v>
      </c>
      <c r="IW47" s="198">
        <v>1.6618372060036211</v>
      </c>
      <c r="IX47" s="198">
        <v>1.6618372060036211</v>
      </c>
      <c r="IY47" s="198">
        <v>1.6618372060036211</v>
      </c>
      <c r="IZ47" s="198">
        <v>1.3035376127570943</v>
      </c>
      <c r="JA47" s="198" t="str">
        <v/>
      </c>
      <c r="JB47" s="198" t="str">
        <v/>
      </c>
      <c r="JC47" s="198" t="str">
        <v/>
      </c>
      <c r="JD47" s="198" t="str">
        <v/>
      </c>
      <c r="JE47" s="198" t="str">
        <v/>
      </c>
      <c r="JF47" s="198" t="str">
        <v/>
      </c>
      <c r="JG47" s="198" t="str">
        <v/>
      </c>
      <c r="JH47" s="198" t="str">
        <v/>
      </c>
      <c r="JI47" s="198" t="str">
        <v/>
      </c>
      <c r="JJ47" s="198" t="str">
        <v/>
      </c>
      <c r="JK47" s="198" t="str">
        <v/>
      </c>
      <c r="JL47" s="198" t="str">
        <v/>
      </c>
      <c r="JM47" s="198" t="str">
        <v/>
      </c>
      <c r="JN47" s="198" t="str">
        <v/>
      </c>
      <c r="JO47" s="198" t="str">
        <v/>
      </c>
      <c r="JP47" s="198" t="str">
        <v/>
      </c>
      <c r="JQ47" s="198" t="str">
        <v/>
      </c>
      <c r="JR47" s="198" t="str">
        <v/>
      </c>
      <c r="JS47" s="198" t="str">
        <v/>
      </c>
      <c r="JT47" s="198" t="str">
        <v/>
      </c>
      <c r="JU47" s="198" t="str">
        <v/>
      </c>
      <c r="JV47" s="198" t="str">
        <v/>
      </c>
      <c r="JW47" s="198">
        <v>4.0190880267827698</v>
      </c>
      <c r="JX47" s="198">
        <v>3.6202563098131781</v>
      </c>
      <c r="JY47" s="198">
        <v>3.3979311770932425</v>
      </c>
      <c r="JZ47" s="198">
        <v>3.1875609275280241</v>
      </c>
      <c r="KA47" s="198">
        <v>3.0536586287489138</v>
      </c>
      <c r="KB47" s="198">
        <v>2.9246323681790631</v>
      </c>
      <c r="KC47" s="198">
        <v>2.8618960201572388</v>
      </c>
      <c r="KD47" s="198">
        <v>2.8003172753736965</v>
      </c>
      <c r="KE47" s="198">
        <v>2.6805538064937902</v>
      </c>
      <c r="KF47" s="198">
        <v>2.6223304888990029</v>
      </c>
      <c r="KG47" s="198">
        <v>2.5651875774370754</v>
      </c>
      <c r="KH47" s="198">
        <v>2.5091065537663697</v>
      </c>
      <c r="KI47" s="198">
        <v>2.5091065537663697</v>
      </c>
      <c r="KJ47" s="198">
        <v>2.4540692020815742</v>
      </c>
      <c r="KK47" s="198">
        <v>2.4540692020815742</v>
      </c>
      <c r="KL47" s="198" t="str">
        <v/>
      </c>
      <c r="KM47" s="198" t="str">
        <v/>
      </c>
      <c r="KN47" s="198" t="str">
        <v/>
      </c>
      <c r="KO47" s="198" t="str">
        <v/>
      </c>
      <c r="KP47" s="904" t="str">
        <v/>
      </c>
      <c r="KQ47" s="699" t="s">
        <v>388</v>
      </c>
    </row>
    <row r="48" spans="1:303" s="184" customFormat="1" hidden="1" x14ac:dyDescent="0.45">
      <c r="A48" s="1745"/>
      <c r="B48" s="145" t="s">
        <v>307</v>
      </c>
      <c r="C48" s="199" t="str">
        <v/>
      </c>
      <c r="D48" s="199" t="str">
        <v/>
      </c>
      <c r="E48" s="199" t="str">
        <v/>
      </c>
      <c r="F48" s="199" t="str">
        <v/>
      </c>
      <c r="G48" s="199" t="str">
        <v/>
      </c>
      <c r="H48" s="199" t="str">
        <v/>
      </c>
      <c r="I48" s="199" t="str">
        <v/>
      </c>
      <c r="J48" s="199" t="str">
        <v/>
      </c>
      <c r="K48" s="199">
        <v>1.6618372060036211</v>
      </c>
      <c r="L48" s="199">
        <v>1.6618372060036211</v>
      </c>
      <c r="M48" s="199">
        <v>1.6618372060036211</v>
      </c>
      <c r="N48" s="199" t="str">
        <v/>
      </c>
      <c r="O48" s="199" t="str">
        <v/>
      </c>
      <c r="P48" s="199" t="str">
        <v/>
      </c>
      <c r="Q48" s="199" t="str">
        <v/>
      </c>
      <c r="R48" s="199" t="str">
        <v/>
      </c>
      <c r="S48" s="199" t="str">
        <v/>
      </c>
      <c r="T48" s="199" t="str">
        <v/>
      </c>
      <c r="U48" s="199" t="str">
        <v/>
      </c>
      <c r="V48" s="199" t="str">
        <v/>
      </c>
      <c r="W48" s="199" t="str">
        <v/>
      </c>
      <c r="X48" s="199" t="str">
        <v/>
      </c>
      <c r="Y48" s="199" t="str">
        <v/>
      </c>
      <c r="Z48" s="199" t="str">
        <v/>
      </c>
      <c r="AA48" s="199" t="str">
        <v/>
      </c>
      <c r="AB48" s="199">
        <v>1.3035376127570943</v>
      </c>
      <c r="AC48" s="199">
        <v>1.3035376127570943</v>
      </c>
      <c r="AD48" s="199">
        <v>1.3035376127570943</v>
      </c>
      <c r="AE48" s="199">
        <v>1.3035376127570943</v>
      </c>
      <c r="AF48" s="199">
        <v>1.3035376127570943</v>
      </c>
      <c r="AG48" s="199" t="str">
        <v/>
      </c>
      <c r="AH48" s="199" t="str">
        <v/>
      </c>
      <c r="AI48" s="199" t="str">
        <v/>
      </c>
      <c r="AJ48" s="199" t="str">
        <v/>
      </c>
      <c r="AK48" s="199" t="str">
        <v/>
      </c>
      <c r="AL48" s="199" t="str">
        <v/>
      </c>
      <c r="AM48" s="199" t="str">
        <v/>
      </c>
      <c r="AN48" s="199" t="str">
        <v/>
      </c>
      <c r="AO48" s="199" t="str">
        <v/>
      </c>
      <c r="AP48" s="199" t="str">
        <v/>
      </c>
      <c r="AQ48" s="199" t="str">
        <v/>
      </c>
      <c r="AR48" s="199" t="str">
        <v/>
      </c>
      <c r="AS48" s="199" t="str">
        <v/>
      </c>
      <c r="AT48" s="199" t="str">
        <v/>
      </c>
      <c r="AU48" s="199" t="str">
        <v/>
      </c>
      <c r="AV48" s="199" t="str">
        <v/>
      </c>
      <c r="AW48" s="199" t="str">
        <v/>
      </c>
      <c r="AX48" s="199" t="str">
        <v/>
      </c>
      <c r="AY48" s="199" t="str">
        <v/>
      </c>
      <c r="AZ48" s="199" t="str">
        <v/>
      </c>
      <c r="BA48" s="199" t="str">
        <v/>
      </c>
      <c r="BB48" s="199" t="str">
        <v/>
      </c>
      <c r="BC48" s="199" t="str">
        <v/>
      </c>
      <c r="BD48" s="199" t="str">
        <v/>
      </c>
      <c r="BE48" s="199" t="str">
        <v/>
      </c>
      <c r="BF48" s="199" t="str">
        <v/>
      </c>
      <c r="BG48" s="199" t="str">
        <v/>
      </c>
      <c r="BH48" s="199" t="str">
        <v/>
      </c>
      <c r="BI48" s="199" t="str">
        <v/>
      </c>
      <c r="BJ48" s="199" t="str">
        <v/>
      </c>
      <c r="BK48" s="199">
        <v>1.3035376127570943</v>
      </c>
      <c r="BL48" s="199">
        <v>1.3035376127570943</v>
      </c>
      <c r="BM48" s="199">
        <v>1.3035376127570943</v>
      </c>
      <c r="BN48" s="199">
        <v>1.3035376127570943</v>
      </c>
      <c r="BO48" s="199">
        <v>1.3035376127570943</v>
      </c>
      <c r="BP48" s="199">
        <v>1.3035376127570943</v>
      </c>
      <c r="BQ48" s="199">
        <v>1.3035376127570943</v>
      </c>
      <c r="BR48" s="199">
        <v>1.3035376127570943</v>
      </c>
      <c r="BS48" s="199">
        <v>1.3035376127570943</v>
      </c>
      <c r="BT48" s="199" t="str">
        <v/>
      </c>
      <c r="BU48" s="199" t="str">
        <v/>
      </c>
      <c r="BV48" s="199">
        <v>1.6618372060036211</v>
      </c>
      <c r="BW48" s="199">
        <v>7.7808226550921527</v>
      </c>
      <c r="BX48" s="199">
        <v>1.3035376127570943</v>
      </c>
      <c r="BY48" s="199">
        <v>7.7808226550921527</v>
      </c>
      <c r="BZ48" s="199" t="str">
        <v/>
      </c>
      <c r="CA48" s="199">
        <v>0</v>
      </c>
      <c r="CB48" s="199">
        <v>0</v>
      </c>
      <c r="CC48" s="199" t="str">
        <v/>
      </c>
      <c r="CD48" s="199">
        <v>0</v>
      </c>
      <c r="CE48" s="199" t="str">
        <v/>
      </c>
      <c r="CF48" s="199" t="str">
        <v/>
      </c>
      <c r="CG48" s="199" t="str">
        <v/>
      </c>
      <c r="CH48" s="199" t="str">
        <v/>
      </c>
      <c r="CI48" s="199" t="str">
        <v/>
      </c>
      <c r="CJ48" s="199" t="str">
        <v/>
      </c>
      <c r="CK48" s="199" t="str">
        <v/>
      </c>
      <c r="CL48" s="199" t="str">
        <v/>
      </c>
      <c r="CM48" s="199" t="str">
        <v/>
      </c>
      <c r="CN48" s="199" t="str">
        <v/>
      </c>
      <c r="CO48" s="199" t="str">
        <v/>
      </c>
      <c r="CP48" s="199" t="str">
        <v/>
      </c>
      <c r="CQ48" s="199" t="str">
        <v/>
      </c>
      <c r="CR48" s="199" t="str">
        <v/>
      </c>
      <c r="CS48" s="199" t="str">
        <v/>
      </c>
      <c r="CT48" s="199" t="str">
        <v/>
      </c>
      <c r="CU48" s="199" t="str">
        <v/>
      </c>
      <c r="CV48" s="199" t="str">
        <v/>
      </c>
      <c r="CW48" s="199" t="str">
        <v/>
      </c>
      <c r="CX48" s="199" t="str">
        <v/>
      </c>
      <c r="CY48" s="876" t="str">
        <v/>
      </c>
      <c r="CZ48" s="199" t="str">
        <v/>
      </c>
      <c r="DA48" s="199" t="str">
        <v/>
      </c>
      <c r="DB48" s="199" t="str">
        <v/>
      </c>
      <c r="DC48" s="199" t="str">
        <v/>
      </c>
      <c r="DD48" s="199" t="str">
        <v/>
      </c>
      <c r="DE48" s="199" t="str">
        <v/>
      </c>
      <c r="DF48" s="199" t="str">
        <v/>
      </c>
      <c r="DG48" s="199" t="str">
        <v/>
      </c>
      <c r="DH48" s="199" t="str">
        <v/>
      </c>
      <c r="DI48" s="199" t="str">
        <v/>
      </c>
      <c r="DJ48" s="199" t="str">
        <v/>
      </c>
      <c r="DK48" s="199" t="str">
        <v/>
      </c>
      <c r="DL48" s="199" t="str">
        <v/>
      </c>
      <c r="DM48" s="199" t="str">
        <v/>
      </c>
      <c r="DN48" s="199" t="str">
        <v/>
      </c>
      <c r="DO48" s="199" t="str">
        <v/>
      </c>
      <c r="DP48" s="199" t="str">
        <v/>
      </c>
      <c r="DQ48" s="199" t="str">
        <v/>
      </c>
      <c r="DR48" s="199" t="str">
        <v/>
      </c>
      <c r="DS48" s="199" t="str">
        <v/>
      </c>
      <c r="DT48" s="199" t="str">
        <v/>
      </c>
      <c r="DU48" s="199" t="str">
        <v/>
      </c>
      <c r="DV48" s="199" t="str">
        <v/>
      </c>
      <c r="DW48" s="199" t="str">
        <v/>
      </c>
      <c r="DX48" s="199">
        <v>1.3035376127570943</v>
      </c>
      <c r="DY48" s="199">
        <v>1.3035376127570943</v>
      </c>
      <c r="DZ48" s="199">
        <v>1.3035376127570943</v>
      </c>
      <c r="EA48" s="199">
        <v>1.3035376127570943</v>
      </c>
      <c r="EB48" s="199">
        <v>1.3035376127570943</v>
      </c>
      <c r="EC48" s="199" t="str">
        <v/>
      </c>
      <c r="ED48" s="199" t="str">
        <v/>
      </c>
      <c r="EE48" s="199" t="str">
        <v/>
      </c>
      <c r="EF48" s="199" t="str">
        <v/>
      </c>
      <c r="EG48" s="199" t="str">
        <v/>
      </c>
      <c r="EH48" s="199" t="str">
        <v/>
      </c>
      <c r="EI48" s="199" t="str">
        <v/>
      </c>
      <c r="EJ48" s="199" t="str">
        <v/>
      </c>
      <c r="EK48" s="199" t="str">
        <v/>
      </c>
      <c r="EL48" s="199" t="str">
        <v/>
      </c>
      <c r="EM48" s="199" t="str">
        <v/>
      </c>
      <c r="EN48" s="199" t="str">
        <v/>
      </c>
      <c r="EO48" s="199" t="str">
        <v/>
      </c>
      <c r="EP48" s="199" t="str">
        <v/>
      </c>
      <c r="EQ48" s="199" t="str">
        <v/>
      </c>
      <c r="ER48" s="199" t="str">
        <v/>
      </c>
      <c r="ES48" s="199" t="str">
        <v/>
      </c>
      <c r="ET48" s="199" t="str">
        <v/>
      </c>
      <c r="EU48" s="199" t="str">
        <v/>
      </c>
      <c r="EV48" s="199" t="str">
        <v/>
      </c>
      <c r="EW48" s="199" t="str">
        <v/>
      </c>
      <c r="EX48" s="199" t="str">
        <v/>
      </c>
      <c r="EY48" s="199" t="str">
        <v/>
      </c>
      <c r="EZ48" s="199" t="str">
        <v/>
      </c>
      <c r="FA48" s="199" t="str">
        <v/>
      </c>
      <c r="FB48" s="199" t="str">
        <v/>
      </c>
      <c r="FC48" s="199" t="str">
        <v/>
      </c>
      <c r="FD48" s="199" t="str">
        <v/>
      </c>
      <c r="FE48" s="199" t="str">
        <v/>
      </c>
      <c r="FF48" s="199" t="str">
        <v/>
      </c>
      <c r="FG48" s="199" t="str">
        <v/>
      </c>
      <c r="FH48" s="199" t="str">
        <v/>
      </c>
      <c r="FI48" s="199" t="str">
        <v/>
      </c>
      <c r="FJ48" s="199" t="str">
        <v/>
      </c>
      <c r="FK48" s="199" t="str">
        <v/>
      </c>
      <c r="FL48" s="199" t="str">
        <v/>
      </c>
      <c r="FM48" s="199" t="str">
        <v/>
      </c>
      <c r="FN48" s="199">
        <v>1.6618372060036211</v>
      </c>
      <c r="FO48" s="199" t="str">
        <v/>
      </c>
      <c r="FP48" s="199" t="str">
        <v/>
      </c>
      <c r="FQ48" s="199" t="str">
        <v/>
      </c>
      <c r="FR48" s="199" t="str">
        <v/>
      </c>
      <c r="FS48" s="199" t="str">
        <v/>
      </c>
      <c r="FT48" s="199" t="str">
        <v/>
      </c>
      <c r="FU48" s="199" t="str">
        <v/>
      </c>
      <c r="FV48" s="199" t="str">
        <v/>
      </c>
      <c r="FW48" s="199" t="str">
        <v/>
      </c>
      <c r="FX48" s="199" t="str">
        <v/>
      </c>
      <c r="FY48" s="199" t="str">
        <v/>
      </c>
      <c r="FZ48" s="199" t="str">
        <v/>
      </c>
      <c r="GA48" s="199" t="str">
        <v/>
      </c>
      <c r="GB48" s="199" t="str">
        <v/>
      </c>
      <c r="GC48" s="199" t="str">
        <v/>
      </c>
      <c r="GD48" s="199" t="str">
        <v/>
      </c>
      <c r="GE48" s="199" t="str">
        <v/>
      </c>
      <c r="GF48" s="199" t="str">
        <v/>
      </c>
      <c r="GG48" s="199" t="str">
        <v/>
      </c>
      <c r="GH48" s="199" t="str">
        <v/>
      </c>
      <c r="GI48" s="199" t="str">
        <v/>
      </c>
      <c r="GJ48" s="199" t="str">
        <v/>
      </c>
      <c r="GK48" s="199" t="str">
        <v/>
      </c>
      <c r="GL48" s="199" t="str">
        <v/>
      </c>
      <c r="GM48" s="199" t="str">
        <v/>
      </c>
      <c r="GN48" s="199" t="str">
        <v/>
      </c>
      <c r="GO48" s="199" t="str">
        <v/>
      </c>
      <c r="GP48" s="199" t="str">
        <v/>
      </c>
      <c r="GQ48" s="199" t="str">
        <v/>
      </c>
      <c r="GR48" s="199" t="str">
        <v/>
      </c>
      <c r="GS48" s="199" t="str">
        <v/>
      </c>
      <c r="GT48" s="199" t="str">
        <v/>
      </c>
      <c r="GU48" s="199" t="str">
        <v/>
      </c>
      <c r="GV48" s="199" t="str">
        <v/>
      </c>
      <c r="GW48" s="199" t="str">
        <v/>
      </c>
      <c r="GX48" s="199" t="str">
        <v/>
      </c>
      <c r="GY48" s="199" t="str">
        <v/>
      </c>
      <c r="GZ48" s="199" t="str">
        <v/>
      </c>
      <c r="HA48" s="199" t="str">
        <v/>
      </c>
      <c r="HB48" s="199" t="str">
        <v/>
      </c>
      <c r="HC48" s="199" t="str">
        <v/>
      </c>
      <c r="HD48" s="199" t="str">
        <v/>
      </c>
      <c r="HE48" s="199" t="str">
        <v/>
      </c>
      <c r="HF48" s="199" t="str">
        <v/>
      </c>
      <c r="HG48" s="199" t="str">
        <v/>
      </c>
      <c r="HH48" s="199" t="str">
        <v/>
      </c>
      <c r="HI48" s="199" t="str">
        <v/>
      </c>
      <c r="HJ48" s="199" t="str">
        <v/>
      </c>
      <c r="HK48" s="199" t="str">
        <v/>
      </c>
      <c r="HL48" s="199" t="str">
        <v/>
      </c>
      <c r="HM48" s="199" t="str">
        <v/>
      </c>
      <c r="HN48" s="199" t="str">
        <v/>
      </c>
      <c r="HO48" s="199" t="str">
        <v/>
      </c>
      <c r="HP48" s="199" t="str">
        <v/>
      </c>
      <c r="HQ48" s="199" t="str">
        <v/>
      </c>
      <c r="HR48" s="199" t="str">
        <v/>
      </c>
      <c r="HS48" s="199" t="str">
        <v/>
      </c>
      <c r="HT48" s="199" t="str">
        <v/>
      </c>
      <c r="HU48" s="199" t="str">
        <v/>
      </c>
      <c r="HV48" s="199" t="str">
        <v/>
      </c>
      <c r="HW48" s="199" t="str">
        <v/>
      </c>
      <c r="HX48" s="199" t="str">
        <v/>
      </c>
      <c r="HY48" s="199" t="str">
        <v/>
      </c>
      <c r="HZ48" s="199" t="str">
        <v/>
      </c>
      <c r="IA48" s="199" t="str">
        <v/>
      </c>
      <c r="IB48" s="199" t="str">
        <v/>
      </c>
      <c r="IC48" s="199" t="str">
        <v/>
      </c>
      <c r="ID48" s="199" t="str">
        <v/>
      </c>
      <c r="IE48" s="199" t="str">
        <v/>
      </c>
      <c r="IF48" s="199" t="str">
        <v/>
      </c>
      <c r="IG48" s="199" t="str">
        <v/>
      </c>
      <c r="IH48" s="199" t="str">
        <v/>
      </c>
      <c r="II48" s="199" t="str">
        <v/>
      </c>
      <c r="IJ48" s="199" t="str">
        <v/>
      </c>
      <c r="IK48" s="199" t="str">
        <v/>
      </c>
      <c r="IL48" s="199" t="str">
        <v/>
      </c>
      <c r="IM48" s="199" t="str">
        <v/>
      </c>
      <c r="IN48" s="199" t="str">
        <v/>
      </c>
      <c r="IO48" s="199" t="str">
        <v/>
      </c>
      <c r="IP48" s="199" t="str">
        <v/>
      </c>
      <c r="IQ48" s="199" t="str">
        <v/>
      </c>
      <c r="IR48" s="199" t="str">
        <v/>
      </c>
      <c r="IS48" s="199" t="str">
        <v/>
      </c>
      <c r="IT48" s="199" t="str">
        <v/>
      </c>
      <c r="IU48" s="199" t="str">
        <v/>
      </c>
      <c r="IV48" s="199" t="str">
        <v/>
      </c>
      <c r="IW48" s="199" t="str">
        <v/>
      </c>
      <c r="IX48" s="199" t="str">
        <v/>
      </c>
      <c r="IY48" s="199" t="str">
        <v/>
      </c>
      <c r="IZ48" s="199" t="str">
        <v/>
      </c>
      <c r="JA48" s="199" t="str">
        <v/>
      </c>
      <c r="JB48" s="199" t="str">
        <v/>
      </c>
      <c r="JC48" s="199" t="str">
        <v/>
      </c>
      <c r="JD48" s="199" t="str">
        <v/>
      </c>
      <c r="JE48" s="199" t="str">
        <v/>
      </c>
      <c r="JF48" s="199" t="str">
        <v/>
      </c>
      <c r="JG48" s="199" t="str">
        <v/>
      </c>
      <c r="JH48" s="199" t="str">
        <v/>
      </c>
      <c r="JI48" s="199" t="str">
        <v/>
      </c>
      <c r="JJ48" s="199" t="str">
        <v/>
      </c>
      <c r="JK48" s="199" t="str">
        <v/>
      </c>
      <c r="JL48" s="199" t="str">
        <v/>
      </c>
      <c r="JM48" s="199" t="str">
        <v/>
      </c>
      <c r="JN48" s="199" t="str">
        <v/>
      </c>
      <c r="JO48" s="199" t="str">
        <v/>
      </c>
      <c r="JP48" s="199" t="str">
        <v/>
      </c>
      <c r="JQ48" s="199" t="str">
        <v/>
      </c>
      <c r="JR48" s="199" t="str">
        <v/>
      </c>
      <c r="JS48" s="199" t="str">
        <v/>
      </c>
      <c r="JT48" s="199" t="str">
        <v/>
      </c>
      <c r="JU48" s="199" t="str">
        <v/>
      </c>
      <c r="JV48" s="199" t="str">
        <v/>
      </c>
      <c r="JW48" s="199" t="str">
        <v/>
      </c>
      <c r="JX48" s="199" t="str">
        <v/>
      </c>
      <c r="JY48" s="199" t="str">
        <v/>
      </c>
      <c r="JZ48" s="199" t="str">
        <v/>
      </c>
      <c r="KA48" s="199" t="str">
        <v/>
      </c>
      <c r="KB48" s="199" t="str">
        <v/>
      </c>
      <c r="KC48" s="199" t="str">
        <v/>
      </c>
      <c r="KD48" s="199" t="str">
        <v/>
      </c>
      <c r="KE48" s="199" t="str">
        <v/>
      </c>
      <c r="KF48" s="199" t="str">
        <v/>
      </c>
      <c r="KG48" s="199" t="str">
        <v/>
      </c>
      <c r="KH48" s="199" t="str">
        <v/>
      </c>
      <c r="KI48" s="199" t="str">
        <v/>
      </c>
      <c r="KJ48" s="199" t="str">
        <v/>
      </c>
      <c r="KK48" s="199" t="str">
        <v/>
      </c>
      <c r="KL48" s="199" t="str">
        <v/>
      </c>
      <c r="KM48" s="199" t="str">
        <v/>
      </c>
      <c r="KN48" s="199" t="str">
        <v/>
      </c>
      <c r="KO48" s="199" t="str">
        <v/>
      </c>
      <c r="KP48" s="905" t="str">
        <v/>
      </c>
      <c r="KQ48" s="699" t="s">
        <v>388</v>
      </c>
    </row>
    <row r="49" spans="1:303" s="184" customFormat="1" hidden="1" x14ac:dyDescent="0.45">
      <c r="A49" s="1746"/>
      <c r="B49" s="146" t="s">
        <v>308</v>
      </c>
      <c r="C49" s="200" t="str">
        <v/>
      </c>
      <c r="D49" s="200" t="str">
        <v/>
      </c>
      <c r="E49" s="200" t="str">
        <v/>
      </c>
      <c r="F49" s="200" t="str">
        <v/>
      </c>
      <c r="G49" s="200" t="str">
        <v/>
      </c>
      <c r="H49" s="200" t="str">
        <v/>
      </c>
      <c r="I49" s="200" t="str">
        <v/>
      </c>
      <c r="J49" s="200" t="str">
        <v/>
      </c>
      <c r="K49" s="200" t="str">
        <v/>
      </c>
      <c r="L49" s="200" t="str">
        <v/>
      </c>
      <c r="M49" s="200" t="str">
        <v/>
      </c>
      <c r="N49" s="200" t="str">
        <v/>
      </c>
      <c r="O49" s="200" t="str">
        <v/>
      </c>
      <c r="P49" s="200" t="str">
        <v/>
      </c>
      <c r="Q49" s="200" t="str">
        <v/>
      </c>
      <c r="R49" s="200" t="str">
        <v/>
      </c>
      <c r="S49" s="200" t="str">
        <v/>
      </c>
      <c r="T49" s="200" t="str">
        <v/>
      </c>
      <c r="U49" s="200" t="str">
        <v/>
      </c>
      <c r="V49" s="200" t="str">
        <v/>
      </c>
      <c r="W49" s="200" t="str">
        <v/>
      </c>
      <c r="X49" s="200" t="str">
        <v/>
      </c>
      <c r="Y49" s="200" t="str">
        <v/>
      </c>
      <c r="Z49" s="200" t="str">
        <v/>
      </c>
      <c r="AA49" s="200" t="str">
        <v/>
      </c>
      <c r="AB49" s="200" t="str">
        <v/>
      </c>
      <c r="AC49" s="200" t="str">
        <v/>
      </c>
      <c r="AD49" s="200" t="str">
        <v/>
      </c>
      <c r="AE49" s="200" t="str">
        <v/>
      </c>
      <c r="AF49" s="200" t="str">
        <v/>
      </c>
      <c r="AG49" s="200" t="str">
        <v/>
      </c>
      <c r="AH49" s="200" t="str">
        <v/>
      </c>
      <c r="AI49" s="200" t="str">
        <v/>
      </c>
      <c r="AJ49" s="200" t="str">
        <v/>
      </c>
      <c r="AK49" s="200" t="str">
        <v/>
      </c>
      <c r="AL49" s="200" t="str">
        <v/>
      </c>
      <c r="AM49" s="200" t="str">
        <v/>
      </c>
      <c r="AN49" s="200" t="str">
        <v/>
      </c>
      <c r="AO49" s="200" t="str">
        <v/>
      </c>
      <c r="AP49" s="200" t="str">
        <v/>
      </c>
      <c r="AQ49" s="200" t="str">
        <v/>
      </c>
      <c r="AR49" s="200" t="str">
        <v/>
      </c>
      <c r="AS49" s="200" t="str">
        <v/>
      </c>
      <c r="AT49" s="200" t="str">
        <v/>
      </c>
      <c r="AU49" s="200" t="str">
        <v/>
      </c>
      <c r="AV49" s="200" t="str">
        <v/>
      </c>
      <c r="AW49" s="200" t="str">
        <v/>
      </c>
      <c r="AX49" s="200" t="str">
        <v/>
      </c>
      <c r="AY49" s="200" t="str">
        <v/>
      </c>
      <c r="AZ49" s="200" t="str">
        <v/>
      </c>
      <c r="BA49" s="200" t="str">
        <v/>
      </c>
      <c r="BB49" s="200" t="str">
        <v/>
      </c>
      <c r="BC49" s="200" t="str">
        <v/>
      </c>
      <c r="BD49" s="200" t="str">
        <v/>
      </c>
      <c r="BE49" s="200" t="str">
        <v/>
      </c>
      <c r="BF49" s="200" t="str">
        <v/>
      </c>
      <c r="BG49" s="200" t="str">
        <v/>
      </c>
      <c r="BH49" s="200" t="str">
        <v/>
      </c>
      <c r="BI49" s="200" t="str">
        <v/>
      </c>
      <c r="BJ49" s="200" t="str">
        <v/>
      </c>
      <c r="BK49" s="200" t="str">
        <v/>
      </c>
      <c r="BL49" s="200" t="str">
        <v/>
      </c>
      <c r="BM49" s="200" t="str">
        <v/>
      </c>
      <c r="BN49" s="200" t="str">
        <v/>
      </c>
      <c r="BO49" s="200" t="str">
        <v/>
      </c>
      <c r="BP49" s="200" t="str">
        <v/>
      </c>
      <c r="BQ49" s="200" t="str">
        <v/>
      </c>
      <c r="BR49" s="200" t="str">
        <v/>
      </c>
      <c r="BS49" s="200" t="str">
        <v/>
      </c>
      <c r="BT49" s="200" t="str">
        <v/>
      </c>
      <c r="BU49" s="200" t="str">
        <v/>
      </c>
      <c r="BV49" s="200" t="str">
        <v/>
      </c>
      <c r="BW49" s="200" t="str">
        <v/>
      </c>
      <c r="BX49" s="200" t="str">
        <v/>
      </c>
      <c r="BY49" s="200">
        <v>1.3035376127570943</v>
      </c>
      <c r="BZ49" s="200" t="str">
        <v/>
      </c>
      <c r="CA49" s="200" t="str">
        <v/>
      </c>
      <c r="CB49" s="200">
        <v>0</v>
      </c>
      <c r="CC49" s="200" t="str">
        <v/>
      </c>
      <c r="CD49" s="200" t="str">
        <v/>
      </c>
      <c r="CE49" s="200" t="str">
        <v/>
      </c>
      <c r="CF49" s="200" t="str">
        <v/>
      </c>
      <c r="CG49" s="200" t="str">
        <v/>
      </c>
      <c r="CH49" s="200" t="str">
        <v/>
      </c>
      <c r="CI49" s="200" t="str">
        <v/>
      </c>
      <c r="CJ49" s="200" t="str">
        <v/>
      </c>
      <c r="CK49" s="200" t="str">
        <v/>
      </c>
      <c r="CL49" s="200" t="str">
        <v/>
      </c>
      <c r="CM49" s="200" t="str">
        <v/>
      </c>
      <c r="CN49" s="200" t="str">
        <v/>
      </c>
      <c r="CO49" s="200" t="str">
        <v/>
      </c>
      <c r="CP49" s="200" t="str">
        <v/>
      </c>
      <c r="CQ49" s="200" t="str">
        <v/>
      </c>
      <c r="CR49" s="200" t="str">
        <v/>
      </c>
      <c r="CS49" s="200" t="str">
        <v/>
      </c>
      <c r="CT49" s="200" t="str">
        <v/>
      </c>
      <c r="CU49" s="200" t="str">
        <v/>
      </c>
      <c r="CV49" s="200" t="str">
        <v/>
      </c>
      <c r="CW49" s="200" t="str">
        <v/>
      </c>
      <c r="CX49" s="200" t="str">
        <v/>
      </c>
      <c r="CY49" s="877" t="str">
        <v/>
      </c>
      <c r="CZ49" s="200" t="str">
        <v/>
      </c>
      <c r="DA49" s="200" t="str">
        <v/>
      </c>
      <c r="DB49" s="200" t="str">
        <v/>
      </c>
      <c r="DC49" s="200" t="str">
        <v/>
      </c>
      <c r="DD49" s="200" t="str">
        <v/>
      </c>
      <c r="DE49" s="200" t="str">
        <v/>
      </c>
      <c r="DF49" s="200" t="str">
        <v/>
      </c>
      <c r="DG49" s="200" t="str">
        <v/>
      </c>
      <c r="DH49" s="200" t="str">
        <v/>
      </c>
      <c r="DI49" s="200" t="str">
        <v/>
      </c>
      <c r="DJ49" s="200" t="str">
        <v/>
      </c>
      <c r="DK49" s="200" t="str">
        <v/>
      </c>
      <c r="DL49" s="200" t="str">
        <v/>
      </c>
      <c r="DM49" s="200" t="str">
        <v/>
      </c>
      <c r="DN49" s="200" t="str">
        <v/>
      </c>
      <c r="DO49" s="200" t="str">
        <v/>
      </c>
      <c r="DP49" s="200" t="str">
        <v/>
      </c>
      <c r="DQ49" s="200" t="str">
        <v/>
      </c>
      <c r="DR49" s="200" t="str">
        <v/>
      </c>
      <c r="DS49" s="200" t="str">
        <v/>
      </c>
      <c r="DT49" s="200" t="str">
        <v/>
      </c>
      <c r="DU49" s="200" t="str">
        <v/>
      </c>
      <c r="DV49" s="200" t="str">
        <v/>
      </c>
      <c r="DW49" s="200" t="str">
        <v/>
      </c>
      <c r="DX49" s="200" t="str">
        <v/>
      </c>
      <c r="DY49" s="200" t="str">
        <v/>
      </c>
      <c r="DZ49" s="200" t="str">
        <v/>
      </c>
      <c r="EA49" s="200" t="str">
        <v/>
      </c>
      <c r="EB49" s="200" t="str">
        <v/>
      </c>
      <c r="EC49" s="200" t="str">
        <v/>
      </c>
      <c r="ED49" s="200" t="str">
        <v/>
      </c>
      <c r="EE49" s="200" t="str">
        <v/>
      </c>
      <c r="EF49" s="200" t="str">
        <v/>
      </c>
      <c r="EG49" s="200" t="str">
        <v/>
      </c>
      <c r="EH49" s="200" t="str">
        <v/>
      </c>
      <c r="EI49" s="200" t="str">
        <v/>
      </c>
      <c r="EJ49" s="200" t="str">
        <v/>
      </c>
      <c r="EK49" s="200" t="str">
        <v/>
      </c>
      <c r="EL49" s="200" t="str">
        <v/>
      </c>
      <c r="EM49" s="200" t="str">
        <v/>
      </c>
      <c r="EN49" s="200" t="str">
        <v/>
      </c>
      <c r="EO49" s="200" t="str">
        <v/>
      </c>
      <c r="EP49" s="200" t="str">
        <v/>
      </c>
      <c r="EQ49" s="200" t="str">
        <v/>
      </c>
      <c r="ER49" s="200" t="str">
        <v/>
      </c>
      <c r="ES49" s="200" t="str">
        <v/>
      </c>
      <c r="ET49" s="200" t="str">
        <v/>
      </c>
      <c r="EU49" s="200" t="str">
        <v/>
      </c>
      <c r="EV49" s="200" t="str">
        <v/>
      </c>
      <c r="EW49" s="200" t="str">
        <v/>
      </c>
      <c r="EX49" s="200" t="str">
        <v/>
      </c>
      <c r="EY49" s="200" t="str">
        <v/>
      </c>
      <c r="EZ49" s="200" t="str">
        <v/>
      </c>
      <c r="FA49" s="200" t="str">
        <v/>
      </c>
      <c r="FB49" s="200" t="str">
        <v/>
      </c>
      <c r="FC49" s="200" t="str">
        <v/>
      </c>
      <c r="FD49" s="200" t="str">
        <v/>
      </c>
      <c r="FE49" s="200" t="str">
        <v/>
      </c>
      <c r="FF49" s="200" t="str">
        <v/>
      </c>
      <c r="FG49" s="200" t="str">
        <v/>
      </c>
      <c r="FH49" s="200" t="str">
        <v/>
      </c>
      <c r="FI49" s="200" t="str">
        <v/>
      </c>
      <c r="FJ49" s="200" t="str">
        <v/>
      </c>
      <c r="FK49" s="200" t="str">
        <v/>
      </c>
      <c r="FL49" s="200" t="str">
        <v/>
      </c>
      <c r="FM49" s="200" t="str">
        <v/>
      </c>
      <c r="FN49" s="200" t="str">
        <v/>
      </c>
      <c r="FO49" s="200" t="str">
        <v/>
      </c>
      <c r="FP49" s="200" t="str">
        <v/>
      </c>
      <c r="FQ49" s="200" t="str">
        <v/>
      </c>
      <c r="FR49" s="200" t="str">
        <v/>
      </c>
      <c r="FS49" s="200" t="str">
        <v/>
      </c>
      <c r="FT49" s="200" t="str">
        <v/>
      </c>
      <c r="FU49" s="200" t="str">
        <v/>
      </c>
      <c r="FV49" s="200" t="str">
        <v/>
      </c>
      <c r="FW49" s="200" t="str">
        <v/>
      </c>
      <c r="FX49" s="200" t="str">
        <v/>
      </c>
      <c r="FY49" s="200" t="str">
        <v/>
      </c>
      <c r="FZ49" s="200" t="str">
        <v/>
      </c>
      <c r="GA49" s="200" t="str">
        <v/>
      </c>
      <c r="GB49" s="200" t="str">
        <v/>
      </c>
      <c r="GC49" s="200" t="str">
        <v/>
      </c>
      <c r="GD49" s="200" t="str">
        <v/>
      </c>
      <c r="GE49" s="200" t="str">
        <v/>
      </c>
      <c r="GF49" s="200" t="str">
        <v/>
      </c>
      <c r="GG49" s="200" t="str">
        <v/>
      </c>
      <c r="GH49" s="200" t="str">
        <v/>
      </c>
      <c r="GI49" s="200" t="str">
        <v/>
      </c>
      <c r="GJ49" s="200" t="str">
        <v/>
      </c>
      <c r="GK49" s="200" t="str">
        <v/>
      </c>
      <c r="GL49" s="200" t="str">
        <v/>
      </c>
      <c r="GM49" s="200" t="str">
        <v/>
      </c>
      <c r="GN49" s="200" t="str">
        <v/>
      </c>
      <c r="GO49" s="200" t="str">
        <v/>
      </c>
      <c r="GP49" s="200" t="str">
        <v/>
      </c>
      <c r="GQ49" s="200" t="str">
        <v/>
      </c>
      <c r="GR49" s="200" t="str">
        <v/>
      </c>
      <c r="GS49" s="200" t="str">
        <v/>
      </c>
      <c r="GT49" s="200" t="str">
        <v/>
      </c>
      <c r="GU49" s="200" t="str">
        <v/>
      </c>
      <c r="GV49" s="200" t="str">
        <v/>
      </c>
      <c r="GW49" s="200" t="str">
        <v/>
      </c>
      <c r="GX49" s="200" t="str">
        <v/>
      </c>
      <c r="GY49" s="200" t="str">
        <v/>
      </c>
      <c r="GZ49" s="200" t="str">
        <v/>
      </c>
      <c r="HA49" s="200" t="str">
        <v/>
      </c>
      <c r="HB49" s="200" t="str">
        <v/>
      </c>
      <c r="HC49" s="200" t="str">
        <v/>
      </c>
      <c r="HD49" s="200" t="str">
        <v/>
      </c>
      <c r="HE49" s="200" t="str">
        <v/>
      </c>
      <c r="HF49" s="200" t="str">
        <v/>
      </c>
      <c r="HG49" s="200" t="str">
        <v/>
      </c>
      <c r="HH49" s="200" t="str">
        <v/>
      </c>
      <c r="HI49" s="200" t="str">
        <v/>
      </c>
      <c r="HJ49" s="200" t="str">
        <v/>
      </c>
      <c r="HK49" s="200" t="str">
        <v/>
      </c>
      <c r="HL49" s="200" t="str">
        <v/>
      </c>
      <c r="HM49" s="200" t="str">
        <v/>
      </c>
      <c r="HN49" s="200" t="str">
        <v/>
      </c>
      <c r="HO49" s="200" t="str">
        <v/>
      </c>
      <c r="HP49" s="200" t="str">
        <v/>
      </c>
      <c r="HQ49" s="200" t="str">
        <v/>
      </c>
      <c r="HR49" s="200" t="str">
        <v/>
      </c>
      <c r="HS49" s="200" t="str">
        <v/>
      </c>
      <c r="HT49" s="200" t="str">
        <v/>
      </c>
      <c r="HU49" s="200" t="str">
        <v/>
      </c>
      <c r="HV49" s="200" t="str">
        <v/>
      </c>
      <c r="HW49" s="200" t="str">
        <v/>
      </c>
      <c r="HX49" s="200" t="str">
        <v/>
      </c>
      <c r="HY49" s="200" t="str">
        <v/>
      </c>
      <c r="HZ49" s="200" t="str">
        <v/>
      </c>
      <c r="IA49" s="200" t="str">
        <v/>
      </c>
      <c r="IB49" s="200" t="str">
        <v/>
      </c>
      <c r="IC49" s="200" t="str">
        <v/>
      </c>
      <c r="ID49" s="200" t="str">
        <v/>
      </c>
      <c r="IE49" s="200" t="str">
        <v/>
      </c>
      <c r="IF49" s="200" t="str">
        <v/>
      </c>
      <c r="IG49" s="200" t="str">
        <v/>
      </c>
      <c r="IH49" s="200" t="str">
        <v/>
      </c>
      <c r="II49" s="200" t="str">
        <v/>
      </c>
      <c r="IJ49" s="200" t="str">
        <v/>
      </c>
      <c r="IK49" s="200" t="str">
        <v/>
      </c>
      <c r="IL49" s="200" t="str">
        <v/>
      </c>
      <c r="IM49" s="200" t="str">
        <v/>
      </c>
      <c r="IN49" s="200" t="str">
        <v/>
      </c>
      <c r="IO49" s="200" t="str">
        <v/>
      </c>
      <c r="IP49" s="200" t="str">
        <v/>
      </c>
      <c r="IQ49" s="200" t="str">
        <v/>
      </c>
      <c r="IR49" s="200" t="str">
        <v/>
      </c>
      <c r="IS49" s="200" t="str">
        <v/>
      </c>
      <c r="IT49" s="200" t="str">
        <v/>
      </c>
      <c r="IU49" s="200" t="str">
        <v/>
      </c>
      <c r="IV49" s="200" t="str">
        <v/>
      </c>
      <c r="IW49" s="200" t="str">
        <v/>
      </c>
      <c r="IX49" s="200" t="str">
        <v/>
      </c>
      <c r="IY49" s="200" t="str">
        <v/>
      </c>
      <c r="IZ49" s="200" t="str">
        <v/>
      </c>
      <c r="JA49" s="200" t="str">
        <v/>
      </c>
      <c r="JB49" s="200" t="str">
        <v/>
      </c>
      <c r="JC49" s="200" t="str">
        <v/>
      </c>
      <c r="JD49" s="200" t="str">
        <v/>
      </c>
      <c r="JE49" s="200" t="str">
        <v/>
      </c>
      <c r="JF49" s="200" t="str">
        <v/>
      </c>
      <c r="JG49" s="200" t="str">
        <v/>
      </c>
      <c r="JH49" s="200" t="str">
        <v/>
      </c>
      <c r="JI49" s="200" t="str">
        <v/>
      </c>
      <c r="JJ49" s="200" t="str">
        <v/>
      </c>
      <c r="JK49" s="200" t="str">
        <v/>
      </c>
      <c r="JL49" s="200" t="str">
        <v/>
      </c>
      <c r="JM49" s="200" t="str">
        <v/>
      </c>
      <c r="JN49" s="200" t="str">
        <v/>
      </c>
      <c r="JO49" s="200" t="str">
        <v/>
      </c>
      <c r="JP49" s="200" t="str">
        <v/>
      </c>
      <c r="JQ49" s="200" t="str">
        <v/>
      </c>
      <c r="JR49" s="200" t="str">
        <v/>
      </c>
      <c r="JS49" s="200" t="str">
        <v/>
      </c>
      <c r="JT49" s="200" t="str">
        <v/>
      </c>
      <c r="JU49" s="200" t="str">
        <v/>
      </c>
      <c r="JV49" s="200" t="str">
        <v/>
      </c>
      <c r="JW49" s="200" t="str">
        <v/>
      </c>
      <c r="JX49" s="200" t="str">
        <v/>
      </c>
      <c r="JY49" s="200" t="str">
        <v/>
      </c>
      <c r="JZ49" s="200" t="str">
        <v/>
      </c>
      <c r="KA49" s="200" t="str">
        <v/>
      </c>
      <c r="KB49" s="200" t="str">
        <v/>
      </c>
      <c r="KC49" s="200" t="str">
        <v/>
      </c>
      <c r="KD49" s="200" t="str">
        <v/>
      </c>
      <c r="KE49" s="200" t="str">
        <v/>
      </c>
      <c r="KF49" s="200" t="str">
        <v/>
      </c>
      <c r="KG49" s="200" t="str">
        <v/>
      </c>
      <c r="KH49" s="200" t="str">
        <v/>
      </c>
      <c r="KI49" s="200" t="str">
        <v/>
      </c>
      <c r="KJ49" s="200" t="str">
        <v/>
      </c>
      <c r="KK49" s="200" t="str">
        <v/>
      </c>
      <c r="KL49" s="200" t="str">
        <v/>
      </c>
      <c r="KM49" s="200" t="str">
        <v/>
      </c>
      <c r="KN49" s="200" t="str">
        <v/>
      </c>
      <c r="KO49" s="200" t="str">
        <v/>
      </c>
      <c r="KP49" s="906" t="str">
        <v/>
      </c>
      <c r="KQ49" s="699" t="s">
        <v>388</v>
      </c>
    </row>
    <row r="50" spans="1:303" s="188" customFormat="1" hidden="1" x14ac:dyDescent="0.45">
      <c r="A50" s="1765" t="s">
        <v>312</v>
      </c>
      <c r="B50" s="144" t="s">
        <v>306</v>
      </c>
      <c r="C50" s="882" t="str">
        <f t="array" ref="C50:KP52">IFERROR(IF(sessions_elements="Race",
ROUND(athlete_HR_max_run * (0.5+0.5*((0.8+0.1894393 * EXP(-0.012778*sessions_duration_custom)+0.2989558* EXP(-0.1932605*sessions_duration_custom))-0.28)/0.72),0),
IF(INDEX(elements_HR_absolute, 2, sessions_elements_index)&gt;athlete_HR_max_run,"N/A",
INDEX(elements_HR_absolute, 2, sessions_elements_index))),"")</f>
        <v>N/A</v>
      </c>
      <c r="D50" s="883">
        <v>138</v>
      </c>
      <c r="E50" s="883">
        <v>138</v>
      </c>
      <c r="F50" s="883">
        <v>148</v>
      </c>
      <c r="G50" s="883">
        <v>148</v>
      </c>
      <c r="H50" s="883">
        <v>138</v>
      </c>
      <c r="I50" s="883">
        <v>138</v>
      </c>
      <c r="J50" s="883">
        <v>138</v>
      </c>
      <c r="K50" s="883">
        <v>138</v>
      </c>
      <c r="L50" s="883">
        <v>138</v>
      </c>
      <c r="M50" s="883">
        <v>138</v>
      </c>
      <c r="N50" s="883">
        <v>138</v>
      </c>
      <c r="O50" s="883">
        <v>138</v>
      </c>
      <c r="P50" s="883">
        <v>138</v>
      </c>
      <c r="Q50" s="883">
        <v>138</v>
      </c>
      <c r="R50" s="883">
        <v>148</v>
      </c>
      <c r="S50" s="883">
        <v>148</v>
      </c>
      <c r="T50" s="883">
        <v>148</v>
      </c>
      <c r="U50" s="883">
        <v>148</v>
      </c>
      <c r="V50" s="883">
        <v>148</v>
      </c>
      <c r="W50" s="883">
        <v>163</v>
      </c>
      <c r="X50" s="883">
        <v>177</v>
      </c>
      <c r="Y50" s="883">
        <v>177</v>
      </c>
      <c r="Z50" s="883">
        <v>177</v>
      </c>
      <c r="AA50" s="883">
        <v>177</v>
      </c>
      <c r="AB50" s="883">
        <v>163</v>
      </c>
      <c r="AC50" s="883">
        <v>177</v>
      </c>
      <c r="AD50" s="883">
        <v>177</v>
      </c>
      <c r="AE50" s="883">
        <v>177</v>
      </c>
      <c r="AF50" s="883">
        <v>177</v>
      </c>
      <c r="AG50" s="883">
        <v>163</v>
      </c>
      <c r="AH50" s="883">
        <v>163</v>
      </c>
      <c r="AI50" s="883">
        <v>163</v>
      </c>
      <c r="AJ50" s="883">
        <v>163</v>
      </c>
      <c r="AK50" s="883" t="str">
        <v/>
      </c>
      <c r="AL50" s="883" t="str">
        <v/>
      </c>
      <c r="AM50" s="883" t="str">
        <v/>
      </c>
      <c r="AN50" s="883" t="str">
        <v/>
      </c>
      <c r="AO50" s="883" t="str">
        <v/>
      </c>
      <c r="AP50" s="883" t="str">
        <v/>
      </c>
      <c r="AQ50" s="883">
        <v>188</v>
      </c>
      <c r="AR50" s="883">
        <v>188</v>
      </c>
      <c r="AS50" s="883">
        <v>188</v>
      </c>
      <c r="AT50" s="883">
        <v>188</v>
      </c>
      <c r="AU50" s="883">
        <v>188</v>
      </c>
      <c r="AV50" s="883">
        <v>188</v>
      </c>
      <c r="AW50" s="883">
        <v>188</v>
      </c>
      <c r="AX50" s="883">
        <v>188</v>
      </c>
      <c r="AY50" s="883">
        <v>188</v>
      </c>
      <c r="AZ50" s="883">
        <v>188</v>
      </c>
      <c r="BA50" s="883">
        <v>188</v>
      </c>
      <c r="BB50" s="883">
        <v>188</v>
      </c>
      <c r="BC50" s="883" t="str">
        <v/>
      </c>
      <c r="BD50" s="883" t="str">
        <v/>
      </c>
      <c r="BE50" s="883" t="str">
        <v/>
      </c>
      <c r="BF50" s="883" t="str">
        <v/>
      </c>
      <c r="BG50" s="883" t="str">
        <v/>
      </c>
      <c r="BH50" s="883" t="str">
        <v/>
      </c>
      <c r="BI50" s="883" t="str">
        <v/>
      </c>
      <c r="BJ50" s="883" t="str">
        <v/>
      </c>
      <c r="BK50" s="883" t="str">
        <v>N/A</v>
      </c>
      <c r="BL50" s="883" t="str">
        <v>N/A</v>
      </c>
      <c r="BM50" s="883" t="str">
        <v>N/A</v>
      </c>
      <c r="BN50" s="883" t="str">
        <v>N/A</v>
      </c>
      <c r="BO50" s="883" t="str">
        <v>N/A</v>
      </c>
      <c r="BP50" s="883" t="str">
        <v>N/A</v>
      </c>
      <c r="BQ50" s="883" t="str">
        <v>N/A</v>
      </c>
      <c r="BR50" s="883" t="str">
        <v>N/A</v>
      </c>
      <c r="BS50" s="883" t="str">
        <v>N/A</v>
      </c>
      <c r="BT50" s="883" t="str">
        <v/>
      </c>
      <c r="BU50" s="883">
        <v>148</v>
      </c>
      <c r="BV50" s="883">
        <v>148</v>
      </c>
      <c r="BW50" s="883">
        <v>148</v>
      </c>
      <c r="BX50" s="883">
        <v>148</v>
      </c>
      <c r="BY50" s="883">
        <v>148</v>
      </c>
      <c r="BZ50" s="883" t="str">
        <v>N/A</v>
      </c>
      <c r="CA50" s="883" t="str">
        <v>N/A</v>
      </c>
      <c r="CB50" s="883">
        <v>138</v>
      </c>
      <c r="CC50" s="883" t="str">
        <v>N/A</v>
      </c>
      <c r="CD50" s="883">
        <v>138</v>
      </c>
      <c r="CE50" s="883">
        <v>193</v>
      </c>
      <c r="CF50" s="883">
        <v>188</v>
      </c>
      <c r="CG50" s="883">
        <v>183</v>
      </c>
      <c r="CH50" s="883">
        <v>180</v>
      </c>
      <c r="CI50" s="883">
        <v>177</v>
      </c>
      <c r="CJ50" s="883">
        <v>175</v>
      </c>
      <c r="CK50" s="883">
        <v>173</v>
      </c>
      <c r="CL50" s="883">
        <v>172</v>
      </c>
      <c r="CM50" s="883">
        <v>171</v>
      </c>
      <c r="CN50" s="883">
        <v>169</v>
      </c>
      <c r="CO50" s="883">
        <v>168</v>
      </c>
      <c r="CP50" s="883">
        <v>167</v>
      </c>
      <c r="CQ50" s="883">
        <v>167</v>
      </c>
      <c r="CR50" s="883">
        <v>166</v>
      </c>
      <c r="CS50" s="883">
        <v>166</v>
      </c>
      <c r="CT50" s="883">
        <v>165</v>
      </c>
      <c r="CU50" s="883">
        <v>165</v>
      </c>
      <c r="CV50" s="883">
        <v>165</v>
      </c>
      <c r="CW50" s="883">
        <v>165</v>
      </c>
      <c r="CX50" s="883">
        <v>165</v>
      </c>
      <c r="CY50" s="882" t="str">
        <v>N/A</v>
      </c>
      <c r="CZ50" s="883">
        <v>138</v>
      </c>
      <c r="DA50" s="883">
        <v>138</v>
      </c>
      <c r="DB50" s="883">
        <v>148</v>
      </c>
      <c r="DC50" s="883">
        <v>148</v>
      </c>
      <c r="DD50" s="883">
        <v>138</v>
      </c>
      <c r="DE50" s="883">
        <v>138</v>
      </c>
      <c r="DF50" s="883">
        <v>138</v>
      </c>
      <c r="DG50" s="883">
        <v>138</v>
      </c>
      <c r="DH50" s="883">
        <v>138</v>
      </c>
      <c r="DI50" s="883">
        <v>138</v>
      </c>
      <c r="DJ50" s="883">
        <v>138</v>
      </c>
      <c r="DK50" s="883">
        <v>138</v>
      </c>
      <c r="DL50" s="883">
        <v>138</v>
      </c>
      <c r="DM50" s="883">
        <v>138</v>
      </c>
      <c r="DN50" s="883">
        <v>148</v>
      </c>
      <c r="DO50" s="883">
        <v>148</v>
      </c>
      <c r="DP50" s="883">
        <v>148</v>
      </c>
      <c r="DQ50" s="883">
        <v>148</v>
      </c>
      <c r="DR50" s="883">
        <v>148</v>
      </c>
      <c r="DS50" s="883">
        <v>163</v>
      </c>
      <c r="DT50" s="883">
        <v>177</v>
      </c>
      <c r="DU50" s="883">
        <v>177</v>
      </c>
      <c r="DV50" s="883">
        <v>177</v>
      </c>
      <c r="DW50" s="883">
        <v>177</v>
      </c>
      <c r="DX50" s="883">
        <v>163</v>
      </c>
      <c r="DY50" s="883">
        <v>177</v>
      </c>
      <c r="DZ50" s="883">
        <v>177</v>
      </c>
      <c r="EA50" s="883">
        <v>177</v>
      </c>
      <c r="EB50" s="883">
        <v>177</v>
      </c>
      <c r="EC50" s="883">
        <v>163</v>
      </c>
      <c r="ED50" s="883">
        <v>163</v>
      </c>
      <c r="EE50" s="883">
        <v>163</v>
      </c>
      <c r="EF50" s="883">
        <v>163</v>
      </c>
      <c r="EG50" s="883" t="str">
        <v/>
      </c>
      <c r="EH50" s="883" t="str">
        <v/>
      </c>
      <c r="EI50" s="883" t="str">
        <v/>
      </c>
      <c r="EJ50" s="883" t="str">
        <v/>
      </c>
      <c r="EK50" s="883" t="str">
        <v/>
      </c>
      <c r="EL50" s="883" t="str">
        <v/>
      </c>
      <c r="EM50" s="883" t="str">
        <v/>
      </c>
      <c r="EN50" s="883" t="str">
        <v/>
      </c>
      <c r="EO50" s="883" t="str">
        <v/>
      </c>
      <c r="EP50" s="883" t="str">
        <v/>
      </c>
      <c r="EQ50" s="883" t="str">
        <v/>
      </c>
      <c r="ER50" s="883" t="str">
        <v/>
      </c>
      <c r="ES50" s="883" t="str">
        <v/>
      </c>
      <c r="ET50" s="883" t="str">
        <v/>
      </c>
      <c r="EU50" s="883" t="str">
        <v/>
      </c>
      <c r="EV50" s="883" t="str">
        <v/>
      </c>
      <c r="EW50" s="883" t="str">
        <v/>
      </c>
      <c r="EX50" s="883" t="str">
        <v/>
      </c>
      <c r="EY50" s="883" t="str">
        <v/>
      </c>
      <c r="EZ50" s="883" t="str">
        <v/>
      </c>
      <c r="FA50" s="883" t="str">
        <v/>
      </c>
      <c r="FB50" s="883" t="str">
        <v/>
      </c>
      <c r="FC50" s="883" t="str">
        <v/>
      </c>
      <c r="FD50" s="883" t="str">
        <v/>
      </c>
      <c r="FE50" s="883" t="str">
        <v/>
      </c>
      <c r="FF50" s="883" t="str">
        <v/>
      </c>
      <c r="FG50" s="883" t="str">
        <v>N/A</v>
      </c>
      <c r="FH50" s="883" t="str">
        <v>N/A</v>
      </c>
      <c r="FI50" s="883" t="str">
        <v>N/A</v>
      </c>
      <c r="FJ50" s="883" t="str">
        <v>N/A</v>
      </c>
      <c r="FK50" s="883" t="str">
        <v>N/A</v>
      </c>
      <c r="FL50" s="883" t="str">
        <v>N/A</v>
      </c>
      <c r="FM50" s="883" t="str">
        <v>N/A</v>
      </c>
      <c r="FN50" s="883" t="str">
        <v>N/A</v>
      </c>
      <c r="FO50" s="883" t="str">
        <v>N/A</v>
      </c>
      <c r="FP50" s="883" t="str">
        <v>N/A</v>
      </c>
      <c r="FQ50" s="883" t="str">
        <v/>
      </c>
      <c r="FR50" s="883" t="str">
        <v/>
      </c>
      <c r="FS50" s="883" t="str">
        <v/>
      </c>
      <c r="FT50" s="883" t="str">
        <v/>
      </c>
      <c r="FU50" s="883" t="str">
        <v/>
      </c>
      <c r="FV50" s="883" t="str">
        <v/>
      </c>
      <c r="FW50" s="883" t="str">
        <v/>
      </c>
      <c r="FX50" s="883" t="str">
        <v/>
      </c>
      <c r="FY50" s="883" t="str">
        <v/>
      </c>
      <c r="FZ50" s="883" t="str">
        <v/>
      </c>
      <c r="GA50" s="883">
        <v>188</v>
      </c>
      <c r="GB50" s="883">
        <v>183</v>
      </c>
      <c r="GC50" s="883">
        <v>180</v>
      </c>
      <c r="GD50" s="883">
        <v>177</v>
      </c>
      <c r="GE50" s="883">
        <v>175</v>
      </c>
      <c r="GF50" s="883">
        <v>173</v>
      </c>
      <c r="GG50" s="883">
        <v>172</v>
      </c>
      <c r="GH50" s="883">
        <v>171</v>
      </c>
      <c r="GI50" s="883">
        <v>169</v>
      </c>
      <c r="GJ50" s="883">
        <v>168</v>
      </c>
      <c r="GK50" s="883">
        <v>167</v>
      </c>
      <c r="GL50" s="883">
        <v>166</v>
      </c>
      <c r="GM50" s="883">
        <v>166</v>
      </c>
      <c r="GN50" s="883">
        <v>165</v>
      </c>
      <c r="GO50" s="883">
        <v>165</v>
      </c>
      <c r="GP50" s="883" t="str">
        <v/>
      </c>
      <c r="GQ50" s="883" t="str">
        <v/>
      </c>
      <c r="GR50" s="883" t="str">
        <v/>
      </c>
      <c r="GS50" s="883" t="str">
        <v/>
      </c>
      <c r="GT50" s="883" t="str">
        <v/>
      </c>
      <c r="GU50" s="883" t="str">
        <v>N/A</v>
      </c>
      <c r="GV50" s="883">
        <v>138</v>
      </c>
      <c r="GW50" s="883">
        <v>138</v>
      </c>
      <c r="GX50" s="883">
        <v>148</v>
      </c>
      <c r="GY50" s="883">
        <v>148</v>
      </c>
      <c r="GZ50" s="883" t="str">
        <v/>
      </c>
      <c r="HA50" s="883" t="str">
        <v/>
      </c>
      <c r="HB50" s="883">
        <v>138</v>
      </c>
      <c r="HC50" s="883">
        <v>138</v>
      </c>
      <c r="HD50" s="883">
        <v>138</v>
      </c>
      <c r="HE50" s="883">
        <v>138</v>
      </c>
      <c r="HF50" s="883">
        <v>138</v>
      </c>
      <c r="HG50" s="883">
        <v>138</v>
      </c>
      <c r="HH50" s="883">
        <v>138</v>
      </c>
      <c r="HI50" s="883">
        <v>138</v>
      </c>
      <c r="HJ50" s="883">
        <v>148</v>
      </c>
      <c r="HK50" s="883">
        <v>148</v>
      </c>
      <c r="HL50" s="883">
        <v>148</v>
      </c>
      <c r="HM50" s="883">
        <v>148</v>
      </c>
      <c r="HN50" s="883">
        <v>148</v>
      </c>
      <c r="HO50" s="883" t="str">
        <v>N/A</v>
      </c>
      <c r="HP50" s="883">
        <v>138</v>
      </c>
      <c r="HQ50" s="883">
        <v>138</v>
      </c>
      <c r="HR50" s="883">
        <v>148</v>
      </c>
      <c r="HS50" s="883">
        <v>148</v>
      </c>
      <c r="HT50" s="883" t="str">
        <v/>
      </c>
      <c r="HU50" s="883" t="str">
        <v/>
      </c>
      <c r="HV50" s="883">
        <v>138</v>
      </c>
      <c r="HW50" s="883">
        <v>138</v>
      </c>
      <c r="HX50" s="883">
        <v>138</v>
      </c>
      <c r="HY50" s="883">
        <v>138</v>
      </c>
      <c r="HZ50" s="883">
        <v>138</v>
      </c>
      <c r="IA50" s="883">
        <v>138</v>
      </c>
      <c r="IB50" s="883">
        <v>138</v>
      </c>
      <c r="IC50" s="883">
        <v>138</v>
      </c>
      <c r="ID50" s="883">
        <v>148</v>
      </c>
      <c r="IE50" s="883">
        <v>148</v>
      </c>
      <c r="IF50" s="883">
        <v>148</v>
      </c>
      <c r="IG50" s="883">
        <v>148</v>
      </c>
      <c r="IH50" s="883">
        <v>148</v>
      </c>
      <c r="II50" s="883">
        <v>138</v>
      </c>
      <c r="IJ50" s="883" t="str">
        <v/>
      </c>
      <c r="IK50" s="883" t="str">
        <v/>
      </c>
      <c r="IL50" s="883" t="str">
        <v/>
      </c>
      <c r="IM50" s="883" t="str">
        <v/>
      </c>
      <c r="IN50" s="883" t="str">
        <v/>
      </c>
      <c r="IO50" s="883" t="str">
        <v/>
      </c>
      <c r="IP50" s="883" t="str">
        <v/>
      </c>
      <c r="IQ50" s="883" t="str">
        <v/>
      </c>
      <c r="IR50" s="883" t="str">
        <v/>
      </c>
      <c r="IS50" s="883" t="str">
        <v>N/A</v>
      </c>
      <c r="IT50" s="883">
        <v>148</v>
      </c>
      <c r="IU50" s="883">
        <v>148</v>
      </c>
      <c r="IV50" s="883">
        <v>148</v>
      </c>
      <c r="IW50" s="883">
        <v>148</v>
      </c>
      <c r="IX50" s="883">
        <v>148</v>
      </c>
      <c r="IY50" s="883">
        <v>148</v>
      </c>
      <c r="IZ50" s="883">
        <v>138</v>
      </c>
      <c r="JA50" s="883" t="str">
        <v/>
      </c>
      <c r="JB50" s="883" t="str">
        <v/>
      </c>
      <c r="JC50" s="883" t="str">
        <v/>
      </c>
      <c r="JD50" s="883" t="str">
        <v/>
      </c>
      <c r="JE50" s="883" t="str">
        <v/>
      </c>
      <c r="JF50" s="883" t="str">
        <v/>
      </c>
      <c r="JG50" s="883" t="str">
        <v/>
      </c>
      <c r="JH50" s="883" t="str">
        <v/>
      </c>
      <c r="JI50" s="883" t="str">
        <v/>
      </c>
      <c r="JJ50" s="883" t="str">
        <v/>
      </c>
      <c r="JK50" s="883" t="str">
        <v/>
      </c>
      <c r="JL50" s="883" t="str">
        <v/>
      </c>
      <c r="JM50" s="883" t="str">
        <v/>
      </c>
      <c r="JN50" s="883" t="str">
        <v/>
      </c>
      <c r="JO50" s="883" t="str">
        <v/>
      </c>
      <c r="JP50" s="883" t="str">
        <v/>
      </c>
      <c r="JQ50" s="883" t="str">
        <v/>
      </c>
      <c r="JR50" s="883" t="str">
        <v/>
      </c>
      <c r="JS50" s="883" t="str">
        <v/>
      </c>
      <c r="JT50" s="883" t="str">
        <v/>
      </c>
      <c r="JU50" s="883" t="str">
        <v/>
      </c>
      <c r="JV50" s="883" t="str">
        <v/>
      </c>
      <c r="JW50" s="883">
        <v>188</v>
      </c>
      <c r="JX50" s="883">
        <v>183</v>
      </c>
      <c r="JY50" s="883">
        <v>180</v>
      </c>
      <c r="JZ50" s="883">
        <v>177</v>
      </c>
      <c r="KA50" s="883">
        <v>175</v>
      </c>
      <c r="KB50" s="883">
        <v>173</v>
      </c>
      <c r="KC50" s="883">
        <v>172</v>
      </c>
      <c r="KD50" s="883">
        <v>171</v>
      </c>
      <c r="KE50" s="883">
        <v>169</v>
      </c>
      <c r="KF50" s="883">
        <v>168</v>
      </c>
      <c r="KG50" s="883">
        <v>167</v>
      </c>
      <c r="KH50" s="883">
        <v>166</v>
      </c>
      <c r="KI50" s="883">
        <v>166</v>
      </c>
      <c r="KJ50" s="883">
        <v>165</v>
      </c>
      <c r="KK50" s="883">
        <v>165</v>
      </c>
      <c r="KL50" s="883" t="str">
        <v/>
      </c>
      <c r="KM50" s="883" t="str">
        <v/>
      </c>
      <c r="KN50" s="883" t="str">
        <v/>
      </c>
      <c r="KO50" s="883" t="str">
        <v/>
      </c>
      <c r="KP50" s="907" t="str">
        <v/>
      </c>
      <c r="KQ50" s="700" t="s">
        <v>388</v>
      </c>
    </row>
    <row r="51" spans="1:303" s="188" customFormat="1" hidden="1" x14ac:dyDescent="0.45">
      <c r="A51" s="1766"/>
      <c r="B51" s="145" t="s">
        <v>307</v>
      </c>
      <c r="C51" s="201" t="str">
        <v/>
      </c>
      <c r="D51" s="202" t="str">
        <v/>
      </c>
      <c r="E51" s="202" t="str">
        <v/>
      </c>
      <c r="F51" s="202" t="str">
        <v/>
      </c>
      <c r="G51" s="202" t="str">
        <v/>
      </c>
      <c r="H51" s="202" t="str">
        <v/>
      </c>
      <c r="I51" s="202" t="str">
        <v/>
      </c>
      <c r="J51" s="202" t="str">
        <v/>
      </c>
      <c r="K51" s="202">
        <v>148</v>
      </c>
      <c r="L51" s="202">
        <v>148</v>
      </c>
      <c r="M51" s="202">
        <v>148</v>
      </c>
      <c r="N51" s="202" t="str">
        <v/>
      </c>
      <c r="O51" s="202" t="str">
        <v/>
      </c>
      <c r="P51" s="202" t="str">
        <v/>
      </c>
      <c r="Q51" s="202" t="str">
        <v/>
      </c>
      <c r="R51" s="202" t="str">
        <v/>
      </c>
      <c r="S51" s="202" t="str">
        <v/>
      </c>
      <c r="T51" s="202" t="str">
        <v/>
      </c>
      <c r="U51" s="202" t="str">
        <v/>
      </c>
      <c r="V51" s="202" t="str">
        <v/>
      </c>
      <c r="W51" s="202" t="str">
        <v/>
      </c>
      <c r="X51" s="202" t="str">
        <v/>
      </c>
      <c r="Y51" s="202" t="str">
        <v/>
      </c>
      <c r="Z51" s="202" t="str">
        <v/>
      </c>
      <c r="AA51" s="202" t="str">
        <v/>
      </c>
      <c r="AB51" s="202">
        <v>138</v>
      </c>
      <c r="AC51" s="202">
        <v>138</v>
      </c>
      <c r="AD51" s="202">
        <v>138</v>
      </c>
      <c r="AE51" s="202">
        <v>138</v>
      </c>
      <c r="AF51" s="202">
        <v>138</v>
      </c>
      <c r="AG51" s="202" t="str">
        <v/>
      </c>
      <c r="AH51" s="202" t="str">
        <v/>
      </c>
      <c r="AI51" s="202" t="str">
        <v/>
      </c>
      <c r="AJ51" s="202" t="str">
        <v/>
      </c>
      <c r="AK51" s="202" t="str">
        <v/>
      </c>
      <c r="AL51" s="202" t="str">
        <v/>
      </c>
      <c r="AM51" s="202" t="str">
        <v/>
      </c>
      <c r="AN51" s="202" t="str">
        <v/>
      </c>
      <c r="AO51" s="202" t="str">
        <v/>
      </c>
      <c r="AP51" s="202" t="str">
        <v/>
      </c>
      <c r="AQ51" s="202" t="str">
        <v/>
      </c>
      <c r="AR51" s="202" t="str">
        <v/>
      </c>
      <c r="AS51" s="202" t="str">
        <v/>
      </c>
      <c r="AT51" s="202" t="str">
        <v/>
      </c>
      <c r="AU51" s="202" t="str">
        <v/>
      </c>
      <c r="AV51" s="202" t="str">
        <v/>
      </c>
      <c r="AW51" s="202" t="str">
        <v/>
      </c>
      <c r="AX51" s="202" t="str">
        <v/>
      </c>
      <c r="AY51" s="202" t="str">
        <v/>
      </c>
      <c r="AZ51" s="202" t="str">
        <v/>
      </c>
      <c r="BA51" s="202" t="str">
        <v/>
      </c>
      <c r="BB51" s="202" t="str">
        <v/>
      </c>
      <c r="BC51" s="202" t="str">
        <v/>
      </c>
      <c r="BD51" s="202" t="str">
        <v/>
      </c>
      <c r="BE51" s="202" t="str">
        <v/>
      </c>
      <c r="BF51" s="202" t="str">
        <v/>
      </c>
      <c r="BG51" s="202" t="str">
        <v/>
      </c>
      <c r="BH51" s="202" t="str">
        <v/>
      </c>
      <c r="BI51" s="202" t="str">
        <v/>
      </c>
      <c r="BJ51" s="202" t="str">
        <v/>
      </c>
      <c r="BK51" s="202">
        <v>138</v>
      </c>
      <c r="BL51" s="202">
        <v>138</v>
      </c>
      <c r="BM51" s="202">
        <v>138</v>
      </c>
      <c r="BN51" s="202">
        <v>138</v>
      </c>
      <c r="BO51" s="202">
        <v>138</v>
      </c>
      <c r="BP51" s="202">
        <v>138</v>
      </c>
      <c r="BQ51" s="202">
        <v>138</v>
      </c>
      <c r="BR51" s="202">
        <v>138</v>
      </c>
      <c r="BS51" s="202">
        <v>138</v>
      </c>
      <c r="BT51" s="202" t="str">
        <v/>
      </c>
      <c r="BU51" s="202" t="str">
        <v/>
      </c>
      <c r="BV51" s="202">
        <v>148</v>
      </c>
      <c r="BW51" s="202" t="str">
        <v>N/A</v>
      </c>
      <c r="BX51" s="202">
        <v>138</v>
      </c>
      <c r="BY51" s="202" t="str">
        <v>N/A</v>
      </c>
      <c r="BZ51" s="202" t="str">
        <v/>
      </c>
      <c r="CA51" s="202" t="str">
        <v>N/A</v>
      </c>
      <c r="CB51" s="202" t="str">
        <v>N/A</v>
      </c>
      <c r="CC51" s="202" t="str">
        <v/>
      </c>
      <c r="CD51" s="202" t="str">
        <v>N/A</v>
      </c>
      <c r="CE51" s="202" t="str">
        <v/>
      </c>
      <c r="CF51" s="202" t="str">
        <v/>
      </c>
      <c r="CG51" s="202" t="str">
        <v/>
      </c>
      <c r="CH51" s="202" t="str">
        <v/>
      </c>
      <c r="CI51" s="202" t="str">
        <v/>
      </c>
      <c r="CJ51" s="202" t="str">
        <v/>
      </c>
      <c r="CK51" s="202" t="str">
        <v/>
      </c>
      <c r="CL51" s="202" t="str">
        <v/>
      </c>
      <c r="CM51" s="202" t="str">
        <v/>
      </c>
      <c r="CN51" s="202" t="str">
        <v/>
      </c>
      <c r="CO51" s="202" t="str">
        <v/>
      </c>
      <c r="CP51" s="202" t="str">
        <v/>
      </c>
      <c r="CQ51" s="202" t="str">
        <v/>
      </c>
      <c r="CR51" s="202" t="str">
        <v/>
      </c>
      <c r="CS51" s="202" t="str">
        <v/>
      </c>
      <c r="CT51" s="202" t="str">
        <v/>
      </c>
      <c r="CU51" s="202" t="str">
        <v/>
      </c>
      <c r="CV51" s="202" t="str">
        <v/>
      </c>
      <c r="CW51" s="202" t="str">
        <v/>
      </c>
      <c r="CX51" s="202" t="str">
        <v/>
      </c>
      <c r="CY51" s="201" t="str">
        <v/>
      </c>
      <c r="CZ51" s="202" t="str">
        <v/>
      </c>
      <c r="DA51" s="202" t="str">
        <v/>
      </c>
      <c r="DB51" s="202" t="str">
        <v/>
      </c>
      <c r="DC51" s="202" t="str">
        <v/>
      </c>
      <c r="DD51" s="202" t="str">
        <v/>
      </c>
      <c r="DE51" s="202" t="str">
        <v/>
      </c>
      <c r="DF51" s="202" t="str">
        <v/>
      </c>
      <c r="DG51" s="202" t="str">
        <v/>
      </c>
      <c r="DH51" s="202" t="str">
        <v/>
      </c>
      <c r="DI51" s="202" t="str">
        <v/>
      </c>
      <c r="DJ51" s="202" t="str">
        <v/>
      </c>
      <c r="DK51" s="202" t="str">
        <v/>
      </c>
      <c r="DL51" s="202" t="str">
        <v/>
      </c>
      <c r="DM51" s="202" t="str">
        <v/>
      </c>
      <c r="DN51" s="202" t="str">
        <v/>
      </c>
      <c r="DO51" s="202" t="str">
        <v/>
      </c>
      <c r="DP51" s="202" t="str">
        <v/>
      </c>
      <c r="DQ51" s="202" t="str">
        <v/>
      </c>
      <c r="DR51" s="202" t="str">
        <v/>
      </c>
      <c r="DS51" s="202" t="str">
        <v/>
      </c>
      <c r="DT51" s="202" t="str">
        <v/>
      </c>
      <c r="DU51" s="202" t="str">
        <v/>
      </c>
      <c r="DV51" s="202" t="str">
        <v/>
      </c>
      <c r="DW51" s="202" t="str">
        <v/>
      </c>
      <c r="DX51" s="202">
        <v>138</v>
      </c>
      <c r="DY51" s="202">
        <v>138</v>
      </c>
      <c r="DZ51" s="202">
        <v>138</v>
      </c>
      <c r="EA51" s="202">
        <v>138</v>
      </c>
      <c r="EB51" s="202">
        <v>138</v>
      </c>
      <c r="EC51" s="202" t="str">
        <v/>
      </c>
      <c r="ED51" s="202" t="str">
        <v/>
      </c>
      <c r="EE51" s="202" t="str">
        <v/>
      </c>
      <c r="EF51" s="202" t="str">
        <v/>
      </c>
      <c r="EG51" s="202" t="str">
        <v/>
      </c>
      <c r="EH51" s="202" t="str">
        <v/>
      </c>
      <c r="EI51" s="202" t="str">
        <v/>
      </c>
      <c r="EJ51" s="202" t="str">
        <v/>
      </c>
      <c r="EK51" s="202" t="str">
        <v/>
      </c>
      <c r="EL51" s="202" t="str">
        <v/>
      </c>
      <c r="EM51" s="202" t="str">
        <v/>
      </c>
      <c r="EN51" s="202" t="str">
        <v/>
      </c>
      <c r="EO51" s="202" t="str">
        <v/>
      </c>
      <c r="EP51" s="202" t="str">
        <v/>
      </c>
      <c r="EQ51" s="202" t="str">
        <v/>
      </c>
      <c r="ER51" s="202" t="str">
        <v/>
      </c>
      <c r="ES51" s="202" t="str">
        <v/>
      </c>
      <c r="ET51" s="202" t="str">
        <v/>
      </c>
      <c r="EU51" s="202" t="str">
        <v/>
      </c>
      <c r="EV51" s="202" t="str">
        <v/>
      </c>
      <c r="EW51" s="202" t="str">
        <v/>
      </c>
      <c r="EX51" s="202" t="str">
        <v/>
      </c>
      <c r="EY51" s="202" t="str">
        <v/>
      </c>
      <c r="EZ51" s="202" t="str">
        <v/>
      </c>
      <c r="FA51" s="202" t="str">
        <v/>
      </c>
      <c r="FB51" s="202" t="str">
        <v/>
      </c>
      <c r="FC51" s="202" t="str">
        <v/>
      </c>
      <c r="FD51" s="202" t="str">
        <v/>
      </c>
      <c r="FE51" s="202" t="str">
        <v/>
      </c>
      <c r="FF51" s="202" t="str">
        <v/>
      </c>
      <c r="FG51" s="202" t="str">
        <v/>
      </c>
      <c r="FH51" s="202" t="str">
        <v/>
      </c>
      <c r="FI51" s="202" t="str">
        <v/>
      </c>
      <c r="FJ51" s="202" t="str">
        <v/>
      </c>
      <c r="FK51" s="202" t="str">
        <v/>
      </c>
      <c r="FL51" s="202" t="str">
        <v/>
      </c>
      <c r="FM51" s="202" t="str">
        <v/>
      </c>
      <c r="FN51" s="202">
        <v>148</v>
      </c>
      <c r="FO51" s="202" t="str">
        <v/>
      </c>
      <c r="FP51" s="202" t="str">
        <v/>
      </c>
      <c r="FQ51" s="202" t="str">
        <v/>
      </c>
      <c r="FR51" s="202" t="str">
        <v/>
      </c>
      <c r="FS51" s="202" t="str">
        <v/>
      </c>
      <c r="FT51" s="202" t="str">
        <v/>
      </c>
      <c r="FU51" s="202" t="str">
        <v/>
      </c>
      <c r="FV51" s="202" t="str">
        <v/>
      </c>
      <c r="FW51" s="202" t="str">
        <v/>
      </c>
      <c r="FX51" s="202" t="str">
        <v/>
      </c>
      <c r="FY51" s="202" t="str">
        <v/>
      </c>
      <c r="FZ51" s="202" t="str">
        <v/>
      </c>
      <c r="GA51" s="202" t="str">
        <v/>
      </c>
      <c r="GB51" s="202" t="str">
        <v/>
      </c>
      <c r="GC51" s="202" t="str">
        <v/>
      </c>
      <c r="GD51" s="202" t="str">
        <v/>
      </c>
      <c r="GE51" s="202" t="str">
        <v/>
      </c>
      <c r="GF51" s="202" t="str">
        <v/>
      </c>
      <c r="GG51" s="202" t="str">
        <v/>
      </c>
      <c r="GH51" s="202" t="str">
        <v/>
      </c>
      <c r="GI51" s="202" t="str">
        <v/>
      </c>
      <c r="GJ51" s="202" t="str">
        <v/>
      </c>
      <c r="GK51" s="202" t="str">
        <v/>
      </c>
      <c r="GL51" s="202" t="str">
        <v/>
      </c>
      <c r="GM51" s="202" t="str">
        <v/>
      </c>
      <c r="GN51" s="202" t="str">
        <v/>
      </c>
      <c r="GO51" s="202" t="str">
        <v/>
      </c>
      <c r="GP51" s="202" t="str">
        <v/>
      </c>
      <c r="GQ51" s="202" t="str">
        <v/>
      </c>
      <c r="GR51" s="202" t="str">
        <v/>
      </c>
      <c r="GS51" s="202" t="str">
        <v/>
      </c>
      <c r="GT51" s="202" t="str">
        <v/>
      </c>
      <c r="GU51" s="202" t="str">
        <v/>
      </c>
      <c r="GV51" s="202" t="str">
        <v/>
      </c>
      <c r="GW51" s="202" t="str">
        <v/>
      </c>
      <c r="GX51" s="202" t="str">
        <v/>
      </c>
      <c r="GY51" s="202" t="str">
        <v/>
      </c>
      <c r="GZ51" s="202" t="str">
        <v/>
      </c>
      <c r="HA51" s="202" t="str">
        <v/>
      </c>
      <c r="HB51" s="202" t="str">
        <v/>
      </c>
      <c r="HC51" s="202" t="str">
        <v/>
      </c>
      <c r="HD51" s="202" t="str">
        <v/>
      </c>
      <c r="HE51" s="202" t="str">
        <v/>
      </c>
      <c r="HF51" s="202" t="str">
        <v/>
      </c>
      <c r="HG51" s="202" t="str">
        <v/>
      </c>
      <c r="HH51" s="202" t="str">
        <v/>
      </c>
      <c r="HI51" s="202" t="str">
        <v/>
      </c>
      <c r="HJ51" s="202" t="str">
        <v/>
      </c>
      <c r="HK51" s="202" t="str">
        <v/>
      </c>
      <c r="HL51" s="202" t="str">
        <v/>
      </c>
      <c r="HM51" s="202" t="str">
        <v/>
      </c>
      <c r="HN51" s="202" t="str">
        <v/>
      </c>
      <c r="HO51" s="202" t="str">
        <v/>
      </c>
      <c r="HP51" s="202" t="str">
        <v/>
      </c>
      <c r="HQ51" s="202" t="str">
        <v/>
      </c>
      <c r="HR51" s="202" t="str">
        <v/>
      </c>
      <c r="HS51" s="202" t="str">
        <v/>
      </c>
      <c r="HT51" s="202" t="str">
        <v/>
      </c>
      <c r="HU51" s="202" t="str">
        <v/>
      </c>
      <c r="HV51" s="202" t="str">
        <v/>
      </c>
      <c r="HW51" s="202" t="str">
        <v/>
      </c>
      <c r="HX51" s="202" t="str">
        <v/>
      </c>
      <c r="HY51" s="202" t="str">
        <v/>
      </c>
      <c r="HZ51" s="202" t="str">
        <v/>
      </c>
      <c r="IA51" s="202" t="str">
        <v/>
      </c>
      <c r="IB51" s="202" t="str">
        <v/>
      </c>
      <c r="IC51" s="202" t="str">
        <v/>
      </c>
      <c r="ID51" s="202" t="str">
        <v/>
      </c>
      <c r="IE51" s="202" t="str">
        <v/>
      </c>
      <c r="IF51" s="202" t="str">
        <v/>
      </c>
      <c r="IG51" s="202" t="str">
        <v/>
      </c>
      <c r="IH51" s="202" t="str">
        <v/>
      </c>
      <c r="II51" s="202" t="str">
        <v/>
      </c>
      <c r="IJ51" s="202" t="str">
        <v/>
      </c>
      <c r="IK51" s="202" t="str">
        <v/>
      </c>
      <c r="IL51" s="202" t="str">
        <v/>
      </c>
      <c r="IM51" s="202" t="str">
        <v/>
      </c>
      <c r="IN51" s="202" t="str">
        <v/>
      </c>
      <c r="IO51" s="202" t="str">
        <v/>
      </c>
      <c r="IP51" s="202" t="str">
        <v/>
      </c>
      <c r="IQ51" s="202" t="str">
        <v/>
      </c>
      <c r="IR51" s="202" t="str">
        <v/>
      </c>
      <c r="IS51" s="202" t="str">
        <v/>
      </c>
      <c r="IT51" s="202" t="str">
        <v/>
      </c>
      <c r="IU51" s="202" t="str">
        <v/>
      </c>
      <c r="IV51" s="202" t="str">
        <v/>
      </c>
      <c r="IW51" s="202" t="str">
        <v/>
      </c>
      <c r="IX51" s="202" t="str">
        <v/>
      </c>
      <c r="IY51" s="202" t="str">
        <v/>
      </c>
      <c r="IZ51" s="202" t="str">
        <v/>
      </c>
      <c r="JA51" s="202" t="str">
        <v/>
      </c>
      <c r="JB51" s="202" t="str">
        <v/>
      </c>
      <c r="JC51" s="202" t="str">
        <v/>
      </c>
      <c r="JD51" s="202" t="str">
        <v/>
      </c>
      <c r="JE51" s="202" t="str">
        <v/>
      </c>
      <c r="JF51" s="202" t="str">
        <v/>
      </c>
      <c r="JG51" s="202" t="str">
        <v/>
      </c>
      <c r="JH51" s="202" t="str">
        <v/>
      </c>
      <c r="JI51" s="202" t="str">
        <v/>
      </c>
      <c r="JJ51" s="202" t="str">
        <v/>
      </c>
      <c r="JK51" s="202" t="str">
        <v/>
      </c>
      <c r="JL51" s="202" t="str">
        <v/>
      </c>
      <c r="JM51" s="202" t="str">
        <v/>
      </c>
      <c r="JN51" s="202" t="str">
        <v/>
      </c>
      <c r="JO51" s="202" t="str">
        <v/>
      </c>
      <c r="JP51" s="202" t="str">
        <v/>
      </c>
      <c r="JQ51" s="202" t="str">
        <v/>
      </c>
      <c r="JR51" s="202" t="str">
        <v/>
      </c>
      <c r="JS51" s="202" t="str">
        <v/>
      </c>
      <c r="JT51" s="202" t="str">
        <v/>
      </c>
      <c r="JU51" s="202" t="str">
        <v/>
      </c>
      <c r="JV51" s="202" t="str">
        <v/>
      </c>
      <c r="JW51" s="202" t="str">
        <v/>
      </c>
      <c r="JX51" s="202" t="str">
        <v/>
      </c>
      <c r="JY51" s="202" t="str">
        <v/>
      </c>
      <c r="JZ51" s="202" t="str">
        <v/>
      </c>
      <c r="KA51" s="202" t="str">
        <v/>
      </c>
      <c r="KB51" s="202" t="str">
        <v/>
      </c>
      <c r="KC51" s="202" t="str">
        <v/>
      </c>
      <c r="KD51" s="202" t="str">
        <v/>
      </c>
      <c r="KE51" s="202" t="str">
        <v/>
      </c>
      <c r="KF51" s="202" t="str">
        <v/>
      </c>
      <c r="KG51" s="202" t="str">
        <v/>
      </c>
      <c r="KH51" s="202" t="str">
        <v/>
      </c>
      <c r="KI51" s="202" t="str">
        <v/>
      </c>
      <c r="KJ51" s="202" t="str">
        <v/>
      </c>
      <c r="KK51" s="202" t="str">
        <v/>
      </c>
      <c r="KL51" s="202" t="str">
        <v/>
      </c>
      <c r="KM51" s="202" t="str">
        <v/>
      </c>
      <c r="KN51" s="202" t="str">
        <v/>
      </c>
      <c r="KO51" s="202" t="str">
        <v/>
      </c>
      <c r="KP51" s="908" t="str">
        <v/>
      </c>
      <c r="KQ51" s="700"/>
    </row>
    <row r="52" spans="1:303" s="188" customFormat="1" hidden="1" x14ac:dyDescent="0.45">
      <c r="A52" s="1767"/>
      <c r="B52" s="146" t="s">
        <v>308</v>
      </c>
      <c r="C52" s="886" t="str">
        <v/>
      </c>
      <c r="D52" s="887" t="str">
        <v/>
      </c>
      <c r="E52" s="887" t="str">
        <v/>
      </c>
      <c r="F52" s="887" t="str">
        <v/>
      </c>
      <c r="G52" s="887" t="str">
        <v/>
      </c>
      <c r="H52" s="887" t="str">
        <v/>
      </c>
      <c r="I52" s="887" t="str">
        <v/>
      </c>
      <c r="J52" s="887" t="str">
        <v/>
      </c>
      <c r="K52" s="887" t="str">
        <v/>
      </c>
      <c r="L52" s="887" t="str">
        <v/>
      </c>
      <c r="M52" s="887" t="str">
        <v/>
      </c>
      <c r="N52" s="887" t="str">
        <v/>
      </c>
      <c r="O52" s="887" t="str">
        <v/>
      </c>
      <c r="P52" s="887" t="str">
        <v/>
      </c>
      <c r="Q52" s="887" t="str">
        <v/>
      </c>
      <c r="R52" s="887" t="str">
        <v/>
      </c>
      <c r="S52" s="887" t="str">
        <v/>
      </c>
      <c r="T52" s="887" t="str">
        <v/>
      </c>
      <c r="U52" s="887" t="str">
        <v/>
      </c>
      <c r="V52" s="887" t="str">
        <v/>
      </c>
      <c r="W52" s="887" t="str">
        <v/>
      </c>
      <c r="X52" s="887" t="str">
        <v/>
      </c>
      <c r="Y52" s="887" t="str">
        <v/>
      </c>
      <c r="Z52" s="887" t="str">
        <v/>
      </c>
      <c r="AA52" s="887" t="str">
        <v/>
      </c>
      <c r="AB52" s="887" t="str">
        <v/>
      </c>
      <c r="AC52" s="887" t="str">
        <v/>
      </c>
      <c r="AD52" s="887" t="str">
        <v/>
      </c>
      <c r="AE52" s="887" t="str">
        <v/>
      </c>
      <c r="AF52" s="887" t="str">
        <v/>
      </c>
      <c r="AG52" s="887" t="str">
        <v/>
      </c>
      <c r="AH52" s="887" t="str">
        <v/>
      </c>
      <c r="AI52" s="887" t="str">
        <v/>
      </c>
      <c r="AJ52" s="887" t="str">
        <v/>
      </c>
      <c r="AK52" s="887" t="str">
        <v/>
      </c>
      <c r="AL52" s="887" t="str">
        <v/>
      </c>
      <c r="AM52" s="887" t="str">
        <v/>
      </c>
      <c r="AN52" s="887" t="str">
        <v/>
      </c>
      <c r="AO52" s="887" t="str">
        <v/>
      </c>
      <c r="AP52" s="887" t="str">
        <v/>
      </c>
      <c r="AQ52" s="887" t="str">
        <v/>
      </c>
      <c r="AR52" s="887" t="str">
        <v/>
      </c>
      <c r="AS52" s="887" t="str">
        <v/>
      </c>
      <c r="AT52" s="887" t="str">
        <v/>
      </c>
      <c r="AU52" s="887" t="str">
        <v/>
      </c>
      <c r="AV52" s="887" t="str">
        <v/>
      </c>
      <c r="AW52" s="887" t="str">
        <v/>
      </c>
      <c r="AX52" s="887" t="str">
        <v/>
      </c>
      <c r="AY52" s="887" t="str">
        <v/>
      </c>
      <c r="AZ52" s="887" t="str">
        <v/>
      </c>
      <c r="BA52" s="887" t="str">
        <v/>
      </c>
      <c r="BB52" s="887" t="str">
        <v/>
      </c>
      <c r="BC52" s="887" t="str">
        <v/>
      </c>
      <c r="BD52" s="887" t="str">
        <v/>
      </c>
      <c r="BE52" s="887" t="str">
        <v/>
      </c>
      <c r="BF52" s="887" t="str">
        <v/>
      </c>
      <c r="BG52" s="887" t="str">
        <v/>
      </c>
      <c r="BH52" s="887" t="str">
        <v/>
      </c>
      <c r="BI52" s="887" t="str">
        <v/>
      </c>
      <c r="BJ52" s="887" t="str">
        <v/>
      </c>
      <c r="BK52" s="887" t="str">
        <v/>
      </c>
      <c r="BL52" s="887" t="str">
        <v/>
      </c>
      <c r="BM52" s="887" t="str">
        <v/>
      </c>
      <c r="BN52" s="887" t="str">
        <v/>
      </c>
      <c r="BO52" s="887" t="str">
        <v/>
      </c>
      <c r="BP52" s="887" t="str">
        <v/>
      </c>
      <c r="BQ52" s="887" t="str">
        <v/>
      </c>
      <c r="BR52" s="887" t="str">
        <v/>
      </c>
      <c r="BS52" s="887" t="str">
        <v/>
      </c>
      <c r="BT52" s="887" t="str">
        <v/>
      </c>
      <c r="BU52" s="887" t="str">
        <v/>
      </c>
      <c r="BV52" s="887" t="str">
        <v/>
      </c>
      <c r="BW52" s="887" t="str">
        <v/>
      </c>
      <c r="BX52" s="887" t="str">
        <v/>
      </c>
      <c r="BY52" s="887">
        <v>138</v>
      </c>
      <c r="BZ52" s="887" t="str">
        <v/>
      </c>
      <c r="CA52" s="887" t="str">
        <v/>
      </c>
      <c r="CB52" s="887" t="str">
        <v>N/A</v>
      </c>
      <c r="CC52" s="887" t="str">
        <v/>
      </c>
      <c r="CD52" s="887" t="str">
        <v/>
      </c>
      <c r="CE52" s="887" t="str">
        <v/>
      </c>
      <c r="CF52" s="887" t="str">
        <v/>
      </c>
      <c r="CG52" s="887" t="str">
        <v/>
      </c>
      <c r="CH52" s="887" t="str">
        <v/>
      </c>
      <c r="CI52" s="887" t="str">
        <v/>
      </c>
      <c r="CJ52" s="887" t="str">
        <v/>
      </c>
      <c r="CK52" s="887" t="str">
        <v/>
      </c>
      <c r="CL52" s="887" t="str">
        <v/>
      </c>
      <c r="CM52" s="887" t="str">
        <v/>
      </c>
      <c r="CN52" s="887" t="str">
        <v/>
      </c>
      <c r="CO52" s="887" t="str">
        <v/>
      </c>
      <c r="CP52" s="887" t="str">
        <v/>
      </c>
      <c r="CQ52" s="887" t="str">
        <v/>
      </c>
      <c r="CR52" s="887" t="str">
        <v/>
      </c>
      <c r="CS52" s="887" t="str">
        <v/>
      </c>
      <c r="CT52" s="887" t="str">
        <v/>
      </c>
      <c r="CU52" s="887" t="str">
        <v/>
      </c>
      <c r="CV52" s="887" t="str">
        <v/>
      </c>
      <c r="CW52" s="887" t="str">
        <v/>
      </c>
      <c r="CX52" s="887" t="str">
        <v/>
      </c>
      <c r="CY52" s="886" t="str">
        <v/>
      </c>
      <c r="CZ52" s="887" t="str">
        <v/>
      </c>
      <c r="DA52" s="887" t="str">
        <v/>
      </c>
      <c r="DB52" s="887" t="str">
        <v/>
      </c>
      <c r="DC52" s="887" t="str">
        <v/>
      </c>
      <c r="DD52" s="887" t="str">
        <v/>
      </c>
      <c r="DE52" s="887" t="str">
        <v/>
      </c>
      <c r="DF52" s="887" t="str">
        <v/>
      </c>
      <c r="DG52" s="887" t="str">
        <v/>
      </c>
      <c r="DH52" s="887" t="str">
        <v/>
      </c>
      <c r="DI52" s="887" t="str">
        <v/>
      </c>
      <c r="DJ52" s="887" t="str">
        <v/>
      </c>
      <c r="DK52" s="887" t="str">
        <v/>
      </c>
      <c r="DL52" s="887" t="str">
        <v/>
      </c>
      <c r="DM52" s="887" t="str">
        <v/>
      </c>
      <c r="DN52" s="887" t="str">
        <v/>
      </c>
      <c r="DO52" s="887" t="str">
        <v/>
      </c>
      <c r="DP52" s="887" t="str">
        <v/>
      </c>
      <c r="DQ52" s="887" t="str">
        <v/>
      </c>
      <c r="DR52" s="887" t="str">
        <v/>
      </c>
      <c r="DS52" s="887" t="str">
        <v/>
      </c>
      <c r="DT52" s="887" t="str">
        <v/>
      </c>
      <c r="DU52" s="887" t="str">
        <v/>
      </c>
      <c r="DV52" s="887" t="str">
        <v/>
      </c>
      <c r="DW52" s="887" t="str">
        <v/>
      </c>
      <c r="DX52" s="887" t="str">
        <v/>
      </c>
      <c r="DY52" s="887" t="str">
        <v/>
      </c>
      <c r="DZ52" s="887" t="str">
        <v/>
      </c>
      <c r="EA52" s="887" t="str">
        <v/>
      </c>
      <c r="EB52" s="887" t="str">
        <v/>
      </c>
      <c r="EC52" s="887" t="str">
        <v/>
      </c>
      <c r="ED52" s="887" t="str">
        <v/>
      </c>
      <c r="EE52" s="887" t="str">
        <v/>
      </c>
      <c r="EF52" s="887" t="str">
        <v/>
      </c>
      <c r="EG52" s="887" t="str">
        <v/>
      </c>
      <c r="EH52" s="887" t="str">
        <v/>
      </c>
      <c r="EI52" s="887" t="str">
        <v/>
      </c>
      <c r="EJ52" s="887" t="str">
        <v/>
      </c>
      <c r="EK52" s="887" t="str">
        <v/>
      </c>
      <c r="EL52" s="887" t="str">
        <v/>
      </c>
      <c r="EM52" s="887" t="str">
        <v/>
      </c>
      <c r="EN52" s="887" t="str">
        <v/>
      </c>
      <c r="EO52" s="887" t="str">
        <v/>
      </c>
      <c r="EP52" s="887" t="str">
        <v/>
      </c>
      <c r="EQ52" s="887" t="str">
        <v/>
      </c>
      <c r="ER52" s="887" t="str">
        <v/>
      </c>
      <c r="ES52" s="887" t="str">
        <v/>
      </c>
      <c r="ET52" s="887" t="str">
        <v/>
      </c>
      <c r="EU52" s="887" t="str">
        <v/>
      </c>
      <c r="EV52" s="887" t="str">
        <v/>
      </c>
      <c r="EW52" s="887" t="str">
        <v/>
      </c>
      <c r="EX52" s="887" t="str">
        <v/>
      </c>
      <c r="EY52" s="887" t="str">
        <v/>
      </c>
      <c r="EZ52" s="887" t="str">
        <v/>
      </c>
      <c r="FA52" s="887" t="str">
        <v/>
      </c>
      <c r="FB52" s="887" t="str">
        <v/>
      </c>
      <c r="FC52" s="887" t="str">
        <v/>
      </c>
      <c r="FD52" s="887" t="str">
        <v/>
      </c>
      <c r="FE52" s="887" t="str">
        <v/>
      </c>
      <c r="FF52" s="887" t="str">
        <v/>
      </c>
      <c r="FG52" s="887" t="str">
        <v/>
      </c>
      <c r="FH52" s="887" t="str">
        <v/>
      </c>
      <c r="FI52" s="887" t="str">
        <v/>
      </c>
      <c r="FJ52" s="887" t="str">
        <v/>
      </c>
      <c r="FK52" s="887" t="str">
        <v/>
      </c>
      <c r="FL52" s="887" t="str">
        <v/>
      </c>
      <c r="FM52" s="887" t="str">
        <v/>
      </c>
      <c r="FN52" s="887" t="str">
        <v/>
      </c>
      <c r="FO52" s="887" t="str">
        <v/>
      </c>
      <c r="FP52" s="887" t="str">
        <v/>
      </c>
      <c r="FQ52" s="887" t="str">
        <v/>
      </c>
      <c r="FR52" s="887" t="str">
        <v/>
      </c>
      <c r="FS52" s="887" t="str">
        <v/>
      </c>
      <c r="FT52" s="887" t="str">
        <v/>
      </c>
      <c r="FU52" s="887" t="str">
        <v/>
      </c>
      <c r="FV52" s="887" t="str">
        <v/>
      </c>
      <c r="FW52" s="887" t="str">
        <v/>
      </c>
      <c r="FX52" s="887" t="str">
        <v/>
      </c>
      <c r="FY52" s="887" t="str">
        <v/>
      </c>
      <c r="FZ52" s="887" t="str">
        <v/>
      </c>
      <c r="GA52" s="887" t="str">
        <v/>
      </c>
      <c r="GB52" s="887" t="str">
        <v/>
      </c>
      <c r="GC52" s="887" t="str">
        <v/>
      </c>
      <c r="GD52" s="887" t="str">
        <v/>
      </c>
      <c r="GE52" s="887" t="str">
        <v/>
      </c>
      <c r="GF52" s="887" t="str">
        <v/>
      </c>
      <c r="GG52" s="887" t="str">
        <v/>
      </c>
      <c r="GH52" s="887" t="str">
        <v/>
      </c>
      <c r="GI52" s="887" t="str">
        <v/>
      </c>
      <c r="GJ52" s="887" t="str">
        <v/>
      </c>
      <c r="GK52" s="887" t="str">
        <v/>
      </c>
      <c r="GL52" s="887" t="str">
        <v/>
      </c>
      <c r="GM52" s="887" t="str">
        <v/>
      </c>
      <c r="GN52" s="887" t="str">
        <v/>
      </c>
      <c r="GO52" s="887" t="str">
        <v/>
      </c>
      <c r="GP52" s="887" t="str">
        <v/>
      </c>
      <c r="GQ52" s="887" t="str">
        <v/>
      </c>
      <c r="GR52" s="887" t="str">
        <v/>
      </c>
      <c r="GS52" s="887" t="str">
        <v/>
      </c>
      <c r="GT52" s="887" t="str">
        <v/>
      </c>
      <c r="GU52" s="887" t="str">
        <v/>
      </c>
      <c r="GV52" s="887" t="str">
        <v/>
      </c>
      <c r="GW52" s="887" t="str">
        <v/>
      </c>
      <c r="GX52" s="887" t="str">
        <v/>
      </c>
      <c r="GY52" s="887" t="str">
        <v/>
      </c>
      <c r="GZ52" s="887" t="str">
        <v/>
      </c>
      <c r="HA52" s="887" t="str">
        <v/>
      </c>
      <c r="HB52" s="887" t="str">
        <v/>
      </c>
      <c r="HC52" s="887" t="str">
        <v/>
      </c>
      <c r="HD52" s="887" t="str">
        <v/>
      </c>
      <c r="HE52" s="887" t="str">
        <v/>
      </c>
      <c r="HF52" s="887" t="str">
        <v/>
      </c>
      <c r="HG52" s="887" t="str">
        <v/>
      </c>
      <c r="HH52" s="887" t="str">
        <v/>
      </c>
      <c r="HI52" s="887" t="str">
        <v/>
      </c>
      <c r="HJ52" s="887" t="str">
        <v/>
      </c>
      <c r="HK52" s="887" t="str">
        <v/>
      </c>
      <c r="HL52" s="887" t="str">
        <v/>
      </c>
      <c r="HM52" s="887" t="str">
        <v/>
      </c>
      <c r="HN52" s="887" t="str">
        <v/>
      </c>
      <c r="HO52" s="887" t="str">
        <v/>
      </c>
      <c r="HP52" s="887" t="str">
        <v/>
      </c>
      <c r="HQ52" s="887" t="str">
        <v/>
      </c>
      <c r="HR52" s="887" t="str">
        <v/>
      </c>
      <c r="HS52" s="887" t="str">
        <v/>
      </c>
      <c r="HT52" s="887" t="str">
        <v/>
      </c>
      <c r="HU52" s="887" t="str">
        <v/>
      </c>
      <c r="HV52" s="887" t="str">
        <v/>
      </c>
      <c r="HW52" s="887" t="str">
        <v/>
      </c>
      <c r="HX52" s="887" t="str">
        <v/>
      </c>
      <c r="HY52" s="887" t="str">
        <v/>
      </c>
      <c r="HZ52" s="887" t="str">
        <v/>
      </c>
      <c r="IA52" s="887" t="str">
        <v/>
      </c>
      <c r="IB52" s="887" t="str">
        <v/>
      </c>
      <c r="IC52" s="887" t="str">
        <v/>
      </c>
      <c r="ID52" s="887" t="str">
        <v/>
      </c>
      <c r="IE52" s="887" t="str">
        <v/>
      </c>
      <c r="IF52" s="887" t="str">
        <v/>
      </c>
      <c r="IG52" s="887" t="str">
        <v/>
      </c>
      <c r="IH52" s="887" t="str">
        <v/>
      </c>
      <c r="II52" s="887" t="str">
        <v/>
      </c>
      <c r="IJ52" s="887" t="str">
        <v/>
      </c>
      <c r="IK52" s="887" t="str">
        <v/>
      </c>
      <c r="IL52" s="887" t="str">
        <v/>
      </c>
      <c r="IM52" s="887" t="str">
        <v/>
      </c>
      <c r="IN52" s="887" t="str">
        <v/>
      </c>
      <c r="IO52" s="887" t="str">
        <v/>
      </c>
      <c r="IP52" s="887" t="str">
        <v/>
      </c>
      <c r="IQ52" s="887" t="str">
        <v/>
      </c>
      <c r="IR52" s="887" t="str">
        <v/>
      </c>
      <c r="IS52" s="887" t="str">
        <v/>
      </c>
      <c r="IT52" s="887" t="str">
        <v/>
      </c>
      <c r="IU52" s="887" t="str">
        <v/>
      </c>
      <c r="IV52" s="887" t="str">
        <v/>
      </c>
      <c r="IW52" s="887" t="str">
        <v/>
      </c>
      <c r="IX52" s="887" t="str">
        <v/>
      </c>
      <c r="IY52" s="887" t="str">
        <v/>
      </c>
      <c r="IZ52" s="887" t="str">
        <v/>
      </c>
      <c r="JA52" s="887" t="str">
        <v/>
      </c>
      <c r="JB52" s="887" t="str">
        <v/>
      </c>
      <c r="JC52" s="887" t="str">
        <v/>
      </c>
      <c r="JD52" s="887" t="str">
        <v/>
      </c>
      <c r="JE52" s="887" t="str">
        <v/>
      </c>
      <c r="JF52" s="887" t="str">
        <v/>
      </c>
      <c r="JG52" s="887" t="str">
        <v/>
      </c>
      <c r="JH52" s="887" t="str">
        <v/>
      </c>
      <c r="JI52" s="887" t="str">
        <v/>
      </c>
      <c r="JJ52" s="887" t="str">
        <v/>
      </c>
      <c r="JK52" s="887" t="str">
        <v/>
      </c>
      <c r="JL52" s="887" t="str">
        <v/>
      </c>
      <c r="JM52" s="887" t="str">
        <v/>
      </c>
      <c r="JN52" s="887" t="str">
        <v/>
      </c>
      <c r="JO52" s="887" t="str">
        <v/>
      </c>
      <c r="JP52" s="887" t="str">
        <v/>
      </c>
      <c r="JQ52" s="887" t="str">
        <v/>
      </c>
      <c r="JR52" s="887" t="str">
        <v/>
      </c>
      <c r="JS52" s="887" t="str">
        <v/>
      </c>
      <c r="JT52" s="887" t="str">
        <v/>
      </c>
      <c r="JU52" s="887" t="str">
        <v/>
      </c>
      <c r="JV52" s="887" t="str">
        <v/>
      </c>
      <c r="JW52" s="887" t="str">
        <v/>
      </c>
      <c r="JX52" s="887" t="str">
        <v/>
      </c>
      <c r="JY52" s="887" t="str">
        <v/>
      </c>
      <c r="JZ52" s="887" t="str">
        <v/>
      </c>
      <c r="KA52" s="887" t="str">
        <v/>
      </c>
      <c r="KB52" s="887" t="str">
        <v/>
      </c>
      <c r="KC52" s="887" t="str">
        <v/>
      </c>
      <c r="KD52" s="887" t="str">
        <v/>
      </c>
      <c r="KE52" s="887" t="str">
        <v/>
      </c>
      <c r="KF52" s="887" t="str">
        <v/>
      </c>
      <c r="KG52" s="887" t="str">
        <v/>
      </c>
      <c r="KH52" s="887" t="str">
        <v/>
      </c>
      <c r="KI52" s="887" t="str">
        <v/>
      </c>
      <c r="KJ52" s="887" t="str">
        <v/>
      </c>
      <c r="KK52" s="887" t="str">
        <v/>
      </c>
      <c r="KL52" s="887" t="str">
        <v/>
      </c>
      <c r="KM52" s="887" t="str">
        <v/>
      </c>
      <c r="KN52" s="887" t="str">
        <v/>
      </c>
      <c r="KO52" s="887" t="str">
        <v/>
      </c>
      <c r="KP52" s="909" t="str">
        <v/>
      </c>
      <c r="KQ52" s="700"/>
    </row>
    <row r="53" spans="1:303" s="188" customFormat="1" hidden="1" x14ac:dyDescent="0.45">
      <c r="A53" s="1765" t="s">
        <v>313</v>
      </c>
      <c r="B53" s="144" t="s">
        <v>306</v>
      </c>
      <c r="C53" s="882" t="str">
        <f t="array" ref="C53:KP55">IFERROR(IF(INDEX(elements_HR_absolute,2,sessions_elements_index)&gt;athlete_HR_max_run,"N/A",
CONCATENATE(INDEX(elements_HR_absolute,1,sessions_elements_index)," - ",INDEX(elements_HR_absolute,3,sessions_elements_index))
),"")</f>
        <v>N/A</v>
      </c>
      <c r="D53" s="883" t="str">
        <v>129 - 148</v>
      </c>
      <c r="E53" s="883" t="str">
        <v>129 - 148</v>
      </c>
      <c r="F53" s="883" t="str">
        <v>138 - 157</v>
      </c>
      <c r="G53" s="883" t="str">
        <v>129 - 169</v>
      </c>
      <c r="H53" s="883" t="str">
        <v>129 - 148</v>
      </c>
      <c r="I53" s="883" t="str">
        <v>129 - 148</v>
      </c>
      <c r="J53" s="883" t="str">
        <v>129 - 148</v>
      </c>
      <c r="K53" s="883" t="str">
        <v>129 - 148</v>
      </c>
      <c r="L53" s="883" t="str">
        <v>129 - 148</v>
      </c>
      <c r="M53" s="883" t="str">
        <v>129 - 148</v>
      </c>
      <c r="N53" s="883" t="str">
        <v>129 - 148</v>
      </c>
      <c r="O53" s="883" t="str">
        <v>129 - 148</v>
      </c>
      <c r="P53" s="883" t="str">
        <v>129 - 148</v>
      </c>
      <c r="Q53" s="883" t="str">
        <v>129 - 148</v>
      </c>
      <c r="R53" s="883" t="str">
        <v>138 - 157</v>
      </c>
      <c r="S53" s="883" t="str">
        <v>138 - 157</v>
      </c>
      <c r="T53" s="883" t="str">
        <v>129 - 169</v>
      </c>
      <c r="U53" s="883" t="str">
        <v>129 - 169</v>
      </c>
      <c r="V53" s="883" t="str">
        <v>129 - 169</v>
      </c>
      <c r="W53" s="883" t="str">
        <v>157 - 169</v>
      </c>
      <c r="X53" s="883" t="str">
        <v>173 - 180</v>
      </c>
      <c r="Y53" s="883" t="str">
        <v>173 - 180</v>
      </c>
      <c r="Z53" s="883" t="str">
        <v>173 - 180</v>
      </c>
      <c r="AA53" s="883" t="str">
        <v>173 - 180</v>
      </c>
      <c r="AB53" s="883" t="str">
        <v>157 - 169</v>
      </c>
      <c r="AC53" s="883" t="str">
        <v>173 - 180</v>
      </c>
      <c r="AD53" s="883" t="str">
        <v>173 - 180</v>
      </c>
      <c r="AE53" s="883" t="str">
        <v>173 - 180</v>
      </c>
      <c r="AF53" s="883" t="str">
        <v>173 - 180</v>
      </c>
      <c r="AG53" s="883" t="str">
        <v>138 - 188</v>
      </c>
      <c r="AH53" s="883" t="str">
        <v>138 - 188</v>
      </c>
      <c r="AI53" s="883" t="str">
        <v>138 - 188</v>
      </c>
      <c r="AJ53" s="883" t="str">
        <v>138 - 188</v>
      </c>
      <c r="AK53" s="883" t="str">
        <v/>
      </c>
      <c r="AL53" s="883" t="str">
        <v/>
      </c>
      <c r="AM53" s="883" t="str">
        <v/>
      </c>
      <c r="AN53" s="883" t="str">
        <v/>
      </c>
      <c r="AO53" s="883" t="str">
        <v/>
      </c>
      <c r="AP53" s="883" t="str">
        <v/>
      </c>
      <c r="AQ53" s="883" t="str">
        <v>184 - 192</v>
      </c>
      <c r="AR53" s="883" t="str">
        <v>184 - 192</v>
      </c>
      <c r="AS53" s="883" t="str">
        <v>184 - 192</v>
      </c>
      <c r="AT53" s="883" t="str">
        <v>184 - 192</v>
      </c>
      <c r="AU53" s="883" t="str">
        <v>184 - 192</v>
      </c>
      <c r="AV53" s="883" t="str">
        <v>184 - 192</v>
      </c>
      <c r="AW53" s="883" t="str">
        <v>184 - 192</v>
      </c>
      <c r="AX53" s="883" t="str">
        <v>184 - 192</v>
      </c>
      <c r="AY53" s="883" t="str">
        <v>184 - 192</v>
      </c>
      <c r="AZ53" s="883" t="str">
        <v>184 - 192</v>
      </c>
      <c r="BA53" s="883" t="str">
        <v>184 - 192</v>
      </c>
      <c r="BB53" s="883" t="str">
        <v>184 - 192</v>
      </c>
      <c r="BC53" s="883" t="str">
        <v/>
      </c>
      <c r="BD53" s="883" t="str">
        <v/>
      </c>
      <c r="BE53" s="883" t="str">
        <v/>
      </c>
      <c r="BF53" s="883" t="str">
        <v/>
      </c>
      <c r="BG53" s="883" t="str">
        <v/>
      </c>
      <c r="BH53" s="883" t="str">
        <v/>
      </c>
      <c r="BI53" s="883" t="str">
        <v/>
      </c>
      <c r="BJ53" s="883" t="str">
        <v/>
      </c>
      <c r="BK53" s="883" t="str">
        <v>N/A</v>
      </c>
      <c r="BL53" s="883" t="str">
        <v>N/A</v>
      </c>
      <c r="BM53" s="883" t="str">
        <v>N/A</v>
      </c>
      <c r="BN53" s="883" t="str">
        <v>N/A</v>
      </c>
      <c r="BO53" s="883" t="str">
        <v>N/A</v>
      </c>
      <c r="BP53" s="883" t="str">
        <v>N/A</v>
      </c>
      <c r="BQ53" s="883" t="str">
        <v>N/A</v>
      </c>
      <c r="BR53" s="883" t="str">
        <v>N/A</v>
      </c>
      <c r="BS53" s="883" t="str">
        <v>N/A</v>
      </c>
      <c r="BT53" s="883" t="str">
        <v/>
      </c>
      <c r="BU53" s="883" t="str">
        <v>129 - 169</v>
      </c>
      <c r="BV53" s="883" t="str">
        <v>129 - 169</v>
      </c>
      <c r="BW53" s="883" t="str">
        <v>129 - 169</v>
      </c>
      <c r="BX53" s="883" t="str">
        <v>129 - 169</v>
      </c>
      <c r="BY53" s="883" t="str">
        <v>129 - 169</v>
      </c>
      <c r="BZ53" s="883" t="str">
        <v>N/A</v>
      </c>
      <c r="CA53" s="883" t="str">
        <v>N/A</v>
      </c>
      <c r="CB53" s="883" t="str">
        <v>129 - 148</v>
      </c>
      <c r="CC53" s="883" t="str">
        <v>N/A</v>
      </c>
      <c r="CD53" s="883" t="str">
        <v>129 - 148</v>
      </c>
      <c r="CE53" s="883" t="str">
        <v>N/A</v>
      </c>
      <c r="CF53" s="883" t="str">
        <v>N/A</v>
      </c>
      <c r="CG53" s="883" t="str">
        <v>N/A</v>
      </c>
      <c r="CH53" s="883" t="str">
        <v>N/A</v>
      </c>
      <c r="CI53" s="883" t="str">
        <v>N/A</v>
      </c>
      <c r="CJ53" s="883" t="str">
        <v>N/A</v>
      </c>
      <c r="CK53" s="883" t="str">
        <v>N/A</v>
      </c>
      <c r="CL53" s="883" t="str">
        <v>N/A</v>
      </c>
      <c r="CM53" s="883" t="str">
        <v>N/A</v>
      </c>
      <c r="CN53" s="883" t="str">
        <v>N/A</v>
      </c>
      <c r="CO53" s="883" t="str">
        <v>N/A</v>
      </c>
      <c r="CP53" s="883" t="str">
        <v>N/A</v>
      </c>
      <c r="CQ53" s="883" t="str">
        <v>N/A</v>
      </c>
      <c r="CR53" s="883" t="str">
        <v>N/A</v>
      </c>
      <c r="CS53" s="883" t="str">
        <v>N/A</v>
      </c>
      <c r="CT53" s="883" t="str">
        <v>N/A</v>
      </c>
      <c r="CU53" s="883" t="str">
        <v>N/A</v>
      </c>
      <c r="CV53" s="883" t="str">
        <v>N/A</v>
      </c>
      <c r="CW53" s="883" t="str">
        <v>N/A</v>
      </c>
      <c r="CX53" s="883" t="str">
        <v>N/A</v>
      </c>
      <c r="CY53" s="882" t="str">
        <v>N/A</v>
      </c>
      <c r="CZ53" s="883" t="str">
        <v>129 - 148</v>
      </c>
      <c r="DA53" s="883" t="str">
        <v>129 - 148</v>
      </c>
      <c r="DB53" s="883" t="str">
        <v>138 - 157</v>
      </c>
      <c r="DC53" s="883" t="str">
        <v>129 - 169</v>
      </c>
      <c r="DD53" s="883" t="str">
        <v>129 - 148</v>
      </c>
      <c r="DE53" s="883" t="str">
        <v>129 - 148</v>
      </c>
      <c r="DF53" s="883" t="str">
        <v>129 - 148</v>
      </c>
      <c r="DG53" s="883" t="str">
        <v>129 - 148</v>
      </c>
      <c r="DH53" s="883" t="str">
        <v>129 - 148</v>
      </c>
      <c r="DI53" s="883" t="str">
        <v>129 - 148</v>
      </c>
      <c r="DJ53" s="883" t="str">
        <v>129 - 148</v>
      </c>
      <c r="DK53" s="883" t="str">
        <v>129 - 148</v>
      </c>
      <c r="DL53" s="883" t="str">
        <v>129 - 148</v>
      </c>
      <c r="DM53" s="883" t="str">
        <v>129 - 148</v>
      </c>
      <c r="DN53" s="883" t="str">
        <v>138 - 157</v>
      </c>
      <c r="DO53" s="883" t="str">
        <v>138 - 157</v>
      </c>
      <c r="DP53" s="883" t="str">
        <v>129 - 169</v>
      </c>
      <c r="DQ53" s="883" t="str">
        <v>129 - 169</v>
      </c>
      <c r="DR53" s="883" t="str">
        <v>129 - 169</v>
      </c>
      <c r="DS53" s="883" t="str">
        <v>157 - 169</v>
      </c>
      <c r="DT53" s="883" t="str">
        <v>173 - 180</v>
      </c>
      <c r="DU53" s="883" t="str">
        <v>173 - 180</v>
      </c>
      <c r="DV53" s="883" t="str">
        <v>173 - 180</v>
      </c>
      <c r="DW53" s="883" t="str">
        <v>173 - 180</v>
      </c>
      <c r="DX53" s="883" t="str">
        <v>157 - 169</v>
      </c>
      <c r="DY53" s="883" t="str">
        <v>173 - 180</v>
      </c>
      <c r="DZ53" s="883" t="str">
        <v>173 - 180</v>
      </c>
      <c r="EA53" s="883" t="str">
        <v>173 - 180</v>
      </c>
      <c r="EB53" s="883" t="str">
        <v>173 - 180</v>
      </c>
      <c r="EC53" s="883" t="str">
        <v>138 - 188</v>
      </c>
      <c r="ED53" s="883" t="str">
        <v>138 - 188</v>
      </c>
      <c r="EE53" s="883" t="str">
        <v>138 - 188</v>
      </c>
      <c r="EF53" s="883" t="str">
        <v>138 - 188</v>
      </c>
      <c r="EG53" s="883" t="str">
        <v/>
      </c>
      <c r="EH53" s="883" t="str">
        <v/>
      </c>
      <c r="EI53" s="883" t="str">
        <v/>
      </c>
      <c r="EJ53" s="883" t="str">
        <v/>
      </c>
      <c r="EK53" s="883" t="str">
        <v/>
      </c>
      <c r="EL53" s="883" t="str">
        <v/>
      </c>
      <c r="EM53" s="883" t="str">
        <v/>
      </c>
      <c r="EN53" s="883" t="str">
        <v/>
      </c>
      <c r="EO53" s="883" t="str">
        <v/>
      </c>
      <c r="EP53" s="883" t="str">
        <v/>
      </c>
      <c r="EQ53" s="883" t="str">
        <v/>
      </c>
      <c r="ER53" s="883" t="str">
        <v/>
      </c>
      <c r="ES53" s="883" t="str">
        <v/>
      </c>
      <c r="ET53" s="883" t="str">
        <v/>
      </c>
      <c r="EU53" s="883" t="str">
        <v/>
      </c>
      <c r="EV53" s="883" t="str">
        <v/>
      </c>
      <c r="EW53" s="883" t="str">
        <v/>
      </c>
      <c r="EX53" s="883" t="str">
        <v/>
      </c>
      <c r="EY53" s="883" t="str">
        <v/>
      </c>
      <c r="EZ53" s="883" t="str">
        <v/>
      </c>
      <c r="FA53" s="883" t="str">
        <v/>
      </c>
      <c r="FB53" s="883" t="str">
        <v/>
      </c>
      <c r="FC53" s="883" t="str">
        <v/>
      </c>
      <c r="FD53" s="883" t="str">
        <v/>
      </c>
      <c r="FE53" s="883" t="str">
        <v/>
      </c>
      <c r="FF53" s="883" t="str">
        <v/>
      </c>
      <c r="FG53" s="883" t="str">
        <v>N/A</v>
      </c>
      <c r="FH53" s="883" t="str">
        <v>N/A</v>
      </c>
      <c r="FI53" s="883" t="str">
        <v>N/A</v>
      </c>
      <c r="FJ53" s="883" t="str">
        <v>N/A</v>
      </c>
      <c r="FK53" s="883" t="str">
        <v>N/A</v>
      </c>
      <c r="FL53" s="883" t="str">
        <v>N/A</v>
      </c>
      <c r="FM53" s="883" t="str">
        <v>N/A</v>
      </c>
      <c r="FN53" s="883" t="str">
        <v>N/A</v>
      </c>
      <c r="FO53" s="883" t="str">
        <v>N/A</v>
      </c>
      <c r="FP53" s="883" t="str">
        <v>N/A</v>
      </c>
      <c r="FQ53" s="883" t="str">
        <v/>
      </c>
      <c r="FR53" s="883" t="str">
        <v/>
      </c>
      <c r="FS53" s="883" t="str">
        <v/>
      </c>
      <c r="FT53" s="883" t="str">
        <v/>
      </c>
      <c r="FU53" s="883" t="str">
        <v/>
      </c>
      <c r="FV53" s="883" t="str">
        <v/>
      </c>
      <c r="FW53" s="883" t="str">
        <v/>
      </c>
      <c r="FX53" s="883" t="str">
        <v/>
      </c>
      <c r="FY53" s="883" t="str">
        <v/>
      </c>
      <c r="FZ53" s="883" t="str">
        <v/>
      </c>
      <c r="GA53" s="883" t="str">
        <v>N/A</v>
      </c>
      <c r="GB53" s="883" t="str">
        <v>N/A</v>
      </c>
      <c r="GC53" s="883" t="str">
        <v>N/A</v>
      </c>
      <c r="GD53" s="883" t="str">
        <v>N/A</v>
      </c>
      <c r="GE53" s="883" t="str">
        <v>N/A</v>
      </c>
      <c r="GF53" s="883" t="str">
        <v>N/A</v>
      </c>
      <c r="GG53" s="883" t="str">
        <v>N/A</v>
      </c>
      <c r="GH53" s="883" t="str">
        <v>N/A</v>
      </c>
      <c r="GI53" s="883" t="str">
        <v>N/A</v>
      </c>
      <c r="GJ53" s="883" t="str">
        <v>N/A</v>
      </c>
      <c r="GK53" s="883" t="str">
        <v>N/A</v>
      </c>
      <c r="GL53" s="883" t="str">
        <v>N/A</v>
      </c>
      <c r="GM53" s="883" t="str">
        <v>N/A</v>
      </c>
      <c r="GN53" s="883" t="str">
        <v>N/A</v>
      </c>
      <c r="GO53" s="883" t="str">
        <v>N/A</v>
      </c>
      <c r="GP53" s="883" t="str">
        <v/>
      </c>
      <c r="GQ53" s="883" t="str">
        <v/>
      </c>
      <c r="GR53" s="883" t="str">
        <v/>
      </c>
      <c r="GS53" s="883" t="str">
        <v/>
      </c>
      <c r="GT53" s="883" t="str">
        <v/>
      </c>
      <c r="GU53" s="883" t="str">
        <v>N/A</v>
      </c>
      <c r="GV53" s="883" t="str">
        <v>129 - 148</v>
      </c>
      <c r="GW53" s="883" t="str">
        <v>129 - 148</v>
      </c>
      <c r="GX53" s="883" t="str">
        <v>138 - 157</v>
      </c>
      <c r="GY53" s="883" t="str">
        <v>129 - 169</v>
      </c>
      <c r="GZ53" s="883" t="str">
        <v/>
      </c>
      <c r="HA53" s="883" t="str">
        <v/>
      </c>
      <c r="HB53" s="883" t="str">
        <v>129 - 148</v>
      </c>
      <c r="HC53" s="883" t="str">
        <v>129 - 148</v>
      </c>
      <c r="HD53" s="883" t="str">
        <v>129 - 148</v>
      </c>
      <c r="HE53" s="883" t="str">
        <v>129 - 148</v>
      </c>
      <c r="HF53" s="883" t="str">
        <v>129 - 148</v>
      </c>
      <c r="HG53" s="883" t="str">
        <v>129 - 148</v>
      </c>
      <c r="HH53" s="883" t="str">
        <v>129 - 148</v>
      </c>
      <c r="HI53" s="883" t="str">
        <v>129 - 148</v>
      </c>
      <c r="HJ53" s="883" t="str">
        <v>138 - 157</v>
      </c>
      <c r="HK53" s="883" t="str">
        <v>138 - 157</v>
      </c>
      <c r="HL53" s="883" t="str">
        <v>129 - 169</v>
      </c>
      <c r="HM53" s="883" t="str">
        <v>129 - 169</v>
      </c>
      <c r="HN53" s="883" t="str">
        <v>129 - 169</v>
      </c>
      <c r="HO53" s="883" t="str">
        <v>N/A</v>
      </c>
      <c r="HP53" s="883" t="str">
        <v>129 - 148</v>
      </c>
      <c r="HQ53" s="883" t="str">
        <v>129 - 148</v>
      </c>
      <c r="HR53" s="883" t="str">
        <v>138 - 157</v>
      </c>
      <c r="HS53" s="883" t="str">
        <v>129 - 169</v>
      </c>
      <c r="HT53" s="883" t="str">
        <v/>
      </c>
      <c r="HU53" s="883" t="str">
        <v/>
      </c>
      <c r="HV53" s="883" t="str">
        <v>129 - 148</v>
      </c>
      <c r="HW53" s="883" t="str">
        <v>129 - 148</v>
      </c>
      <c r="HX53" s="883" t="str">
        <v>129 - 148</v>
      </c>
      <c r="HY53" s="883" t="str">
        <v>129 - 148</v>
      </c>
      <c r="HZ53" s="883" t="str">
        <v>129 - 148</v>
      </c>
      <c r="IA53" s="883" t="str">
        <v>129 - 148</v>
      </c>
      <c r="IB53" s="883" t="str">
        <v>129 - 148</v>
      </c>
      <c r="IC53" s="883" t="str">
        <v>129 - 148</v>
      </c>
      <c r="ID53" s="883" t="str">
        <v>138 - 157</v>
      </c>
      <c r="IE53" s="883" t="str">
        <v>138 - 157</v>
      </c>
      <c r="IF53" s="883" t="str">
        <v>129 - 169</v>
      </c>
      <c r="IG53" s="883" t="str">
        <v>129 - 169</v>
      </c>
      <c r="IH53" s="883" t="str">
        <v>129 - 169</v>
      </c>
      <c r="II53" s="883" t="str">
        <v>129 - 148</v>
      </c>
      <c r="IJ53" s="883" t="str">
        <v/>
      </c>
      <c r="IK53" s="883" t="str">
        <v/>
      </c>
      <c r="IL53" s="883" t="str">
        <v/>
      </c>
      <c r="IM53" s="883" t="str">
        <v/>
      </c>
      <c r="IN53" s="883" t="str">
        <v/>
      </c>
      <c r="IO53" s="883" t="str">
        <v/>
      </c>
      <c r="IP53" s="883" t="str">
        <v/>
      </c>
      <c r="IQ53" s="883" t="str">
        <v/>
      </c>
      <c r="IR53" s="883" t="str">
        <v/>
      </c>
      <c r="IS53" s="883" t="str">
        <v>N/A</v>
      </c>
      <c r="IT53" s="883" t="str">
        <v>129 - 169</v>
      </c>
      <c r="IU53" s="883" t="str">
        <v>129 - 169</v>
      </c>
      <c r="IV53" s="883" t="str">
        <v>129 - 169</v>
      </c>
      <c r="IW53" s="883" t="str">
        <v>129 - 169</v>
      </c>
      <c r="IX53" s="883" t="str">
        <v>129 - 169</v>
      </c>
      <c r="IY53" s="883" t="str">
        <v>129 - 169</v>
      </c>
      <c r="IZ53" s="883" t="str">
        <v>129 - 148</v>
      </c>
      <c r="JA53" s="883" t="str">
        <v/>
      </c>
      <c r="JB53" s="883" t="str">
        <v/>
      </c>
      <c r="JC53" s="883" t="str">
        <v/>
      </c>
      <c r="JD53" s="883" t="str">
        <v/>
      </c>
      <c r="JE53" s="883" t="str">
        <v/>
      </c>
      <c r="JF53" s="883" t="str">
        <v/>
      </c>
      <c r="JG53" s="883" t="str">
        <v/>
      </c>
      <c r="JH53" s="883" t="str">
        <v/>
      </c>
      <c r="JI53" s="883" t="str">
        <v/>
      </c>
      <c r="JJ53" s="883" t="str">
        <v/>
      </c>
      <c r="JK53" s="883" t="str">
        <v/>
      </c>
      <c r="JL53" s="883" t="str">
        <v/>
      </c>
      <c r="JM53" s="883" t="str">
        <v/>
      </c>
      <c r="JN53" s="883" t="str">
        <v/>
      </c>
      <c r="JO53" s="883" t="str">
        <v/>
      </c>
      <c r="JP53" s="883" t="str">
        <v/>
      </c>
      <c r="JQ53" s="883" t="str">
        <v/>
      </c>
      <c r="JR53" s="883" t="str">
        <v/>
      </c>
      <c r="JS53" s="883" t="str">
        <v/>
      </c>
      <c r="JT53" s="883" t="str">
        <v/>
      </c>
      <c r="JU53" s="883" t="str">
        <v/>
      </c>
      <c r="JV53" s="883" t="str">
        <v/>
      </c>
      <c r="JW53" s="883" t="str">
        <v>N/A</v>
      </c>
      <c r="JX53" s="883" t="str">
        <v>N/A</v>
      </c>
      <c r="JY53" s="883" t="str">
        <v>N/A</v>
      </c>
      <c r="JZ53" s="883" t="str">
        <v>N/A</v>
      </c>
      <c r="KA53" s="883" t="str">
        <v>N/A</v>
      </c>
      <c r="KB53" s="883" t="str">
        <v>N/A</v>
      </c>
      <c r="KC53" s="883" t="str">
        <v>N/A</v>
      </c>
      <c r="KD53" s="883" t="str">
        <v>N/A</v>
      </c>
      <c r="KE53" s="883" t="str">
        <v>N/A</v>
      </c>
      <c r="KF53" s="883" t="str">
        <v>N/A</v>
      </c>
      <c r="KG53" s="883" t="str">
        <v>N/A</v>
      </c>
      <c r="KH53" s="883" t="str">
        <v>N/A</v>
      </c>
      <c r="KI53" s="883" t="str">
        <v>N/A</v>
      </c>
      <c r="KJ53" s="883" t="str">
        <v>N/A</v>
      </c>
      <c r="KK53" s="883" t="str">
        <v>N/A</v>
      </c>
      <c r="KL53" s="883" t="str">
        <v/>
      </c>
      <c r="KM53" s="883" t="str">
        <v/>
      </c>
      <c r="KN53" s="883" t="str">
        <v/>
      </c>
      <c r="KO53" s="883" t="str">
        <v/>
      </c>
      <c r="KP53" s="907" t="str">
        <v/>
      </c>
      <c r="KQ53" s="700" t="s">
        <v>388</v>
      </c>
    </row>
    <row r="54" spans="1:303" s="188" customFormat="1" hidden="1" x14ac:dyDescent="0.45">
      <c r="A54" s="1766"/>
      <c r="B54" s="145" t="s">
        <v>307</v>
      </c>
      <c r="C54" s="203" t="str">
        <v/>
      </c>
      <c r="D54" s="204" t="str">
        <v/>
      </c>
      <c r="E54" s="204" t="str">
        <v/>
      </c>
      <c r="F54" s="204" t="str">
        <v/>
      </c>
      <c r="G54" s="204" t="str">
        <v/>
      </c>
      <c r="H54" s="204" t="str">
        <v/>
      </c>
      <c r="I54" s="204" t="str">
        <v/>
      </c>
      <c r="J54" s="204" t="str">
        <v/>
      </c>
      <c r="K54" s="204" t="str">
        <v>138 - 157</v>
      </c>
      <c r="L54" s="204" t="str">
        <v>138 - 157</v>
      </c>
      <c r="M54" s="204" t="str">
        <v>138 - 157</v>
      </c>
      <c r="N54" s="204" t="str">
        <v/>
      </c>
      <c r="O54" s="204" t="str">
        <v/>
      </c>
      <c r="P54" s="204" t="str">
        <v/>
      </c>
      <c r="Q54" s="204" t="str">
        <v/>
      </c>
      <c r="R54" s="204" t="str">
        <v/>
      </c>
      <c r="S54" s="204" t="str">
        <v/>
      </c>
      <c r="T54" s="204" t="str">
        <v/>
      </c>
      <c r="U54" s="204" t="str">
        <v/>
      </c>
      <c r="V54" s="204" t="str">
        <v/>
      </c>
      <c r="W54" s="204" t="str">
        <v/>
      </c>
      <c r="X54" s="204" t="str">
        <v/>
      </c>
      <c r="Y54" s="204" t="str">
        <v/>
      </c>
      <c r="Z54" s="204" t="str">
        <v/>
      </c>
      <c r="AA54" s="204" t="str">
        <v/>
      </c>
      <c r="AB54" s="204" t="str">
        <v>129 - 148</v>
      </c>
      <c r="AC54" s="204" t="str">
        <v>129 - 148</v>
      </c>
      <c r="AD54" s="204" t="str">
        <v>129 - 148</v>
      </c>
      <c r="AE54" s="204" t="str">
        <v>129 - 148</v>
      </c>
      <c r="AF54" s="204" t="str">
        <v>129 - 148</v>
      </c>
      <c r="AG54" s="204" t="str">
        <v/>
      </c>
      <c r="AH54" s="204" t="str">
        <v/>
      </c>
      <c r="AI54" s="204" t="str">
        <v/>
      </c>
      <c r="AJ54" s="204" t="str">
        <v/>
      </c>
      <c r="AK54" s="204" t="str">
        <v/>
      </c>
      <c r="AL54" s="204" t="str">
        <v/>
      </c>
      <c r="AM54" s="204" t="str">
        <v/>
      </c>
      <c r="AN54" s="204" t="str">
        <v/>
      </c>
      <c r="AO54" s="204" t="str">
        <v/>
      </c>
      <c r="AP54" s="204" t="str">
        <v/>
      </c>
      <c r="AQ54" s="204" t="str">
        <v/>
      </c>
      <c r="AR54" s="204" t="str">
        <v/>
      </c>
      <c r="AS54" s="204" t="str">
        <v/>
      </c>
      <c r="AT54" s="204" t="str">
        <v/>
      </c>
      <c r="AU54" s="204" t="str">
        <v/>
      </c>
      <c r="AV54" s="204" t="str">
        <v/>
      </c>
      <c r="AW54" s="204" t="str">
        <v/>
      </c>
      <c r="AX54" s="204" t="str">
        <v/>
      </c>
      <c r="AY54" s="204" t="str">
        <v/>
      </c>
      <c r="AZ54" s="204" t="str">
        <v/>
      </c>
      <c r="BA54" s="204" t="str">
        <v/>
      </c>
      <c r="BB54" s="204" t="str">
        <v/>
      </c>
      <c r="BC54" s="204" t="str">
        <v/>
      </c>
      <c r="BD54" s="204" t="str">
        <v/>
      </c>
      <c r="BE54" s="204" t="str">
        <v/>
      </c>
      <c r="BF54" s="204" t="str">
        <v/>
      </c>
      <c r="BG54" s="204" t="str">
        <v/>
      </c>
      <c r="BH54" s="204" t="str">
        <v/>
      </c>
      <c r="BI54" s="204" t="str">
        <v/>
      </c>
      <c r="BJ54" s="204" t="str">
        <v/>
      </c>
      <c r="BK54" s="204" t="str">
        <v>129 - 148</v>
      </c>
      <c r="BL54" s="204" t="str">
        <v>129 - 148</v>
      </c>
      <c r="BM54" s="204" t="str">
        <v>129 - 148</v>
      </c>
      <c r="BN54" s="204" t="str">
        <v>129 - 148</v>
      </c>
      <c r="BO54" s="204" t="str">
        <v>129 - 148</v>
      </c>
      <c r="BP54" s="204" t="str">
        <v>129 - 148</v>
      </c>
      <c r="BQ54" s="204" t="str">
        <v>129 - 148</v>
      </c>
      <c r="BR54" s="204" t="str">
        <v>129 - 148</v>
      </c>
      <c r="BS54" s="204" t="str">
        <v>129 - 148</v>
      </c>
      <c r="BT54" s="204" t="str">
        <v/>
      </c>
      <c r="BU54" s="204" t="str">
        <v/>
      </c>
      <c r="BV54" s="204" t="str">
        <v>138 - 157</v>
      </c>
      <c r="BW54" s="204" t="str">
        <v>N/A</v>
      </c>
      <c r="BX54" s="204" t="str">
        <v>129 - 148</v>
      </c>
      <c r="BY54" s="204" t="str">
        <v>N/A</v>
      </c>
      <c r="BZ54" s="204" t="str">
        <v/>
      </c>
      <c r="CA54" s="204" t="str">
        <v>N/A</v>
      </c>
      <c r="CB54" s="204" t="str">
        <v>N/A</v>
      </c>
      <c r="CC54" s="204" t="str">
        <v/>
      </c>
      <c r="CD54" s="204" t="str">
        <v>N/A</v>
      </c>
      <c r="CE54" s="204" t="str">
        <v/>
      </c>
      <c r="CF54" s="204" t="str">
        <v/>
      </c>
      <c r="CG54" s="204" t="str">
        <v/>
      </c>
      <c r="CH54" s="204" t="str">
        <v/>
      </c>
      <c r="CI54" s="204" t="str">
        <v/>
      </c>
      <c r="CJ54" s="204" t="str">
        <v/>
      </c>
      <c r="CK54" s="204" t="str">
        <v/>
      </c>
      <c r="CL54" s="204" t="str">
        <v/>
      </c>
      <c r="CM54" s="204" t="str">
        <v/>
      </c>
      <c r="CN54" s="204" t="str">
        <v/>
      </c>
      <c r="CO54" s="204" t="str">
        <v/>
      </c>
      <c r="CP54" s="204" t="str">
        <v/>
      </c>
      <c r="CQ54" s="204" t="str">
        <v/>
      </c>
      <c r="CR54" s="204" t="str">
        <v/>
      </c>
      <c r="CS54" s="204" t="str">
        <v/>
      </c>
      <c r="CT54" s="204" t="str">
        <v/>
      </c>
      <c r="CU54" s="204" t="str">
        <v/>
      </c>
      <c r="CV54" s="204" t="str">
        <v/>
      </c>
      <c r="CW54" s="204" t="str">
        <v/>
      </c>
      <c r="CX54" s="204" t="str">
        <v/>
      </c>
      <c r="CY54" s="203" t="str">
        <v/>
      </c>
      <c r="CZ54" s="204" t="str">
        <v/>
      </c>
      <c r="DA54" s="204" t="str">
        <v/>
      </c>
      <c r="DB54" s="204" t="str">
        <v/>
      </c>
      <c r="DC54" s="204" t="str">
        <v/>
      </c>
      <c r="DD54" s="204" t="str">
        <v/>
      </c>
      <c r="DE54" s="204" t="str">
        <v/>
      </c>
      <c r="DF54" s="204" t="str">
        <v/>
      </c>
      <c r="DG54" s="204" t="str">
        <v/>
      </c>
      <c r="DH54" s="204" t="str">
        <v/>
      </c>
      <c r="DI54" s="204" t="str">
        <v/>
      </c>
      <c r="DJ54" s="204" t="str">
        <v/>
      </c>
      <c r="DK54" s="204" t="str">
        <v/>
      </c>
      <c r="DL54" s="204" t="str">
        <v/>
      </c>
      <c r="DM54" s="204" t="str">
        <v/>
      </c>
      <c r="DN54" s="204" t="str">
        <v/>
      </c>
      <c r="DO54" s="204" t="str">
        <v/>
      </c>
      <c r="DP54" s="204" t="str">
        <v/>
      </c>
      <c r="DQ54" s="204" t="str">
        <v/>
      </c>
      <c r="DR54" s="204" t="str">
        <v/>
      </c>
      <c r="DS54" s="204" t="str">
        <v/>
      </c>
      <c r="DT54" s="204" t="str">
        <v/>
      </c>
      <c r="DU54" s="204" t="str">
        <v/>
      </c>
      <c r="DV54" s="204" t="str">
        <v/>
      </c>
      <c r="DW54" s="204" t="str">
        <v/>
      </c>
      <c r="DX54" s="204" t="str">
        <v>129 - 148</v>
      </c>
      <c r="DY54" s="204" t="str">
        <v>129 - 148</v>
      </c>
      <c r="DZ54" s="204" t="str">
        <v>129 - 148</v>
      </c>
      <c r="EA54" s="204" t="str">
        <v>129 - 148</v>
      </c>
      <c r="EB54" s="204" t="str">
        <v>129 - 148</v>
      </c>
      <c r="EC54" s="204" t="str">
        <v/>
      </c>
      <c r="ED54" s="204" t="str">
        <v/>
      </c>
      <c r="EE54" s="204" t="str">
        <v/>
      </c>
      <c r="EF54" s="204" t="str">
        <v/>
      </c>
      <c r="EG54" s="204" t="str">
        <v/>
      </c>
      <c r="EH54" s="204" t="str">
        <v/>
      </c>
      <c r="EI54" s="204" t="str">
        <v/>
      </c>
      <c r="EJ54" s="204" t="str">
        <v/>
      </c>
      <c r="EK54" s="204" t="str">
        <v/>
      </c>
      <c r="EL54" s="204" t="str">
        <v/>
      </c>
      <c r="EM54" s="204" t="str">
        <v/>
      </c>
      <c r="EN54" s="204" t="str">
        <v/>
      </c>
      <c r="EO54" s="204" t="str">
        <v/>
      </c>
      <c r="EP54" s="204" t="str">
        <v/>
      </c>
      <c r="EQ54" s="204" t="str">
        <v/>
      </c>
      <c r="ER54" s="204" t="str">
        <v/>
      </c>
      <c r="ES54" s="204" t="str">
        <v/>
      </c>
      <c r="ET54" s="204" t="str">
        <v/>
      </c>
      <c r="EU54" s="204" t="str">
        <v/>
      </c>
      <c r="EV54" s="204" t="str">
        <v/>
      </c>
      <c r="EW54" s="204" t="str">
        <v/>
      </c>
      <c r="EX54" s="204" t="str">
        <v/>
      </c>
      <c r="EY54" s="204" t="str">
        <v/>
      </c>
      <c r="EZ54" s="204" t="str">
        <v/>
      </c>
      <c r="FA54" s="204" t="str">
        <v/>
      </c>
      <c r="FB54" s="204" t="str">
        <v/>
      </c>
      <c r="FC54" s="204" t="str">
        <v/>
      </c>
      <c r="FD54" s="204" t="str">
        <v/>
      </c>
      <c r="FE54" s="204" t="str">
        <v/>
      </c>
      <c r="FF54" s="204" t="str">
        <v/>
      </c>
      <c r="FG54" s="204" t="str">
        <v/>
      </c>
      <c r="FH54" s="204" t="str">
        <v/>
      </c>
      <c r="FI54" s="204" t="str">
        <v/>
      </c>
      <c r="FJ54" s="204" t="str">
        <v/>
      </c>
      <c r="FK54" s="204" t="str">
        <v/>
      </c>
      <c r="FL54" s="204" t="str">
        <v/>
      </c>
      <c r="FM54" s="204" t="str">
        <v/>
      </c>
      <c r="FN54" s="204" t="str">
        <v>138 - 157</v>
      </c>
      <c r="FO54" s="204" t="str">
        <v/>
      </c>
      <c r="FP54" s="204" t="str">
        <v/>
      </c>
      <c r="FQ54" s="204" t="str">
        <v/>
      </c>
      <c r="FR54" s="204" t="str">
        <v/>
      </c>
      <c r="FS54" s="204" t="str">
        <v/>
      </c>
      <c r="FT54" s="204" t="str">
        <v/>
      </c>
      <c r="FU54" s="204" t="str">
        <v/>
      </c>
      <c r="FV54" s="204" t="str">
        <v/>
      </c>
      <c r="FW54" s="204" t="str">
        <v/>
      </c>
      <c r="FX54" s="204" t="str">
        <v/>
      </c>
      <c r="FY54" s="204" t="str">
        <v/>
      </c>
      <c r="FZ54" s="204" t="str">
        <v/>
      </c>
      <c r="GA54" s="204" t="str">
        <v/>
      </c>
      <c r="GB54" s="204" t="str">
        <v/>
      </c>
      <c r="GC54" s="204" t="str">
        <v/>
      </c>
      <c r="GD54" s="204" t="str">
        <v/>
      </c>
      <c r="GE54" s="204" t="str">
        <v/>
      </c>
      <c r="GF54" s="204" t="str">
        <v/>
      </c>
      <c r="GG54" s="204" t="str">
        <v/>
      </c>
      <c r="GH54" s="204" t="str">
        <v/>
      </c>
      <c r="GI54" s="204" t="str">
        <v/>
      </c>
      <c r="GJ54" s="204" t="str">
        <v/>
      </c>
      <c r="GK54" s="204" t="str">
        <v/>
      </c>
      <c r="GL54" s="204" t="str">
        <v/>
      </c>
      <c r="GM54" s="204" t="str">
        <v/>
      </c>
      <c r="GN54" s="204" t="str">
        <v/>
      </c>
      <c r="GO54" s="204" t="str">
        <v/>
      </c>
      <c r="GP54" s="204" t="str">
        <v/>
      </c>
      <c r="GQ54" s="204" t="str">
        <v/>
      </c>
      <c r="GR54" s="204" t="str">
        <v/>
      </c>
      <c r="GS54" s="204" t="str">
        <v/>
      </c>
      <c r="GT54" s="204" t="str">
        <v/>
      </c>
      <c r="GU54" s="204" t="str">
        <v/>
      </c>
      <c r="GV54" s="204" t="str">
        <v/>
      </c>
      <c r="GW54" s="204" t="str">
        <v/>
      </c>
      <c r="GX54" s="204" t="str">
        <v/>
      </c>
      <c r="GY54" s="204" t="str">
        <v/>
      </c>
      <c r="GZ54" s="204" t="str">
        <v/>
      </c>
      <c r="HA54" s="204" t="str">
        <v/>
      </c>
      <c r="HB54" s="204" t="str">
        <v/>
      </c>
      <c r="HC54" s="204" t="str">
        <v/>
      </c>
      <c r="HD54" s="204" t="str">
        <v/>
      </c>
      <c r="HE54" s="204" t="str">
        <v/>
      </c>
      <c r="HF54" s="204" t="str">
        <v/>
      </c>
      <c r="HG54" s="204" t="str">
        <v/>
      </c>
      <c r="HH54" s="204" t="str">
        <v/>
      </c>
      <c r="HI54" s="204" t="str">
        <v/>
      </c>
      <c r="HJ54" s="204" t="str">
        <v/>
      </c>
      <c r="HK54" s="204" t="str">
        <v/>
      </c>
      <c r="HL54" s="204" t="str">
        <v/>
      </c>
      <c r="HM54" s="204" t="str">
        <v/>
      </c>
      <c r="HN54" s="204" t="str">
        <v/>
      </c>
      <c r="HO54" s="204" t="str">
        <v/>
      </c>
      <c r="HP54" s="204" t="str">
        <v/>
      </c>
      <c r="HQ54" s="204" t="str">
        <v/>
      </c>
      <c r="HR54" s="204" t="str">
        <v/>
      </c>
      <c r="HS54" s="204" t="str">
        <v/>
      </c>
      <c r="HT54" s="204" t="str">
        <v/>
      </c>
      <c r="HU54" s="204" t="str">
        <v/>
      </c>
      <c r="HV54" s="204" t="str">
        <v/>
      </c>
      <c r="HW54" s="204" t="str">
        <v/>
      </c>
      <c r="HX54" s="204" t="str">
        <v/>
      </c>
      <c r="HY54" s="204" t="str">
        <v/>
      </c>
      <c r="HZ54" s="204" t="str">
        <v/>
      </c>
      <c r="IA54" s="204" t="str">
        <v/>
      </c>
      <c r="IB54" s="204" t="str">
        <v/>
      </c>
      <c r="IC54" s="204" t="str">
        <v/>
      </c>
      <c r="ID54" s="204" t="str">
        <v/>
      </c>
      <c r="IE54" s="204" t="str">
        <v/>
      </c>
      <c r="IF54" s="204" t="str">
        <v/>
      </c>
      <c r="IG54" s="204" t="str">
        <v/>
      </c>
      <c r="IH54" s="204" t="str">
        <v/>
      </c>
      <c r="II54" s="204" t="str">
        <v/>
      </c>
      <c r="IJ54" s="204" t="str">
        <v/>
      </c>
      <c r="IK54" s="204" t="str">
        <v/>
      </c>
      <c r="IL54" s="204" t="str">
        <v/>
      </c>
      <c r="IM54" s="204" t="str">
        <v/>
      </c>
      <c r="IN54" s="204" t="str">
        <v/>
      </c>
      <c r="IO54" s="204" t="str">
        <v/>
      </c>
      <c r="IP54" s="204" t="str">
        <v/>
      </c>
      <c r="IQ54" s="204" t="str">
        <v/>
      </c>
      <c r="IR54" s="204" t="str">
        <v/>
      </c>
      <c r="IS54" s="204" t="str">
        <v/>
      </c>
      <c r="IT54" s="204" t="str">
        <v/>
      </c>
      <c r="IU54" s="204" t="str">
        <v/>
      </c>
      <c r="IV54" s="204" t="str">
        <v/>
      </c>
      <c r="IW54" s="204" t="str">
        <v/>
      </c>
      <c r="IX54" s="204" t="str">
        <v/>
      </c>
      <c r="IY54" s="204" t="str">
        <v/>
      </c>
      <c r="IZ54" s="204" t="str">
        <v/>
      </c>
      <c r="JA54" s="204" t="str">
        <v/>
      </c>
      <c r="JB54" s="204" t="str">
        <v/>
      </c>
      <c r="JC54" s="204" t="str">
        <v/>
      </c>
      <c r="JD54" s="204" t="str">
        <v/>
      </c>
      <c r="JE54" s="204" t="str">
        <v/>
      </c>
      <c r="JF54" s="204" t="str">
        <v/>
      </c>
      <c r="JG54" s="204" t="str">
        <v/>
      </c>
      <c r="JH54" s="204" t="str">
        <v/>
      </c>
      <c r="JI54" s="204" t="str">
        <v/>
      </c>
      <c r="JJ54" s="204" t="str">
        <v/>
      </c>
      <c r="JK54" s="204" t="str">
        <v/>
      </c>
      <c r="JL54" s="204" t="str">
        <v/>
      </c>
      <c r="JM54" s="204" t="str">
        <v/>
      </c>
      <c r="JN54" s="204" t="str">
        <v/>
      </c>
      <c r="JO54" s="204" t="str">
        <v/>
      </c>
      <c r="JP54" s="204" t="str">
        <v/>
      </c>
      <c r="JQ54" s="204" t="str">
        <v/>
      </c>
      <c r="JR54" s="204" t="str">
        <v/>
      </c>
      <c r="JS54" s="204" t="str">
        <v/>
      </c>
      <c r="JT54" s="204" t="str">
        <v/>
      </c>
      <c r="JU54" s="204" t="str">
        <v/>
      </c>
      <c r="JV54" s="204" t="str">
        <v/>
      </c>
      <c r="JW54" s="204" t="str">
        <v/>
      </c>
      <c r="JX54" s="204" t="str">
        <v/>
      </c>
      <c r="JY54" s="204" t="str">
        <v/>
      </c>
      <c r="JZ54" s="204" t="str">
        <v/>
      </c>
      <c r="KA54" s="204" t="str">
        <v/>
      </c>
      <c r="KB54" s="204" t="str">
        <v/>
      </c>
      <c r="KC54" s="204" t="str">
        <v/>
      </c>
      <c r="KD54" s="204" t="str">
        <v/>
      </c>
      <c r="KE54" s="204" t="str">
        <v/>
      </c>
      <c r="KF54" s="204" t="str">
        <v/>
      </c>
      <c r="KG54" s="204" t="str">
        <v/>
      </c>
      <c r="KH54" s="204" t="str">
        <v/>
      </c>
      <c r="KI54" s="204" t="str">
        <v/>
      </c>
      <c r="KJ54" s="204" t="str">
        <v/>
      </c>
      <c r="KK54" s="204" t="str">
        <v/>
      </c>
      <c r="KL54" s="204" t="str">
        <v/>
      </c>
      <c r="KM54" s="204" t="str">
        <v/>
      </c>
      <c r="KN54" s="204" t="str">
        <v/>
      </c>
      <c r="KO54" s="204" t="str">
        <v/>
      </c>
      <c r="KP54" s="910" t="str">
        <v/>
      </c>
      <c r="KQ54" s="700"/>
    </row>
    <row r="55" spans="1:303" s="188" customFormat="1" hidden="1" x14ac:dyDescent="0.45">
      <c r="A55" s="1767"/>
      <c r="B55" s="146" t="s">
        <v>308</v>
      </c>
      <c r="C55" s="888" t="str">
        <v/>
      </c>
      <c r="D55" s="889" t="str">
        <v/>
      </c>
      <c r="E55" s="889" t="str">
        <v/>
      </c>
      <c r="F55" s="889" t="str">
        <v/>
      </c>
      <c r="G55" s="889" t="str">
        <v/>
      </c>
      <c r="H55" s="889" t="str">
        <v/>
      </c>
      <c r="I55" s="889" t="str">
        <v/>
      </c>
      <c r="J55" s="889" t="str">
        <v/>
      </c>
      <c r="K55" s="889" t="str">
        <v/>
      </c>
      <c r="L55" s="889" t="str">
        <v/>
      </c>
      <c r="M55" s="889" t="str">
        <v/>
      </c>
      <c r="N55" s="889" t="str">
        <v/>
      </c>
      <c r="O55" s="889" t="str">
        <v/>
      </c>
      <c r="P55" s="889" t="str">
        <v/>
      </c>
      <c r="Q55" s="889" t="str">
        <v/>
      </c>
      <c r="R55" s="889" t="str">
        <v/>
      </c>
      <c r="S55" s="889" t="str">
        <v/>
      </c>
      <c r="T55" s="889" t="str">
        <v/>
      </c>
      <c r="U55" s="889" t="str">
        <v/>
      </c>
      <c r="V55" s="889" t="str">
        <v/>
      </c>
      <c r="W55" s="889" t="str">
        <v/>
      </c>
      <c r="X55" s="889" t="str">
        <v/>
      </c>
      <c r="Y55" s="889" t="str">
        <v/>
      </c>
      <c r="Z55" s="889" t="str">
        <v/>
      </c>
      <c r="AA55" s="889" t="str">
        <v/>
      </c>
      <c r="AB55" s="889" t="str">
        <v/>
      </c>
      <c r="AC55" s="889" t="str">
        <v/>
      </c>
      <c r="AD55" s="889" t="str">
        <v/>
      </c>
      <c r="AE55" s="889" t="str">
        <v/>
      </c>
      <c r="AF55" s="889" t="str">
        <v/>
      </c>
      <c r="AG55" s="889" t="str">
        <v/>
      </c>
      <c r="AH55" s="889" t="str">
        <v/>
      </c>
      <c r="AI55" s="889" t="str">
        <v/>
      </c>
      <c r="AJ55" s="889" t="str">
        <v/>
      </c>
      <c r="AK55" s="889" t="str">
        <v/>
      </c>
      <c r="AL55" s="889" t="str">
        <v/>
      </c>
      <c r="AM55" s="889" t="str">
        <v/>
      </c>
      <c r="AN55" s="889" t="str">
        <v/>
      </c>
      <c r="AO55" s="889" t="str">
        <v/>
      </c>
      <c r="AP55" s="889" t="str">
        <v/>
      </c>
      <c r="AQ55" s="889" t="str">
        <v/>
      </c>
      <c r="AR55" s="889" t="str">
        <v/>
      </c>
      <c r="AS55" s="889" t="str">
        <v/>
      </c>
      <c r="AT55" s="889" t="str">
        <v/>
      </c>
      <c r="AU55" s="889" t="str">
        <v/>
      </c>
      <c r="AV55" s="889" t="str">
        <v/>
      </c>
      <c r="AW55" s="889" t="str">
        <v/>
      </c>
      <c r="AX55" s="889" t="str">
        <v/>
      </c>
      <c r="AY55" s="889" t="str">
        <v/>
      </c>
      <c r="AZ55" s="889" t="str">
        <v/>
      </c>
      <c r="BA55" s="889" t="str">
        <v/>
      </c>
      <c r="BB55" s="889" t="str">
        <v/>
      </c>
      <c r="BC55" s="889" t="str">
        <v/>
      </c>
      <c r="BD55" s="889" t="str">
        <v/>
      </c>
      <c r="BE55" s="889" t="str">
        <v/>
      </c>
      <c r="BF55" s="889" t="str">
        <v/>
      </c>
      <c r="BG55" s="889" t="str">
        <v/>
      </c>
      <c r="BH55" s="889" t="str">
        <v/>
      </c>
      <c r="BI55" s="889" t="str">
        <v/>
      </c>
      <c r="BJ55" s="889" t="str">
        <v/>
      </c>
      <c r="BK55" s="889" t="str">
        <v/>
      </c>
      <c r="BL55" s="889" t="str">
        <v/>
      </c>
      <c r="BM55" s="889" t="str">
        <v/>
      </c>
      <c r="BN55" s="889" t="str">
        <v/>
      </c>
      <c r="BO55" s="889" t="str">
        <v/>
      </c>
      <c r="BP55" s="889" t="str">
        <v/>
      </c>
      <c r="BQ55" s="889" t="str">
        <v/>
      </c>
      <c r="BR55" s="889" t="str">
        <v/>
      </c>
      <c r="BS55" s="889" t="str">
        <v/>
      </c>
      <c r="BT55" s="889" t="str">
        <v/>
      </c>
      <c r="BU55" s="889" t="str">
        <v/>
      </c>
      <c r="BV55" s="889" t="str">
        <v/>
      </c>
      <c r="BW55" s="889" t="str">
        <v/>
      </c>
      <c r="BX55" s="889" t="str">
        <v/>
      </c>
      <c r="BY55" s="889" t="str">
        <v>129 - 148</v>
      </c>
      <c r="BZ55" s="889" t="str">
        <v/>
      </c>
      <c r="CA55" s="889" t="str">
        <v/>
      </c>
      <c r="CB55" s="889" t="str">
        <v>N/A</v>
      </c>
      <c r="CC55" s="889" t="str">
        <v/>
      </c>
      <c r="CD55" s="889" t="str">
        <v/>
      </c>
      <c r="CE55" s="889" t="str">
        <v/>
      </c>
      <c r="CF55" s="889" t="str">
        <v/>
      </c>
      <c r="CG55" s="889" t="str">
        <v/>
      </c>
      <c r="CH55" s="889" t="str">
        <v/>
      </c>
      <c r="CI55" s="889" t="str">
        <v/>
      </c>
      <c r="CJ55" s="889" t="str">
        <v/>
      </c>
      <c r="CK55" s="889" t="str">
        <v/>
      </c>
      <c r="CL55" s="889" t="str">
        <v/>
      </c>
      <c r="CM55" s="889" t="str">
        <v/>
      </c>
      <c r="CN55" s="889" t="str">
        <v/>
      </c>
      <c r="CO55" s="889" t="str">
        <v/>
      </c>
      <c r="CP55" s="889" t="str">
        <v/>
      </c>
      <c r="CQ55" s="889" t="str">
        <v/>
      </c>
      <c r="CR55" s="889" t="str">
        <v/>
      </c>
      <c r="CS55" s="889" t="str">
        <v/>
      </c>
      <c r="CT55" s="889" t="str">
        <v/>
      </c>
      <c r="CU55" s="889" t="str">
        <v/>
      </c>
      <c r="CV55" s="889" t="str">
        <v/>
      </c>
      <c r="CW55" s="889" t="str">
        <v/>
      </c>
      <c r="CX55" s="889" t="str">
        <v/>
      </c>
      <c r="CY55" s="888" t="str">
        <v/>
      </c>
      <c r="CZ55" s="889" t="str">
        <v/>
      </c>
      <c r="DA55" s="889" t="str">
        <v/>
      </c>
      <c r="DB55" s="889" t="str">
        <v/>
      </c>
      <c r="DC55" s="889" t="str">
        <v/>
      </c>
      <c r="DD55" s="889" t="str">
        <v/>
      </c>
      <c r="DE55" s="889" t="str">
        <v/>
      </c>
      <c r="DF55" s="889" t="str">
        <v/>
      </c>
      <c r="DG55" s="889" t="str">
        <v/>
      </c>
      <c r="DH55" s="889" t="str">
        <v/>
      </c>
      <c r="DI55" s="889" t="str">
        <v/>
      </c>
      <c r="DJ55" s="889" t="str">
        <v/>
      </c>
      <c r="DK55" s="889" t="str">
        <v/>
      </c>
      <c r="DL55" s="889" t="str">
        <v/>
      </c>
      <c r="DM55" s="889" t="str">
        <v/>
      </c>
      <c r="DN55" s="889" t="str">
        <v/>
      </c>
      <c r="DO55" s="889" t="str">
        <v/>
      </c>
      <c r="DP55" s="889" t="str">
        <v/>
      </c>
      <c r="DQ55" s="889" t="str">
        <v/>
      </c>
      <c r="DR55" s="889" t="str">
        <v/>
      </c>
      <c r="DS55" s="889" t="str">
        <v/>
      </c>
      <c r="DT55" s="889" t="str">
        <v/>
      </c>
      <c r="DU55" s="889" t="str">
        <v/>
      </c>
      <c r="DV55" s="889" t="str">
        <v/>
      </c>
      <c r="DW55" s="889" t="str">
        <v/>
      </c>
      <c r="DX55" s="889" t="str">
        <v/>
      </c>
      <c r="DY55" s="889" t="str">
        <v/>
      </c>
      <c r="DZ55" s="889" t="str">
        <v/>
      </c>
      <c r="EA55" s="889" t="str">
        <v/>
      </c>
      <c r="EB55" s="889" t="str">
        <v/>
      </c>
      <c r="EC55" s="889" t="str">
        <v/>
      </c>
      <c r="ED55" s="889" t="str">
        <v/>
      </c>
      <c r="EE55" s="889" t="str">
        <v/>
      </c>
      <c r="EF55" s="889" t="str">
        <v/>
      </c>
      <c r="EG55" s="889" t="str">
        <v/>
      </c>
      <c r="EH55" s="889" t="str">
        <v/>
      </c>
      <c r="EI55" s="889" t="str">
        <v/>
      </c>
      <c r="EJ55" s="889" t="str">
        <v/>
      </c>
      <c r="EK55" s="889" t="str">
        <v/>
      </c>
      <c r="EL55" s="889" t="str">
        <v/>
      </c>
      <c r="EM55" s="889" t="str">
        <v/>
      </c>
      <c r="EN55" s="889" t="str">
        <v/>
      </c>
      <c r="EO55" s="889" t="str">
        <v/>
      </c>
      <c r="EP55" s="889" t="str">
        <v/>
      </c>
      <c r="EQ55" s="889" t="str">
        <v/>
      </c>
      <c r="ER55" s="889" t="str">
        <v/>
      </c>
      <c r="ES55" s="889" t="str">
        <v/>
      </c>
      <c r="ET55" s="889" t="str">
        <v/>
      </c>
      <c r="EU55" s="889" t="str">
        <v/>
      </c>
      <c r="EV55" s="889" t="str">
        <v/>
      </c>
      <c r="EW55" s="889" t="str">
        <v/>
      </c>
      <c r="EX55" s="889" t="str">
        <v/>
      </c>
      <c r="EY55" s="889" t="str">
        <v/>
      </c>
      <c r="EZ55" s="889" t="str">
        <v/>
      </c>
      <c r="FA55" s="889" t="str">
        <v/>
      </c>
      <c r="FB55" s="889" t="str">
        <v/>
      </c>
      <c r="FC55" s="889" t="str">
        <v/>
      </c>
      <c r="FD55" s="889" t="str">
        <v/>
      </c>
      <c r="FE55" s="889" t="str">
        <v/>
      </c>
      <c r="FF55" s="889" t="str">
        <v/>
      </c>
      <c r="FG55" s="889" t="str">
        <v/>
      </c>
      <c r="FH55" s="889" t="str">
        <v/>
      </c>
      <c r="FI55" s="889" t="str">
        <v/>
      </c>
      <c r="FJ55" s="889" t="str">
        <v/>
      </c>
      <c r="FK55" s="889" t="str">
        <v/>
      </c>
      <c r="FL55" s="889" t="str">
        <v/>
      </c>
      <c r="FM55" s="889" t="str">
        <v/>
      </c>
      <c r="FN55" s="889" t="str">
        <v/>
      </c>
      <c r="FO55" s="889" t="str">
        <v/>
      </c>
      <c r="FP55" s="889" t="str">
        <v/>
      </c>
      <c r="FQ55" s="889" t="str">
        <v/>
      </c>
      <c r="FR55" s="889" t="str">
        <v/>
      </c>
      <c r="FS55" s="889" t="str">
        <v/>
      </c>
      <c r="FT55" s="889" t="str">
        <v/>
      </c>
      <c r="FU55" s="889" t="str">
        <v/>
      </c>
      <c r="FV55" s="889" t="str">
        <v/>
      </c>
      <c r="FW55" s="889" t="str">
        <v/>
      </c>
      <c r="FX55" s="889" t="str">
        <v/>
      </c>
      <c r="FY55" s="889" t="str">
        <v/>
      </c>
      <c r="FZ55" s="889" t="str">
        <v/>
      </c>
      <c r="GA55" s="889" t="str">
        <v/>
      </c>
      <c r="GB55" s="889" t="str">
        <v/>
      </c>
      <c r="GC55" s="889" t="str">
        <v/>
      </c>
      <c r="GD55" s="889" t="str">
        <v/>
      </c>
      <c r="GE55" s="889" t="str">
        <v/>
      </c>
      <c r="GF55" s="889" t="str">
        <v/>
      </c>
      <c r="GG55" s="889" t="str">
        <v/>
      </c>
      <c r="GH55" s="889" t="str">
        <v/>
      </c>
      <c r="GI55" s="889" t="str">
        <v/>
      </c>
      <c r="GJ55" s="889" t="str">
        <v/>
      </c>
      <c r="GK55" s="889" t="str">
        <v/>
      </c>
      <c r="GL55" s="889" t="str">
        <v/>
      </c>
      <c r="GM55" s="889" t="str">
        <v/>
      </c>
      <c r="GN55" s="889" t="str">
        <v/>
      </c>
      <c r="GO55" s="889" t="str">
        <v/>
      </c>
      <c r="GP55" s="889" t="str">
        <v/>
      </c>
      <c r="GQ55" s="889" t="str">
        <v/>
      </c>
      <c r="GR55" s="889" t="str">
        <v/>
      </c>
      <c r="GS55" s="889" t="str">
        <v/>
      </c>
      <c r="GT55" s="889" t="str">
        <v/>
      </c>
      <c r="GU55" s="889" t="str">
        <v/>
      </c>
      <c r="GV55" s="889" t="str">
        <v/>
      </c>
      <c r="GW55" s="889" t="str">
        <v/>
      </c>
      <c r="GX55" s="889" t="str">
        <v/>
      </c>
      <c r="GY55" s="889" t="str">
        <v/>
      </c>
      <c r="GZ55" s="889" t="str">
        <v/>
      </c>
      <c r="HA55" s="889" t="str">
        <v/>
      </c>
      <c r="HB55" s="889" t="str">
        <v/>
      </c>
      <c r="HC55" s="889" t="str">
        <v/>
      </c>
      <c r="HD55" s="889" t="str">
        <v/>
      </c>
      <c r="HE55" s="889" t="str">
        <v/>
      </c>
      <c r="HF55" s="889" t="str">
        <v/>
      </c>
      <c r="HG55" s="889" t="str">
        <v/>
      </c>
      <c r="HH55" s="889" t="str">
        <v/>
      </c>
      <c r="HI55" s="889" t="str">
        <v/>
      </c>
      <c r="HJ55" s="889" t="str">
        <v/>
      </c>
      <c r="HK55" s="889" t="str">
        <v/>
      </c>
      <c r="HL55" s="889" t="str">
        <v/>
      </c>
      <c r="HM55" s="889" t="str">
        <v/>
      </c>
      <c r="HN55" s="889" t="str">
        <v/>
      </c>
      <c r="HO55" s="889" t="str">
        <v/>
      </c>
      <c r="HP55" s="889" t="str">
        <v/>
      </c>
      <c r="HQ55" s="889" t="str">
        <v/>
      </c>
      <c r="HR55" s="889" t="str">
        <v/>
      </c>
      <c r="HS55" s="889" t="str">
        <v/>
      </c>
      <c r="HT55" s="889" t="str">
        <v/>
      </c>
      <c r="HU55" s="889" t="str">
        <v/>
      </c>
      <c r="HV55" s="889" t="str">
        <v/>
      </c>
      <c r="HW55" s="889" t="str">
        <v/>
      </c>
      <c r="HX55" s="889" t="str">
        <v/>
      </c>
      <c r="HY55" s="889" t="str">
        <v/>
      </c>
      <c r="HZ55" s="889" t="str">
        <v/>
      </c>
      <c r="IA55" s="889" t="str">
        <v/>
      </c>
      <c r="IB55" s="889" t="str">
        <v/>
      </c>
      <c r="IC55" s="889" t="str">
        <v/>
      </c>
      <c r="ID55" s="889" t="str">
        <v/>
      </c>
      <c r="IE55" s="889" t="str">
        <v/>
      </c>
      <c r="IF55" s="889" t="str">
        <v/>
      </c>
      <c r="IG55" s="889" t="str">
        <v/>
      </c>
      <c r="IH55" s="889" t="str">
        <v/>
      </c>
      <c r="II55" s="889" t="str">
        <v/>
      </c>
      <c r="IJ55" s="889" t="str">
        <v/>
      </c>
      <c r="IK55" s="889" t="str">
        <v/>
      </c>
      <c r="IL55" s="889" t="str">
        <v/>
      </c>
      <c r="IM55" s="889" t="str">
        <v/>
      </c>
      <c r="IN55" s="889" t="str">
        <v/>
      </c>
      <c r="IO55" s="889" t="str">
        <v/>
      </c>
      <c r="IP55" s="889" t="str">
        <v/>
      </c>
      <c r="IQ55" s="889" t="str">
        <v/>
      </c>
      <c r="IR55" s="889" t="str">
        <v/>
      </c>
      <c r="IS55" s="889" t="str">
        <v/>
      </c>
      <c r="IT55" s="889" t="str">
        <v/>
      </c>
      <c r="IU55" s="889" t="str">
        <v/>
      </c>
      <c r="IV55" s="889" t="str">
        <v/>
      </c>
      <c r="IW55" s="889" t="str">
        <v/>
      </c>
      <c r="IX55" s="889" t="str">
        <v/>
      </c>
      <c r="IY55" s="889" t="str">
        <v/>
      </c>
      <c r="IZ55" s="889" t="str">
        <v/>
      </c>
      <c r="JA55" s="889" t="str">
        <v/>
      </c>
      <c r="JB55" s="889" t="str">
        <v/>
      </c>
      <c r="JC55" s="889" t="str">
        <v/>
      </c>
      <c r="JD55" s="889" t="str">
        <v/>
      </c>
      <c r="JE55" s="889" t="str">
        <v/>
      </c>
      <c r="JF55" s="889" t="str">
        <v/>
      </c>
      <c r="JG55" s="889" t="str">
        <v/>
      </c>
      <c r="JH55" s="889" t="str">
        <v/>
      </c>
      <c r="JI55" s="889" t="str">
        <v/>
      </c>
      <c r="JJ55" s="889" t="str">
        <v/>
      </c>
      <c r="JK55" s="889" t="str">
        <v/>
      </c>
      <c r="JL55" s="889" t="str">
        <v/>
      </c>
      <c r="JM55" s="889" t="str">
        <v/>
      </c>
      <c r="JN55" s="889" t="str">
        <v/>
      </c>
      <c r="JO55" s="889" t="str">
        <v/>
      </c>
      <c r="JP55" s="889" t="str">
        <v/>
      </c>
      <c r="JQ55" s="889" t="str">
        <v/>
      </c>
      <c r="JR55" s="889" t="str">
        <v/>
      </c>
      <c r="JS55" s="889" t="str">
        <v/>
      </c>
      <c r="JT55" s="889" t="str">
        <v/>
      </c>
      <c r="JU55" s="889" t="str">
        <v/>
      </c>
      <c r="JV55" s="889" t="str">
        <v/>
      </c>
      <c r="JW55" s="889" t="str">
        <v/>
      </c>
      <c r="JX55" s="889" t="str">
        <v/>
      </c>
      <c r="JY55" s="889" t="str">
        <v/>
      </c>
      <c r="JZ55" s="889" t="str">
        <v/>
      </c>
      <c r="KA55" s="889" t="str">
        <v/>
      </c>
      <c r="KB55" s="889" t="str">
        <v/>
      </c>
      <c r="KC55" s="889" t="str">
        <v/>
      </c>
      <c r="KD55" s="889" t="str">
        <v/>
      </c>
      <c r="KE55" s="889" t="str">
        <v/>
      </c>
      <c r="KF55" s="889" t="str">
        <v/>
      </c>
      <c r="KG55" s="889" t="str">
        <v/>
      </c>
      <c r="KH55" s="889" t="str">
        <v/>
      </c>
      <c r="KI55" s="889" t="str">
        <v/>
      </c>
      <c r="KJ55" s="889" t="str">
        <v/>
      </c>
      <c r="KK55" s="889" t="str">
        <v/>
      </c>
      <c r="KL55" s="889" t="str">
        <v/>
      </c>
      <c r="KM55" s="889" t="str">
        <v/>
      </c>
      <c r="KN55" s="889" t="str">
        <v/>
      </c>
      <c r="KO55" s="889" t="str">
        <v/>
      </c>
      <c r="KP55" s="911" t="str">
        <v/>
      </c>
      <c r="KQ55" s="700"/>
    </row>
    <row r="56" spans="1:303" s="188" customFormat="1" hidden="1" x14ac:dyDescent="0.45">
      <c r="A56" s="1766" t="s">
        <v>314</v>
      </c>
      <c r="B56" s="881" t="s">
        <v>306</v>
      </c>
      <c r="C56" s="884" t="str">
        <f t="array" ref="C56:KP58">IFERROR(IF(sessions_elements="Race",
0.621371192/(29.54+5.000663*(athlete_VDOT*(athlete_calibration_VDOT+(1-athlete_calibration_VDOT)*(((sessions_HR-athlete_calibration_HR)/athlete_HR_max_run))/(1-athlete_calibration_HR/athlete_HR_max_run)))-0.007546*(athlete_VDOT*(athlete_calibration_VDOT+(1-athlete_calibration_VDOT)*(((sessions_HR-athlete_calibration_HR)/athlete_HR_max_run))/(1-athlete_calibration_HR/athlete_HR_max_run)))^2)*1609.344/1440,
INDEX(elements_pace,2,sessions_elements_index)),"")</f>
        <v/>
      </c>
      <c r="D56" s="885">
        <v>3.232547733843817E-3</v>
      </c>
      <c r="E56" s="885">
        <v>3.232547733843817E-3</v>
      </c>
      <c r="F56" s="885">
        <v>2.9380114432997232E-3</v>
      </c>
      <c r="G56" s="885">
        <v>2.9380114432997232E-3</v>
      </c>
      <c r="H56" s="885">
        <v>3.232547733843817E-3</v>
      </c>
      <c r="I56" s="885">
        <v>3.232547733843817E-3</v>
      </c>
      <c r="J56" s="885">
        <v>3.232547733843817E-3</v>
      </c>
      <c r="K56" s="885">
        <v>3.232547733843817E-3</v>
      </c>
      <c r="L56" s="885">
        <v>3.232547733843817E-3</v>
      </c>
      <c r="M56" s="885">
        <v>3.232547733843817E-3</v>
      </c>
      <c r="N56" s="885">
        <v>3.232547733843817E-3</v>
      </c>
      <c r="O56" s="885">
        <v>3.232547733843817E-3</v>
      </c>
      <c r="P56" s="885">
        <v>3.232547733843817E-3</v>
      </c>
      <c r="Q56" s="885">
        <v>3.232547733843817E-3</v>
      </c>
      <c r="R56" s="885">
        <v>2.9380114432997232E-3</v>
      </c>
      <c r="S56" s="885">
        <v>2.9380114432997232E-3</v>
      </c>
      <c r="T56" s="885">
        <v>2.9380114432997232E-3</v>
      </c>
      <c r="U56" s="885">
        <v>2.9380114432997232E-3</v>
      </c>
      <c r="V56" s="885">
        <v>2.9380114432997232E-3</v>
      </c>
      <c r="W56" s="885">
        <v>2.5714329067157201E-3</v>
      </c>
      <c r="X56" s="885">
        <v>2.3243060655449167E-3</v>
      </c>
      <c r="Y56" s="885">
        <v>2.3243060655449167E-3</v>
      </c>
      <c r="Z56" s="885">
        <v>2.3243060655449167E-3</v>
      </c>
      <c r="AA56" s="885">
        <v>2.3243060655449167E-3</v>
      </c>
      <c r="AB56" s="885">
        <v>2.5714329067157201E-3</v>
      </c>
      <c r="AC56" s="885">
        <v>2.3243060655449167E-3</v>
      </c>
      <c r="AD56" s="885">
        <v>2.3243060655449167E-3</v>
      </c>
      <c r="AE56" s="885">
        <v>2.3243060655449167E-3</v>
      </c>
      <c r="AF56" s="885">
        <v>2.3243060655449167E-3</v>
      </c>
      <c r="AG56" s="885">
        <v>2.5714329067157201E-3</v>
      </c>
      <c r="AH56" s="885">
        <v>2.5714329067157201E-3</v>
      </c>
      <c r="AI56" s="885">
        <v>2.5714329067157201E-3</v>
      </c>
      <c r="AJ56" s="885">
        <v>2.5714329067157201E-3</v>
      </c>
      <c r="AK56" s="885" t="str">
        <v/>
      </c>
      <c r="AL56" s="885" t="str">
        <v/>
      </c>
      <c r="AM56" s="885" t="str">
        <v/>
      </c>
      <c r="AN56" s="885" t="str">
        <v/>
      </c>
      <c r="AO56" s="885" t="str">
        <v/>
      </c>
      <c r="AP56" s="885" t="str">
        <v/>
      </c>
      <c r="AQ56" s="885">
        <v>2.151217743051958E-3</v>
      </c>
      <c r="AR56" s="885">
        <v>2.151217743051958E-3</v>
      </c>
      <c r="AS56" s="885">
        <v>2.151217743051958E-3</v>
      </c>
      <c r="AT56" s="885">
        <v>2.151217743051958E-3</v>
      </c>
      <c r="AU56" s="885">
        <v>2.151217743051958E-3</v>
      </c>
      <c r="AV56" s="885">
        <v>2.151217743051958E-3</v>
      </c>
      <c r="AW56" s="885">
        <v>2.151217743051958E-3</v>
      </c>
      <c r="AX56" s="885">
        <v>2.151217743051958E-3</v>
      </c>
      <c r="AY56" s="885">
        <v>2.151217743051958E-3</v>
      </c>
      <c r="AZ56" s="885">
        <v>2.151217743051958E-3</v>
      </c>
      <c r="BA56" s="885">
        <v>2.151217743051958E-3</v>
      </c>
      <c r="BB56" s="885">
        <v>2.151217743051958E-3</v>
      </c>
      <c r="BC56" s="885" t="str">
        <v/>
      </c>
      <c r="BD56" s="885" t="str">
        <v/>
      </c>
      <c r="BE56" s="885" t="str">
        <v/>
      </c>
      <c r="BF56" s="885" t="str">
        <v/>
      </c>
      <c r="BG56" s="885" t="str">
        <v/>
      </c>
      <c r="BH56" s="885" t="str">
        <v/>
      </c>
      <c r="BI56" s="885" t="str">
        <v/>
      </c>
      <c r="BJ56" s="885" t="str">
        <v/>
      </c>
      <c r="BK56" s="885">
        <v>1.7895333801019296E-3</v>
      </c>
      <c r="BL56" s="885">
        <v>1.7895333801019296E-3</v>
      </c>
      <c r="BM56" s="885">
        <v>1.7895333801019296E-3</v>
      </c>
      <c r="BN56" s="885">
        <v>1.7895333801019296E-3</v>
      </c>
      <c r="BO56" s="885">
        <v>1.7895333801019296E-3</v>
      </c>
      <c r="BP56" s="885">
        <v>1.7895333801019296E-3</v>
      </c>
      <c r="BQ56" s="885">
        <v>1.7895333801019296E-3</v>
      </c>
      <c r="BR56" s="885">
        <v>1.7895333801019296E-3</v>
      </c>
      <c r="BS56" s="885">
        <v>1.7895333801019296E-3</v>
      </c>
      <c r="BT56" s="885" t="str">
        <v/>
      </c>
      <c r="BU56" s="885">
        <v>2.9380114432997232E-3</v>
      </c>
      <c r="BV56" s="885">
        <v>2.9380114432997232E-3</v>
      </c>
      <c r="BW56" s="885">
        <v>2.9380114432997232E-3</v>
      </c>
      <c r="BX56" s="885">
        <v>2.9380114432997232E-3</v>
      </c>
      <c r="BY56" s="885">
        <v>2.9380114432997232E-3</v>
      </c>
      <c r="BZ56" s="885" t="str">
        <v/>
      </c>
      <c r="CA56" s="885" t="str">
        <v/>
      </c>
      <c r="CB56" s="885">
        <v>3.232547733843817E-3</v>
      </c>
      <c r="CC56" s="885" t="str">
        <v/>
      </c>
      <c r="CD56" s="885">
        <v>3.232547733843817E-3</v>
      </c>
      <c r="CE56" s="885">
        <v>2.0869416038314828E-3</v>
      </c>
      <c r="CF56" s="885">
        <v>2.1534208784630198E-3</v>
      </c>
      <c r="CG56" s="885">
        <v>2.2249838616600773E-3</v>
      </c>
      <c r="CH56" s="885">
        <v>2.2706056338149751E-3</v>
      </c>
      <c r="CI56" s="885">
        <v>2.3184146274166516E-3</v>
      </c>
      <c r="CJ56" s="885">
        <v>2.3515801402395329E-3</v>
      </c>
      <c r="CK56" s="885">
        <v>2.3858387709861E-3</v>
      </c>
      <c r="CL56" s="885">
        <v>2.4033948002349088E-3</v>
      </c>
      <c r="CM56" s="885">
        <v>2.4212447071946652E-3</v>
      </c>
      <c r="CN56" s="885">
        <v>2.4578557833275314E-3</v>
      </c>
      <c r="CO56" s="885">
        <v>2.4766323954735648E-3</v>
      </c>
      <c r="CP56" s="885">
        <v>2.4957337927825744E-3</v>
      </c>
      <c r="CQ56" s="885">
        <v>2.4957337927825744E-3</v>
      </c>
      <c r="CR56" s="885">
        <v>2.5151683745369188E-3</v>
      </c>
      <c r="CS56" s="885">
        <v>2.5151683745369188E-3</v>
      </c>
      <c r="CT56" s="885">
        <v>2.5349448324958157E-3</v>
      </c>
      <c r="CU56" s="885">
        <v>2.5349448324958157E-3</v>
      </c>
      <c r="CV56" s="885">
        <v>2.5349448324958157E-3</v>
      </c>
      <c r="CW56" s="885">
        <v>2.5349448324958157E-3</v>
      </c>
      <c r="CX56" s="885">
        <v>2.5349448324958157E-3</v>
      </c>
      <c r="CY56" s="884" t="str">
        <v/>
      </c>
      <c r="CZ56" s="885">
        <v>3.232547733843817E-3</v>
      </c>
      <c r="DA56" s="885">
        <v>3.232547733843817E-3</v>
      </c>
      <c r="DB56" s="885">
        <v>2.9380114432997232E-3</v>
      </c>
      <c r="DC56" s="885">
        <v>2.9380114432997232E-3</v>
      </c>
      <c r="DD56" s="885">
        <v>3.232547733843817E-3</v>
      </c>
      <c r="DE56" s="885">
        <v>3.232547733843817E-3</v>
      </c>
      <c r="DF56" s="885">
        <v>3.232547733843817E-3</v>
      </c>
      <c r="DG56" s="885">
        <v>3.232547733843817E-3</v>
      </c>
      <c r="DH56" s="885">
        <v>3.232547733843817E-3</v>
      </c>
      <c r="DI56" s="885">
        <v>3.232547733843817E-3</v>
      </c>
      <c r="DJ56" s="885">
        <v>3.232547733843817E-3</v>
      </c>
      <c r="DK56" s="885">
        <v>3.232547733843817E-3</v>
      </c>
      <c r="DL56" s="885">
        <v>3.232547733843817E-3</v>
      </c>
      <c r="DM56" s="885">
        <v>3.232547733843817E-3</v>
      </c>
      <c r="DN56" s="885">
        <v>2.9380114432997232E-3</v>
      </c>
      <c r="DO56" s="885">
        <v>2.9380114432997232E-3</v>
      </c>
      <c r="DP56" s="885">
        <v>2.9380114432997232E-3</v>
      </c>
      <c r="DQ56" s="885">
        <v>2.9380114432997232E-3</v>
      </c>
      <c r="DR56" s="885">
        <v>2.9380114432997232E-3</v>
      </c>
      <c r="DS56" s="885">
        <v>2.5714329067157201E-3</v>
      </c>
      <c r="DT56" s="885">
        <v>2.3243060655449167E-3</v>
      </c>
      <c r="DU56" s="885">
        <v>2.3243060655449167E-3</v>
      </c>
      <c r="DV56" s="885">
        <v>2.3243060655449167E-3</v>
      </c>
      <c r="DW56" s="885">
        <v>2.3243060655449167E-3</v>
      </c>
      <c r="DX56" s="885">
        <v>2.5714329067157201E-3</v>
      </c>
      <c r="DY56" s="885">
        <v>2.3243060655449167E-3</v>
      </c>
      <c r="DZ56" s="885">
        <v>2.3243060655449167E-3</v>
      </c>
      <c r="EA56" s="885">
        <v>2.3243060655449167E-3</v>
      </c>
      <c r="EB56" s="885">
        <v>2.3243060655449167E-3</v>
      </c>
      <c r="EC56" s="885">
        <v>2.5714329067157201E-3</v>
      </c>
      <c r="ED56" s="885">
        <v>2.5714329067157201E-3</v>
      </c>
      <c r="EE56" s="885">
        <v>2.5714329067157201E-3</v>
      </c>
      <c r="EF56" s="885">
        <v>2.5714329067157201E-3</v>
      </c>
      <c r="EG56" s="885" t="str">
        <v/>
      </c>
      <c r="EH56" s="885" t="str">
        <v/>
      </c>
      <c r="EI56" s="885" t="str">
        <v/>
      </c>
      <c r="EJ56" s="885" t="str">
        <v/>
      </c>
      <c r="EK56" s="885" t="str">
        <v/>
      </c>
      <c r="EL56" s="885" t="str">
        <v/>
      </c>
      <c r="EM56" s="885" t="str">
        <v/>
      </c>
      <c r="EN56" s="885" t="str">
        <v/>
      </c>
      <c r="EO56" s="885" t="str">
        <v/>
      </c>
      <c r="EP56" s="885" t="str">
        <v/>
      </c>
      <c r="EQ56" s="885" t="str">
        <v/>
      </c>
      <c r="ER56" s="885" t="str">
        <v/>
      </c>
      <c r="ES56" s="885" t="str">
        <v/>
      </c>
      <c r="ET56" s="885" t="str">
        <v/>
      </c>
      <c r="EU56" s="885" t="str">
        <v/>
      </c>
      <c r="EV56" s="885" t="str">
        <v/>
      </c>
      <c r="EW56" s="885" t="str">
        <v/>
      </c>
      <c r="EX56" s="885" t="str">
        <v/>
      </c>
      <c r="EY56" s="885" t="str">
        <v/>
      </c>
      <c r="EZ56" s="885" t="str">
        <v/>
      </c>
      <c r="FA56" s="885" t="str">
        <v/>
      </c>
      <c r="FB56" s="885" t="str">
        <v/>
      </c>
      <c r="FC56" s="885" t="str">
        <v/>
      </c>
      <c r="FD56" s="885" t="str">
        <v/>
      </c>
      <c r="FE56" s="885" t="str">
        <v/>
      </c>
      <c r="FF56" s="885" t="str">
        <v/>
      </c>
      <c r="FG56" s="885">
        <v>1.7895333801019296E-3</v>
      </c>
      <c r="FH56" s="885">
        <v>1.7895333801019296E-3</v>
      </c>
      <c r="FI56" s="885">
        <v>1.7895333801019296E-3</v>
      </c>
      <c r="FJ56" s="885">
        <v>1.7895333801019296E-3</v>
      </c>
      <c r="FK56" s="885">
        <v>1.7895333801019296E-3</v>
      </c>
      <c r="FL56" s="885">
        <v>1.7895333801019296E-3</v>
      </c>
      <c r="FM56" s="885">
        <v>1.7895333801019296E-3</v>
      </c>
      <c r="FN56" s="885">
        <v>1.7895333801019296E-3</v>
      </c>
      <c r="FO56" s="885">
        <v>1.7895333801019296E-3</v>
      </c>
      <c r="FP56" s="885">
        <v>1.7895333801019296E-3</v>
      </c>
      <c r="FQ56" s="885" t="str">
        <v/>
      </c>
      <c r="FR56" s="885" t="str">
        <v/>
      </c>
      <c r="FS56" s="885" t="str">
        <v/>
      </c>
      <c r="FT56" s="885" t="str">
        <v/>
      </c>
      <c r="FU56" s="885" t="str">
        <v/>
      </c>
      <c r="FV56" s="885" t="str">
        <v/>
      </c>
      <c r="FW56" s="885" t="str">
        <v/>
      </c>
      <c r="FX56" s="885" t="str">
        <v/>
      </c>
      <c r="FY56" s="885" t="str">
        <v/>
      </c>
      <c r="FZ56" s="885" t="str">
        <v/>
      </c>
      <c r="GA56" s="885">
        <v>2.1534208784630198E-3</v>
      </c>
      <c r="GB56" s="885">
        <v>2.2249838616600773E-3</v>
      </c>
      <c r="GC56" s="885">
        <v>2.2706056338149751E-3</v>
      </c>
      <c r="GD56" s="885">
        <v>2.3184146274166516E-3</v>
      </c>
      <c r="GE56" s="885">
        <v>2.3515801402395329E-3</v>
      </c>
      <c r="GF56" s="885">
        <v>2.3858387709861E-3</v>
      </c>
      <c r="GG56" s="885">
        <v>2.4033948002349088E-3</v>
      </c>
      <c r="GH56" s="885">
        <v>2.4212447071946652E-3</v>
      </c>
      <c r="GI56" s="885">
        <v>2.4578557833275314E-3</v>
      </c>
      <c r="GJ56" s="885">
        <v>2.4766323954735648E-3</v>
      </c>
      <c r="GK56" s="885">
        <v>2.4957337927825744E-3</v>
      </c>
      <c r="GL56" s="885">
        <v>2.5151683745369188E-3</v>
      </c>
      <c r="GM56" s="885">
        <v>2.5151683745369188E-3</v>
      </c>
      <c r="GN56" s="885">
        <v>2.5349448324958157E-3</v>
      </c>
      <c r="GO56" s="885">
        <v>2.5349448324958157E-3</v>
      </c>
      <c r="GP56" s="885" t="str">
        <v/>
      </c>
      <c r="GQ56" s="885" t="str">
        <v/>
      </c>
      <c r="GR56" s="885" t="str">
        <v/>
      </c>
      <c r="GS56" s="885" t="str">
        <v/>
      </c>
      <c r="GT56" s="885" t="str">
        <v/>
      </c>
      <c r="GU56" s="885" t="str">
        <v/>
      </c>
      <c r="GV56" s="885">
        <v>3.232547733843817E-3</v>
      </c>
      <c r="GW56" s="885">
        <v>3.232547733843817E-3</v>
      </c>
      <c r="GX56" s="885">
        <v>2.9380114432997232E-3</v>
      </c>
      <c r="GY56" s="885">
        <v>2.9380114432997232E-3</v>
      </c>
      <c r="GZ56" s="885" t="str">
        <v/>
      </c>
      <c r="HA56" s="885" t="str">
        <v/>
      </c>
      <c r="HB56" s="885">
        <v>3.232547733843817E-3</v>
      </c>
      <c r="HC56" s="885">
        <v>3.232547733843817E-3</v>
      </c>
      <c r="HD56" s="885">
        <v>3.232547733843817E-3</v>
      </c>
      <c r="HE56" s="885">
        <v>3.232547733843817E-3</v>
      </c>
      <c r="HF56" s="885">
        <v>3.232547733843817E-3</v>
      </c>
      <c r="HG56" s="885">
        <v>3.232547733843817E-3</v>
      </c>
      <c r="HH56" s="885">
        <v>3.232547733843817E-3</v>
      </c>
      <c r="HI56" s="885">
        <v>3.232547733843817E-3</v>
      </c>
      <c r="HJ56" s="885">
        <v>2.9380114432997232E-3</v>
      </c>
      <c r="HK56" s="885">
        <v>2.9380114432997232E-3</v>
      </c>
      <c r="HL56" s="885">
        <v>2.9380114432997232E-3</v>
      </c>
      <c r="HM56" s="885">
        <v>2.9380114432997232E-3</v>
      </c>
      <c r="HN56" s="885">
        <v>2.9380114432997232E-3</v>
      </c>
      <c r="HO56" s="885" t="str">
        <v/>
      </c>
      <c r="HP56" s="885">
        <v>3.232547733843817E-3</v>
      </c>
      <c r="HQ56" s="885">
        <v>3.232547733843817E-3</v>
      </c>
      <c r="HR56" s="885">
        <v>2.9380114432997232E-3</v>
      </c>
      <c r="HS56" s="885">
        <v>2.9380114432997232E-3</v>
      </c>
      <c r="HT56" s="885" t="str">
        <v/>
      </c>
      <c r="HU56" s="885" t="str">
        <v/>
      </c>
      <c r="HV56" s="885">
        <v>3.232547733843817E-3</v>
      </c>
      <c r="HW56" s="885">
        <v>3.232547733843817E-3</v>
      </c>
      <c r="HX56" s="885">
        <v>3.232547733843817E-3</v>
      </c>
      <c r="HY56" s="885">
        <v>3.232547733843817E-3</v>
      </c>
      <c r="HZ56" s="885">
        <v>3.232547733843817E-3</v>
      </c>
      <c r="IA56" s="885">
        <v>3.232547733843817E-3</v>
      </c>
      <c r="IB56" s="885">
        <v>3.232547733843817E-3</v>
      </c>
      <c r="IC56" s="885">
        <v>3.232547733843817E-3</v>
      </c>
      <c r="ID56" s="885">
        <v>2.9380114432997232E-3</v>
      </c>
      <c r="IE56" s="885">
        <v>2.9380114432997232E-3</v>
      </c>
      <c r="IF56" s="885">
        <v>2.9380114432997232E-3</v>
      </c>
      <c r="IG56" s="885">
        <v>2.9380114432997232E-3</v>
      </c>
      <c r="IH56" s="885">
        <v>2.9380114432997232E-3</v>
      </c>
      <c r="II56" s="885">
        <v>3.232547733843817E-3</v>
      </c>
      <c r="IJ56" s="885" t="str">
        <v/>
      </c>
      <c r="IK56" s="885" t="str">
        <v/>
      </c>
      <c r="IL56" s="885" t="str">
        <v/>
      </c>
      <c r="IM56" s="885" t="str">
        <v/>
      </c>
      <c r="IN56" s="885" t="str">
        <v/>
      </c>
      <c r="IO56" s="885" t="str">
        <v/>
      </c>
      <c r="IP56" s="885" t="str">
        <v/>
      </c>
      <c r="IQ56" s="885" t="str">
        <v/>
      </c>
      <c r="IR56" s="885" t="str">
        <v/>
      </c>
      <c r="IS56" s="885" t="str">
        <v/>
      </c>
      <c r="IT56" s="885">
        <v>2.9380114432997232E-3</v>
      </c>
      <c r="IU56" s="885">
        <v>2.9380114432997232E-3</v>
      </c>
      <c r="IV56" s="885">
        <v>2.9380114432997232E-3</v>
      </c>
      <c r="IW56" s="885">
        <v>2.9380114432997232E-3</v>
      </c>
      <c r="IX56" s="885">
        <v>2.9380114432997232E-3</v>
      </c>
      <c r="IY56" s="885">
        <v>2.9380114432997232E-3</v>
      </c>
      <c r="IZ56" s="885">
        <v>3.232547733843817E-3</v>
      </c>
      <c r="JA56" s="885" t="str">
        <v/>
      </c>
      <c r="JB56" s="885" t="str">
        <v/>
      </c>
      <c r="JC56" s="885" t="str">
        <v/>
      </c>
      <c r="JD56" s="885" t="str">
        <v/>
      </c>
      <c r="JE56" s="885" t="str">
        <v/>
      </c>
      <c r="JF56" s="885" t="str">
        <v/>
      </c>
      <c r="JG56" s="885" t="str">
        <v/>
      </c>
      <c r="JH56" s="885" t="str">
        <v/>
      </c>
      <c r="JI56" s="885" t="str">
        <v/>
      </c>
      <c r="JJ56" s="885" t="str">
        <v/>
      </c>
      <c r="JK56" s="885" t="str">
        <v/>
      </c>
      <c r="JL56" s="885" t="str">
        <v/>
      </c>
      <c r="JM56" s="885" t="str">
        <v/>
      </c>
      <c r="JN56" s="885" t="str">
        <v/>
      </c>
      <c r="JO56" s="885" t="str">
        <v/>
      </c>
      <c r="JP56" s="885" t="str">
        <v/>
      </c>
      <c r="JQ56" s="885" t="str">
        <v/>
      </c>
      <c r="JR56" s="885" t="str">
        <v/>
      </c>
      <c r="JS56" s="885" t="str">
        <v/>
      </c>
      <c r="JT56" s="885" t="str">
        <v/>
      </c>
      <c r="JU56" s="885" t="str">
        <v/>
      </c>
      <c r="JV56" s="885" t="str">
        <v/>
      </c>
      <c r="JW56" s="885">
        <v>2.1534208784630198E-3</v>
      </c>
      <c r="JX56" s="885">
        <v>2.2249838616600773E-3</v>
      </c>
      <c r="JY56" s="885">
        <v>2.2706056338149751E-3</v>
      </c>
      <c r="JZ56" s="885">
        <v>2.3184146274166516E-3</v>
      </c>
      <c r="KA56" s="885">
        <v>2.3515801402395329E-3</v>
      </c>
      <c r="KB56" s="885">
        <v>2.3858387709861E-3</v>
      </c>
      <c r="KC56" s="885">
        <v>2.4033948002349088E-3</v>
      </c>
      <c r="KD56" s="885">
        <v>2.4212447071946652E-3</v>
      </c>
      <c r="KE56" s="885">
        <v>2.4578557833275314E-3</v>
      </c>
      <c r="KF56" s="885">
        <v>2.4766323954735648E-3</v>
      </c>
      <c r="KG56" s="885">
        <v>2.4957337927825744E-3</v>
      </c>
      <c r="KH56" s="885">
        <v>2.5151683745369188E-3</v>
      </c>
      <c r="KI56" s="885">
        <v>2.5151683745369188E-3</v>
      </c>
      <c r="KJ56" s="885">
        <v>2.5349448324958157E-3</v>
      </c>
      <c r="KK56" s="885">
        <v>2.5349448324958157E-3</v>
      </c>
      <c r="KL56" s="885" t="str">
        <v/>
      </c>
      <c r="KM56" s="885" t="str">
        <v/>
      </c>
      <c r="KN56" s="885" t="str">
        <v/>
      </c>
      <c r="KO56" s="885" t="str">
        <v/>
      </c>
      <c r="KP56" s="912" t="str">
        <v/>
      </c>
      <c r="KQ56" s="700" t="s">
        <v>388</v>
      </c>
    </row>
    <row r="57" spans="1:303" s="188" customFormat="1" hidden="1" x14ac:dyDescent="0.45">
      <c r="A57" s="1766"/>
      <c r="B57" s="145" t="s">
        <v>307</v>
      </c>
      <c r="C57" s="879" t="str">
        <v/>
      </c>
      <c r="D57" s="880" t="str">
        <v/>
      </c>
      <c r="E57" s="880" t="str">
        <v/>
      </c>
      <c r="F57" s="880" t="str">
        <v/>
      </c>
      <c r="G57" s="880" t="str">
        <v/>
      </c>
      <c r="H57" s="880" t="str">
        <v/>
      </c>
      <c r="I57" s="880" t="str">
        <v/>
      </c>
      <c r="J57" s="880" t="str">
        <v/>
      </c>
      <c r="K57" s="880">
        <v>2.9380114432997232E-3</v>
      </c>
      <c r="L57" s="880">
        <v>2.9380114432997232E-3</v>
      </c>
      <c r="M57" s="880">
        <v>2.9380114432997232E-3</v>
      </c>
      <c r="N57" s="880" t="str">
        <v/>
      </c>
      <c r="O57" s="880" t="str">
        <v/>
      </c>
      <c r="P57" s="880" t="str">
        <v/>
      </c>
      <c r="Q57" s="880" t="str">
        <v/>
      </c>
      <c r="R57" s="880" t="str">
        <v/>
      </c>
      <c r="S57" s="880" t="str">
        <v/>
      </c>
      <c r="T57" s="880" t="str">
        <v/>
      </c>
      <c r="U57" s="880" t="str">
        <v/>
      </c>
      <c r="V57" s="880" t="str">
        <v/>
      </c>
      <c r="W57" s="880" t="str">
        <v/>
      </c>
      <c r="X57" s="880" t="str">
        <v/>
      </c>
      <c r="Y57" s="880" t="str">
        <v/>
      </c>
      <c r="Z57" s="880" t="str">
        <v/>
      </c>
      <c r="AA57" s="880" t="str">
        <v/>
      </c>
      <c r="AB57" s="880">
        <v>3.232547733843817E-3</v>
      </c>
      <c r="AC57" s="880">
        <v>3.232547733843817E-3</v>
      </c>
      <c r="AD57" s="880">
        <v>3.232547733843817E-3</v>
      </c>
      <c r="AE57" s="880">
        <v>3.232547733843817E-3</v>
      </c>
      <c r="AF57" s="880">
        <v>3.232547733843817E-3</v>
      </c>
      <c r="AG57" s="880" t="str">
        <v/>
      </c>
      <c r="AH57" s="880" t="str">
        <v/>
      </c>
      <c r="AI57" s="880" t="str">
        <v/>
      </c>
      <c r="AJ57" s="880" t="str">
        <v/>
      </c>
      <c r="AK57" s="880" t="str">
        <v/>
      </c>
      <c r="AL57" s="880" t="str">
        <v/>
      </c>
      <c r="AM57" s="880" t="str">
        <v/>
      </c>
      <c r="AN57" s="880" t="str">
        <v/>
      </c>
      <c r="AO57" s="880" t="str">
        <v/>
      </c>
      <c r="AP57" s="880" t="str">
        <v/>
      </c>
      <c r="AQ57" s="880" t="str">
        <v/>
      </c>
      <c r="AR57" s="880" t="str">
        <v/>
      </c>
      <c r="AS57" s="880" t="str">
        <v/>
      </c>
      <c r="AT57" s="880" t="str">
        <v/>
      </c>
      <c r="AU57" s="880" t="str">
        <v/>
      </c>
      <c r="AV57" s="880" t="str">
        <v/>
      </c>
      <c r="AW57" s="880" t="str">
        <v/>
      </c>
      <c r="AX57" s="880" t="str">
        <v/>
      </c>
      <c r="AY57" s="880" t="str">
        <v/>
      </c>
      <c r="AZ57" s="880" t="str">
        <v/>
      </c>
      <c r="BA57" s="880" t="str">
        <v/>
      </c>
      <c r="BB57" s="880" t="str">
        <v/>
      </c>
      <c r="BC57" s="880" t="str">
        <v/>
      </c>
      <c r="BD57" s="880" t="str">
        <v/>
      </c>
      <c r="BE57" s="880" t="str">
        <v/>
      </c>
      <c r="BF57" s="880" t="str">
        <v/>
      </c>
      <c r="BG57" s="880" t="str">
        <v/>
      </c>
      <c r="BH57" s="880" t="str">
        <v/>
      </c>
      <c r="BI57" s="880" t="str">
        <v/>
      </c>
      <c r="BJ57" s="880" t="str">
        <v/>
      </c>
      <c r="BK57" s="880">
        <v>3.232547733843817E-3</v>
      </c>
      <c r="BL57" s="880">
        <v>3.232547733843817E-3</v>
      </c>
      <c r="BM57" s="880">
        <v>3.232547733843817E-3</v>
      </c>
      <c r="BN57" s="880">
        <v>3.232547733843817E-3</v>
      </c>
      <c r="BO57" s="880">
        <v>3.232547733843817E-3</v>
      </c>
      <c r="BP57" s="880">
        <v>3.232547733843817E-3</v>
      </c>
      <c r="BQ57" s="880">
        <v>3.232547733843817E-3</v>
      </c>
      <c r="BR57" s="880">
        <v>3.232547733843817E-3</v>
      </c>
      <c r="BS57" s="880">
        <v>3.232547733843817E-3</v>
      </c>
      <c r="BT57" s="880" t="str">
        <v/>
      </c>
      <c r="BU57" s="880" t="str">
        <v/>
      </c>
      <c r="BV57" s="880">
        <v>2.9380114432997232E-3</v>
      </c>
      <c r="BW57" s="880">
        <v>1.7895333801019296E-3</v>
      </c>
      <c r="BX57" s="880">
        <v>3.232547733843817E-3</v>
      </c>
      <c r="BY57" s="880">
        <v>1.7895333801019296E-3</v>
      </c>
      <c r="BZ57" s="880" t="str">
        <v/>
      </c>
      <c r="CA57" s="880" t="str">
        <v/>
      </c>
      <c r="CB57" s="880" t="str">
        <v/>
      </c>
      <c r="CC57" s="880" t="str">
        <v/>
      </c>
      <c r="CD57" s="880" t="str">
        <v/>
      </c>
      <c r="CE57" s="880" t="str">
        <v/>
      </c>
      <c r="CF57" s="880" t="str">
        <v/>
      </c>
      <c r="CG57" s="880" t="str">
        <v/>
      </c>
      <c r="CH57" s="880" t="str">
        <v/>
      </c>
      <c r="CI57" s="880" t="str">
        <v/>
      </c>
      <c r="CJ57" s="880" t="str">
        <v/>
      </c>
      <c r="CK57" s="880" t="str">
        <v/>
      </c>
      <c r="CL57" s="880" t="str">
        <v/>
      </c>
      <c r="CM57" s="880" t="str">
        <v/>
      </c>
      <c r="CN57" s="880" t="str">
        <v/>
      </c>
      <c r="CO57" s="880" t="str">
        <v/>
      </c>
      <c r="CP57" s="880" t="str">
        <v/>
      </c>
      <c r="CQ57" s="880" t="str">
        <v/>
      </c>
      <c r="CR57" s="880" t="str">
        <v/>
      </c>
      <c r="CS57" s="880" t="str">
        <v/>
      </c>
      <c r="CT57" s="880" t="str">
        <v/>
      </c>
      <c r="CU57" s="880" t="str">
        <v/>
      </c>
      <c r="CV57" s="880" t="str">
        <v/>
      </c>
      <c r="CW57" s="880" t="str">
        <v/>
      </c>
      <c r="CX57" s="880" t="str">
        <v/>
      </c>
      <c r="CY57" s="879" t="str">
        <v/>
      </c>
      <c r="CZ57" s="880" t="str">
        <v/>
      </c>
      <c r="DA57" s="880" t="str">
        <v/>
      </c>
      <c r="DB57" s="880" t="str">
        <v/>
      </c>
      <c r="DC57" s="880" t="str">
        <v/>
      </c>
      <c r="DD57" s="880" t="str">
        <v/>
      </c>
      <c r="DE57" s="880" t="str">
        <v/>
      </c>
      <c r="DF57" s="880" t="str">
        <v/>
      </c>
      <c r="DG57" s="880" t="str">
        <v/>
      </c>
      <c r="DH57" s="880" t="str">
        <v/>
      </c>
      <c r="DI57" s="880" t="str">
        <v/>
      </c>
      <c r="DJ57" s="880" t="str">
        <v/>
      </c>
      <c r="DK57" s="880" t="str">
        <v/>
      </c>
      <c r="DL57" s="880" t="str">
        <v/>
      </c>
      <c r="DM57" s="880" t="str">
        <v/>
      </c>
      <c r="DN57" s="880" t="str">
        <v/>
      </c>
      <c r="DO57" s="880" t="str">
        <v/>
      </c>
      <c r="DP57" s="880" t="str">
        <v/>
      </c>
      <c r="DQ57" s="880" t="str">
        <v/>
      </c>
      <c r="DR57" s="880" t="str">
        <v/>
      </c>
      <c r="DS57" s="880" t="str">
        <v/>
      </c>
      <c r="DT57" s="880" t="str">
        <v/>
      </c>
      <c r="DU57" s="880" t="str">
        <v/>
      </c>
      <c r="DV57" s="880" t="str">
        <v/>
      </c>
      <c r="DW57" s="880" t="str">
        <v/>
      </c>
      <c r="DX57" s="880">
        <v>3.232547733843817E-3</v>
      </c>
      <c r="DY57" s="880">
        <v>3.232547733843817E-3</v>
      </c>
      <c r="DZ57" s="880">
        <v>3.232547733843817E-3</v>
      </c>
      <c r="EA57" s="880">
        <v>3.232547733843817E-3</v>
      </c>
      <c r="EB57" s="880">
        <v>3.232547733843817E-3</v>
      </c>
      <c r="EC57" s="880" t="str">
        <v/>
      </c>
      <c r="ED57" s="880" t="str">
        <v/>
      </c>
      <c r="EE57" s="880" t="str">
        <v/>
      </c>
      <c r="EF57" s="880" t="str">
        <v/>
      </c>
      <c r="EG57" s="880" t="str">
        <v/>
      </c>
      <c r="EH57" s="880" t="str">
        <v/>
      </c>
      <c r="EI57" s="880" t="str">
        <v/>
      </c>
      <c r="EJ57" s="880" t="str">
        <v/>
      </c>
      <c r="EK57" s="880" t="str">
        <v/>
      </c>
      <c r="EL57" s="880" t="str">
        <v/>
      </c>
      <c r="EM57" s="880" t="str">
        <v/>
      </c>
      <c r="EN57" s="880" t="str">
        <v/>
      </c>
      <c r="EO57" s="880" t="str">
        <v/>
      </c>
      <c r="EP57" s="880" t="str">
        <v/>
      </c>
      <c r="EQ57" s="880" t="str">
        <v/>
      </c>
      <c r="ER57" s="880" t="str">
        <v/>
      </c>
      <c r="ES57" s="880" t="str">
        <v/>
      </c>
      <c r="ET57" s="880" t="str">
        <v/>
      </c>
      <c r="EU57" s="880" t="str">
        <v/>
      </c>
      <c r="EV57" s="880" t="str">
        <v/>
      </c>
      <c r="EW57" s="880" t="str">
        <v/>
      </c>
      <c r="EX57" s="880" t="str">
        <v/>
      </c>
      <c r="EY57" s="880" t="str">
        <v/>
      </c>
      <c r="EZ57" s="880" t="str">
        <v/>
      </c>
      <c r="FA57" s="880" t="str">
        <v/>
      </c>
      <c r="FB57" s="880" t="str">
        <v/>
      </c>
      <c r="FC57" s="880" t="str">
        <v/>
      </c>
      <c r="FD57" s="880" t="str">
        <v/>
      </c>
      <c r="FE57" s="880" t="str">
        <v/>
      </c>
      <c r="FF57" s="880" t="str">
        <v/>
      </c>
      <c r="FG57" s="880" t="str">
        <v/>
      </c>
      <c r="FH57" s="880" t="str">
        <v/>
      </c>
      <c r="FI57" s="880" t="str">
        <v/>
      </c>
      <c r="FJ57" s="880" t="str">
        <v/>
      </c>
      <c r="FK57" s="880" t="str">
        <v/>
      </c>
      <c r="FL57" s="880" t="str">
        <v/>
      </c>
      <c r="FM57" s="880" t="str">
        <v/>
      </c>
      <c r="FN57" s="880">
        <v>2.9380114432997232E-3</v>
      </c>
      <c r="FO57" s="880" t="str">
        <v/>
      </c>
      <c r="FP57" s="880" t="str">
        <v/>
      </c>
      <c r="FQ57" s="880" t="str">
        <v/>
      </c>
      <c r="FR57" s="880" t="str">
        <v/>
      </c>
      <c r="FS57" s="880" t="str">
        <v/>
      </c>
      <c r="FT57" s="880" t="str">
        <v/>
      </c>
      <c r="FU57" s="880" t="str">
        <v/>
      </c>
      <c r="FV57" s="880" t="str">
        <v/>
      </c>
      <c r="FW57" s="880" t="str">
        <v/>
      </c>
      <c r="FX57" s="880" t="str">
        <v/>
      </c>
      <c r="FY57" s="880" t="str">
        <v/>
      </c>
      <c r="FZ57" s="880" t="str">
        <v/>
      </c>
      <c r="GA57" s="880" t="str">
        <v/>
      </c>
      <c r="GB57" s="880" t="str">
        <v/>
      </c>
      <c r="GC57" s="880" t="str">
        <v/>
      </c>
      <c r="GD57" s="880" t="str">
        <v/>
      </c>
      <c r="GE57" s="880" t="str">
        <v/>
      </c>
      <c r="GF57" s="880" t="str">
        <v/>
      </c>
      <c r="GG57" s="880" t="str">
        <v/>
      </c>
      <c r="GH57" s="880" t="str">
        <v/>
      </c>
      <c r="GI57" s="880" t="str">
        <v/>
      </c>
      <c r="GJ57" s="880" t="str">
        <v/>
      </c>
      <c r="GK57" s="880" t="str">
        <v/>
      </c>
      <c r="GL57" s="880" t="str">
        <v/>
      </c>
      <c r="GM57" s="880" t="str">
        <v/>
      </c>
      <c r="GN57" s="880" t="str">
        <v/>
      </c>
      <c r="GO57" s="880" t="str">
        <v/>
      </c>
      <c r="GP57" s="880" t="str">
        <v/>
      </c>
      <c r="GQ57" s="880" t="str">
        <v/>
      </c>
      <c r="GR57" s="880" t="str">
        <v/>
      </c>
      <c r="GS57" s="880" t="str">
        <v/>
      </c>
      <c r="GT57" s="880" t="str">
        <v/>
      </c>
      <c r="GU57" s="880" t="str">
        <v/>
      </c>
      <c r="GV57" s="880" t="str">
        <v/>
      </c>
      <c r="GW57" s="880" t="str">
        <v/>
      </c>
      <c r="GX57" s="880" t="str">
        <v/>
      </c>
      <c r="GY57" s="880" t="str">
        <v/>
      </c>
      <c r="GZ57" s="880" t="str">
        <v/>
      </c>
      <c r="HA57" s="880" t="str">
        <v/>
      </c>
      <c r="HB57" s="880" t="str">
        <v/>
      </c>
      <c r="HC57" s="880" t="str">
        <v/>
      </c>
      <c r="HD57" s="880" t="str">
        <v/>
      </c>
      <c r="HE57" s="880" t="str">
        <v/>
      </c>
      <c r="HF57" s="880" t="str">
        <v/>
      </c>
      <c r="HG57" s="880" t="str">
        <v/>
      </c>
      <c r="HH57" s="880" t="str">
        <v/>
      </c>
      <c r="HI57" s="880" t="str">
        <v/>
      </c>
      <c r="HJ57" s="880" t="str">
        <v/>
      </c>
      <c r="HK57" s="880" t="str">
        <v/>
      </c>
      <c r="HL57" s="880" t="str">
        <v/>
      </c>
      <c r="HM57" s="880" t="str">
        <v/>
      </c>
      <c r="HN57" s="880" t="str">
        <v/>
      </c>
      <c r="HO57" s="880" t="str">
        <v/>
      </c>
      <c r="HP57" s="880" t="str">
        <v/>
      </c>
      <c r="HQ57" s="880" t="str">
        <v/>
      </c>
      <c r="HR57" s="880" t="str">
        <v/>
      </c>
      <c r="HS57" s="880" t="str">
        <v/>
      </c>
      <c r="HT57" s="880" t="str">
        <v/>
      </c>
      <c r="HU57" s="880" t="str">
        <v/>
      </c>
      <c r="HV57" s="880" t="str">
        <v/>
      </c>
      <c r="HW57" s="880" t="str">
        <v/>
      </c>
      <c r="HX57" s="880" t="str">
        <v/>
      </c>
      <c r="HY57" s="880" t="str">
        <v/>
      </c>
      <c r="HZ57" s="880" t="str">
        <v/>
      </c>
      <c r="IA57" s="880" t="str">
        <v/>
      </c>
      <c r="IB57" s="880" t="str">
        <v/>
      </c>
      <c r="IC57" s="880" t="str">
        <v/>
      </c>
      <c r="ID57" s="880" t="str">
        <v/>
      </c>
      <c r="IE57" s="880" t="str">
        <v/>
      </c>
      <c r="IF57" s="880" t="str">
        <v/>
      </c>
      <c r="IG57" s="880" t="str">
        <v/>
      </c>
      <c r="IH57" s="880" t="str">
        <v/>
      </c>
      <c r="II57" s="880" t="str">
        <v/>
      </c>
      <c r="IJ57" s="880" t="str">
        <v/>
      </c>
      <c r="IK57" s="880" t="str">
        <v/>
      </c>
      <c r="IL57" s="880" t="str">
        <v/>
      </c>
      <c r="IM57" s="880" t="str">
        <v/>
      </c>
      <c r="IN57" s="880" t="str">
        <v/>
      </c>
      <c r="IO57" s="880" t="str">
        <v/>
      </c>
      <c r="IP57" s="880" t="str">
        <v/>
      </c>
      <c r="IQ57" s="880" t="str">
        <v/>
      </c>
      <c r="IR57" s="880" t="str">
        <v/>
      </c>
      <c r="IS57" s="880" t="str">
        <v/>
      </c>
      <c r="IT57" s="880" t="str">
        <v/>
      </c>
      <c r="IU57" s="880" t="str">
        <v/>
      </c>
      <c r="IV57" s="880" t="str">
        <v/>
      </c>
      <c r="IW57" s="880" t="str">
        <v/>
      </c>
      <c r="IX57" s="880" t="str">
        <v/>
      </c>
      <c r="IY57" s="880" t="str">
        <v/>
      </c>
      <c r="IZ57" s="880" t="str">
        <v/>
      </c>
      <c r="JA57" s="880" t="str">
        <v/>
      </c>
      <c r="JB57" s="880" t="str">
        <v/>
      </c>
      <c r="JC57" s="880" t="str">
        <v/>
      </c>
      <c r="JD57" s="880" t="str">
        <v/>
      </c>
      <c r="JE57" s="880" t="str">
        <v/>
      </c>
      <c r="JF57" s="880" t="str">
        <v/>
      </c>
      <c r="JG57" s="880" t="str">
        <v/>
      </c>
      <c r="JH57" s="880" t="str">
        <v/>
      </c>
      <c r="JI57" s="880" t="str">
        <v/>
      </c>
      <c r="JJ57" s="880" t="str">
        <v/>
      </c>
      <c r="JK57" s="880" t="str">
        <v/>
      </c>
      <c r="JL57" s="880" t="str">
        <v/>
      </c>
      <c r="JM57" s="880" t="str">
        <v/>
      </c>
      <c r="JN57" s="880" t="str">
        <v/>
      </c>
      <c r="JO57" s="880" t="str">
        <v/>
      </c>
      <c r="JP57" s="880" t="str">
        <v/>
      </c>
      <c r="JQ57" s="880" t="str">
        <v/>
      </c>
      <c r="JR57" s="880" t="str">
        <v/>
      </c>
      <c r="JS57" s="880" t="str">
        <v/>
      </c>
      <c r="JT57" s="880" t="str">
        <v/>
      </c>
      <c r="JU57" s="880" t="str">
        <v/>
      </c>
      <c r="JV57" s="880" t="str">
        <v/>
      </c>
      <c r="JW57" s="880" t="str">
        <v/>
      </c>
      <c r="JX57" s="880" t="str">
        <v/>
      </c>
      <c r="JY57" s="880" t="str">
        <v/>
      </c>
      <c r="JZ57" s="880" t="str">
        <v/>
      </c>
      <c r="KA57" s="880" t="str">
        <v/>
      </c>
      <c r="KB57" s="880" t="str">
        <v/>
      </c>
      <c r="KC57" s="880" t="str">
        <v/>
      </c>
      <c r="KD57" s="880" t="str">
        <v/>
      </c>
      <c r="KE57" s="880" t="str">
        <v/>
      </c>
      <c r="KF57" s="880" t="str">
        <v/>
      </c>
      <c r="KG57" s="880" t="str">
        <v/>
      </c>
      <c r="KH57" s="880" t="str">
        <v/>
      </c>
      <c r="KI57" s="880" t="str">
        <v/>
      </c>
      <c r="KJ57" s="880" t="str">
        <v/>
      </c>
      <c r="KK57" s="880" t="str">
        <v/>
      </c>
      <c r="KL57" s="880" t="str">
        <v/>
      </c>
      <c r="KM57" s="880" t="str">
        <v/>
      </c>
      <c r="KN57" s="880" t="str">
        <v/>
      </c>
      <c r="KO57" s="880" t="str">
        <v/>
      </c>
      <c r="KP57" s="913" t="str">
        <v/>
      </c>
      <c r="KQ57" s="700"/>
    </row>
    <row r="58" spans="1:303" s="188" customFormat="1" hidden="1" x14ac:dyDescent="0.45">
      <c r="A58" s="1767"/>
      <c r="B58" s="146" t="s">
        <v>308</v>
      </c>
      <c r="C58" s="1074" t="str">
        <v/>
      </c>
      <c r="D58" s="1075" t="str">
        <v/>
      </c>
      <c r="E58" s="1075" t="str">
        <v/>
      </c>
      <c r="F58" s="1075" t="str">
        <v/>
      </c>
      <c r="G58" s="1075" t="str">
        <v/>
      </c>
      <c r="H58" s="1075" t="str">
        <v/>
      </c>
      <c r="I58" s="1075" t="str">
        <v/>
      </c>
      <c r="J58" s="1075" t="str">
        <v/>
      </c>
      <c r="K58" s="1075" t="str">
        <v/>
      </c>
      <c r="L58" s="1075" t="str">
        <v/>
      </c>
      <c r="M58" s="1075" t="str">
        <v/>
      </c>
      <c r="N58" s="1075" t="str">
        <v/>
      </c>
      <c r="O58" s="1075" t="str">
        <v/>
      </c>
      <c r="P58" s="1075" t="str">
        <v/>
      </c>
      <c r="Q58" s="1075" t="str">
        <v/>
      </c>
      <c r="R58" s="1075" t="str">
        <v/>
      </c>
      <c r="S58" s="1075" t="str">
        <v/>
      </c>
      <c r="T58" s="1075" t="str">
        <v/>
      </c>
      <c r="U58" s="1075" t="str">
        <v/>
      </c>
      <c r="V58" s="1075" t="str">
        <v/>
      </c>
      <c r="W58" s="1075" t="str">
        <v/>
      </c>
      <c r="X58" s="1075" t="str">
        <v/>
      </c>
      <c r="Y58" s="1075" t="str">
        <v/>
      </c>
      <c r="Z58" s="1075" t="str">
        <v/>
      </c>
      <c r="AA58" s="1075" t="str">
        <v/>
      </c>
      <c r="AB58" s="1075" t="str">
        <v/>
      </c>
      <c r="AC58" s="1075" t="str">
        <v/>
      </c>
      <c r="AD58" s="1075" t="str">
        <v/>
      </c>
      <c r="AE58" s="1075" t="str">
        <v/>
      </c>
      <c r="AF58" s="1075" t="str">
        <v/>
      </c>
      <c r="AG58" s="1075" t="str">
        <v/>
      </c>
      <c r="AH58" s="1075" t="str">
        <v/>
      </c>
      <c r="AI58" s="1075" t="str">
        <v/>
      </c>
      <c r="AJ58" s="1075" t="str">
        <v/>
      </c>
      <c r="AK58" s="1075" t="str">
        <v/>
      </c>
      <c r="AL58" s="1075" t="str">
        <v/>
      </c>
      <c r="AM58" s="1075" t="str">
        <v/>
      </c>
      <c r="AN58" s="1075" t="str">
        <v/>
      </c>
      <c r="AO58" s="1075" t="str">
        <v/>
      </c>
      <c r="AP58" s="1075" t="str">
        <v/>
      </c>
      <c r="AQ58" s="1075" t="str">
        <v/>
      </c>
      <c r="AR58" s="1075" t="str">
        <v/>
      </c>
      <c r="AS58" s="1075" t="str">
        <v/>
      </c>
      <c r="AT58" s="1075" t="str">
        <v/>
      </c>
      <c r="AU58" s="1075" t="str">
        <v/>
      </c>
      <c r="AV58" s="1075" t="str">
        <v/>
      </c>
      <c r="AW58" s="1075" t="str">
        <v/>
      </c>
      <c r="AX58" s="1075" t="str">
        <v/>
      </c>
      <c r="AY58" s="1075" t="str">
        <v/>
      </c>
      <c r="AZ58" s="1075" t="str">
        <v/>
      </c>
      <c r="BA58" s="1075" t="str">
        <v/>
      </c>
      <c r="BB58" s="1075" t="str">
        <v/>
      </c>
      <c r="BC58" s="1075" t="str">
        <v/>
      </c>
      <c r="BD58" s="1075" t="str">
        <v/>
      </c>
      <c r="BE58" s="1075" t="str">
        <v/>
      </c>
      <c r="BF58" s="1075" t="str">
        <v/>
      </c>
      <c r="BG58" s="1075" t="str">
        <v/>
      </c>
      <c r="BH58" s="1075" t="str">
        <v/>
      </c>
      <c r="BI58" s="1075" t="str">
        <v/>
      </c>
      <c r="BJ58" s="1075" t="str">
        <v/>
      </c>
      <c r="BK58" s="1075" t="str">
        <v/>
      </c>
      <c r="BL58" s="1075" t="str">
        <v/>
      </c>
      <c r="BM58" s="1075" t="str">
        <v/>
      </c>
      <c r="BN58" s="1075" t="str">
        <v/>
      </c>
      <c r="BO58" s="1075" t="str">
        <v/>
      </c>
      <c r="BP58" s="1075" t="str">
        <v/>
      </c>
      <c r="BQ58" s="1075" t="str">
        <v/>
      </c>
      <c r="BR58" s="1075" t="str">
        <v/>
      </c>
      <c r="BS58" s="1075" t="str">
        <v/>
      </c>
      <c r="BT58" s="1075" t="str">
        <v/>
      </c>
      <c r="BU58" s="1075" t="str">
        <v/>
      </c>
      <c r="BV58" s="1075" t="str">
        <v/>
      </c>
      <c r="BW58" s="1075" t="str">
        <v/>
      </c>
      <c r="BX58" s="1075" t="str">
        <v/>
      </c>
      <c r="BY58" s="1075">
        <v>3.232547733843817E-3</v>
      </c>
      <c r="BZ58" s="1075" t="str">
        <v/>
      </c>
      <c r="CA58" s="1075" t="str">
        <v/>
      </c>
      <c r="CB58" s="1075" t="str">
        <v/>
      </c>
      <c r="CC58" s="1075" t="str">
        <v/>
      </c>
      <c r="CD58" s="1075" t="str">
        <v/>
      </c>
      <c r="CE58" s="1075" t="str">
        <v/>
      </c>
      <c r="CF58" s="1075" t="str">
        <v/>
      </c>
      <c r="CG58" s="1075" t="str">
        <v/>
      </c>
      <c r="CH58" s="1075" t="str">
        <v/>
      </c>
      <c r="CI58" s="1075" t="str">
        <v/>
      </c>
      <c r="CJ58" s="1075" t="str">
        <v/>
      </c>
      <c r="CK58" s="1075" t="str">
        <v/>
      </c>
      <c r="CL58" s="1075" t="str">
        <v/>
      </c>
      <c r="CM58" s="1075" t="str">
        <v/>
      </c>
      <c r="CN58" s="1075" t="str">
        <v/>
      </c>
      <c r="CO58" s="1075" t="str">
        <v/>
      </c>
      <c r="CP58" s="1075" t="str">
        <v/>
      </c>
      <c r="CQ58" s="1075" t="str">
        <v/>
      </c>
      <c r="CR58" s="1075" t="str">
        <v/>
      </c>
      <c r="CS58" s="1075" t="str">
        <v/>
      </c>
      <c r="CT58" s="1075" t="str">
        <v/>
      </c>
      <c r="CU58" s="1075" t="str">
        <v/>
      </c>
      <c r="CV58" s="1075" t="str">
        <v/>
      </c>
      <c r="CW58" s="1075" t="str">
        <v/>
      </c>
      <c r="CX58" s="1075" t="str">
        <v/>
      </c>
      <c r="CY58" s="1074" t="str">
        <v/>
      </c>
      <c r="CZ58" s="1075" t="str">
        <v/>
      </c>
      <c r="DA58" s="1075" t="str">
        <v/>
      </c>
      <c r="DB58" s="1075" t="str">
        <v/>
      </c>
      <c r="DC58" s="1075" t="str">
        <v/>
      </c>
      <c r="DD58" s="1075" t="str">
        <v/>
      </c>
      <c r="DE58" s="1075" t="str">
        <v/>
      </c>
      <c r="DF58" s="1075" t="str">
        <v/>
      </c>
      <c r="DG58" s="1075" t="str">
        <v/>
      </c>
      <c r="DH58" s="1075" t="str">
        <v/>
      </c>
      <c r="DI58" s="1075" t="str">
        <v/>
      </c>
      <c r="DJ58" s="1075" t="str">
        <v/>
      </c>
      <c r="DK58" s="1075" t="str">
        <v/>
      </c>
      <c r="DL58" s="1075" t="str">
        <v/>
      </c>
      <c r="DM58" s="1075" t="str">
        <v/>
      </c>
      <c r="DN58" s="1075" t="str">
        <v/>
      </c>
      <c r="DO58" s="1075" t="str">
        <v/>
      </c>
      <c r="DP58" s="1075" t="str">
        <v/>
      </c>
      <c r="DQ58" s="1075" t="str">
        <v/>
      </c>
      <c r="DR58" s="1075" t="str">
        <v/>
      </c>
      <c r="DS58" s="1075" t="str">
        <v/>
      </c>
      <c r="DT58" s="1075" t="str">
        <v/>
      </c>
      <c r="DU58" s="1075" t="str">
        <v/>
      </c>
      <c r="DV58" s="1075" t="str">
        <v/>
      </c>
      <c r="DW58" s="1075" t="str">
        <v/>
      </c>
      <c r="DX58" s="1075" t="str">
        <v/>
      </c>
      <c r="DY58" s="1075" t="str">
        <v/>
      </c>
      <c r="DZ58" s="1075" t="str">
        <v/>
      </c>
      <c r="EA58" s="1075" t="str">
        <v/>
      </c>
      <c r="EB58" s="1075" t="str">
        <v/>
      </c>
      <c r="EC58" s="1075" t="str">
        <v/>
      </c>
      <c r="ED58" s="1075" t="str">
        <v/>
      </c>
      <c r="EE58" s="1075" t="str">
        <v/>
      </c>
      <c r="EF58" s="1075" t="str">
        <v/>
      </c>
      <c r="EG58" s="1075" t="str">
        <v/>
      </c>
      <c r="EH58" s="1075" t="str">
        <v/>
      </c>
      <c r="EI58" s="1075" t="str">
        <v/>
      </c>
      <c r="EJ58" s="1075" t="str">
        <v/>
      </c>
      <c r="EK58" s="1075" t="str">
        <v/>
      </c>
      <c r="EL58" s="1075" t="str">
        <v/>
      </c>
      <c r="EM58" s="1075" t="str">
        <v/>
      </c>
      <c r="EN58" s="1075" t="str">
        <v/>
      </c>
      <c r="EO58" s="1075" t="str">
        <v/>
      </c>
      <c r="EP58" s="1075" t="str">
        <v/>
      </c>
      <c r="EQ58" s="1075" t="str">
        <v/>
      </c>
      <c r="ER58" s="1075" t="str">
        <v/>
      </c>
      <c r="ES58" s="1075" t="str">
        <v/>
      </c>
      <c r="ET58" s="1075" t="str">
        <v/>
      </c>
      <c r="EU58" s="1075" t="str">
        <v/>
      </c>
      <c r="EV58" s="1075" t="str">
        <v/>
      </c>
      <c r="EW58" s="1075" t="str">
        <v/>
      </c>
      <c r="EX58" s="1075" t="str">
        <v/>
      </c>
      <c r="EY58" s="1075" t="str">
        <v/>
      </c>
      <c r="EZ58" s="1075" t="str">
        <v/>
      </c>
      <c r="FA58" s="1075" t="str">
        <v/>
      </c>
      <c r="FB58" s="1075" t="str">
        <v/>
      </c>
      <c r="FC58" s="1075" t="str">
        <v/>
      </c>
      <c r="FD58" s="1075" t="str">
        <v/>
      </c>
      <c r="FE58" s="1075" t="str">
        <v/>
      </c>
      <c r="FF58" s="1075" t="str">
        <v/>
      </c>
      <c r="FG58" s="1075" t="str">
        <v/>
      </c>
      <c r="FH58" s="1075" t="str">
        <v/>
      </c>
      <c r="FI58" s="1075" t="str">
        <v/>
      </c>
      <c r="FJ58" s="1075" t="str">
        <v/>
      </c>
      <c r="FK58" s="1075" t="str">
        <v/>
      </c>
      <c r="FL58" s="1075" t="str">
        <v/>
      </c>
      <c r="FM58" s="1075" t="str">
        <v/>
      </c>
      <c r="FN58" s="1075" t="str">
        <v/>
      </c>
      <c r="FO58" s="1075" t="str">
        <v/>
      </c>
      <c r="FP58" s="1075" t="str">
        <v/>
      </c>
      <c r="FQ58" s="1075" t="str">
        <v/>
      </c>
      <c r="FR58" s="1075" t="str">
        <v/>
      </c>
      <c r="FS58" s="1075" t="str">
        <v/>
      </c>
      <c r="FT58" s="1075" t="str">
        <v/>
      </c>
      <c r="FU58" s="1075" t="str">
        <v/>
      </c>
      <c r="FV58" s="1075" t="str">
        <v/>
      </c>
      <c r="FW58" s="1075" t="str">
        <v/>
      </c>
      <c r="FX58" s="1075" t="str">
        <v/>
      </c>
      <c r="FY58" s="1075" t="str">
        <v/>
      </c>
      <c r="FZ58" s="1075" t="str">
        <v/>
      </c>
      <c r="GA58" s="1075" t="str">
        <v/>
      </c>
      <c r="GB58" s="1075" t="str">
        <v/>
      </c>
      <c r="GC58" s="1075" t="str">
        <v/>
      </c>
      <c r="GD58" s="1075" t="str">
        <v/>
      </c>
      <c r="GE58" s="1075" t="str">
        <v/>
      </c>
      <c r="GF58" s="1075" t="str">
        <v/>
      </c>
      <c r="GG58" s="1075" t="str">
        <v/>
      </c>
      <c r="GH58" s="1075" t="str">
        <v/>
      </c>
      <c r="GI58" s="1075" t="str">
        <v/>
      </c>
      <c r="GJ58" s="1075" t="str">
        <v/>
      </c>
      <c r="GK58" s="1075" t="str">
        <v/>
      </c>
      <c r="GL58" s="1075" t="str">
        <v/>
      </c>
      <c r="GM58" s="1075" t="str">
        <v/>
      </c>
      <c r="GN58" s="1075" t="str">
        <v/>
      </c>
      <c r="GO58" s="1075" t="str">
        <v/>
      </c>
      <c r="GP58" s="1075" t="str">
        <v/>
      </c>
      <c r="GQ58" s="1075" t="str">
        <v/>
      </c>
      <c r="GR58" s="1075" t="str">
        <v/>
      </c>
      <c r="GS58" s="1075" t="str">
        <v/>
      </c>
      <c r="GT58" s="1075" t="str">
        <v/>
      </c>
      <c r="GU58" s="1075" t="str">
        <v/>
      </c>
      <c r="GV58" s="1075" t="str">
        <v/>
      </c>
      <c r="GW58" s="1075" t="str">
        <v/>
      </c>
      <c r="GX58" s="1075" t="str">
        <v/>
      </c>
      <c r="GY58" s="1075" t="str">
        <v/>
      </c>
      <c r="GZ58" s="1075" t="str">
        <v/>
      </c>
      <c r="HA58" s="1075" t="str">
        <v/>
      </c>
      <c r="HB58" s="1075" t="str">
        <v/>
      </c>
      <c r="HC58" s="1075" t="str">
        <v/>
      </c>
      <c r="HD58" s="1075" t="str">
        <v/>
      </c>
      <c r="HE58" s="1075" t="str">
        <v/>
      </c>
      <c r="HF58" s="1075" t="str">
        <v/>
      </c>
      <c r="HG58" s="1075" t="str">
        <v/>
      </c>
      <c r="HH58" s="1075" t="str">
        <v/>
      </c>
      <c r="HI58" s="1075" t="str">
        <v/>
      </c>
      <c r="HJ58" s="1075" t="str">
        <v/>
      </c>
      <c r="HK58" s="1075" t="str">
        <v/>
      </c>
      <c r="HL58" s="1075" t="str">
        <v/>
      </c>
      <c r="HM58" s="1075" t="str">
        <v/>
      </c>
      <c r="HN58" s="1075" t="str">
        <v/>
      </c>
      <c r="HO58" s="1075" t="str">
        <v/>
      </c>
      <c r="HP58" s="1075" t="str">
        <v/>
      </c>
      <c r="HQ58" s="1075" t="str">
        <v/>
      </c>
      <c r="HR58" s="1075" t="str">
        <v/>
      </c>
      <c r="HS58" s="1075" t="str">
        <v/>
      </c>
      <c r="HT58" s="1075" t="str">
        <v/>
      </c>
      <c r="HU58" s="1075" t="str">
        <v/>
      </c>
      <c r="HV58" s="1075" t="str">
        <v/>
      </c>
      <c r="HW58" s="1075" t="str">
        <v/>
      </c>
      <c r="HX58" s="1075" t="str">
        <v/>
      </c>
      <c r="HY58" s="1075" t="str">
        <v/>
      </c>
      <c r="HZ58" s="1075" t="str">
        <v/>
      </c>
      <c r="IA58" s="1075" t="str">
        <v/>
      </c>
      <c r="IB58" s="1075" t="str">
        <v/>
      </c>
      <c r="IC58" s="1075" t="str">
        <v/>
      </c>
      <c r="ID58" s="1075" t="str">
        <v/>
      </c>
      <c r="IE58" s="1075" t="str">
        <v/>
      </c>
      <c r="IF58" s="1075" t="str">
        <v/>
      </c>
      <c r="IG58" s="1075" t="str">
        <v/>
      </c>
      <c r="IH58" s="1075" t="str">
        <v/>
      </c>
      <c r="II58" s="1075" t="str">
        <v/>
      </c>
      <c r="IJ58" s="1075" t="str">
        <v/>
      </c>
      <c r="IK58" s="1075" t="str">
        <v/>
      </c>
      <c r="IL58" s="1075" t="str">
        <v/>
      </c>
      <c r="IM58" s="1075" t="str">
        <v/>
      </c>
      <c r="IN58" s="1075" t="str">
        <v/>
      </c>
      <c r="IO58" s="1075" t="str">
        <v/>
      </c>
      <c r="IP58" s="1075" t="str">
        <v/>
      </c>
      <c r="IQ58" s="1075" t="str">
        <v/>
      </c>
      <c r="IR58" s="1075" t="str">
        <v/>
      </c>
      <c r="IS58" s="1075" t="str">
        <v/>
      </c>
      <c r="IT58" s="1075" t="str">
        <v/>
      </c>
      <c r="IU58" s="1075" t="str">
        <v/>
      </c>
      <c r="IV58" s="1075" t="str">
        <v/>
      </c>
      <c r="IW58" s="1075" t="str">
        <v/>
      </c>
      <c r="IX58" s="1075" t="str">
        <v/>
      </c>
      <c r="IY58" s="1075" t="str">
        <v/>
      </c>
      <c r="IZ58" s="1075" t="str">
        <v/>
      </c>
      <c r="JA58" s="1075" t="str">
        <v/>
      </c>
      <c r="JB58" s="1075" t="str">
        <v/>
      </c>
      <c r="JC58" s="1075" t="str">
        <v/>
      </c>
      <c r="JD58" s="1075" t="str">
        <v/>
      </c>
      <c r="JE58" s="1075" t="str">
        <v/>
      </c>
      <c r="JF58" s="1075" t="str">
        <v/>
      </c>
      <c r="JG58" s="1075" t="str">
        <v/>
      </c>
      <c r="JH58" s="1075" t="str">
        <v/>
      </c>
      <c r="JI58" s="1075" t="str">
        <v/>
      </c>
      <c r="JJ58" s="1075" t="str">
        <v/>
      </c>
      <c r="JK58" s="1075" t="str">
        <v/>
      </c>
      <c r="JL58" s="1075" t="str">
        <v/>
      </c>
      <c r="JM58" s="1075" t="str">
        <v/>
      </c>
      <c r="JN58" s="1075" t="str">
        <v/>
      </c>
      <c r="JO58" s="1075" t="str">
        <v/>
      </c>
      <c r="JP58" s="1075" t="str">
        <v/>
      </c>
      <c r="JQ58" s="1075" t="str">
        <v/>
      </c>
      <c r="JR58" s="1075" t="str">
        <v/>
      </c>
      <c r="JS58" s="1075" t="str">
        <v/>
      </c>
      <c r="JT58" s="1075" t="str">
        <v/>
      </c>
      <c r="JU58" s="1075" t="str">
        <v/>
      </c>
      <c r="JV58" s="1075" t="str">
        <v/>
      </c>
      <c r="JW58" s="1075" t="str">
        <v/>
      </c>
      <c r="JX58" s="1075" t="str">
        <v/>
      </c>
      <c r="JY58" s="1075" t="str">
        <v/>
      </c>
      <c r="JZ58" s="1075" t="str">
        <v/>
      </c>
      <c r="KA58" s="1075" t="str">
        <v/>
      </c>
      <c r="KB58" s="1075" t="str">
        <v/>
      </c>
      <c r="KC58" s="1075" t="str">
        <v/>
      </c>
      <c r="KD58" s="1075" t="str">
        <v/>
      </c>
      <c r="KE58" s="1075" t="str">
        <v/>
      </c>
      <c r="KF58" s="1075" t="str">
        <v/>
      </c>
      <c r="KG58" s="1075" t="str">
        <v/>
      </c>
      <c r="KH58" s="1075" t="str">
        <v/>
      </c>
      <c r="KI58" s="1075" t="str">
        <v/>
      </c>
      <c r="KJ58" s="1075" t="str">
        <v/>
      </c>
      <c r="KK58" s="1075" t="str">
        <v/>
      </c>
      <c r="KL58" s="1075" t="str">
        <v/>
      </c>
      <c r="KM58" s="1075" t="str">
        <v/>
      </c>
      <c r="KN58" s="1075" t="str">
        <v/>
      </c>
      <c r="KO58" s="1075" t="str">
        <v/>
      </c>
      <c r="KP58" s="1076" t="str">
        <v/>
      </c>
      <c r="KQ58" s="700" t="s">
        <v>388</v>
      </c>
    </row>
    <row r="59" spans="1:303" s="188" customFormat="1" ht="71.25" hidden="1" customHeight="1" x14ac:dyDescent="0.45">
      <c r="A59" s="1759" t="s">
        <v>315</v>
      </c>
      <c r="B59" s="895">
        <v>1</v>
      </c>
      <c r="C59" s="587" t="str">
        <f t="array" ref="C59:KP61">IFERROR(INDEX(elements_aim,, sessions_elements_index),"")</f>
        <v xml:space="preserve">Allow safest recovery of the whole body. </v>
      </c>
      <c r="D59" s="587" t="str">
        <v xml:space="preserve">Improve aerobic fitness while minimising the chance of injury. </v>
      </c>
      <c r="E59" s="587" t="str">
        <v xml:space="preserve">Improve aerobic fitness while minimising the chance of injury. </v>
      </c>
      <c r="F59" s="587" t="str">
        <v>Improve aerobic fitness at an optimal rate.</v>
      </c>
      <c r="G59" s="587" t="str">
        <v xml:space="preserve">Improve aerobic fitness and energy utilisation. </v>
      </c>
      <c r="H59" s="587" t="str">
        <v xml:space="preserve">Improve aerobic fitness while minimising the chance of injury. </v>
      </c>
      <c r="I59" s="587" t="str">
        <v xml:space="preserve">Improve aerobic fitness while minimising the chance of injury. </v>
      </c>
      <c r="J59" s="587" t="str">
        <v xml:space="preserve">Improve aerobic fitness while minimising the chance of injury. </v>
      </c>
      <c r="K59" s="587" t="str">
        <v xml:space="preserve">Improve aerobic fitness while minimising the chance of injury. </v>
      </c>
      <c r="L59" s="587" t="str">
        <v xml:space="preserve">Improve aerobic fitness while minimising the chance of injury. </v>
      </c>
      <c r="M59" s="587" t="str">
        <v xml:space="preserve">Improve aerobic fitness while minimising the chance of injury. </v>
      </c>
      <c r="N59" s="587" t="str">
        <v xml:space="preserve">Improve aerobic fitness while minimising the chance of injury. </v>
      </c>
      <c r="O59" s="587" t="str">
        <v xml:space="preserve">Improve aerobic fitness while minimising the chance of injury. </v>
      </c>
      <c r="P59" s="587" t="str">
        <v xml:space="preserve">Improve aerobic fitness while minimising the chance of injury. </v>
      </c>
      <c r="Q59" s="587" t="str">
        <v xml:space="preserve">Improve aerobic fitness while minimising the chance of injury. </v>
      </c>
      <c r="R59" s="587" t="str">
        <v>Improve aerobic fitness at an optimal rate.</v>
      </c>
      <c r="S59" s="587" t="str">
        <v>Improve aerobic fitness at an optimal rate.</v>
      </c>
      <c r="T59" s="587" t="str">
        <v xml:space="preserve">Improve aerobic fitness and energy utilisation. </v>
      </c>
      <c r="U59" s="587" t="str">
        <v xml:space="preserve">Improve aerobic fitness and energy utilisation. </v>
      </c>
      <c r="V59" s="587" t="str">
        <v xml:space="preserve">Improve aerobic fitness and energy utilisation. </v>
      </c>
      <c r="W59" s="587" t="str">
        <v xml:space="preserve">Improve aerobic fitness and pacing control. </v>
      </c>
      <c r="X59" s="587" t="str">
        <v xml:space="preserve">Improve endurance by increasing lactate threshold and developing mental toughness. </v>
      </c>
      <c r="Y59" s="587" t="str">
        <v xml:space="preserve">Improve endurance by increasing lactate threshold and developing mental toughness. </v>
      </c>
      <c r="Z59" s="587" t="str">
        <v xml:space="preserve">Improve endurance by increasing lactate threshold and developing mental toughness. </v>
      </c>
      <c r="AA59" s="587" t="str">
        <v xml:space="preserve">Improve endurance by increasing lactate threshold and developing mental toughness. </v>
      </c>
      <c r="AB59" s="587" t="str">
        <v xml:space="preserve">Improve aerobic fitness and pacing control. </v>
      </c>
      <c r="AC59" s="587" t="str">
        <v xml:space="preserve">Improve endurance by increasing lactate threshold and developing mental toughness. </v>
      </c>
      <c r="AD59" s="587" t="str">
        <v xml:space="preserve">Improve endurance by increasing lactate threshold and developing mental toughness. </v>
      </c>
      <c r="AE59" s="587" t="str">
        <v xml:space="preserve">Improve endurance by increasing lactate threshold and developing mental toughness. </v>
      </c>
      <c r="AF59" s="587" t="str">
        <v xml:space="preserve">Improve endurance by increasing lactate threshold and developing mental toughness. </v>
      </c>
      <c r="AG59" s="587" t="str">
        <v xml:space="preserve">Improve endurance, VO2 max, and economy in varying amounts depending on the combination of efforts. </v>
      </c>
      <c r="AH59" s="587" t="str">
        <v xml:space="preserve">Improve endurance, VO2 max, and economy in varying amounts depending on the combination of efforts. </v>
      </c>
      <c r="AI59" s="587" t="str">
        <v xml:space="preserve">Improve endurance, VO2 max, and economy in varying amounts depending on the combination of efforts. </v>
      </c>
      <c r="AJ59" s="587" t="str">
        <v xml:space="preserve">Improve endurance, VO2 max, and economy in varying amounts depending on the combination of efforts. </v>
      </c>
      <c r="AK59" s="587" t="str">
        <v/>
      </c>
      <c r="AL59" s="587" t="str">
        <v/>
      </c>
      <c r="AM59" s="587" t="str">
        <v/>
      </c>
      <c r="AN59" s="587" t="str">
        <v/>
      </c>
      <c r="AO59" s="587" t="str">
        <v/>
      </c>
      <c r="AP59" s="587" t="str">
        <v/>
      </c>
      <c r="AQ59" s="587" t="str">
        <v xml:space="preserve">Improve VO2 max and develop metal toughness. </v>
      </c>
      <c r="AR59" s="587" t="str">
        <v xml:space="preserve">Improve VO2 max and develop metal toughness. </v>
      </c>
      <c r="AS59" s="587" t="str">
        <v xml:space="preserve">Improve VO2 max and develop metal toughness. </v>
      </c>
      <c r="AT59" s="587" t="str">
        <v xml:space="preserve">Improve VO2 max and develop metal toughness. </v>
      </c>
      <c r="AU59" s="587" t="str">
        <v xml:space="preserve">Improve VO2 max and develop metal toughness. </v>
      </c>
      <c r="AV59" s="587" t="str">
        <v xml:space="preserve">Improve VO2 max and develop metal toughness. </v>
      </c>
      <c r="AW59" s="587" t="str">
        <v xml:space="preserve">Improve VO2 max and develop metal toughness. </v>
      </c>
      <c r="AX59" s="587" t="str">
        <v xml:space="preserve">Improve VO2 max and develop metal toughness. </v>
      </c>
      <c r="AY59" s="587" t="str">
        <v xml:space="preserve">Improve VO2 max and develop metal toughness. </v>
      </c>
      <c r="AZ59" s="587" t="str">
        <v xml:space="preserve">Improve VO2 max and develop metal toughness. </v>
      </c>
      <c r="BA59" s="587" t="str">
        <v xml:space="preserve">Improve VO2 max and develop metal toughness. </v>
      </c>
      <c r="BB59" s="587" t="str">
        <v xml:space="preserve">Improve VO2 max and develop metal toughness. </v>
      </c>
      <c r="BC59" s="587" t="str">
        <v/>
      </c>
      <c r="BD59" s="587" t="str">
        <v/>
      </c>
      <c r="BE59" s="587" t="str">
        <v/>
      </c>
      <c r="BF59" s="587" t="str">
        <v/>
      </c>
      <c r="BG59" s="587" t="str">
        <v/>
      </c>
      <c r="BH59" s="587" t="str">
        <v/>
      </c>
      <c r="BI59" s="587" t="str">
        <v/>
      </c>
      <c r="BJ59" s="587" t="str">
        <v/>
      </c>
      <c r="BK59" s="587" t="str">
        <v xml:space="preserve">Improve anaerobic power and running mechanics. </v>
      </c>
      <c r="BL59" s="587" t="str">
        <v xml:space="preserve">Improve anaerobic power and running mechanics. </v>
      </c>
      <c r="BM59" s="587" t="str">
        <v xml:space="preserve">Improve anaerobic power and running mechanics. </v>
      </c>
      <c r="BN59" s="587" t="str">
        <v xml:space="preserve">Improve anaerobic power and running mechanics. </v>
      </c>
      <c r="BO59" s="587" t="str">
        <v xml:space="preserve">Improve anaerobic power and running mechanics. </v>
      </c>
      <c r="BP59" s="587" t="str">
        <v xml:space="preserve">Improve anaerobic power and running mechanics. </v>
      </c>
      <c r="BQ59" s="587" t="str">
        <v xml:space="preserve">Improve anaerobic power and running mechanics. </v>
      </c>
      <c r="BR59" s="587" t="str">
        <v xml:space="preserve">Improve anaerobic power and running mechanics. </v>
      </c>
      <c r="BS59" s="587" t="str">
        <v xml:space="preserve">Improve anaerobic power and running mechanics. </v>
      </c>
      <c r="BT59" s="587" t="str">
        <v/>
      </c>
      <c r="BU59" s="587" t="str">
        <v xml:space="preserve">Improve running economy and injury resistance. </v>
      </c>
      <c r="BV59" s="587" t="str">
        <v xml:space="preserve">Improve running economy and injury resistance. </v>
      </c>
      <c r="BW59" s="587" t="str">
        <v xml:space="preserve">Improve running economy and injury resistance. </v>
      </c>
      <c r="BX59" s="587" t="str">
        <v xml:space="preserve">Improve running economy and injury resistance. </v>
      </c>
      <c r="BY59" s="587" t="str">
        <v xml:space="preserve">Improve running economy and injury resistance. </v>
      </c>
      <c r="BZ59" s="587" t="str">
        <v xml:space="preserve">Release tension that develops in soft tissue from training and non-training stresses. </v>
      </c>
      <c r="CA59" s="587" t="str">
        <v xml:space="preserve">Increase strength of specific muscle groups, running economy and injury resistance. </v>
      </c>
      <c r="CB59" s="587" t="str">
        <v xml:space="preserve">Improve aerobic fitness while minimising the chance of injury. </v>
      </c>
      <c r="CC59" s="587" t="str">
        <v xml:space="preserve">Increase strength of specific muscle groups, running economy and injury resistance. </v>
      </c>
      <c r="CD59" s="587" t="str">
        <v xml:space="preserve">Improve aerobic fitness while minimising the chance of injury. </v>
      </c>
      <c r="CE59" s="587" t="str">
        <v>Push your physical and mental limits and put tactics and techniques to the test.</v>
      </c>
      <c r="CF59" s="587" t="str">
        <v>Push your physical and mental limits and put tactics and techniques to the test.</v>
      </c>
      <c r="CG59" s="587" t="str">
        <v>Push your physical and mental limits and put tactics and techniques to the test.</v>
      </c>
      <c r="CH59" s="587" t="str">
        <v>Push your physical and mental limits and put tactics and techniques to the test.</v>
      </c>
      <c r="CI59" s="587" t="str">
        <v>Push your physical and mental limits and put tactics and techniques to the test.</v>
      </c>
      <c r="CJ59" s="587" t="str">
        <v>Push your physical and mental limits and put tactics and techniques to the test.</v>
      </c>
      <c r="CK59" s="587" t="str">
        <v>Push your physical and mental limits and put tactics and techniques to the test.</v>
      </c>
      <c r="CL59" s="587" t="str">
        <v>Push your physical and mental limits and put tactics and techniques to the test.</v>
      </c>
      <c r="CM59" s="587" t="str">
        <v>Push your physical and mental limits and put tactics and techniques to the test.</v>
      </c>
      <c r="CN59" s="587" t="str">
        <v>Push your physical and mental limits and put tactics and techniques to the test.</v>
      </c>
      <c r="CO59" s="587" t="str">
        <v>Push your physical and mental limits and put tactics and techniques to the test.</v>
      </c>
      <c r="CP59" s="587" t="str">
        <v>Push your physical and mental limits and put tactics and techniques to the test.</v>
      </c>
      <c r="CQ59" s="587" t="str">
        <v>Push your physical and mental limits and put tactics and techniques to the test.</v>
      </c>
      <c r="CR59" s="587" t="str">
        <v>Push your physical and mental limits and put tactics and techniques to the test.</v>
      </c>
      <c r="CS59" s="587" t="str">
        <v>Push your physical and mental limits and put tactics and techniques to the test.</v>
      </c>
      <c r="CT59" s="587" t="str">
        <v>Push your physical and mental limits and put tactics and techniques to the test.</v>
      </c>
      <c r="CU59" s="587" t="str">
        <v>Push your physical and mental limits and put tactics and techniques to the test.</v>
      </c>
      <c r="CV59" s="587" t="str">
        <v>Push your physical and mental limits and put tactics and techniques to the test.</v>
      </c>
      <c r="CW59" s="587" t="str">
        <v>Push your physical and mental limits and put tactics and techniques to the test.</v>
      </c>
      <c r="CX59" s="587" t="str">
        <v>Push your physical and mental limits and put tactics and techniques to the test.</v>
      </c>
      <c r="CY59" s="586" t="str">
        <v xml:space="preserve">Allow safest recovery of the whole body. </v>
      </c>
      <c r="CZ59" s="587" t="str">
        <v xml:space="preserve">Improve aerobic fitness while minimising the chance of injury. </v>
      </c>
      <c r="DA59" s="587" t="str">
        <v xml:space="preserve">Improve aerobic fitness while minimising the chance of injury. </v>
      </c>
      <c r="DB59" s="587" t="str">
        <v>Improve aerobic fitness at an optimal rate.</v>
      </c>
      <c r="DC59" s="587" t="str">
        <v xml:space="preserve">Improve aerobic fitness and energy utilisation. </v>
      </c>
      <c r="DD59" s="587" t="str">
        <v xml:space="preserve">Improve aerobic fitness while minimising the chance of injury. </v>
      </c>
      <c r="DE59" s="587" t="str">
        <v xml:space="preserve">Improve aerobic fitness while minimising the chance of injury. </v>
      </c>
      <c r="DF59" s="587" t="str">
        <v xml:space="preserve">Improve aerobic fitness while minimising the chance of injury. </v>
      </c>
      <c r="DG59" s="587" t="str">
        <v xml:space="preserve">Improve aerobic fitness while minimising the chance of injury. </v>
      </c>
      <c r="DH59" s="587" t="str">
        <v xml:space="preserve">Improve aerobic fitness while minimising the chance of injury. </v>
      </c>
      <c r="DI59" s="587" t="str">
        <v xml:space="preserve">Improve aerobic fitness while minimising the chance of injury. </v>
      </c>
      <c r="DJ59" s="587" t="str">
        <v xml:space="preserve">Improve aerobic fitness while minimising the chance of injury. </v>
      </c>
      <c r="DK59" s="587" t="str">
        <v xml:space="preserve">Improve aerobic fitness while minimising the chance of injury. </v>
      </c>
      <c r="DL59" s="587" t="str">
        <v xml:space="preserve">Improve aerobic fitness while minimising the chance of injury. </v>
      </c>
      <c r="DM59" s="587" t="str">
        <v xml:space="preserve">Improve aerobic fitness while minimising the chance of injury. </v>
      </c>
      <c r="DN59" s="587" t="str">
        <v>Improve aerobic fitness at an optimal rate.</v>
      </c>
      <c r="DO59" s="587" t="str">
        <v>Improve aerobic fitness at an optimal rate.</v>
      </c>
      <c r="DP59" s="587" t="str">
        <v xml:space="preserve">Improve aerobic fitness and energy utilisation. </v>
      </c>
      <c r="DQ59" s="587" t="str">
        <v xml:space="preserve">Improve aerobic fitness and energy utilisation. </v>
      </c>
      <c r="DR59" s="587" t="str">
        <v xml:space="preserve">Improve aerobic fitness and energy utilisation. </v>
      </c>
      <c r="DS59" s="587" t="str">
        <v xml:space="preserve">Improve aerobic fitness and pacing control. </v>
      </c>
      <c r="DT59" s="587" t="str">
        <v xml:space="preserve">Improve endurance by increasing lactate threshold and developing mental toughness. </v>
      </c>
      <c r="DU59" s="587" t="str">
        <v xml:space="preserve">Improve endurance by increasing lactate threshold and developing mental toughness. </v>
      </c>
      <c r="DV59" s="587" t="str">
        <v xml:space="preserve">Improve endurance by increasing lactate threshold and developing mental toughness. </v>
      </c>
      <c r="DW59" s="587" t="str">
        <v xml:space="preserve">Improve endurance by increasing lactate threshold and developing mental toughness. </v>
      </c>
      <c r="DX59" s="587" t="str">
        <v xml:space="preserve">Improve aerobic fitness and pacing control. </v>
      </c>
      <c r="DY59" s="587" t="str">
        <v xml:space="preserve">Improve endurance by increasing lactate threshold and developing mental toughness. </v>
      </c>
      <c r="DZ59" s="587" t="str">
        <v xml:space="preserve">Improve endurance by increasing lactate threshold and developing mental toughness. </v>
      </c>
      <c r="EA59" s="587" t="str">
        <v xml:space="preserve">Improve endurance by increasing lactate threshold and developing mental toughness. </v>
      </c>
      <c r="EB59" s="587" t="str">
        <v xml:space="preserve">Improve endurance by increasing lactate threshold and developing mental toughness. </v>
      </c>
      <c r="EC59" s="587" t="str">
        <v xml:space="preserve">Improve endurance, VO2 max, and economy in varying amounts depending on the combination of efforts. </v>
      </c>
      <c r="ED59" s="587" t="str">
        <v xml:space="preserve">Improve endurance, VO2 max, and economy in varying amounts depending on the combination of efforts. </v>
      </c>
      <c r="EE59" s="587" t="str">
        <v xml:space="preserve">Improve endurance, VO2 max, and economy in varying amounts depending on the combination of efforts. </v>
      </c>
      <c r="EF59" s="587" t="str">
        <v xml:space="preserve">Improve endurance, VO2 max, and economy in varying amounts depending on the combination of efforts. </v>
      </c>
      <c r="EG59" s="587" t="str">
        <v/>
      </c>
      <c r="EH59" s="587" t="str">
        <v/>
      </c>
      <c r="EI59" s="587" t="str">
        <v/>
      </c>
      <c r="EJ59" s="587" t="str">
        <v/>
      </c>
      <c r="EK59" s="587" t="str">
        <v/>
      </c>
      <c r="EL59" s="587" t="str">
        <v/>
      </c>
      <c r="EM59" s="587" t="str">
        <v/>
      </c>
      <c r="EN59" s="587" t="str">
        <v/>
      </c>
      <c r="EO59" s="587" t="str">
        <v/>
      </c>
      <c r="EP59" s="587" t="str">
        <v/>
      </c>
      <c r="EQ59" s="587" t="str">
        <v/>
      </c>
      <c r="ER59" s="587" t="str">
        <v/>
      </c>
      <c r="ES59" s="587" t="str">
        <v/>
      </c>
      <c r="ET59" s="587" t="str">
        <v/>
      </c>
      <c r="EU59" s="587" t="str">
        <v/>
      </c>
      <c r="EV59" s="587" t="str">
        <v/>
      </c>
      <c r="EW59" s="587" t="str">
        <v/>
      </c>
      <c r="EX59" s="587" t="str">
        <v/>
      </c>
      <c r="EY59" s="587" t="str">
        <v/>
      </c>
      <c r="EZ59" s="587" t="str">
        <v/>
      </c>
      <c r="FA59" s="587" t="str">
        <v/>
      </c>
      <c r="FB59" s="587" t="str">
        <v/>
      </c>
      <c r="FC59" s="587" t="str">
        <v/>
      </c>
      <c r="FD59" s="587" t="str">
        <v/>
      </c>
      <c r="FE59" s="587" t="str">
        <v/>
      </c>
      <c r="FF59" s="587" t="str">
        <v/>
      </c>
      <c r="FG59" s="587" t="str">
        <v xml:space="preserve">Improve anaerobic power and running mechanics. </v>
      </c>
      <c r="FH59" s="587" t="str">
        <v xml:space="preserve">Improve anaerobic power and running mechanics. </v>
      </c>
      <c r="FI59" s="587" t="str">
        <v xml:space="preserve">Improve anaerobic power and running mechanics. </v>
      </c>
      <c r="FJ59" s="587" t="str">
        <v xml:space="preserve">Improve anaerobic power and running mechanics. </v>
      </c>
      <c r="FK59" s="587" t="str">
        <v xml:space="preserve">Improve anaerobic power and running mechanics. </v>
      </c>
      <c r="FL59" s="587" t="str">
        <v xml:space="preserve">Improve anaerobic power and running mechanics. </v>
      </c>
      <c r="FM59" s="587" t="str">
        <v xml:space="preserve">Improve anaerobic power and running mechanics. </v>
      </c>
      <c r="FN59" s="587" t="str">
        <v xml:space="preserve">Improve anaerobic power and running mechanics. </v>
      </c>
      <c r="FO59" s="587" t="str">
        <v xml:space="preserve">Improve anaerobic power and running mechanics. </v>
      </c>
      <c r="FP59" s="587" t="str">
        <v xml:space="preserve">Improve anaerobic power and running mechanics. </v>
      </c>
      <c r="FQ59" s="587" t="str">
        <v/>
      </c>
      <c r="FR59" s="587" t="str">
        <v/>
      </c>
      <c r="FS59" s="587" t="str">
        <v/>
      </c>
      <c r="FT59" s="587" t="str">
        <v/>
      </c>
      <c r="FU59" s="587" t="str">
        <v/>
      </c>
      <c r="FV59" s="587" t="str">
        <v/>
      </c>
      <c r="FW59" s="587" t="str">
        <v/>
      </c>
      <c r="FX59" s="587" t="str">
        <v/>
      </c>
      <c r="FY59" s="587" t="str">
        <v/>
      </c>
      <c r="FZ59" s="587" t="str">
        <v/>
      </c>
      <c r="GA59" s="587" t="str">
        <v>Push your physical and mental limits and put tactics and techniques to the test.</v>
      </c>
      <c r="GB59" s="587" t="str">
        <v>Push your physical and mental limits and put tactics and techniques to the test.</v>
      </c>
      <c r="GC59" s="587" t="str">
        <v>Push your physical and mental limits and put tactics and techniques to the test.</v>
      </c>
      <c r="GD59" s="587" t="str">
        <v>Push your physical and mental limits and put tactics and techniques to the test.</v>
      </c>
      <c r="GE59" s="587" t="str">
        <v>Push your physical and mental limits and put tactics and techniques to the test.</v>
      </c>
      <c r="GF59" s="587" t="str">
        <v>Push your physical and mental limits and put tactics and techniques to the test.</v>
      </c>
      <c r="GG59" s="587" t="str">
        <v>Push your physical and mental limits and put tactics and techniques to the test.</v>
      </c>
      <c r="GH59" s="587" t="str">
        <v>Push your physical and mental limits and put tactics and techniques to the test.</v>
      </c>
      <c r="GI59" s="587" t="str">
        <v>Push your physical and mental limits and put tactics and techniques to the test.</v>
      </c>
      <c r="GJ59" s="587" t="str">
        <v>Push your physical and mental limits and put tactics and techniques to the test.</v>
      </c>
      <c r="GK59" s="587" t="str">
        <v>Push your physical and mental limits and put tactics and techniques to the test.</v>
      </c>
      <c r="GL59" s="587" t="str">
        <v>Push your physical and mental limits and put tactics and techniques to the test.</v>
      </c>
      <c r="GM59" s="587" t="str">
        <v>Push your physical and mental limits and put tactics and techniques to the test.</v>
      </c>
      <c r="GN59" s="587" t="str">
        <v>Push your physical and mental limits and put tactics and techniques to the test.</v>
      </c>
      <c r="GO59" s="587" t="str">
        <v>Push your physical and mental limits and put tactics and techniques to the test.</v>
      </c>
      <c r="GP59" s="587" t="str">
        <v/>
      </c>
      <c r="GQ59" s="587" t="str">
        <v/>
      </c>
      <c r="GR59" s="587" t="str">
        <v/>
      </c>
      <c r="GS59" s="587" t="str">
        <v/>
      </c>
      <c r="GT59" s="587" t="str">
        <v/>
      </c>
      <c r="GU59" s="587" t="str">
        <v xml:space="preserve">Allow safest recovery of the whole body. </v>
      </c>
      <c r="GV59" s="587" t="str">
        <v xml:space="preserve">Improve aerobic fitness while minimising the chance of injury. </v>
      </c>
      <c r="GW59" s="587" t="str">
        <v xml:space="preserve">Improve aerobic fitness while minimising the chance of injury. </v>
      </c>
      <c r="GX59" s="587" t="str">
        <v>Improve aerobic fitness at an optimal rate.</v>
      </c>
      <c r="GY59" s="587" t="str">
        <v xml:space="preserve">Improve aerobic fitness and energy utilisation. </v>
      </c>
      <c r="GZ59" s="587" t="str">
        <v/>
      </c>
      <c r="HA59" s="587" t="str">
        <v/>
      </c>
      <c r="HB59" s="587" t="str">
        <v xml:space="preserve">Improve aerobic fitness while minimising the chance of injury. </v>
      </c>
      <c r="HC59" s="587" t="str">
        <v xml:space="preserve">Improve aerobic fitness while minimising the chance of injury. </v>
      </c>
      <c r="HD59" s="587" t="str">
        <v xml:space="preserve">Improve aerobic fitness while minimising the chance of injury. </v>
      </c>
      <c r="HE59" s="587" t="str">
        <v xml:space="preserve">Improve aerobic fitness while minimising the chance of injury. </v>
      </c>
      <c r="HF59" s="587" t="str">
        <v xml:space="preserve">Improve aerobic fitness while minimising the chance of injury. </v>
      </c>
      <c r="HG59" s="587" t="str">
        <v xml:space="preserve">Improve aerobic fitness while minimising the chance of injury. </v>
      </c>
      <c r="HH59" s="587" t="str">
        <v xml:space="preserve">Improve aerobic fitness while minimising the chance of injury. </v>
      </c>
      <c r="HI59" s="587" t="str">
        <v xml:space="preserve">Improve aerobic fitness while minimising the chance of injury. </v>
      </c>
      <c r="HJ59" s="587" t="str">
        <v>Improve aerobic fitness at an optimal rate.</v>
      </c>
      <c r="HK59" s="587" t="str">
        <v>Improve aerobic fitness at an optimal rate.</v>
      </c>
      <c r="HL59" s="587" t="str">
        <v xml:space="preserve">Improve aerobic fitness and energy utilisation. </v>
      </c>
      <c r="HM59" s="587" t="str">
        <v xml:space="preserve">Improve aerobic fitness and energy utilisation. </v>
      </c>
      <c r="HN59" s="587" t="str">
        <v xml:space="preserve">Improve aerobic fitness and energy utilisation. </v>
      </c>
      <c r="HO59" s="587" t="str">
        <v xml:space="preserve">Allow safest recovery of the whole body. </v>
      </c>
      <c r="HP59" s="587" t="str">
        <v xml:space="preserve">Improve aerobic fitness while minimising the chance of injury. </v>
      </c>
      <c r="HQ59" s="587" t="str">
        <v xml:space="preserve">Improve aerobic fitness while minimising the chance of injury. </v>
      </c>
      <c r="HR59" s="587" t="str">
        <v>Improve aerobic fitness at an optimal rate.</v>
      </c>
      <c r="HS59" s="587" t="str">
        <v xml:space="preserve">Improve aerobic fitness and energy utilisation. </v>
      </c>
      <c r="HT59" s="587" t="str">
        <v/>
      </c>
      <c r="HU59" s="587" t="str">
        <v/>
      </c>
      <c r="HV59" s="587" t="str">
        <v xml:space="preserve">Improve aerobic fitness while minimising the chance of injury. </v>
      </c>
      <c r="HW59" s="587" t="str">
        <v xml:space="preserve">Improve aerobic fitness while minimising the chance of injury. </v>
      </c>
      <c r="HX59" s="587" t="str">
        <v xml:space="preserve">Improve aerobic fitness while minimising the chance of injury. </v>
      </c>
      <c r="HY59" s="587" t="str">
        <v xml:space="preserve">Improve aerobic fitness while minimising the chance of injury. </v>
      </c>
      <c r="HZ59" s="587" t="str">
        <v xml:space="preserve">Improve aerobic fitness while minimising the chance of injury. </v>
      </c>
      <c r="IA59" s="587" t="str">
        <v xml:space="preserve">Improve aerobic fitness while minimising the chance of injury. </v>
      </c>
      <c r="IB59" s="587" t="str">
        <v xml:space="preserve">Improve aerobic fitness while minimising the chance of injury. </v>
      </c>
      <c r="IC59" s="587" t="str">
        <v xml:space="preserve">Improve aerobic fitness while minimising the chance of injury. </v>
      </c>
      <c r="ID59" s="587" t="str">
        <v>Improve aerobic fitness at an optimal rate.</v>
      </c>
      <c r="IE59" s="587" t="str">
        <v>Improve aerobic fitness at an optimal rate.</v>
      </c>
      <c r="IF59" s="587" t="str">
        <v xml:space="preserve">Improve aerobic fitness and energy utilisation. </v>
      </c>
      <c r="IG59" s="587" t="str">
        <v xml:space="preserve">Improve aerobic fitness and energy utilisation. </v>
      </c>
      <c r="IH59" s="587" t="str">
        <v xml:space="preserve">Improve aerobic fitness and energy utilisation. </v>
      </c>
      <c r="II59" s="587" t="str">
        <v>Improve general fitness and develop other skills</v>
      </c>
      <c r="IJ59" s="587" t="str">
        <v/>
      </c>
      <c r="IK59" s="587" t="str">
        <v/>
      </c>
      <c r="IL59" s="587" t="str">
        <v/>
      </c>
      <c r="IM59" s="587" t="str">
        <v/>
      </c>
      <c r="IN59" s="587" t="str">
        <v/>
      </c>
      <c r="IO59" s="587" t="str">
        <v/>
      </c>
      <c r="IP59" s="587" t="str">
        <v/>
      </c>
      <c r="IQ59" s="587" t="str">
        <v/>
      </c>
      <c r="IR59" s="587" t="str">
        <v/>
      </c>
      <c r="IS59" s="587" t="str">
        <v xml:space="preserve">Allow safest recovery of the whole body. </v>
      </c>
      <c r="IT59" s="587" t="str">
        <v xml:space="preserve">Improve aerobic fitness and energy utilisation. </v>
      </c>
      <c r="IU59" s="587" t="str">
        <v xml:space="preserve">Improve aerobic fitness and energy utilisation. </v>
      </c>
      <c r="IV59" s="587" t="str">
        <v xml:space="preserve">Improve aerobic fitness and energy utilisation. </v>
      </c>
      <c r="IW59" s="587" t="str">
        <v xml:space="preserve">Improve aerobic fitness and energy utilisation. </v>
      </c>
      <c r="IX59" s="587" t="str">
        <v xml:space="preserve">Improve aerobic fitness and energy utilisation. </v>
      </c>
      <c r="IY59" s="587" t="str">
        <v xml:space="preserve">Improve aerobic fitness and energy utilisation. </v>
      </c>
      <c r="IZ59" s="587" t="str">
        <v xml:space="preserve">Improve aerobic fitness while minimising the chance of injury. </v>
      </c>
      <c r="JA59" s="587" t="str">
        <v/>
      </c>
      <c r="JB59" s="587" t="str">
        <v/>
      </c>
      <c r="JC59" s="587" t="str">
        <v/>
      </c>
      <c r="JD59" s="587" t="str">
        <v/>
      </c>
      <c r="JE59" s="587" t="str">
        <v/>
      </c>
      <c r="JF59" s="587" t="str">
        <v/>
      </c>
      <c r="JG59" s="587" t="str">
        <v/>
      </c>
      <c r="JH59" s="587" t="str">
        <v/>
      </c>
      <c r="JI59" s="587" t="str">
        <v/>
      </c>
      <c r="JJ59" s="587" t="str">
        <v/>
      </c>
      <c r="JK59" s="587" t="str">
        <v/>
      </c>
      <c r="JL59" s="587" t="str">
        <v/>
      </c>
      <c r="JM59" s="587" t="str">
        <v/>
      </c>
      <c r="JN59" s="587" t="str">
        <v/>
      </c>
      <c r="JO59" s="587" t="str">
        <v/>
      </c>
      <c r="JP59" s="587" t="str">
        <v/>
      </c>
      <c r="JQ59" s="587" t="str">
        <v/>
      </c>
      <c r="JR59" s="587" t="str">
        <v/>
      </c>
      <c r="JS59" s="587" t="str">
        <v/>
      </c>
      <c r="JT59" s="587" t="str">
        <v/>
      </c>
      <c r="JU59" s="587" t="str">
        <v/>
      </c>
      <c r="JV59" s="587" t="str">
        <v/>
      </c>
      <c r="JW59" s="587" t="str">
        <v>Push your physical and mental limits and put tactics and techniques to the test.</v>
      </c>
      <c r="JX59" s="587" t="str">
        <v>Push your physical and mental limits and put tactics and techniques to the test.</v>
      </c>
      <c r="JY59" s="587" t="str">
        <v>Push your physical and mental limits and put tactics and techniques to the test.</v>
      </c>
      <c r="JZ59" s="587" t="str">
        <v>Push your physical and mental limits and put tactics and techniques to the test.</v>
      </c>
      <c r="KA59" s="587" t="str">
        <v>Push your physical and mental limits and put tactics and techniques to the test.</v>
      </c>
      <c r="KB59" s="587" t="str">
        <v>Push your physical and mental limits and put tactics and techniques to the test.</v>
      </c>
      <c r="KC59" s="587" t="str">
        <v>Push your physical and mental limits and put tactics and techniques to the test.</v>
      </c>
      <c r="KD59" s="587" t="str">
        <v>Push your physical and mental limits and put tactics and techniques to the test.</v>
      </c>
      <c r="KE59" s="587" t="str">
        <v>Push your physical and mental limits and put tactics and techniques to the test.</v>
      </c>
      <c r="KF59" s="587" t="str">
        <v>Push your physical and mental limits and put tactics and techniques to the test.</v>
      </c>
      <c r="KG59" s="587" t="str">
        <v>Push your physical and mental limits and put tactics and techniques to the test.</v>
      </c>
      <c r="KH59" s="587" t="str">
        <v>Push your physical and mental limits and put tactics and techniques to the test.</v>
      </c>
      <c r="KI59" s="587" t="str">
        <v>Push your physical and mental limits and put tactics and techniques to the test.</v>
      </c>
      <c r="KJ59" s="587" t="str">
        <v>Push your physical and mental limits and put tactics and techniques to the test.</v>
      </c>
      <c r="KK59" s="587" t="str">
        <v>Push your physical and mental limits and put tactics and techniques to the test.</v>
      </c>
      <c r="KL59" s="587" t="str">
        <v/>
      </c>
      <c r="KM59" s="587" t="str">
        <v/>
      </c>
      <c r="KN59" s="587" t="str">
        <v/>
      </c>
      <c r="KO59" s="587" t="str">
        <v/>
      </c>
      <c r="KP59" s="914" t="str">
        <v/>
      </c>
      <c r="KQ59" s="700" t="s">
        <v>388</v>
      </c>
    </row>
    <row r="60" spans="1:303" s="188" customFormat="1" ht="71.25" hidden="1" customHeight="1" x14ac:dyDescent="0.45">
      <c r="A60" s="1760"/>
      <c r="B60" s="896">
        <v>2</v>
      </c>
      <c r="C60" s="897" t="str">
        <v/>
      </c>
      <c r="D60" s="897" t="str">
        <v/>
      </c>
      <c r="E60" s="897" t="str">
        <v/>
      </c>
      <c r="F60" s="897" t="str">
        <v/>
      </c>
      <c r="G60" s="897" t="str">
        <v/>
      </c>
      <c r="H60" s="897" t="str">
        <v/>
      </c>
      <c r="I60" s="897" t="str">
        <v/>
      </c>
      <c r="J60" s="897" t="str">
        <v/>
      </c>
      <c r="K60" s="897" t="str">
        <v>Improve running mechanics.</v>
      </c>
      <c r="L60" s="897" t="str">
        <v>Improve running mechanics.</v>
      </c>
      <c r="M60" s="897" t="str">
        <v>Improve running mechanics.</v>
      </c>
      <c r="N60" s="897" t="str">
        <v/>
      </c>
      <c r="O60" s="897" t="str">
        <v/>
      </c>
      <c r="P60" s="897" t="str">
        <v/>
      </c>
      <c r="Q60" s="897" t="str">
        <v/>
      </c>
      <c r="R60" s="897" t="str">
        <v/>
      </c>
      <c r="S60" s="897" t="str">
        <v/>
      </c>
      <c r="T60" s="897" t="str">
        <v/>
      </c>
      <c r="U60" s="897" t="str">
        <v/>
      </c>
      <c r="V60" s="897" t="str">
        <v/>
      </c>
      <c r="W60" s="897" t="str">
        <v/>
      </c>
      <c r="X60" s="897" t="str">
        <v/>
      </c>
      <c r="Y60" s="897" t="str">
        <v/>
      </c>
      <c r="Z60" s="897" t="str">
        <v/>
      </c>
      <c r="AA60" s="897" t="str">
        <v/>
      </c>
      <c r="AB60" s="897" t="str">
        <v xml:space="preserve">Improve aerobic fitness while minimising the chance of injury. </v>
      </c>
      <c r="AC60" s="897" t="str">
        <v xml:space="preserve">Improve aerobic fitness while minimising the chance of injury. </v>
      </c>
      <c r="AD60" s="897" t="str">
        <v xml:space="preserve">Improve aerobic fitness while minimising the chance of injury. </v>
      </c>
      <c r="AE60" s="897" t="str">
        <v xml:space="preserve">Improve aerobic fitness while minimising the chance of injury. </v>
      </c>
      <c r="AF60" s="897" t="str">
        <v xml:space="preserve">Improve aerobic fitness while minimising the chance of injury. </v>
      </c>
      <c r="AG60" s="897" t="str">
        <v/>
      </c>
      <c r="AH60" s="897" t="str">
        <v/>
      </c>
      <c r="AI60" s="897" t="str">
        <v/>
      </c>
      <c r="AJ60" s="897" t="str">
        <v/>
      </c>
      <c r="AK60" s="897" t="str">
        <v/>
      </c>
      <c r="AL60" s="897" t="str">
        <v/>
      </c>
      <c r="AM60" s="897" t="str">
        <v/>
      </c>
      <c r="AN60" s="897" t="str">
        <v/>
      </c>
      <c r="AO60" s="897" t="str">
        <v/>
      </c>
      <c r="AP60" s="897" t="str">
        <v/>
      </c>
      <c r="AQ60" s="897" t="str">
        <v/>
      </c>
      <c r="AR60" s="897" t="str">
        <v/>
      </c>
      <c r="AS60" s="897" t="str">
        <v/>
      </c>
      <c r="AT60" s="897" t="str">
        <v/>
      </c>
      <c r="AU60" s="897" t="str">
        <v/>
      </c>
      <c r="AV60" s="897" t="str">
        <v/>
      </c>
      <c r="AW60" s="897" t="str">
        <v/>
      </c>
      <c r="AX60" s="897" t="str">
        <v/>
      </c>
      <c r="AY60" s="897" t="str">
        <v/>
      </c>
      <c r="AZ60" s="897" t="str">
        <v/>
      </c>
      <c r="BA60" s="897" t="str">
        <v/>
      </c>
      <c r="BB60" s="897" t="str">
        <v/>
      </c>
      <c r="BC60" s="897" t="str">
        <v/>
      </c>
      <c r="BD60" s="897" t="str">
        <v/>
      </c>
      <c r="BE60" s="897" t="str">
        <v/>
      </c>
      <c r="BF60" s="897" t="str">
        <v/>
      </c>
      <c r="BG60" s="897" t="str">
        <v/>
      </c>
      <c r="BH60" s="897" t="str">
        <v/>
      </c>
      <c r="BI60" s="897" t="str">
        <v/>
      </c>
      <c r="BJ60" s="897" t="str">
        <v/>
      </c>
      <c r="BK60" s="897" t="str">
        <v xml:space="preserve">Improve aerobic fitness while minimising the chance of injury. </v>
      </c>
      <c r="BL60" s="897" t="str">
        <v xml:space="preserve">Improve aerobic fitness while minimising the chance of injury. </v>
      </c>
      <c r="BM60" s="897" t="str">
        <v xml:space="preserve">Improve aerobic fitness while minimising the chance of injury. </v>
      </c>
      <c r="BN60" s="897" t="str">
        <v xml:space="preserve">Improve aerobic fitness while minimising the chance of injury. </v>
      </c>
      <c r="BO60" s="897" t="str">
        <v xml:space="preserve">Improve aerobic fitness while minimising the chance of injury. </v>
      </c>
      <c r="BP60" s="897" t="str">
        <v xml:space="preserve">Improve aerobic fitness while minimising the chance of injury. </v>
      </c>
      <c r="BQ60" s="897" t="str">
        <v xml:space="preserve">Improve aerobic fitness while minimising the chance of injury. </v>
      </c>
      <c r="BR60" s="897" t="str">
        <v xml:space="preserve">Improve aerobic fitness while minimising the chance of injury. </v>
      </c>
      <c r="BS60" s="897" t="str">
        <v xml:space="preserve">Improve aerobic fitness while minimising the chance of injury. </v>
      </c>
      <c r="BT60" s="897" t="str">
        <v/>
      </c>
      <c r="BU60" s="897" t="str">
        <v/>
      </c>
      <c r="BV60" s="897" t="str">
        <v>Improve running mechanics.</v>
      </c>
      <c r="BW60" s="897" t="str">
        <v xml:space="preserve">Improve anaerobic power and running mechanics. </v>
      </c>
      <c r="BX60" s="897" t="str">
        <v xml:space="preserve">Improve aerobic fitness while minimising the chance of injury. </v>
      </c>
      <c r="BY60" s="897" t="str">
        <v xml:space="preserve">Improve anaerobic power and running mechanics. </v>
      </c>
      <c r="BZ60" s="897" t="str">
        <v/>
      </c>
      <c r="CA60" s="897" t="str">
        <v xml:space="preserve">Release tension that develops in soft tissue from training and non-training stresses. </v>
      </c>
      <c r="CB60" s="897" t="str">
        <v xml:space="preserve">Increase strength of specific muscle groups, running economy and injury resistance. </v>
      </c>
      <c r="CC60" s="897" t="str">
        <v/>
      </c>
      <c r="CD60" s="897" t="str">
        <v xml:space="preserve">Increase strength of specific muscle groups, running economy and injury resistance. </v>
      </c>
      <c r="CE60" s="897" t="str">
        <v/>
      </c>
      <c r="CF60" s="897" t="str">
        <v/>
      </c>
      <c r="CG60" s="897" t="str">
        <v/>
      </c>
      <c r="CH60" s="897" t="str">
        <v/>
      </c>
      <c r="CI60" s="897" t="str">
        <v/>
      </c>
      <c r="CJ60" s="897" t="str">
        <v/>
      </c>
      <c r="CK60" s="897" t="str">
        <v/>
      </c>
      <c r="CL60" s="897" t="str">
        <v/>
      </c>
      <c r="CM60" s="897" t="str">
        <v/>
      </c>
      <c r="CN60" s="897" t="str">
        <v/>
      </c>
      <c r="CO60" s="897" t="str">
        <v/>
      </c>
      <c r="CP60" s="897" t="str">
        <v/>
      </c>
      <c r="CQ60" s="897" t="str">
        <v/>
      </c>
      <c r="CR60" s="897" t="str">
        <v/>
      </c>
      <c r="CS60" s="897" t="str">
        <v/>
      </c>
      <c r="CT60" s="897" t="str">
        <v/>
      </c>
      <c r="CU60" s="897" t="str">
        <v/>
      </c>
      <c r="CV60" s="897" t="str">
        <v/>
      </c>
      <c r="CW60" s="897" t="str">
        <v/>
      </c>
      <c r="CX60" s="897" t="str">
        <v/>
      </c>
      <c r="CY60" s="898" t="str">
        <v/>
      </c>
      <c r="CZ60" s="897" t="str">
        <v/>
      </c>
      <c r="DA60" s="897" t="str">
        <v/>
      </c>
      <c r="DB60" s="897" t="str">
        <v/>
      </c>
      <c r="DC60" s="897" t="str">
        <v/>
      </c>
      <c r="DD60" s="897" t="str">
        <v/>
      </c>
      <c r="DE60" s="897" t="str">
        <v/>
      </c>
      <c r="DF60" s="897" t="str">
        <v/>
      </c>
      <c r="DG60" s="897" t="str">
        <v/>
      </c>
      <c r="DH60" s="897" t="str">
        <v/>
      </c>
      <c r="DI60" s="897" t="str">
        <v/>
      </c>
      <c r="DJ60" s="897" t="str">
        <v/>
      </c>
      <c r="DK60" s="897" t="str">
        <v/>
      </c>
      <c r="DL60" s="897" t="str">
        <v/>
      </c>
      <c r="DM60" s="897" t="str">
        <v/>
      </c>
      <c r="DN60" s="897" t="str">
        <v/>
      </c>
      <c r="DO60" s="897" t="str">
        <v/>
      </c>
      <c r="DP60" s="897" t="str">
        <v/>
      </c>
      <c r="DQ60" s="897" t="str">
        <v/>
      </c>
      <c r="DR60" s="897" t="str">
        <v/>
      </c>
      <c r="DS60" s="897" t="str">
        <v/>
      </c>
      <c r="DT60" s="897" t="str">
        <v/>
      </c>
      <c r="DU60" s="897" t="str">
        <v/>
      </c>
      <c r="DV60" s="897" t="str">
        <v/>
      </c>
      <c r="DW60" s="897" t="str">
        <v/>
      </c>
      <c r="DX60" s="897" t="str">
        <v xml:space="preserve">Improve aerobic fitness while minimising the chance of injury. </v>
      </c>
      <c r="DY60" s="897" t="str">
        <v xml:space="preserve">Improve aerobic fitness while minimising the chance of injury. </v>
      </c>
      <c r="DZ60" s="897" t="str">
        <v xml:space="preserve">Improve aerobic fitness while minimising the chance of injury. </v>
      </c>
      <c r="EA60" s="897" t="str">
        <v xml:space="preserve">Improve aerobic fitness while minimising the chance of injury. </v>
      </c>
      <c r="EB60" s="897" t="str">
        <v xml:space="preserve">Improve aerobic fitness while minimising the chance of injury. </v>
      </c>
      <c r="EC60" s="897" t="str">
        <v/>
      </c>
      <c r="ED60" s="897" t="str">
        <v/>
      </c>
      <c r="EE60" s="897" t="str">
        <v/>
      </c>
      <c r="EF60" s="897" t="str">
        <v/>
      </c>
      <c r="EG60" s="897" t="str">
        <v/>
      </c>
      <c r="EH60" s="897" t="str">
        <v/>
      </c>
      <c r="EI60" s="897" t="str">
        <v/>
      </c>
      <c r="EJ60" s="897" t="str">
        <v/>
      </c>
      <c r="EK60" s="897" t="str">
        <v/>
      </c>
      <c r="EL60" s="897" t="str">
        <v/>
      </c>
      <c r="EM60" s="897" t="str">
        <v/>
      </c>
      <c r="EN60" s="897" t="str">
        <v/>
      </c>
      <c r="EO60" s="897" t="str">
        <v/>
      </c>
      <c r="EP60" s="897" t="str">
        <v/>
      </c>
      <c r="EQ60" s="897" t="str">
        <v/>
      </c>
      <c r="ER60" s="897" t="str">
        <v/>
      </c>
      <c r="ES60" s="897" t="str">
        <v/>
      </c>
      <c r="ET60" s="897" t="str">
        <v/>
      </c>
      <c r="EU60" s="897" t="str">
        <v/>
      </c>
      <c r="EV60" s="897" t="str">
        <v/>
      </c>
      <c r="EW60" s="897" t="str">
        <v/>
      </c>
      <c r="EX60" s="897" t="str">
        <v/>
      </c>
      <c r="EY60" s="897" t="str">
        <v/>
      </c>
      <c r="EZ60" s="897" t="str">
        <v/>
      </c>
      <c r="FA60" s="897" t="str">
        <v/>
      </c>
      <c r="FB60" s="897" t="str">
        <v/>
      </c>
      <c r="FC60" s="897" t="str">
        <v/>
      </c>
      <c r="FD60" s="897" t="str">
        <v/>
      </c>
      <c r="FE60" s="897" t="str">
        <v/>
      </c>
      <c r="FF60" s="897" t="str">
        <v/>
      </c>
      <c r="FG60" s="897" t="str">
        <v/>
      </c>
      <c r="FH60" s="897" t="str">
        <v/>
      </c>
      <c r="FI60" s="897" t="str">
        <v/>
      </c>
      <c r="FJ60" s="897" t="str">
        <v/>
      </c>
      <c r="FK60" s="897" t="str">
        <v/>
      </c>
      <c r="FL60" s="897" t="str">
        <v/>
      </c>
      <c r="FM60" s="897" t="str">
        <v/>
      </c>
      <c r="FN60" s="897" t="str">
        <v>Improve aerobic fitness at an optimal rate.</v>
      </c>
      <c r="FO60" s="897" t="str">
        <v/>
      </c>
      <c r="FP60" s="897" t="str">
        <v/>
      </c>
      <c r="FQ60" s="897" t="str">
        <v/>
      </c>
      <c r="FR60" s="897" t="str">
        <v/>
      </c>
      <c r="FS60" s="897" t="str">
        <v/>
      </c>
      <c r="FT60" s="897" t="str">
        <v/>
      </c>
      <c r="FU60" s="897" t="str">
        <v/>
      </c>
      <c r="FV60" s="897" t="str">
        <v/>
      </c>
      <c r="FW60" s="897" t="str">
        <v/>
      </c>
      <c r="FX60" s="897" t="str">
        <v/>
      </c>
      <c r="FY60" s="897" t="str">
        <v/>
      </c>
      <c r="FZ60" s="897" t="str">
        <v/>
      </c>
      <c r="GA60" s="897" t="str">
        <v/>
      </c>
      <c r="GB60" s="897" t="str">
        <v/>
      </c>
      <c r="GC60" s="897" t="str">
        <v/>
      </c>
      <c r="GD60" s="897" t="str">
        <v/>
      </c>
      <c r="GE60" s="897" t="str">
        <v/>
      </c>
      <c r="GF60" s="897" t="str">
        <v/>
      </c>
      <c r="GG60" s="897" t="str">
        <v/>
      </c>
      <c r="GH60" s="897" t="str">
        <v/>
      </c>
      <c r="GI60" s="897" t="str">
        <v/>
      </c>
      <c r="GJ60" s="897" t="str">
        <v/>
      </c>
      <c r="GK60" s="897" t="str">
        <v/>
      </c>
      <c r="GL60" s="897" t="str">
        <v/>
      </c>
      <c r="GM60" s="897" t="str">
        <v/>
      </c>
      <c r="GN60" s="897" t="str">
        <v/>
      </c>
      <c r="GO60" s="897" t="str">
        <v/>
      </c>
      <c r="GP60" s="897" t="str">
        <v/>
      </c>
      <c r="GQ60" s="897" t="str">
        <v/>
      </c>
      <c r="GR60" s="897" t="str">
        <v/>
      </c>
      <c r="GS60" s="897" t="str">
        <v/>
      </c>
      <c r="GT60" s="897" t="str">
        <v/>
      </c>
      <c r="GU60" s="897" t="str">
        <v/>
      </c>
      <c r="GV60" s="897" t="str">
        <v/>
      </c>
      <c r="GW60" s="897" t="str">
        <v/>
      </c>
      <c r="GX60" s="897" t="str">
        <v/>
      </c>
      <c r="GY60" s="897" t="str">
        <v/>
      </c>
      <c r="GZ60" s="897" t="str">
        <v/>
      </c>
      <c r="HA60" s="897" t="str">
        <v/>
      </c>
      <c r="HB60" s="897" t="str">
        <v/>
      </c>
      <c r="HC60" s="897" t="str">
        <v/>
      </c>
      <c r="HD60" s="897" t="str">
        <v/>
      </c>
      <c r="HE60" s="897" t="str">
        <v/>
      </c>
      <c r="HF60" s="897" t="str">
        <v/>
      </c>
      <c r="HG60" s="897" t="str">
        <v/>
      </c>
      <c r="HH60" s="897" t="str">
        <v/>
      </c>
      <c r="HI60" s="897" t="str">
        <v/>
      </c>
      <c r="HJ60" s="897" t="str">
        <v/>
      </c>
      <c r="HK60" s="897" t="str">
        <v/>
      </c>
      <c r="HL60" s="897" t="str">
        <v/>
      </c>
      <c r="HM60" s="897" t="str">
        <v/>
      </c>
      <c r="HN60" s="897" t="str">
        <v/>
      </c>
      <c r="HO60" s="897" t="str">
        <v/>
      </c>
      <c r="HP60" s="897" t="str">
        <v/>
      </c>
      <c r="HQ60" s="897" t="str">
        <v/>
      </c>
      <c r="HR60" s="897" t="str">
        <v/>
      </c>
      <c r="HS60" s="897" t="str">
        <v/>
      </c>
      <c r="HT60" s="897" t="str">
        <v/>
      </c>
      <c r="HU60" s="897" t="str">
        <v/>
      </c>
      <c r="HV60" s="897" t="str">
        <v/>
      </c>
      <c r="HW60" s="897" t="str">
        <v/>
      </c>
      <c r="HX60" s="897" t="str">
        <v/>
      </c>
      <c r="HY60" s="897" t="str">
        <v/>
      </c>
      <c r="HZ60" s="897" t="str">
        <v/>
      </c>
      <c r="IA60" s="897" t="str">
        <v/>
      </c>
      <c r="IB60" s="897" t="str">
        <v/>
      </c>
      <c r="IC60" s="897" t="str">
        <v/>
      </c>
      <c r="ID60" s="897" t="str">
        <v/>
      </c>
      <c r="IE60" s="897" t="str">
        <v/>
      </c>
      <c r="IF60" s="897" t="str">
        <v/>
      </c>
      <c r="IG60" s="897" t="str">
        <v/>
      </c>
      <c r="IH60" s="897" t="str">
        <v/>
      </c>
      <c r="II60" s="897" t="str">
        <v/>
      </c>
      <c r="IJ60" s="897" t="str">
        <v/>
      </c>
      <c r="IK60" s="897" t="str">
        <v/>
      </c>
      <c r="IL60" s="897" t="str">
        <v/>
      </c>
      <c r="IM60" s="897" t="str">
        <v/>
      </c>
      <c r="IN60" s="897" t="str">
        <v/>
      </c>
      <c r="IO60" s="897" t="str">
        <v/>
      </c>
      <c r="IP60" s="897" t="str">
        <v/>
      </c>
      <c r="IQ60" s="897" t="str">
        <v/>
      </c>
      <c r="IR60" s="897" t="str">
        <v/>
      </c>
      <c r="IS60" s="897" t="str">
        <v/>
      </c>
      <c r="IT60" s="897" t="str">
        <v/>
      </c>
      <c r="IU60" s="897" t="str">
        <v/>
      </c>
      <c r="IV60" s="897" t="str">
        <v/>
      </c>
      <c r="IW60" s="897" t="str">
        <v/>
      </c>
      <c r="IX60" s="897" t="str">
        <v/>
      </c>
      <c r="IY60" s="897" t="str">
        <v/>
      </c>
      <c r="IZ60" s="897" t="str">
        <v/>
      </c>
      <c r="JA60" s="897" t="str">
        <v/>
      </c>
      <c r="JB60" s="897" t="str">
        <v/>
      </c>
      <c r="JC60" s="897" t="str">
        <v/>
      </c>
      <c r="JD60" s="897" t="str">
        <v/>
      </c>
      <c r="JE60" s="897" t="str">
        <v/>
      </c>
      <c r="JF60" s="897" t="str">
        <v/>
      </c>
      <c r="JG60" s="897" t="str">
        <v/>
      </c>
      <c r="JH60" s="897" t="str">
        <v/>
      </c>
      <c r="JI60" s="897" t="str">
        <v/>
      </c>
      <c r="JJ60" s="897" t="str">
        <v/>
      </c>
      <c r="JK60" s="897" t="str">
        <v/>
      </c>
      <c r="JL60" s="897" t="str">
        <v/>
      </c>
      <c r="JM60" s="897" t="str">
        <v/>
      </c>
      <c r="JN60" s="897" t="str">
        <v/>
      </c>
      <c r="JO60" s="897" t="str">
        <v/>
      </c>
      <c r="JP60" s="897" t="str">
        <v/>
      </c>
      <c r="JQ60" s="897" t="str">
        <v/>
      </c>
      <c r="JR60" s="897" t="str">
        <v/>
      </c>
      <c r="JS60" s="897" t="str">
        <v/>
      </c>
      <c r="JT60" s="897" t="str">
        <v/>
      </c>
      <c r="JU60" s="897" t="str">
        <v/>
      </c>
      <c r="JV60" s="897" t="str">
        <v/>
      </c>
      <c r="JW60" s="897" t="str">
        <v/>
      </c>
      <c r="JX60" s="897" t="str">
        <v/>
      </c>
      <c r="JY60" s="897" t="str">
        <v/>
      </c>
      <c r="JZ60" s="897" t="str">
        <v/>
      </c>
      <c r="KA60" s="897" t="str">
        <v/>
      </c>
      <c r="KB60" s="897" t="str">
        <v/>
      </c>
      <c r="KC60" s="897" t="str">
        <v/>
      </c>
      <c r="KD60" s="897" t="str">
        <v/>
      </c>
      <c r="KE60" s="897" t="str">
        <v/>
      </c>
      <c r="KF60" s="897" t="str">
        <v/>
      </c>
      <c r="KG60" s="897" t="str">
        <v/>
      </c>
      <c r="KH60" s="897" t="str">
        <v/>
      </c>
      <c r="KI60" s="897" t="str">
        <v/>
      </c>
      <c r="KJ60" s="897" t="str">
        <v/>
      </c>
      <c r="KK60" s="897" t="str">
        <v/>
      </c>
      <c r="KL60" s="897" t="str">
        <v/>
      </c>
      <c r="KM60" s="897" t="str">
        <v/>
      </c>
      <c r="KN60" s="897" t="str">
        <v/>
      </c>
      <c r="KO60" s="897" t="str">
        <v/>
      </c>
      <c r="KP60" s="915" t="str">
        <v/>
      </c>
      <c r="KQ60" s="700" t="s">
        <v>388</v>
      </c>
    </row>
    <row r="61" spans="1:303" s="188" customFormat="1" ht="71.25" hidden="1" customHeight="1" x14ac:dyDescent="0.45">
      <c r="A61" s="1760"/>
      <c r="B61" s="896">
        <v>3</v>
      </c>
      <c r="C61" s="897" t="str">
        <v/>
      </c>
      <c r="D61" s="897" t="str">
        <v/>
      </c>
      <c r="E61" s="897" t="str">
        <v/>
      </c>
      <c r="F61" s="897" t="str">
        <v/>
      </c>
      <c r="G61" s="897" t="str">
        <v/>
      </c>
      <c r="H61" s="897" t="str">
        <v/>
      </c>
      <c r="I61" s="897" t="str">
        <v/>
      </c>
      <c r="J61" s="897" t="str">
        <v/>
      </c>
      <c r="K61" s="897" t="str">
        <v/>
      </c>
      <c r="L61" s="897" t="str">
        <v/>
      </c>
      <c r="M61" s="897" t="str">
        <v/>
      </c>
      <c r="N61" s="897" t="str">
        <v/>
      </c>
      <c r="O61" s="897" t="str">
        <v/>
      </c>
      <c r="P61" s="897" t="str">
        <v/>
      </c>
      <c r="Q61" s="897" t="str">
        <v/>
      </c>
      <c r="R61" s="897" t="str">
        <v/>
      </c>
      <c r="S61" s="897" t="str">
        <v/>
      </c>
      <c r="T61" s="897" t="str">
        <v/>
      </c>
      <c r="U61" s="897" t="str">
        <v/>
      </c>
      <c r="V61" s="897" t="str">
        <v/>
      </c>
      <c r="W61" s="897" t="str">
        <v/>
      </c>
      <c r="X61" s="897" t="str">
        <v/>
      </c>
      <c r="Y61" s="897" t="str">
        <v/>
      </c>
      <c r="Z61" s="897" t="str">
        <v/>
      </c>
      <c r="AA61" s="897" t="str">
        <v/>
      </c>
      <c r="AB61" s="897" t="str">
        <v/>
      </c>
      <c r="AC61" s="897" t="str">
        <v/>
      </c>
      <c r="AD61" s="897" t="str">
        <v/>
      </c>
      <c r="AE61" s="897" t="str">
        <v/>
      </c>
      <c r="AF61" s="897" t="str">
        <v/>
      </c>
      <c r="AG61" s="897" t="str">
        <v/>
      </c>
      <c r="AH61" s="897" t="str">
        <v/>
      </c>
      <c r="AI61" s="897" t="str">
        <v/>
      </c>
      <c r="AJ61" s="897" t="str">
        <v/>
      </c>
      <c r="AK61" s="897" t="str">
        <v/>
      </c>
      <c r="AL61" s="897" t="str">
        <v/>
      </c>
      <c r="AM61" s="897" t="str">
        <v/>
      </c>
      <c r="AN61" s="897" t="str">
        <v/>
      </c>
      <c r="AO61" s="897" t="str">
        <v/>
      </c>
      <c r="AP61" s="897" t="str">
        <v/>
      </c>
      <c r="AQ61" s="897" t="str">
        <v/>
      </c>
      <c r="AR61" s="897" t="str">
        <v/>
      </c>
      <c r="AS61" s="897" t="str">
        <v/>
      </c>
      <c r="AT61" s="897" t="str">
        <v/>
      </c>
      <c r="AU61" s="897" t="str">
        <v/>
      </c>
      <c r="AV61" s="897" t="str">
        <v/>
      </c>
      <c r="AW61" s="897" t="str">
        <v/>
      </c>
      <c r="AX61" s="897" t="str">
        <v/>
      </c>
      <c r="AY61" s="897" t="str">
        <v/>
      </c>
      <c r="AZ61" s="897" t="str">
        <v/>
      </c>
      <c r="BA61" s="897" t="str">
        <v/>
      </c>
      <c r="BB61" s="897" t="str">
        <v/>
      </c>
      <c r="BC61" s="897" t="str">
        <v/>
      </c>
      <c r="BD61" s="897" t="str">
        <v/>
      </c>
      <c r="BE61" s="897" t="str">
        <v/>
      </c>
      <c r="BF61" s="897" t="str">
        <v/>
      </c>
      <c r="BG61" s="897" t="str">
        <v/>
      </c>
      <c r="BH61" s="897" t="str">
        <v/>
      </c>
      <c r="BI61" s="897" t="str">
        <v/>
      </c>
      <c r="BJ61" s="897" t="str">
        <v/>
      </c>
      <c r="BK61" s="897" t="str">
        <v/>
      </c>
      <c r="BL61" s="897" t="str">
        <v/>
      </c>
      <c r="BM61" s="897" t="str">
        <v/>
      </c>
      <c r="BN61" s="897" t="str">
        <v/>
      </c>
      <c r="BO61" s="897" t="str">
        <v/>
      </c>
      <c r="BP61" s="897" t="str">
        <v/>
      </c>
      <c r="BQ61" s="897" t="str">
        <v/>
      </c>
      <c r="BR61" s="897" t="str">
        <v/>
      </c>
      <c r="BS61" s="897" t="str">
        <v/>
      </c>
      <c r="BT61" s="897" t="str">
        <v/>
      </c>
      <c r="BU61" s="897" t="str">
        <v/>
      </c>
      <c r="BV61" s="897" t="str">
        <v/>
      </c>
      <c r="BW61" s="897" t="str">
        <v/>
      </c>
      <c r="BX61" s="897" t="str">
        <v/>
      </c>
      <c r="BY61" s="897" t="str">
        <v xml:space="preserve">Improve aerobic fitness while minimising the chance of injury. </v>
      </c>
      <c r="BZ61" s="897" t="str">
        <v/>
      </c>
      <c r="CA61" s="897" t="str">
        <v/>
      </c>
      <c r="CB61" s="897" t="str">
        <v xml:space="preserve">Release tension that develops in soft tissue from training and non-training stresses. </v>
      </c>
      <c r="CC61" s="897" t="str">
        <v/>
      </c>
      <c r="CD61" s="897" t="str">
        <v/>
      </c>
      <c r="CE61" s="897" t="str">
        <v/>
      </c>
      <c r="CF61" s="897" t="str">
        <v/>
      </c>
      <c r="CG61" s="897" t="str">
        <v/>
      </c>
      <c r="CH61" s="897" t="str">
        <v/>
      </c>
      <c r="CI61" s="897" t="str">
        <v/>
      </c>
      <c r="CJ61" s="897" t="str">
        <v/>
      </c>
      <c r="CK61" s="897" t="str">
        <v/>
      </c>
      <c r="CL61" s="897" t="str">
        <v/>
      </c>
      <c r="CM61" s="897" t="str">
        <v/>
      </c>
      <c r="CN61" s="897" t="str">
        <v/>
      </c>
      <c r="CO61" s="897" t="str">
        <v/>
      </c>
      <c r="CP61" s="897" t="str">
        <v/>
      </c>
      <c r="CQ61" s="897" t="str">
        <v/>
      </c>
      <c r="CR61" s="897" t="str">
        <v/>
      </c>
      <c r="CS61" s="897" t="str">
        <v/>
      </c>
      <c r="CT61" s="897" t="str">
        <v/>
      </c>
      <c r="CU61" s="897" t="str">
        <v/>
      </c>
      <c r="CV61" s="897" t="str">
        <v/>
      </c>
      <c r="CW61" s="897" t="str">
        <v/>
      </c>
      <c r="CX61" s="897" t="str">
        <v/>
      </c>
      <c r="CY61" s="898" t="str">
        <v/>
      </c>
      <c r="CZ61" s="897" t="str">
        <v/>
      </c>
      <c r="DA61" s="897" t="str">
        <v/>
      </c>
      <c r="DB61" s="897" t="str">
        <v/>
      </c>
      <c r="DC61" s="897" t="str">
        <v/>
      </c>
      <c r="DD61" s="897" t="str">
        <v/>
      </c>
      <c r="DE61" s="897" t="str">
        <v/>
      </c>
      <c r="DF61" s="897" t="str">
        <v/>
      </c>
      <c r="DG61" s="897" t="str">
        <v/>
      </c>
      <c r="DH61" s="897" t="str">
        <v/>
      </c>
      <c r="DI61" s="897" t="str">
        <v/>
      </c>
      <c r="DJ61" s="897" t="str">
        <v/>
      </c>
      <c r="DK61" s="897" t="str">
        <v/>
      </c>
      <c r="DL61" s="897" t="str">
        <v/>
      </c>
      <c r="DM61" s="897" t="str">
        <v/>
      </c>
      <c r="DN61" s="897" t="str">
        <v/>
      </c>
      <c r="DO61" s="897" t="str">
        <v/>
      </c>
      <c r="DP61" s="897" t="str">
        <v/>
      </c>
      <c r="DQ61" s="897" t="str">
        <v/>
      </c>
      <c r="DR61" s="897" t="str">
        <v/>
      </c>
      <c r="DS61" s="897" t="str">
        <v/>
      </c>
      <c r="DT61" s="897" t="str">
        <v/>
      </c>
      <c r="DU61" s="897" t="str">
        <v/>
      </c>
      <c r="DV61" s="897" t="str">
        <v/>
      </c>
      <c r="DW61" s="897" t="str">
        <v/>
      </c>
      <c r="DX61" s="897" t="str">
        <v/>
      </c>
      <c r="DY61" s="897" t="str">
        <v/>
      </c>
      <c r="DZ61" s="897" t="str">
        <v/>
      </c>
      <c r="EA61" s="897" t="str">
        <v/>
      </c>
      <c r="EB61" s="897" t="str">
        <v/>
      </c>
      <c r="EC61" s="897" t="str">
        <v/>
      </c>
      <c r="ED61" s="897" t="str">
        <v/>
      </c>
      <c r="EE61" s="897" t="str">
        <v/>
      </c>
      <c r="EF61" s="897" t="str">
        <v/>
      </c>
      <c r="EG61" s="897" t="str">
        <v/>
      </c>
      <c r="EH61" s="897" t="str">
        <v/>
      </c>
      <c r="EI61" s="897" t="str">
        <v/>
      </c>
      <c r="EJ61" s="897" t="str">
        <v/>
      </c>
      <c r="EK61" s="897" t="str">
        <v/>
      </c>
      <c r="EL61" s="897" t="str">
        <v/>
      </c>
      <c r="EM61" s="897" t="str">
        <v/>
      </c>
      <c r="EN61" s="897" t="str">
        <v/>
      </c>
      <c r="EO61" s="897" t="str">
        <v/>
      </c>
      <c r="EP61" s="897" t="str">
        <v/>
      </c>
      <c r="EQ61" s="897" t="str">
        <v/>
      </c>
      <c r="ER61" s="897" t="str">
        <v/>
      </c>
      <c r="ES61" s="897" t="str">
        <v/>
      </c>
      <c r="ET61" s="897" t="str">
        <v/>
      </c>
      <c r="EU61" s="897" t="str">
        <v/>
      </c>
      <c r="EV61" s="897" t="str">
        <v/>
      </c>
      <c r="EW61" s="897" t="str">
        <v/>
      </c>
      <c r="EX61" s="897" t="str">
        <v/>
      </c>
      <c r="EY61" s="897" t="str">
        <v/>
      </c>
      <c r="EZ61" s="897" t="str">
        <v/>
      </c>
      <c r="FA61" s="897" t="str">
        <v/>
      </c>
      <c r="FB61" s="897" t="str">
        <v/>
      </c>
      <c r="FC61" s="897" t="str">
        <v/>
      </c>
      <c r="FD61" s="897" t="str">
        <v/>
      </c>
      <c r="FE61" s="897" t="str">
        <v/>
      </c>
      <c r="FF61" s="897" t="str">
        <v/>
      </c>
      <c r="FG61" s="897" t="str">
        <v/>
      </c>
      <c r="FH61" s="897" t="str">
        <v/>
      </c>
      <c r="FI61" s="897" t="str">
        <v/>
      </c>
      <c r="FJ61" s="897" t="str">
        <v/>
      </c>
      <c r="FK61" s="897" t="str">
        <v/>
      </c>
      <c r="FL61" s="897" t="str">
        <v/>
      </c>
      <c r="FM61" s="897" t="str">
        <v/>
      </c>
      <c r="FN61" s="897" t="str">
        <v/>
      </c>
      <c r="FO61" s="897" t="str">
        <v/>
      </c>
      <c r="FP61" s="897" t="str">
        <v/>
      </c>
      <c r="FQ61" s="897" t="str">
        <v/>
      </c>
      <c r="FR61" s="897" t="str">
        <v/>
      </c>
      <c r="FS61" s="897" t="str">
        <v/>
      </c>
      <c r="FT61" s="897" t="str">
        <v/>
      </c>
      <c r="FU61" s="897" t="str">
        <v/>
      </c>
      <c r="FV61" s="897" t="str">
        <v/>
      </c>
      <c r="FW61" s="897" t="str">
        <v/>
      </c>
      <c r="FX61" s="897" t="str">
        <v/>
      </c>
      <c r="FY61" s="897" t="str">
        <v/>
      </c>
      <c r="FZ61" s="897" t="str">
        <v/>
      </c>
      <c r="GA61" s="897" t="str">
        <v/>
      </c>
      <c r="GB61" s="897" t="str">
        <v/>
      </c>
      <c r="GC61" s="897" t="str">
        <v/>
      </c>
      <c r="GD61" s="897" t="str">
        <v/>
      </c>
      <c r="GE61" s="897" t="str">
        <v/>
      </c>
      <c r="GF61" s="897" t="str">
        <v/>
      </c>
      <c r="GG61" s="897" t="str">
        <v/>
      </c>
      <c r="GH61" s="897" t="str">
        <v/>
      </c>
      <c r="GI61" s="897" t="str">
        <v/>
      </c>
      <c r="GJ61" s="897" t="str">
        <v/>
      </c>
      <c r="GK61" s="897" t="str">
        <v/>
      </c>
      <c r="GL61" s="897" t="str">
        <v/>
      </c>
      <c r="GM61" s="897" t="str">
        <v/>
      </c>
      <c r="GN61" s="897" t="str">
        <v/>
      </c>
      <c r="GO61" s="897" t="str">
        <v/>
      </c>
      <c r="GP61" s="897" t="str">
        <v/>
      </c>
      <c r="GQ61" s="897" t="str">
        <v/>
      </c>
      <c r="GR61" s="897" t="str">
        <v/>
      </c>
      <c r="GS61" s="897" t="str">
        <v/>
      </c>
      <c r="GT61" s="897" t="str">
        <v/>
      </c>
      <c r="GU61" s="897" t="str">
        <v/>
      </c>
      <c r="GV61" s="897" t="str">
        <v/>
      </c>
      <c r="GW61" s="897" t="str">
        <v/>
      </c>
      <c r="GX61" s="897" t="str">
        <v/>
      </c>
      <c r="GY61" s="897" t="str">
        <v/>
      </c>
      <c r="GZ61" s="897" t="str">
        <v/>
      </c>
      <c r="HA61" s="897" t="str">
        <v/>
      </c>
      <c r="HB61" s="897" t="str">
        <v/>
      </c>
      <c r="HC61" s="897" t="str">
        <v/>
      </c>
      <c r="HD61" s="897" t="str">
        <v/>
      </c>
      <c r="HE61" s="897" t="str">
        <v/>
      </c>
      <c r="HF61" s="897" t="str">
        <v/>
      </c>
      <c r="HG61" s="897" t="str">
        <v/>
      </c>
      <c r="HH61" s="897" t="str">
        <v/>
      </c>
      <c r="HI61" s="897" t="str">
        <v/>
      </c>
      <c r="HJ61" s="897" t="str">
        <v/>
      </c>
      <c r="HK61" s="897" t="str">
        <v/>
      </c>
      <c r="HL61" s="897" t="str">
        <v/>
      </c>
      <c r="HM61" s="897" t="str">
        <v/>
      </c>
      <c r="HN61" s="897" t="str">
        <v/>
      </c>
      <c r="HO61" s="897" t="str">
        <v/>
      </c>
      <c r="HP61" s="897" t="str">
        <v/>
      </c>
      <c r="HQ61" s="897" t="str">
        <v/>
      </c>
      <c r="HR61" s="897" t="str">
        <v/>
      </c>
      <c r="HS61" s="897" t="str">
        <v/>
      </c>
      <c r="HT61" s="897" t="str">
        <v/>
      </c>
      <c r="HU61" s="897" t="str">
        <v/>
      </c>
      <c r="HV61" s="897" t="str">
        <v/>
      </c>
      <c r="HW61" s="897" t="str">
        <v/>
      </c>
      <c r="HX61" s="897" t="str">
        <v/>
      </c>
      <c r="HY61" s="897" t="str">
        <v/>
      </c>
      <c r="HZ61" s="897" t="str">
        <v/>
      </c>
      <c r="IA61" s="897" t="str">
        <v/>
      </c>
      <c r="IB61" s="897" t="str">
        <v/>
      </c>
      <c r="IC61" s="897" t="str">
        <v/>
      </c>
      <c r="ID61" s="897" t="str">
        <v/>
      </c>
      <c r="IE61" s="897" t="str">
        <v/>
      </c>
      <c r="IF61" s="897" t="str">
        <v/>
      </c>
      <c r="IG61" s="897" t="str">
        <v/>
      </c>
      <c r="IH61" s="897" t="str">
        <v/>
      </c>
      <c r="II61" s="897" t="str">
        <v/>
      </c>
      <c r="IJ61" s="897" t="str">
        <v/>
      </c>
      <c r="IK61" s="897" t="str">
        <v/>
      </c>
      <c r="IL61" s="897" t="str">
        <v/>
      </c>
      <c r="IM61" s="897" t="str">
        <v/>
      </c>
      <c r="IN61" s="897" t="str">
        <v/>
      </c>
      <c r="IO61" s="897" t="str">
        <v/>
      </c>
      <c r="IP61" s="897" t="str">
        <v/>
      </c>
      <c r="IQ61" s="897" t="str">
        <v/>
      </c>
      <c r="IR61" s="897" t="str">
        <v/>
      </c>
      <c r="IS61" s="897" t="str">
        <v/>
      </c>
      <c r="IT61" s="897" t="str">
        <v/>
      </c>
      <c r="IU61" s="897" t="str">
        <v/>
      </c>
      <c r="IV61" s="897" t="str">
        <v/>
      </c>
      <c r="IW61" s="897" t="str">
        <v/>
      </c>
      <c r="IX61" s="897" t="str">
        <v/>
      </c>
      <c r="IY61" s="897" t="str">
        <v/>
      </c>
      <c r="IZ61" s="897" t="str">
        <v/>
      </c>
      <c r="JA61" s="897" t="str">
        <v/>
      </c>
      <c r="JB61" s="897" t="str">
        <v/>
      </c>
      <c r="JC61" s="897" t="str">
        <v/>
      </c>
      <c r="JD61" s="897" t="str">
        <v/>
      </c>
      <c r="JE61" s="897" t="str">
        <v/>
      </c>
      <c r="JF61" s="897" t="str">
        <v/>
      </c>
      <c r="JG61" s="897" t="str">
        <v/>
      </c>
      <c r="JH61" s="897" t="str">
        <v/>
      </c>
      <c r="JI61" s="897" t="str">
        <v/>
      </c>
      <c r="JJ61" s="897" t="str">
        <v/>
      </c>
      <c r="JK61" s="897" t="str">
        <v/>
      </c>
      <c r="JL61" s="897" t="str">
        <v/>
      </c>
      <c r="JM61" s="897" t="str">
        <v/>
      </c>
      <c r="JN61" s="897" t="str">
        <v/>
      </c>
      <c r="JO61" s="897" t="str">
        <v/>
      </c>
      <c r="JP61" s="897" t="str">
        <v/>
      </c>
      <c r="JQ61" s="897" t="str">
        <v/>
      </c>
      <c r="JR61" s="897" t="str">
        <v/>
      </c>
      <c r="JS61" s="897" t="str">
        <v/>
      </c>
      <c r="JT61" s="897" t="str">
        <v/>
      </c>
      <c r="JU61" s="897" t="str">
        <v/>
      </c>
      <c r="JV61" s="897" t="str">
        <v/>
      </c>
      <c r="JW61" s="897" t="str">
        <v/>
      </c>
      <c r="JX61" s="897" t="str">
        <v/>
      </c>
      <c r="JY61" s="897" t="str">
        <v/>
      </c>
      <c r="JZ61" s="897" t="str">
        <v/>
      </c>
      <c r="KA61" s="897" t="str">
        <v/>
      </c>
      <c r="KB61" s="897" t="str">
        <v/>
      </c>
      <c r="KC61" s="897" t="str">
        <v/>
      </c>
      <c r="KD61" s="897" t="str">
        <v/>
      </c>
      <c r="KE61" s="897" t="str">
        <v/>
      </c>
      <c r="KF61" s="897" t="str">
        <v/>
      </c>
      <c r="KG61" s="897" t="str">
        <v/>
      </c>
      <c r="KH61" s="897" t="str">
        <v/>
      </c>
      <c r="KI61" s="897" t="str">
        <v/>
      </c>
      <c r="KJ61" s="897" t="str">
        <v/>
      </c>
      <c r="KK61" s="897" t="str">
        <v/>
      </c>
      <c r="KL61" s="897" t="str">
        <v/>
      </c>
      <c r="KM61" s="897" t="str">
        <v/>
      </c>
      <c r="KN61" s="897" t="str">
        <v/>
      </c>
      <c r="KO61" s="897" t="str">
        <v/>
      </c>
      <c r="KP61" s="915" t="str">
        <v/>
      </c>
      <c r="KQ61" s="700" t="s">
        <v>388</v>
      </c>
    </row>
    <row r="62" spans="1:303" s="188" customFormat="1" ht="71.25" hidden="1" customHeight="1" x14ac:dyDescent="0.45">
      <c r="A62" s="1761"/>
      <c r="B62" s="1496" t="s">
        <v>724</v>
      </c>
      <c r="C62" s="581" t="str">
        <f t="array" ref="C62:KP62">IFERROR(INDEX(nutrition_aim,, sessions_nutrition_index),"")</f>
        <v/>
      </c>
      <c r="D62" s="581" t="str">
        <v>Increase fueling in balance with increased training load</v>
      </c>
      <c r="E62" s="581" t="str">
        <v>Maintain healthy nutrition</v>
      </c>
      <c r="F62" s="581" t="str">
        <v>Increase fueling in balance with increased training load</v>
      </c>
      <c r="G62" s="581" t="str">
        <v>Ensure you have enough fuel to complete and recover from a heavy training load</v>
      </c>
      <c r="H62" s="581" t="str">
        <v>Maintain healthy nutrition</v>
      </c>
      <c r="I62" s="581" t="str">
        <v>Maintain healthy nutrition</v>
      </c>
      <c r="J62" s="581" t="str">
        <v>Maintain healthy nutrition</v>
      </c>
      <c r="K62" s="581" t="str">
        <v>Maintain healthy nutrition</v>
      </c>
      <c r="L62" s="581" t="str">
        <v>Maintain healthy nutrition</v>
      </c>
      <c r="M62" s="581" t="str">
        <v>Maintain healthy nutrition</v>
      </c>
      <c r="N62" s="581" t="str">
        <v>Maintain healthy nutrition</v>
      </c>
      <c r="O62" s="581" t="str">
        <v>Increase fueling in balance with increased training load</v>
      </c>
      <c r="P62" s="581" t="str">
        <v>Ensure you have enough fuel to complete and recover from a heavy training load</v>
      </c>
      <c r="Q62" s="581" t="str">
        <v>Ensure you have enough fuel to complete and recover from a heavy training load</v>
      </c>
      <c r="R62" s="581" t="str">
        <v>Maintain healthy nutrition</v>
      </c>
      <c r="S62" s="581" t="str">
        <v>Increase fueling in balance with increased training load</v>
      </c>
      <c r="T62" s="581" t="str">
        <v>Ensure you have enough fuel to complete and recover from a heavy training load</v>
      </c>
      <c r="U62" s="581" t="str">
        <v>Ensure you have enough fuel to complete and recover from a heavy training load</v>
      </c>
      <c r="V62" s="581" t="str">
        <v>Ensure you have enough fuel to complete and recover from a heavy training load</v>
      </c>
      <c r="W62" s="581" t="str">
        <v>Increase fueling in balance with increased training load</v>
      </c>
      <c r="X62" s="581" t="str">
        <v>Increase fueling in balance with increased training load</v>
      </c>
      <c r="Y62" s="581" t="str">
        <v>Increase fueling in balance with increased training load</v>
      </c>
      <c r="Z62" s="581" t="str">
        <v>Increase fueling in balance with increased training load</v>
      </c>
      <c r="AA62" s="581" t="str">
        <v>Increase fueling in balance with increased training load</v>
      </c>
      <c r="AB62" s="581" t="str">
        <v>Increase fueling in balance with increased training load</v>
      </c>
      <c r="AC62" s="581" t="str">
        <v>Increase fueling in balance with increased training load</v>
      </c>
      <c r="AD62" s="581" t="str">
        <v>Increase fueling in balance with increased training load</v>
      </c>
      <c r="AE62" s="581" t="str">
        <v>Increase fueling in balance with increased training load</v>
      </c>
      <c r="AF62" s="581" t="str">
        <v>Increase fueling in balance with increased training load</v>
      </c>
      <c r="AG62" s="581" t="str">
        <v>Increase fueling in balance with increased training load</v>
      </c>
      <c r="AH62" s="581" t="str">
        <v>Increase fueling in balance with increased training load</v>
      </c>
      <c r="AI62" s="581" t="str">
        <v>Increase fueling in balance with increased training load</v>
      </c>
      <c r="AJ62" s="581" t="str">
        <v>Increase fueling in balance with increased training load</v>
      </c>
      <c r="AK62" s="581" t="str">
        <v/>
      </c>
      <c r="AL62" s="581" t="str">
        <v/>
      </c>
      <c r="AM62" s="581" t="str">
        <v/>
      </c>
      <c r="AN62" s="581" t="str">
        <v/>
      </c>
      <c r="AO62" s="581" t="str">
        <v/>
      </c>
      <c r="AP62" s="581" t="str">
        <v/>
      </c>
      <c r="AQ62" s="581" t="str">
        <v>Increase fueling in balance with increased training load</v>
      </c>
      <c r="AR62" s="581" t="str">
        <v>Increase fueling in balance with increased training load</v>
      </c>
      <c r="AS62" s="581" t="str">
        <v>Increase fueling in balance with increased training load</v>
      </c>
      <c r="AT62" s="581" t="str">
        <v>Increase fueling in balance with increased training load</v>
      </c>
      <c r="AU62" s="581" t="str">
        <v>Increase fueling in balance with increased training load</v>
      </c>
      <c r="AV62" s="581" t="str">
        <v>Increase fueling in balance with increased training load</v>
      </c>
      <c r="AW62" s="581" t="str">
        <v>Increase fueling in balance with increased training load</v>
      </c>
      <c r="AX62" s="581" t="str">
        <v>Increase fueling in balance with increased training load</v>
      </c>
      <c r="AY62" s="581" t="str">
        <v>Increase fueling in balance with increased training load</v>
      </c>
      <c r="AZ62" s="581" t="str">
        <v>Increase fueling in balance with increased training load</v>
      </c>
      <c r="BA62" s="581" t="str">
        <v>Increase fueling in balance with increased training load</v>
      </c>
      <c r="BB62" s="581" t="str">
        <v>Increase fueling in balance with increased training load</v>
      </c>
      <c r="BC62" s="581" t="str">
        <v/>
      </c>
      <c r="BD62" s="581" t="str">
        <v/>
      </c>
      <c r="BE62" s="581" t="str">
        <v/>
      </c>
      <c r="BF62" s="581" t="str">
        <v/>
      </c>
      <c r="BG62" s="581" t="str">
        <v/>
      </c>
      <c r="BH62" s="581" t="str">
        <v/>
      </c>
      <c r="BI62" s="581" t="str">
        <v/>
      </c>
      <c r="BJ62" s="581" t="str">
        <v/>
      </c>
      <c r="BK62" s="581" t="str">
        <v>Increase fueling in balance with increased training load</v>
      </c>
      <c r="BL62" s="581" t="str">
        <v>Increase fueling in balance with increased training load</v>
      </c>
      <c r="BM62" s="581" t="str">
        <v>Increase fueling in balance with increased training load</v>
      </c>
      <c r="BN62" s="581" t="str">
        <v>Increase fueling in balance with increased training load</v>
      </c>
      <c r="BO62" s="581" t="str">
        <v>Increase fueling in balance with increased training load</v>
      </c>
      <c r="BP62" s="581" t="str">
        <v>Increase fueling in balance with increased training load</v>
      </c>
      <c r="BQ62" s="581" t="str">
        <v>Increase fueling in balance with increased training load</v>
      </c>
      <c r="BR62" s="581" t="str">
        <v>Increase fueling in balance with increased training load</v>
      </c>
      <c r="BS62" s="581" t="str">
        <v>Increase fueling in balance with increased training load</v>
      </c>
      <c r="BT62" s="581" t="str">
        <v/>
      </c>
      <c r="BU62" s="581" t="str">
        <v>Increase fueling in balance with increased training load</v>
      </c>
      <c r="BV62" s="581" t="str">
        <v>Increase fueling in balance with increased training load</v>
      </c>
      <c r="BW62" s="581" t="str">
        <v>Increase fueling in balance with increased training load</v>
      </c>
      <c r="BX62" s="581" t="str">
        <v>Increase fueling in balance with increased training load</v>
      </c>
      <c r="BY62" s="581" t="str">
        <v>Increase fueling in balance with increased training load</v>
      </c>
      <c r="BZ62" s="581" t="str">
        <v>Maintain healthy nutrition</v>
      </c>
      <c r="CA62" s="581" t="str">
        <v>Maintain healthy nutrition</v>
      </c>
      <c r="CB62" s="581" t="str">
        <v>Maintain healthy nutrition</v>
      </c>
      <c r="CC62" s="581" t="str">
        <v>Maintain healthy nutrition</v>
      </c>
      <c r="CD62" s="581" t="str">
        <v>Maintain healthy nutrition</v>
      </c>
      <c r="CE62" s="581">
        <v>0</v>
      </c>
      <c r="CF62" s="581">
        <v>0</v>
      </c>
      <c r="CG62" s="581">
        <v>0</v>
      </c>
      <c r="CH62" s="581">
        <v>0</v>
      </c>
      <c r="CI62" s="581">
        <v>0</v>
      </c>
      <c r="CJ62" s="581">
        <v>0</v>
      </c>
      <c r="CK62" s="581">
        <v>0</v>
      </c>
      <c r="CL62" s="581">
        <v>0</v>
      </c>
      <c r="CM62" s="581">
        <v>0</v>
      </c>
      <c r="CN62" s="581">
        <v>0</v>
      </c>
      <c r="CO62" s="581">
        <v>0</v>
      </c>
      <c r="CP62" s="581">
        <v>0</v>
      </c>
      <c r="CQ62" s="581">
        <v>0</v>
      </c>
      <c r="CR62" s="581">
        <v>0</v>
      </c>
      <c r="CS62" s="581">
        <v>0</v>
      </c>
      <c r="CT62" s="581">
        <v>0</v>
      </c>
      <c r="CU62" s="581">
        <v>0</v>
      </c>
      <c r="CV62" s="581">
        <v>0</v>
      </c>
      <c r="CW62" s="581">
        <v>0</v>
      </c>
      <c r="CX62" s="581">
        <v>0</v>
      </c>
      <c r="CY62" s="580" t="str">
        <v/>
      </c>
      <c r="CZ62" s="581" t="str">
        <v/>
      </c>
      <c r="DA62" s="581" t="str">
        <v/>
      </c>
      <c r="DB62" s="581" t="str">
        <v/>
      </c>
      <c r="DC62" s="581" t="str">
        <v/>
      </c>
      <c r="DD62" s="581" t="str">
        <v/>
      </c>
      <c r="DE62" s="581" t="str">
        <v/>
      </c>
      <c r="DF62" s="581" t="str">
        <v/>
      </c>
      <c r="DG62" s="581" t="str">
        <v/>
      </c>
      <c r="DH62" s="581" t="str">
        <v/>
      </c>
      <c r="DI62" s="581" t="str">
        <v/>
      </c>
      <c r="DJ62" s="581" t="str">
        <v/>
      </c>
      <c r="DK62" s="581" t="str">
        <v/>
      </c>
      <c r="DL62" s="581" t="str">
        <v/>
      </c>
      <c r="DM62" s="581" t="str">
        <v/>
      </c>
      <c r="DN62" s="581" t="str">
        <v/>
      </c>
      <c r="DO62" s="581" t="str">
        <v/>
      </c>
      <c r="DP62" s="581" t="str">
        <v/>
      </c>
      <c r="DQ62" s="581" t="str">
        <v/>
      </c>
      <c r="DR62" s="581" t="str">
        <v/>
      </c>
      <c r="DS62" s="581" t="str">
        <v/>
      </c>
      <c r="DT62" s="581" t="str">
        <v/>
      </c>
      <c r="DU62" s="581" t="str">
        <v/>
      </c>
      <c r="DV62" s="581" t="str">
        <v/>
      </c>
      <c r="DW62" s="581" t="str">
        <v/>
      </c>
      <c r="DX62" s="581" t="str">
        <v/>
      </c>
      <c r="DY62" s="581" t="str">
        <v/>
      </c>
      <c r="DZ62" s="581" t="str">
        <v/>
      </c>
      <c r="EA62" s="581" t="str">
        <v/>
      </c>
      <c r="EB62" s="581" t="str">
        <v/>
      </c>
      <c r="EC62" s="581" t="str">
        <v/>
      </c>
      <c r="ED62" s="581" t="str">
        <v/>
      </c>
      <c r="EE62" s="581" t="str">
        <v/>
      </c>
      <c r="EF62" s="581" t="str">
        <v/>
      </c>
      <c r="EG62" s="581" t="str">
        <v/>
      </c>
      <c r="EH62" s="581" t="str">
        <v/>
      </c>
      <c r="EI62" s="581" t="str">
        <v/>
      </c>
      <c r="EJ62" s="581" t="str">
        <v/>
      </c>
      <c r="EK62" s="581" t="str">
        <v/>
      </c>
      <c r="EL62" s="581" t="str">
        <v/>
      </c>
      <c r="EM62" s="581" t="str">
        <v/>
      </c>
      <c r="EN62" s="581" t="str">
        <v/>
      </c>
      <c r="EO62" s="581" t="str">
        <v/>
      </c>
      <c r="EP62" s="581" t="str">
        <v/>
      </c>
      <c r="EQ62" s="581" t="str">
        <v/>
      </c>
      <c r="ER62" s="581" t="str">
        <v/>
      </c>
      <c r="ES62" s="581" t="str">
        <v/>
      </c>
      <c r="ET62" s="581" t="str">
        <v/>
      </c>
      <c r="EU62" s="581" t="str">
        <v/>
      </c>
      <c r="EV62" s="581" t="str">
        <v/>
      </c>
      <c r="EW62" s="581" t="str">
        <v/>
      </c>
      <c r="EX62" s="581" t="str">
        <v/>
      </c>
      <c r="EY62" s="581" t="str">
        <v/>
      </c>
      <c r="EZ62" s="581" t="str">
        <v/>
      </c>
      <c r="FA62" s="581" t="str">
        <v/>
      </c>
      <c r="FB62" s="581" t="str">
        <v/>
      </c>
      <c r="FC62" s="581" t="str">
        <v/>
      </c>
      <c r="FD62" s="581" t="str">
        <v/>
      </c>
      <c r="FE62" s="581" t="str">
        <v/>
      </c>
      <c r="FF62" s="581" t="str">
        <v/>
      </c>
      <c r="FG62" s="581" t="str">
        <v/>
      </c>
      <c r="FH62" s="581" t="str">
        <v/>
      </c>
      <c r="FI62" s="581" t="str">
        <v/>
      </c>
      <c r="FJ62" s="581" t="str">
        <v/>
      </c>
      <c r="FK62" s="581" t="str">
        <v/>
      </c>
      <c r="FL62" s="581" t="str">
        <v/>
      </c>
      <c r="FM62" s="581" t="str">
        <v/>
      </c>
      <c r="FN62" s="581" t="str">
        <v/>
      </c>
      <c r="FO62" s="581" t="str">
        <v/>
      </c>
      <c r="FP62" s="581" t="str">
        <v/>
      </c>
      <c r="FQ62" s="581" t="str">
        <v/>
      </c>
      <c r="FR62" s="581" t="str">
        <v/>
      </c>
      <c r="FS62" s="581" t="str">
        <v/>
      </c>
      <c r="FT62" s="581" t="str">
        <v/>
      </c>
      <c r="FU62" s="581" t="str">
        <v/>
      </c>
      <c r="FV62" s="581" t="str">
        <v/>
      </c>
      <c r="FW62" s="581" t="str">
        <v/>
      </c>
      <c r="FX62" s="581" t="str">
        <v/>
      </c>
      <c r="FY62" s="581" t="str">
        <v/>
      </c>
      <c r="FZ62" s="581" t="str">
        <v/>
      </c>
      <c r="GA62" s="581" t="str">
        <v/>
      </c>
      <c r="GB62" s="581" t="str">
        <v/>
      </c>
      <c r="GC62" s="581" t="str">
        <v/>
      </c>
      <c r="GD62" s="581" t="str">
        <v/>
      </c>
      <c r="GE62" s="581" t="str">
        <v/>
      </c>
      <c r="GF62" s="581" t="str">
        <v/>
      </c>
      <c r="GG62" s="581" t="str">
        <v/>
      </c>
      <c r="GH62" s="581" t="str">
        <v/>
      </c>
      <c r="GI62" s="581" t="str">
        <v/>
      </c>
      <c r="GJ62" s="581" t="str">
        <v/>
      </c>
      <c r="GK62" s="581" t="str">
        <v/>
      </c>
      <c r="GL62" s="581" t="str">
        <v/>
      </c>
      <c r="GM62" s="581" t="str">
        <v/>
      </c>
      <c r="GN62" s="581" t="str">
        <v/>
      </c>
      <c r="GO62" s="581" t="str">
        <v/>
      </c>
      <c r="GP62" s="581" t="str">
        <v/>
      </c>
      <c r="GQ62" s="581" t="str">
        <v/>
      </c>
      <c r="GR62" s="581" t="str">
        <v/>
      </c>
      <c r="GS62" s="581" t="str">
        <v/>
      </c>
      <c r="GT62" s="581" t="str">
        <v/>
      </c>
      <c r="GU62" s="581" t="str">
        <v/>
      </c>
      <c r="GV62" s="581" t="str">
        <v/>
      </c>
      <c r="GW62" s="581" t="str">
        <v/>
      </c>
      <c r="GX62" s="581" t="str">
        <v/>
      </c>
      <c r="GY62" s="581" t="str">
        <v/>
      </c>
      <c r="GZ62" s="581" t="str">
        <v/>
      </c>
      <c r="HA62" s="581" t="str">
        <v/>
      </c>
      <c r="HB62" s="581" t="str">
        <v/>
      </c>
      <c r="HC62" s="581" t="str">
        <v/>
      </c>
      <c r="HD62" s="581" t="str">
        <v/>
      </c>
      <c r="HE62" s="581" t="str">
        <v/>
      </c>
      <c r="HF62" s="581" t="str">
        <v/>
      </c>
      <c r="HG62" s="581" t="str">
        <v/>
      </c>
      <c r="HH62" s="581" t="str">
        <v/>
      </c>
      <c r="HI62" s="581" t="str">
        <v/>
      </c>
      <c r="HJ62" s="581" t="str">
        <v/>
      </c>
      <c r="HK62" s="581" t="str">
        <v/>
      </c>
      <c r="HL62" s="581" t="str">
        <v/>
      </c>
      <c r="HM62" s="581" t="str">
        <v/>
      </c>
      <c r="HN62" s="581" t="str">
        <v/>
      </c>
      <c r="HO62" s="581" t="str">
        <v/>
      </c>
      <c r="HP62" s="581" t="str">
        <v/>
      </c>
      <c r="HQ62" s="581" t="str">
        <v/>
      </c>
      <c r="HR62" s="581" t="str">
        <v/>
      </c>
      <c r="HS62" s="581" t="str">
        <v/>
      </c>
      <c r="HT62" s="581" t="str">
        <v/>
      </c>
      <c r="HU62" s="581" t="str">
        <v/>
      </c>
      <c r="HV62" s="581" t="str">
        <v/>
      </c>
      <c r="HW62" s="581" t="str">
        <v/>
      </c>
      <c r="HX62" s="581" t="str">
        <v/>
      </c>
      <c r="HY62" s="581" t="str">
        <v/>
      </c>
      <c r="HZ62" s="581" t="str">
        <v/>
      </c>
      <c r="IA62" s="581" t="str">
        <v/>
      </c>
      <c r="IB62" s="581" t="str">
        <v/>
      </c>
      <c r="IC62" s="581" t="str">
        <v/>
      </c>
      <c r="ID62" s="581" t="str">
        <v/>
      </c>
      <c r="IE62" s="581" t="str">
        <v/>
      </c>
      <c r="IF62" s="581" t="str">
        <v/>
      </c>
      <c r="IG62" s="581" t="str">
        <v/>
      </c>
      <c r="IH62" s="581" t="str">
        <v/>
      </c>
      <c r="II62" s="581" t="str">
        <v/>
      </c>
      <c r="IJ62" s="581" t="str">
        <v/>
      </c>
      <c r="IK62" s="581" t="str">
        <v/>
      </c>
      <c r="IL62" s="581" t="str">
        <v/>
      </c>
      <c r="IM62" s="581" t="str">
        <v/>
      </c>
      <c r="IN62" s="581" t="str">
        <v/>
      </c>
      <c r="IO62" s="581" t="str">
        <v/>
      </c>
      <c r="IP62" s="581" t="str">
        <v/>
      </c>
      <c r="IQ62" s="581" t="str">
        <v/>
      </c>
      <c r="IR62" s="581" t="str">
        <v/>
      </c>
      <c r="IS62" s="581" t="str">
        <v>Maintain healthy nutrition</v>
      </c>
      <c r="IT62" s="581" t="str">
        <v>Improve fat utilisation</v>
      </c>
      <c r="IU62" s="581" t="str">
        <v>Improve carb uptake</v>
      </c>
      <c r="IV62" s="581" t="str">
        <v>Improve fat utilisation</v>
      </c>
      <c r="IW62" s="581" t="str">
        <v>Improve carb uptake</v>
      </c>
      <c r="IX62" s="581" t="str">
        <v>Improve fat utilisation</v>
      </c>
      <c r="IY62" s="581" t="str">
        <v>Improve carb uptake</v>
      </c>
      <c r="IZ62" s="581" t="str">
        <v/>
      </c>
      <c r="JA62" s="581" t="str">
        <v/>
      </c>
      <c r="JB62" s="581" t="str">
        <v/>
      </c>
      <c r="JC62" s="581" t="str">
        <v/>
      </c>
      <c r="JD62" s="581" t="str">
        <v/>
      </c>
      <c r="JE62" s="581" t="str">
        <v/>
      </c>
      <c r="JF62" s="581" t="str">
        <v/>
      </c>
      <c r="JG62" s="581" t="str">
        <v/>
      </c>
      <c r="JH62" s="581" t="str">
        <v/>
      </c>
      <c r="JI62" s="581" t="str">
        <v/>
      </c>
      <c r="JJ62" s="581" t="str">
        <v/>
      </c>
      <c r="JK62" s="581" t="str">
        <v/>
      </c>
      <c r="JL62" s="581" t="str">
        <v/>
      </c>
      <c r="JM62" s="581" t="str">
        <v/>
      </c>
      <c r="JN62" s="581" t="str">
        <v/>
      </c>
      <c r="JO62" s="581" t="str">
        <v/>
      </c>
      <c r="JP62" s="581" t="str">
        <v/>
      </c>
      <c r="JQ62" s="581" t="str">
        <v/>
      </c>
      <c r="JR62" s="581" t="str">
        <v/>
      </c>
      <c r="JS62" s="581" t="str">
        <v/>
      </c>
      <c r="JT62" s="581" t="str">
        <v/>
      </c>
      <c r="JU62" s="581" t="str">
        <v/>
      </c>
      <c r="JV62" s="581" t="str">
        <v/>
      </c>
      <c r="JW62" s="581" t="str">
        <v/>
      </c>
      <c r="JX62" s="581" t="str">
        <v/>
      </c>
      <c r="JY62" s="581" t="str">
        <v/>
      </c>
      <c r="JZ62" s="581" t="str">
        <v/>
      </c>
      <c r="KA62" s="581" t="str">
        <v/>
      </c>
      <c r="KB62" s="581" t="str">
        <v/>
      </c>
      <c r="KC62" s="581" t="str">
        <v/>
      </c>
      <c r="KD62" s="581" t="str">
        <v/>
      </c>
      <c r="KE62" s="581" t="str">
        <v/>
      </c>
      <c r="KF62" s="581" t="str">
        <v/>
      </c>
      <c r="KG62" s="581" t="str">
        <v/>
      </c>
      <c r="KH62" s="581" t="str">
        <v/>
      </c>
      <c r="KI62" s="581" t="str">
        <v/>
      </c>
      <c r="KJ62" s="581" t="str">
        <v/>
      </c>
      <c r="KK62" s="581" t="str">
        <v/>
      </c>
      <c r="KL62" s="581" t="str">
        <v/>
      </c>
      <c r="KM62" s="581" t="str">
        <v/>
      </c>
      <c r="KN62" s="581" t="str">
        <v/>
      </c>
      <c r="KO62" s="581" t="str">
        <v/>
      </c>
      <c r="KP62" s="919" t="str">
        <v/>
      </c>
      <c r="KQ62" s="700" t="s">
        <v>388</v>
      </c>
    </row>
    <row r="63" spans="1:303" s="76" customFormat="1" ht="71.25" hidden="1" customHeight="1" x14ac:dyDescent="0.45">
      <c r="A63" s="1762"/>
      <c r="B63" s="583" t="s">
        <v>402</v>
      </c>
      <c r="C63" s="582" t="str">
        <f t="array" ref="C63:KP63">CONCATENATE(IFERROR(CONCATENATE(IF(sessions_description_secondary="", "", "1. "),INDEX(elements_aim,,sessions_element_index_primary)),""),IFERROR(CONCATENATE("
2. ",INDEX(elements_aim,,sessions_element_index_secondary)),""),IFERROR(CONCATENATE("
3. ",INDEX(elements_aim,,sessions_element_index_tertiary)),""))</f>
        <v xml:space="preserve">Allow safest recovery of the whole body. </v>
      </c>
      <c r="D63" s="582" t="str">
        <v xml:space="preserve">Improve aerobic fitness while minimising the chance of injury. </v>
      </c>
      <c r="E63" s="582" t="str">
        <v xml:space="preserve">Improve aerobic fitness while minimising the chance of injury. </v>
      </c>
      <c r="F63" s="582" t="str">
        <v>Improve aerobic fitness at an optimal rate.</v>
      </c>
      <c r="G63" s="582" t="str">
        <v xml:space="preserve">Improve aerobic fitness and energy utilisation. </v>
      </c>
      <c r="H63" s="582" t="str">
        <v xml:space="preserve">Improve aerobic fitness while minimising the chance of injury. </v>
      </c>
      <c r="I63" s="582" t="str">
        <v xml:space="preserve">Improve aerobic fitness while minimising the chance of injury. </v>
      </c>
      <c r="J63" s="582" t="str">
        <v xml:space="preserve">Improve aerobic fitness while minimising the chance of injury. </v>
      </c>
      <c r="K63" s="582" t="str">
        <v>1. Improve aerobic fitness while minimising the chance of injury. 
2. Improve running mechanics.</v>
      </c>
      <c r="L63" s="582" t="str">
        <v>1. Improve aerobic fitness while minimising the chance of injury. 
2. Improve running mechanics.</v>
      </c>
      <c r="M63" s="582" t="str">
        <v>1. Improve aerobic fitness while minimising the chance of injury. 
2. Improve running mechanics.</v>
      </c>
      <c r="N63" s="582" t="str">
        <v xml:space="preserve">Improve aerobic fitness while minimising the chance of injury. </v>
      </c>
      <c r="O63" s="582" t="str">
        <v xml:space="preserve">Improve aerobic fitness while minimising the chance of injury. </v>
      </c>
      <c r="P63" s="582" t="str">
        <v xml:space="preserve">Improve aerobic fitness while minimising the chance of injury. </v>
      </c>
      <c r="Q63" s="582" t="str">
        <v xml:space="preserve">Improve aerobic fitness while minimising the chance of injury. </v>
      </c>
      <c r="R63" s="582" t="str">
        <v>Improve aerobic fitness at an optimal rate.</v>
      </c>
      <c r="S63" s="582" t="str">
        <v>Improve aerobic fitness at an optimal rate.</v>
      </c>
      <c r="T63" s="582" t="str">
        <v xml:space="preserve">Improve aerobic fitness and energy utilisation. </v>
      </c>
      <c r="U63" s="582" t="str">
        <v xml:space="preserve">Improve aerobic fitness and energy utilisation. </v>
      </c>
      <c r="V63" s="582" t="str">
        <v xml:space="preserve">Improve aerobic fitness and energy utilisation. </v>
      </c>
      <c r="W63" s="582" t="str">
        <v xml:space="preserve">Improve aerobic fitness and pacing control. </v>
      </c>
      <c r="X63" s="582" t="str">
        <v xml:space="preserve">Improve endurance by increasing lactate threshold and developing mental toughness. </v>
      </c>
      <c r="Y63" s="582" t="str">
        <v xml:space="preserve">Improve endurance by increasing lactate threshold and developing mental toughness. </v>
      </c>
      <c r="Z63" s="582" t="str">
        <v xml:space="preserve">Improve endurance by increasing lactate threshold and developing mental toughness. </v>
      </c>
      <c r="AA63" s="582" t="str">
        <v xml:space="preserve">Improve endurance by increasing lactate threshold and developing mental toughness. </v>
      </c>
      <c r="AB63" s="582" t="str">
        <v xml:space="preserve">1. Improve aerobic fitness and pacing control. 
2. Improve aerobic fitness while minimising the chance of injury. </v>
      </c>
      <c r="AC63" s="582" t="str">
        <v xml:space="preserve">1. Improve endurance by increasing lactate threshold and developing mental toughness. 
2. Improve aerobic fitness while minimising the chance of injury. </v>
      </c>
      <c r="AD63" s="582" t="str">
        <v xml:space="preserve">1. Improve endurance by increasing lactate threshold and developing mental toughness. 
2. Improve aerobic fitness while minimising the chance of injury. </v>
      </c>
      <c r="AE63" s="582" t="str">
        <v xml:space="preserve">1. Improve endurance by increasing lactate threshold and developing mental toughness. 
2. Improve aerobic fitness while minimising the chance of injury. </v>
      </c>
      <c r="AF63" s="582" t="str">
        <v xml:space="preserve">1. Improve endurance by increasing lactate threshold and developing mental toughness. 
2. Improve aerobic fitness while minimising the chance of injury. </v>
      </c>
      <c r="AG63" s="582" t="str">
        <v xml:space="preserve">Improve endurance, VO2 max, and economy in varying amounts depending on the combination of efforts. </v>
      </c>
      <c r="AH63" s="582" t="str">
        <v xml:space="preserve">Improve endurance, VO2 max, and economy in varying amounts depending on the combination of efforts. </v>
      </c>
      <c r="AI63" s="582" t="str">
        <v xml:space="preserve">Improve endurance, VO2 max, and economy in varying amounts depending on the combination of efforts. </v>
      </c>
      <c r="AJ63" s="582" t="str">
        <v xml:space="preserve">Improve endurance, VO2 max, and economy in varying amounts depending on the combination of efforts. </v>
      </c>
      <c r="AK63" s="582" t="str">
        <v/>
      </c>
      <c r="AL63" s="582" t="str">
        <v/>
      </c>
      <c r="AM63" s="582" t="str">
        <v/>
      </c>
      <c r="AN63" s="582" t="str">
        <v/>
      </c>
      <c r="AO63" s="582" t="str">
        <v/>
      </c>
      <c r="AP63" s="582" t="str">
        <v/>
      </c>
      <c r="AQ63" s="582" t="str">
        <v xml:space="preserve">Improve VO2 max and develop metal toughness. </v>
      </c>
      <c r="AR63" s="582" t="str">
        <v xml:space="preserve">Improve VO2 max and develop metal toughness. </v>
      </c>
      <c r="AS63" s="582" t="str">
        <v xml:space="preserve">Improve VO2 max and develop metal toughness. </v>
      </c>
      <c r="AT63" s="582" t="str">
        <v xml:space="preserve">Improve VO2 max and develop metal toughness. </v>
      </c>
      <c r="AU63" s="582" t="str">
        <v xml:space="preserve">Improve VO2 max and develop metal toughness. </v>
      </c>
      <c r="AV63" s="582" t="str">
        <v xml:space="preserve">Improve VO2 max and develop metal toughness. </v>
      </c>
      <c r="AW63" s="582" t="str">
        <v xml:space="preserve">Improve VO2 max and develop metal toughness. </v>
      </c>
      <c r="AX63" s="582" t="str">
        <v xml:space="preserve">Improve VO2 max and develop metal toughness. </v>
      </c>
      <c r="AY63" s="582" t="str">
        <v xml:space="preserve">Improve VO2 max and develop metal toughness. </v>
      </c>
      <c r="AZ63" s="582" t="str">
        <v xml:space="preserve">Improve VO2 max and develop metal toughness. </v>
      </c>
      <c r="BA63" s="582" t="str">
        <v xml:space="preserve">Improve VO2 max and develop metal toughness. </v>
      </c>
      <c r="BB63" s="582" t="str">
        <v xml:space="preserve">Improve VO2 max and develop metal toughness. </v>
      </c>
      <c r="BC63" s="582" t="str">
        <v/>
      </c>
      <c r="BD63" s="582" t="str">
        <v/>
      </c>
      <c r="BE63" s="582" t="str">
        <v/>
      </c>
      <c r="BF63" s="582" t="str">
        <v/>
      </c>
      <c r="BG63" s="582" t="str">
        <v/>
      </c>
      <c r="BH63" s="582" t="str">
        <v/>
      </c>
      <c r="BI63" s="582" t="str">
        <v/>
      </c>
      <c r="BJ63" s="582" t="str">
        <v/>
      </c>
      <c r="BK63" s="582" t="str">
        <v xml:space="preserve">1. Improve anaerobic power and running mechanics. 
2. Improve aerobic fitness while minimising the chance of injury. </v>
      </c>
      <c r="BL63" s="582" t="str">
        <v xml:space="preserve">1. Improve anaerobic power and running mechanics. 
2. Improve aerobic fitness while minimising the chance of injury. </v>
      </c>
      <c r="BM63" s="582" t="str">
        <v xml:space="preserve">1. Improve anaerobic power and running mechanics. 
2. Improve aerobic fitness while minimising the chance of injury. </v>
      </c>
      <c r="BN63" s="582" t="str">
        <v xml:space="preserve">1. Improve anaerobic power and running mechanics. 
2. Improve aerobic fitness while minimising the chance of injury. </v>
      </c>
      <c r="BO63" s="582" t="str">
        <v xml:space="preserve">1. Improve anaerobic power and running mechanics. 
2. Improve aerobic fitness while minimising the chance of injury. </v>
      </c>
      <c r="BP63" s="582" t="str">
        <v xml:space="preserve">1. Improve anaerobic power and running mechanics. 
2. Improve aerobic fitness while minimising the chance of injury. </v>
      </c>
      <c r="BQ63" s="582" t="str">
        <v xml:space="preserve">1. Improve anaerobic power and running mechanics. 
2. Improve aerobic fitness while minimising the chance of injury. </v>
      </c>
      <c r="BR63" s="582" t="str">
        <v xml:space="preserve">1. Improve anaerobic power and running mechanics. 
2. Improve aerobic fitness while minimising the chance of injury. </v>
      </c>
      <c r="BS63" s="582" t="str">
        <v xml:space="preserve">1. Improve anaerobic power and running mechanics. 
2. Improve aerobic fitness while minimising the chance of injury. </v>
      </c>
      <c r="BT63" s="582" t="str">
        <v/>
      </c>
      <c r="BU63" s="582" t="str">
        <v xml:space="preserve">Improve running economy and injury resistance. </v>
      </c>
      <c r="BV63" s="582" t="str">
        <v>1. Improve running economy and injury resistance. 
2. Improve running mechanics.</v>
      </c>
      <c r="BW63" s="582" t="str">
        <v xml:space="preserve">1. Improve running economy and injury resistance. 
2. Improve anaerobic power and running mechanics. </v>
      </c>
      <c r="BX63" s="582" t="str">
        <v xml:space="preserve">1. Improve running economy and injury resistance. 
2. Improve aerobic fitness while minimising the chance of injury. </v>
      </c>
      <c r="BY63" s="582" t="str">
        <v xml:space="preserve">1. Improve running economy and injury resistance. 
2. Improve anaerobic power and running mechanics. 
3. Improve aerobic fitness while minimising the chance of injury. </v>
      </c>
      <c r="BZ63" s="582" t="str">
        <v xml:space="preserve">Release tension that develops in soft tissue from training and non-training stresses. </v>
      </c>
      <c r="CA63" s="582" t="str">
        <v xml:space="preserve">1. Increase strength of specific muscle groups, running economy and injury resistance. 
2. Release tension that develops in soft tissue from training and non-training stresses. </v>
      </c>
      <c r="CB63" s="582" t="str">
        <v xml:space="preserve">1. Improve aerobic fitness while minimising the chance of injury. 
2. Increase strength of specific muscle groups, running economy and injury resistance. 
3. Release tension that develops in soft tissue from training and non-training stresses. </v>
      </c>
      <c r="CC63" s="582" t="str">
        <v xml:space="preserve">Increase strength of specific muscle groups, running economy and injury resistance. </v>
      </c>
      <c r="CD63" s="582" t="str">
        <v xml:space="preserve">1. Improve aerobic fitness while minimising the chance of injury. 
2. Increase strength of specific muscle groups, running economy and injury resistance. </v>
      </c>
      <c r="CE63" s="582" t="str">
        <v>Push your physical and mental limits and put tactics and techniques to the test.</v>
      </c>
      <c r="CF63" s="582" t="str">
        <v>Push your physical and mental limits and put tactics and techniques to the test.</v>
      </c>
      <c r="CG63" s="582" t="str">
        <v>Push your physical and mental limits and put tactics and techniques to the test.</v>
      </c>
      <c r="CH63" s="582" t="str">
        <v>Push your physical and mental limits and put tactics and techniques to the test.</v>
      </c>
      <c r="CI63" s="582" t="str">
        <v>Push your physical and mental limits and put tactics and techniques to the test.</v>
      </c>
      <c r="CJ63" s="582" t="str">
        <v>Push your physical and mental limits and put tactics and techniques to the test.</v>
      </c>
      <c r="CK63" s="582" t="str">
        <v>Push your physical and mental limits and put tactics and techniques to the test.</v>
      </c>
      <c r="CL63" s="582" t="str">
        <v>Push your physical and mental limits and put tactics and techniques to the test.</v>
      </c>
      <c r="CM63" s="582" t="str">
        <v>Push your physical and mental limits and put tactics and techniques to the test.</v>
      </c>
      <c r="CN63" s="582" t="str">
        <v>Push your physical and mental limits and put tactics and techniques to the test.</v>
      </c>
      <c r="CO63" s="582" t="str">
        <v>Push your physical and mental limits and put tactics and techniques to the test.</v>
      </c>
      <c r="CP63" s="582" t="str">
        <v>Push your physical and mental limits and put tactics and techniques to the test.</v>
      </c>
      <c r="CQ63" s="582" t="str">
        <v>Push your physical and mental limits and put tactics and techniques to the test.</v>
      </c>
      <c r="CR63" s="582" t="str">
        <v>Push your physical and mental limits and put tactics and techniques to the test.</v>
      </c>
      <c r="CS63" s="582" t="str">
        <v>Push your physical and mental limits and put tactics and techniques to the test.</v>
      </c>
      <c r="CT63" s="582" t="str">
        <v>Push your physical and mental limits and put tactics and techniques to the test.</v>
      </c>
      <c r="CU63" s="582" t="str">
        <v>Push your physical and mental limits and put tactics and techniques to the test.</v>
      </c>
      <c r="CV63" s="582" t="str">
        <v>Push your physical and mental limits and put tactics and techniques to the test.</v>
      </c>
      <c r="CW63" s="582" t="str">
        <v>Push your physical and mental limits and put tactics and techniques to the test.</v>
      </c>
      <c r="CX63" s="582" t="str">
        <v>Push your physical and mental limits and put tactics and techniques to the test.</v>
      </c>
      <c r="CY63" s="588" t="str">
        <v xml:space="preserve">Allow safest recovery of the whole body. </v>
      </c>
      <c r="CZ63" s="582" t="str">
        <v xml:space="preserve">Improve aerobic fitness while minimising the chance of injury. </v>
      </c>
      <c r="DA63" s="582" t="str">
        <v xml:space="preserve">Improve aerobic fitness while minimising the chance of injury. </v>
      </c>
      <c r="DB63" s="582" t="str">
        <v>Improve aerobic fitness at an optimal rate.</v>
      </c>
      <c r="DC63" s="582" t="str">
        <v xml:space="preserve">Improve aerobic fitness and energy utilisation. </v>
      </c>
      <c r="DD63" s="582" t="str">
        <v xml:space="preserve">Improve aerobic fitness while minimising the chance of injury. </v>
      </c>
      <c r="DE63" s="582" t="str">
        <v xml:space="preserve">Improve aerobic fitness while minimising the chance of injury. </v>
      </c>
      <c r="DF63" s="582" t="str">
        <v xml:space="preserve">Improve aerobic fitness while minimising the chance of injury. </v>
      </c>
      <c r="DG63" s="582" t="str">
        <v xml:space="preserve">Improve aerobic fitness while minimising the chance of injury. </v>
      </c>
      <c r="DH63" s="582" t="str">
        <v xml:space="preserve">Improve aerobic fitness while minimising the chance of injury. </v>
      </c>
      <c r="DI63" s="582" t="str">
        <v xml:space="preserve">Improve aerobic fitness while minimising the chance of injury. </v>
      </c>
      <c r="DJ63" s="582" t="str">
        <v xml:space="preserve">Improve aerobic fitness while minimising the chance of injury. </v>
      </c>
      <c r="DK63" s="582" t="str">
        <v xml:space="preserve">Improve aerobic fitness while minimising the chance of injury. </v>
      </c>
      <c r="DL63" s="582" t="str">
        <v xml:space="preserve">Improve aerobic fitness while minimising the chance of injury. </v>
      </c>
      <c r="DM63" s="582" t="str">
        <v xml:space="preserve">Improve aerobic fitness while minimising the chance of injury. </v>
      </c>
      <c r="DN63" s="582" t="str">
        <v>Improve aerobic fitness at an optimal rate.</v>
      </c>
      <c r="DO63" s="582" t="str">
        <v>Improve aerobic fitness at an optimal rate.</v>
      </c>
      <c r="DP63" s="582" t="str">
        <v xml:space="preserve">Improve aerobic fitness and energy utilisation. </v>
      </c>
      <c r="DQ63" s="582" t="str">
        <v xml:space="preserve">Improve aerobic fitness and energy utilisation. </v>
      </c>
      <c r="DR63" s="582" t="str">
        <v xml:space="preserve">Improve aerobic fitness and energy utilisation. </v>
      </c>
      <c r="DS63" s="582" t="str">
        <v xml:space="preserve">Improve aerobic fitness and pacing control. </v>
      </c>
      <c r="DT63" s="582" t="str">
        <v xml:space="preserve">Improve endurance by increasing lactate threshold and developing mental toughness. </v>
      </c>
      <c r="DU63" s="582" t="str">
        <v xml:space="preserve">Improve endurance by increasing lactate threshold and developing mental toughness. </v>
      </c>
      <c r="DV63" s="582" t="str">
        <v xml:space="preserve">Improve endurance by increasing lactate threshold and developing mental toughness. </v>
      </c>
      <c r="DW63" s="582" t="str">
        <v xml:space="preserve">Improve endurance by increasing lactate threshold and developing mental toughness. </v>
      </c>
      <c r="DX63" s="582" t="str">
        <v xml:space="preserve">1. Improve aerobic fitness and pacing control. 
2. Improve aerobic fitness while minimising the chance of injury. </v>
      </c>
      <c r="DY63" s="582" t="str">
        <v xml:space="preserve">1. Improve endurance by increasing lactate threshold and developing mental toughness. 
2. Improve aerobic fitness while minimising the chance of injury. </v>
      </c>
      <c r="DZ63" s="582" t="str">
        <v xml:space="preserve">1. Improve endurance by increasing lactate threshold and developing mental toughness. 
2. Improve aerobic fitness while minimising the chance of injury. </v>
      </c>
      <c r="EA63" s="582" t="str">
        <v xml:space="preserve">1. Improve endurance by increasing lactate threshold and developing mental toughness. 
2. Improve aerobic fitness while minimising the chance of injury. </v>
      </c>
      <c r="EB63" s="582" t="str">
        <v xml:space="preserve">1. Improve endurance by increasing lactate threshold and developing mental toughness. 
2. Improve aerobic fitness while minimising the chance of injury. </v>
      </c>
      <c r="EC63" s="582" t="str">
        <v xml:space="preserve">Improve endurance, VO2 max, and economy in varying amounts depending on the combination of efforts. </v>
      </c>
      <c r="ED63" s="582" t="str">
        <v xml:space="preserve">Improve endurance, VO2 max, and economy in varying amounts depending on the combination of efforts. </v>
      </c>
      <c r="EE63" s="582" t="str">
        <v xml:space="preserve">Improve endurance, VO2 max, and economy in varying amounts depending on the combination of efforts. </v>
      </c>
      <c r="EF63" s="582" t="str">
        <v xml:space="preserve">Improve endurance, VO2 max, and economy in varying amounts depending on the combination of efforts. </v>
      </c>
      <c r="EG63" s="582" t="str">
        <v/>
      </c>
      <c r="EH63" s="582" t="str">
        <v/>
      </c>
      <c r="EI63" s="582" t="str">
        <v/>
      </c>
      <c r="EJ63" s="582" t="str">
        <v/>
      </c>
      <c r="EK63" s="582" t="str">
        <v/>
      </c>
      <c r="EL63" s="582" t="str">
        <v/>
      </c>
      <c r="EM63" s="582" t="str">
        <v/>
      </c>
      <c r="EN63" s="582" t="str">
        <v/>
      </c>
      <c r="EO63" s="582" t="str">
        <v/>
      </c>
      <c r="EP63" s="582" t="str">
        <v/>
      </c>
      <c r="EQ63" s="582" t="str">
        <v/>
      </c>
      <c r="ER63" s="582" t="str">
        <v/>
      </c>
      <c r="ES63" s="582" t="str">
        <v/>
      </c>
      <c r="ET63" s="582" t="str">
        <v/>
      </c>
      <c r="EU63" s="582" t="str">
        <v/>
      </c>
      <c r="EV63" s="582" t="str">
        <v/>
      </c>
      <c r="EW63" s="582" t="str">
        <v/>
      </c>
      <c r="EX63" s="582" t="str">
        <v/>
      </c>
      <c r="EY63" s="582" t="str">
        <v/>
      </c>
      <c r="EZ63" s="582" t="str">
        <v/>
      </c>
      <c r="FA63" s="582" t="str">
        <v/>
      </c>
      <c r="FB63" s="582" t="str">
        <v/>
      </c>
      <c r="FC63" s="582" t="str">
        <v/>
      </c>
      <c r="FD63" s="582" t="str">
        <v/>
      </c>
      <c r="FE63" s="582" t="str">
        <v/>
      </c>
      <c r="FF63" s="582" t="str">
        <v/>
      </c>
      <c r="FG63" s="582" t="str">
        <v xml:space="preserve">Improve anaerobic power and running mechanics. </v>
      </c>
      <c r="FH63" s="582" t="str">
        <v xml:space="preserve">Improve anaerobic power and running mechanics. </v>
      </c>
      <c r="FI63" s="582" t="str">
        <v xml:space="preserve">Improve anaerobic power and running mechanics. </v>
      </c>
      <c r="FJ63" s="582" t="str">
        <v xml:space="preserve">Improve anaerobic power and running mechanics. </v>
      </c>
      <c r="FK63" s="582" t="str">
        <v xml:space="preserve">Improve anaerobic power and running mechanics. </v>
      </c>
      <c r="FL63" s="582" t="str">
        <v xml:space="preserve">Improve anaerobic power and running mechanics. </v>
      </c>
      <c r="FM63" s="582" t="str">
        <v xml:space="preserve">Improve anaerobic power and running mechanics. </v>
      </c>
      <c r="FN63" s="582" t="str">
        <v>1. Improve anaerobic power and running mechanics. 
2. Improve aerobic fitness at an optimal rate.</v>
      </c>
      <c r="FO63" s="582" t="str">
        <v xml:space="preserve">Improve anaerobic power and running mechanics. </v>
      </c>
      <c r="FP63" s="582" t="str">
        <v xml:space="preserve">Improve anaerobic power and running mechanics. </v>
      </c>
      <c r="FQ63" s="582" t="str">
        <v/>
      </c>
      <c r="FR63" s="582" t="str">
        <v/>
      </c>
      <c r="FS63" s="582" t="str">
        <v/>
      </c>
      <c r="FT63" s="582" t="str">
        <v/>
      </c>
      <c r="FU63" s="582" t="str">
        <v/>
      </c>
      <c r="FV63" s="582" t="str">
        <v/>
      </c>
      <c r="FW63" s="582" t="str">
        <v/>
      </c>
      <c r="FX63" s="582" t="str">
        <v/>
      </c>
      <c r="FY63" s="582" t="str">
        <v/>
      </c>
      <c r="FZ63" s="582" t="str">
        <v/>
      </c>
      <c r="GA63" s="582" t="str">
        <v>Push your physical and mental limits and put tactics and techniques to the test.</v>
      </c>
      <c r="GB63" s="582" t="str">
        <v>Push your physical and mental limits and put tactics and techniques to the test.</v>
      </c>
      <c r="GC63" s="582" t="str">
        <v>Push your physical and mental limits and put tactics and techniques to the test.</v>
      </c>
      <c r="GD63" s="582" t="str">
        <v>Push your physical and mental limits and put tactics and techniques to the test.</v>
      </c>
      <c r="GE63" s="582" t="str">
        <v>Push your physical and mental limits and put tactics and techniques to the test.</v>
      </c>
      <c r="GF63" s="582" t="str">
        <v>Push your physical and mental limits and put tactics and techniques to the test.</v>
      </c>
      <c r="GG63" s="582" t="str">
        <v>Push your physical and mental limits and put tactics and techniques to the test.</v>
      </c>
      <c r="GH63" s="582" t="str">
        <v>Push your physical and mental limits and put tactics and techniques to the test.</v>
      </c>
      <c r="GI63" s="582" t="str">
        <v>Push your physical and mental limits and put tactics and techniques to the test.</v>
      </c>
      <c r="GJ63" s="582" t="str">
        <v>Push your physical and mental limits and put tactics and techniques to the test.</v>
      </c>
      <c r="GK63" s="582" t="str">
        <v>Push your physical and mental limits and put tactics and techniques to the test.</v>
      </c>
      <c r="GL63" s="582" t="str">
        <v>Push your physical and mental limits and put tactics and techniques to the test.</v>
      </c>
      <c r="GM63" s="582" t="str">
        <v>Push your physical and mental limits and put tactics and techniques to the test.</v>
      </c>
      <c r="GN63" s="582" t="str">
        <v>Push your physical and mental limits and put tactics and techniques to the test.</v>
      </c>
      <c r="GO63" s="582" t="str">
        <v>Push your physical and mental limits and put tactics and techniques to the test.</v>
      </c>
      <c r="GP63" s="582" t="str">
        <v/>
      </c>
      <c r="GQ63" s="582" t="str">
        <v/>
      </c>
      <c r="GR63" s="582" t="str">
        <v/>
      </c>
      <c r="GS63" s="582" t="str">
        <v/>
      </c>
      <c r="GT63" s="582" t="str">
        <v/>
      </c>
      <c r="GU63" s="582" t="str">
        <v xml:space="preserve">Allow safest recovery of the whole body. </v>
      </c>
      <c r="GV63" s="582" t="str">
        <v xml:space="preserve">Improve aerobic fitness while minimising the chance of injury. </v>
      </c>
      <c r="GW63" s="582" t="str">
        <v xml:space="preserve">Improve aerobic fitness while minimising the chance of injury. </v>
      </c>
      <c r="GX63" s="582" t="str">
        <v>Improve aerobic fitness at an optimal rate.</v>
      </c>
      <c r="GY63" s="582" t="str">
        <v xml:space="preserve">Improve aerobic fitness and energy utilisation. </v>
      </c>
      <c r="GZ63" s="582" t="str">
        <v/>
      </c>
      <c r="HA63" s="582" t="str">
        <v/>
      </c>
      <c r="HB63" s="582" t="str">
        <v xml:space="preserve">Improve aerobic fitness while minimising the chance of injury. </v>
      </c>
      <c r="HC63" s="582" t="str">
        <v xml:space="preserve">Improve aerobic fitness while minimising the chance of injury. </v>
      </c>
      <c r="HD63" s="582" t="str">
        <v xml:space="preserve">Improve aerobic fitness while minimising the chance of injury. </v>
      </c>
      <c r="HE63" s="582" t="str">
        <v xml:space="preserve">Improve aerobic fitness while minimising the chance of injury. </v>
      </c>
      <c r="HF63" s="582" t="str">
        <v xml:space="preserve">Improve aerobic fitness while minimising the chance of injury. </v>
      </c>
      <c r="HG63" s="582" t="str">
        <v xml:space="preserve">Improve aerobic fitness while minimising the chance of injury. </v>
      </c>
      <c r="HH63" s="582" t="str">
        <v xml:space="preserve">Improve aerobic fitness while minimising the chance of injury. </v>
      </c>
      <c r="HI63" s="582" t="str">
        <v xml:space="preserve">Improve aerobic fitness while minimising the chance of injury. </v>
      </c>
      <c r="HJ63" s="582" t="str">
        <v>Improve aerobic fitness at an optimal rate.</v>
      </c>
      <c r="HK63" s="582" t="str">
        <v>Improve aerobic fitness at an optimal rate.</v>
      </c>
      <c r="HL63" s="582" t="str">
        <v xml:space="preserve">Improve aerobic fitness and energy utilisation. </v>
      </c>
      <c r="HM63" s="582" t="str">
        <v xml:space="preserve">Improve aerobic fitness and energy utilisation. </v>
      </c>
      <c r="HN63" s="582" t="str">
        <v xml:space="preserve">Improve aerobic fitness and energy utilisation. </v>
      </c>
      <c r="HO63" s="582" t="str">
        <v xml:space="preserve">Allow safest recovery of the whole body. </v>
      </c>
      <c r="HP63" s="582" t="str">
        <v xml:space="preserve">Improve aerobic fitness while minimising the chance of injury. </v>
      </c>
      <c r="HQ63" s="582" t="str">
        <v xml:space="preserve">Improve aerobic fitness while minimising the chance of injury. </v>
      </c>
      <c r="HR63" s="582" t="str">
        <v>Improve aerobic fitness at an optimal rate.</v>
      </c>
      <c r="HS63" s="582" t="str">
        <v xml:space="preserve">Improve aerobic fitness and energy utilisation. </v>
      </c>
      <c r="HT63" s="582" t="str">
        <v/>
      </c>
      <c r="HU63" s="582" t="str">
        <v/>
      </c>
      <c r="HV63" s="582" t="str">
        <v xml:space="preserve">Improve aerobic fitness while minimising the chance of injury. </v>
      </c>
      <c r="HW63" s="582" t="str">
        <v xml:space="preserve">Improve aerobic fitness while minimising the chance of injury. </v>
      </c>
      <c r="HX63" s="582" t="str">
        <v xml:space="preserve">Improve aerobic fitness while minimising the chance of injury. </v>
      </c>
      <c r="HY63" s="582" t="str">
        <v xml:space="preserve">Improve aerobic fitness while minimising the chance of injury. </v>
      </c>
      <c r="HZ63" s="582" t="str">
        <v xml:space="preserve">Improve aerobic fitness while minimising the chance of injury. </v>
      </c>
      <c r="IA63" s="582" t="str">
        <v xml:space="preserve">Improve aerobic fitness while minimising the chance of injury. </v>
      </c>
      <c r="IB63" s="582" t="str">
        <v xml:space="preserve">Improve aerobic fitness while minimising the chance of injury. </v>
      </c>
      <c r="IC63" s="582" t="str">
        <v xml:space="preserve">Improve aerobic fitness while minimising the chance of injury. </v>
      </c>
      <c r="ID63" s="582" t="str">
        <v>Improve aerobic fitness at an optimal rate.</v>
      </c>
      <c r="IE63" s="582" t="str">
        <v>Improve aerobic fitness at an optimal rate.</v>
      </c>
      <c r="IF63" s="582" t="str">
        <v xml:space="preserve">Improve aerobic fitness and energy utilisation. </v>
      </c>
      <c r="IG63" s="582" t="str">
        <v xml:space="preserve">Improve aerobic fitness and energy utilisation. </v>
      </c>
      <c r="IH63" s="582" t="str">
        <v xml:space="preserve">Improve aerobic fitness and energy utilisation. </v>
      </c>
      <c r="II63" s="582" t="str">
        <v>Improve general fitness and develop other skills</v>
      </c>
      <c r="IJ63" s="582" t="str">
        <v/>
      </c>
      <c r="IK63" s="582" t="str">
        <v/>
      </c>
      <c r="IL63" s="582" t="str">
        <v/>
      </c>
      <c r="IM63" s="582" t="str">
        <v/>
      </c>
      <c r="IN63" s="582" t="str">
        <v/>
      </c>
      <c r="IO63" s="582" t="str">
        <v/>
      </c>
      <c r="IP63" s="582" t="str">
        <v/>
      </c>
      <c r="IQ63" s="582" t="str">
        <v/>
      </c>
      <c r="IR63" s="582" t="str">
        <v/>
      </c>
      <c r="IS63" s="582" t="str">
        <v xml:space="preserve">Allow safest recovery of the whole body. </v>
      </c>
      <c r="IT63" s="582" t="str">
        <v xml:space="preserve">Improve aerobic fitness and energy utilisation. </v>
      </c>
      <c r="IU63" s="582" t="str">
        <v xml:space="preserve">Improve aerobic fitness and energy utilisation. </v>
      </c>
      <c r="IV63" s="582" t="str">
        <v xml:space="preserve">Improve aerobic fitness and energy utilisation. </v>
      </c>
      <c r="IW63" s="582" t="str">
        <v xml:space="preserve">Improve aerobic fitness and energy utilisation. </v>
      </c>
      <c r="IX63" s="582" t="str">
        <v xml:space="preserve">Improve aerobic fitness and energy utilisation. </v>
      </c>
      <c r="IY63" s="582" t="str">
        <v xml:space="preserve">Improve aerobic fitness and energy utilisation. </v>
      </c>
      <c r="IZ63" s="582" t="str">
        <v xml:space="preserve">Improve aerobic fitness while minimising the chance of injury. </v>
      </c>
      <c r="JA63" s="582" t="str">
        <v/>
      </c>
      <c r="JB63" s="582" t="str">
        <v/>
      </c>
      <c r="JC63" s="582" t="str">
        <v/>
      </c>
      <c r="JD63" s="582" t="str">
        <v/>
      </c>
      <c r="JE63" s="582" t="str">
        <v/>
      </c>
      <c r="JF63" s="582" t="str">
        <v/>
      </c>
      <c r="JG63" s="582" t="str">
        <v/>
      </c>
      <c r="JH63" s="582" t="str">
        <v/>
      </c>
      <c r="JI63" s="582" t="str">
        <v/>
      </c>
      <c r="JJ63" s="582" t="str">
        <v/>
      </c>
      <c r="JK63" s="582" t="str">
        <v/>
      </c>
      <c r="JL63" s="582" t="str">
        <v/>
      </c>
      <c r="JM63" s="582" t="str">
        <v/>
      </c>
      <c r="JN63" s="582" t="str">
        <v/>
      </c>
      <c r="JO63" s="582" t="str">
        <v/>
      </c>
      <c r="JP63" s="582" t="str">
        <v/>
      </c>
      <c r="JQ63" s="582" t="str">
        <v/>
      </c>
      <c r="JR63" s="582" t="str">
        <v/>
      </c>
      <c r="JS63" s="582" t="str">
        <v/>
      </c>
      <c r="JT63" s="582" t="str">
        <v/>
      </c>
      <c r="JU63" s="582" t="str">
        <v/>
      </c>
      <c r="JV63" s="582" t="str">
        <v/>
      </c>
      <c r="JW63" s="582" t="str">
        <v>Push your physical and mental limits and put tactics and techniques to the test.</v>
      </c>
      <c r="JX63" s="582" t="str">
        <v>Push your physical and mental limits and put tactics and techniques to the test.</v>
      </c>
      <c r="JY63" s="582" t="str">
        <v>Push your physical and mental limits and put tactics and techniques to the test.</v>
      </c>
      <c r="JZ63" s="582" t="str">
        <v>Push your physical and mental limits and put tactics and techniques to the test.</v>
      </c>
      <c r="KA63" s="582" t="str">
        <v>Push your physical and mental limits and put tactics and techniques to the test.</v>
      </c>
      <c r="KB63" s="582" t="str">
        <v>Push your physical and mental limits and put tactics and techniques to the test.</v>
      </c>
      <c r="KC63" s="582" t="str">
        <v>Push your physical and mental limits and put tactics and techniques to the test.</v>
      </c>
      <c r="KD63" s="582" t="str">
        <v>Push your physical and mental limits and put tactics and techniques to the test.</v>
      </c>
      <c r="KE63" s="582" t="str">
        <v>Push your physical and mental limits and put tactics and techniques to the test.</v>
      </c>
      <c r="KF63" s="582" t="str">
        <v>Push your physical and mental limits and put tactics and techniques to the test.</v>
      </c>
      <c r="KG63" s="582" t="str">
        <v>Push your physical and mental limits and put tactics and techniques to the test.</v>
      </c>
      <c r="KH63" s="582" t="str">
        <v>Push your physical and mental limits and put tactics and techniques to the test.</v>
      </c>
      <c r="KI63" s="582" t="str">
        <v>Push your physical and mental limits and put tactics and techniques to the test.</v>
      </c>
      <c r="KJ63" s="582" t="str">
        <v>Push your physical and mental limits and put tactics and techniques to the test.</v>
      </c>
      <c r="KK63" s="582" t="str">
        <v>Push your physical and mental limits and put tactics and techniques to the test.</v>
      </c>
      <c r="KL63" s="582" t="str">
        <v/>
      </c>
      <c r="KM63" s="582" t="str">
        <v/>
      </c>
      <c r="KN63" s="582" t="str">
        <v/>
      </c>
      <c r="KO63" s="582" t="str">
        <v/>
      </c>
      <c r="KP63" s="916" t="str">
        <v/>
      </c>
      <c r="KQ63" s="701" t="s">
        <v>388</v>
      </c>
    </row>
    <row r="64" spans="1:303" s="76" customFormat="1" ht="28.5" hidden="1" customHeight="1" x14ac:dyDescent="0.45">
      <c r="A64" s="1763" t="s">
        <v>128</v>
      </c>
      <c r="B64" s="895">
        <v>1</v>
      </c>
      <c r="C64" s="586" t="str">
        <f t="array" ref="C64:KP66">IFERROR(CONCATENATE(sessions_symbol, IF(sessions_symbol="", "", " "), SUBSTITUTE(SUBSTITUTE(INDEX(elements_summary_description,,sessions_elements_index),"TT",IF(B64:B66=1, "duration_primary", IF(B64:B66=2,"duration_secondary", "duration_tertiary"))),"SS",LOWER(sessions_sport))),"")</f>
        <v>🏃 Rest from continuous exercise</v>
      </c>
      <c r="D64" s="587" t="str">
        <v>🏃 Easy run: duration_primary minutes</v>
      </c>
      <c r="E64" s="587" t="str">
        <v>🏃 Easy run: duration_primary minutes</v>
      </c>
      <c r="F64" s="587" t="str">
        <v>🏃 Steady hilly trail run: duration_primary minutes</v>
      </c>
      <c r="G64" s="587" t="str">
        <v>🏃 Long hilly trail run: duration_primary minutes</v>
      </c>
      <c r="H64" s="587" t="str">
        <v>🏃 Easy road run: duration_primary minutes</v>
      </c>
      <c r="I64" s="587" t="str">
        <v>🏃 Easy road run: duration_primary minutes</v>
      </c>
      <c r="J64" s="587" t="str">
        <v>🏃 Easy run: duration_primary minutes</v>
      </c>
      <c r="K64" s="587" t="str">
        <v>🏃 Easy road run: duration_primary minutes</v>
      </c>
      <c r="L64" s="587" t="str">
        <v>🏃 Easy road run: duration_primary minutes</v>
      </c>
      <c r="M64" s="587" t="str">
        <v>🏃 Easy road run: duration_primary minutes</v>
      </c>
      <c r="N64" s="587" t="str">
        <v>🏃 Easy road run: duration_primary minutes</v>
      </c>
      <c r="O64" s="587" t="str">
        <v>🏃 Easy road run: duration_primary minutes</v>
      </c>
      <c r="P64" s="587" t="str">
        <v>🏃 Easy road run: duration_primary minutes</v>
      </c>
      <c r="Q64" s="587" t="str">
        <v>🏃 Easy road run: duration_primary minutes</v>
      </c>
      <c r="R64" s="587" t="str">
        <v>🏃 Steady hilly trail run: duration_primary minutes</v>
      </c>
      <c r="S64" s="587" t="str">
        <v>🏃 Steady hilly trail run: duration_primary minutes</v>
      </c>
      <c r="T64" s="587" t="str">
        <v>🏃 Long hilly trail run: duration_primary minutes</v>
      </c>
      <c r="U64" s="587" t="str">
        <v>🏃 Long hilly trail run: duration_primary minutes</v>
      </c>
      <c r="V64" s="587" t="str">
        <v>🏃 Long hilly trail run: duration_primary minutes</v>
      </c>
      <c r="W64" s="587" t="str">
        <v>🏃 Subthreshold hilly trail run: duration_primary minutes + WU/WD</v>
      </c>
      <c r="X64" s="587" t="str">
        <v>🏃 Tempo road run: duration_primary minutes + WU/WD</v>
      </c>
      <c r="Y64" s="587" t="str">
        <v>🏃 Tempo road run: duration_primary minutes + WU/WD</v>
      </c>
      <c r="Z64" s="587" t="str">
        <v>🏃 Hilly tempo hilly trail run: duration_primary minutes + WU/WD</v>
      </c>
      <c r="AA64" s="587" t="str">
        <v>🏃 Hilly tempo hilly trail run: duration_primary minutes + WU/WD</v>
      </c>
      <c r="AB64" s="587" t="str">
        <v>🏃 Subthreshold hilly trail run: duration_primary minutes + WU/WD</v>
      </c>
      <c r="AC64" s="587" t="str">
        <v>🏃 Tempo hilly trail run: duration_primary minutes + WU/WD</v>
      </c>
      <c r="AD64" s="587" t="str">
        <v>🏃 Tempo hilly trail run: duration_primary minutes + WU/WD</v>
      </c>
      <c r="AE64" s="587" t="str">
        <v>🏃 Hilly tempo hilly trail run: duration_primary minutes + WU/WD</v>
      </c>
      <c r="AF64" s="587" t="str">
        <v>🏃 Hilly tempo hilly trail run: duration_primary minutes + WU/WD</v>
      </c>
      <c r="AG64" s="587" t="str">
        <v>🏃 Fartlek hilly trail run: duration_primary minutes + WU/WD</v>
      </c>
      <c r="AH64" s="587" t="str">
        <v>🏃 Fartlek hilly trail run: duration_primary minutes + WU/WD</v>
      </c>
      <c r="AI64" s="587" t="str">
        <v>🏃 Fartlek hilly trail run: duration_primary minutes + WU/WD</v>
      </c>
      <c r="AJ64" s="587" t="str">
        <v>🏃 Fartlek hilly trail run: duration_primary minutes + WU/WD</v>
      </c>
      <c r="AK64" s="587" t="str">
        <v/>
      </c>
      <c r="AL64" s="587" t="str">
        <v/>
      </c>
      <c r="AM64" s="587" t="str">
        <v/>
      </c>
      <c r="AN64" s="587" t="str">
        <v/>
      </c>
      <c r="AO64" s="587" t="str">
        <v/>
      </c>
      <c r="AP64" s="587" t="str">
        <v/>
      </c>
      <c r="AQ64" s="587" t="str">
        <v>🏃 Intervals: II + WU/WD</v>
      </c>
      <c r="AR64" s="587" t="str">
        <v>🏃 Intervals: II + WU/WD</v>
      </c>
      <c r="AS64" s="587" t="str">
        <v>🏃 Intervals: II + WU/WD</v>
      </c>
      <c r="AT64" s="587" t="str">
        <v>🏃 Intervals: II + WU/WD</v>
      </c>
      <c r="AU64" s="587" t="str">
        <v>🏃 Intervals: II + WU/WD</v>
      </c>
      <c r="AV64" s="587" t="str">
        <v>🏃 Intervals: II + WU/WD</v>
      </c>
      <c r="AW64" s="587" t="str">
        <v>🏃 Intervals: II + WU/WD</v>
      </c>
      <c r="AX64" s="587" t="str">
        <v>🏃 Intervals: II + WU/WD</v>
      </c>
      <c r="AY64" s="587" t="str">
        <v>🏃 Intervals: II + WU/WD</v>
      </c>
      <c r="AZ64" s="587" t="str">
        <v>🏃 Intervals: II + WU/WD</v>
      </c>
      <c r="BA64" s="587" t="str">
        <v>🏃 Intervals: II + WU/WD</v>
      </c>
      <c r="BB64" s="587" t="str">
        <v>🏃 Intervals: II + WU/WD</v>
      </c>
      <c r="BC64" s="587" t="str">
        <v/>
      </c>
      <c r="BD64" s="587" t="str">
        <v/>
      </c>
      <c r="BE64" s="587" t="str">
        <v/>
      </c>
      <c r="BF64" s="587" t="str">
        <v/>
      </c>
      <c r="BG64" s="587" t="str">
        <v/>
      </c>
      <c r="BH64" s="587" t="str">
        <v/>
      </c>
      <c r="BI64" s="587" t="str">
        <v/>
      </c>
      <c r="BJ64" s="587" t="str">
        <v/>
      </c>
      <c r="BK64" s="587" t="str">
        <v>🏃 Reps: II + WU/WD</v>
      </c>
      <c r="BL64" s="587" t="str">
        <v>🏃 Reps: II + WU/WD</v>
      </c>
      <c r="BM64" s="587" t="str">
        <v>🏃 Reps: II + WU/WD</v>
      </c>
      <c r="BN64" s="587" t="str">
        <v>🏃 Reps: II + WU/WD</v>
      </c>
      <c r="BO64" s="587" t="str">
        <v>🏃 Reps: II + WU/WD</v>
      </c>
      <c r="BP64" s="587" t="str">
        <v>🏃 Reps: II + WU/WD</v>
      </c>
      <c r="BQ64" s="587" t="str">
        <v>🏃 Reps: II + WU/WD</v>
      </c>
      <c r="BR64" s="587" t="str">
        <v>🏃 Reps: II + WU/WD</v>
      </c>
      <c r="BS64" s="587" t="str">
        <v>🏃 Reps: II + WU/WD</v>
      </c>
      <c r="BT64" s="587" t="str">
        <v/>
      </c>
      <c r="BU64" s="587" t="str">
        <v>🏃 Drills + WU/WD</v>
      </c>
      <c r="BV64" s="587" t="str">
        <v>🏃 Drills + WU/WD</v>
      </c>
      <c r="BW64" s="587" t="str">
        <v>🏃 Drills + WU/WD</v>
      </c>
      <c r="BX64" s="587" t="str">
        <v>🏃 Drills + WU/WD</v>
      </c>
      <c r="BY64" s="587" t="str">
        <v>🏃 Drills + WU/WD</v>
      </c>
      <c r="BZ64" s="587" t="str">
        <v>💪 Maintenance</v>
      </c>
      <c r="CA64" s="587" t="str">
        <v>💪 Strength and conditioning</v>
      </c>
      <c r="CB64" s="587" t="str">
        <v>🏃 Easy road run: duration_primary minutes</v>
      </c>
      <c r="CC64" s="587" t="str">
        <v>💪 Strength and conditioning</v>
      </c>
      <c r="CD64" s="587" t="str">
        <v>🏃 Easy run: duration_primary minutes</v>
      </c>
      <c r="CE64" s="587" t="str">
        <v>🏃 Race: duration_primary minutes + WU/WD</v>
      </c>
      <c r="CF64" s="587" t="str">
        <v>🏃 Race: duration_primary minutes + WU/WD</v>
      </c>
      <c r="CG64" s="587" t="str">
        <v>🏃 Race: duration_primary minutes + WU/WD</v>
      </c>
      <c r="CH64" s="587" t="str">
        <v>🏃 Race: duration_primary minutes + WU/WD</v>
      </c>
      <c r="CI64" s="587" t="str">
        <v>🏃 Race: duration_primary minutes + WU/WD</v>
      </c>
      <c r="CJ64" s="587" t="str">
        <v>🏃 Race: duration_primary minutes + WU/WD</v>
      </c>
      <c r="CK64" s="587" t="str">
        <v>🏃 Race: duration_primary minutes + WU/WD</v>
      </c>
      <c r="CL64" s="587" t="str">
        <v>🏃 Race: duration_primary minutes + WU/WD</v>
      </c>
      <c r="CM64" s="587" t="str">
        <v>🏃 Race: duration_primary minutes + WU/WD</v>
      </c>
      <c r="CN64" s="587" t="str">
        <v>🏃 Race: duration_primary minutes + WU/WD</v>
      </c>
      <c r="CO64" s="587" t="str">
        <v>🏃 Race: duration_primary minutes + WU/WD</v>
      </c>
      <c r="CP64" s="587" t="str">
        <v>🏃 Race: duration_primary minutes + WU/WD</v>
      </c>
      <c r="CQ64" s="587" t="str">
        <v>🏃 Race: duration_primary minutes + WU/WD</v>
      </c>
      <c r="CR64" s="587" t="str">
        <v>🏃 Race: duration_primary minutes + WU/WD</v>
      </c>
      <c r="CS64" s="587" t="str">
        <v>🏃 Race: duration_primary minutes + WU/WD</v>
      </c>
      <c r="CT64" s="587" t="str">
        <v>🏃 Race: duration_primary minutes + WU/WD</v>
      </c>
      <c r="CU64" s="587" t="str">
        <v>🏃 Race: duration_primary minutes + WU/WD</v>
      </c>
      <c r="CV64" s="587" t="str">
        <v>🏃 Race: duration_primary minutes + WU/WD</v>
      </c>
      <c r="CW64" s="587" t="str">
        <v>🏃 Race: duration_primary minutes + WU/WD</v>
      </c>
      <c r="CX64" s="587" t="str">
        <v>🏃 Race: duration_primary minutes + WU/WD</v>
      </c>
      <c r="CY64" s="586" t="str">
        <v>🚲 Rest from continuous exercise</v>
      </c>
      <c r="CZ64" s="587" t="str">
        <v>🚲 Easy road ride: duration_primary minutes</v>
      </c>
      <c r="DA64" s="587" t="str">
        <v>🚲 Easy road ride: duration_primary minutes</v>
      </c>
      <c r="DB64" s="587" t="str">
        <v>🚲 Steady ride: duration_primary minutes</v>
      </c>
      <c r="DC64" s="587" t="str">
        <v>🚲 Long ride: duration_primary minutes</v>
      </c>
      <c r="DD64" s="587" t="str">
        <v>🚲 Easy road ride: duration_primary minutes</v>
      </c>
      <c r="DE64" s="587" t="str">
        <v>🚲 Easy road ride: duration_primary minutes</v>
      </c>
      <c r="DF64" s="587" t="str">
        <v>🚲 Easy ride: duration_primary minutes</v>
      </c>
      <c r="DG64" s="587" t="str">
        <v>🚲 Easy ride: duration_primary minutes</v>
      </c>
      <c r="DH64" s="587" t="str">
        <v>🚲 Easy ride: duration_primary minutes</v>
      </c>
      <c r="DI64" s="587" t="str">
        <v>🚲 Easy ride: duration_primary minutes</v>
      </c>
      <c r="DJ64" s="587" t="str">
        <v>🚲 Easy ride: duration_primary minutes</v>
      </c>
      <c r="DK64" s="587" t="str">
        <v>🚲 Easy ride: duration_primary minutes</v>
      </c>
      <c r="DL64" s="587" t="str">
        <v>🚲 Easy ride: duration_primary minutes</v>
      </c>
      <c r="DM64" s="587" t="str">
        <v>🚲 Easy ride: duration_primary minutes</v>
      </c>
      <c r="DN64" s="587" t="str">
        <v>🚲 Steady ride: duration_primary minutes</v>
      </c>
      <c r="DO64" s="587" t="str">
        <v>🚲 Steady ride: duration_primary minutes</v>
      </c>
      <c r="DP64" s="587" t="str">
        <v>🚲 Long ride: duration_primary minutes</v>
      </c>
      <c r="DQ64" s="587" t="str">
        <v>🚲 Long ride: duration_primary minutes</v>
      </c>
      <c r="DR64" s="587" t="str">
        <v>🚲 Long ride: duration_primary minutes</v>
      </c>
      <c r="DS64" s="587" t="str">
        <v>🚲 Subthreshold ride: duration_primary minutes + WU/WD</v>
      </c>
      <c r="DT64" s="587" t="str">
        <v>🚲 Tempo road ride: duration_primary minutes + WU/WD</v>
      </c>
      <c r="DU64" s="587" t="str">
        <v>🚲 Tempo road ride: duration_primary minutes + WU/WD</v>
      </c>
      <c r="DV64" s="587" t="str">
        <v>🚲 Hilly tempo ride: duration_primary minutes + WU/WD</v>
      </c>
      <c r="DW64" s="587" t="str">
        <v>🚲 Hilly tempo ride: duration_primary minutes + WU/WD</v>
      </c>
      <c r="DX64" s="587" t="str">
        <v>🚲 Subthreshold ride: duration_primary minutes + WU/WD</v>
      </c>
      <c r="DY64" s="587" t="str">
        <v>🚲 Tempo road ride: duration_primary minutes + WU/WD</v>
      </c>
      <c r="DZ64" s="587" t="str">
        <v>🚲 Tempo road ride: duration_primary minutes + WU/WD</v>
      </c>
      <c r="EA64" s="587" t="str">
        <v>🚲 Hilly tempo ride: duration_primary minutes + WU/WD</v>
      </c>
      <c r="EB64" s="587" t="str">
        <v>🚲 Hilly tempo ride: duration_primary minutes + WU/WD</v>
      </c>
      <c r="EC64" s="587" t="str">
        <v>🚲 Fartlek ride: duration_primary minutes + WU/WD</v>
      </c>
      <c r="ED64" s="587" t="str">
        <v>🚲 Fartlek ride: duration_primary minutes + WU/WD</v>
      </c>
      <c r="EE64" s="587" t="str">
        <v>🚲 Fartlek ride: duration_primary minutes + WU/WD</v>
      </c>
      <c r="EF64" s="587" t="str">
        <v>🚲 Fartlek ride: duration_primary minutes + WU/WD</v>
      </c>
      <c r="EG64" s="587" t="str">
        <v/>
      </c>
      <c r="EH64" s="587" t="str">
        <v/>
      </c>
      <c r="EI64" s="587" t="str">
        <v/>
      </c>
      <c r="EJ64" s="587" t="str">
        <v/>
      </c>
      <c r="EK64" s="587" t="str">
        <v/>
      </c>
      <c r="EL64" s="587" t="str">
        <v/>
      </c>
      <c r="EM64" s="587" t="str">
        <v/>
      </c>
      <c r="EN64" s="587" t="str">
        <v/>
      </c>
      <c r="EO64" s="587" t="str">
        <v/>
      </c>
      <c r="EP64" s="587" t="str">
        <v/>
      </c>
      <c r="EQ64" s="587" t="str">
        <v/>
      </c>
      <c r="ER64" s="587" t="str">
        <v/>
      </c>
      <c r="ES64" s="587" t="str">
        <v/>
      </c>
      <c r="ET64" s="587" t="str">
        <v/>
      </c>
      <c r="EU64" s="587" t="str">
        <v/>
      </c>
      <c r="EV64" s="587" t="str">
        <v/>
      </c>
      <c r="EW64" s="587" t="str">
        <v/>
      </c>
      <c r="EX64" s="587" t="str">
        <v/>
      </c>
      <c r="EY64" s="587" t="str">
        <v/>
      </c>
      <c r="EZ64" s="587" t="str">
        <v/>
      </c>
      <c r="FA64" s="587" t="str">
        <v/>
      </c>
      <c r="FB64" s="587" t="str">
        <v/>
      </c>
      <c r="FC64" s="587" t="str">
        <v/>
      </c>
      <c r="FD64" s="587" t="str">
        <v/>
      </c>
      <c r="FE64" s="587" t="str">
        <v/>
      </c>
      <c r="FF64" s="587" t="str">
        <v/>
      </c>
      <c r="FG64" s="587" t="str">
        <v>🚲 Reps: II + WU/WD</v>
      </c>
      <c r="FH64" s="587" t="str">
        <v>🚲 Reps: II + WU/WD</v>
      </c>
      <c r="FI64" s="587" t="str">
        <v>🚲 Reps: II + WU/WD</v>
      </c>
      <c r="FJ64" s="587" t="str">
        <v>🚲 Reps: II + WU/WD</v>
      </c>
      <c r="FK64" s="587" t="str">
        <v>🚲 Reps: II + WU/WD</v>
      </c>
      <c r="FL64" s="587" t="str">
        <v>🚲 Reps: II + WU/WD</v>
      </c>
      <c r="FM64" s="587" t="str">
        <v>🚲 Reps: II + WU/WD</v>
      </c>
      <c r="FN64" s="587" t="str">
        <v>🚲 Reps: II + WU/WD</v>
      </c>
      <c r="FO64" s="587" t="str">
        <v>🚲 Reps: II + WU/WD</v>
      </c>
      <c r="FP64" s="587" t="str">
        <v>🚲 Reps: II + WU/WD</v>
      </c>
      <c r="FQ64" s="587" t="str">
        <v/>
      </c>
      <c r="FR64" s="587" t="str">
        <v/>
      </c>
      <c r="FS64" s="587" t="str">
        <v/>
      </c>
      <c r="FT64" s="587" t="str">
        <v/>
      </c>
      <c r="FU64" s="587" t="str">
        <v/>
      </c>
      <c r="FV64" s="587" t="str">
        <v/>
      </c>
      <c r="FW64" s="587" t="str">
        <v/>
      </c>
      <c r="FX64" s="587" t="str">
        <v/>
      </c>
      <c r="FY64" s="587" t="str">
        <v/>
      </c>
      <c r="FZ64" s="587" t="str">
        <v/>
      </c>
      <c r="GA64" s="587" t="str">
        <v>🚲 Race: duration_primary minutes + WU/WD</v>
      </c>
      <c r="GB64" s="587" t="str">
        <v>🚲 Race: duration_primary minutes + WU/WD</v>
      </c>
      <c r="GC64" s="587" t="str">
        <v>🚲 Race: duration_primary minutes + WU/WD</v>
      </c>
      <c r="GD64" s="587" t="str">
        <v>🚲 Race: duration_primary minutes + WU/WD</v>
      </c>
      <c r="GE64" s="587" t="str">
        <v>🚲 Race: duration_primary minutes + WU/WD</v>
      </c>
      <c r="GF64" s="587" t="str">
        <v>🚲 Race: duration_primary minutes + WU/WD</v>
      </c>
      <c r="GG64" s="587" t="str">
        <v>🚲 Race: duration_primary minutes + WU/WD</v>
      </c>
      <c r="GH64" s="587" t="str">
        <v>🚲 Race: duration_primary minutes + WU/WD</v>
      </c>
      <c r="GI64" s="587" t="str">
        <v>🚲 Race: duration_primary minutes + WU/WD</v>
      </c>
      <c r="GJ64" s="587" t="str">
        <v>🚲 Race: duration_primary minutes + WU/WD</v>
      </c>
      <c r="GK64" s="587" t="str">
        <v>🚲 Race: duration_primary minutes + WU/WD</v>
      </c>
      <c r="GL64" s="587" t="str">
        <v>🚲 Race: duration_primary minutes + WU/WD</v>
      </c>
      <c r="GM64" s="587" t="str">
        <v>🚲 Race: duration_primary minutes + WU/WD</v>
      </c>
      <c r="GN64" s="587" t="str">
        <v>🚲 Race: duration_primary minutes + WU/WD</v>
      </c>
      <c r="GO64" s="587" t="str">
        <v>🚲 Race: duration_primary minutes + WU/WD</v>
      </c>
      <c r="GP64" s="587" t="str">
        <v/>
      </c>
      <c r="GQ64" s="587" t="str">
        <v/>
      </c>
      <c r="GR64" s="587" t="str">
        <v/>
      </c>
      <c r="GS64" s="587" t="str">
        <v/>
      </c>
      <c r="GT64" s="587" t="str">
        <v/>
      </c>
      <c r="GU64" s="587" t="str">
        <v>🏊 Rest from continuous exercise</v>
      </c>
      <c r="GV64" s="587" t="str">
        <v>🏊 Easy swim: duration_primary minutes</v>
      </c>
      <c r="GW64" s="587" t="str">
        <v>🏊 Easy swim: duration_primary minutes</v>
      </c>
      <c r="GX64" s="587" t="str">
        <v>🏊 Steady swim: duration_primary minutes</v>
      </c>
      <c r="GY64" s="587" t="str">
        <v>🏊 Long open water swim: duration_primary minutes</v>
      </c>
      <c r="GZ64" s="587" t="str">
        <v/>
      </c>
      <c r="HA64" s="587" t="str">
        <v/>
      </c>
      <c r="HB64" s="587" t="str">
        <v>🏊 Easy swim: duration_primary minutes</v>
      </c>
      <c r="HC64" s="587" t="str">
        <v>🏊 Easy swim: duration_primary minutes</v>
      </c>
      <c r="HD64" s="587" t="str">
        <v>🏊 Easy swim: duration_primary minutes</v>
      </c>
      <c r="HE64" s="587" t="str">
        <v>🏊 Easy swim: duration_primary minutes</v>
      </c>
      <c r="HF64" s="587" t="str">
        <v>🏊 Easy swim: duration_primary minutes</v>
      </c>
      <c r="HG64" s="587" t="str">
        <v>🏊 Easy swim: duration_primary minutes</v>
      </c>
      <c r="HH64" s="587" t="str">
        <v>🏊 Easy swim: duration_primary minutes</v>
      </c>
      <c r="HI64" s="587" t="str">
        <v>🏊 Easy swim: duration_primary minutes</v>
      </c>
      <c r="HJ64" s="587" t="str">
        <v>🏊 Steady open water swim: duration_primary minutes</v>
      </c>
      <c r="HK64" s="587" t="str">
        <v>🏊 Steady open water swim: duration_primary minutes</v>
      </c>
      <c r="HL64" s="587" t="str">
        <v>🏊 Long open water swim: duration_primary minutes</v>
      </c>
      <c r="HM64" s="587" t="str">
        <v>🏊 Long open water swim: duration_primary minutes</v>
      </c>
      <c r="HN64" s="587" t="str">
        <v>🏊 Long open water swim: duration_primary minutes</v>
      </c>
      <c r="HO64" s="587" t="str">
        <v>🛶 Rest from continuous exercise</v>
      </c>
      <c r="HP64" s="587" t="str">
        <v>🛶 Easy paddle: duration_primary minutes</v>
      </c>
      <c r="HQ64" s="587" t="str">
        <v>🛶 Easy paddle: duration_primary minutes</v>
      </c>
      <c r="HR64" s="587" t="str">
        <v>🛶 Steady paddle: duration_primary minutes</v>
      </c>
      <c r="HS64" s="587" t="str">
        <v>🛶 Long paddle: duration_primary minutes</v>
      </c>
      <c r="HT64" s="587" t="str">
        <v/>
      </c>
      <c r="HU64" s="587" t="str">
        <v/>
      </c>
      <c r="HV64" s="587" t="str">
        <v>🛶 Easy paddle: duration_primary minutes</v>
      </c>
      <c r="HW64" s="587" t="str">
        <v>🛶 Easy paddle: duration_primary minutes</v>
      </c>
      <c r="HX64" s="587" t="str">
        <v>🛶 Easy paddle: duration_primary minutes</v>
      </c>
      <c r="HY64" s="587" t="str">
        <v>🛶 Easy paddle: duration_primary minutes</v>
      </c>
      <c r="HZ64" s="587" t="str">
        <v>🛶 Easy paddle: duration_primary minutes</v>
      </c>
      <c r="IA64" s="587" t="str">
        <v>🛶 Easy paddle: duration_primary minutes</v>
      </c>
      <c r="IB64" s="587" t="str">
        <v>🛶 Easy paddle: duration_primary minutes</v>
      </c>
      <c r="IC64" s="587" t="str">
        <v>🛶 Easy paddle: duration_primary minutes</v>
      </c>
      <c r="ID64" s="587" t="str">
        <v>🛶 Steady paddle: duration_primary minutes</v>
      </c>
      <c r="IE64" s="587" t="str">
        <v>🛶 Steady paddle: duration_primary minutes</v>
      </c>
      <c r="IF64" s="587" t="str">
        <v>🛶 Long paddle: duration_primary minutes</v>
      </c>
      <c r="IG64" s="587" t="str">
        <v>🛶 Long paddle: duration_primary minutes</v>
      </c>
      <c r="IH64" s="587" t="str">
        <v>🛶 Long paddle: duration_primary minutes</v>
      </c>
      <c r="II64" s="587" t="str">
        <v>🏑 Alternative sport: duration_primary minutes</v>
      </c>
      <c r="IJ64" s="587" t="str">
        <v/>
      </c>
      <c r="IK64" s="587" t="str">
        <v/>
      </c>
      <c r="IL64" s="587" t="str">
        <v/>
      </c>
      <c r="IM64" s="587" t="str">
        <v/>
      </c>
      <c r="IN64" s="587" t="str">
        <v/>
      </c>
      <c r="IO64" s="587" t="str">
        <v/>
      </c>
      <c r="IP64" s="587" t="str">
        <v/>
      </c>
      <c r="IQ64" s="587" t="str">
        <v/>
      </c>
      <c r="IR64" s="587" t="str">
        <v/>
      </c>
      <c r="IS64" s="587" t="str">
        <v>Rest from continuous exercise</v>
      </c>
      <c r="IT64" s="587" t="str">
        <v>🏃 Long run: duration_primary minutes</v>
      </c>
      <c r="IU64" s="587" t="str">
        <v>🏃 Long run: duration_primary minutes</v>
      </c>
      <c r="IV64" s="587" t="str">
        <v>🏃 Long run: duration_primary minutes</v>
      </c>
      <c r="IW64" s="587" t="str">
        <v>🏃 Long run: duration_primary minutes</v>
      </c>
      <c r="IX64" s="587" t="str">
        <v>🏃 Long run: duration_primary minutes</v>
      </c>
      <c r="IY64" s="587" t="str">
        <v>🏃 Long run: duration_primary minutes</v>
      </c>
      <c r="IZ64" s="587" t="str">
        <v>🏃 Easy run: duration_primary minutes</v>
      </c>
      <c r="JA64" s="587" t="str">
        <v/>
      </c>
      <c r="JB64" s="587" t="str">
        <v/>
      </c>
      <c r="JC64" s="587" t="str">
        <v/>
      </c>
      <c r="JD64" s="587" t="str">
        <v/>
      </c>
      <c r="JE64" s="587" t="str">
        <v/>
      </c>
      <c r="JF64" s="587" t="str">
        <v/>
      </c>
      <c r="JG64" s="587" t="str">
        <v/>
      </c>
      <c r="JH64" s="587" t="str">
        <v/>
      </c>
      <c r="JI64" s="587" t="str">
        <v/>
      </c>
      <c r="JJ64" s="587" t="str">
        <v/>
      </c>
      <c r="JK64" s="587" t="str">
        <v/>
      </c>
      <c r="JL64" s="587" t="str">
        <v/>
      </c>
      <c r="JM64" s="587" t="str">
        <v/>
      </c>
      <c r="JN64" s="587" t="str">
        <v/>
      </c>
      <c r="JO64" s="587" t="str">
        <v/>
      </c>
      <c r="JP64" s="587" t="str">
        <v/>
      </c>
      <c r="JQ64" s="587" t="str">
        <v/>
      </c>
      <c r="JR64" s="587" t="str">
        <v/>
      </c>
      <c r="JS64" s="587" t="str">
        <v/>
      </c>
      <c r="JT64" s="587" t="str">
        <v/>
      </c>
      <c r="JU64" s="587" t="str">
        <v/>
      </c>
      <c r="JV64" s="587" t="str">
        <v/>
      </c>
      <c r="JW64" s="587" t="str">
        <v>🛶 Race: duration_primary minutes + WU/WD</v>
      </c>
      <c r="JX64" s="587" t="str">
        <v>🛶 Race: duration_primary minutes + WU/WD</v>
      </c>
      <c r="JY64" s="587" t="str">
        <v>🛶 Race: duration_primary minutes + WU/WD</v>
      </c>
      <c r="JZ64" s="587" t="str">
        <v>🛶 Race: duration_primary minutes + WU/WD</v>
      </c>
      <c r="KA64" s="587" t="str">
        <v>🛶 Race: duration_primary minutes + WU/WD</v>
      </c>
      <c r="KB64" s="587" t="str">
        <v>🛶 Race: duration_primary minutes + WU/WD</v>
      </c>
      <c r="KC64" s="587" t="str">
        <v>🛶 Race: duration_primary minutes + WU/WD</v>
      </c>
      <c r="KD64" s="587" t="str">
        <v>🛶 Race: duration_primary minutes + WU/WD</v>
      </c>
      <c r="KE64" s="587" t="str">
        <v>🛶 Race: duration_primary minutes + WU/WD</v>
      </c>
      <c r="KF64" s="587" t="str">
        <v>🛶 Race: duration_primary minutes + WU/WD</v>
      </c>
      <c r="KG64" s="587" t="str">
        <v>🛶 Race: duration_primary minutes + WU/WD</v>
      </c>
      <c r="KH64" s="587" t="str">
        <v>🛶 Race: duration_primary minutes + WU/WD</v>
      </c>
      <c r="KI64" s="587" t="str">
        <v>🛶 Race: duration_primary minutes + WU/WD</v>
      </c>
      <c r="KJ64" s="587" t="str">
        <v>🛶 Race: duration_primary minutes + WU/WD</v>
      </c>
      <c r="KK64" s="587" t="str">
        <v>🛶 Race: duration_primary minutes + WU/WD</v>
      </c>
      <c r="KL64" s="587" t="str">
        <v/>
      </c>
      <c r="KM64" s="587" t="str">
        <v/>
      </c>
      <c r="KN64" s="587" t="str">
        <v/>
      </c>
      <c r="KO64" s="587" t="str">
        <v/>
      </c>
      <c r="KP64" s="914" t="str">
        <v/>
      </c>
      <c r="KQ64" s="701" t="s">
        <v>388</v>
      </c>
    </row>
    <row r="65" spans="1:303" s="76" customFormat="1" ht="28.5" hidden="1" customHeight="1" x14ac:dyDescent="0.45">
      <c r="A65" s="1757"/>
      <c r="B65" s="896">
        <v>2</v>
      </c>
      <c r="C65" s="135" t="str">
        <v/>
      </c>
      <c r="D65" s="136" t="str">
        <v/>
      </c>
      <c r="E65" s="136" t="str">
        <v/>
      </c>
      <c r="F65" s="136" t="str">
        <v/>
      </c>
      <c r="G65" s="136" t="str">
        <v/>
      </c>
      <c r="H65" s="136" t="str">
        <v/>
      </c>
      <c r="I65" s="136" t="str">
        <v/>
      </c>
      <c r="J65" s="136" t="str">
        <v/>
      </c>
      <c r="K65" s="136" t="str">
        <v>🏃 duration_secondary stride outs</v>
      </c>
      <c r="L65" s="136" t="str">
        <v>🏃 duration_secondary stride outs</v>
      </c>
      <c r="M65" s="136" t="str">
        <v>🏃 duration_secondary stride outs</v>
      </c>
      <c r="N65" s="136" t="str">
        <v/>
      </c>
      <c r="O65" s="136" t="str">
        <v/>
      </c>
      <c r="P65" s="136" t="str">
        <v/>
      </c>
      <c r="Q65" s="136" t="str">
        <v/>
      </c>
      <c r="R65" s="136" t="str">
        <v/>
      </c>
      <c r="S65" s="136" t="str">
        <v/>
      </c>
      <c r="T65" s="136" t="str">
        <v/>
      </c>
      <c r="U65" s="136" t="str">
        <v/>
      </c>
      <c r="V65" s="136" t="str">
        <v/>
      </c>
      <c r="W65" s="136" t="str">
        <v/>
      </c>
      <c r="X65" s="136" t="str">
        <v/>
      </c>
      <c r="Y65" s="136" t="str">
        <v/>
      </c>
      <c r="Z65" s="136" t="str">
        <v/>
      </c>
      <c r="AA65" s="136" t="str">
        <v/>
      </c>
      <c r="AB65" s="136" t="str">
        <v>🏃 Easy hilly trail run: duration_secondary minutes</v>
      </c>
      <c r="AC65" s="136" t="str">
        <v>🏃 Easy hilly trail run: duration_secondary minutes</v>
      </c>
      <c r="AD65" s="136" t="str">
        <v>🏃 Easy hilly trail run: duration_secondary minutes</v>
      </c>
      <c r="AE65" s="136" t="str">
        <v>🏃 Easy hilly trail run: duration_secondary minutes</v>
      </c>
      <c r="AF65" s="136" t="str">
        <v>🏃 Easy hilly trail run: duration_secondary minutes</v>
      </c>
      <c r="AG65" s="136" t="str">
        <v/>
      </c>
      <c r="AH65" s="136" t="str">
        <v/>
      </c>
      <c r="AI65" s="136" t="str">
        <v/>
      </c>
      <c r="AJ65" s="136" t="str">
        <v/>
      </c>
      <c r="AK65" s="136" t="str">
        <v/>
      </c>
      <c r="AL65" s="136" t="str">
        <v/>
      </c>
      <c r="AM65" s="136" t="str">
        <v/>
      </c>
      <c r="AN65" s="136" t="str">
        <v/>
      </c>
      <c r="AO65" s="136" t="str">
        <v/>
      </c>
      <c r="AP65" s="136" t="str">
        <v/>
      </c>
      <c r="AQ65" s="136" t="str">
        <v/>
      </c>
      <c r="AR65" s="136" t="str">
        <v/>
      </c>
      <c r="AS65" s="136" t="str">
        <v/>
      </c>
      <c r="AT65" s="136" t="str">
        <v/>
      </c>
      <c r="AU65" s="136" t="str">
        <v/>
      </c>
      <c r="AV65" s="136" t="str">
        <v/>
      </c>
      <c r="AW65" s="136" t="str">
        <v/>
      </c>
      <c r="AX65" s="136" t="str">
        <v/>
      </c>
      <c r="AY65" s="136" t="str">
        <v/>
      </c>
      <c r="AZ65" s="136" t="str">
        <v/>
      </c>
      <c r="BA65" s="136" t="str">
        <v/>
      </c>
      <c r="BB65" s="136" t="str">
        <v/>
      </c>
      <c r="BC65" s="136" t="str">
        <v/>
      </c>
      <c r="BD65" s="136" t="str">
        <v/>
      </c>
      <c r="BE65" s="136" t="str">
        <v/>
      </c>
      <c r="BF65" s="136" t="str">
        <v/>
      </c>
      <c r="BG65" s="136" t="str">
        <v/>
      </c>
      <c r="BH65" s="136" t="str">
        <v/>
      </c>
      <c r="BI65" s="136" t="str">
        <v/>
      </c>
      <c r="BJ65" s="136" t="str">
        <v/>
      </c>
      <c r="BK65" s="136" t="str">
        <v>🏃 Easy run: duration_secondary minutes</v>
      </c>
      <c r="BL65" s="136" t="str">
        <v>🏃 Easy run: duration_secondary minutes</v>
      </c>
      <c r="BM65" s="136" t="str">
        <v>🏃 Easy run: duration_secondary minutes</v>
      </c>
      <c r="BN65" s="136" t="str">
        <v>🏃 Easy run: duration_secondary minutes</v>
      </c>
      <c r="BO65" s="136" t="str">
        <v>🏃 Easy run: duration_secondary minutes</v>
      </c>
      <c r="BP65" s="136" t="str">
        <v>🏃 Easy run: duration_secondary minutes</v>
      </c>
      <c r="BQ65" s="136" t="str">
        <v>🏃 Easy run: duration_secondary minutes</v>
      </c>
      <c r="BR65" s="136" t="str">
        <v>🏃 Easy run: duration_secondary minutes</v>
      </c>
      <c r="BS65" s="136" t="str">
        <v>🏃 Easy run: duration_secondary minutes</v>
      </c>
      <c r="BT65" s="136" t="str">
        <v/>
      </c>
      <c r="BU65" s="136" t="str">
        <v/>
      </c>
      <c r="BV65" s="136" t="str">
        <v>🏃 duration_secondary stride outs</v>
      </c>
      <c r="BW65" s="136" t="str">
        <v>🏃 Reps: II + WU/WD</v>
      </c>
      <c r="BX65" s="136" t="str">
        <v>🏃 Easy run: duration_secondary minutes</v>
      </c>
      <c r="BY65" s="136" t="str">
        <v>🏃 Reps: II + WU/WD</v>
      </c>
      <c r="BZ65" s="136" t="str">
        <v/>
      </c>
      <c r="CA65" s="136" t="str">
        <v>💪 Maintenance</v>
      </c>
      <c r="CB65" s="136" t="str">
        <v>💪 Strength and conditioning</v>
      </c>
      <c r="CC65" s="136" t="str">
        <v/>
      </c>
      <c r="CD65" s="136" t="str">
        <v>💪 Strength and conditioning</v>
      </c>
      <c r="CE65" s="136" t="str">
        <v/>
      </c>
      <c r="CF65" s="136" t="str">
        <v/>
      </c>
      <c r="CG65" s="136" t="str">
        <v/>
      </c>
      <c r="CH65" s="136" t="str">
        <v/>
      </c>
      <c r="CI65" s="136" t="str">
        <v/>
      </c>
      <c r="CJ65" s="136" t="str">
        <v/>
      </c>
      <c r="CK65" s="136" t="str">
        <v/>
      </c>
      <c r="CL65" s="136" t="str">
        <v/>
      </c>
      <c r="CM65" s="136" t="str">
        <v/>
      </c>
      <c r="CN65" s="136" t="str">
        <v/>
      </c>
      <c r="CO65" s="136" t="str">
        <v/>
      </c>
      <c r="CP65" s="136" t="str">
        <v/>
      </c>
      <c r="CQ65" s="136" t="str">
        <v/>
      </c>
      <c r="CR65" s="136" t="str">
        <v/>
      </c>
      <c r="CS65" s="136" t="str">
        <v/>
      </c>
      <c r="CT65" s="136" t="str">
        <v/>
      </c>
      <c r="CU65" s="136" t="str">
        <v/>
      </c>
      <c r="CV65" s="136" t="str">
        <v/>
      </c>
      <c r="CW65" s="136" t="str">
        <v/>
      </c>
      <c r="CX65" s="136" t="str">
        <v/>
      </c>
      <c r="CY65" s="135" t="str">
        <v/>
      </c>
      <c r="CZ65" s="136" t="str">
        <v/>
      </c>
      <c r="DA65" s="136" t="str">
        <v/>
      </c>
      <c r="DB65" s="136" t="str">
        <v/>
      </c>
      <c r="DC65" s="136" t="str">
        <v/>
      </c>
      <c r="DD65" s="136" t="str">
        <v/>
      </c>
      <c r="DE65" s="136" t="str">
        <v/>
      </c>
      <c r="DF65" s="136" t="str">
        <v/>
      </c>
      <c r="DG65" s="136" t="str">
        <v/>
      </c>
      <c r="DH65" s="136" t="str">
        <v/>
      </c>
      <c r="DI65" s="136" t="str">
        <v/>
      </c>
      <c r="DJ65" s="136" t="str">
        <v/>
      </c>
      <c r="DK65" s="136" t="str">
        <v/>
      </c>
      <c r="DL65" s="136" t="str">
        <v/>
      </c>
      <c r="DM65" s="136" t="str">
        <v/>
      </c>
      <c r="DN65" s="136" t="str">
        <v/>
      </c>
      <c r="DO65" s="136" t="str">
        <v/>
      </c>
      <c r="DP65" s="136" t="str">
        <v/>
      </c>
      <c r="DQ65" s="136" t="str">
        <v/>
      </c>
      <c r="DR65" s="136" t="str">
        <v/>
      </c>
      <c r="DS65" s="136" t="str">
        <v/>
      </c>
      <c r="DT65" s="136" t="str">
        <v/>
      </c>
      <c r="DU65" s="136" t="str">
        <v/>
      </c>
      <c r="DV65" s="136" t="str">
        <v/>
      </c>
      <c r="DW65" s="136" t="str">
        <v/>
      </c>
      <c r="DX65" s="136" t="str">
        <v>🚲 Easy ride: duration_secondary minutes</v>
      </c>
      <c r="DY65" s="136" t="str">
        <v>🚲 Easy ride: duration_secondary minutes</v>
      </c>
      <c r="DZ65" s="136" t="str">
        <v>🚲 Easy ride: duration_secondary minutes</v>
      </c>
      <c r="EA65" s="136" t="str">
        <v>🚲 Easy ride: duration_secondary minutes</v>
      </c>
      <c r="EB65" s="136" t="str">
        <v>🚲 Easy ride: duration_secondary minutes</v>
      </c>
      <c r="EC65" s="136" t="str">
        <v/>
      </c>
      <c r="ED65" s="136" t="str">
        <v/>
      </c>
      <c r="EE65" s="136" t="str">
        <v/>
      </c>
      <c r="EF65" s="136" t="str">
        <v/>
      </c>
      <c r="EG65" s="136" t="str">
        <v/>
      </c>
      <c r="EH65" s="136" t="str">
        <v/>
      </c>
      <c r="EI65" s="136" t="str">
        <v/>
      </c>
      <c r="EJ65" s="136" t="str">
        <v/>
      </c>
      <c r="EK65" s="136" t="str">
        <v/>
      </c>
      <c r="EL65" s="136" t="str">
        <v/>
      </c>
      <c r="EM65" s="136" t="str">
        <v/>
      </c>
      <c r="EN65" s="136" t="str">
        <v/>
      </c>
      <c r="EO65" s="136" t="str">
        <v/>
      </c>
      <c r="EP65" s="136" t="str">
        <v/>
      </c>
      <c r="EQ65" s="136" t="str">
        <v/>
      </c>
      <c r="ER65" s="136" t="str">
        <v/>
      </c>
      <c r="ES65" s="136" t="str">
        <v/>
      </c>
      <c r="ET65" s="136" t="str">
        <v/>
      </c>
      <c r="EU65" s="136" t="str">
        <v/>
      </c>
      <c r="EV65" s="136" t="str">
        <v/>
      </c>
      <c r="EW65" s="136" t="str">
        <v/>
      </c>
      <c r="EX65" s="136" t="str">
        <v/>
      </c>
      <c r="EY65" s="136" t="str">
        <v/>
      </c>
      <c r="EZ65" s="136" t="str">
        <v/>
      </c>
      <c r="FA65" s="136" t="str">
        <v/>
      </c>
      <c r="FB65" s="136" t="str">
        <v/>
      </c>
      <c r="FC65" s="136" t="str">
        <v/>
      </c>
      <c r="FD65" s="136" t="str">
        <v/>
      </c>
      <c r="FE65" s="136" t="str">
        <v/>
      </c>
      <c r="FF65" s="136" t="str">
        <v/>
      </c>
      <c r="FG65" s="136" t="str">
        <v/>
      </c>
      <c r="FH65" s="136" t="str">
        <v/>
      </c>
      <c r="FI65" s="136" t="str">
        <v/>
      </c>
      <c r="FJ65" s="136" t="str">
        <v/>
      </c>
      <c r="FK65" s="136" t="str">
        <v/>
      </c>
      <c r="FL65" s="136" t="str">
        <v/>
      </c>
      <c r="FM65" s="136" t="str">
        <v/>
      </c>
      <c r="FN65" s="136" t="str">
        <v>🚲 Steady ride: duration_secondary minutes</v>
      </c>
      <c r="FO65" s="136" t="str">
        <v/>
      </c>
      <c r="FP65" s="136" t="str">
        <v/>
      </c>
      <c r="FQ65" s="136" t="str">
        <v/>
      </c>
      <c r="FR65" s="136" t="str">
        <v/>
      </c>
      <c r="FS65" s="136" t="str">
        <v/>
      </c>
      <c r="FT65" s="136" t="str">
        <v/>
      </c>
      <c r="FU65" s="136" t="str">
        <v/>
      </c>
      <c r="FV65" s="136" t="str">
        <v/>
      </c>
      <c r="FW65" s="136" t="str">
        <v/>
      </c>
      <c r="FX65" s="136" t="str">
        <v/>
      </c>
      <c r="FY65" s="136" t="str">
        <v/>
      </c>
      <c r="FZ65" s="136" t="str">
        <v/>
      </c>
      <c r="GA65" s="136" t="str">
        <v/>
      </c>
      <c r="GB65" s="136" t="str">
        <v/>
      </c>
      <c r="GC65" s="136" t="str">
        <v/>
      </c>
      <c r="GD65" s="136" t="str">
        <v/>
      </c>
      <c r="GE65" s="136" t="str">
        <v/>
      </c>
      <c r="GF65" s="136" t="str">
        <v/>
      </c>
      <c r="GG65" s="136" t="str">
        <v/>
      </c>
      <c r="GH65" s="136" t="str">
        <v/>
      </c>
      <c r="GI65" s="136" t="str">
        <v/>
      </c>
      <c r="GJ65" s="136" t="str">
        <v/>
      </c>
      <c r="GK65" s="136" t="str">
        <v/>
      </c>
      <c r="GL65" s="136" t="str">
        <v/>
      </c>
      <c r="GM65" s="136" t="str">
        <v/>
      </c>
      <c r="GN65" s="136" t="str">
        <v/>
      </c>
      <c r="GO65" s="136" t="str">
        <v/>
      </c>
      <c r="GP65" s="136" t="str">
        <v/>
      </c>
      <c r="GQ65" s="136" t="str">
        <v/>
      </c>
      <c r="GR65" s="136" t="str">
        <v/>
      </c>
      <c r="GS65" s="136" t="str">
        <v/>
      </c>
      <c r="GT65" s="136" t="str">
        <v/>
      </c>
      <c r="GU65" s="136" t="str">
        <v/>
      </c>
      <c r="GV65" s="136" t="str">
        <v/>
      </c>
      <c r="GW65" s="136" t="str">
        <v/>
      </c>
      <c r="GX65" s="136" t="str">
        <v/>
      </c>
      <c r="GY65" s="136" t="str">
        <v/>
      </c>
      <c r="GZ65" s="136" t="str">
        <v/>
      </c>
      <c r="HA65" s="136" t="str">
        <v/>
      </c>
      <c r="HB65" s="136" t="str">
        <v/>
      </c>
      <c r="HC65" s="136" t="str">
        <v/>
      </c>
      <c r="HD65" s="136" t="str">
        <v/>
      </c>
      <c r="HE65" s="136" t="str">
        <v/>
      </c>
      <c r="HF65" s="136" t="str">
        <v/>
      </c>
      <c r="HG65" s="136" t="str">
        <v/>
      </c>
      <c r="HH65" s="136" t="str">
        <v/>
      </c>
      <c r="HI65" s="136" t="str">
        <v/>
      </c>
      <c r="HJ65" s="136" t="str">
        <v/>
      </c>
      <c r="HK65" s="136" t="str">
        <v/>
      </c>
      <c r="HL65" s="136" t="str">
        <v/>
      </c>
      <c r="HM65" s="136" t="str">
        <v/>
      </c>
      <c r="HN65" s="136" t="str">
        <v/>
      </c>
      <c r="HO65" s="136" t="str">
        <v/>
      </c>
      <c r="HP65" s="136" t="str">
        <v/>
      </c>
      <c r="HQ65" s="136" t="str">
        <v/>
      </c>
      <c r="HR65" s="136" t="str">
        <v/>
      </c>
      <c r="HS65" s="136" t="str">
        <v/>
      </c>
      <c r="HT65" s="136" t="str">
        <v/>
      </c>
      <c r="HU65" s="136" t="str">
        <v/>
      </c>
      <c r="HV65" s="136" t="str">
        <v/>
      </c>
      <c r="HW65" s="136" t="str">
        <v/>
      </c>
      <c r="HX65" s="136" t="str">
        <v/>
      </c>
      <c r="HY65" s="136" t="str">
        <v/>
      </c>
      <c r="HZ65" s="136" t="str">
        <v/>
      </c>
      <c r="IA65" s="136" t="str">
        <v/>
      </c>
      <c r="IB65" s="136" t="str">
        <v/>
      </c>
      <c r="IC65" s="136" t="str">
        <v/>
      </c>
      <c r="ID65" s="136" t="str">
        <v/>
      </c>
      <c r="IE65" s="136" t="str">
        <v/>
      </c>
      <c r="IF65" s="136" t="str">
        <v/>
      </c>
      <c r="IG65" s="136" t="str">
        <v/>
      </c>
      <c r="IH65" s="136" t="str">
        <v/>
      </c>
      <c r="II65" s="136" t="str">
        <v/>
      </c>
      <c r="IJ65" s="136" t="str">
        <v/>
      </c>
      <c r="IK65" s="136" t="str">
        <v/>
      </c>
      <c r="IL65" s="136" t="str">
        <v/>
      </c>
      <c r="IM65" s="136" t="str">
        <v/>
      </c>
      <c r="IN65" s="136" t="str">
        <v/>
      </c>
      <c r="IO65" s="136" t="str">
        <v/>
      </c>
      <c r="IP65" s="136" t="str">
        <v/>
      </c>
      <c r="IQ65" s="136" t="str">
        <v/>
      </c>
      <c r="IR65" s="136" t="str">
        <v/>
      </c>
      <c r="IS65" s="136" t="str">
        <v/>
      </c>
      <c r="IT65" s="136" t="str">
        <v/>
      </c>
      <c r="IU65" s="136" t="str">
        <v/>
      </c>
      <c r="IV65" s="136" t="str">
        <v/>
      </c>
      <c r="IW65" s="136" t="str">
        <v/>
      </c>
      <c r="IX65" s="136" t="str">
        <v/>
      </c>
      <c r="IY65" s="136" t="str">
        <v/>
      </c>
      <c r="IZ65" s="136" t="str">
        <v/>
      </c>
      <c r="JA65" s="136" t="str">
        <v/>
      </c>
      <c r="JB65" s="136" t="str">
        <v/>
      </c>
      <c r="JC65" s="136" t="str">
        <v/>
      </c>
      <c r="JD65" s="136" t="str">
        <v/>
      </c>
      <c r="JE65" s="136" t="str">
        <v/>
      </c>
      <c r="JF65" s="136" t="str">
        <v/>
      </c>
      <c r="JG65" s="136" t="str">
        <v/>
      </c>
      <c r="JH65" s="136" t="str">
        <v/>
      </c>
      <c r="JI65" s="136" t="str">
        <v/>
      </c>
      <c r="JJ65" s="136" t="str">
        <v/>
      </c>
      <c r="JK65" s="136" t="str">
        <v/>
      </c>
      <c r="JL65" s="136" t="str">
        <v/>
      </c>
      <c r="JM65" s="136" t="str">
        <v/>
      </c>
      <c r="JN65" s="136" t="str">
        <v/>
      </c>
      <c r="JO65" s="136" t="str">
        <v/>
      </c>
      <c r="JP65" s="136" t="str">
        <v/>
      </c>
      <c r="JQ65" s="136" t="str">
        <v/>
      </c>
      <c r="JR65" s="136" t="str">
        <v/>
      </c>
      <c r="JS65" s="136" t="str">
        <v/>
      </c>
      <c r="JT65" s="136" t="str">
        <v/>
      </c>
      <c r="JU65" s="136" t="str">
        <v/>
      </c>
      <c r="JV65" s="136" t="str">
        <v/>
      </c>
      <c r="JW65" s="136" t="str">
        <v/>
      </c>
      <c r="JX65" s="136" t="str">
        <v/>
      </c>
      <c r="JY65" s="136" t="str">
        <v/>
      </c>
      <c r="JZ65" s="136" t="str">
        <v/>
      </c>
      <c r="KA65" s="136" t="str">
        <v/>
      </c>
      <c r="KB65" s="136" t="str">
        <v/>
      </c>
      <c r="KC65" s="136" t="str">
        <v/>
      </c>
      <c r="KD65" s="136" t="str">
        <v/>
      </c>
      <c r="KE65" s="136" t="str">
        <v/>
      </c>
      <c r="KF65" s="136" t="str">
        <v/>
      </c>
      <c r="KG65" s="136" t="str">
        <v/>
      </c>
      <c r="KH65" s="136" t="str">
        <v/>
      </c>
      <c r="KI65" s="136" t="str">
        <v/>
      </c>
      <c r="KJ65" s="136" t="str">
        <v/>
      </c>
      <c r="KK65" s="136" t="str">
        <v/>
      </c>
      <c r="KL65" s="136" t="str">
        <v/>
      </c>
      <c r="KM65" s="136" t="str">
        <v/>
      </c>
      <c r="KN65" s="136" t="str">
        <v/>
      </c>
      <c r="KO65" s="136" t="str">
        <v/>
      </c>
      <c r="KP65" s="917" t="str">
        <v/>
      </c>
      <c r="KQ65" s="701" t="s">
        <v>388</v>
      </c>
    </row>
    <row r="66" spans="1:303" s="76" customFormat="1" ht="28.5" hidden="1" customHeight="1" x14ac:dyDescent="0.45">
      <c r="A66" s="1757"/>
      <c r="B66" s="896">
        <v>3</v>
      </c>
      <c r="C66" s="135" t="str">
        <v/>
      </c>
      <c r="D66" s="136" t="str">
        <v/>
      </c>
      <c r="E66" s="136" t="str">
        <v/>
      </c>
      <c r="F66" s="136" t="str">
        <v/>
      </c>
      <c r="G66" s="136" t="str">
        <v/>
      </c>
      <c r="H66" s="136" t="str">
        <v/>
      </c>
      <c r="I66" s="136" t="str">
        <v/>
      </c>
      <c r="J66" s="136" t="str">
        <v/>
      </c>
      <c r="K66" s="136" t="str">
        <v/>
      </c>
      <c r="L66" s="136" t="str">
        <v/>
      </c>
      <c r="M66" s="136" t="str">
        <v/>
      </c>
      <c r="N66" s="136" t="str">
        <v/>
      </c>
      <c r="O66" s="136" t="str">
        <v/>
      </c>
      <c r="P66" s="136" t="str">
        <v/>
      </c>
      <c r="Q66" s="136" t="str">
        <v/>
      </c>
      <c r="R66" s="136" t="str">
        <v/>
      </c>
      <c r="S66" s="136" t="str">
        <v/>
      </c>
      <c r="T66" s="136" t="str">
        <v/>
      </c>
      <c r="U66" s="136" t="str">
        <v/>
      </c>
      <c r="V66" s="136" t="str">
        <v/>
      </c>
      <c r="W66" s="136" t="str">
        <v/>
      </c>
      <c r="X66" s="136" t="str">
        <v/>
      </c>
      <c r="Y66" s="136" t="str">
        <v/>
      </c>
      <c r="Z66" s="136" t="str">
        <v/>
      </c>
      <c r="AA66" s="136" t="str">
        <v/>
      </c>
      <c r="AB66" s="136" t="str">
        <v/>
      </c>
      <c r="AC66" s="136" t="str">
        <v/>
      </c>
      <c r="AD66" s="136" t="str">
        <v/>
      </c>
      <c r="AE66" s="136" t="str">
        <v/>
      </c>
      <c r="AF66" s="136" t="str">
        <v/>
      </c>
      <c r="AG66" s="136" t="str">
        <v/>
      </c>
      <c r="AH66" s="136" t="str">
        <v/>
      </c>
      <c r="AI66" s="136" t="str">
        <v/>
      </c>
      <c r="AJ66" s="136" t="str">
        <v/>
      </c>
      <c r="AK66" s="136" t="str">
        <v/>
      </c>
      <c r="AL66" s="136" t="str">
        <v/>
      </c>
      <c r="AM66" s="136" t="str">
        <v/>
      </c>
      <c r="AN66" s="136" t="str">
        <v/>
      </c>
      <c r="AO66" s="136" t="str">
        <v/>
      </c>
      <c r="AP66" s="136" t="str">
        <v/>
      </c>
      <c r="AQ66" s="136" t="str">
        <v/>
      </c>
      <c r="AR66" s="136" t="str">
        <v/>
      </c>
      <c r="AS66" s="136" t="str">
        <v/>
      </c>
      <c r="AT66" s="136" t="str">
        <v/>
      </c>
      <c r="AU66" s="136" t="str">
        <v/>
      </c>
      <c r="AV66" s="136" t="str">
        <v/>
      </c>
      <c r="AW66" s="136" t="str">
        <v/>
      </c>
      <c r="AX66" s="136" t="str">
        <v/>
      </c>
      <c r="AY66" s="136" t="str">
        <v/>
      </c>
      <c r="AZ66" s="136" t="str">
        <v/>
      </c>
      <c r="BA66" s="136" t="str">
        <v/>
      </c>
      <c r="BB66" s="136" t="str">
        <v/>
      </c>
      <c r="BC66" s="136" t="str">
        <v/>
      </c>
      <c r="BD66" s="136" t="str">
        <v/>
      </c>
      <c r="BE66" s="136" t="str">
        <v/>
      </c>
      <c r="BF66" s="136" t="str">
        <v/>
      </c>
      <c r="BG66" s="136" t="str">
        <v/>
      </c>
      <c r="BH66" s="136" t="str">
        <v/>
      </c>
      <c r="BI66" s="136" t="str">
        <v/>
      </c>
      <c r="BJ66" s="136" t="str">
        <v/>
      </c>
      <c r="BK66" s="136" t="str">
        <v/>
      </c>
      <c r="BL66" s="136" t="str">
        <v/>
      </c>
      <c r="BM66" s="136" t="str">
        <v/>
      </c>
      <c r="BN66" s="136" t="str">
        <v/>
      </c>
      <c r="BO66" s="136" t="str">
        <v/>
      </c>
      <c r="BP66" s="136" t="str">
        <v/>
      </c>
      <c r="BQ66" s="136" t="str">
        <v/>
      </c>
      <c r="BR66" s="136" t="str">
        <v/>
      </c>
      <c r="BS66" s="136" t="str">
        <v/>
      </c>
      <c r="BT66" s="136" t="str">
        <v/>
      </c>
      <c r="BU66" s="136" t="str">
        <v/>
      </c>
      <c r="BV66" s="136" t="str">
        <v/>
      </c>
      <c r="BW66" s="136" t="str">
        <v/>
      </c>
      <c r="BX66" s="136" t="str">
        <v/>
      </c>
      <c r="BY66" s="136" t="str">
        <v>🏃 Easy run: duration_tertiary minutes</v>
      </c>
      <c r="BZ66" s="136" t="str">
        <v/>
      </c>
      <c r="CA66" s="136" t="str">
        <v/>
      </c>
      <c r="CB66" s="136" t="str">
        <v>💪 Maintenance</v>
      </c>
      <c r="CC66" s="136" t="str">
        <v/>
      </c>
      <c r="CD66" s="136" t="str">
        <v/>
      </c>
      <c r="CE66" s="136" t="str">
        <v/>
      </c>
      <c r="CF66" s="136" t="str">
        <v/>
      </c>
      <c r="CG66" s="136" t="str">
        <v/>
      </c>
      <c r="CH66" s="136" t="str">
        <v/>
      </c>
      <c r="CI66" s="136" t="str">
        <v/>
      </c>
      <c r="CJ66" s="136" t="str">
        <v/>
      </c>
      <c r="CK66" s="136" t="str">
        <v/>
      </c>
      <c r="CL66" s="136" t="str">
        <v/>
      </c>
      <c r="CM66" s="136" t="str">
        <v/>
      </c>
      <c r="CN66" s="136" t="str">
        <v/>
      </c>
      <c r="CO66" s="136" t="str">
        <v/>
      </c>
      <c r="CP66" s="136" t="str">
        <v/>
      </c>
      <c r="CQ66" s="136" t="str">
        <v/>
      </c>
      <c r="CR66" s="136" t="str">
        <v/>
      </c>
      <c r="CS66" s="136" t="str">
        <v/>
      </c>
      <c r="CT66" s="136" t="str">
        <v/>
      </c>
      <c r="CU66" s="136" t="str">
        <v/>
      </c>
      <c r="CV66" s="136" t="str">
        <v/>
      </c>
      <c r="CW66" s="136" t="str">
        <v/>
      </c>
      <c r="CX66" s="136" t="str">
        <v/>
      </c>
      <c r="CY66" s="135" t="str">
        <v/>
      </c>
      <c r="CZ66" s="136" t="str">
        <v/>
      </c>
      <c r="DA66" s="136" t="str">
        <v/>
      </c>
      <c r="DB66" s="136" t="str">
        <v/>
      </c>
      <c r="DC66" s="136" t="str">
        <v/>
      </c>
      <c r="DD66" s="136" t="str">
        <v/>
      </c>
      <c r="DE66" s="136" t="str">
        <v/>
      </c>
      <c r="DF66" s="136" t="str">
        <v/>
      </c>
      <c r="DG66" s="136" t="str">
        <v/>
      </c>
      <c r="DH66" s="136" t="str">
        <v/>
      </c>
      <c r="DI66" s="136" t="str">
        <v/>
      </c>
      <c r="DJ66" s="136" t="str">
        <v/>
      </c>
      <c r="DK66" s="136" t="str">
        <v/>
      </c>
      <c r="DL66" s="136" t="str">
        <v/>
      </c>
      <c r="DM66" s="136" t="str">
        <v/>
      </c>
      <c r="DN66" s="136" t="str">
        <v/>
      </c>
      <c r="DO66" s="136" t="str">
        <v/>
      </c>
      <c r="DP66" s="136" t="str">
        <v/>
      </c>
      <c r="DQ66" s="136" t="str">
        <v/>
      </c>
      <c r="DR66" s="136" t="str">
        <v/>
      </c>
      <c r="DS66" s="136" t="str">
        <v/>
      </c>
      <c r="DT66" s="136" t="str">
        <v/>
      </c>
      <c r="DU66" s="136" t="str">
        <v/>
      </c>
      <c r="DV66" s="136" t="str">
        <v/>
      </c>
      <c r="DW66" s="136" t="str">
        <v/>
      </c>
      <c r="DX66" s="136" t="str">
        <v/>
      </c>
      <c r="DY66" s="136" t="str">
        <v/>
      </c>
      <c r="DZ66" s="136" t="str">
        <v/>
      </c>
      <c r="EA66" s="136" t="str">
        <v/>
      </c>
      <c r="EB66" s="136" t="str">
        <v/>
      </c>
      <c r="EC66" s="136" t="str">
        <v/>
      </c>
      <c r="ED66" s="136" t="str">
        <v/>
      </c>
      <c r="EE66" s="136" t="str">
        <v/>
      </c>
      <c r="EF66" s="136" t="str">
        <v/>
      </c>
      <c r="EG66" s="136" t="str">
        <v/>
      </c>
      <c r="EH66" s="136" t="str">
        <v/>
      </c>
      <c r="EI66" s="136" t="str">
        <v/>
      </c>
      <c r="EJ66" s="136" t="str">
        <v/>
      </c>
      <c r="EK66" s="136" t="str">
        <v/>
      </c>
      <c r="EL66" s="136" t="str">
        <v/>
      </c>
      <c r="EM66" s="136" t="str">
        <v/>
      </c>
      <c r="EN66" s="136" t="str">
        <v/>
      </c>
      <c r="EO66" s="136" t="str">
        <v/>
      </c>
      <c r="EP66" s="136" t="str">
        <v/>
      </c>
      <c r="EQ66" s="136" t="str">
        <v/>
      </c>
      <c r="ER66" s="136" t="str">
        <v/>
      </c>
      <c r="ES66" s="136" t="str">
        <v/>
      </c>
      <c r="ET66" s="136" t="str">
        <v/>
      </c>
      <c r="EU66" s="136" t="str">
        <v/>
      </c>
      <c r="EV66" s="136" t="str">
        <v/>
      </c>
      <c r="EW66" s="136" t="str">
        <v/>
      </c>
      <c r="EX66" s="136" t="str">
        <v/>
      </c>
      <c r="EY66" s="136" t="str">
        <v/>
      </c>
      <c r="EZ66" s="136" t="str">
        <v/>
      </c>
      <c r="FA66" s="136" t="str">
        <v/>
      </c>
      <c r="FB66" s="136" t="str">
        <v/>
      </c>
      <c r="FC66" s="136" t="str">
        <v/>
      </c>
      <c r="FD66" s="136" t="str">
        <v/>
      </c>
      <c r="FE66" s="136" t="str">
        <v/>
      </c>
      <c r="FF66" s="136" t="str">
        <v/>
      </c>
      <c r="FG66" s="136" t="str">
        <v/>
      </c>
      <c r="FH66" s="136" t="str">
        <v/>
      </c>
      <c r="FI66" s="136" t="str">
        <v/>
      </c>
      <c r="FJ66" s="136" t="str">
        <v/>
      </c>
      <c r="FK66" s="136" t="str">
        <v/>
      </c>
      <c r="FL66" s="136" t="str">
        <v/>
      </c>
      <c r="FM66" s="136" t="str">
        <v/>
      </c>
      <c r="FN66" s="136" t="str">
        <v/>
      </c>
      <c r="FO66" s="136" t="str">
        <v/>
      </c>
      <c r="FP66" s="136" t="str">
        <v/>
      </c>
      <c r="FQ66" s="136" t="str">
        <v/>
      </c>
      <c r="FR66" s="136" t="str">
        <v/>
      </c>
      <c r="FS66" s="136" t="str">
        <v/>
      </c>
      <c r="FT66" s="136" t="str">
        <v/>
      </c>
      <c r="FU66" s="136" t="str">
        <v/>
      </c>
      <c r="FV66" s="136" t="str">
        <v/>
      </c>
      <c r="FW66" s="136" t="str">
        <v/>
      </c>
      <c r="FX66" s="136" t="str">
        <v/>
      </c>
      <c r="FY66" s="136" t="str">
        <v/>
      </c>
      <c r="FZ66" s="136" t="str">
        <v/>
      </c>
      <c r="GA66" s="136" t="str">
        <v/>
      </c>
      <c r="GB66" s="136" t="str">
        <v/>
      </c>
      <c r="GC66" s="136" t="str">
        <v/>
      </c>
      <c r="GD66" s="136" t="str">
        <v/>
      </c>
      <c r="GE66" s="136" t="str">
        <v/>
      </c>
      <c r="GF66" s="136" t="str">
        <v/>
      </c>
      <c r="GG66" s="136" t="str">
        <v/>
      </c>
      <c r="GH66" s="136" t="str">
        <v/>
      </c>
      <c r="GI66" s="136" t="str">
        <v/>
      </c>
      <c r="GJ66" s="136" t="str">
        <v/>
      </c>
      <c r="GK66" s="136" t="str">
        <v/>
      </c>
      <c r="GL66" s="136" t="str">
        <v/>
      </c>
      <c r="GM66" s="136" t="str">
        <v/>
      </c>
      <c r="GN66" s="136" t="str">
        <v/>
      </c>
      <c r="GO66" s="136" t="str">
        <v/>
      </c>
      <c r="GP66" s="136" t="str">
        <v/>
      </c>
      <c r="GQ66" s="136" t="str">
        <v/>
      </c>
      <c r="GR66" s="136" t="str">
        <v/>
      </c>
      <c r="GS66" s="136" t="str">
        <v/>
      </c>
      <c r="GT66" s="136" t="str">
        <v/>
      </c>
      <c r="GU66" s="136" t="str">
        <v/>
      </c>
      <c r="GV66" s="136" t="str">
        <v/>
      </c>
      <c r="GW66" s="136" t="str">
        <v/>
      </c>
      <c r="GX66" s="136" t="str">
        <v/>
      </c>
      <c r="GY66" s="136" t="str">
        <v/>
      </c>
      <c r="GZ66" s="136" t="str">
        <v/>
      </c>
      <c r="HA66" s="136" t="str">
        <v/>
      </c>
      <c r="HB66" s="136" t="str">
        <v/>
      </c>
      <c r="HC66" s="136" t="str">
        <v/>
      </c>
      <c r="HD66" s="136" t="str">
        <v/>
      </c>
      <c r="HE66" s="136" t="str">
        <v/>
      </c>
      <c r="HF66" s="136" t="str">
        <v/>
      </c>
      <c r="HG66" s="136" t="str">
        <v/>
      </c>
      <c r="HH66" s="136" t="str">
        <v/>
      </c>
      <c r="HI66" s="136" t="str">
        <v/>
      </c>
      <c r="HJ66" s="136" t="str">
        <v/>
      </c>
      <c r="HK66" s="136" t="str">
        <v/>
      </c>
      <c r="HL66" s="136" t="str">
        <v/>
      </c>
      <c r="HM66" s="136" t="str">
        <v/>
      </c>
      <c r="HN66" s="136" t="str">
        <v/>
      </c>
      <c r="HO66" s="136" t="str">
        <v/>
      </c>
      <c r="HP66" s="136" t="str">
        <v/>
      </c>
      <c r="HQ66" s="136" t="str">
        <v/>
      </c>
      <c r="HR66" s="136" t="str">
        <v/>
      </c>
      <c r="HS66" s="136" t="str">
        <v/>
      </c>
      <c r="HT66" s="136" t="str">
        <v/>
      </c>
      <c r="HU66" s="136" t="str">
        <v/>
      </c>
      <c r="HV66" s="136" t="str">
        <v/>
      </c>
      <c r="HW66" s="136" t="str">
        <v/>
      </c>
      <c r="HX66" s="136" t="str">
        <v/>
      </c>
      <c r="HY66" s="136" t="str">
        <v/>
      </c>
      <c r="HZ66" s="136" t="str">
        <v/>
      </c>
      <c r="IA66" s="136" t="str">
        <v/>
      </c>
      <c r="IB66" s="136" t="str">
        <v/>
      </c>
      <c r="IC66" s="136" t="str">
        <v/>
      </c>
      <c r="ID66" s="136" t="str">
        <v/>
      </c>
      <c r="IE66" s="136" t="str">
        <v/>
      </c>
      <c r="IF66" s="136" t="str">
        <v/>
      </c>
      <c r="IG66" s="136" t="str">
        <v/>
      </c>
      <c r="IH66" s="136" t="str">
        <v/>
      </c>
      <c r="II66" s="136" t="str">
        <v/>
      </c>
      <c r="IJ66" s="136" t="str">
        <v/>
      </c>
      <c r="IK66" s="136" t="str">
        <v/>
      </c>
      <c r="IL66" s="136" t="str">
        <v/>
      </c>
      <c r="IM66" s="136" t="str">
        <v/>
      </c>
      <c r="IN66" s="136" t="str">
        <v/>
      </c>
      <c r="IO66" s="136" t="str">
        <v/>
      </c>
      <c r="IP66" s="136" t="str">
        <v/>
      </c>
      <c r="IQ66" s="136" t="str">
        <v/>
      </c>
      <c r="IR66" s="136" t="str">
        <v/>
      </c>
      <c r="IS66" s="136" t="str">
        <v/>
      </c>
      <c r="IT66" s="136" t="str">
        <v/>
      </c>
      <c r="IU66" s="136" t="str">
        <v/>
      </c>
      <c r="IV66" s="136" t="str">
        <v/>
      </c>
      <c r="IW66" s="136" t="str">
        <v/>
      </c>
      <c r="IX66" s="136" t="str">
        <v/>
      </c>
      <c r="IY66" s="136" t="str">
        <v/>
      </c>
      <c r="IZ66" s="136" t="str">
        <v/>
      </c>
      <c r="JA66" s="136" t="str">
        <v/>
      </c>
      <c r="JB66" s="136" t="str">
        <v/>
      </c>
      <c r="JC66" s="136" t="str">
        <v/>
      </c>
      <c r="JD66" s="136" t="str">
        <v/>
      </c>
      <c r="JE66" s="136" t="str">
        <v/>
      </c>
      <c r="JF66" s="136" t="str">
        <v/>
      </c>
      <c r="JG66" s="136" t="str">
        <v/>
      </c>
      <c r="JH66" s="136" t="str">
        <v/>
      </c>
      <c r="JI66" s="136" t="str">
        <v/>
      </c>
      <c r="JJ66" s="136" t="str">
        <v/>
      </c>
      <c r="JK66" s="136" t="str">
        <v/>
      </c>
      <c r="JL66" s="136" t="str">
        <v/>
      </c>
      <c r="JM66" s="136" t="str">
        <v/>
      </c>
      <c r="JN66" s="136" t="str">
        <v/>
      </c>
      <c r="JO66" s="136" t="str">
        <v/>
      </c>
      <c r="JP66" s="136" t="str">
        <v/>
      </c>
      <c r="JQ66" s="136" t="str">
        <v/>
      </c>
      <c r="JR66" s="136" t="str">
        <v/>
      </c>
      <c r="JS66" s="136" t="str">
        <v/>
      </c>
      <c r="JT66" s="136" t="str">
        <v/>
      </c>
      <c r="JU66" s="136" t="str">
        <v/>
      </c>
      <c r="JV66" s="136" t="str">
        <v/>
      </c>
      <c r="JW66" s="136" t="str">
        <v/>
      </c>
      <c r="JX66" s="136" t="str">
        <v/>
      </c>
      <c r="JY66" s="136" t="str">
        <v/>
      </c>
      <c r="JZ66" s="136" t="str">
        <v/>
      </c>
      <c r="KA66" s="136" t="str">
        <v/>
      </c>
      <c r="KB66" s="136" t="str">
        <v/>
      </c>
      <c r="KC66" s="136" t="str">
        <v/>
      </c>
      <c r="KD66" s="136" t="str">
        <v/>
      </c>
      <c r="KE66" s="136" t="str">
        <v/>
      </c>
      <c r="KF66" s="136" t="str">
        <v/>
      </c>
      <c r="KG66" s="136" t="str">
        <v/>
      </c>
      <c r="KH66" s="136" t="str">
        <v/>
      </c>
      <c r="KI66" s="136" t="str">
        <v/>
      </c>
      <c r="KJ66" s="136" t="str">
        <v/>
      </c>
      <c r="KK66" s="136" t="str">
        <v/>
      </c>
      <c r="KL66" s="136" t="str">
        <v/>
      </c>
      <c r="KM66" s="136" t="str">
        <v/>
      </c>
      <c r="KN66" s="136" t="str">
        <v/>
      </c>
      <c r="KO66" s="136" t="str">
        <v/>
      </c>
      <c r="KP66" s="917" t="str">
        <v/>
      </c>
      <c r="KQ66" s="701" t="s">
        <v>388</v>
      </c>
    </row>
    <row r="67" spans="1:303" s="76" customFormat="1" ht="28.5" hidden="1" customHeight="1" x14ac:dyDescent="0.45">
      <c r="A67" s="1757"/>
      <c r="B67" s="1496" t="s">
        <v>724</v>
      </c>
      <c r="C67" s="584" t="str">
        <f t="array" ref="C67:KP67">IFERROR(INDEX(nutrition_summary_description,, sessions_nutrition_index),"")</f>
        <v/>
      </c>
      <c r="D67" s="585" t="str">
        <v>Nutrition: Medium day</v>
      </c>
      <c r="E67" s="585" t="str">
        <v>Nutrition: Light day</v>
      </c>
      <c r="F67" s="585" t="str">
        <v>Nutrition: Medium day</v>
      </c>
      <c r="G67" s="585" t="str">
        <v>Nutrition: Heavy day</v>
      </c>
      <c r="H67" s="585" t="str">
        <v>Nutrition: Light day</v>
      </c>
      <c r="I67" s="585" t="str">
        <v>Nutrition: Light day</v>
      </c>
      <c r="J67" s="585" t="str">
        <v>Nutrition: Light day</v>
      </c>
      <c r="K67" s="585" t="str">
        <v>Nutrition: Light day</v>
      </c>
      <c r="L67" s="585" t="str">
        <v>Nutrition: Light day</v>
      </c>
      <c r="M67" s="585" t="str">
        <v>Nutrition: Light day</v>
      </c>
      <c r="N67" s="585" t="str">
        <v>Nutrition: Light day</v>
      </c>
      <c r="O67" s="585" t="str">
        <v>Nutrition: Medium day</v>
      </c>
      <c r="P67" s="585" t="str">
        <v>Nutrition: Heavy day</v>
      </c>
      <c r="Q67" s="585" t="str">
        <v>Nutrition: Heavy day</v>
      </c>
      <c r="R67" s="585" t="str">
        <v>Nutrition: Light day</v>
      </c>
      <c r="S67" s="585" t="str">
        <v>Nutrition: Medium day</v>
      </c>
      <c r="T67" s="585" t="str">
        <v>Nutrition: Heavy day</v>
      </c>
      <c r="U67" s="585" t="str">
        <v>Nutrition: Heavy day</v>
      </c>
      <c r="V67" s="585" t="str">
        <v>Nutrition: Heavy day</v>
      </c>
      <c r="W67" s="585" t="str">
        <v>Nutrition: Medium day</v>
      </c>
      <c r="X67" s="585" t="str">
        <v>Nutrition: Medium day</v>
      </c>
      <c r="Y67" s="585" t="str">
        <v>Nutrition: Medium day</v>
      </c>
      <c r="Z67" s="585" t="str">
        <v>Nutrition: Medium day</v>
      </c>
      <c r="AA67" s="585" t="str">
        <v>Nutrition: Medium day</v>
      </c>
      <c r="AB67" s="585" t="str">
        <v>Nutrition: Medium day</v>
      </c>
      <c r="AC67" s="585" t="str">
        <v>Nutrition: Medium day</v>
      </c>
      <c r="AD67" s="585" t="str">
        <v>Nutrition: Medium day</v>
      </c>
      <c r="AE67" s="585" t="str">
        <v>Nutrition: Medium day</v>
      </c>
      <c r="AF67" s="585" t="str">
        <v>Nutrition: Medium day</v>
      </c>
      <c r="AG67" s="585" t="str">
        <v>Nutrition: Medium day</v>
      </c>
      <c r="AH67" s="585" t="str">
        <v>Nutrition: Medium day</v>
      </c>
      <c r="AI67" s="585" t="str">
        <v>Nutrition: Medium day</v>
      </c>
      <c r="AJ67" s="585" t="str">
        <v>Nutrition: Medium day</v>
      </c>
      <c r="AK67" s="585" t="str">
        <v/>
      </c>
      <c r="AL67" s="585" t="str">
        <v/>
      </c>
      <c r="AM67" s="585" t="str">
        <v/>
      </c>
      <c r="AN67" s="585" t="str">
        <v/>
      </c>
      <c r="AO67" s="585" t="str">
        <v/>
      </c>
      <c r="AP67" s="585" t="str">
        <v/>
      </c>
      <c r="AQ67" s="585" t="str">
        <v>Nutrition: Medium day</v>
      </c>
      <c r="AR67" s="585" t="str">
        <v>Nutrition: Medium day</v>
      </c>
      <c r="AS67" s="585" t="str">
        <v>Nutrition: Medium day</v>
      </c>
      <c r="AT67" s="585" t="str">
        <v>Nutrition: Medium day</v>
      </c>
      <c r="AU67" s="585" t="str">
        <v>Nutrition: Medium day</v>
      </c>
      <c r="AV67" s="585" t="str">
        <v>Nutrition: Medium day</v>
      </c>
      <c r="AW67" s="585" t="str">
        <v>Nutrition: Medium day</v>
      </c>
      <c r="AX67" s="585" t="str">
        <v>Nutrition: Medium day</v>
      </c>
      <c r="AY67" s="585" t="str">
        <v>Nutrition: Medium day</v>
      </c>
      <c r="AZ67" s="585" t="str">
        <v>Nutrition: Medium day</v>
      </c>
      <c r="BA67" s="585" t="str">
        <v>Nutrition: Medium day</v>
      </c>
      <c r="BB67" s="585" t="str">
        <v>Nutrition: Medium day</v>
      </c>
      <c r="BC67" s="585" t="str">
        <v/>
      </c>
      <c r="BD67" s="585" t="str">
        <v/>
      </c>
      <c r="BE67" s="585" t="str">
        <v/>
      </c>
      <c r="BF67" s="585" t="str">
        <v/>
      </c>
      <c r="BG67" s="585" t="str">
        <v/>
      </c>
      <c r="BH67" s="585" t="str">
        <v/>
      </c>
      <c r="BI67" s="585" t="str">
        <v/>
      </c>
      <c r="BJ67" s="585" t="str">
        <v/>
      </c>
      <c r="BK67" s="585" t="str">
        <v>Nutrition: Medium day</v>
      </c>
      <c r="BL67" s="585" t="str">
        <v>Nutrition: Medium day</v>
      </c>
      <c r="BM67" s="585" t="str">
        <v>Nutrition: Medium day</v>
      </c>
      <c r="BN67" s="585" t="str">
        <v>Nutrition: Medium day</v>
      </c>
      <c r="BO67" s="585" t="str">
        <v>Nutrition: Medium day</v>
      </c>
      <c r="BP67" s="585" t="str">
        <v>Nutrition: Medium day</v>
      </c>
      <c r="BQ67" s="585" t="str">
        <v>Nutrition: Medium day</v>
      </c>
      <c r="BR67" s="585" t="str">
        <v>Nutrition: Medium day</v>
      </c>
      <c r="BS67" s="585" t="str">
        <v>Nutrition: Medium day</v>
      </c>
      <c r="BT67" s="585" t="str">
        <v/>
      </c>
      <c r="BU67" s="585" t="str">
        <v>Nutrition: Medium day</v>
      </c>
      <c r="BV67" s="585" t="str">
        <v>Nutrition: Medium day</v>
      </c>
      <c r="BW67" s="585" t="str">
        <v>Nutrition: Medium day</v>
      </c>
      <c r="BX67" s="585" t="str">
        <v>Nutrition: Medium day</v>
      </c>
      <c r="BY67" s="585" t="str">
        <v>Nutrition: Medium day</v>
      </c>
      <c r="BZ67" s="585" t="str">
        <v>Nutrition: Light day</v>
      </c>
      <c r="CA67" s="585" t="str">
        <v>Nutrition: Light day</v>
      </c>
      <c r="CB67" s="585" t="str">
        <v>Nutrition: Light day</v>
      </c>
      <c r="CC67" s="585" t="str">
        <v>Nutrition: Light day</v>
      </c>
      <c r="CD67" s="585" t="str">
        <v>Nutrition: Light day</v>
      </c>
      <c r="CE67" s="585" t="str">
        <v>Fuelling: No carbs</v>
      </c>
      <c r="CF67" s="585" t="str">
        <v>Fuelling: No carbs</v>
      </c>
      <c r="CG67" s="585" t="str">
        <v>Fuelling: No carbs</v>
      </c>
      <c r="CH67" s="585" t="str">
        <v>Fuelling: No carbs</v>
      </c>
      <c r="CI67" s="585" t="str">
        <v>Fuelling: No carbs</v>
      </c>
      <c r="CJ67" s="585" t="str">
        <v>Fuelling: No carbs</v>
      </c>
      <c r="CK67" s="585" t="str">
        <v>Fuelling: No carbs</v>
      </c>
      <c r="CL67" s="585" t="str">
        <v>Fuelling: No carbs</v>
      </c>
      <c r="CM67" s="585" t="str">
        <v>Fuelling: No carbs</v>
      </c>
      <c r="CN67" s="585" t="str">
        <v>Fueling: High carbs</v>
      </c>
      <c r="CO67" s="585" t="str">
        <v>Fueling: High carbs</v>
      </c>
      <c r="CP67" s="585" t="str">
        <v>Fueling: High carbs</v>
      </c>
      <c r="CQ67" s="585" t="str">
        <v>Fueling: High carbs</v>
      </c>
      <c r="CR67" s="585" t="str">
        <v>Fueling: High carbs</v>
      </c>
      <c r="CS67" s="585" t="str">
        <v>Fueling: High carbs</v>
      </c>
      <c r="CT67" s="585" t="str">
        <v>Fueling: High carbs</v>
      </c>
      <c r="CU67" s="585" t="str">
        <v>Fueling: High carbs</v>
      </c>
      <c r="CV67" s="585" t="str">
        <v>Fueling: High carbs</v>
      </c>
      <c r="CW67" s="585" t="str">
        <v>Fueling: High carbs</v>
      </c>
      <c r="CX67" s="585" t="str">
        <v>Fueling: High carbs</v>
      </c>
      <c r="CY67" s="584" t="str">
        <v/>
      </c>
      <c r="CZ67" s="585" t="str">
        <v/>
      </c>
      <c r="DA67" s="585" t="str">
        <v/>
      </c>
      <c r="DB67" s="585" t="str">
        <v/>
      </c>
      <c r="DC67" s="585" t="str">
        <v/>
      </c>
      <c r="DD67" s="585" t="str">
        <v/>
      </c>
      <c r="DE67" s="585" t="str">
        <v/>
      </c>
      <c r="DF67" s="585" t="str">
        <v/>
      </c>
      <c r="DG67" s="585" t="str">
        <v/>
      </c>
      <c r="DH67" s="585" t="str">
        <v/>
      </c>
      <c r="DI67" s="585" t="str">
        <v/>
      </c>
      <c r="DJ67" s="585" t="str">
        <v/>
      </c>
      <c r="DK67" s="585" t="str">
        <v/>
      </c>
      <c r="DL67" s="585" t="str">
        <v/>
      </c>
      <c r="DM67" s="585" t="str">
        <v/>
      </c>
      <c r="DN67" s="585" t="str">
        <v/>
      </c>
      <c r="DO67" s="585" t="str">
        <v/>
      </c>
      <c r="DP67" s="585" t="str">
        <v/>
      </c>
      <c r="DQ67" s="585" t="str">
        <v/>
      </c>
      <c r="DR67" s="585" t="str">
        <v/>
      </c>
      <c r="DS67" s="585" t="str">
        <v/>
      </c>
      <c r="DT67" s="585" t="str">
        <v/>
      </c>
      <c r="DU67" s="585" t="str">
        <v/>
      </c>
      <c r="DV67" s="585" t="str">
        <v/>
      </c>
      <c r="DW67" s="585" t="str">
        <v/>
      </c>
      <c r="DX67" s="585" t="str">
        <v/>
      </c>
      <c r="DY67" s="585" t="str">
        <v/>
      </c>
      <c r="DZ67" s="585" t="str">
        <v/>
      </c>
      <c r="EA67" s="585" t="str">
        <v/>
      </c>
      <c r="EB67" s="585" t="str">
        <v/>
      </c>
      <c r="EC67" s="585" t="str">
        <v/>
      </c>
      <c r="ED67" s="585" t="str">
        <v/>
      </c>
      <c r="EE67" s="585" t="str">
        <v/>
      </c>
      <c r="EF67" s="585" t="str">
        <v/>
      </c>
      <c r="EG67" s="585" t="str">
        <v/>
      </c>
      <c r="EH67" s="585" t="str">
        <v/>
      </c>
      <c r="EI67" s="585" t="str">
        <v/>
      </c>
      <c r="EJ67" s="585" t="str">
        <v/>
      </c>
      <c r="EK67" s="585" t="str">
        <v/>
      </c>
      <c r="EL67" s="585" t="str">
        <v/>
      </c>
      <c r="EM67" s="585" t="str">
        <v/>
      </c>
      <c r="EN67" s="585" t="str">
        <v/>
      </c>
      <c r="EO67" s="585" t="str">
        <v/>
      </c>
      <c r="EP67" s="585" t="str">
        <v/>
      </c>
      <c r="EQ67" s="585" t="str">
        <v/>
      </c>
      <c r="ER67" s="585" t="str">
        <v/>
      </c>
      <c r="ES67" s="585" t="str">
        <v/>
      </c>
      <c r="ET67" s="585" t="str">
        <v/>
      </c>
      <c r="EU67" s="585" t="str">
        <v/>
      </c>
      <c r="EV67" s="585" t="str">
        <v/>
      </c>
      <c r="EW67" s="585" t="str">
        <v/>
      </c>
      <c r="EX67" s="585" t="str">
        <v/>
      </c>
      <c r="EY67" s="585" t="str">
        <v/>
      </c>
      <c r="EZ67" s="585" t="str">
        <v/>
      </c>
      <c r="FA67" s="585" t="str">
        <v/>
      </c>
      <c r="FB67" s="585" t="str">
        <v/>
      </c>
      <c r="FC67" s="585" t="str">
        <v/>
      </c>
      <c r="FD67" s="585" t="str">
        <v/>
      </c>
      <c r="FE67" s="585" t="str">
        <v/>
      </c>
      <c r="FF67" s="585" t="str">
        <v/>
      </c>
      <c r="FG67" s="585" t="str">
        <v/>
      </c>
      <c r="FH67" s="585" t="str">
        <v/>
      </c>
      <c r="FI67" s="585" t="str">
        <v/>
      </c>
      <c r="FJ67" s="585" t="str">
        <v/>
      </c>
      <c r="FK67" s="585" t="str">
        <v/>
      </c>
      <c r="FL67" s="585" t="str">
        <v/>
      </c>
      <c r="FM67" s="585" t="str">
        <v/>
      </c>
      <c r="FN67" s="585" t="str">
        <v/>
      </c>
      <c r="FO67" s="585" t="str">
        <v/>
      </c>
      <c r="FP67" s="585" t="str">
        <v/>
      </c>
      <c r="FQ67" s="585" t="str">
        <v/>
      </c>
      <c r="FR67" s="585" t="str">
        <v/>
      </c>
      <c r="FS67" s="585" t="str">
        <v/>
      </c>
      <c r="FT67" s="585" t="str">
        <v/>
      </c>
      <c r="FU67" s="585" t="str">
        <v/>
      </c>
      <c r="FV67" s="585" t="str">
        <v/>
      </c>
      <c r="FW67" s="585" t="str">
        <v/>
      </c>
      <c r="FX67" s="585" t="str">
        <v/>
      </c>
      <c r="FY67" s="585" t="str">
        <v/>
      </c>
      <c r="FZ67" s="585" t="str">
        <v/>
      </c>
      <c r="GA67" s="585" t="str">
        <v/>
      </c>
      <c r="GB67" s="585" t="str">
        <v/>
      </c>
      <c r="GC67" s="585" t="str">
        <v/>
      </c>
      <c r="GD67" s="585" t="str">
        <v/>
      </c>
      <c r="GE67" s="585" t="str">
        <v/>
      </c>
      <c r="GF67" s="585" t="str">
        <v/>
      </c>
      <c r="GG67" s="585" t="str">
        <v/>
      </c>
      <c r="GH67" s="585" t="str">
        <v/>
      </c>
      <c r="GI67" s="585" t="str">
        <v/>
      </c>
      <c r="GJ67" s="585" t="str">
        <v/>
      </c>
      <c r="GK67" s="585" t="str">
        <v/>
      </c>
      <c r="GL67" s="585" t="str">
        <v/>
      </c>
      <c r="GM67" s="585" t="str">
        <v/>
      </c>
      <c r="GN67" s="585" t="str">
        <v/>
      </c>
      <c r="GO67" s="585" t="str">
        <v/>
      </c>
      <c r="GP67" s="585" t="str">
        <v/>
      </c>
      <c r="GQ67" s="585" t="str">
        <v/>
      </c>
      <c r="GR67" s="585" t="str">
        <v/>
      </c>
      <c r="GS67" s="585" t="str">
        <v/>
      </c>
      <c r="GT67" s="585" t="str">
        <v/>
      </c>
      <c r="GU67" s="585" t="str">
        <v/>
      </c>
      <c r="GV67" s="585" t="str">
        <v/>
      </c>
      <c r="GW67" s="585" t="str">
        <v/>
      </c>
      <c r="GX67" s="585" t="str">
        <v/>
      </c>
      <c r="GY67" s="585" t="str">
        <v/>
      </c>
      <c r="GZ67" s="585" t="str">
        <v/>
      </c>
      <c r="HA67" s="585" t="str">
        <v/>
      </c>
      <c r="HB67" s="585" t="str">
        <v/>
      </c>
      <c r="HC67" s="585" t="str">
        <v/>
      </c>
      <c r="HD67" s="585" t="str">
        <v/>
      </c>
      <c r="HE67" s="585" t="str">
        <v/>
      </c>
      <c r="HF67" s="585" t="str">
        <v/>
      </c>
      <c r="HG67" s="585" t="str">
        <v/>
      </c>
      <c r="HH67" s="585" t="str">
        <v/>
      </c>
      <c r="HI67" s="585" t="str">
        <v/>
      </c>
      <c r="HJ67" s="585" t="str">
        <v/>
      </c>
      <c r="HK67" s="585" t="str">
        <v/>
      </c>
      <c r="HL67" s="585" t="str">
        <v/>
      </c>
      <c r="HM67" s="585" t="str">
        <v/>
      </c>
      <c r="HN67" s="585" t="str">
        <v/>
      </c>
      <c r="HO67" s="585" t="str">
        <v/>
      </c>
      <c r="HP67" s="585" t="str">
        <v/>
      </c>
      <c r="HQ67" s="585" t="str">
        <v/>
      </c>
      <c r="HR67" s="585" t="str">
        <v/>
      </c>
      <c r="HS67" s="585" t="str">
        <v/>
      </c>
      <c r="HT67" s="585" t="str">
        <v/>
      </c>
      <c r="HU67" s="585" t="str">
        <v/>
      </c>
      <c r="HV67" s="585" t="str">
        <v/>
      </c>
      <c r="HW67" s="585" t="str">
        <v/>
      </c>
      <c r="HX67" s="585" t="str">
        <v/>
      </c>
      <c r="HY67" s="585" t="str">
        <v/>
      </c>
      <c r="HZ67" s="585" t="str">
        <v/>
      </c>
      <c r="IA67" s="585" t="str">
        <v/>
      </c>
      <c r="IB67" s="585" t="str">
        <v/>
      </c>
      <c r="IC67" s="585" t="str">
        <v/>
      </c>
      <c r="ID67" s="585" t="str">
        <v/>
      </c>
      <c r="IE67" s="585" t="str">
        <v/>
      </c>
      <c r="IF67" s="585" t="str">
        <v/>
      </c>
      <c r="IG67" s="585" t="str">
        <v/>
      </c>
      <c r="IH67" s="585" t="str">
        <v/>
      </c>
      <c r="II67" s="585" t="str">
        <v/>
      </c>
      <c r="IJ67" s="585" t="str">
        <v/>
      </c>
      <c r="IK67" s="585" t="str">
        <v/>
      </c>
      <c r="IL67" s="585" t="str">
        <v/>
      </c>
      <c r="IM67" s="585" t="str">
        <v/>
      </c>
      <c r="IN67" s="585" t="str">
        <v/>
      </c>
      <c r="IO67" s="585" t="str">
        <v/>
      </c>
      <c r="IP67" s="585" t="str">
        <v/>
      </c>
      <c r="IQ67" s="585" t="str">
        <v/>
      </c>
      <c r="IR67" s="585" t="str">
        <v/>
      </c>
      <c r="IS67" s="585" t="str">
        <v>Nutrition: Light day</v>
      </c>
      <c r="IT67" s="585" t="str">
        <v>Fuelling: No carbs</v>
      </c>
      <c r="IU67" s="585" t="str">
        <v>Fueling: High carbs</v>
      </c>
      <c r="IV67" s="585" t="str">
        <v>Fuelling: No carbs</v>
      </c>
      <c r="IW67" s="585" t="str">
        <v>Fueling: High carbs</v>
      </c>
      <c r="IX67" s="585" t="str">
        <v>Fuelling: No carbs</v>
      </c>
      <c r="IY67" s="585" t="str">
        <v>Fueling: High carbs</v>
      </c>
      <c r="IZ67" s="585" t="str">
        <v/>
      </c>
      <c r="JA67" s="585" t="str">
        <v/>
      </c>
      <c r="JB67" s="585" t="str">
        <v/>
      </c>
      <c r="JC67" s="585" t="str">
        <v/>
      </c>
      <c r="JD67" s="585" t="str">
        <v/>
      </c>
      <c r="JE67" s="585" t="str">
        <v/>
      </c>
      <c r="JF67" s="585" t="str">
        <v/>
      </c>
      <c r="JG67" s="585" t="str">
        <v/>
      </c>
      <c r="JH67" s="585" t="str">
        <v/>
      </c>
      <c r="JI67" s="585" t="str">
        <v/>
      </c>
      <c r="JJ67" s="585" t="str">
        <v/>
      </c>
      <c r="JK67" s="585" t="str">
        <v/>
      </c>
      <c r="JL67" s="585" t="str">
        <v/>
      </c>
      <c r="JM67" s="585" t="str">
        <v/>
      </c>
      <c r="JN67" s="585" t="str">
        <v/>
      </c>
      <c r="JO67" s="585" t="str">
        <v/>
      </c>
      <c r="JP67" s="585" t="str">
        <v/>
      </c>
      <c r="JQ67" s="585" t="str">
        <v/>
      </c>
      <c r="JR67" s="585" t="str">
        <v/>
      </c>
      <c r="JS67" s="585" t="str">
        <v/>
      </c>
      <c r="JT67" s="585" t="str">
        <v/>
      </c>
      <c r="JU67" s="585" t="str">
        <v/>
      </c>
      <c r="JV67" s="585" t="str">
        <v/>
      </c>
      <c r="JW67" s="585" t="str">
        <v/>
      </c>
      <c r="JX67" s="585" t="str">
        <v/>
      </c>
      <c r="JY67" s="585" t="str">
        <v/>
      </c>
      <c r="JZ67" s="585" t="str">
        <v/>
      </c>
      <c r="KA67" s="585" t="str">
        <v/>
      </c>
      <c r="KB67" s="585" t="str">
        <v/>
      </c>
      <c r="KC67" s="585" t="str">
        <v/>
      </c>
      <c r="KD67" s="585" t="str">
        <v/>
      </c>
      <c r="KE67" s="585" t="str">
        <v/>
      </c>
      <c r="KF67" s="585" t="str">
        <v/>
      </c>
      <c r="KG67" s="585" t="str">
        <v/>
      </c>
      <c r="KH67" s="585" t="str">
        <v/>
      </c>
      <c r="KI67" s="585" t="str">
        <v/>
      </c>
      <c r="KJ67" s="585" t="str">
        <v/>
      </c>
      <c r="KK67" s="585" t="str">
        <v/>
      </c>
      <c r="KL67" s="585" t="str">
        <v/>
      </c>
      <c r="KM67" s="585" t="str">
        <v/>
      </c>
      <c r="KN67" s="585" t="str">
        <v/>
      </c>
      <c r="KO67" s="585" t="str">
        <v/>
      </c>
      <c r="KP67" s="918" t="str">
        <v/>
      </c>
      <c r="KQ67" s="701" t="s">
        <v>388</v>
      </c>
    </row>
    <row r="68" spans="1:303" s="76" customFormat="1" ht="71.25" hidden="1" x14ac:dyDescent="0.45">
      <c r="A68" s="1764"/>
      <c r="B68" s="583" t="s">
        <v>402</v>
      </c>
      <c r="C68" s="588" t="str">
        <f t="array" ref="C68:KP68">CONCATENATE(IF(sessions_description_secondary="", "", "1. "), sessions_symbol_primary, IF(sessions_symbol_primary="", "", " "), IFERROR(SUBSTITUTE(SUBSTITUTE(CONCATENATE(INDEX(elements_summary_description,,sessions_element_index_primary)),"TT","duration_primary"),"SS",LOWER(sessions_sport)),""),
IFERROR(SUBSTITUTE(SUBSTITUTE(CONCATENATE("
2. ", sessions_symbol_secondary, IF(sessions_symbol_secondary="", "", " "), INDEX(elements_summary_description,,sessions_element_index_secondary)),"TT","duration_secondary"),"SS",LOWER(sessions_sport)),""),
IFERROR(SUBSTITUTE(SUBSTITUTE(CONCATENATE("
3. ", sessions_symbol_tertiary, IF(sessions_symbol_tertiary="", "", " "), INDEX(elements_summary_description,,sessions_element_index_tertiary)),"TT","duration_tertiary"),"SS",LOWER(sessions_sport)),""))</f>
        <v>🏃 Rest from continuous exercise</v>
      </c>
      <c r="D68" s="582" t="str">
        <v>🏃 Easy run: duration_primary minutes</v>
      </c>
      <c r="E68" s="582" t="str">
        <v>🏃 Easy run: duration_primary minutes</v>
      </c>
      <c r="F68" s="582" t="str">
        <v>🏃 Steady hilly trail run: duration_primary minutes</v>
      </c>
      <c r="G68" s="582" t="str">
        <v>🏃 Long hilly trail run: duration_primary minutes</v>
      </c>
      <c r="H68" s="582" t="str">
        <v>🏃 Easy road run: duration_primary minutes</v>
      </c>
      <c r="I68" s="582" t="str">
        <v>🏃 Easy road run: duration_primary minutes</v>
      </c>
      <c r="J68" s="582" t="str">
        <v>🏃 Easy run: duration_primary minutes</v>
      </c>
      <c r="K68" s="582" t="str">
        <v>1. 🏃 Easy road run: duration_primary minutes
2. 🏃 duration_secondary stride outs</v>
      </c>
      <c r="L68" s="582" t="str">
        <v>1. 🏃 Easy road run: duration_primary minutes
2. 🏃 duration_secondary stride outs</v>
      </c>
      <c r="M68" s="582" t="str">
        <v>1. 🏃 Easy road run: duration_primary minutes
2. 🏃 duration_secondary stride outs</v>
      </c>
      <c r="N68" s="582" t="str">
        <v>🏃 Easy road run: duration_primary minutes</v>
      </c>
      <c r="O68" s="582" t="str">
        <v>🏃 Easy road run: duration_primary minutes</v>
      </c>
      <c r="P68" s="582" t="str">
        <v>🏃 Easy road run: duration_primary minutes</v>
      </c>
      <c r="Q68" s="582" t="str">
        <v>🏃 Easy road run: duration_primary minutes</v>
      </c>
      <c r="R68" s="582" t="str">
        <v>🏃 Steady hilly trail run: duration_primary minutes</v>
      </c>
      <c r="S68" s="582" t="str">
        <v>🏃 Steady hilly trail run: duration_primary minutes</v>
      </c>
      <c r="T68" s="582" t="str">
        <v>🏃 Long hilly trail run: duration_primary minutes</v>
      </c>
      <c r="U68" s="582" t="str">
        <v>🏃 Long hilly trail run: duration_primary minutes</v>
      </c>
      <c r="V68" s="582" t="str">
        <v>🏃 Long hilly trail run: duration_primary minutes</v>
      </c>
      <c r="W68" s="582" t="str">
        <v>🏃 Subthreshold hilly trail run: duration_primary minutes + WU/WD</v>
      </c>
      <c r="X68" s="582" t="str">
        <v>🏃 Tempo road run: duration_primary minutes + WU/WD</v>
      </c>
      <c r="Y68" s="582" t="str">
        <v>🏃 Tempo road run: duration_primary minutes + WU/WD</v>
      </c>
      <c r="Z68" s="582" t="str">
        <v>🏃 Hilly tempo hilly trail run: duration_primary minutes + WU/WD</v>
      </c>
      <c r="AA68" s="582" t="str">
        <v>🏃 Hilly tempo hilly trail run: duration_primary minutes + WU/WD</v>
      </c>
      <c r="AB68" s="582" t="str">
        <v>1. 🏃 Subthreshold hilly trail run: duration_primary minutes + WU/WD
2. 🏃 Easy hilly trail run: duration_secondary minutes</v>
      </c>
      <c r="AC68" s="582" t="str">
        <v>1. 🏃 Tempo hilly trail run: duration_primary minutes + WU/WD
2. 🏃 Easy hilly trail run: duration_secondary minutes</v>
      </c>
      <c r="AD68" s="582" t="str">
        <v>1. 🏃 Tempo hilly trail run: duration_primary minutes + WU/WD
2. 🏃 Easy hilly trail run: duration_secondary minutes</v>
      </c>
      <c r="AE68" s="582" t="str">
        <v>1. 🏃 Hilly tempo hilly trail run: duration_primary minutes + WU/WD
2. 🏃 Easy hilly trail run: duration_secondary minutes</v>
      </c>
      <c r="AF68" s="582" t="str">
        <v>1. 🏃 Hilly tempo hilly trail run: duration_primary minutes + WU/WD
2. 🏃 Easy hilly trail run: duration_secondary minutes</v>
      </c>
      <c r="AG68" s="582" t="str">
        <v>🏃 Fartlek hilly trail run: duration_primary minutes + WU/WD</v>
      </c>
      <c r="AH68" s="582" t="str">
        <v>🏃 Fartlek hilly trail run: duration_primary minutes + WU/WD</v>
      </c>
      <c r="AI68" s="582" t="str">
        <v>🏃 Fartlek hilly trail run: duration_primary minutes + WU/WD</v>
      </c>
      <c r="AJ68" s="582" t="str">
        <v>🏃 Fartlek hilly trail run: duration_primary minutes + WU/WD</v>
      </c>
      <c r="AK68" s="582" t="str">
        <v/>
      </c>
      <c r="AL68" s="582" t="str">
        <v/>
      </c>
      <c r="AM68" s="582" t="str">
        <v/>
      </c>
      <c r="AN68" s="582" t="str">
        <v/>
      </c>
      <c r="AO68" s="582" t="str">
        <v/>
      </c>
      <c r="AP68" s="582" t="str">
        <v/>
      </c>
      <c r="AQ68" s="582" t="str">
        <v>🏃 Intervals: II + WU/WD</v>
      </c>
      <c r="AR68" s="582" t="str">
        <v>🏃 Intervals: II + WU/WD</v>
      </c>
      <c r="AS68" s="582" t="str">
        <v>🏃 Intervals: II + WU/WD</v>
      </c>
      <c r="AT68" s="582" t="str">
        <v>🏃 Intervals: II + WU/WD</v>
      </c>
      <c r="AU68" s="582" t="str">
        <v>🏃 Intervals: II + WU/WD</v>
      </c>
      <c r="AV68" s="582" t="str">
        <v>🏃 Intervals: II + WU/WD</v>
      </c>
      <c r="AW68" s="582" t="str">
        <v>🏃 Intervals: II + WU/WD</v>
      </c>
      <c r="AX68" s="582" t="str">
        <v>🏃 Intervals: II + WU/WD</v>
      </c>
      <c r="AY68" s="582" t="str">
        <v>🏃 Intervals: II + WU/WD</v>
      </c>
      <c r="AZ68" s="582" t="str">
        <v>🏃 Intervals: II + WU/WD</v>
      </c>
      <c r="BA68" s="582" t="str">
        <v>🏃 Intervals: II + WU/WD</v>
      </c>
      <c r="BB68" s="582" t="str">
        <v>🏃 Intervals: II + WU/WD</v>
      </c>
      <c r="BC68" s="582" t="str">
        <v/>
      </c>
      <c r="BD68" s="582" t="str">
        <v/>
      </c>
      <c r="BE68" s="582" t="str">
        <v/>
      </c>
      <c r="BF68" s="582" t="str">
        <v/>
      </c>
      <c r="BG68" s="582" t="str">
        <v/>
      </c>
      <c r="BH68" s="582" t="str">
        <v/>
      </c>
      <c r="BI68" s="582" t="str">
        <v/>
      </c>
      <c r="BJ68" s="582" t="str">
        <v/>
      </c>
      <c r="BK68" s="582" t="str">
        <v>1. 🏃 Reps: II + WU/WD
2. 🏃 Easy road run: duration_secondary minutes</v>
      </c>
      <c r="BL68" s="582" t="str">
        <v>1. 🏃 Reps: II + WU/WD
2. 🏃 Easy road run: duration_secondary minutes</v>
      </c>
      <c r="BM68" s="582" t="str">
        <v>1. 🏃 Reps: II + WU/WD
2. 🏃 Easy road run: duration_secondary minutes</v>
      </c>
      <c r="BN68" s="582" t="str">
        <v>1. 🏃 Reps: II + WU/WD
2. 🏃 Easy road run: duration_secondary minutes</v>
      </c>
      <c r="BO68" s="582" t="str">
        <v>1. 🏃 Reps: II + WU/WD
2. 🏃 Easy road run: duration_secondary minutes</v>
      </c>
      <c r="BP68" s="582" t="str">
        <v>1. 🏃 Reps: II + WU/WD
2. 🏃 Easy road run: duration_secondary minutes</v>
      </c>
      <c r="BQ68" s="582" t="str">
        <v>1. 🏃 Reps: II + WU/WD
2. 🏃 Easy road run: duration_secondary minutes</v>
      </c>
      <c r="BR68" s="582" t="str">
        <v>1. 🏃 Reps: II + WU/WD
2. 🏃 Easy road run: duration_secondary minutes</v>
      </c>
      <c r="BS68" s="582" t="str">
        <v>1. 🏃 Reps: II + WU/WD
2. 🏃 Easy road run: duration_secondary minutes</v>
      </c>
      <c r="BT68" s="582" t="str">
        <v/>
      </c>
      <c r="BU68" s="582" t="str">
        <v>🏃 Drills + WU/WD</v>
      </c>
      <c r="BV68" s="582" t="str">
        <v>1. 🏃 Drills + WU/WD
2. 🏃 duration_secondary stride outs</v>
      </c>
      <c r="BW68" s="582" t="str">
        <v>1. 🏃 Drills + WU/WD
2. 🏃 Reps: II + WU/WD</v>
      </c>
      <c r="BX68" s="582" t="str">
        <v>1. 🏃 Drills + WU/WD
2. 🏃 Easy run: duration_secondary minutes</v>
      </c>
      <c r="BY68" s="582" t="str">
        <v>1. 🏃 Drills + WU/WD
2. 🏃 Reps: II + WU/WD
3. 🏃 Easy run: duration_tertiary minutes</v>
      </c>
      <c r="BZ68" s="582" t="str">
        <v>💪 Maintenance</v>
      </c>
      <c r="CA68" s="582" t="str">
        <v>1. 💪 Strength and conditioning
2. 💪 Maintenance</v>
      </c>
      <c r="CB68" s="582" t="str">
        <v>1. 🏃 Easy road run: duration_primary minutes
2. 💪 Strength and conditioning
3. 💪 Maintenance</v>
      </c>
      <c r="CC68" s="582" t="str">
        <v>💪 Strength and conditioning</v>
      </c>
      <c r="CD68" s="582" t="str">
        <v>1. 🏃 Easy run: duration_primary minutes
2. 💪 Strength and conditioning</v>
      </c>
      <c r="CE68" s="582" t="str">
        <v>🏃 Race: duration_primary minutes + WU/WD</v>
      </c>
      <c r="CF68" s="582" t="str">
        <v>🏃 Race: duration_primary minutes + WU/WD</v>
      </c>
      <c r="CG68" s="582" t="str">
        <v>🏃 Race: duration_primary minutes + WU/WD</v>
      </c>
      <c r="CH68" s="582" t="str">
        <v>🏃 Race: duration_primary minutes + WU/WD</v>
      </c>
      <c r="CI68" s="582" t="str">
        <v>🏃 Race: duration_primary minutes + WU/WD</v>
      </c>
      <c r="CJ68" s="582" t="str">
        <v>🏃 Race: duration_primary minutes + WU/WD</v>
      </c>
      <c r="CK68" s="582" t="str">
        <v>🏃 Race: duration_primary minutes + WU/WD</v>
      </c>
      <c r="CL68" s="582" t="str">
        <v>🏃 Race: duration_primary minutes + WU/WD</v>
      </c>
      <c r="CM68" s="582" t="str">
        <v>🏃 Race: duration_primary minutes + WU/WD</v>
      </c>
      <c r="CN68" s="582" t="str">
        <v>🏃 Race: duration_primary minutes + WU/WD</v>
      </c>
      <c r="CO68" s="582" t="str">
        <v>🏃 Race: duration_primary minutes + WU/WD</v>
      </c>
      <c r="CP68" s="582" t="str">
        <v>🏃 Race: duration_primary minutes + WU/WD</v>
      </c>
      <c r="CQ68" s="582" t="str">
        <v>🏃 Race: duration_primary minutes + WU/WD</v>
      </c>
      <c r="CR68" s="582" t="str">
        <v>🏃 Race: duration_primary minutes + WU/WD</v>
      </c>
      <c r="CS68" s="582" t="str">
        <v>🏃 Race: duration_primary minutes + WU/WD</v>
      </c>
      <c r="CT68" s="582" t="str">
        <v>🏃 Race: duration_primary minutes + WU/WD</v>
      </c>
      <c r="CU68" s="582" t="str">
        <v>🏃 Race: duration_primary minutes + WU/WD</v>
      </c>
      <c r="CV68" s="582" t="str">
        <v>🏃 Race: duration_primary minutes + WU/WD</v>
      </c>
      <c r="CW68" s="582" t="str">
        <v>🏃 Race: duration_primary minutes + WU/WD</v>
      </c>
      <c r="CX68" s="582" t="str">
        <v>🏃 Race: duration_primary minutes + WU/WD</v>
      </c>
      <c r="CY68" s="588" t="str">
        <v>🚲 Rest from continuous exercise</v>
      </c>
      <c r="CZ68" s="582" t="str">
        <v>🚲 Easy road ride: duration_primary minutes</v>
      </c>
      <c r="DA68" s="582" t="str">
        <v>🚲 Easy road ride: duration_primary minutes</v>
      </c>
      <c r="DB68" s="582" t="str">
        <v>🚲 Steady ride: duration_primary minutes</v>
      </c>
      <c r="DC68" s="582" t="str">
        <v>🚲 Long ride: duration_primary minutes</v>
      </c>
      <c r="DD68" s="582" t="str">
        <v>🚲 Easy road ride: duration_primary minutes</v>
      </c>
      <c r="DE68" s="582" t="str">
        <v>🚲 Easy road ride: duration_primary minutes</v>
      </c>
      <c r="DF68" s="582" t="str">
        <v>🚲 Easy ride: duration_primary minutes</v>
      </c>
      <c r="DG68" s="582" t="str">
        <v>🚲 Easy ride: duration_primary minutes</v>
      </c>
      <c r="DH68" s="582" t="str">
        <v>🚲 Easy ride: duration_primary minutes</v>
      </c>
      <c r="DI68" s="582" t="str">
        <v>🚲 Easy ride: duration_primary minutes</v>
      </c>
      <c r="DJ68" s="582" t="str">
        <v>🚲 Easy ride: duration_primary minutes</v>
      </c>
      <c r="DK68" s="582" t="str">
        <v>🚲 Easy ride: duration_primary minutes</v>
      </c>
      <c r="DL68" s="582" t="str">
        <v>🚲 Easy ride: duration_primary minutes</v>
      </c>
      <c r="DM68" s="582" t="str">
        <v>🚲 Easy ride: duration_primary minutes</v>
      </c>
      <c r="DN68" s="582" t="str">
        <v>🚲 Steady ride: duration_primary minutes</v>
      </c>
      <c r="DO68" s="582" t="str">
        <v>🚲 Steady ride: duration_primary minutes</v>
      </c>
      <c r="DP68" s="582" t="str">
        <v>🚲 Long ride: duration_primary minutes</v>
      </c>
      <c r="DQ68" s="582" t="str">
        <v>🚲 Long ride: duration_primary minutes</v>
      </c>
      <c r="DR68" s="582" t="str">
        <v>🚲 Long ride: duration_primary minutes</v>
      </c>
      <c r="DS68" s="582" t="str">
        <v>🚲 Subthreshold ride: duration_primary minutes + WU/WD</v>
      </c>
      <c r="DT68" s="582" t="str">
        <v>🚲 Tempo road ride: duration_primary minutes + WU/WD</v>
      </c>
      <c r="DU68" s="582" t="str">
        <v>🚲 Tempo road ride: duration_primary minutes + WU/WD</v>
      </c>
      <c r="DV68" s="582" t="str">
        <v>🚲 Hilly tempo ride: duration_primary minutes + WU/WD</v>
      </c>
      <c r="DW68" s="582" t="str">
        <v>🚲 Hilly tempo ride: duration_primary minutes + WU/WD</v>
      </c>
      <c r="DX68" s="582" t="str">
        <v>1. 🚲 Subthreshold ride: duration_primary minutes + WU/WD
2. 🚲 Easy ride: duration_secondary minutes</v>
      </c>
      <c r="DY68" s="582" t="str">
        <v>1. 🚲 Tempo road ride: duration_primary minutes + WU/WD
2. 🚲 Easy road ride: duration_secondary minutes</v>
      </c>
      <c r="DZ68" s="582" t="str">
        <v>1. 🚲 Tempo road ride: duration_primary minutes + WU/WD
2. 🚲 Easy road ride: duration_secondary minutes</v>
      </c>
      <c r="EA68" s="582" t="str">
        <v>1. 🚲 Hilly tempo ride: duration_primary minutes + WU/WD
2. 🚲 Easy ride: duration_secondary minutes</v>
      </c>
      <c r="EB68" s="582" t="str">
        <v>1. 🚲 Hilly tempo ride: duration_primary minutes + WU/WD
2. 🚲 Easy ride: duration_secondary minutes</v>
      </c>
      <c r="EC68" s="582" t="str">
        <v>🚲 Fartlek ride: duration_primary minutes + WU/WD</v>
      </c>
      <c r="ED68" s="582" t="str">
        <v>🚲 Fartlek ride: duration_primary minutes + WU/WD</v>
      </c>
      <c r="EE68" s="582" t="str">
        <v>🚲 Fartlek ride: duration_primary minutes + WU/WD</v>
      </c>
      <c r="EF68" s="582" t="str">
        <v>🚲 Fartlek ride: duration_primary minutes + WU/WD</v>
      </c>
      <c r="EG68" s="582" t="str">
        <v/>
      </c>
      <c r="EH68" s="582" t="str">
        <v/>
      </c>
      <c r="EI68" s="582" t="str">
        <v/>
      </c>
      <c r="EJ68" s="582" t="str">
        <v/>
      </c>
      <c r="EK68" s="582" t="str">
        <v/>
      </c>
      <c r="EL68" s="582" t="str">
        <v/>
      </c>
      <c r="EM68" s="582" t="str">
        <v/>
      </c>
      <c r="EN68" s="582" t="str">
        <v/>
      </c>
      <c r="EO68" s="582" t="str">
        <v/>
      </c>
      <c r="EP68" s="582" t="str">
        <v/>
      </c>
      <c r="EQ68" s="582" t="str">
        <v/>
      </c>
      <c r="ER68" s="582" t="str">
        <v/>
      </c>
      <c r="ES68" s="582" t="str">
        <v/>
      </c>
      <c r="ET68" s="582" t="str">
        <v/>
      </c>
      <c r="EU68" s="582" t="str">
        <v/>
      </c>
      <c r="EV68" s="582" t="str">
        <v/>
      </c>
      <c r="EW68" s="582" t="str">
        <v/>
      </c>
      <c r="EX68" s="582" t="str">
        <v/>
      </c>
      <c r="EY68" s="582" t="str">
        <v/>
      </c>
      <c r="EZ68" s="582" t="str">
        <v/>
      </c>
      <c r="FA68" s="582" t="str">
        <v/>
      </c>
      <c r="FB68" s="582" t="str">
        <v/>
      </c>
      <c r="FC68" s="582" t="str">
        <v/>
      </c>
      <c r="FD68" s="582" t="str">
        <v/>
      </c>
      <c r="FE68" s="582" t="str">
        <v/>
      </c>
      <c r="FF68" s="582" t="str">
        <v/>
      </c>
      <c r="FG68" s="582" t="str">
        <v>🚲 Reps: II + WU/WD</v>
      </c>
      <c r="FH68" s="582" t="str">
        <v>🚲 Reps: II + WU/WD</v>
      </c>
      <c r="FI68" s="582" t="str">
        <v>🚲 Reps: II + WU/WD</v>
      </c>
      <c r="FJ68" s="582" t="str">
        <v>🚲 Reps: II + WU/WD</v>
      </c>
      <c r="FK68" s="582" t="str">
        <v>🚲 Reps: II + WU/WD</v>
      </c>
      <c r="FL68" s="582" t="str">
        <v>🚲 Reps: II + WU/WD</v>
      </c>
      <c r="FM68" s="582" t="str">
        <v>🚲 Reps: II + WU/WD</v>
      </c>
      <c r="FN68" s="582" t="str">
        <v>1. 🚲 Reps: II + WU/WD
2. 🚲 Steady ride: duration_secondary minutes</v>
      </c>
      <c r="FO68" s="582" t="str">
        <v>🚲 Reps: II + WU/WD</v>
      </c>
      <c r="FP68" s="582" t="str">
        <v>🚲 Reps: II + WU/WD</v>
      </c>
      <c r="FQ68" s="582" t="str">
        <v/>
      </c>
      <c r="FR68" s="582" t="str">
        <v/>
      </c>
      <c r="FS68" s="582" t="str">
        <v/>
      </c>
      <c r="FT68" s="582" t="str">
        <v/>
      </c>
      <c r="FU68" s="582" t="str">
        <v/>
      </c>
      <c r="FV68" s="582" t="str">
        <v/>
      </c>
      <c r="FW68" s="582" t="str">
        <v/>
      </c>
      <c r="FX68" s="582" t="str">
        <v/>
      </c>
      <c r="FY68" s="582" t="str">
        <v/>
      </c>
      <c r="FZ68" s="582" t="str">
        <v/>
      </c>
      <c r="GA68" s="582" t="str">
        <v>🚲 Race: duration_primary minutes + WU/WD</v>
      </c>
      <c r="GB68" s="582" t="str">
        <v>🚲 Race: duration_primary minutes + WU/WD</v>
      </c>
      <c r="GC68" s="582" t="str">
        <v>🚲 Race: duration_primary minutes + WU/WD</v>
      </c>
      <c r="GD68" s="582" t="str">
        <v>🚲 Race: duration_primary minutes + WU/WD</v>
      </c>
      <c r="GE68" s="582" t="str">
        <v>🚲 Race: duration_primary minutes + WU/WD</v>
      </c>
      <c r="GF68" s="582" t="str">
        <v>🚲 Race: duration_primary minutes + WU/WD</v>
      </c>
      <c r="GG68" s="582" t="str">
        <v>🚲 Race: duration_primary minutes + WU/WD</v>
      </c>
      <c r="GH68" s="582" t="str">
        <v>🚲 Race: duration_primary minutes + WU/WD</v>
      </c>
      <c r="GI68" s="582" t="str">
        <v>🚲 Race: duration_primary minutes + WU/WD</v>
      </c>
      <c r="GJ68" s="582" t="str">
        <v>🚲 Race: duration_primary minutes + WU/WD</v>
      </c>
      <c r="GK68" s="582" t="str">
        <v>🚲 Race: duration_primary minutes + WU/WD</v>
      </c>
      <c r="GL68" s="582" t="str">
        <v>🚲 Race: duration_primary minutes + WU/WD</v>
      </c>
      <c r="GM68" s="582" t="str">
        <v>🚲 Race: duration_primary minutes + WU/WD</v>
      </c>
      <c r="GN68" s="582" t="str">
        <v>🚲 Race: duration_primary minutes + WU/WD</v>
      </c>
      <c r="GO68" s="582" t="str">
        <v>🚲 Race: duration_primary minutes + WU/WD</v>
      </c>
      <c r="GP68" s="582" t="str">
        <v/>
      </c>
      <c r="GQ68" s="582" t="str">
        <v/>
      </c>
      <c r="GR68" s="582" t="str">
        <v/>
      </c>
      <c r="GS68" s="582" t="str">
        <v/>
      </c>
      <c r="GT68" s="582" t="str">
        <v/>
      </c>
      <c r="GU68" s="582" t="str">
        <v>🏊 Rest from continuous exercise</v>
      </c>
      <c r="GV68" s="582" t="str">
        <v>🏊 Easy swim: duration_primary minutes</v>
      </c>
      <c r="GW68" s="582" t="str">
        <v>🏊 Easy swim: duration_primary minutes</v>
      </c>
      <c r="GX68" s="582" t="str">
        <v>🏊 Steady swim: duration_primary minutes</v>
      </c>
      <c r="GY68" s="582" t="str">
        <v>🏊 Long open water swim: duration_primary minutes</v>
      </c>
      <c r="GZ68" s="582" t="str">
        <v/>
      </c>
      <c r="HA68" s="582" t="str">
        <v/>
      </c>
      <c r="HB68" s="582" t="str">
        <v>🏊 Easy swim: duration_primary minutes</v>
      </c>
      <c r="HC68" s="582" t="str">
        <v>🏊 Easy swim: duration_primary minutes</v>
      </c>
      <c r="HD68" s="582" t="str">
        <v>🏊 Easy swim: duration_primary minutes</v>
      </c>
      <c r="HE68" s="582" t="str">
        <v>🏊 Easy swim: duration_primary minutes</v>
      </c>
      <c r="HF68" s="582" t="str">
        <v>🏊 Easy swim: duration_primary minutes</v>
      </c>
      <c r="HG68" s="582" t="str">
        <v>🏊 Easy swim: duration_primary minutes</v>
      </c>
      <c r="HH68" s="582" t="str">
        <v>🏊 Easy swim: duration_primary minutes</v>
      </c>
      <c r="HI68" s="582" t="str">
        <v>🏊 Easy swim: duration_primary minutes</v>
      </c>
      <c r="HJ68" s="582" t="str">
        <v>🏊 Steady open water swim: duration_primary minutes</v>
      </c>
      <c r="HK68" s="582" t="str">
        <v>🏊 Steady open water swim: duration_primary minutes</v>
      </c>
      <c r="HL68" s="582" t="str">
        <v>🏊 Long open water swim: duration_primary minutes</v>
      </c>
      <c r="HM68" s="582" t="str">
        <v>🏊 Long open water swim: duration_primary minutes</v>
      </c>
      <c r="HN68" s="582" t="str">
        <v>🏊 Long open water swim: duration_primary minutes</v>
      </c>
      <c r="HO68" s="582" t="str">
        <v>🛶 Rest from continuous exercise</v>
      </c>
      <c r="HP68" s="582" t="str">
        <v>🛶 Easy paddle: duration_primary minutes</v>
      </c>
      <c r="HQ68" s="582" t="str">
        <v>🛶 Easy paddle: duration_primary minutes</v>
      </c>
      <c r="HR68" s="582" t="str">
        <v>🛶 Steady paddle: duration_primary minutes</v>
      </c>
      <c r="HS68" s="582" t="str">
        <v>🛶 Long paddle: duration_primary minutes</v>
      </c>
      <c r="HT68" s="582" t="str">
        <v/>
      </c>
      <c r="HU68" s="582" t="str">
        <v/>
      </c>
      <c r="HV68" s="582" t="str">
        <v>🛶 Easy paddle: duration_primary minutes</v>
      </c>
      <c r="HW68" s="582" t="str">
        <v>🛶 Easy paddle: duration_primary minutes</v>
      </c>
      <c r="HX68" s="582" t="str">
        <v>🛶 Easy paddle: duration_primary minutes</v>
      </c>
      <c r="HY68" s="582" t="str">
        <v>🛶 Easy paddle: duration_primary minutes</v>
      </c>
      <c r="HZ68" s="582" t="str">
        <v>🛶 Easy paddle: duration_primary minutes</v>
      </c>
      <c r="IA68" s="582" t="str">
        <v>🛶 Easy paddle: duration_primary minutes</v>
      </c>
      <c r="IB68" s="582" t="str">
        <v>🛶 Easy paddle: duration_primary minutes</v>
      </c>
      <c r="IC68" s="582" t="str">
        <v>🛶 Easy paddle: duration_primary minutes</v>
      </c>
      <c r="ID68" s="582" t="str">
        <v>🛶 Steady paddle: duration_primary minutes</v>
      </c>
      <c r="IE68" s="582" t="str">
        <v>🛶 Steady paddle: duration_primary minutes</v>
      </c>
      <c r="IF68" s="582" t="str">
        <v>🛶 Long paddle: duration_primary minutes</v>
      </c>
      <c r="IG68" s="582" t="str">
        <v>🛶 Long paddle: duration_primary minutes</v>
      </c>
      <c r="IH68" s="582" t="str">
        <v>🛶 Long paddle: duration_primary minutes</v>
      </c>
      <c r="II68" s="582" t="str">
        <v>🏑 Alternative sport: duration_primary minutes</v>
      </c>
      <c r="IJ68" s="582" t="str">
        <v/>
      </c>
      <c r="IK68" s="582" t="str">
        <v/>
      </c>
      <c r="IL68" s="582" t="str">
        <v/>
      </c>
      <c r="IM68" s="582" t="str">
        <v/>
      </c>
      <c r="IN68" s="582" t="str">
        <v/>
      </c>
      <c r="IO68" s="582" t="str">
        <v/>
      </c>
      <c r="IP68" s="582" t="str">
        <v/>
      </c>
      <c r="IQ68" s="582" t="str">
        <v/>
      </c>
      <c r="IR68" s="582" t="str">
        <v/>
      </c>
      <c r="IS68" s="582" t="str">
        <v>Rest from continuous exercise</v>
      </c>
      <c r="IT68" s="582" t="str">
        <v>🏃 Long run: duration_primary minutes</v>
      </c>
      <c r="IU68" s="582" t="str">
        <v>🏃 Long run: duration_primary minutes</v>
      </c>
      <c r="IV68" s="582" t="str">
        <v>🏃 Long run: duration_primary minutes</v>
      </c>
      <c r="IW68" s="582" t="str">
        <v>🏃 Long run: duration_primary minutes</v>
      </c>
      <c r="IX68" s="582" t="str">
        <v>🏃 Long run: duration_primary minutes</v>
      </c>
      <c r="IY68" s="582" t="str">
        <v>🏃 Long run: duration_primary minutes</v>
      </c>
      <c r="IZ68" s="582" t="str">
        <v>🏃 Easy run: duration_primary minutes</v>
      </c>
      <c r="JA68" s="582" t="str">
        <v/>
      </c>
      <c r="JB68" s="582" t="str">
        <v/>
      </c>
      <c r="JC68" s="582" t="str">
        <v/>
      </c>
      <c r="JD68" s="582" t="str">
        <v/>
      </c>
      <c r="JE68" s="582" t="str">
        <v/>
      </c>
      <c r="JF68" s="582" t="str">
        <v/>
      </c>
      <c r="JG68" s="582" t="str">
        <v/>
      </c>
      <c r="JH68" s="582" t="str">
        <v/>
      </c>
      <c r="JI68" s="582" t="str">
        <v/>
      </c>
      <c r="JJ68" s="582" t="str">
        <v/>
      </c>
      <c r="JK68" s="582" t="str">
        <v/>
      </c>
      <c r="JL68" s="582" t="str">
        <v/>
      </c>
      <c r="JM68" s="582" t="str">
        <v/>
      </c>
      <c r="JN68" s="582" t="str">
        <v/>
      </c>
      <c r="JO68" s="582" t="str">
        <v/>
      </c>
      <c r="JP68" s="582" t="str">
        <v/>
      </c>
      <c r="JQ68" s="582" t="str">
        <v/>
      </c>
      <c r="JR68" s="582" t="str">
        <v/>
      </c>
      <c r="JS68" s="582" t="str">
        <v/>
      </c>
      <c r="JT68" s="582" t="str">
        <v/>
      </c>
      <c r="JU68" s="582" t="str">
        <v/>
      </c>
      <c r="JV68" s="582" t="str">
        <v/>
      </c>
      <c r="JW68" s="582" t="str">
        <v>🛶 Race: duration_primary minutes + WU/WD</v>
      </c>
      <c r="JX68" s="582" t="str">
        <v>🛶 Race: duration_primary minutes + WU/WD</v>
      </c>
      <c r="JY68" s="582" t="str">
        <v>🛶 Race: duration_primary minutes + WU/WD</v>
      </c>
      <c r="JZ68" s="582" t="str">
        <v>🛶 Race: duration_primary minutes + WU/WD</v>
      </c>
      <c r="KA68" s="582" t="str">
        <v>🛶 Race: duration_primary minutes + WU/WD</v>
      </c>
      <c r="KB68" s="582" t="str">
        <v>🛶 Race: duration_primary minutes + WU/WD</v>
      </c>
      <c r="KC68" s="582" t="str">
        <v>🛶 Race: duration_primary minutes + WU/WD</v>
      </c>
      <c r="KD68" s="582" t="str">
        <v>🛶 Race: duration_primary minutes + WU/WD</v>
      </c>
      <c r="KE68" s="582" t="str">
        <v>🛶 Race: duration_primary minutes + WU/WD</v>
      </c>
      <c r="KF68" s="582" t="str">
        <v>🛶 Race: duration_primary minutes + WU/WD</v>
      </c>
      <c r="KG68" s="582" t="str">
        <v>🛶 Race: duration_primary minutes + WU/WD</v>
      </c>
      <c r="KH68" s="582" t="str">
        <v>🛶 Race: duration_primary minutes + WU/WD</v>
      </c>
      <c r="KI68" s="582" t="str">
        <v>🛶 Race: duration_primary minutes + WU/WD</v>
      </c>
      <c r="KJ68" s="582" t="str">
        <v>🛶 Race: duration_primary minutes + WU/WD</v>
      </c>
      <c r="KK68" s="582" t="str">
        <v>🛶 Race: duration_primary minutes + WU/WD</v>
      </c>
      <c r="KL68" s="582" t="str">
        <v/>
      </c>
      <c r="KM68" s="582" t="str">
        <v/>
      </c>
      <c r="KN68" s="582" t="str">
        <v/>
      </c>
      <c r="KO68" s="582" t="str">
        <v/>
      </c>
      <c r="KP68" s="916" t="str">
        <v/>
      </c>
      <c r="KQ68" s="701" t="s">
        <v>388</v>
      </c>
    </row>
    <row r="69" spans="1:303" s="76" customFormat="1" ht="42.75" hidden="1" x14ac:dyDescent="0.45">
      <c r="A69" s="1768" t="s">
        <v>701</v>
      </c>
      <c r="B69" s="1769"/>
      <c r="C69" s="584" t="str">
        <f t="array" ref="C69:KP69">IF(sessions_name="","",
CONCATENATE(sessions_sport,": ",
"DD1 ", sessions_element_primary, " + ",
"DD2 ", sessions_element_secondary, " + ",
"DD3 ", sessions_element_tertiary, " + "
))</f>
        <v xml:space="preserve">Run: DD1 Rest + DD2  + DD3  + </v>
      </c>
      <c r="D69" s="585" t="str">
        <v xml:space="preserve">Run: DD1 Easy (Filler1) + DD2  + DD3  + </v>
      </c>
      <c r="E69" s="585" t="str">
        <v xml:space="preserve">Run: DD1 Easy + DD2  + DD3  + </v>
      </c>
      <c r="F69" s="585" t="str">
        <v xml:space="preserve">Hilly Trail Run: DD1 Steady + DD2  + DD3  + </v>
      </c>
      <c r="G69" s="585" t="str">
        <v xml:space="preserve">Hilly Trail Run: DD1 Long + DD2  + DD3  + </v>
      </c>
      <c r="H69" s="585" t="str">
        <v xml:space="preserve">Road Run: DD1 Easy + DD2  + DD3  + </v>
      </c>
      <c r="I69" s="585" t="str">
        <v xml:space="preserve">Road Run: DD1 Easy + DD2  + DD3  + </v>
      </c>
      <c r="J69" s="585" t="str">
        <v xml:space="preserve">Run: DD1 Easy (Filler2) + DD2  + DD3  + </v>
      </c>
      <c r="K69" s="585" t="str">
        <v xml:space="preserve">Road Run: DD1 Easy + DD2 Strides + DD3  + </v>
      </c>
      <c r="L69" s="585" t="str">
        <v xml:space="preserve">Road Run: DD1 Easy + DD2 Strides + DD3  + </v>
      </c>
      <c r="M69" s="585" t="str">
        <v xml:space="preserve">Road Run: DD1 Easy + DD2 Strides + DD3  + </v>
      </c>
      <c r="N69" s="585" t="str">
        <v xml:space="preserve">Road Run: DD1 Easy + DD2  + DD3  + </v>
      </c>
      <c r="O69" s="585" t="str">
        <v xml:space="preserve">Road Run: DD1 Easy + DD2  + DD3  + </v>
      </c>
      <c r="P69" s="585" t="str">
        <v xml:space="preserve">Road Run: DD1 Easy + DD2  + DD3  + </v>
      </c>
      <c r="Q69" s="585" t="str">
        <v xml:space="preserve">Road Run: DD1 Easy + DD2  + DD3  + </v>
      </c>
      <c r="R69" s="585" t="str">
        <v xml:space="preserve">Hilly Trail Run: DD1 Steady + DD2  + DD3  + </v>
      </c>
      <c r="S69" s="585" t="str">
        <v xml:space="preserve">Hilly Trail Run: DD1 Steady + DD2  + DD3  + </v>
      </c>
      <c r="T69" s="585" t="str">
        <v xml:space="preserve">Hilly Trail Run: DD1 Long + DD2  + DD3  + </v>
      </c>
      <c r="U69" s="585" t="str">
        <v xml:space="preserve">Hilly Trail Run: DD1 Long + DD2  + DD3  + </v>
      </c>
      <c r="V69" s="585" t="str">
        <v xml:space="preserve">Hilly Trail Run: DD1 Long + DD2  + DD3  + </v>
      </c>
      <c r="W69" s="585" t="str">
        <v xml:space="preserve">Hilly Trail Run: DD1 Subthreshold + DD2  + DD3  + </v>
      </c>
      <c r="X69" s="585" t="str">
        <v xml:space="preserve">Road Run: DD1 Tempo + DD2  + DD3  + </v>
      </c>
      <c r="Y69" s="585" t="str">
        <v xml:space="preserve">Road Run: DD1 Tempo + DD2  + DD3  + </v>
      </c>
      <c r="Z69" s="585" t="str">
        <v xml:space="preserve">Hilly Trail Run: DD1 Uphill Tempo + DD2  + DD3  + </v>
      </c>
      <c r="AA69" s="585" t="str">
        <v xml:space="preserve">Hilly Trail Run: DD1 Uphill Tempo + DD2  + DD3  + </v>
      </c>
      <c r="AB69" s="585" t="str">
        <v xml:space="preserve">Hilly Trail Run: DD1 Subthreshold + DD2 Easy (Filler2) + DD3  + </v>
      </c>
      <c r="AC69" s="585" t="str">
        <v xml:space="preserve">Hilly Trail Run: DD1 Tempo + DD2 Easy (Filler2) + DD3  + </v>
      </c>
      <c r="AD69" s="585" t="str">
        <v xml:space="preserve">Hilly Trail Run: DD1 Tempo + DD2 Easy (Filler2) + DD3  + </v>
      </c>
      <c r="AE69" s="585" t="str">
        <v xml:space="preserve">Hilly Trail Run: DD1 Uphill Tempo + DD2 Easy (Filler2) + DD3  + </v>
      </c>
      <c r="AF69" s="585" t="str">
        <v xml:space="preserve">Hilly Trail Run: DD1 Uphill Tempo + DD2 Easy (Filler2) + DD3  + </v>
      </c>
      <c r="AG69" s="585" t="str">
        <v xml:space="preserve">Hilly Trail Run: DD1 Fartlek + DD2  + DD3  + </v>
      </c>
      <c r="AH69" s="585" t="str">
        <v xml:space="preserve">Hilly Trail Run: DD1 Fartlek + DD2  + DD3  + </v>
      </c>
      <c r="AI69" s="585" t="str">
        <v xml:space="preserve">Hilly Trail Run: DD1 Fartlek + DD2  + DD3  + </v>
      </c>
      <c r="AJ69" s="585" t="str">
        <v xml:space="preserve">Hilly Trail Run: DD1 Fartlek + DD2  + DD3  + </v>
      </c>
      <c r="AK69" s="585" t="str">
        <v/>
      </c>
      <c r="AL69" s="585" t="str">
        <v/>
      </c>
      <c r="AM69" s="585" t="str">
        <v/>
      </c>
      <c r="AN69" s="585" t="str">
        <v/>
      </c>
      <c r="AO69" s="585" t="str">
        <v/>
      </c>
      <c r="AP69" s="585" t="str">
        <v/>
      </c>
      <c r="AQ69" s="585" t="str">
        <v xml:space="preserve">Road Run: DD1 Intervals + DD2  + DD3  + </v>
      </c>
      <c r="AR69" s="585" t="str">
        <v xml:space="preserve">Road Run: DD1 Intervals + DD2  + DD3  + </v>
      </c>
      <c r="AS69" s="585" t="str">
        <v xml:space="preserve">Road Run: DD1 Intervals + DD2  + DD3  + </v>
      </c>
      <c r="AT69" s="585" t="str">
        <v xml:space="preserve">Road Run: DD1 Intervals + DD2  + DD3  + </v>
      </c>
      <c r="AU69" s="585" t="str">
        <v xml:space="preserve">Road Run: DD1 Intervals + DD2  + DD3  + </v>
      </c>
      <c r="AV69" s="585" t="str">
        <v xml:space="preserve">Road Run: DD1 Intervals + DD2  + DD3  + </v>
      </c>
      <c r="AW69" s="585" t="str">
        <v xml:space="preserve">Road Run: DD1 Intervals + DD2  + DD3  + </v>
      </c>
      <c r="AX69" s="585" t="str">
        <v xml:space="preserve">Road Run: DD1 Intervals + DD2  + DD3  + </v>
      </c>
      <c r="AY69" s="585" t="str">
        <v xml:space="preserve">Road Run: DD1 Intervals + DD2  + DD3  + </v>
      </c>
      <c r="AZ69" s="585" t="str">
        <v xml:space="preserve">Road Run: DD1 Intervals + DD2  + DD3  + </v>
      </c>
      <c r="BA69" s="585" t="str">
        <v xml:space="preserve">Road Run: DD1 Intervals + DD2  + DD3  + </v>
      </c>
      <c r="BB69" s="585" t="str">
        <v xml:space="preserve">Road Run: DD1 Intervals + DD2  + DD3  + </v>
      </c>
      <c r="BC69" s="585" t="str">
        <v/>
      </c>
      <c r="BD69" s="585" t="str">
        <v/>
      </c>
      <c r="BE69" s="585" t="str">
        <v/>
      </c>
      <c r="BF69" s="585" t="str">
        <v/>
      </c>
      <c r="BG69" s="585" t="str">
        <v/>
      </c>
      <c r="BH69" s="585" t="str">
        <v/>
      </c>
      <c r="BI69" s="585" t="str">
        <v/>
      </c>
      <c r="BJ69" s="585" t="str">
        <v/>
      </c>
      <c r="BK69" s="585" t="str">
        <v xml:space="preserve">Road Run: DD1 Reps + DD2 Easy (Filler2) + DD3  + </v>
      </c>
      <c r="BL69" s="585" t="str">
        <v xml:space="preserve">Road Run: DD1 Reps + DD2 Easy (Filler2) + DD3  + </v>
      </c>
      <c r="BM69" s="585" t="str">
        <v xml:space="preserve">Road Run: DD1 Reps + DD2 Easy (Filler2) + DD3  + </v>
      </c>
      <c r="BN69" s="585" t="str">
        <v xml:space="preserve">Road Run: DD1 Reps + DD2 Easy (Filler2) + DD3  + </v>
      </c>
      <c r="BO69" s="585" t="str">
        <v xml:space="preserve">Road Run: DD1 Reps + DD2 Easy (Filler2) + DD3  + </v>
      </c>
      <c r="BP69" s="585" t="str">
        <v xml:space="preserve">Road Run: DD1 Reps + DD2 Easy (Filler2) + DD3  + </v>
      </c>
      <c r="BQ69" s="585" t="str">
        <v xml:space="preserve">Road Run: DD1 Reps + DD2 Easy (Filler2) + DD3  + </v>
      </c>
      <c r="BR69" s="585" t="str">
        <v xml:space="preserve">Road Run: DD1 Reps + DD2 Easy (Filler2) + DD3  + </v>
      </c>
      <c r="BS69" s="585" t="str">
        <v xml:space="preserve">Road Run: DD1 Reps + DD2 Easy (Filler2) + DD3  + </v>
      </c>
      <c r="BT69" s="585" t="str">
        <v/>
      </c>
      <c r="BU69" s="585" t="str">
        <v xml:space="preserve">Run: DD1 Drills + DD2  + DD3  + </v>
      </c>
      <c r="BV69" s="585" t="str">
        <v xml:space="preserve">Run: DD1 Drills + DD2 Strides + DD3  + </v>
      </c>
      <c r="BW69" s="585" t="str">
        <v xml:space="preserve">Run: DD1 Drills + DD2 Reps + DD3  + </v>
      </c>
      <c r="BX69" s="585" t="str">
        <v xml:space="preserve">Run: DD1 Drills + DD2 Easy (Filler2) + DD3  + </v>
      </c>
      <c r="BY69" s="585" t="str">
        <v xml:space="preserve">Run: DD1 Drills + DD2 Reps + DD3 Easy (Filler2) + </v>
      </c>
      <c r="BZ69" s="585" t="str">
        <v xml:space="preserve">Indoor: DD1 Maintenance + DD2  + DD3  + </v>
      </c>
      <c r="CA69" s="585" t="str">
        <v xml:space="preserve">Indoor: DD1 Strength &amp; Conditioning + DD2 Maintenance + DD3  + </v>
      </c>
      <c r="CB69" s="585" t="str">
        <v xml:space="preserve">Road Run: DD1 Easy + DD2 Strength &amp; Conditioning + DD3 Maintenance + </v>
      </c>
      <c r="CC69" s="585" t="str">
        <v xml:space="preserve">Indoor: DD1 Strength &amp; Conditioning + DD2  + DD3  + </v>
      </c>
      <c r="CD69" s="585" t="str">
        <v xml:space="preserve">Run: DD1 Easy (Filler1) + DD2 Strength &amp; Conditioning + DD3  + </v>
      </c>
      <c r="CE69" s="585" t="str">
        <v xml:space="preserve">Hilly Trail Run: DD1 Race + DD2  + DD3  + </v>
      </c>
      <c r="CF69" s="585" t="str">
        <v xml:space="preserve">Hilly Trail Run: DD1 Race + DD2  + DD3  + </v>
      </c>
      <c r="CG69" s="585" t="str">
        <v xml:space="preserve">Hilly Trail Run: DD1 Race + DD2  + DD3  + </v>
      </c>
      <c r="CH69" s="585" t="str">
        <v xml:space="preserve">Hilly Trail Run: DD1 Race + DD2  + DD3  + </v>
      </c>
      <c r="CI69" s="585" t="str">
        <v xml:space="preserve">Hilly Trail Run: DD1 Race + DD2  + DD3  + </v>
      </c>
      <c r="CJ69" s="585" t="str">
        <v xml:space="preserve">Hilly Trail Run: DD1 Race + DD2  + DD3  + </v>
      </c>
      <c r="CK69" s="585" t="str">
        <v xml:space="preserve">Hilly Trail Run: DD1 Race + DD2  + DD3  + </v>
      </c>
      <c r="CL69" s="585" t="str">
        <v xml:space="preserve">Hilly Trail Run: DD1 Race + DD2  + DD3  + </v>
      </c>
      <c r="CM69" s="585" t="str">
        <v xml:space="preserve">Hilly Trail Run: DD1 Race + DD2  + DD3  + </v>
      </c>
      <c r="CN69" s="585" t="str">
        <v xml:space="preserve">Hilly Trail Run: DD1 Race + DD2  + DD3  + </v>
      </c>
      <c r="CO69" s="585" t="str">
        <v xml:space="preserve">Hilly Trail Run: DD1 Race + DD2  + DD3  + </v>
      </c>
      <c r="CP69" s="585" t="str">
        <v xml:space="preserve">Hilly Trail Run: DD1 Race + DD2  + DD3  + </v>
      </c>
      <c r="CQ69" s="585" t="str">
        <v xml:space="preserve">Hilly Trail Run: DD1 Race + DD2  + DD3  + </v>
      </c>
      <c r="CR69" s="585" t="str">
        <v xml:space="preserve">Hilly Trail Run: DD1 Race + DD2  + DD3  + </v>
      </c>
      <c r="CS69" s="585" t="str">
        <v xml:space="preserve">Hilly Trail Run: DD1 Race + DD2  + DD3  + </v>
      </c>
      <c r="CT69" s="585" t="str">
        <v xml:space="preserve">Hilly Trail Run: DD1 Race + DD2  + DD3  + </v>
      </c>
      <c r="CU69" s="585" t="str">
        <v xml:space="preserve">Hilly Trail Run: DD1 Race + DD2  + DD3  + </v>
      </c>
      <c r="CV69" s="585" t="str">
        <v xml:space="preserve">Hilly Trail Run: DD1 Race + DD2  + DD3  + </v>
      </c>
      <c r="CW69" s="585" t="str">
        <v xml:space="preserve">Hilly Trail Run: DD1 Race + DD2  + DD3  + </v>
      </c>
      <c r="CX69" s="585" t="str">
        <v xml:space="preserve">Hilly Trail Run: DD1 Race + DD2  + DD3  + </v>
      </c>
      <c r="CY69" s="584" t="str">
        <v xml:space="preserve">Road Ride: DD1 Rest + DD2  + DD3  + </v>
      </c>
      <c r="CZ69" s="585" t="str">
        <v xml:space="preserve">Road Ride: DD1 Easy (Filler1) + DD2  + DD3  + </v>
      </c>
      <c r="DA69" s="585" t="str">
        <v xml:space="preserve">Road Ride: DD1 Easy + DD2  + DD3  + </v>
      </c>
      <c r="DB69" s="585" t="str">
        <v xml:space="preserve">Ride: DD1 Steady Cycle + DD2  + DD3  + </v>
      </c>
      <c r="DC69" s="585" t="str">
        <v xml:space="preserve">Ride: DD1 Long Cycle + DD2  + DD3  + </v>
      </c>
      <c r="DD69" s="585" t="str">
        <v xml:space="preserve">Road Ride: DD1 Easy + DD2  + DD3  + </v>
      </c>
      <c r="DE69" s="585" t="str">
        <v xml:space="preserve">Road Ride: DD1 Easy + DD2  + DD3  + </v>
      </c>
      <c r="DF69" s="585" t="str">
        <v xml:space="preserve">Ride: DD1 Easy (Filler2) + DD2  + DD3  + </v>
      </c>
      <c r="DG69" s="585" t="str">
        <v xml:space="preserve">Ride: DD1 Easy + DD2  + DD3  + </v>
      </c>
      <c r="DH69" s="585" t="str">
        <v xml:space="preserve">Ride: DD1 Easy + DD2  + DD3  + </v>
      </c>
      <c r="DI69" s="585" t="str">
        <v xml:space="preserve">Ride: DD1 Easy + DD2  + DD3  + </v>
      </c>
      <c r="DJ69" s="585" t="str">
        <v xml:space="preserve">Ride: DD1 Easy + DD2  + DD3  + </v>
      </c>
      <c r="DK69" s="585" t="str">
        <v xml:space="preserve">Ride: DD1 Easy + DD2  + DD3  + </v>
      </c>
      <c r="DL69" s="585" t="str">
        <v xml:space="preserve">Ride: DD1 Easy + DD2  + DD3  + </v>
      </c>
      <c r="DM69" s="585" t="str">
        <v xml:space="preserve">Ride: DD1 Easy + DD2  + DD3  + </v>
      </c>
      <c r="DN69" s="585" t="str">
        <v xml:space="preserve">Ride: DD1 Steady + DD2  + DD3  + </v>
      </c>
      <c r="DO69" s="585" t="str">
        <v xml:space="preserve">Ride: DD1 Steady + DD2  + DD3  + </v>
      </c>
      <c r="DP69" s="585" t="str">
        <v xml:space="preserve">Ride: DD1 Long + DD2  + DD3  + </v>
      </c>
      <c r="DQ69" s="585" t="str">
        <v xml:space="preserve">Ride: DD1 Long + DD2  + DD3  + </v>
      </c>
      <c r="DR69" s="585" t="str">
        <v xml:space="preserve">Ride: DD1 Long + DD2  + DD3  + </v>
      </c>
      <c r="DS69" s="585" t="str">
        <v xml:space="preserve">Ride: DD1 Subthreshold + DD2  + DD3  + </v>
      </c>
      <c r="DT69" s="585" t="str">
        <v xml:space="preserve">Road Ride: DD1 Tempo + DD2  + DD3  + </v>
      </c>
      <c r="DU69" s="585" t="str">
        <v xml:space="preserve">Road Ride: DD1 Tempo + DD2  + DD3  + </v>
      </c>
      <c r="DV69" s="585" t="str">
        <v xml:space="preserve">Ride: DD1 Uphill Tempo + DD2  + DD3  + </v>
      </c>
      <c r="DW69" s="585" t="str">
        <v xml:space="preserve">Ride: DD1 Uphill Tempo + DD2  + DD3  + </v>
      </c>
      <c r="DX69" s="585" t="str">
        <v xml:space="preserve">Ride: DD1 Subthreshold + DD2 Easy (Filler2) + DD3  + </v>
      </c>
      <c r="DY69" s="585" t="str">
        <v xml:space="preserve">Road Ride: DD1 Tempo + DD2 Easy (Filler2) + DD3  + </v>
      </c>
      <c r="DZ69" s="585" t="str">
        <v xml:space="preserve">Road Ride: DD1 Tempo + DD2 Easy (Filler2) + DD3  + </v>
      </c>
      <c r="EA69" s="585" t="str">
        <v xml:space="preserve">Ride: DD1 Uphill Tempo + DD2 Easy (Filler2) + DD3  + </v>
      </c>
      <c r="EB69" s="585" t="str">
        <v xml:space="preserve">Ride: DD1 Uphill Tempo + DD2 Easy (Filler2) + DD3  + </v>
      </c>
      <c r="EC69" s="585" t="str">
        <v xml:space="preserve">Ride: DD1 Fartlek + DD2  + DD3  + </v>
      </c>
      <c r="ED69" s="585" t="str">
        <v xml:space="preserve">Ride: DD1 Fartlek + DD2  + DD3  + </v>
      </c>
      <c r="EE69" s="585" t="str">
        <v xml:space="preserve">Ride: DD1 Fartlek + DD2  + DD3  + </v>
      </c>
      <c r="EF69" s="585" t="str">
        <v xml:space="preserve">Ride: DD1 Fartlek + DD2  + DD3  + </v>
      </c>
      <c r="EG69" s="585" t="str">
        <v/>
      </c>
      <c r="EH69" s="585" t="str">
        <v/>
      </c>
      <c r="EI69" s="585" t="str">
        <v/>
      </c>
      <c r="EJ69" s="585" t="str">
        <v/>
      </c>
      <c r="EK69" s="585" t="str">
        <v/>
      </c>
      <c r="EL69" s="585" t="str">
        <v/>
      </c>
      <c r="EM69" s="585" t="str">
        <v/>
      </c>
      <c r="EN69" s="585" t="str">
        <v/>
      </c>
      <c r="EO69" s="585" t="str">
        <v/>
      </c>
      <c r="EP69" s="585" t="str">
        <v/>
      </c>
      <c r="EQ69" s="585" t="str">
        <v/>
      </c>
      <c r="ER69" s="585" t="str">
        <v/>
      </c>
      <c r="ES69" s="585" t="str">
        <v/>
      </c>
      <c r="ET69" s="585" t="str">
        <v/>
      </c>
      <c r="EU69" s="585" t="str">
        <v/>
      </c>
      <c r="EV69" s="585" t="str">
        <v/>
      </c>
      <c r="EW69" s="585" t="str">
        <v/>
      </c>
      <c r="EX69" s="585" t="str">
        <v/>
      </c>
      <c r="EY69" s="585" t="str">
        <v/>
      </c>
      <c r="EZ69" s="585" t="str">
        <v/>
      </c>
      <c r="FA69" s="585" t="str">
        <v/>
      </c>
      <c r="FB69" s="585" t="str">
        <v/>
      </c>
      <c r="FC69" s="585" t="str">
        <v/>
      </c>
      <c r="FD69" s="585" t="str">
        <v/>
      </c>
      <c r="FE69" s="585" t="str">
        <v/>
      </c>
      <c r="FF69" s="585" t="str">
        <v/>
      </c>
      <c r="FG69" s="585" t="str">
        <v xml:space="preserve">Ride: DD1 Reps + DD2  + DD3  + </v>
      </c>
      <c r="FH69" s="585" t="str">
        <v xml:space="preserve">Ride: DD1 Reps + DD2  + DD3  + </v>
      </c>
      <c r="FI69" s="585" t="str">
        <v xml:space="preserve">Ride: DD1 Reps + DD2  + DD3  + </v>
      </c>
      <c r="FJ69" s="585" t="str">
        <v xml:space="preserve">Ride: DD1 Reps + DD2  + DD3  + </v>
      </c>
      <c r="FK69" s="585" t="str">
        <v xml:space="preserve">Ride: DD1 Reps + DD2  + DD3  + </v>
      </c>
      <c r="FL69" s="585" t="str">
        <v xml:space="preserve">Ride: DD1 Reps + DD2  + DD3  + </v>
      </c>
      <c r="FM69" s="585" t="str">
        <v xml:space="preserve">Ride: DD1 Reps + DD2  + DD3  + </v>
      </c>
      <c r="FN69" s="585" t="str">
        <v xml:space="preserve">Ride: DD1 Reps + DD2 Steady + DD3  + </v>
      </c>
      <c r="FO69" s="585" t="str">
        <v xml:space="preserve">Ride: DD1 Reps + DD2  + DD3  + </v>
      </c>
      <c r="FP69" s="585" t="str">
        <v xml:space="preserve">Ride: DD1 Reps + DD2  + DD3  + </v>
      </c>
      <c r="FQ69" s="585" t="str">
        <v/>
      </c>
      <c r="FR69" s="585" t="str">
        <v/>
      </c>
      <c r="FS69" s="585" t="str">
        <v/>
      </c>
      <c r="FT69" s="585" t="str">
        <v/>
      </c>
      <c r="FU69" s="585" t="str">
        <v/>
      </c>
      <c r="FV69" s="585" t="str">
        <v/>
      </c>
      <c r="FW69" s="585" t="str">
        <v/>
      </c>
      <c r="FX69" s="585" t="str">
        <v/>
      </c>
      <c r="FY69" s="585" t="str">
        <v/>
      </c>
      <c r="FZ69" s="585" t="str">
        <v/>
      </c>
      <c r="GA69" s="585" t="str">
        <v xml:space="preserve">Ride: DD1 Race + DD2  + DD3  + </v>
      </c>
      <c r="GB69" s="585" t="str">
        <v xml:space="preserve">Ride: DD1 Race + DD2  + DD3  + </v>
      </c>
      <c r="GC69" s="585" t="str">
        <v xml:space="preserve">Ride: DD1 Race + DD2  + DD3  + </v>
      </c>
      <c r="GD69" s="585" t="str">
        <v xml:space="preserve">Ride: DD1 Race + DD2  + DD3  + </v>
      </c>
      <c r="GE69" s="585" t="str">
        <v xml:space="preserve">Ride: DD1 Race + DD2  + DD3  + </v>
      </c>
      <c r="GF69" s="585" t="str">
        <v xml:space="preserve">Ride: DD1 Race + DD2  + DD3  + </v>
      </c>
      <c r="GG69" s="585" t="str">
        <v xml:space="preserve">Ride: DD1 Race + DD2  + DD3  + </v>
      </c>
      <c r="GH69" s="585" t="str">
        <v xml:space="preserve">Ride: DD1 Race + DD2  + DD3  + </v>
      </c>
      <c r="GI69" s="585" t="str">
        <v xml:space="preserve">Ride: DD1 Race + DD2  + DD3  + </v>
      </c>
      <c r="GJ69" s="585" t="str">
        <v xml:space="preserve">Ride: DD1 Race + DD2  + DD3  + </v>
      </c>
      <c r="GK69" s="585" t="str">
        <v xml:space="preserve">Ride: DD1 Race + DD2  + DD3  + </v>
      </c>
      <c r="GL69" s="585" t="str">
        <v xml:space="preserve">Ride: DD1 Race + DD2  + DD3  + </v>
      </c>
      <c r="GM69" s="585" t="str">
        <v xml:space="preserve">Ride: DD1 Race + DD2  + DD3  + </v>
      </c>
      <c r="GN69" s="585" t="str">
        <v xml:space="preserve">Ride: DD1 Race + DD2  + DD3  + </v>
      </c>
      <c r="GO69" s="585" t="str">
        <v xml:space="preserve">Ride: DD1 Race + DD2  + DD3  + </v>
      </c>
      <c r="GP69" s="585" t="str">
        <v/>
      </c>
      <c r="GQ69" s="585" t="str">
        <v/>
      </c>
      <c r="GR69" s="585" t="str">
        <v/>
      </c>
      <c r="GS69" s="585" t="str">
        <v/>
      </c>
      <c r="GT69" s="585" t="str">
        <v/>
      </c>
      <c r="GU69" s="585" t="str">
        <v xml:space="preserve">Swim: DD1 Rest + DD2  + DD3  + </v>
      </c>
      <c r="GV69" s="585" t="str">
        <v xml:space="preserve">Swim: DD1 Easy (Filler1) + DD2  + DD3  + </v>
      </c>
      <c r="GW69" s="585" t="str">
        <v xml:space="preserve">Swim: DD1 Easy + DD2  + DD3  + </v>
      </c>
      <c r="GX69" s="585" t="str">
        <v xml:space="preserve">Swim: DD1 Steady + DD2  + DD3  + </v>
      </c>
      <c r="GY69" s="585" t="str">
        <v xml:space="preserve">Open Water Swim: DD1 Long + DD2  + DD3  + </v>
      </c>
      <c r="GZ69" s="585" t="str">
        <v/>
      </c>
      <c r="HA69" s="585" t="str">
        <v/>
      </c>
      <c r="HB69" s="585" t="str">
        <v xml:space="preserve">Swim: DD1 Easy (Filler2) + DD2  + DD3  + </v>
      </c>
      <c r="HC69" s="585" t="str">
        <v xml:space="preserve">Swim: DD1 Easy + DD2  + DD3  + </v>
      </c>
      <c r="HD69" s="585" t="str">
        <v xml:space="preserve">Swim: DD1 Easy + DD2  + DD3  + </v>
      </c>
      <c r="HE69" s="585" t="str">
        <v xml:space="preserve">Swim: DD1 Easy + DD2  + DD3  + </v>
      </c>
      <c r="HF69" s="585" t="str">
        <v xml:space="preserve">Swim: DD1 Easy + DD2  + DD3  + </v>
      </c>
      <c r="HG69" s="585" t="str">
        <v xml:space="preserve">Swim: DD1 Easy + DD2  + DD3  + </v>
      </c>
      <c r="HH69" s="585" t="str">
        <v xml:space="preserve">Swim: DD1 Easy + DD2  + DD3  + </v>
      </c>
      <c r="HI69" s="585" t="str">
        <v xml:space="preserve">Swim: DD1 Easy + DD2  + DD3  + </v>
      </c>
      <c r="HJ69" s="585" t="str">
        <v xml:space="preserve">Open Water Swim: DD1 Steady + DD2  + DD3  + </v>
      </c>
      <c r="HK69" s="585" t="str">
        <v xml:space="preserve">Open Water Swim: DD1 Steady + DD2  + DD3  + </v>
      </c>
      <c r="HL69" s="585" t="str">
        <v xml:space="preserve">Open Water Swim: DD1 Long + DD2  + DD3  + </v>
      </c>
      <c r="HM69" s="585" t="str">
        <v xml:space="preserve">Open Water Swim: DD1 Long + DD2  + DD3  + </v>
      </c>
      <c r="HN69" s="585" t="str">
        <v xml:space="preserve">Open Water Swim: DD1 Long + DD2  + DD3  + </v>
      </c>
      <c r="HO69" s="585" t="str">
        <v xml:space="preserve">Paddle: DD1 Rest + DD2  + DD3  + </v>
      </c>
      <c r="HP69" s="585" t="str">
        <v xml:space="preserve">Paddle: DD1 Easy (Filler1) + DD2  + DD3  + </v>
      </c>
      <c r="HQ69" s="585" t="str">
        <v xml:space="preserve">Paddle: DD1 Easy + DD2  + DD3  + </v>
      </c>
      <c r="HR69" s="585" t="str">
        <v xml:space="preserve">Paddle: DD1 Steady + DD2  + DD3  + </v>
      </c>
      <c r="HS69" s="585" t="str">
        <v xml:space="preserve">Paddle: DD1 Long + DD2  + DD3  + </v>
      </c>
      <c r="HT69" s="585" t="str">
        <v/>
      </c>
      <c r="HU69" s="585" t="str">
        <v/>
      </c>
      <c r="HV69" s="585" t="str">
        <v xml:space="preserve">Paddle: DD1 Easy (Filler2) + DD2  + DD3  + </v>
      </c>
      <c r="HW69" s="585" t="str">
        <v xml:space="preserve">Paddle: DD1 Easy + DD2  + DD3  + </v>
      </c>
      <c r="HX69" s="585" t="str">
        <v xml:space="preserve">Paddle: DD1 Easy + DD2  + DD3  + </v>
      </c>
      <c r="HY69" s="585" t="str">
        <v xml:space="preserve">Paddle: DD1 Easy + DD2  + DD3  + </v>
      </c>
      <c r="HZ69" s="585" t="str">
        <v xml:space="preserve">Paddle: DD1 Easy + DD2  + DD3  + </v>
      </c>
      <c r="IA69" s="585" t="str">
        <v xml:space="preserve">Paddle: DD1 Easy + DD2  + DD3  + </v>
      </c>
      <c r="IB69" s="585" t="str">
        <v xml:space="preserve">Paddle: DD1 Easy + DD2  + DD3  + </v>
      </c>
      <c r="IC69" s="585" t="str">
        <v xml:space="preserve">Paddle: DD1 Easy + DD2  + DD3  + </v>
      </c>
      <c r="ID69" s="585" t="str">
        <v xml:space="preserve">Paddle: DD1 Steady + DD2  + DD3  + </v>
      </c>
      <c r="IE69" s="585" t="str">
        <v xml:space="preserve">Paddle: DD1 Steady + DD2  + DD3  + </v>
      </c>
      <c r="IF69" s="585" t="str">
        <v xml:space="preserve">Paddle: DD1 Long + DD2  + DD3  + </v>
      </c>
      <c r="IG69" s="585" t="str">
        <v xml:space="preserve">Paddle: DD1 Long + DD2  + DD3  + </v>
      </c>
      <c r="IH69" s="585" t="str">
        <v xml:space="preserve">Paddle: DD1 Long + DD2  + DD3  + </v>
      </c>
      <c r="II69" s="585" t="str">
        <v xml:space="preserve">Hockey: DD1 Other + DD2  + DD3  + </v>
      </c>
      <c r="IJ69" s="585" t="str">
        <v/>
      </c>
      <c r="IK69" s="585" t="str">
        <v/>
      </c>
      <c r="IL69" s="585" t="str">
        <v/>
      </c>
      <c r="IM69" s="585" t="str">
        <v/>
      </c>
      <c r="IN69" s="585" t="str">
        <v/>
      </c>
      <c r="IO69" s="585" t="str">
        <v/>
      </c>
      <c r="IP69" s="585" t="str">
        <v/>
      </c>
      <c r="IQ69" s="585" t="str">
        <v/>
      </c>
      <c r="IR69" s="585" t="str">
        <v/>
      </c>
      <c r="IS69" s="585" t="str">
        <v xml:space="preserve">: DD1 Rest + DD2  + DD3  + </v>
      </c>
      <c r="IT69" s="585" t="str">
        <v xml:space="preserve">Run: DD1 Long + DD2  + DD3  + </v>
      </c>
      <c r="IU69" s="585" t="str">
        <v xml:space="preserve">Run: DD1 Long + DD2  + DD3  + </v>
      </c>
      <c r="IV69" s="585" t="str">
        <v xml:space="preserve">Run: DD1 Long + DD2  + DD3  + </v>
      </c>
      <c r="IW69" s="585" t="str">
        <v xml:space="preserve">Run: DD1 Long + DD2  + DD3  + </v>
      </c>
      <c r="IX69" s="585" t="str">
        <v xml:space="preserve">Run: DD1 Long + DD2  + DD3  + </v>
      </c>
      <c r="IY69" s="585" t="str">
        <v xml:space="preserve">Run: DD1 Long + DD2  + DD3  + </v>
      </c>
      <c r="IZ69" s="585" t="str">
        <v xml:space="preserve">Run: DD1 Easy + DD2  + DD3  + </v>
      </c>
      <c r="JA69" s="585" t="str">
        <v xml:space="preserve">: DD1  + DD2  + DD3  + </v>
      </c>
      <c r="JB69" s="585" t="str">
        <v xml:space="preserve">: DD1  + DD2  + DD3  + </v>
      </c>
      <c r="JC69" s="585" t="str">
        <v/>
      </c>
      <c r="JD69" s="585" t="str">
        <v/>
      </c>
      <c r="JE69" s="585" t="str">
        <v/>
      </c>
      <c r="JF69" s="585" t="str">
        <v/>
      </c>
      <c r="JG69" s="585" t="str">
        <v/>
      </c>
      <c r="JH69" s="585" t="str">
        <v/>
      </c>
      <c r="JI69" s="585" t="str">
        <v/>
      </c>
      <c r="JJ69" s="585" t="str">
        <v/>
      </c>
      <c r="JK69" s="585" t="str">
        <v/>
      </c>
      <c r="JL69" s="585" t="str">
        <v/>
      </c>
      <c r="JM69" s="585" t="str">
        <v/>
      </c>
      <c r="JN69" s="585" t="str">
        <v/>
      </c>
      <c r="JO69" s="585" t="str">
        <v/>
      </c>
      <c r="JP69" s="585" t="str">
        <v/>
      </c>
      <c r="JQ69" s="585" t="str">
        <v/>
      </c>
      <c r="JR69" s="585" t="str">
        <v/>
      </c>
      <c r="JS69" s="585" t="str">
        <v/>
      </c>
      <c r="JT69" s="585" t="str">
        <v/>
      </c>
      <c r="JU69" s="585" t="str">
        <v/>
      </c>
      <c r="JV69" s="585" t="str">
        <v/>
      </c>
      <c r="JW69" s="585" t="str">
        <v xml:space="preserve">Paddle: DD1 Race + DD2  + DD3  + </v>
      </c>
      <c r="JX69" s="585" t="str">
        <v xml:space="preserve">Paddle: DD1 Race + DD2  + DD3  + </v>
      </c>
      <c r="JY69" s="585" t="str">
        <v xml:space="preserve">Paddle: DD1 Race + DD2  + DD3  + </v>
      </c>
      <c r="JZ69" s="585" t="str">
        <v xml:space="preserve">Paddle: DD1 Race + DD2  + DD3  + </v>
      </c>
      <c r="KA69" s="585" t="str">
        <v xml:space="preserve">Paddle: DD1 Race + DD2  + DD3  + </v>
      </c>
      <c r="KB69" s="585" t="str">
        <v xml:space="preserve">Paddle: DD1 Race + DD2  + DD3  + </v>
      </c>
      <c r="KC69" s="585" t="str">
        <v xml:space="preserve">Paddle: DD1 Race + DD2  + DD3  + </v>
      </c>
      <c r="KD69" s="585" t="str">
        <v xml:space="preserve">Paddle: DD1 Race + DD2  + DD3  + </v>
      </c>
      <c r="KE69" s="585" t="str">
        <v xml:space="preserve">Paddle: DD1 Race + DD2  + DD3  + </v>
      </c>
      <c r="KF69" s="585" t="str">
        <v xml:space="preserve">Paddle: DD1 Race + DD2  + DD3  + </v>
      </c>
      <c r="KG69" s="585" t="str">
        <v xml:space="preserve">Paddle: DD1 Race + DD2  + DD3  + </v>
      </c>
      <c r="KH69" s="585" t="str">
        <v xml:space="preserve">Paddle: DD1 Race + DD2  + DD3  + </v>
      </c>
      <c r="KI69" s="585" t="str">
        <v xml:space="preserve">Paddle: DD1 Race + DD2  + DD3  + </v>
      </c>
      <c r="KJ69" s="585" t="str">
        <v xml:space="preserve">Paddle: DD1 Race + DD2  + DD3  + </v>
      </c>
      <c r="KK69" s="585" t="str">
        <v xml:space="preserve">Paddle: DD1 Race + DD2  + DD3  + </v>
      </c>
      <c r="KL69" s="585" t="str">
        <v/>
      </c>
      <c r="KM69" s="585" t="str">
        <v/>
      </c>
      <c r="KN69" s="585" t="str">
        <v/>
      </c>
      <c r="KO69" s="585" t="str">
        <v/>
      </c>
      <c r="KP69" s="918" t="str">
        <v/>
      </c>
      <c r="KQ69" s="701"/>
    </row>
    <row r="70" spans="1:303" s="76" customFormat="1" ht="81.75" hidden="1" customHeight="1" x14ac:dyDescent="0.45">
      <c r="A70" s="1763" t="s">
        <v>316</v>
      </c>
      <c r="B70" s="895">
        <v>1</v>
      </c>
      <c r="C70" s="1078" t="str">
        <f t="array" ref="C70:KP72">IFERROR(INDEX(elements_description,,sessions_elements_index),"")</f>
        <v>Rest from continuous exercise.</v>
      </c>
      <c r="D70" s="1079" t="str">
        <v>Stay at a comfortable and controlled intensity where you should be able to have a conversation without large pauses. Keep an even intensity and accept that your pace may change as the terrain changes.</v>
      </c>
      <c r="E70" s="1079" t="str">
        <v>Stay at a comfortable and controlled intensity where you should be able to have a conversation without large pauses. Keep an even intensity and accept that your pace may change as the terrain changes.</v>
      </c>
      <c r="F70" s="1079" t="str">
        <v>Stay at a comfortable and controlled intensity where you should be able to have a conversation without large pauses. Keep an even intensity and accept that your pace may change as the terrain changes.</v>
      </c>
      <c r="G70" s="1079" t="str">
        <v xml:space="preserve">Fundamentally a steady, but you can be less strict at controlling your intensity as long as your average intensity is close to it's target by the end of the session </v>
      </c>
      <c r="H70" s="1079" t="str">
        <v>Stay at a comfortable and controlled intensity where you should be able to have a conversation without large pauses. Keep an even intensity and accept that your pace may change as the terrain changes.</v>
      </c>
      <c r="I70" s="1079" t="str">
        <v>Stay at a comfortable and controlled intensity where you should be able to have a conversation without large pauses. Keep an even intensity and accept that your pace may change as the terrain changes.</v>
      </c>
      <c r="J70" s="1079" t="str">
        <v>Stay at a comfortable and controlled intensity where you should be able to have a conversation without large pauses. Keep an even intensity and accept that your pace may change as the terrain changes.</v>
      </c>
      <c r="K70" s="1079" t="str">
        <v>Stay at a comfortable and controlled intensity where you should be able to have a conversation without large pauses. Keep an even intensity and accept that your pace may change as the terrain changes.</v>
      </c>
      <c r="L70" s="1079" t="str">
        <v>Stay at a comfortable and controlled intensity where you should be able to have a conversation without large pauses. Keep an even intensity and accept that your pace may change as the terrain changes.</v>
      </c>
      <c r="M70" s="1079" t="str">
        <v>Stay at a comfortable and controlled intensity where you should be able to have a conversation without large pauses. Keep an even intensity and accept that your pace may change as the terrain changes.</v>
      </c>
      <c r="N70" s="1079" t="str">
        <v>Stay at a comfortable and controlled intensity where you should be able to have a conversation without large pauses. Keep an even intensity and accept that your pace may change as the terrain changes.</v>
      </c>
      <c r="O70" s="1079" t="str">
        <v>Stay at a comfortable and controlled intensity where you should be able to have a conversation without large pauses. Keep an even intensity and accept that your pace may change as the terrain changes.</v>
      </c>
      <c r="P70" s="1079" t="str">
        <v>Stay at a comfortable and controlled intensity where you should be able to have a conversation without large pauses. Keep an even intensity and accept that your pace may change as the terrain changes.</v>
      </c>
      <c r="Q70" s="1079" t="str">
        <v>Stay at a comfortable and controlled intensity where you should be able to have a conversation without large pauses. Keep an even intensity and accept that your pace may change as the terrain changes.</v>
      </c>
      <c r="R70" s="1079" t="str">
        <v>Stay at a comfortable and controlled intensity where you should be able to have a conversation without large pauses. Keep an even intensity and accept that your pace may change as the terrain changes.</v>
      </c>
      <c r="S70" s="1079" t="str">
        <v>Stay at a comfortable and controlled intensity where you should be able to have a conversation without large pauses. Keep an even intensity and accept that your pace may change as the terrain changes.</v>
      </c>
      <c r="T70" s="1079" t="str">
        <v xml:space="preserve">Fundamentally a steady, but you can be less strict at controlling your intensity as long as your average intensity is close to it's target by the end of the session </v>
      </c>
      <c r="U70" s="1079" t="str">
        <v xml:space="preserve">Fundamentally a steady, but you can be less strict at controlling your intensity as long as your average intensity is close to it's target by the end of the session </v>
      </c>
      <c r="V70" s="1079" t="str">
        <v xml:space="preserve">Fundamentally a steady, but you can be less strict at controlling your intensity as long as your average intensity is close to it's target by the end of the session </v>
      </c>
      <c r="W70" s="1079" t="str">
        <v>A subthreshold requires more concentration than a steady but you should still be in control of your rhythm, keeping close to your target intensity, and able to increase your pace if you had to. Warm up and warm down for 10 minutes each.</v>
      </c>
      <c r="X70" s="1079" t="str">
        <v>Accelerate to a fast pace which you should be able to hold for 50 minutes in a race situation. This will take concentration, but it's important to keep the intensity even, so do not start too hard. Warm up and warm down for 10 minutes each.</v>
      </c>
      <c r="Y70" s="1079" t="str">
        <v>Accelerate to a fast pace which you should be able to hold for 50 minutes in a race situation. This will take concentration, but it's important to keep the intensity even, so do not start too hard. Warm up and warm down for 10 minutes each.</v>
      </c>
      <c r="Z70" s="1079" t="str">
        <v>Accelerate to a fast pace which you should be able to hold for 50 minutes in a race situation. This will take concentration, but it's important to keep the intensity even, so do not start too hard. Warm up and warm down for 10 minutes each.</v>
      </c>
      <c r="AA70" s="1079" t="str">
        <v>Accelerate to a fast pace which you should be able to hold for 50 minutes in a race situation. This will take concentration, but it's important to keep the intensity even, so do not start too hard. Warm up and warm down for 10 minutes each.</v>
      </c>
      <c r="AB70" s="1079" t="str">
        <v>A subthreshold requires more concentration than a steady but you should still be in control of your rhythm, keeping close to your target intensity, and able to increase your pace if you had to. Warm up and warm down for 10 minutes each.</v>
      </c>
      <c r="AC70" s="1079" t="str">
        <v>Accelerate to a fast pace which you should be able to hold for 50 minutes in a race situation. This will take concentration, but it's important to keep the intensity even, so do not start too hard. Warm up and warm down for 10 minutes each.</v>
      </c>
      <c r="AD70" s="1079" t="str">
        <v>Accelerate to a fast pace which you should be able to hold for 50 minutes in a race situation. This will take concentration, but it's important to keep the intensity even, so do not start too hard. Warm up and warm down for 10 minutes each.</v>
      </c>
      <c r="AE70" s="1079" t="str">
        <v>Accelerate to a fast pace which you should be able to hold for 50 minutes in a race situation. This will take concentration, but it's important to keep the intensity even, so do not start too hard. Warm up and warm down for 10 minutes each.</v>
      </c>
      <c r="AF70" s="1079" t="str">
        <v>Accelerate to a fast pace which you should be able to hold for 50 minutes in a race situation. This will take concentration, but it's important to keep the intensity even, so do not start too hard. Warm up and warm down for 10 minutes each.</v>
      </c>
      <c r="AG70" s="1079" t="str">
        <v>Use 15 sec to 6 min efforts  separated by periods at an easy intensity. These can be spontaneous or structured, but see that your average intensity is relatively close to it's target by the end of the session. Warm up and warm down for 10 minutes each.</v>
      </c>
      <c r="AH70" s="1079" t="str">
        <v>Use 15 sec to 6 min efforts  separated by periods at an easy intensity. These can be spontaneous or structured, but see that your average intensity is relatively close to it's target by the end of the session. Warm up and warm down for 10 minutes each.</v>
      </c>
      <c r="AI70" s="1079" t="str">
        <v>Use 15 sec to 6 min efforts  separated by periods at an easy intensity. These can be spontaneous or structured, but see that your average intensity is relatively close to it's target by the end of the session. Warm up and warm down for 10 minutes each.</v>
      </c>
      <c r="AJ70" s="1079" t="str">
        <v>Use 15 sec to 6 min efforts  separated by periods at an easy intensity. These can be spontaneous or structured, but see that your average intensity is relatively close to it's target by the end of the session. Warm up and warm down for 10 minutes each.</v>
      </c>
      <c r="AK70" s="1079" t="str">
        <v/>
      </c>
      <c r="AL70" s="1079" t="str">
        <v/>
      </c>
      <c r="AM70" s="1079" t="str">
        <v/>
      </c>
      <c r="AN70" s="1079" t="str">
        <v/>
      </c>
      <c r="AO70" s="1079" t="str">
        <v/>
      </c>
      <c r="AP70" s="1079" t="str">
        <v/>
      </c>
      <c r="AQ70" s="1079" t="str">
        <v>Intervals are hard, but don't start so hard that you can't run the same pace for all intervals in the session. Forget about HR, and focus on feeling your intensity. Do the recoveries at an easy intensity. Warm up and warm down for 10 minutes each.</v>
      </c>
      <c r="AR70" s="1079" t="str">
        <v>Intervals are hard, but don't start so hard that you can't run the same pace for all intervals in the session. Forget about HR, and focus on feeling your intensity. Do the recoveries at an easy intensity. Warm up and warm down for 10 minutes each.</v>
      </c>
      <c r="AS70" s="1079" t="str">
        <v>Intervals are hard, but don't start so hard that you can't run the same pace for all intervals in the session. Forget about HR, and focus on feeling your intensity. Do the recoveries at an easy intensity. Warm up and warm down for 10 minutes each.</v>
      </c>
      <c r="AT70" s="1079" t="str">
        <v>Intervals are hard, but don't start so hard that you can't run the same pace for all intervals in the session. Forget about HR, and focus on feeling your intensity. Do the recoveries at an easy intensity. Warm up and warm down for 10 minutes each.</v>
      </c>
      <c r="AU70" s="1079" t="str">
        <v>Intervals are hard, but don't start so hard that you can't run the same pace for all intervals in the session. Forget about HR, and focus on feeling your intensity. Do the recoveries at an easy intensity. Warm up and warm down for 10 minutes each.</v>
      </c>
      <c r="AV70" s="1079" t="str">
        <v>Intervals are hard, but don't start so hard that you can't run the same pace for all intervals in the session. Forget about HR, and focus on feeling your intensity. Do the recoveries at an easy intensity. Warm up and warm down for 10 minutes each.</v>
      </c>
      <c r="AW70" s="1079" t="str">
        <v>Intervals are hard, but don't start so hard that you can't run the same pace for all intervals in the session. Forget about HR, and focus on feeling your intensity. Do the recoveries at an easy intensity. Warm up and warm down for 10 minutes each.</v>
      </c>
      <c r="AX70" s="1079" t="str">
        <v>Intervals are hard, but don't start so hard that you can't run the same pace for all intervals in the session. Forget about HR, and focus on feeling your intensity. Do the recoveries at an easy intensity. Warm up and warm down for 10 minutes each.</v>
      </c>
      <c r="AY70" s="1079" t="str">
        <v>Intervals are hard, but don't start so hard that you can't run the same pace for all intervals in the session. Forget about HR, and focus on feeling your intensity. Do the recoveries at an easy intensity. Warm up and warm down for 10 minutes each.</v>
      </c>
      <c r="AZ70" s="1079" t="str">
        <v>Intervals are hard, but don't start so hard that you can't run the same pace for all intervals in the session. Forget about HR, and focus on feeling your intensity. Do the recoveries at an easy intensity. Warm up and warm down for 10 minutes each.</v>
      </c>
      <c r="BA70" s="1079" t="str">
        <v>Intervals are hard, but don't start so hard that you can't run the same pace for all intervals in the session. Forget about HR, and focus on feeling your intensity. Do the recoveries at an easy intensity. Warm up and warm down for 10 minutes each.</v>
      </c>
      <c r="BB70" s="1079" t="str">
        <v>Intervals are hard, but don't start so hard that you can't run the same pace for all intervals in the session. Forget about HR, and focus on feeling your intensity. Do the recoveries at an easy intensity. Warm up and warm down for 10 minutes each.</v>
      </c>
      <c r="BC70" s="1079" t="str">
        <v/>
      </c>
      <c r="BD70" s="1079" t="str">
        <v/>
      </c>
      <c r="BE70" s="1079" t="str">
        <v/>
      </c>
      <c r="BF70" s="1079" t="str">
        <v/>
      </c>
      <c r="BG70" s="1079" t="str">
        <v/>
      </c>
      <c r="BH70" s="1079" t="str">
        <v/>
      </c>
      <c r="BI70" s="1079" t="str">
        <v/>
      </c>
      <c r="BJ70" s="1079" t="str">
        <v/>
      </c>
      <c r="BK70" s="1079" t="str">
        <v>Push your physical limits in extremely intense reps with long recoveries. Forget about your HR and pace data, and focus on your speed and mechanics. Warm up and warm down for 10 minutes each.</v>
      </c>
      <c r="BL70" s="1079" t="str">
        <v>Push your physical limits in extremely intense reps with long recoveries. Forget about your HR and pace data, and focus on your speed and mechanics. Warm up and warm down for 10 minutes each.</v>
      </c>
      <c r="BM70" s="1079" t="str">
        <v>Push your physical limits in extremely intense reps with long recoveries. Forget about your HR and pace data, and focus on your speed and mechanics. Warm up and warm down for 10 minutes each.</v>
      </c>
      <c r="BN70" s="1079" t="str">
        <v>Push your physical limits in extremely intense reps with long recoveries. Forget about your HR and pace data, and focus on your speed and mechanics. Warm up and warm down for 10 minutes each.</v>
      </c>
      <c r="BO70" s="1079" t="str">
        <v>Push your physical limits in extremely intense reps with long recoveries. Forget about your HR and pace data, and focus on your speed and mechanics. Warm up and warm down for 10 minutes each.</v>
      </c>
      <c r="BP70" s="1079" t="str">
        <v>Push your physical limits in extremely intense reps with long recoveries. Forget about your HR and pace data, and focus on your speed and mechanics. Warm up and warm down for 10 minutes each.</v>
      </c>
      <c r="BQ70" s="1079" t="str">
        <v>Push your physical limits in extremely intense reps with long recoveries. Forget about your HR and pace data, and focus on your speed and mechanics. Warm up and warm down for 10 minutes each.</v>
      </c>
      <c r="BR70" s="1079" t="str">
        <v>Push your physical limits in extremely intense reps with long recoveries. Forget about your HR and pace data, and focus on your speed and mechanics. Warm up and warm down for 10 minutes each.</v>
      </c>
      <c r="BS70" s="1079" t="str">
        <v>Push your physical limits in extremely intense reps with long recoveries. Forget about your HR and pace data, and focus on your speed and mechanics. Warm up and warm down for 10 minutes each.</v>
      </c>
      <c r="BT70" s="1079" t="str">
        <v/>
      </c>
      <c r="BU70" s="1079" t="str">
        <v>Perform a variety of specialised exercises to engage specific muscles and apply them in functional movements. These sessions must be learned with a coach first. Warm up and warm down for 10 minutes each.</v>
      </c>
      <c r="BV70" s="1079" t="str">
        <v>Perform a variety of specialised exercises to engage specific muscles and apply them in functional movements. These sessions must be learned with a coach first. Warm up and warm down for 10 minutes each.</v>
      </c>
      <c r="BW70" s="1079" t="str">
        <v>Perform a variety of specialised exercises to engage specific muscles and apply them in functional movements. These sessions must be learned with a coach first. Warm up and warm down for 10 minutes each.</v>
      </c>
      <c r="BX70" s="1079" t="str">
        <v>Perform a variety of specialised exercises to engage specific muscles and apply them in functional movements. These sessions must be learned with a coach first. Warm up and warm down for 10 minutes each.</v>
      </c>
      <c r="BY70" s="1079" t="str">
        <v>Perform a variety of specialised exercises to engage specific muscles and apply them in functional movements. These sessions must be learned with a coach first. Warm up and warm down for 10 minutes each.</v>
      </c>
      <c r="BZ70" s="1079" t="str">
        <v>Use a hands, rollers, or balls on all major muscle groups with extra time on more sensitive or problematic areas or as guided by a coach or physio. Finish with 20 minutes of lower-limb stretching.</v>
      </c>
      <c r="CA70" s="1079" t="str">
        <v>Perform a variety of specialised exercises to engage specific muscles. These sessions must be learned with a coach first but are relatively easy to continue with on your own. Demonstrate control and focus on posture and muscle activation.</v>
      </c>
      <c r="CB70" s="1079" t="str">
        <v>Stay at a comfortable and controlled intensity where you should be able to have a conversation without large pauses. Keep an even intensity and accept that your pace may change as the terrain changes.</v>
      </c>
      <c r="CC70" s="1079" t="str">
        <v>Perform a variety of specialised exercises to engage specific muscles. These sessions must be learned with a coach first but are relatively easy to continue with on your own. Demonstrate control and focus on posture and muscle activation.</v>
      </c>
      <c r="CD70" s="1079" t="str">
        <v>Stay at a comfortable and controlled intensity where you should be able to have a conversation without large pauses. Keep an even intensity and accept that your pace may change as the terrain changes.</v>
      </c>
      <c r="CE70" s="1079" t="str">
        <v>The exact intensity will change depending on the length of the race. This optimum intensity can be found though a mix of natural urgency and reasoning with what your body is telling you.</v>
      </c>
      <c r="CF70" s="1079" t="str">
        <v>The exact intensity will change depending on the length of the race. This optimum intensity can be found though a mix of natural urgency and reasoning with what your body is telling you.</v>
      </c>
      <c r="CG70" s="1079" t="str">
        <v>The exact intensity will change depending on the length of the race. This optimum intensity can be found though a mix of natural urgency and reasoning with what your body is telling you.</v>
      </c>
      <c r="CH70" s="1079" t="str">
        <v>The exact intensity will change depending on the length of the race. This optimum intensity can be found though a mix of natural urgency and reasoning with what your body is telling you.</v>
      </c>
      <c r="CI70" s="1079" t="str">
        <v>The exact intensity will change depending on the length of the race. This optimum intensity can be found though a mix of natural urgency and reasoning with what your body is telling you.</v>
      </c>
      <c r="CJ70" s="1079" t="str">
        <v>The exact intensity will change depending on the length of the race. This optimum intensity can be found though a mix of natural urgency and reasoning with what your body is telling you.</v>
      </c>
      <c r="CK70" s="1079" t="str">
        <v>The exact intensity will change depending on the length of the race. This optimum intensity can be found though a mix of natural urgency and reasoning with what your body is telling you.</v>
      </c>
      <c r="CL70" s="1079" t="str">
        <v>The exact intensity will change depending on the length of the race. This optimum intensity can be found though a mix of natural urgency and reasoning with what your body is telling you.</v>
      </c>
      <c r="CM70" s="1079" t="str">
        <v>The exact intensity will change depending on the length of the race. This optimum intensity can be found though a mix of natural urgency and reasoning with what your body is telling you.</v>
      </c>
      <c r="CN70" s="1079" t="str">
        <v>The exact intensity will change depending on the length of the race. This optimum intensity can be found though a mix of natural urgency and reasoning with what your body is telling you.</v>
      </c>
      <c r="CO70" s="1079" t="str">
        <v>The exact intensity will change depending on the length of the race. This optimum intensity can be found though a mix of natural urgency and reasoning with what your body is telling you.</v>
      </c>
      <c r="CP70" s="1079" t="str">
        <v>The exact intensity will change depending on the length of the race. This optimum intensity can be found though a mix of natural urgency and reasoning with what your body is telling you.</v>
      </c>
      <c r="CQ70" s="1079" t="str">
        <v>The exact intensity will change depending on the length of the race. This optimum intensity can be found though a mix of natural urgency and reasoning with what your body is telling you.</v>
      </c>
      <c r="CR70" s="1079" t="str">
        <v>The exact intensity will change depending on the length of the race. This optimum intensity can be found though a mix of natural urgency and reasoning with what your body is telling you.</v>
      </c>
      <c r="CS70" s="1079" t="str">
        <v>The exact intensity will change depending on the length of the race. This optimum intensity can be found though a mix of natural urgency and reasoning with what your body is telling you.</v>
      </c>
      <c r="CT70" s="1079" t="str">
        <v>The exact intensity will change depending on the length of the race. This optimum intensity can be found though a mix of natural urgency and reasoning with what your body is telling you.</v>
      </c>
      <c r="CU70" s="1079" t="str">
        <v>The exact intensity will change depending on the length of the race. This optimum intensity can be found though a mix of natural urgency and reasoning with what your body is telling you.</v>
      </c>
      <c r="CV70" s="1079" t="str">
        <v>The exact intensity will change depending on the length of the race. This optimum intensity can be found though a mix of natural urgency and reasoning with what your body is telling you.</v>
      </c>
      <c r="CW70" s="1079" t="str">
        <v>The exact intensity will change depending on the length of the race. This optimum intensity can be found though a mix of natural urgency and reasoning with what your body is telling you.</v>
      </c>
      <c r="CX70" s="1079" t="str">
        <v>The exact intensity will change depending on the length of the race. This optimum intensity can be found though a mix of natural urgency and reasoning with what your body is telling you.</v>
      </c>
      <c r="CY70" s="1078" t="str">
        <v>Rest from continuous exercise.</v>
      </c>
      <c r="CZ70" s="1079" t="str">
        <v>Stay at a comfortable and controlled intensity where you should be able to have a conversation without large pauses. Keep an even intensity and accept that your pace may change as the terrain changes.</v>
      </c>
      <c r="DA70" s="1079" t="str">
        <v>Stay at a comfortable and controlled intensity where you should be able to have a conversation without large pauses. Keep an even intensity and accept that your pace may change as the terrain changes.</v>
      </c>
      <c r="DB70" s="1079" t="str">
        <v>Stay at a comfortable and controlled intensity where you should be able to have a conversation without large pauses. Keep an even intensity and accept that your pace may change as the terrain changes.</v>
      </c>
      <c r="DC70" s="1079" t="str">
        <v xml:space="preserve">Fundamentally a steady, but you can be less strict at controlling your intensity as long as your average intensity is close to it's target by the end of the session </v>
      </c>
      <c r="DD70" s="1079" t="str">
        <v>Stay at a comfortable and controlled intensity where you should be able to have a conversation without large pauses. Keep an even intensity and accept that your pace may change as the terrain changes.</v>
      </c>
      <c r="DE70" s="1079" t="str">
        <v>Stay at a comfortable and controlled intensity where you should be able to have a conversation without large pauses. Keep an even intensity and accept that your pace may change as the terrain changes.</v>
      </c>
      <c r="DF70" s="1079" t="str">
        <v>Stay at a comfortable and controlled intensity where you should be able to have a conversation without large pauses. Keep an even intensity and accept that your pace may change as the terrain changes.</v>
      </c>
      <c r="DG70" s="1079" t="str">
        <v>Stay at a comfortable and controlled intensity where you should be able to have a conversation without large pauses. Keep an even intensity and accept that your pace may change as the terrain changes.</v>
      </c>
      <c r="DH70" s="1079" t="str">
        <v>Stay at a comfortable and controlled intensity where you should be able to have a conversation without large pauses. Keep an even intensity and accept that your pace may change as the terrain changes.</v>
      </c>
      <c r="DI70" s="1079" t="str">
        <v>Stay at a comfortable and controlled intensity where you should be able to have a conversation without large pauses. Keep an even intensity and accept that your pace may change as the terrain changes.</v>
      </c>
      <c r="DJ70" s="1079" t="str">
        <v>Stay at a comfortable and controlled intensity where you should be able to have a conversation without large pauses. Keep an even intensity and accept that your pace may change as the terrain changes.</v>
      </c>
      <c r="DK70" s="1079" t="str">
        <v>Stay at a comfortable and controlled intensity where you should be able to have a conversation without large pauses. Keep an even intensity and accept that your pace may change as the terrain changes.</v>
      </c>
      <c r="DL70" s="1079" t="str">
        <v>Stay at a comfortable and controlled intensity where you should be able to have a conversation without large pauses. Keep an even intensity and accept that your pace may change as the terrain changes.</v>
      </c>
      <c r="DM70" s="1079" t="str">
        <v>Stay at a comfortable and controlled intensity where you should be able to have a conversation without large pauses. Keep an even intensity and accept that your pace may change as the terrain changes.</v>
      </c>
      <c r="DN70" s="1079" t="str">
        <v>Stay at a comfortable and controlled intensity where you should be able to have a conversation without large pauses. Keep an even intensity and accept that your pace may change as the terrain changes.</v>
      </c>
      <c r="DO70" s="1079" t="str">
        <v>Stay at a comfortable and controlled intensity where you should be able to have a conversation without large pauses. Keep an even intensity and accept that your pace may change as the terrain changes.</v>
      </c>
      <c r="DP70" s="1079" t="str">
        <v xml:space="preserve">Fundamentally a steady, but you can be less strict at controlling your intensity as long as your average intensity is close to it's target by the end of the session </v>
      </c>
      <c r="DQ70" s="1079" t="str">
        <v xml:space="preserve">Fundamentally a steady, but you can be less strict at controlling your intensity as long as your average intensity is close to it's target by the end of the session </v>
      </c>
      <c r="DR70" s="1079" t="str">
        <v xml:space="preserve">Fundamentally a steady, but you can be less strict at controlling your intensity as long as your average intensity is close to it's target by the end of the session </v>
      </c>
      <c r="DS70" s="1079" t="str">
        <v>A subthreshold requires more concentration than a steady but you should still be in control of your rhythm, keeping close to your target intensity, and able to increase your pace if you had to. Warm up and warm down for 10 minutes each.</v>
      </c>
      <c r="DT70" s="1079" t="str">
        <v>Accelerate to a fast pace which you should be able to hold for 50 minutes in a race situation. This will take concentration, but it's important to keep the intensity even, so do not start too hard. Warm up and warm down for 10 minutes each.</v>
      </c>
      <c r="DU70" s="1079" t="str">
        <v>Accelerate to a fast pace which you should be able to hold for 50 minutes in a race situation. This will take concentration, but it's important to keep the intensity even, so do not start too hard. Warm up and warm down for 10 minutes each.</v>
      </c>
      <c r="DV70" s="1079" t="str">
        <v>Accelerate to a fast pace which you should be able to hold for 50 minutes in a race situation. This will take concentration, but it's important to keep the intensity even, so do not start too hard. Warm up and warm down for 10 minutes each.</v>
      </c>
      <c r="DW70" s="1079" t="str">
        <v>Accelerate to a fast pace which you should be able to hold for 50 minutes in a race situation. This will take concentration, but it's important to keep the intensity even, so do not start too hard. Warm up and warm down for 10 minutes each.</v>
      </c>
      <c r="DX70" s="1079" t="str">
        <v>A subthreshold requires more concentration than a steady but you should still be in control of your rhythm, keeping close to your target intensity, and able to increase your pace if you had to. Warm up and warm down for 10 minutes each.</v>
      </c>
      <c r="DY70" s="1079" t="str">
        <v>Accelerate to a fast pace which you should be able to hold for 50 minutes in a race situation. This will take concentration, but it's important to keep the intensity even, so do not start too hard. Warm up and warm down for 10 minutes each.</v>
      </c>
      <c r="DZ70" s="1079" t="str">
        <v>Accelerate to a fast pace which you should be able to hold for 50 minutes in a race situation. This will take concentration, but it's important to keep the intensity even, so do not start too hard. Warm up and warm down for 10 minutes each.</v>
      </c>
      <c r="EA70" s="1079" t="str">
        <v>Accelerate to a fast pace which you should be able to hold for 50 minutes in a race situation. This will take concentration, but it's important to keep the intensity even, so do not start too hard. Warm up and warm down for 10 minutes each.</v>
      </c>
      <c r="EB70" s="1079" t="str">
        <v>Accelerate to a fast pace which you should be able to hold for 50 minutes in a race situation. This will take concentration, but it's important to keep the intensity even, so do not start too hard. Warm up and warm down for 10 minutes each.</v>
      </c>
      <c r="EC70" s="1079" t="str">
        <v>Use 15 sec to 6 min efforts  separated by periods at an easy intensity. These can be spontaneous or structured, but see that your average intensity is relatively close to it's target by the end of the session. Warm up and warm down for 10 minutes each.</v>
      </c>
      <c r="ED70" s="1079" t="str">
        <v>Use 15 sec to 6 min efforts  separated by periods at an easy intensity. These can be spontaneous or structured, but see that your average intensity is relatively close to it's target by the end of the session. Warm up and warm down for 10 minutes each.</v>
      </c>
      <c r="EE70" s="1079" t="str">
        <v>Use 15 sec to 6 min efforts  separated by periods at an easy intensity. These can be spontaneous or structured, but see that your average intensity is relatively close to it's target by the end of the session. Warm up and warm down for 10 minutes each.</v>
      </c>
      <c r="EF70" s="1079" t="str">
        <v>Use 15 sec to 6 min efforts  separated by periods at an easy intensity. These can be spontaneous or structured, but see that your average intensity is relatively close to it's target by the end of the session. Warm up and warm down for 10 minutes each.</v>
      </c>
      <c r="EG70" s="1079" t="str">
        <v/>
      </c>
      <c r="EH70" s="1079" t="str">
        <v/>
      </c>
      <c r="EI70" s="1079" t="str">
        <v/>
      </c>
      <c r="EJ70" s="1079" t="str">
        <v/>
      </c>
      <c r="EK70" s="1079" t="str">
        <v/>
      </c>
      <c r="EL70" s="1079" t="str">
        <v/>
      </c>
      <c r="EM70" s="1079" t="str">
        <v/>
      </c>
      <c r="EN70" s="1079" t="str">
        <v/>
      </c>
      <c r="EO70" s="1079" t="str">
        <v/>
      </c>
      <c r="EP70" s="1079" t="str">
        <v/>
      </c>
      <c r="EQ70" s="1079" t="str">
        <v/>
      </c>
      <c r="ER70" s="1079" t="str">
        <v/>
      </c>
      <c r="ES70" s="1079" t="str">
        <v/>
      </c>
      <c r="ET70" s="1079" t="str">
        <v/>
      </c>
      <c r="EU70" s="1079" t="str">
        <v/>
      </c>
      <c r="EV70" s="1079" t="str">
        <v/>
      </c>
      <c r="EW70" s="1079" t="str">
        <v/>
      </c>
      <c r="EX70" s="1079" t="str">
        <v/>
      </c>
      <c r="EY70" s="1079" t="str">
        <v/>
      </c>
      <c r="EZ70" s="1079" t="str">
        <v/>
      </c>
      <c r="FA70" s="1079" t="str">
        <v/>
      </c>
      <c r="FB70" s="1079" t="str">
        <v/>
      </c>
      <c r="FC70" s="1079" t="str">
        <v/>
      </c>
      <c r="FD70" s="1079" t="str">
        <v/>
      </c>
      <c r="FE70" s="1079" t="str">
        <v/>
      </c>
      <c r="FF70" s="1079" t="str">
        <v/>
      </c>
      <c r="FG70" s="1079" t="str">
        <v>Push your physical limits in extremely intense reps with long recoveries. Forget about your HR and pace data, and focus on your speed and mechanics. Warm up and warm down for 10 minutes each.</v>
      </c>
      <c r="FH70" s="1079" t="str">
        <v>Push your physical limits in extremely intense reps with long recoveries. Forget about your HR and pace data, and focus on your speed and mechanics. Warm up and warm down for 10 minutes each.</v>
      </c>
      <c r="FI70" s="1079" t="str">
        <v>Push your physical limits in extremely intense reps with long recoveries. Forget about your HR and pace data, and focus on your speed and mechanics. Warm up and warm down for 10 minutes each.</v>
      </c>
      <c r="FJ70" s="1079" t="str">
        <v>Push your physical limits in extremely intense reps with long recoveries. Forget about your HR and pace data, and focus on your speed and mechanics. Warm up and warm down for 10 minutes each.</v>
      </c>
      <c r="FK70" s="1079" t="str">
        <v>Push your physical limits in extremely intense reps with long recoveries. Forget about your HR and pace data, and focus on your speed and mechanics. Warm up and warm down for 10 minutes each.</v>
      </c>
      <c r="FL70" s="1079" t="str">
        <v>Push your physical limits in extremely intense reps with long recoveries. Forget about your HR and pace data, and focus on your speed and mechanics. Warm up and warm down for 10 minutes each.</v>
      </c>
      <c r="FM70" s="1079" t="str">
        <v>Push your physical limits in extremely intense reps with long recoveries. Forget about your HR and pace data, and focus on your speed and mechanics. Warm up and warm down for 10 minutes each.</v>
      </c>
      <c r="FN70" s="1079" t="str">
        <v>Push your physical limits in extremely intense reps with long recoveries. Forget about your HR and pace data, and focus on your speed and mechanics. Warm up and warm down for 10 minutes each.</v>
      </c>
      <c r="FO70" s="1079" t="str">
        <v>Push your physical limits in extremely intense reps with long recoveries. Forget about your HR and pace data, and focus on your speed and mechanics. Warm up and warm down for 10 minutes each.</v>
      </c>
      <c r="FP70" s="1079" t="str">
        <v>Push your physical limits in extremely intense reps with long recoveries. Forget about your HR and pace data, and focus on your speed and mechanics. Warm up and warm down for 10 minutes each.</v>
      </c>
      <c r="FQ70" s="1079" t="str">
        <v/>
      </c>
      <c r="FR70" s="1079" t="str">
        <v/>
      </c>
      <c r="FS70" s="1079" t="str">
        <v/>
      </c>
      <c r="FT70" s="1079" t="str">
        <v/>
      </c>
      <c r="FU70" s="1079" t="str">
        <v/>
      </c>
      <c r="FV70" s="1079" t="str">
        <v/>
      </c>
      <c r="FW70" s="1079" t="str">
        <v/>
      </c>
      <c r="FX70" s="1079" t="str">
        <v/>
      </c>
      <c r="FY70" s="1079" t="str">
        <v/>
      </c>
      <c r="FZ70" s="1079" t="str">
        <v/>
      </c>
      <c r="GA70" s="1079" t="str">
        <v>The exact intensity will change depending on the length of the race. This optimum intensity can be found though a mix of natural urgency and reasoning with what your body is telling you.</v>
      </c>
      <c r="GB70" s="1079" t="str">
        <v>The exact intensity will change depending on the length of the race. This optimum intensity can be found though a mix of natural urgency and reasoning with what your body is telling you.</v>
      </c>
      <c r="GC70" s="1079" t="str">
        <v>The exact intensity will change depending on the length of the race. This optimum intensity can be found though a mix of natural urgency and reasoning with what your body is telling you.</v>
      </c>
      <c r="GD70" s="1079" t="str">
        <v>The exact intensity will change depending on the length of the race. This optimum intensity can be found though a mix of natural urgency and reasoning with what your body is telling you.</v>
      </c>
      <c r="GE70" s="1079" t="str">
        <v>The exact intensity will change depending on the length of the race. This optimum intensity can be found though a mix of natural urgency and reasoning with what your body is telling you.</v>
      </c>
      <c r="GF70" s="1079" t="str">
        <v>The exact intensity will change depending on the length of the race. This optimum intensity can be found though a mix of natural urgency and reasoning with what your body is telling you.</v>
      </c>
      <c r="GG70" s="1079" t="str">
        <v>The exact intensity will change depending on the length of the race. This optimum intensity can be found though a mix of natural urgency and reasoning with what your body is telling you.</v>
      </c>
      <c r="GH70" s="1079" t="str">
        <v>The exact intensity will change depending on the length of the race. This optimum intensity can be found though a mix of natural urgency and reasoning with what your body is telling you.</v>
      </c>
      <c r="GI70" s="1079" t="str">
        <v>The exact intensity will change depending on the length of the race. This optimum intensity can be found though a mix of natural urgency and reasoning with what your body is telling you.</v>
      </c>
      <c r="GJ70" s="1079" t="str">
        <v>The exact intensity will change depending on the length of the race. This optimum intensity can be found though a mix of natural urgency and reasoning with what your body is telling you.</v>
      </c>
      <c r="GK70" s="1079" t="str">
        <v>The exact intensity will change depending on the length of the race. This optimum intensity can be found though a mix of natural urgency and reasoning with what your body is telling you.</v>
      </c>
      <c r="GL70" s="1079" t="str">
        <v>The exact intensity will change depending on the length of the race. This optimum intensity can be found though a mix of natural urgency and reasoning with what your body is telling you.</v>
      </c>
      <c r="GM70" s="1079" t="str">
        <v>The exact intensity will change depending on the length of the race. This optimum intensity can be found though a mix of natural urgency and reasoning with what your body is telling you.</v>
      </c>
      <c r="GN70" s="1079" t="str">
        <v>The exact intensity will change depending on the length of the race. This optimum intensity can be found though a mix of natural urgency and reasoning with what your body is telling you.</v>
      </c>
      <c r="GO70" s="1079" t="str">
        <v>The exact intensity will change depending on the length of the race. This optimum intensity can be found though a mix of natural urgency and reasoning with what your body is telling you.</v>
      </c>
      <c r="GP70" s="1079" t="str">
        <v/>
      </c>
      <c r="GQ70" s="1079" t="str">
        <v/>
      </c>
      <c r="GR70" s="1079" t="str">
        <v/>
      </c>
      <c r="GS70" s="1079" t="str">
        <v/>
      </c>
      <c r="GT70" s="1079" t="str">
        <v/>
      </c>
      <c r="GU70" s="1079" t="str">
        <v>Rest from continuous exercise.</v>
      </c>
      <c r="GV70" s="1079" t="str">
        <v>Stay at a comfortable and controlled intensity where you should be able to have a conversation without large pauses. Keep an even intensity and accept that your pace may change as the terrain changes.</v>
      </c>
      <c r="GW70" s="1079" t="str">
        <v>Stay at a comfortable and controlled intensity where you should be able to have a conversation without large pauses. Keep an even intensity and accept that your pace may change as the terrain changes.</v>
      </c>
      <c r="GX70" s="1079" t="str">
        <v>Stay at a comfortable and controlled intensity where you should be able to have a conversation without large pauses. Keep an even intensity and accept that your pace may change as the terrain changes.</v>
      </c>
      <c r="GY70" s="1079" t="str">
        <v xml:space="preserve">Fundamentally a steady, but you can be less strict at controlling your intensity as long as your average intensity is close to it's target by the end of the session </v>
      </c>
      <c r="GZ70" s="1079" t="str">
        <v/>
      </c>
      <c r="HA70" s="1079" t="str">
        <v/>
      </c>
      <c r="HB70" s="1079" t="str">
        <v>Stay at a comfortable and controlled intensity where you should be able to have a conversation without large pauses. Keep an even intensity and accept that your pace may change as the terrain changes.</v>
      </c>
      <c r="HC70" s="1079" t="str">
        <v>Stay at a comfortable and controlled intensity where you should be able to have a conversation without large pauses. Keep an even intensity and accept that your pace may change as the terrain changes.</v>
      </c>
      <c r="HD70" s="1079" t="str">
        <v>Stay at a comfortable and controlled intensity where you should be able to have a conversation without large pauses. Keep an even intensity and accept that your pace may change as the terrain changes.</v>
      </c>
      <c r="HE70" s="1079" t="str">
        <v>Stay at a comfortable and controlled intensity where you should be able to have a conversation without large pauses. Keep an even intensity and accept that your pace may change as the terrain changes.</v>
      </c>
      <c r="HF70" s="1079" t="str">
        <v>Stay at a comfortable and controlled intensity where you should be able to have a conversation without large pauses. Keep an even intensity and accept that your pace may change as the terrain changes.</v>
      </c>
      <c r="HG70" s="1079" t="str">
        <v>Stay at a comfortable and controlled intensity where you should be able to have a conversation without large pauses. Keep an even intensity and accept that your pace may change as the terrain changes.</v>
      </c>
      <c r="HH70" s="1079" t="str">
        <v>Stay at a comfortable and controlled intensity where you should be able to have a conversation without large pauses. Keep an even intensity and accept that your pace may change as the terrain changes.</v>
      </c>
      <c r="HI70" s="1079" t="str">
        <v>Stay at a comfortable and controlled intensity where you should be able to have a conversation without large pauses. Keep an even intensity and accept that your pace may change as the terrain changes.</v>
      </c>
      <c r="HJ70" s="1079" t="str">
        <v>Stay at a comfortable and controlled intensity where you should be able to have a conversation without large pauses. Keep an even intensity and accept that your pace may change as the terrain changes.</v>
      </c>
      <c r="HK70" s="1079" t="str">
        <v>Stay at a comfortable and controlled intensity where you should be able to have a conversation without large pauses. Keep an even intensity and accept that your pace may change as the terrain changes.</v>
      </c>
      <c r="HL70" s="1079" t="str">
        <v xml:space="preserve">Fundamentally a steady, but you can be less strict at controlling your intensity as long as your average intensity is close to it's target by the end of the session </v>
      </c>
      <c r="HM70" s="1079" t="str">
        <v xml:space="preserve">Fundamentally a steady, but you can be less strict at controlling your intensity as long as your average intensity is close to it's target by the end of the session </v>
      </c>
      <c r="HN70" s="1079" t="str">
        <v xml:space="preserve">Fundamentally a steady, but you can be less strict at controlling your intensity as long as your average intensity is close to it's target by the end of the session </v>
      </c>
      <c r="HO70" s="1079" t="str">
        <v>Rest from continuous exercise.</v>
      </c>
      <c r="HP70" s="1079" t="str">
        <v>Stay at a comfortable and controlled intensity where you should be able to have a conversation without large pauses. Keep an even intensity and accept that your pace may change as the terrain changes.</v>
      </c>
      <c r="HQ70" s="1079" t="str">
        <v>Stay at a comfortable and controlled intensity where you should be able to have a conversation without large pauses. Keep an even intensity and accept that your pace may change as the terrain changes.</v>
      </c>
      <c r="HR70" s="1079" t="str">
        <v>Stay at a comfortable and controlled intensity where you should be able to have a conversation without large pauses. Keep an even intensity and accept that your pace may change as the terrain changes.</v>
      </c>
      <c r="HS70" s="1079" t="str">
        <v xml:space="preserve">Fundamentally a steady, but you can be less strict at controlling your intensity as long as your average intensity is close to it's target by the end of the session </v>
      </c>
      <c r="HT70" s="1079" t="str">
        <v/>
      </c>
      <c r="HU70" s="1079" t="str">
        <v/>
      </c>
      <c r="HV70" s="1079" t="str">
        <v>Stay at a comfortable and controlled intensity where you should be able to have a conversation without large pauses. Keep an even intensity and accept that your pace may change as the terrain changes.</v>
      </c>
      <c r="HW70" s="1079" t="str">
        <v>Stay at a comfortable and controlled intensity where you should be able to have a conversation without large pauses. Keep an even intensity and accept that your pace may change as the terrain changes.</v>
      </c>
      <c r="HX70" s="1079" t="str">
        <v>Stay at a comfortable and controlled intensity where you should be able to have a conversation without large pauses. Keep an even intensity and accept that your pace may change as the terrain changes.</v>
      </c>
      <c r="HY70" s="1079" t="str">
        <v>Stay at a comfortable and controlled intensity where you should be able to have a conversation without large pauses. Keep an even intensity and accept that your pace may change as the terrain changes.</v>
      </c>
      <c r="HZ70" s="1079" t="str">
        <v>Stay at a comfortable and controlled intensity where you should be able to have a conversation without large pauses. Keep an even intensity and accept that your pace may change as the terrain changes.</v>
      </c>
      <c r="IA70" s="1079" t="str">
        <v>Stay at a comfortable and controlled intensity where you should be able to have a conversation without large pauses. Keep an even intensity and accept that your pace may change as the terrain changes.</v>
      </c>
      <c r="IB70" s="1079" t="str">
        <v>Stay at a comfortable and controlled intensity where you should be able to have a conversation without large pauses. Keep an even intensity and accept that your pace may change as the terrain changes.</v>
      </c>
      <c r="IC70" s="1079" t="str">
        <v>Stay at a comfortable and controlled intensity where you should be able to have a conversation without large pauses. Keep an even intensity and accept that your pace may change as the terrain changes.</v>
      </c>
      <c r="ID70" s="1079" t="str">
        <v>Stay at a comfortable and controlled intensity where you should be able to have a conversation without large pauses. Keep an even intensity and accept that your pace may change as the terrain changes.</v>
      </c>
      <c r="IE70" s="1079" t="str">
        <v>Stay at a comfortable and controlled intensity where you should be able to have a conversation without large pauses. Keep an even intensity and accept that your pace may change as the terrain changes.</v>
      </c>
      <c r="IF70" s="1079" t="str">
        <v xml:space="preserve">Fundamentally a steady, but you can be less strict at controlling your intensity as long as your average intensity is close to it's target by the end of the session </v>
      </c>
      <c r="IG70" s="1079" t="str">
        <v xml:space="preserve">Fundamentally a steady, but you can be less strict at controlling your intensity as long as your average intensity is close to it's target by the end of the session </v>
      </c>
      <c r="IH70" s="1079" t="str">
        <v xml:space="preserve">Fundamentally a steady, but you can be less strict at controlling your intensity as long as your average intensity is close to it's target by the end of the session </v>
      </c>
      <c r="II70" s="1079" t="str">
        <v>Take part in another sport or physical acticity</v>
      </c>
      <c r="IJ70" s="1079" t="str">
        <v/>
      </c>
      <c r="IK70" s="1079" t="str">
        <v/>
      </c>
      <c r="IL70" s="1079" t="str">
        <v/>
      </c>
      <c r="IM70" s="1079" t="str">
        <v/>
      </c>
      <c r="IN70" s="1079" t="str">
        <v/>
      </c>
      <c r="IO70" s="1079" t="str">
        <v/>
      </c>
      <c r="IP70" s="1079" t="str">
        <v/>
      </c>
      <c r="IQ70" s="1079" t="str">
        <v/>
      </c>
      <c r="IR70" s="1079" t="str">
        <v/>
      </c>
      <c r="IS70" s="1079" t="str">
        <v>Rest from continuous exercise.</v>
      </c>
      <c r="IT70" s="1079" t="str">
        <v xml:space="preserve">Fundamentally a steady, but you can be less strict at controlling your intensity as long as your average intensity is close to it's target by the end of the session </v>
      </c>
      <c r="IU70" s="1079" t="str">
        <v xml:space="preserve">Fundamentally a steady, but you can be less strict at controlling your intensity as long as your average intensity is close to it's target by the end of the session </v>
      </c>
      <c r="IV70" s="1079" t="str">
        <v xml:space="preserve">Fundamentally a steady, but you can be less strict at controlling your intensity as long as your average intensity is close to it's target by the end of the session </v>
      </c>
      <c r="IW70" s="1079" t="str">
        <v xml:space="preserve">Fundamentally a steady, but you can be less strict at controlling your intensity as long as your average intensity is close to it's target by the end of the session </v>
      </c>
      <c r="IX70" s="1079" t="str">
        <v xml:space="preserve">Fundamentally a steady, but you can be less strict at controlling your intensity as long as your average intensity is close to it's target by the end of the session </v>
      </c>
      <c r="IY70" s="1079" t="str">
        <v xml:space="preserve">Fundamentally a steady, but you can be less strict at controlling your intensity as long as your average intensity is close to it's target by the end of the session </v>
      </c>
      <c r="IZ70" s="1079" t="str">
        <v>Stay at a comfortable and controlled intensity where you should be able to have a conversation without large pauses. Keep an even intensity and accept that your pace may change as the terrain changes.</v>
      </c>
      <c r="JA70" s="1079" t="str">
        <v/>
      </c>
      <c r="JB70" s="1079" t="str">
        <v/>
      </c>
      <c r="JC70" s="1079" t="str">
        <v/>
      </c>
      <c r="JD70" s="1079" t="str">
        <v/>
      </c>
      <c r="JE70" s="1079" t="str">
        <v/>
      </c>
      <c r="JF70" s="1079" t="str">
        <v/>
      </c>
      <c r="JG70" s="1079" t="str">
        <v/>
      </c>
      <c r="JH70" s="1079" t="str">
        <v/>
      </c>
      <c r="JI70" s="1079" t="str">
        <v/>
      </c>
      <c r="JJ70" s="1079" t="str">
        <v/>
      </c>
      <c r="JK70" s="1079" t="str">
        <v/>
      </c>
      <c r="JL70" s="1079" t="str">
        <v/>
      </c>
      <c r="JM70" s="1079" t="str">
        <v/>
      </c>
      <c r="JN70" s="1079" t="str">
        <v/>
      </c>
      <c r="JO70" s="1079" t="str">
        <v/>
      </c>
      <c r="JP70" s="1079" t="str">
        <v/>
      </c>
      <c r="JQ70" s="1079" t="str">
        <v/>
      </c>
      <c r="JR70" s="1079" t="str">
        <v/>
      </c>
      <c r="JS70" s="1079" t="str">
        <v/>
      </c>
      <c r="JT70" s="1079" t="str">
        <v/>
      </c>
      <c r="JU70" s="1079" t="str">
        <v/>
      </c>
      <c r="JV70" s="1079" t="str">
        <v/>
      </c>
      <c r="JW70" s="1079" t="str">
        <v>The exact intensity will change depending on the length of the race. This optimum intensity can be found though a mix of natural urgency and reasoning with what your body is telling you.</v>
      </c>
      <c r="JX70" s="1079" t="str">
        <v>The exact intensity will change depending on the length of the race. This optimum intensity can be found though a mix of natural urgency and reasoning with what your body is telling you.</v>
      </c>
      <c r="JY70" s="1079" t="str">
        <v>The exact intensity will change depending on the length of the race. This optimum intensity can be found though a mix of natural urgency and reasoning with what your body is telling you.</v>
      </c>
      <c r="JZ70" s="1079" t="str">
        <v>The exact intensity will change depending on the length of the race. This optimum intensity can be found though a mix of natural urgency and reasoning with what your body is telling you.</v>
      </c>
      <c r="KA70" s="1079" t="str">
        <v>The exact intensity will change depending on the length of the race. This optimum intensity can be found though a mix of natural urgency and reasoning with what your body is telling you.</v>
      </c>
      <c r="KB70" s="1079" t="str">
        <v>The exact intensity will change depending on the length of the race. This optimum intensity can be found though a mix of natural urgency and reasoning with what your body is telling you.</v>
      </c>
      <c r="KC70" s="1079" t="str">
        <v>The exact intensity will change depending on the length of the race. This optimum intensity can be found though a mix of natural urgency and reasoning with what your body is telling you.</v>
      </c>
      <c r="KD70" s="1079" t="str">
        <v>The exact intensity will change depending on the length of the race. This optimum intensity can be found though a mix of natural urgency and reasoning with what your body is telling you.</v>
      </c>
      <c r="KE70" s="1079" t="str">
        <v>The exact intensity will change depending on the length of the race. This optimum intensity can be found though a mix of natural urgency and reasoning with what your body is telling you.</v>
      </c>
      <c r="KF70" s="1079" t="str">
        <v>The exact intensity will change depending on the length of the race. This optimum intensity can be found though a mix of natural urgency and reasoning with what your body is telling you.</v>
      </c>
      <c r="KG70" s="1079" t="str">
        <v>The exact intensity will change depending on the length of the race. This optimum intensity can be found though a mix of natural urgency and reasoning with what your body is telling you.</v>
      </c>
      <c r="KH70" s="1079" t="str">
        <v>The exact intensity will change depending on the length of the race. This optimum intensity can be found though a mix of natural urgency and reasoning with what your body is telling you.</v>
      </c>
      <c r="KI70" s="1079" t="str">
        <v>The exact intensity will change depending on the length of the race. This optimum intensity can be found though a mix of natural urgency and reasoning with what your body is telling you.</v>
      </c>
      <c r="KJ70" s="1079" t="str">
        <v>The exact intensity will change depending on the length of the race. This optimum intensity can be found though a mix of natural urgency and reasoning with what your body is telling you.</v>
      </c>
      <c r="KK70" s="1079" t="str">
        <v>The exact intensity will change depending on the length of the race. This optimum intensity can be found though a mix of natural urgency and reasoning with what your body is telling you.</v>
      </c>
      <c r="KL70" s="1079" t="str">
        <v/>
      </c>
      <c r="KM70" s="1079" t="str">
        <v/>
      </c>
      <c r="KN70" s="1079" t="str">
        <v/>
      </c>
      <c r="KO70" s="1079" t="str">
        <v/>
      </c>
      <c r="KP70" s="1080" t="str">
        <v/>
      </c>
      <c r="KQ70" s="701" t="s">
        <v>388</v>
      </c>
    </row>
    <row r="71" spans="1:303" s="76" customFormat="1" ht="81.75" hidden="1" customHeight="1" x14ac:dyDescent="0.45">
      <c r="A71" s="1757"/>
      <c r="B71" s="896">
        <v>2</v>
      </c>
      <c r="C71" s="580" t="str">
        <v/>
      </c>
      <c r="D71" s="581" t="str">
        <v/>
      </c>
      <c r="E71" s="581" t="str">
        <v/>
      </c>
      <c r="F71" s="581" t="str">
        <v/>
      </c>
      <c r="G71" s="581" t="str">
        <v/>
      </c>
      <c r="H71" s="581" t="str">
        <v/>
      </c>
      <c r="I71" s="581" t="str">
        <v/>
      </c>
      <c r="J71" s="581" t="str">
        <v/>
      </c>
      <c r="K71" s="581" t="str">
        <v>Do these either in the middlle or at the end of the session. Accelerate to just below sprint speed for 50 - 100 meters and use form focuses to enhance your technique. Walk back to the start before starting the next stride out.</v>
      </c>
      <c r="L71" s="581" t="str">
        <v>Do these either in the middlle or at the end of the session. Accelerate to just below sprint speed for 50 - 100 meters and use form focuses to enhance your technique. Walk back to the start before starting the next stride out.</v>
      </c>
      <c r="M71" s="581" t="str">
        <v>Do these either in the middlle or at the end of the session. Accelerate to just below sprint speed for 50 - 100 meters and use form focuses to enhance your technique. Walk back to the start before starting the next stride out.</v>
      </c>
      <c r="N71" s="581" t="str">
        <v/>
      </c>
      <c r="O71" s="581" t="str">
        <v/>
      </c>
      <c r="P71" s="581" t="str">
        <v/>
      </c>
      <c r="Q71" s="581" t="str">
        <v/>
      </c>
      <c r="R71" s="581" t="str">
        <v/>
      </c>
      <c r="S71" s="581" t="str">
        <v/>
      </c>
      <c r="T71" s="581" t="str">
        <v/>
      </c>
      <c r="U71" s="581" t="str">
        <v/>
      </c>
      <c r="V71" s="581" t="str">
        <v/>
      </c>
      <c r="W71" s="581" t="str">
        <v/>
      </c>
      <c r="X71" s="581" t="str">
        <v/>
      </c>
      <c r="Y71" s="581" t="str">
        <v/>
      </c>
      <c r="Z71" s="581" t="str">
        <v/>
      </c>
      <c r="AA71" s="581" t="str">
        <v/>
      </c>
      <c r="AB71" s="581" t="str">
        <v>Stay at a comfortable and controlled intensity where you should be able to have a conversation without large pauses. Keep an even intensity and accept that your pace may change as the terrain changes.</v>
      </c>
      <c r="AC71" s="581" t="str">
        <v>Stay at a comfortable and controlled intensity where you should be able to have a conversation without large pauses. Keep an even intensity and accept that your pace may change as the terrain changes.</v>
      </c>
      <c r="AD71" s="581" t="str">
        <v>Stay at a comfortable and controlled intensity where you should be able to have a conversation without large pauses. Keep an even intensity and accept that your pace may change as the terrain changes.</v>
      </c>
      <c r="AE71" s="581" t="str">
        <v>Stay at a comfortable and controlled intensity where you should be able to have a conversation without large pauses. Keep an even intensity and accept that your pace may change as the terrain changes.</v>
      </c>
      <c r="AF71" s="581" t="str">
        <v>Stay at a comfortable and controlled intensity where you should be able to have a conversation without large pauses. Keep an even intensity and accept that your pace may change as the terrain changes.</v>
      </c>
      <c r="AG71" s="581" t="str">
        <v/>
      </c>
      <c r="AH71" s="581" t="str">
        <v/>
      </c>
      <c r="AI71" s="581" t="str">
        <v/>
      </c>
      <c r="AJ71" s="581" t="str">
        <v/>
      </c>
      <c r="AK71" s="581" t="str">
        <v/>
      </c>
      <c r="AL71" s="581" t="str">
        <v/>
      </c>
      <c r="AM71" s="581" t="str">
        <v/>
      </c>
      <c r="AN71" s="581" t="str">
        <v/>
      </c>
      <c r="AO71" s="581" t="str">
        <v/>
      </c>
      <c r="AP71" s="581" t="str">
        <v/>
      </c>
      <c r="AQ71" s="581" t="str">
        <v/>
      </c>
      <c r="AR71" s="581" t="str">
        <v/>
      </c>
      <c r="AS71" s="581" t="str">
        <v/>
      </c>
      <c r="AT71" s="581" t="str">
        <v/>
      </c>
      <c r="AU71" s="581" t="str">
        <v/>
      </c>
      <c r="AV71" s="581" t="str">
        <v/>
      </c>
      <c r="AW71" s="581" t="str">
        <v/>
      </c>
      <c r="AX71" s="581" t="str">
        <v/>
      </c>
      <c r="AY71" s="581" t="str">
        <v/>
      </c>
      <c r="AZ71" s="581" t="str">
        <v/>
      </c>
      <c r="BA71" s="581" t="str">
        <v/>
      </c>
      <c r="BB71" s="581" t="str">
        <v/>
      </c>
      <c r="BC71" s="581" t="str">
        <v/>
      </c>
      <c r="BD71" s="581" t="str">
        <v/>
      </c>
      <c r="BE71" s="581" t="str">
        <v/>
      </c>
      <c r="BF71" s="581" t="str">
        <v/>
      </c>
      <c r="BG71" s="581" t="str">
        <v/>
      </c>
      <c r="BH71" s="581" t="str">
        <v/>
      </c>
      <c r="BI71" s="581" t="str">
        <v/>
      </c>
      <c r="BJ71" s="581" t="str">
        <v/>
      </c>
      <c r="BK71" s="581" t="str">
        <v>Stay at a comfortable and controlled intensity where you should be able to have a conversation without large pauses. Keep an even intensity and accept that your pace may change as the terrain changes.</v>
      </c>
      <c r="BL71" s="581" t="str">
        <v>Stay at a comfortable and controlled intensity where you should be able to have a conversation without large pauses. Keep an even intensity and accept that your pace may change as the terrain changes.</v>
      </c>
      <c r="BM71" s="581" t="str">
        <v>Stay at a comfortable and controlled intensity where you should be able to have a conversation without large pauses. Keep an even intensity and accept that your pace may change as the terrain changes.</v>
      </c>
      <c r="BN71" s="581" t="str">
        <v>Stay at a comfortable and controlled intensity where you should be able to have a conversation without large pauses. Keep an even intensity and accept that your pace may change as the terrain changes.</v>
      </c>
      <c r="BO71" s="581" t="str">
        <v>Stay at a comfortable and controlled intensity where you should be able to have a conversation without large pauses. Keep an even intensity and accept that your pace may change as the terrain changes.</v>
      </c>
      <c r="BP71" s="581" t="str">
        <v>Stay at a comfortable and controlled intensity where you should be able to have a conversation without large pauses. Keep an even intensity and accept that your pace may change as the terrain changes.</v>
      </c>
      <c r="BQ71" s="581" t="str">
        <v>Stay at a comfortable and controlled intensity where you should be able to have a conversation without large pauses. Keep an even intensity and accept that your pace may change as the terrain changes.</v>
      </c>
      <c r="BR71" s="581" t="str">
        <v>Stay at a comfortable and controlled intensity where you should be able to have a conversation without large pauses. Keep an even intensity and accept that your pace may change as the terrain changes.</v>
      </c>
      <c r="BS71" s="581" t="str">
        <v>Stay at a comfortable and controlled intensity where you should be able to have a conversation without large pauses. Keep an even intensity and accept that your pace may change as the terrain changes.</v>
      </c>
      <c r="BT71" s="581" t="str">
        <v/>
      </c>
      <c r="BU71" s="581" t="str">
        <v/>
      </c>
      <c r="BV71" s="581" t="str">
        <v>Do these either in the middlle or at the end of the session. Accelerate to just below sprint speed for 50 - 100 meters and use form focuses to enhance your technique. Walk back to the start before starting the next stride out.</v>
      </c>
      <c r="BW71" s="581" t="str">
        <v>Push your physical limits in extremely intense reps with long recoveries. Forget about your HR and pace data, and focus on your speed and mechanics. Warm up and warm down for 10 minutes each.</v>
      </c>
      <c r="BX71" s="581" t="str">
        <v>Stay at a comfortable and controlled intensity where you should be able to have a conversation without large pauses. Keep an even intensity and accept that your pace may change as the terrain changes.</v>
      </c>
      <c r="BY71" s="581" t="str">
        <v>Push your physical limits in extremely intense reps with long recoveries. Forget about your HR and pace data, and focus on your speed and mechanics. Warm up and warm down for 10 minutes each.</v>
      </c>
      <c r="BZ71" s="581" t="str">
        <v/>
      </c>
      <c r="CA71" s="581" t="str">
        <v>Use a hands, rollers, or balls on all major muscle groups with extra time on more sensitive or problematic areas or as guided by a coach or physio. Finish with 20 minutes of lower-limb stretching.</v>
      </c>
      <c r="CB71" s="581" t="str">
        <v>Perform a variety of specialised exercises to engage specific muscles. These sessions must be learned with a coach first but are relatively easy to continue with on your own. Demonstrate control and focus on posture and muscle activation.</v>
      </c>
      <c r="CC71" s="581" t="str">
        <v/>
      </c>
      <c r="CD71" s="581" t="str">
        <v>Perform a variety of specialised exercises to engage specific muscles. These sessions must be learned with a coach first but are relatively easy to continue with on your own. Demonstrate control and focus on posture and muscle activation.</v>
      </c>
      <c r="CE71" s="581" t="str">
        <v/>
      </c>
      <c r="CF71" s="581" t="str">
        <v/>
      </c>
      <c r="CG71" s="581" t="str">
        <v/>
      </c>
      <c r="CH71" s="581" t="str">
        <v/>
      </c>
      <c r="CI71" s="581" t="str">
        <v/>
      </c>
      <c r="CJ71" s="581" t="str">
        <v/>
      </c>
      <c r="CK71" s="581" t="str">
        <v/>
      </c>
      <c r="CL71" s="581" t="str">
        <v/>
      </c>
      <c r="CM71" s="581" t="str">
        <v/>
      </c>
      <c r="CN71" s="581" t="str">
        <v/>
      </c>
      <c r="CO71" s="581" t="str">
        <v/>
      </c>
      <c r="CP71" s="581" t="str">
        <v/>
      </c>
      <c r="CQ71" s="581" t="str">
        <v/>
      </c>
      <c r="CR71" s="581" t="str">
        <v/>
      </c>
      <c r="CS71" s="581" t="str">
        <v/>
      </c>
      <c r="CT71" s="581" t="str">
        <v/>
      </c>
      <c r="CU71" s="581" t="str">
        <v/>
      </c>
      <c r="CV71" s="581" t="str">
        <v/>
      </c>
      <c r="CW71" s="581" t="str">
        <v/>
      </c>
      <c r="CX71" s="581" t="str">
        <v/>
      </c>
      <c r="CY71" s="580" t="str">
        <v/>
      </c>
      <c r="CZ71" s="581" t="str">
        <v/>
      </c>
      <c r="DA71" s="581" t="str">
        <v/>
      </c>
      <c r="DB71" s="581" t="str">
        <v/>
      </c>
      <c r="DC71" s="581" t="str">
        <v/>
      </c>
      <c r="DD71" s="581" t="str">
        <v/>
      </c>
      <c r="DE71" s="581" t="str">
        <v/>
      </c>
      <c r="DF71" s="581" t="str">
        <v/>
      </c>
      <c r="DG71" s="581" t="str">
        <v/>
      </c>
      <c r="DH71" s="581" t="str">
        <v/>
      </c>
      <c r="DI71" s="581" t="str">
        <v/>
      </c>
      <c r="DJ71" s="581" t="str">
        <v/>
      </c>
      <c r="DK71" s="581" t="str">
        <v/>
      </c>
      <c r="DL71" s="581" t="str">
        <v/>
      </c>
      <c r="DM71" s="581" t="str">
        <v/>
      </c>
      <c r="DN71" s="581" t="str">
        <v/>
      </c>
      <c r="DO71" s="581" t="str">
        <v/>
      </c>
      <c r="DP71" s="581" t="str">
        <v/>
      </c>
      <c r="DQ71" s="581" t="str">
        <v/>
      </c>
      <c r="DR71" s="581" t="str">
        <v/>
      </c>
      <c r="DS71" s="581" t="str">
        <v/>
      </c>
      <c r="DT71" s="581" t="str">
        <v/>
      </c>
      <c r="DU71" s="581" t="str">
        <v/>
      </c>
      <c r="DV71" s="581" t="str">
        <v/>
      </c>
      <c r="DW71" s="581" t="str">
        <v/>
      </c>
      <c r="DX71" s="581" t="str">
        <v>Stay at a comfortable and controlled intensity where you should be able to have a conversation without large pauses. Keep an even intensity and accept that your pace may change as the terrain changes.</v>
      </c>
      <c r="DY71" s="581" t="str">
        <v>Stay at a comfortable and controlled intensity where you should be able to have a conversation without large pauses. Keep an even intensity and accept that your pace may change as the terrain changes.</v>
      </c>
      <c r="DZ71" s="581" t="str">
        <v>Stay at a comfortable and controlled intensity where you should be able to have a conversation without large pauses. Keep an even intensity and accept that your pace may change as the terrain changes.</v>
      </c>
      <c r="EA71" s="581" t="str">
        <v>Stay at a comfortable and controlled intensity where you should be able to have a conversation without large pauses. Keep an even intensity and accept that your pace may change as the terrain changes.</v>
      </c>
      <c r="EB71" s="581" t="str">
        <v>Stay at a comfortable and controlled intensity where you should be able to have a conversation without large pauses. Keep an even intensity and accept that your pace may change as the terrain changes.</v>
      </c>
      <c r="EC71" s="581" t="str">
        <v/>
      </c>
      <c r="ED71" s="581" t="str">
        <v/>
      </c>
      <c r="EE71" s="581" t="str">
        <v/>
      </c>
      <c r="EF71" s="581" t="str">
        <v/>
      </c>
      <c r="EG71" s="581" t="str">
        <v/>
      </c>
      <c r="EH71" s="581" t="str">
        <v/>
      </c>
      <c r="EI71" s="581" t="str">
        <v/>
      </c>
      <c r="EJ71" s="581" t="str">
        <v/>
      </c>
      <c r="EK71" s="581" t="str">
        <v/>
      </c>
      <c r="EL71" s="581" t="str">
        <v/>
      </c>
      <c r="EM71" s="581" t="str">
        <v/>
      </c>
      <c r="EN71" s="581" t="str">
        <v/>
      </c>
      <c r="EO71" s="581" t="str">
        <v/>
      </c>
      <c r="EP71" s="581" t="str">
        <v/>
      </c>
      <c r="EQ71" s="581" t="str">
        <v/>
      </c>
      <c r="ER71" s="581" t="str">
        <v/>
      </c>
      <c r="ES71" s="581" t="str">
        <v/>
      </c>
      <c r="ET71" s="581" t="str">
        <v/>
      </c>
      <c r="EU71" s="581" t="str">
        <v/>
      </c>
      <c r="EV71" s="581" t="str">
        <v/>
      </c>
      <c r="EW71" s="581" t="str">
        <v/>
      </c>
      <c r="EX71" s="581" t="str">
        <v/>
      </c>
      <c r="EY71" s="581" t="str">
        <v/>
      </c>
      <c r="EZ71" s="581" t="str">
        <v/>
      </c>
      <c r="FA71" s="581" t="str">
        <v/>
      </c>
      <c r="FB71" s="581" t="str">
        <v/>
      </c>
      <c r="FC71" s="581" t="str">
        <v/>
      </c>
      <c r="FD71" s="581" t="str">
        <v/>
      </c>
      <c r="FE71" s="581" t="str">
        <v/>
      </c>
      <c r="FF71" s="581" t="str">
        <v/>
      </c>
      <c r="FG71" s="581" t="str">
        <v/>
      </c>
      <c r="FH71" s="581" t="str">
        <v/>
      </c>
      <c r="FI71" s="581" t="str">
        <v/>
      </c>
      <c r="FJ71" s="581" t="str">
        <v/>
      </c>
      <c r="FK71" s="581" t="str">
        <v/>
      </c>
      <c r="FL71" s="581" t="str">
        <v/>
      </c>
      <c r="FM71" s="581" t="str">
        <v/>
      </c>
      <c r="FN71" s="581" t="str">
        <v>Stay at a comfortable and controlled intensity where you should be able to have a conversation without large pauses. Keep an even intensity and accept that your pace may change as the terrain changes.</v>
      </c>
      <c r="FO71" s="581" t="str">
        <v/>
      </c>
      <c r="FP71" s="581" t="str">
        <v/>
      </c>
      <c r="FQ71" s="581" t="str">
        <v/>
      </c>
      <c r="FR71" s="581" t="str">
        <v/>
      </c>
      <c r="FS71" s="581" t="str">
        <v/>
      </c>
      <c r="FT71" s="581" t="str">
        <v/>
      </c>
      <c r="FU71" s="581" t="str">
        <v/>
      </c>
      <c r="FV71" s="581" t="str">
        <v/>
      </c>
      <c r="FW71" s="581" t="str">
        <v/>
      </c>
      <c r="FX71" s="581" t="str">
        <v/>
      </c>
      <c r="FY71" s="581" t="str">
        <v/>
      </c>
      <c r="FZ71" s="581" t="str">
        <v/>
      </c>
      <c r="GA71" s="581" t="str">
        <v/>
      </c>
      <c r="GB71" s="581" t="str">
        <v/>
      </c>
      <c r="GC71" s="581" t="str">
        <v/>
      </c>
      <c r="GD71" s="581" t="str">
        <v/>
      </c>
      <c r="GE71" s="581" t="str">
        <v/>
      </c>
      <c r="GF71" s="581" t="str">
        <v/>
      </c>
      <c r="GG71" s="581" t="str">
        <v/>
      </c>
      <c r="GH71" s="581" t="str">
        <v/>
      </c>
      <c r="GI71" s="581" t="str">
        <v/>
      </c>
      <c r="GJ71" s="581" t="str">
        <v/>
      </c>
      <c r="GK71" s="581" t="str">
        <v/>
      </c>
      <c r="GL71" s="581" t="str">
        <v/>
      </c>
      <c r="GM71" s="581" t="str">
        <v/>
      </c>
      <c r="GN71" s="581" t="str">
        <v/>
      </c>
      <c r="GO71" s="581" t="str">
        <v/>
      </c>
      <c r="GP71" s="581" t="str">
        <v/>
      </c>
      <c r="GQ71" s="581" t="str">
        <v/>
      </c>
      <c r="GR71" s="581" t="str">
        <v/>
      </c>
      <c r="GS71" s="581" t="str">
        <v/>
      </c>
      <c r="GT71" s="581" t="str">
        <v/>
      </c>
      <c r="GU71" s="581" t="str">
        <v/>
      </c>
      <c r="GV71" s="581" t="str">
        <v/>
      </c>
      <c r="GW71" s="581" t="str">
        <v/>
      </c>
      <c r="GX71" s="581" t="str">
        <v/>
      </c>
      <c r="GY71" s="581" t="str">
        <v/>
      </c>
      <c r="GZ71" s="581" t="str">
        <v/>
      </c>
      <c r="HA71" s="581" t="str">
        <v/>
      </c>
      <c r="HB71" s="581" t="str">
        <v/>
      </c>
      <c r="HC71" s="581" t="str">
        <v/>
      </c>
      <c r="HD71" s="581" t="str">
        <v/>
      </c>
      <c r="HE71" s="581" t="str">
        <v/>
      </c>
      <c r="HF71" s="581" t="str">
        <v/>
      </c>
      <c r="HG71" s="581" t="str">
        <v/>
      </c>
      <c r="HH71" s="581" t="str">
        <v/>
      </c>
      <c r="HI71" s="581" t="str">
        <v/>
      </c>
      <c r="HJ71" s="581" t="str">
        <v/>
      </c>
      <c r="HK71" s="581" t="str">
        <v/>
      </c>
      <c r="HL71" s="581" t="str">
        <v/>
      </c>
      <c r="HM71" s="581" t="str">
        <v/>
      </c>
      <c r="HN71" s="581" t="str">
        <v/>
      </c>
      <c r="HO71" s="581" t="str">
        <v/>
      </c>
      <c r="HP71" s="581" t="str">
        <v/>
      </c>
      <c r="HQ71" s="581" t="str">
        <v/>
      </c>
      <c r="HR71" s="581" t="str">
        <v/>
      </c>
      <c r="HS71" s="581" t="str">
        <v/>
      </c>
      <c r="HT71" s="581" t="str">
        <v/>
      </c>
      <c r="HU71" s="581" t="str">
        <v/>
      </c>
      <c r="HV71" s="581" t="str">
        <v/>
      </c>
      <c r="HW71" s="581" t="str">
        <v/>
      </c>
      <c r="HX71" s="581" t="str">
        <v/>
      </c>
      <c r="HY71" s="581" t="str">
        <v/>
      </c>
      <c r="HZ71" s="581" t="str">
        <v/>
      </c>
      <c r="IA71" s="581" t="str">
        <v/>
      </c>
      <c r="IB71" s="581" t="str">
        <v/>
      </c>
      <c r="IC71" s="581" t="str">
        <v/>
      </c>
      <c r="ID71" s="581" t="str">
        <v/>
      </c>
      <c r="IE71" s="581" t="str">
        <v/>
      </c>
      <c r="IF71" s="581" t="str">
        <v/>
      </c>
      <c r="IG71" s="581" t="str">
        <v/>
      </c>
      <c r="IH71" s="581" t="str">
        <v/>
      </c>
      <c r="II71" s="581" t="str">
        <v/>
      </c>
      <c r="IJ71" s="581" t="str">
        <v/>
      </c>
      <c r="IK71" s="581" t="str">
        <v/>
      </c>
      <c r="IL71" s="581" t="str">
        <v/>
      </c>
      <c r="IM71" s="581" t="str">
        <v/>
      </c>
      <c r="IN71" s="581" t="str">
        <v/>
      </c>
      <c r="IO71" s="581" t="str">
        <v/>
      </c>
      <c r="IP71" s="581" t="str">
        <v/>
      </c>
      <c r="IQ71" s="581" t="str">
        <v/>
      </c>
      <c r="IR71" s="581" t="str">
        <v/>
      </c>
      <c r="IS71" s="581" t="str">
        <v/>
      </c>
      <c r="IT71" s="581" t="str">
        <v/>
      </c>
      <c r="IU71" s="581" t="str">
        <v/>
      </c>
      <c r="IV71" s="581" t="str">
        <v/>
      </c>
      <c r="IW71" s="581" t="str">
        <v/>
      </c>
      <c r="IX71" s="581" t="str">
        <v/>
      </c>
      <c r="IY71" s="581" t="str">
        <v/>
      </c>
      <c r="IZ71" s="581" t="str">
        <v/>
      </c>
      <c r="JA71" s="581" t="str">
        <v/>
      </c>
      <c r="JB71" s="581" t="str">
        <v/>
      </c>
      <c r="JC71" s="581" t="str">
        <v/>
      </c>
      <c r="JD71" s="581" t="str">
        <v/>
      </c>
      <c r="JE71" s="581" t="str">
        <v/>
      </c>
      <c r="JF71" s="581" t="str">
        <v/>
      </c>
      <c r="JG71" s="581" t="str">
        <v/>
      </c>
      <c r="JH71" s="581" t="str">
        <v/>
      </c>
      <c r="JI71" s="581" t="str">
        <v/>
      </c>
      <c r="JJ71" s="581" t="str">
        <v/>
      </c>
      <c r="JK71" s="581" t="str">
        <v/>
      </c>
      <c r="JL71" s="581" t="str">
        <v/>
      </c>
      <c r="JM71" s="581" t="str">
        <v/>
      </c>
      <c r="JN71" s="581" t="str">
        <v/>
      </c>
      <c r="JO71" s="581" t="str">
        <v/>
      </c>
      <c r="JP71" s="581" t="str">
        <v/>
      </c>
      <c r="JQ71" s="581" t="str">
        <v/>
      </c>
      <c r="JR71" s="581" t="str">
        <v/>
      </c>
      <c r="JS71" s="581" t="str">
        <v/>
      </c>
      <c r="JT71" s="581" t="str">
        <v/>
      </c>
      <c r="JU71" s="581" t="str">
        <v/>
      </c>
      <c r="JV71" s="581" t="str">
        <v/>
      </c>
      <c r="JW71" s="581" t="str">
        <v/>
      </c>
      <c r="JX71" s="581" t="str">
        <v/>
      </c>
      <c r="JY71" s="581" t="str">
        <v/>
      </c>
      <c r="JZ71" s="581" t="str">
        <v/>
      </c>
      <c r="KA71" s="581" t="str">
        <v/>
      </c>
      <c r="KB71" s="581" t="str">
        <v/>
      </c>
      <c r="KC71" s="581" t="str">
        <v/>
      </c>
      <c r="KD71" s="581" t="str">
        <v/>
      </c>
      <c r="KE71" s="581" t="str">
        <v/>
      </c>
      <c r="KF71" s="581" t="str">
        <v/>
      </c>
      <c r="KG71" s="581" t="str">
        <v/>
      </c>
      <c r="KH71" s="581" t="str">
        <v/>
      </c>
      <c r="KI71" s="581" t="str">
        <v/>
      </c>
      <c r="KJ71" s="581" t="str">
        <v/>
      </c>
      <c r="KK71" s="581" t="str">
        <v/>
      </c>
      <c r="KL71" s="581" t="str">
        <v/>
      </c>
      <c r="KM71" s="581" t="str">
        <v/>
      </c>
      <c r="KN71" s="581" t="str">
        <v/>
      </c>
      <c r="KO71" s="581" t="str">
        <v/>
      </c>
      <c r="KP71" s="919" t="str">
        <v/>
      </c>
      <c r="KQ71" s="701" t="s">
        <v>388</v>
      </c>
    </row>
    <row r="72" spans="1:303" s="76" customFormat="1" ht="81.75" hidden="1" customHeight="1" x14ac:dyDescent="0.45">
      <c r="A72" s="1757"/>
      <c r="B72" s="896">
        <v>3</v>
      </c>
      <c r="C72" s="580" t="str">
        <v/>
      </c>
      <c r="D72" s="581" t="str">
        <v/>
      </c>
      <c r="E72" s="581" t="str">
        <v/>
      </c>
      <c r="F72" s="581" t="str">
        <v/>
      </c>
      <c r="G72" s="581" t="str">
        <v/>
      </c>
      <c r="H72" s="581" t="str">
        <v/>
      </c>
      <c r="I72" s="581" t="str">
        <v/>
      </c>
      <c r="J72" s="581" t="str">
        <v/>
      </c>
      <c r="K72" s="581" t="str">
        <v/>
      </c>
      <c r="L72" s="581" t="str">
        <v/>
      </c>
      <c r="M72" s="581" t="str">
        <v/>
      </c>
      <c r="N72" s="581" t="str">
        <v/>
      </c>
      <c r="O72" s="581" t="str">
        <v/>
      </c>
      <c r="P72" s="581" t="str">
        <v/>
      </c>
      <c r="Q72" s="581" t="str">
        <v/>
      </c>
      <c r="R72" s="581" t="str">
        <v/>
      </c>
      <c r="S72" s="581" t="str">
        <v/>
      </c>
      <c r="T72" s="581" t="str">
        <v/>
      </c>
      <c r="U72" s="581" t="str">
        <v/>
      </c>
      <c r="V72" s="581" t="str">
        <v/>
      </c>
      <c r="W72" s="581" t="str">
        <v/>
      </c>
      <c r="X72" s="581" t="str">
        <v/>
      </c>
      <c r="Y72" s="581" t="str">
        <v/>
      </c>
      <c r="Z72" s="581" t="str">
        <v/>
      </c>
      <c r="AA72" s="581" t="str">
        <v/>
      </c>
      <c r="AB72" s="581" t="str">
        <v/>
      </c>
      <c r="AC72" s="581" t="str">
        <v/>
      </c>
      <c r="AD72" s="581" t="str">
        <v/>
      </c>
      <c r="AE72" s="581" t="str">
        <v/>
      </c>
      <c r="AF72" s="581" t="str">
        <v/>
      </c>
      <c r="AG72" s="581" t="str">
        <v/>
      </c>
      <c r="AH72" s="581" t="str">
        <v/>
      </c>
      <c r="AI72" s="581" t="str">
        <v/>
      </c>
      <c r="AJ72" s="581" t="str">
        <v/>
      </c>
      <c r="AK72" s="581" t="str">
        <v/>
      </c>
      <c r="AL72" s="581" t="str">
        <v/>
      </c>
      <c r="AM72" s="581" t="str">
        <v/>
      </c>
      <c r="AN72" s="581" t="str">
        <v/>
      </c>
      <c r="AO72" s="581" t="str">
        <v/>
      </c>
      <c r="AP72" s="581" t="str">
        <v/>
      </c>
      <c r="AQ72" s="581" t="str">
        <v/>
      </c>
      <c r="AR72" s="581" t="str">
        <v/>
      </c>
      <c r="AS72" s="581" t="str">
        <v/>
      </c>
      <c r="AT72" s="581" t="str">
        <v/>
      </c>
      <c r="AU72" s="581" t="str">
        <v/>
      </c>
      <c r="AV72" s="581" t="str">
        <v/>
      </c>
      <c r="AW72" s="581" t="str">
        <v/>
      </c>
      <c r="AX72" s="581" t="str">
        <v/>
      </c>
      <c r="AY72" s="581" t="str">
        <v/>
      </c>
      <c r="AZ72" s="581" t="str">
        <v/>
      </c>
      <c r="BA72" s="581" t="str">
        <v/>
      </c>
      <c r="BB72" s="581" t="str">
        <v/>
      </c>
      <c r="BC72" s="581" t="str">
        <v/>
      </c>
      <c r="BD72" s="581" t="str">
        <v/>
      </c>
      <c r="BE72" s="581" t="str">
        <v/>
      </c>
      <c r="BF72" s="581" t="str">
        <v/>
      </c>
      <c r="BG72" s="581" t="str">
        <v/>
      </c>
      <c r="BH72" s="581" t="str">
        <v/>
      </c>
      <c r="BI72" s="581" t="str">
        <v/>
      </c>
      <c r="BJ72" s="581" t="str">
        <v/>
      </c>
      <c r="BK72" s="581" t="str">
        <v/>
      </c>
      <c r="BL72" s="581" t="str">
        <v/>
      </c>
      <c r="BM72" s="581" t="str">
        <v/>
      </c>
      <c r="BN72" s="581" t="str">
        <v/>
      </c>
      <c r="BO72" s="581" t="str">
        <v/>
      </c>
      <c r="BP72" s="581" t="str">
        <v/>
      </c>
      <c r="BQ72" s="581" t="str">
        <v/>
      </c>
      <c r="BR72" s="581" t="str">
        <v/>
      </c>
      <c r="BS72" s="581" t="str">
        <v/>
      </c>
      <c r="BT72" s="581" t="str">
        <v/>
      </c>
      <c r="BU72" s="581" t="str">
        <v/>
      </c>
      <c r="BV72" s="581" t="str">
        <v/>
      </c>
      <c r="BW72" s="581" t="str">
        <v/>
      </c>
      <c r="BX72" s="581" t="str">
        <v/>
      </c>
      <c r="BY72" s="581" t="str">
        <v>Stay at a comfortable and controlled intensity where you should be able to have a conversation without large pauses. Keep an even intensity and accept that your pace may change as the terrain changes.</v>
      </c>
      <c r="BZ72" s="581" t="str">
        <v/>
      </c>
      <c r="CA72" s="581" t="str">
        <v/>
      </c>
      <c r="CB72" s="581" t="str">
        <v>Use a hands, rollers, or balls on all major muscle groups with extra time on more sensitive or problematic areas or as guided by a coach or physio. Finish with 20 minutes of lower-limb stretching.</v>
      </c>
      <c r="CC72" s="581" t="str">
        <v/>
      </c>
      <c r="CD72" s="581" t="str">
        <v/>
      </c>
      <c r="CE72" s="581" t="str">
        <v/>
      </c>
      <c r="CF72" s="581" t="str">
        <v/>
      </c>
      <c r="CG72" s="581" t="str">
        <v/>
      </c>
      <c r="CH72" s="581" t="str">
        <v/>
      </c>
      <c r="CI72" s="581" t="str">
        <v/>
      </c>
      <c r="CJ72" s="581" t="str">
        <v/>
      </c>
      <c r="CK72" s="581" t="str">
        <v/>
      </c>
      <c r="CL72" s="581" t="str">
        <v/>
      </c>
      <c r="CM72" s="581" t="str">
        <v/>
      </c>
      <c r="CN72" s="581" t="str">
        <v/>
      </c>
      <c r="CO72" s="581" t="str">
        <v/>
      </c>
      <c r="CP72" s="581" t="str">
        <v/>
      </c>
      <c r="CQ72" s="581" t="str">
        <v/>
      </c>
      <c r="CR72" s="581" t="str">
        <v/>
      </c>
      <c r="CS72" s="581" t="str">
        <v/>
      </c>
      <c r="CT72" s="581" t="str">
        <v/>
      </c>
      <c r="CU72" s="581" t="str">
        <v/>
      </c>
      <c r="CV72" s="581" t="str">
        <v/>
      </c>
      <c r="CW72" s="581" t="str">
        <v/>
      </c>
      <c r="CX72" s="581" t="str">
        <v/>
      </c>
      <c r="CY72" s="580" t="str">
        <v/>
      </c>
      <c r="CZ72" s="581" t="str">
        <v/>
      </c>
      <c r="DA72" s="581" t="str">
        <v/>
      </c>
      <c r="DB72" s="581" t="str">
        <v/>
      </c>
      <c r="DC72" s="581" t="str">
        <v/>
      </c>
      <c r="DD72" s="581" t="str">
        <v/>
      </c>
      <c r="DE72" s="581" t="str">
        <v/>
      </c>
      <c r="DF72" s="581" t="str">
        <v/>
      </c>
      <c r="DG72" s="581" t="str">
        <v/>
      </c>
      <c r="DH72" s="581" t="str">
        <v/>
      </c>
      <c r="DI72" s="581" t="str">
        <v/>
      </c>
      <c r="DJ72" s="581" t="str">
        <v/>
      </c>
      <c r="DK72" s="581" t="str">
        <v/>
      </c>
      <c r="DL72" s="581" t="str">
        <v/>
      </c>
      <c r="DM72" s="581" t="str">
        <v/>
      </c>
      <c r="DN72" s="581" t="str">
        <v/>
      </c>
      <c r="DO72" s="581" t="str">
        <v/>
      </c>
      <c r="DP72" s="581" t="str">
        <v/>
      </c>
      <c r="DQ72" s="581" t="str">
        <v/>
      </c>
      <c r="DR72" s="581" t="str">
        <v/>
      </c>
      <c r="DS72" s="581" t="str">
        <v/>
      </c>
      <c r="DT72" s="581" t="str">
        <v/>
      </c>
      <c r="DU72" s="581" t="str">
        <v/>
      </c>
      <c r="DV72" s="581" t="str">
        <v/>
      </c>
      <c r="DW72" s="581" t="str">
        <v/>
      </c>
      <c r="DX72" s="581" t="str">
        <v/>
      </c>
      <c r="DY72" s="581" t="str">
        <v/>
      </c>
      <c r="DZ72" s="581" t="str">
        <v/>
      </c>
      <c r="EA72" s="581" t="str">
        <v/>
      </c>
      <c r="EB72" s="581" t="str">
        <v/>
      </c>
      <c r="EC72" s="581" t="str">
        <v/>
      </c>
      <c r="ED72" s="581" t="str">
        <v/>
      </c>
      <c r="EE72" s="581" t="str">
        <v/>
      </c>
      <c r="EF72" s="581" t="str">
        <v/>
      </c>
      <c r="EG72" s="581" t="str">
        <v/>
      </c>
      <c r="EH72" s="581" t="str">
        <v/>
      </c>
      <c r="EI72" s="581" t="str">
        <v/>
      </c>
      <c r="EJ72" s="581" t="str">
        <v/>
      </c>
      <c r="EK72" s="581" t="str">
        <v/>
      </c>
      <c r="EL72" s="581" t="str">
        <v/>
      </c>
      <c r="EM72" s="581" t="str">
        <v/>
      </c>
      <c r="EN72" s="581" t="str">
        <v/>
      </c>
      <c r="EO72" s="581" t="str">
        <v/>
      </c>
      <c r="EP72" s="581" t="str">
        <v/>
      </c>
      <c r="EQ72" s="581" t="str">
        <v/>
      </c>
      <c r="ER72" s="581" t="str">
        <v/>
      </c>
      <c r="ES72" s="581" t="str">
        <v/>
      </c>
      <c r="ET72" s="581" t="str">
        <v/>
      </c>
      <c r="EU72" s="581" t="str">
        <v/>
      </c>
      <c r="EV72" s="581" t="str">
        <v/>
      </c>
      <c r="EW72" s="581" t="str">
        <v/>
      </c>
      <c r="EX72" s="581" t="str">
        <v/>
      </c>
      <c r="EY72" s="581" t="str">
        <v/>
      </c>
      <c r="EZ72" s="581" t="str">
        <v/>
      </c>
      <c r="FA72" s="581" t="str">
        <v/>
      </c>
      <c r="FB72" s="581" t="str">
        <v/>
      </c>
      <c r="FC72" s="581" t="str">
        <v/>
      </c>
      <c r="FD72" s="581" t="str">
        <v/>
      </c>
      <c r="FE72" s="581" t="str">
        <v/>
      </c>
      <c r="FF72" s="581" t="str">
        <v/>
      </c>
      <c r="FG72" s="581" t="str">
        <v/>
      </c>
      <c r="FH72" s="581" t="str">
        <v/>
      </c>
      <c r="FI72" s="581" t="str">
        <v/>
      </c>
      <c r="FJ72" s="581" t="str">
        <v/>
      </c>
      <c r="FK72" s="581" t="str">
        <v/>
      </c>
      <c r="FL72" s="581" t="str">
        <v/>
      </c>
      <c r="FM72" s="581" t="str">
        <v/>
      </c>
      <c r="FN72" s="581" t="str">
        <v/>
      </c>
      <c r="FO72" s="581" t="str">
        <v/>
      </c>
      <c r="FP72" s="581" t="str">
        <v/>
      </c>
      <c r="FQ72" s="581" t="str">
        <v/>
      </c>
      <c r="FR72" s="581" t="str">
        <v/>
      </c>
      <c r="FS72" s="581" t="str">
        <v/>
      </c>
      <c r="FT72" s="581" t="str">
        <v/>
      </c>
      <c r="FU72" s="581" t="str">
        <v/>
      </c>
      <c r="FV72" s="581" t="str">
        <v/>
      </c>
      <c r="FW72" s="581" t="str">
        <v/>
      </c>
      <c r="FX72" s="581" t="str">
        <v/>
      </c>
      <c r="FY72" s="581" t="str">
        <v/>
      </c>
      <c r="FZ72" s="581" t="str">
        <v/>
      </c>
      <c r="GA72" s="581" t="str">
        <v/>
      </c>
      <c r="GB72" s="581" t="str">
        <v/>
      </c>
      <c r="GC72" s="581" t="str">
        <v/>
      </c>
      <c r="GD72" s="581" t="str">
        <v/>
      </c>
      <c r="GE72" s="581" t="str">
        <v/>
      </c>
      <c r="GF72" s="581" t="str">
        <v/>
      </c>
      <c r="GG72" s="581" t="str">
        <v/>
      </c>
      <c r="GH72" s="581" t="str">
        <v/>
      </c>
      <c r="GI72" s="581" t="str">
        <v/>
      </c>
      <c r="GJ72" s="581" t="str">
        <v/>
      </c>
      <c r="GK72" s="581" t="str">
        <v/>
      </c>
      <c r="GL72" s="581" t="str">
        <v/>
      </c>
      <c r="GM72" s="581" t="str">
        <v/>
      </c>
      <c r="GN72" s="581" t="str">
        <v/>
      </c>
      <c r="GO72" s="581" t="str">
        <v/>
      </c>
      <c r="GP72" s="581" t="str">
        <v/>
      </c>
      <c r="GQ72" s="581" t="str">
        <v/>
      </c>
      <c r="GR72" s="581" t="str">
        <v/>
      </c>
      <c r="GS72" s="581" t="str">
        <v/>
      </c>
      <c r="GT72" s="581" t="str">
        <v/>
      </c>
      <c r="GU72" s="581" t="str">
        <v/>
      </c>
      <c r="GV72" s="581" t="str">
        <v/>
      </c>
      <c r="GW72" s="581" t="str">
        <v/>
      </c>
      <c r="GX72" s="581" t="str">
        <v/>
      </c>
      <c r="GY72" s="581" t="str">
        <v/>
      </c>
      <c r="GZ72" s="581" t="str">
        <v/>
      </c>
      <c r="HA72" s="581" t="str">
        <v/>
      </c>
      <c r="HB72" s="581" t="str">
        <v/>
      </c>
      <c r="HC72" s="581" t="str">
        <v/>
      </c>
      <c r="HD72" s="581" t="str">
        <v/>
      </c>
      <c r="HE72" s="581" t="str">
        <v/>
      </c>
      <c r="HF72" s="581" t="str">
        <v/>
      </c>
      <c r="HG72" s="581" t="str">
        <v/>
      </c>
      <c r="HH72" s="581" t="str">
        <v/>
      </c>
      <c r="HI72" s="581" t="str">
        <v/>
      </c>
      <c r="HJ72" s="581" t="str">
        <v/>
      </c>
      <c r="HK72" s="581" t="str">
        <v/>
      </c>
      <c r="HL72" s="581" t="str">
        <v/>
      </c>
      <c r="HM72" s="581" t="str">
        <v/>
      </c>
      <c r="HN72" s="581" t="str">
        <v/>
      </c>
      <c r="HO72" s="581" t="str">
        <v/>
      </c>
      <c r="HP72" s="581" t="str">
        <v/>
      </c>
      <c r="HQ72" s="581" t="str">
        <v/>
      </c>
      <c r="HR72" s="581" t="str">
        <v/>
      </c>
      <c r="HS72" s="581" t="str">
        <v/>
      </c>
      <c r="HT72" s="581" t="str">
        <v/>
      </c>
      <c r="HU72" s="581" t="str">
        <v/>
      </c>
      <c r="HV72" s="581" t="str">
        <v/>
      </c>
      <c r="HW72" s="581" t="str">
        <v/>
      </c>
      <c r="HX72" s="581" t="str">
        <v/>
      </c>
      <c r="HY72" s="581" t="str">
        <v/>
      </c>
      <c r="HZ72" s="581" t="str">
        <v/>
      </c>
      <c r="IA72" s="581" t="str">
        <v/>
      </c>
      <c r="IB72" s="581" t="str">
        <v/>
      </c>
      <c r="IC72" s="581" t="str">
        <v/>
      </c>
      <c r="ID72" s="581" t="str">
        <v/>
      </c>
      <c r="IE72" s="581" t="str">
        <v/>
      </c>
      <c r="IF72" s="581" t="str">
        <v/>
      </c>
      <c r="IG72" s="581" t="str">
        <v/>
      </c>
      <c r="IH72" s="581" t="str">
        <v/>
      </c>
      <c r="II72" s="581" t="str">
        <v/>
      </c>
      <c r="IJ72" s="581" t="str">
        <v/>
      </c>
      <c r="IK72" s="581" t="str">
        <v/>
      </c>
      <c r="IL72" s="581" t="str">
        <v/>
      </c>
      <c r="IM72" s="581" t="str">
        <v/>
      </c>
      <c r="IN72" s="581" t="str">
        <v/>
      </c>
      <c r="IO72" s="581" t="str">
        <v/>
      </c>
      <c r="IP72" s="581" t="str">
        <v/>
      </c>
      <c r="IQ72" s="581" t="str">
        <v/>
      </c>
      <c r="IR72" s="581" t="str">
        <v/>
      </c>
      <c r="IS72" s="581" t="str">
        <v/>
      </c>
      <c r="IT72" s="581" t="str">
        <v/>
      </c>
      <c r="IU72" s="581" t="str">
        <v/>
      </c>
      <c r="IV72" s="581" t="str">
        <v/>
      </c>
      <c r="IW72" s="581" t="str">
        <v/>
      </c>
      <c r="IX72" s="581" t="str">
        <v/>
      </c>
      <c r="IY72" s="581" t="str">
        <v/>
      </c>
      <c r="IZ72" s="581" t="str">
        <v/>
      </c>
      <c r="JA72" s="581" t="str">
        <v/>
      </c>
      <c r="JB72" s="581" t="str">
        <v/>
      </c>
      <c r="JC72" s="581" t="str">
        <v/>
      </c>
      <c r="JD72" s="581" t="str">
        <v/>
      </c>
      <c r="JE72" s="581" t="str">
        <v/>
      </c>
      <c r="JF72" s="581" t="str">
        <v/>
      </c>
      <c r="JG72" s="581" t="str">
        <v/>
      </c>
      <c r="JH72" s="581" t="str">
        <v/>
      </c>
      <c r="JI72" s="581" t="str">
        <v/>
      </c>
      <c r="JJ72" s="581" t="str">
        <v/>
      </c>
      <c r="JK72" s="581" t="str">
        <v/>
      </c>
      <c r="JL72" s="581" t="str">
        <v/>
      </c>
      <c r="JM72" s="581" t="str">
        <v/>
      </c>
      <c r="JN72" s="581" t="str">
        <v/>
      </c>
      <c r="JO72" s="581" t="str">
        <v/>
      </c>
      <c r="JP72" s="581" t="str">
        <v/>
      </c>
      <c r="JQ72" s="581" t="str">
        <v/>
      </c>
      <c r="JR72" s="581" t="str">
        <v/>
      </c>
      <c r="JS72" s="581" t="str">
        <v/>
      </c>
      <c r="JT72" s="581" t="str">
        <v/>
      </c>
      <c r="JU72" s="581" t="str">
        <v/>
      </c>
      <c r="JV72" s="581" t="str">
        <v/>
      </c>
      <c r="JW72" s="581" t="str">
        <v/>
      </c>
      <c r="JX72" s="581" t="str">
        <v/>
      </c>
      <c r="JY72" s="581" t="str">
        <v/>
      </c>
      <c r="JZ72" s="581" t="str">
        <v/>
      </c>
      <c r="KA72" s="581" t="str">
        <v/>
      </c>
      <c r="KB72" s="581" t="str">
        <v/>
      </c>
      <c r="KC72" s="581" t="str">
        <v/>
      </c>
      <c r="KD72" s="581" t="str">
        <v/>
      </c>
      <c r="KE72" s="581" t="str">
        <v/>
      </c>
      <c r="KF72" s="581" t="str">
        <v/>
      </c>
      <c r="KG72" s="581" t="str">
        <v/>
      </c>
      <c r="KH72" s="581" t="str">
        <v/>
      </c>
      <c r="KI72" s="581" t="str">
        <v/>
      </c>
      <c r="KJ72" s="581" t="str">
        <v/>
      </c>
      <c r="KK72" s="581" t="str">
        <v/>
      </c>
      <c r="KL72" s="581" t="str">
        <v/>
      </c>
      <c r="KM72" s="581" t="str">
        <v/>
      </c>
      <c r="KN72" s="581" t="str">
        <v/>
      </c>
      <c r="KO72" s="581" t="str">
        <v/>
      </c>
      <c r="KP72" s="919" t="str">
        <v/>
      </c>
      <c r="KQ72" s="701" t="s">
        <v>388</v>
      </c>
    </row>
    <row r="73" spans="1:303" s="76" customFormat="1" ht="81.75" hidden="1" customHeight="1" x14ac:dyDescent="0.45">
      <c r="A73" s="1757"/>
      <c r="B73" s="1496" t="s">
        <v>724</v>
      </c>
      <c r="C73" s="580" t="str">
        <f t="array" ref="C73:KP73">IFERROR(CONCATENATE(INDEX(nutrition_description,, sessions_nutrition_index), "
",INDEX(fuelling_options_info,, sessions_nutrition_index)  ),"")</f>
        <v/>
      </c>
      <c r="D73" s="581" t="str">
        <v/>
      </c>
      <c r="E73" s="581" t="str">
        <v/>
      </c>
      <c r="F73" s="581" t="str">
        <v/>
      </c>
      <c r="G73" s="581" t="str">
        <v/>
      </c>
      <c r="H73" s="581" t="str">
        <v/>
      </c>
      <c r="I73" s="581" t="str">
        <v/>
      </c>
      <c r="J73" s="581" t="str">
        <v/>
      </c>
      <c r="K73" s="581" t="str">
        <v/>
      </c>
      <c r="L73" s="581" t="str">
        <v/>
      </c>
      <c r="M73" s="581" t="str">
        <v/>
      </c>
      <c r="N73" s="581" t="str">
        <v/>
      </c>
      <c r="O73" s="581" t="str">
        <v/>
      </c>
      <c r="P73" s="581" t="str">
        <v/>
      </c>
      <c r="Q73" s="581" t="str">
        <v/>
      </c>
      <c r="R73" s="581" t="str">
        <v/>
      </c>
      <c r="S73" s="581" t="str">
        <v/>
      </c>
      <c r="T73" s="581" t="str">
        <v/>
      </c>
      <c r="U73" s="581" t="str">
        <v/>
      </c>
      <c r="V73" s="581" t="str">
        <v/>
      </c>
      <c r="W73" s="581" t="str">
        <v/>
      </c>
      <c r="X73" s="581" t="str">
        <v/>
      </c>
      <c r="Y73" s="581" t="str">
        <v/>
      </c>
      <c r="Z73" s="581" t="str">
        <v/>
      </c>
      <c r="AA73" s="581" t="str">
        <v/>
      </c>
      <c r="AB73" s="581" t="str">
        <v/>
      </c>
      <c r="AC73" s="581" t="str">
        <v/>
      </c>
      <c r="AD73" s="581" t="str">
        <v/>
      </c>
      <c r="AE73" s="581" t="str">
        <v/>
      </c>
      <c r="AF73" s="581" t="str">
        <v/>
      </c>
      <c r="AG73" s="581" t="str">
        <v/>
      </c>
      <c r="AH73" s="581" t="str">
        <v/>
      </c>
      <c r="AI73" s="581" t="str">
        <v/>
      </c>
      <c r="AJ73" s="581" t="str">
        <v/>
      </c>
      <c r="AK73" s="581" t="str">
        <v/>
      </c>
      <c r="AL73" s="581" t="str">
        <v/>
      </c>
      <c r="AM73" s="581" t="str">
        <v/>
      </c>
      <c r="AN73" s="581" t="str">
        <v/>
      </c>
      <c r="AO73" s="581" t="str">
        <v/>
      </c>
      <c r="AP73" s="581" t="str">
        <v/>
      </c>
      <c r="AQ73" s="581" t="str">
        <v/>
      </c>
      <c r="AR73" s="581" t="str">
        <v/>
      </c>
      <c r="AS73" s="581" t="str">
        <v/>
      </c>
      <c r="AT73" s="581" t="str">
        <v/>
      </c>
      <c r="AU73" s="581" t="str">
        <v/>
      </c>
      <c r="AV73" s="581" t="str">
        <v/>
      </c>
      <c r="AW73" s="581" t="str">
        <v/>
      </c>
      <c r="AX73" s="581" t="str">
        <v/>
      </c>
      <c r="AY73" s="581" t="str">
        <v/>
      </c>
      <c r="AZ73" s="581" t="str">
        <v/>
      </c>
      <c r="BA73" s="581" t="str">
        <v/>
      </c>
      <c r="BB73" s="581" t="str">
        <v/>
      </c>
      <c r="BC73" s="581" t="str">
        <v/>
      </c>
      <c r="BD73" s="581" t="str">
        <v/>
      </c>
      <c r="BE73" s="581" t="str">
        <v/>
      </c>
      <c r="BF73" s="581" t="str">
        <v/>
      </c>
      <c r="BG73" s="581" t="str">
        <v/>
      </c>
      <c r="BH73" s="581" t="str">
        <v/>
      </c>
      <c r="BI73" s="581" t="str">
        <v/>
      </c>
      <c r="BJ73" s="581" t="str">
        <v/>
      </c>
      <c r="BK73" s="581" t="str">
        <v/>
      </c>
      <c r="BL73" s="581" t="str">
        <v/>
      </c>
      <c r="BM73" s="581" t="str">
        <v/>
      </c>
      <c r="BN73" s="581" t="str">
        <v/>
      </c>
      <c r="BO73" s="581" t="str">
        <v/>
      </c>
      <c r="BP73" s="581" t="str">
        <v/>
      </c>
      <c r="BQ73" s="581" t="str">
        <v/>
      </c>
      <c r="BR73" s="581" t="str">
        <v/>
      </c>
      <c r="BS73" s="581" t="str">
        <v/>
      </c>
      <c r="BT73" s="581" t="str">
        <v/>
      </c>
      <c r="BU73" s="581" t="str">
        <v/>
      </c>
      <c r="BV73" s="581" t="str">
        <v/>
      </c>
      <c r="BW73" s="581" t="str">
        <v/>
      </c>
      <c r="BX73" s="581" t="str">
        <v/>
      </c>
      <c r="BY73" s="581" t="str">
        <v/>
      </c>
      <c r="BZ73" s="581" t="str">
        <v/>
      </c>
      <c r="CA73" s="581" t="str">
        <v/>
      </c>
      <c r="CB73" s="581" t="str">
        <v/>
      </c>
      <c r="CC73" s="581" t="str">
        <v/>
      </c>
      <c r="CD73" s="581" t="str">
        <v/>
      </c>
      <c r="CE73" s="581" t="str">
        <v/>
      </c>
      <c r="CF73" s="581" t="str">
        <v/>
      </c>
      <c r="CG73" s="581" t="str">
        <v/>
      </c>
      <c r="CH73" s="581" t="str">
        <v/>
      </c>
      <c r="CI73" s="581" t="str">
        <v/>
      </c>
      <c r="CJ73" s="581" t="str">
        <v/>
      </c>
      <c r="CK73" s="581" t="str">
        <v/>
      </c>
      <c r="CL73" s="581" t="str">
        <v/>
      </c>
      <c r="CM73" s="581" t="str">
        <v/>
      </c>
      <c r="CN73" s="581" t="str">
        <v/>
      </c>
      <c r="CO73" s="581" t="str">
        <v/>
      </c>
      <c r="CP73" s="581" t="str">
        <v/>
      </c>
      <c r="CQ73" s="581" t="str">
        <v/>
      </c>
      <c r="CR73" s="581" t="str">
        <v/>
      </c>
      <c r="CS73" s="581" t="str">
        <v/>
      </c>
      <c r="CT73" s="581" t="str">
        <v/>
      </c>
      <c r="CU73" s="581" t="str">
        <v/>
      </c>
      <c r="CV73" s="581" t="str">
        <v/>
      </c>
      <c r="CW73" s="581" t="str">
        <v/>
      </c>
      <c r="CX73" s="581" t="str">
        <v/>
      </c>
      <c r="CY73" s="580" t="str">
        <v/>
      </c>
      <c r="CZ73" s="581" t="str">
        <v/>
      </c>
      <c r="DA73" s="581" t="str">
        <v/>
      </c>
      <c r="DB73" s="581" t="str">
        <v/>
      </c>
      <c r="DC73" s="581" t="str">
        <v/>
      </c>
      <c r="DD73" s="581" t="str">
        <v/>
      </c>
      <c r="DE73" s="581" t="str">
        <v/>
      </c>
      <c r="DF73" s="581" t="str">
        <v/>
      </c>
      <c r="DG73" s="581" t="str">
        <v/>
      </c>
      <c r="DH73" s="581" t="str">
        <v/>
      </c>
      <c r="DI73" s="581" t="str">
        <v/>
      </c>
      <c r="DJ73" s="581" t="str">
        <v/>
      </c>
      <c r="DK73" s="581" t="str">
        <v/>
      </c>
      <c r="DL73" s="581" t="str">
        <v/>
      </c>
      <c r="DM73" s="581" t="str">
        <v/>
      </c>
      <c r="DN73" s="581" t="str">
        <v/>
      </c>
      <c r="DO73" s="581" t="str">
        <v/>
      </c>
      <c r="DP73" s="581" t="str">
        <v/>
      </c>
      <c r="DQ73" s="581" t="str">
        <v/>
      </c>
      <c r="DR73" s="581" t="str">
        <v/>
      </c>
      <c r="DS73" s="581" t="str">
        <v/>
      </c>
      <c r="DT73" s="581" t="str">
        <v/>
      </c>
      <c r="DU73" s="581" t="str">
        <v/>
      </c>
      <c r="DV73" s="581" t="str">
        <v/>
      </c>
      <c r="DW73" s="581" t="str">
        <v/>
      </c>
      <c r="DX73" s="581" t="str">
        <v/>
      </c>
      <c r="DY73" s="581" t="str">
        <v/>
      </c>
      <c r="DZ73" s="581" t="str">
        <v/>
      </c>
      <c r="EA73" s="581" t="str">
        <v/>
      </c>
      <c r="EB73" s="581" t="str">
        <v/>
      </c>
      <c r="EC73" s="581" t="str">
        <v/>
      </c>
      <c r="ED73" s="581" t="str">
        <v/>
      </c>
      <c r="EE73" s="581" t="str">
        <v/>
      </c>
      <c r="EF73" s="581" t="str">
        <v/>
      </c>
      <c r="EG73" s="581" t="str">
        <v/>
      </c>
      <c r="EH73" s="581" t="str">
        <v/>
      </c>
      <c r="EI73" s="581" t="str">
        <v/>
      </c>
      <c r="EJ73" s="581" t="str">
        <v/>
      </c>
      <c r="EK73" s="581" t="str">
        <v/>
      </c>
      <c r="EL73" s="581" t="str">
        <v/>
      </c>
      <c r="EM73" s="581" t="str">
        <v/>
      </c>
      <c r="EN73" s="581" t="str">
        <v/>
      </c>
      <c r="EO73" s="581" t="str">
        <v/>
      </c>
      <c r="EP73" s="581" t="str">
        <v/>
      </c>
      <c r="EQ73" s="581" t="str">
        <v/>
      </c>
      <c r="ER73" s="581" t="str">
        <v/>
      </c>
      <c r="ES73" s="581" t="str">
        <v/>
      </c>
      <c r="ET73" s="581" t="str">
        <v/>
      </c>
      <c r="EU73" s="581" t="str">
        <v/>
      </c>
      <c r="EV73" s="581" t="str">
        <v/>
      </c>
      <c r="EW73" s="581" t="str">
        <v/>
      </c>
      <c r="EX73" s="581" t="str">
        <v/>
      </c>
      <c r="EY73" s="581" t="str">
        <v/>
      </c>
      <c r="EZ73" s="581" t="str">
        <v/>
      </c>
      <c r="FA73" s="581" t="str">
        <v/>
      </c>
      <c r="FB73" s="581" t="str">
        <v/>
      </c>
      <c r="FC73" s="581" t="str">
        <v/>
      </c>
      <c r="FD73" s="581" t="str">
        <v/>
      </c>
      <c r="FE73" s="581" t="str">
        <v/>
      </c>
      <c r="FF73" s="581" t="str">
        <v/>
      </c>
      <c r="FG73" s="581" t="str">
        <v/>
      </c>
      <c r="FH73" s="581" t="str">
        <v/>
      </c>
      <c r="FI73" s="581" t="str">
        <v/>
      </c>
      <c r="FJ73" s="581" t="str">
        <v/>
      </c>
      <c r="FK73" s="581" t="str">
        <v/>
      </c>
      <c r="FL73" s="581" t="str">
        <v/>
      </c>
      <c r="FM73" s="581" t="str">
        <v/>
      </c>
      <c r="FN73" s="581" t="str">
        <v/>
      </c>
      <c r="FO73" s="581" t="str">
        <v/>
      </c>
      <c r="FP73" s="581" t="str">
        <v/>
      </c>
      <c r="FQ73" s="581" t="str">
        <v/>
      </c>
      <c r="FR73" s="581" t="str">
        <v/>
      </c>
      <c r="FS73" s="581" t="str">
        <v/>
      </c>
      <c r="FT73" s="581" t="str">
        <v/>
      </c>
      <c r="FU73" s="581" t="str">
        <v/>
      </c>
      <c r="FV73" s="581" t="str">
        <v/>
      </c>
      <c r="FW73" s="581" t="str">
        <v/>
      </c>
      <c r="FX73" s="581" t="str">
        <v/>
      </c>
      <c r="FY73" s="581" t="str">
        <v/>
      </c>
      <c r="FZ73" s="581" t="str">
        <v/>
      </c>
      <c r="GA73" s="581" t="str">
        <v/>
      </c>
      <c r="GB73" s="581" t="str">
        <v/>
      </c>
      <c r="GC73" s="581" t="str">
        <v/>
      </c>
      <c r="GD73" s="581" t="str">
        <v/>
      </c>
      <c r="GE73" s="581" t="str">
        <v/>
      </c>
      <c r="GF73" s="581" t="str">
        <v/>
      </c>
      <c r="GG73" s="581" t="str">
        <v/>
      </c>
      <c r="GH73" s="581" t="str">
        <v/>
      </c>
      <c r="GI73" s="581" t="str">
        <v/>
      </c>
      <c r="GJ73" s="581" t="str">
        <v/>
      </c>
      <c r="GK73" s="581" t="str">
        <v/>
      </c>
      <c r="GL73" s="581" t="str">
        <v/>
      </c>
      <c r="GM73" s="581" t="str">
        <v/>
      </c>
      <c r="GN73" s="581" t="str">
        <v/>
      </c>
      <c r="GO73" s="581" t="str">
        <v/>
      </c>
      <c r="GP73" s="581" t="str">
        <v/>
      </c>
      <c r="GQ73" s="581" t="str">
        <v/>
      </c>
      <c r="GR73" s="581" t="str">
        <v/>
      </c>
      <c r="GS73" s="581" t="str">
        <v/>
      </c>
      <c r="GT73" s="581" t="str">
        <v/>
      </c>
      <c r="GU73" s="581" t="str">
        <v/>
      </c>
      <c r="GV73" s="581" t="str">
        <v/>
      </c>
      <c r="GW73" s="581" t="str">
        <v/>
      </c>
      <c r="GX73" s="581" t="str">
        <v/>
      </c>
      <c r="GY73" s="581" t="str">
        <v/>
      </c>
      <c r="GZ73" s="581" t="str">
        <v/>
      </c>
      <c r="HA73" s="581" t="str">
        <v/>
      </c>
      <c r="HB73" s="581" t="str">
        <v/>
      </c>
      <c r="HC73" s="581" t="str">
        <v/>
      </c>
      <c r="HD73" s="581" t="str">
        <v/>
      </c>
      <c r="HE73" s="581" t="str">
        <v/>
      </c>
      <c r="HF73" s="581" t="str">
        <v/>
      </c>
      <c r="HG73" s="581" t="str">
        <v/>
      </c>
      <c r="HH73" s="581" t="str">
        <v/>
      </c>
      <c r="HI73" s="581" t="str">
        <v/>
      </c>
      <c r="HJ73" s="581" t="str">
        <v/>
      </c>
      <c r="HK73" s="581" t="str">
        <v/>
      </c>
      <c r="HL73" s="581" t="str">
        <v/>
      </c>
      <c r="HM73" s="581" t="str">
        <v/>
      </c>
      <c r="HN73" s="581" t="str">
        <v/>
      </c>
      <c r="HO73" s="581" t="str">
        <v/>
      </c>
      <c r="HP73" s="581" t="str">
        <v/>
      </c>
      <c r="HQ73" s="581" t="str">
        <v/>
      </c>
      <c r="HR73" s="581" t="str">
        <v/>
      </c>
      <c r="HS73" s="581" t="str">
        <v/>
      </c>
      <c r="HT73" s="581" t="str">
        <v/>
      </c>
      <c r="HU73" s="581" t="str">
        <v/>
      </c>
      <c r="HV73" s="581" t="str">
        <v/>
      </c>
      <c r="HW73" s="581" t="str">
        <v/>
      </c>
      <c r="HX73" s="581" t="str">
        <v/>
      </c>
      <c r="HY73" s="581" t="str">
        <v/>
      </c>
      <c r="HZ73" s="581" t="str">
        <v/>
      </c>
      <c r="IA73" s="581" t="str">
        <v/>
      </c>
      <c r="IB73" s="581" t="str">
        <v/>
      </c>
      <c r="IC73" s="581" t="str">
        <v/>
      </c>
      <c r="ID73" s="581" t="str">
        <v/>
      </c>
      <c r="IE73" s="581" t="str">
        <v/>
      </c>
      <c r="IF73" s="581" t="str">
        <v/>
      </c>
      <c r="IG73" s="581" t="str">
        <v/>
      </c>
      <c r="IH73" s="581" t="str">
        <v/>
      </c>
      <c r="II73" s="581" t="str">
        <v/>
      </c>
      <c r="IJ73" s="581" t="str">
        <v/>
      </c>
      <c r="IK73" s="581" t="str">
        <v/>
      </c>
      <c r="IL73" s="581" t="str">
        <v/>
      </c>
      <c r="IM73" s="581" t="str">
        <v/>
      </c>
      <c r="IN73" s="581" t="str">
        <v/>
      </c>
      <c r="IO73" s="581" t="str">
        <v/>
      </c>
      <c r="IP73" s="581" t="str">
        <v/>
      </c>
      <c r="IQ73" s="581" t="str">
        <v/>
      </c>
      <c r="IR73" s="581" t="str">
        <v/>
      </c>
      <c r="IS73" s="581" t="str">
        <v/>
      </c>
      <c r="IT73" s="581" t="str">
        <v/>
      </c>
      <c r="IU73" s="581" t="str">
        <v/>
      </c>
      <c r="IV73" s="581" t="str">
        <v/>
      </c>
      <c r="IW73" s="581" t="str">
        <v/>
      </c>
      <c r="IX73" s="581" t="str">
        <v/>
      </c>
      <c r="IY73" s="581" t="str">
        <v/>
      </c>
      <c r="IZ73" s="581" t="str">
        <v/>
      </c>
      <c r="JA73" s="581" t="str">
        <v/>
      </c>
      <c r="JB73" s="581" t="str">
        <v/>
      </c>
      <c r="JC73" s="581" t="str">
        <v/>
      </c>
      <c r="JD73" s="581" t="str">
        <v/>
      </c>
      <c r="JE73" s="581" t="str">
        <v/>
      </c>
      <c r="JF73" s="581" t="str">
        <v/>
      </c>
      <c r="JG73" s="581" t="str">
        <v/>
      </c>
      <c r="JH73" s="581" t="str">
        <v/>
      </c>
      <c r="JI73" s="581" t="str">
        <v/>
      </c>
      <c r="JJ73" s="581" t="str">
        <v/>
      </c>
      <c r="JK73" s="581" t="str">
        <v/>
      </c>
      <c r="JL73" s="581" t="str">
        <v/>
      </c>
      <c r="JM73" s="581" t="str">
        <v/>
      </c>
      <c r="JN73" s="581" t="str">
        <v/>
      </c>
      <c r="JO73" s="581" t="str">
        <v/>
      </c>
      <c r="JP73" s="581" t="str">
        <v/>
      </c>
      <c r="JQ73" s="581" t="str">
        <v/>
      </c>
      <c r="JR73" s="581" t="str">
        <v/>
      </c>
      <c r="JS73" s="581" t="str">
        <v/>
      </c>
      <c r="JT73" s="581" t="str">
        <v/>
      </c>
      <c r="JU73" s="581" t="str">
        <v/>
      </c>
      <c r="JV73" s="581" t="str">
        <v/>
      </c>
      <c r="JW73" s="581" t="str">
        <v/>
      </c>
      <c r="JX73" s="581" t="str">
        <v/>
      </c>
      <c r="JY73" s="581" t="str">
        <v/>
      </c>
      <c r="JZ73" s="581" t="str">
        <v/>
      </c>
      <c r="KA73" s="581" t="str">
        <v/>
      </c>
      <c r="KB73" s="581" t="str">
        <v/>
      </c>
      <c r="KC73" s="581" t="str">
        <v/>
      </c>
      <c r="KD73" s="581" t="str">
        <v/>
      </c>
      <c r="KE73" s="581" t="str">
        <v/>
      </c>
      <c r="KF73" s="581" t="str">
        <v/>
      </c>
      <c r="KG73" s="581" t="str">
        <v/>
      </c>
      <c r="KH73" s="581" t="str">
        <v/>
      </c>
      <c r="KI73" s="581" t="str">
        <v/>
      </c>
      <c r="KJ73" s="581" t="str">
        <v/>
      </c>
      <c r="KK73" s="581" t="str">
        <v/>
      </c>
      <c r="KL73" s="581" t="str">
        <v/>
      </c>
      <c r="KM73" s="581" t="str">
        <v/>
      </c>
      <c r="KN73" s="581" t="str">
        <v/>
      </c>
      <c r="KO73" s="581" t="str">
        <v/>
      </c>
      <c r="KP73" s="919" t="str">
        <v/>
      </c>
      <c r="KQ73" s="701"/>
    </row>
    <row r="74" spans="1:303" s="76" customFormat="1" ht="81.75" hidden="1" customHeight="1" x14ac:dyDescent="0.45">
      <c r="A74" s="1764"/>
      <c r="B74" s="583" t="s">
        <v>402</v>
      </c>
      <c r="C74" s="582" t="str">
        <f t="array" ref="C74:KP74">CONCATENATE(IFERROR(CONCATENATE(IF(sessions_description_secondary="", "", "1. "),INDEX(elements_description,,sessions_element_index_primary)),""),IFERROR(CONCATENATE("
2. ",INDEX(elements_description,,sessions_element_index_secondary)),""),IFERROR(CONCATENATE("
3. ",INDEX(elements_description,,sessions_element_index_tertiary)),""))</f>
        <v>Rest from continuous exercise.</v>
      </c>
      <c r="D74" s="582" t="str">
        <v>Stay at a comfortable and controlled intensity where you should be able to have a conversation without large pauses. Keep an even intensity and accept that your pace may change as the terrain changes.</v>
      </c>
      <c r="E74" s="582" t="str">
        <v>Stay at a comfortable and controlled intensity where you should be able to have a conversation without large pauses. Keep an even intensity and accept that your pace may change as the terrain changes.</v>
      </c>
      <c r="F74" s="582" t="str">
        <v>Stay at a comfortable and controlled intensity where you should be able to have a conversation without large pauses. Keep an even intensity and accept that your pace may change as the terrain changes.</v>
      </c>
      <c r="G74" s="582" t="str">
        <v xml:space="preserve">Fundamentally a steady, but you can be less strict at controlling your intensity as long as your average intensity is close to it's target by the end of the session </v>
      </c>
      <c r="H74" s="582" t="str">
        <v>Stay at a comfortable and controlled intensity where you should be able to have a conversation without large pauses. Keep an even intensity and accept that your pace may change as the terrain changes.</v>
      </c>
      <c r="I74" s="582" t="str">
        <v>Stay at a comfortable and controlled intensity where you should be able to have a conversation without large pauses. Keep an even intensity and accept that your pace may change as the terrain changes.</v>
      </c>
      <c r="J74" s="582" t="str">
        <v>Stay at a comfortable and controlled intensity where you should be able to have a conversation without large pauses. Keep an even intensity and accept that your pace may change as the terrain changes.</v>
      </c>
      <c r="K74" s="582" t="str">
        <v>1. Stay at a comfortable and controlled intensity where you should be able to have a conversation without large pauses. Keep an even intensity and accept that your pace may change as the terrain changes.
2. Do these either in the middlle or at the end of the session. Accelerate to just below sprint speed for 50 - 100 meters and use form focuses to enhance your technique. Walk back to the start before starting the next stride out.</v>
      </c>
      <c r="L74" s="582" t="str">
        <v>1. Stay at a comfortable and controlled intensity where you should be able to have a conversation without large pauses. Keep an even intensity and accept that your pace may change as the terrain changes.
2. Do these either in the middlle or at the end of the session. Accelerate to just below sprint speed for 50 - 100 meters and use form focuses to enhance your technique. Walk back to the start before starting the next stride out.</v>
      </c>
      <c r="M74" s="582" t="str">
        <v>1. Stay at a comfortable and controlled intensity where you should be able to have a conversation without large pauses. Keep an even intensity and accept that your pace may change as the terrain changes.
2. Do these either in the middlle or at the end of the session. Accelerate to just below sprint speed for 50 - 100 meters and use form focuses to enhance your technique. Walk back to the start before starting the next stride out.</v>
      </c>
      <c r="N74" s="582" t="str">
        <v>Stay at a comfortable and controlled intensity where you should be able to have a conversation without large pauses. Keep an even intensity and accept that your pace may change as the terrain changes.</v>
      </c>
      <c r="O74" s="582" t="str">
        <v>Stay at a comfortable and controlled intensity where you should be able to have a conversation without large pauses. Keep an even intensity and accept that your pace may change as the terrain changes.</v>
      </c>
      <c r="P74" s="582" t="str">
        <v>Stay at a comfortable and controlled intensity where you should be able to have a conversation without large pauses. Keep an even intensity and accept that your pace may change as the terrain changes.</v>
      </c>
      <c r="Q74" s="582" t="str">
        <v>Stay at a comfortable and controlled intensity where you should be able to have a conversation without large pauses. Keep an even intensity and accept that your pace may change as the terrain changes.</v>
      </c>
      <c r="R74" s="582" t="str">
        <v>Stay at a comfortable and controlled intensity where you should be able to have a conversation without large pauses. Keep an even intensity and accept that your pace may change as the terrain changes.</v>
      </c>
      <c r="S74" s="582" t="str">
        <v>Stay at a comfortable and controlled intensity where you should be able to have a conversation without large pauses. Keep an even intensity and accept that your pace may change as the terrain changes.</v>
      </c>
      <c r="T74" s="582" t="str">
        <v xml:space="preserve">Fundamentally a steady, but you can be less strict at controlling your intensity as long as your average intensity is close to it's target by the end of the session </v>
      </c>
      <c r="U74" s="582" t="str">
        <v xml:space="preserve">Fundamentally a steady, but you can be less strict at controlling your intensity as long as your average intensity is close to it's target by the end of the session </v>
      </c>
      <c r="V74" s="582" t="str">
        <v xml:space="preserve">Fundamentally a steady, but you can be less strict at controlling your intensity as long as your average intensity is close to it's target by the end of the session </v>
      </c>
      <c r="W74" s="582" t="str">
        <v>A subthreshold requires more concentration than a steady but you should still be in control of your rhythm, keeping close to your target intensity, and able to increase your pace if you had to. Warm up and warm down for 10 minutes each.</v>
      </c>
      <c r="X74" s="582" t="str">
        <v>Accelerate to a fast pace which you should be able to hold for 50 minutes in a race situation. This will take concentration, but it's important to keep the intensity even, so do not start too hard. Warm up and warm down for 10 minutes each.</v>
      </c>
      <c r="Y74" s="582" t="str">
        <v>Accelerate to a fast pace which you should be able to hold for 50 minutes in a race situation. This will take concentration, but it's important to keep the intensity even, so do not start too hard. Warm up and warm down for 10 minutes each.</v>
      </c>
      <c r="Z74" s="582" t="str">
        <v>Accelerate to a fast pace which you should be able to hold for 50 minutes in a race situation. This will take concentration, but it's important to keep the intensity even, so do not start too hard. Warm up and warm down for 10 minutes each.</v>
      </c>
      <c r="AA74" s="582" t="str">
        <v>Accelerate to a fast pace which you should be able to hold for 50 minutes in a race situation. This will take concentration, but it's important to keep the intensity even, so do not start too hard. Warm up and warm down for 10 minutes each.</v>
      </c>
      <c r="AB74" s="582" t="str">
        <v>1. A subthreshold requires more concentration than a steady but you should still be in control of your rhythm, keeping close to your target intensity, and able to increase your pace if you had to. Warm up and warm down for 10 minutes each.
2. Stay at a comfortable and controlled intensity where you should be able to have a conversation without large pauses. Keep an even intensity and accept that your pace may change as the terrain changes.</v>
      </c>
      <c r="AC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D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E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F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AG74" s="582" t="str">
        <v>Use 15 sec to 6 min efforts  separated by periods at an easy intensity. These can be spontaneous or structured, but see that your average intensity is relatively close to it's target by the end of the session. Warm up and warm down for 10 minutes each.</v>
      </c>
      <c r="AH74" s="582" t="str">
        <v>Use 15 sec to 6 min efforts  separated by periods at an easy intensity. These can be spontaneous or structured, but see that your average intensity is relatively close to it's target by the end of the session. Warm up and warm down for 10 minutes each.</v>
      </c>
      <c r="AI74" s="582" t="str">
        <v>Use 15 sec to 6 min efforts  separated by periods at an easy intensity. These can be spontaneous or structured, but see that your average intensity is relatively close to it's target by the end of the session. Warm up and warm down for 10 minutes each.</v>
      </c>
      <c r="AJ74" s="582" t="str">
        <v>Use 15 sec to 6 min efforts  separated by periods at an easy intensity. These can be spontaneous or structured, but see that your average intensity is relatively close to it's target by the end of the session. Warm up and warm down for 10 minutes each.</v>
      </c>
      <c r="AK74" s="582" t="str">
        <v/>
      </c>
      <c r="AL74" s="582" t="str">
        <v/>
      </c>
      <c r="AM74" s="582" t="str">
        <v/>
      </c>
      <c r="AN74" s="582" t="str">
        <v/>
      </c>
      <c r="AO74" s="582" t="str">
        <v/>
      </c>
      <c r="AP74" s="582" t="str">
        <v/>
      </c>
      <c r="AQ74" s="582" t="str">
        <v>Intervals are hard, but don't start so hard that you can't run the same pace for all intervals in the session. Forget about HR, and focus on feeling your intensity. Do the recoveries at an easy intensity. Warm up and warm down for 10 minutes each.</v>
      </c>
      <c r="AR74" s="582" t="str">
        <v>Intervals are hard, but don't start so hard that you can't run the same pace for all intervals in the session. Forget about HR, and focus on feeling your intensity. Do the recoveries at an easy intensity. Warm up and warm down for 10 minutes each.</v>
      </c>
      <c r="AS74" s="582" t="str">
        <v>Intervals are hard, but don't start so hard that you can't run the same pace for all intervals in the session. Forget about HR, and focus on feeling your intensity. Do the recoveries at an easy intensity. Warm up and warm down for 10 minutes each.</v>
      </c>
      <c r="AT74" s="582" t="str">
        <v>Intervals are hard, but don't start so hard that you can't run the same pace for all intervals in the session. Forget about HR, and focus on feeling your intensity. Do the recoveries at an easy intensity. Warm up and warm down for 10 minutes each.</v>
      </c>
      <c r="AU74" s="582" t="str">
        <v>Intervals are hard, but don't start so hard that you can't run the same pace for all intervals in the session. Forget about HR, and focus on feeling your intensity. Do the recoveries at an easy intensity. Warm up and warm down for 10 minutes each.</v>
      </c>
      <c r="AV74" s="582" t="str">
        <v>Intervals are hard, but don't start so hard that you can't run the same pace for all intervals in the session. Forget about HR, and focus on feeling your intensity. Do the recoveries at an easy intensity. Warm up and warm down for 10 minutes each.</v>
      </c>
      <c r="AW74" s="582" t="str">
        <v>Intervals are hard, but don't start so hard that you can't run the same pace for all intervals in the session. Forget about HR, and focus on feeling your intensity. Do the recoveries at an easy intensity. Warm up and warm down for 10 minutes each.</v>
      </c>
      <c r="AX74" s="582" t="str">
        <v>Intervals are hard, but don't start so hard that you can't run the same pace for all intervals in the session. Forget about HR, and focus on feeling your intensity. Do the recoveries at an easy intensity. Warm up and warm down for 10 minutes each.</v>
      </c>
      <c r="AY74" s="582" t="str">
        <v>Intervals are hard, but don't start so hard that you can't run the same pace for all intervals in the session. Forget about HR, and focus on feeling your intensity. Do the recoveries at an easy intensity. Warm up and warm down for 10 minutes each.</v>
      </c>
      <c r="AZ74" s="582" t="str">
        <v>Intervals are hard, but don't start so hard that you can't run the same pace for all intervals in the session. Forget about HR, and focus on feeling your intensity. Do the recoveries at an easy intensity. Warm up and warm down for 10 minutes each.</v>
      </c>
      <c r="BA74" s="582" t="str">
        <v>Intervals are hard, but don't start so hard that you can't run the same pace for all intervals in the session. Forget about HR, and focus on feeling your intensity. Do the recoveries at an easy intensity. Warm up and warm down for 10 minutes each.</v>
      </c>
      <c r="BB74" s="582" t="str">
        <v>Intervals are hard, but don't start so hard that you can't run the same pace for all intervals in the session. Forget about HR, and focus on feeling your intensity. Do the recoveries at an easy intensity. Warm up and warm down for 10 minutes each.</v>
      </c>
      <c r="BC74" s="582" t="str">
        <v/>
      </c>
      <c r="BD74" s="582" t="str">
        <v/>
      </c>
      <c r="BE74" s="582" t="str">
        <v/>
      </c>
      <c r="BF74" s="582" t="str">
        <v/>
      </c>
      <c r="BG74" s="582" t="str">
        <v/>
      </c>
      <c r="BH74" s="582" t="str">
        <v/>
      </c>
      <c r="BI74" s="582" t="str">
        <v/>
      </c>
      <c r="BJ74" s="582" t="str">
        <v/>
      </c>
      <c r="BK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L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M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N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O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P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Q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R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S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BT74" s="582" t="str">
        <v/>
      </c>
      <c r="BU74" s="582" t="str">
        <v>Perform a variety of specialised exercises to engage specific muscles and apply them in functional movements. These sessions must be learned with a coach first. Warm up and warm down for 10 minutes each.</v>
      </c>
      <c r="BV74" s="582" t="str">
        <v>1. Perform a variety of specialised exercises to engage specific muscles and apply them in functional movements. These sessions must be learned with a coach first. Warm up and warm down for 10 minutes each.
2. Do these either in the middlle or at the end of the session. Accelerate to just below sprint speed for 50 - 100 meters and use form focuses to enhance your technique. Walk back to the start before starting the next stride out.</v>
      </c>
      <c r="BW74" s="582" t="str">
        <v>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v>
      </c>
      <c r="BX74" s="582" t="str">
        <v>1. Perform a variety of specialised exercises to engage specific muscles and apply them in functional movements. These sessions must be learned with a coach first. Warm up and warm down for 10 minutes each.
2. Stay at a comfortable and controlled intensity where you should be able to have a conversation without large pauses. Keep an even intensity and accept that your pace may change as the terrain changes.</v>
      </c>
      <c r="BY74" s="582" t="str">
        <v>1. Perform a variety of specialised exercises to engage specific muscles and apply them in functional movements. These sessions must be learned with a coach first. Warm up and warm down for 10 minutes each.
2. Push your physical limits in extremely intense reps with long recoveries. Forget about your HR and pace data, and focus on your speed and mechanics. Warm up and warm down for 10 minutes each.
3. Stay at a comfortable and controlled intensity where you should be able to have a conversation without large pauses. Keep an even intensity and accept that your pace may change as the terrain changes.</v>
      </c>
      <c r="BZ74" s="582" t="str">
        <v>Use a hands, rollers, or balls on all major muscle groups with extra time on more sensitive or problematic areas or as guided by a coach or physio. Finish with 20 minutes of lower-limb stretching.</v>
      </c>
      <c r="CA74" s="582" t="str">
        <v>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CB74" s="582" t="str">
        <v>1. Stay at a comfortable and controlled intensity where you should be able to have a conversation without large pauses. Keep an even intensity and accept that your pace may change as the terrain changes.
2. Perform a variety of specialised exercises to engage specific muscles. These sessions must be learned with a coach first but are relatively easy to continue with on your own. Demonstrate control and focus on posture and muscle activation.
3. Use a hands, rollers, or balls on all major muscle groups with extra time on more sensitive or problematic areas or as guided by a coach or physio. Finish with 20 minutes of lower-limb stretching.</v>
      </c>
      <c r="CC74" s="582" t="str">
        <v>Perform a variety of specialised exercises to engage specific muscles. These sessions must be learned with a coach first but are relatively easy to continue with on your own. Demonstrate control and focus on posture and muscle activation.</v>
      </c>
      <c r="CD74" s="582" t="str">
        <v>1. Stay at a comfortable and controlled intensity where you should be able to have a conversation without large pauses. Keep an even intensity and accept that your pace may change as the terrain changes.
2. Perform a variety of specialised exercises to engage specific muscles. These sessions must be learned with a coach first but are relatively easy to continue with on your own. Demonstrate control and focus on posture and muscle activation.</v>
      </c>
      <c r="CE74" s="582" t="str">
        <v>The exact intensity will change depending on the length of the race. This optimum intensity can be found though a mix of natural urgency and reasoning with what your body is telling you.</v>
      </c>
      <c r="CF74" s="582" t="str">
        <v>The exact intensity will change depending on the length of the race. This optimum intensity can be found though a mix of natural urgency and reasoning with what your body is telling you.</v>
      </c>
      <c r="CG74" s="582" t="str">
        <v>The exact intensity will change depending on the length of the race. This optimum intensity can be found though a mix of natural urgency and reasoning with what your body is telling you.</v>
      </c>
      <c r="CH74" s="582" t="str">
        <v>The exact intensity will change depending on the length of the race. This optimum intensity can be found though a mix of natural urgency and reasoning with what your body is telling you.</v>
      </c>
      <c r="CI74" s="582" t="str">
        <v>The exact intensity will change depending on the length of the race. This optimum intensity can be found though a mix of natural urgency and reasoning with what your body is telling you.</v>
      </c>
      <c r="CJ74" s="582" t="str">
        <v>The exact intensity will change depending on the length of the race. This optimum intensity can be found though a mix of natural urgency and reasoning with what your body is telling you.</v>
      </c>
      <c r="CK74" s="582" t="str">
        <v>The exact intensity will change depending on the length of the race. This optimum intensity can be found though a mix of natural urgency and reasoning with what your body is telling you.</v>
      </c>
      <c r="CL74" s="582" t="str">
        <v>The exact intensity will change depending on the length of the race. This optimum intensity can be found though a mix of natural urgency and reasoning with what your body is telling you.</v>
      </c>
      <c r="CM74" s="582" t="str">
        <v>The exact intensity will change depending on the length of the race. This optimum intensity can be found though a mix of natural urgency and reasoning with what your body is telling you.</v>
      </c>
      <c r="CN74" s="582" t="str">
        <v>The exact intensity will change depending on the length of the race. This optimum intensity can be found though a mix of natural urgency and reasoning with what your body is telling you.</v>
      </c>
      <c r="CO74" s="582" t="str">
        <v>The exact intensity will change depending on the length of the race. This optimum intensity can be found though a mix of natural urgency and reasoning with what your body is telling you.</v>
      </c>
      <c r="CP74" s="582" t="str">
        <v>The exact intensity will change depending on the length of the race. This optimum intensity can be found though a mix of natural urgency and reasoning with what your body is telling you.</v>
      </c>
      <c r="CQ74" s="582" t="str">
        <v>The exact intensity will change depending on the length of the race. This optimum intensity can be found though a mix of natural urgency and reasoning with what your body is telling you.</v>
      </c>
      <c r="CR74" s="582" t="str">
        <v>The exact intensity will change depending on the length of the race. This optimum intensity can be found though a mix of natural urgency and reasoning with what your body is telling you.</v>
      </c>
      <c r="CS74" s="582" t="str">
        <v>The exact intensity will change depending on the length of the race. This optimum intensity can be found though a mix of natural urgency and reasoning with what your body is telling you.</v>
      </c>
      <c r="CT74" s="582" t="str">
        <v>The exact intensity will change depending on the length of the race. This optimum intensity can be found though a mix of natural urgency and reasoning with what your body is telling you.</v>
      </c>
      <c r="CU74" s="582" t="str">
        <v>The exact intensity will change depending on the length of the race. This optimum intensity can be found though a mix of natural urgency and reasoning with what your body is telling you.</v>
      </c>
      <c r="CV74" s="582" t="str">
        <v>The exact intensity will change depending on the length of the race. This optimum intensity can be found though a mix of natural urgency and reasoning with what your body is telling you.</v>
      </c>
      <c r="CW74" s="582" t="str">
        <v>The exact intensity will change depending on the length of the race. This optimum intensity can be found though a mix of natural urgency and reasoning with what your body is telling you.</v>
      </c>
      <c r="CX74" s="582" t="str">
        <v>The exact intensity will change depending on the length of the race. This optimum intensity can be found though a mix of natural urgency and reasoning with what your body is telling you.</v>
      </c>
      <c r="CY74" s="588" t="str">
        <v>Rest from continuous exercise.</v>
      </c>
      <c r="CZ74" s="582" t="str">
        <v>Stay at a comfortable and controlled intensity where you should be able to have a conversation without large pauses. Keep an even intensity and accept that your pace may change as the terrain changes.</v>
      </c>
      <c r="DA74" s="582" t="str">
        <v>Stay at a comfortable and controlled intensity where you should be able to have a conversation without large pauses. Keep an even intensity and accept that your pace may change as the terrain changes.</v>
      </c>
      <c r="DB74" s="582" t="str">
        <v>Stay at a comfortable and controlled intensity where you should be able to have a conversation without large pauses. Keep an even intensity and accept that your pace may change as the terrain changes.</v>
      </c>
      <c r="DC74" s="582" t="str">
        <v xml:space="preserve">Fundamentally a steady, but you can be less strict at controlling your intensity as long as your average intensity is close to it's target by the end of the session </v>
      </c>
      <c r="DD74" s="582" t="str">
        <v>Stay at a comfortable and controlled intensity where you should be able to have a conversation without large pauses. Keep an even intensity and accept that your pace may change as the terrain changes.</v>
      </c>
      <c r="DE74" s="582" t="str">
        <v>Stay at a comfortable and controlled intensity where you should be able to have a conversation without large pauses. Keep an even intensity and accept that your pace may change as the terrain changes.</v>
      </c>
      <c r="DF74" s="582" t="str">
        <v>Stay at a comfortable and controlled intensity where you should be able to have a conversation without large pauses. Keep an even intensity and accept that your pace may change as the terrain changes.</v>
      </c>
      <c r="DG74" s="582" t="str">
        <v>Stay at a comfortable and controlled intensity where you should be able to have a conversation without large pauses. Keep an even intensity and accept that your pace may change as the terrain changes.</v>
      </c>
      <c r="DH74" s="582" t="str">
        <v>Stay at a comfortable and controlled intensity where you should be able to have a conversation without large pauses. Keep an even intensity and accept that your pace may change as the terrain changes.</v>
      </c>
      <c r="DI74" s="582" t="str">
        <v>Stay at a comfortable and controlled intensity where you should be able to have a conversation without large pauses. Keep an even intensity and accept that your pace may change as the terrain changes.</v>
      </c>
      <c r="DJ74" s="582" t="str">
        <v>Stay at a comfortable and controlled intensity where you should be able to have a conversation without large pauses. Keep an even intensity and accept that your pace may change as the terrain changes.</v>
      </c>
      <c r="DK74" s="582" t="str">
        <v>Stay at a comfortable and controlled intensity where you should be able to have a conversation without large pauses. Keep an even intensity and accept that your pace may change as the terrain changes.</v>
      </c>
      <c r="DL74" s="582" t="str">
        <v>Stay at a comfortable and controlled intensity where you should be able to have a conversation without large pauses. Keep an even intensity and accept that your pace may change as the terrain changes.</v>
      </c>
      <c r="DM74" s="582" t="str">
        <v>Stay at a comfortable and controlled intensity where you should be able to have a conversation without large pauses. Keep an even intensity and accept that your pace may change as the terrain changes.</v>
      </c>
      <c r="DN74" s="582" t="str">
        <v>Stay at a comfortable and controlled intensity where you should be able to have a conversation without large pauses. Keep an even intensity and accept that your pace may change as the terrain changes.</v>
      </c>
      <c r="DO74" s="582" t="str">
        <v>Stay at a comfortable and controlled intensity where you should be able to have a conversation without large pauses. Keep an even intensity and accept that your pace may change as the terrain changes.</v>
      </c>
      <c r="DP74" s="582" t="str">
        <v xml:space="preserve">Fundamentally a steady, but you can be less strict at controlling your intensity as long as your average intensity is close to it's target by the end of the session </v>
      </c>
      <c r="DQ74" s="582" t="str">
        <v xml:space="preserve">Fundamentally a steady, but you can be less strict at controlling your intensity as long as your average intensity is close to it's target by the end of the session </v>
      </c>
      <c r="DR74" s="582" t="str">
        <v xml:space="preserve">Fundamentally a steady, but you can be less strict at controlling your intensity as long as your average intensity is close to it's target by the end of the session </v>
      </c>
      <c r="DS74" s="582" t="str">
        <v>A subthreshold requires more concentration than a steady but you should still be in control of your rhythm, keeping close to your target intensity, and able to increase your pace if you had to. Warm up and warm down for 10 minutes each.</v>
      </c>
      <c r="DT74" s="582" t="str">
        <v>Accelerate to a fast pace which you should be able to hold for 50 minutes in a race situation. This will take concentration, but it's important to keep the intensity even, so do not start too hard. Warm up and warm down for 10 minutes each.</v>
      </c>
      <c r="DU74" s="582" t="str">
        <v>Accelerate to a fast pace which you should be able to hold for 50 minutes in a race situation. This will take concentration, but it's important to keep the intensity even, so do not start too hard. Warm up and warm down for 10 minutes each.</v>
      </c>
      <c r="DV74" s="582" t="str">
        <v>Accelerate to a fast pace which you should be able to hold for 50 minutes in a race situation. This will take concentration, but it's important to keep the intensity even, so do not start too hard. Warm up and warm down for 10 minutes each.</v>
      </c>
      <c r="DW74" s="582" t="str">
        <v>Accelerate to a fast pace which you should be able to hold for 50 minutes in a race situation. This will take concentration, but it's important to keep the intensity even, so do not start too hard. Warm up and warm down for 10 minutes each.</v>
      </c>
      <c r="DX74" s="582" t="str">
        <v>1. A subthreshold requires more concentration than a steady but you should still be in control of your rhythm, keeping close to your target intensity, and able to increase your pace if you had to. Warm up and warm down for 10 minutes each.
2. Stay at a comfortable and controlled intensity where you should be able to have a conversation without large pauses. Keep an even intensity and accept that your pace may change as the terrain changes.</v>
      </c>
      <c r="DY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DZ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EA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EB74" s="582" t="str">
        <v>1. Accelerate to a fast pace which you should be able to hold for 50 minutes in a race situation. This will take concentration, but it's important to keep the intensity even, so do not start too hard. Warm up and warm down for 10 minutes each.
2. Stay at a comfortable and controlled intensity where you should be able to have a conversation without large pauses. Keep an even intensity and accept that your pace may change as the terrain changes.</v>
      </c>
      <c r="EC74" s="582" t="str">
        <v>Use 15 sec to 6 min efforts  separated by periods at an easy intensity. These can be spontaneous or structured, but see that your average intensity is relatively close to it's target by the end of the session. Warm up and warm down for 10 minutes each.</v>
      </c>
      <c r="ED74" s="582" t="str">
        <v>Use 15 sec to 6 min efforts  separated by periods at an easy intensity. These can be spontaneous or structured, but see that your average intensity is relatively close to it's target by the end of the session. Warm up and warm down for 10 minutes each.</v>
      </c>
      <c r="EE74" s="582" t="str">
        <v>Use 15 sec to 6 min efforts  separated by periods at an easy intensity. These can be spontaneous or structured, but see that your average intensity is relatively close to it's target by the end of the session. Warm up and warm down for 10 minutes each.</v>
      </c>
      <c r="EF74" s="582" t="str">
        <v>Use 15 sec to 6 min efforts  separated by periods at an easy intensity. These can be spontaneous or structured, but see that your average intensity is relatively close to it's target by the end of the session. Warm up and warm down for 10 minutes each.</v>
      </c>
      <c r="EG74" s="582" t="str">
        <v/>
      </c>
      <c r="EH74" s="582" t="str">
        <v/>
      </c>
      <c r="EI74" s="582" t="str">
        <v/>
      </c>
      <c r="EJ74" s="582" t="str">
        <v/>
      </c>
      <c r="EK74" s="582" t="str">
        <v/>
      </c>
      <c r="EL74" s="582" t="str">
        <v/>
      </c>
      <c r="EM74" s="582" t="str">
        <v/>
      </c>
      <c r="EN74" s="582" t="str">
        <v/>
      </c>
      <c r="EO74" s="582" t="str">
        <v/>
      </c>
      <c r="EP74" s="582" t="str">
        <v/>
      </c>
      <c r="EQ74" s="582" t="str">
        <v/>
      </c>
      <c r="ER74" s="582" t="str">
        <v/>
      </c>
      <c r="ES74" s="582" t="str">
        <v/>
      </c>
      <c r="ET74" s="582" t="str">
        <v/>
      </c>
      <c r="EU74" s="582" t="str">
        <v/>
      </c>
      <c r="EV74" s="582" t="str">
        <v/>
      </c>
      <c r="EW74" s="582" t="str">
        <v/>
      </c>
      <c r="EX74" s="582" t="str">
        <v/>
      </c>
      <c r="EY74" s="582" t="str">
        <v/>
      </c>
      <c r="EZ74" s="582" t="str">
        <v/>
      </c>
      <c r="FA74" s="582" t="str">
        <v/>
      </c>
      <c r="FB74" s="582" t="str">
        <v/>
      </c>
      <c r="FC74" s="582" t="str">
        <v/>
      </c>
      <c r="FD74" s="582" t="str">
        <v/>
      </c>
      <c r="FE74" s="582" t="str">
        <v/>
      </c>
      <c r="FF74" s="582" t="str">
        <v/>
      </c>
      <c r="FG74" s="582" t="str">
        <v>Push your physical limits in extremely intense reps with long recoveries. Forget about your HR and pace data, and focus on your speed and mechanics. Warm up and warm down for 10 minutes each.</v>
      </c>
      <c r="FH74" s="582" t="str">
        <v>Push your physical limits in extremely intense reps with long recoveries. Forget about your HR and pace data, and focus on your speed and mechanics. Warm up and warm down for 10 minutes each.</v>
      </c>
      <c r="FI74" s="582" t="str">
        <v>Push your physical limits in extremely intense reps with long recoveries. Forget about your HR and pace data, and focus on your speed and mechanics. Warm up and warm down for 10 minutes each.</v>
      </c>
      <c r="FJ74" s="582" t="str">
        <v>Push your physical limits in extremely intense reps with long recoveries. Forget about your HR and pace data, and focus on your speed and mechanics. Warm up and warm down for 10 minutes each.</v>
      </c>
      <c r="FK74" s="582" t="str">
        <v>Push your physical limits in extremely intense reps with long recoveries. Forget about your HR and pace data, and focus on your speed and mechanics. Warm up and warm down for 10 minutes each.</v>
      </c>
      <c r="FL74" s="582" t="str">
        <v>Push your physical limits in extremely intense reps with long recoveries. Forget about your HR and pace data, and focus on your speed and mechanics. Warm up and warm down for 10 minutes each.</v>
      </c>
      <c r="FM74" s="582" t="str">
        <v>Push your physical limits in extremely intense reps with long recoveries. Forget about your HR and pace data, and focus on your speed and mechanics. Warm up and warm down for 10 minutes each.</v>
      </c>
      <c r="FN74" s="582" t="str">
        <v>1. Push your physical limits in extremely intense reps with long recoveries. Forget about your HR and pace data, and focus on your speed and mechanics. Warm up and warm down for 10 minutes each.
2. Stay at a comfortable and controlled intensity where you should be able to have a conversation without large pauses. Keep an even intensity and accept that your pace may change as the terrain changes.</v>
      </c>
      <c r="FO74" s="582" t="str">
        <v>Push your physical limits in extremely intense reps with long recoveries. Forget about your HR and pace data, and focus on your speed and mechanics. Warm up and warm down for 10 minutes each.</v>
      </c>
      <c r="FP74" s="582" t="str">
        <v>Push your physical limits in extremely intense reps with long recoveries. Forget about your HR and pace data, and focus on your speed and mechanics. Warm up and warm down for 10 minutes each.</v>
      </c>
      <c r="FQ74" s="582" t="str">
        <v/>
      </c>
      <c r="FR74" s="582" t="str">
        <v/>
      </c>
      <c r="FS74" s="582" t="str">
        <v/>
      </c>
      <c r="FT74" s="582" t="str">
        <v/>
      </c>
      <c r="FU74" s="582" t="str">
        <v/>
      </c>
      <c r="FV74" s="582" t="str">
        <v/>
      </c>
      <c r="FW74" s="582" t="str">
        <v/>
      </c>
      <c r="FX74" s="582" t="str">
        <v/>
      </c>
      <c r="FY74" s="582" t="str">
        <v/>
      </c>
      <c r="FZ74" s="582" t="str">
        <v/>
      </c>
      <c r="GA74" s="582" t="str">
        <v>The exact intensity will change depending on the length of the race. This optimum intensity can be found though a mix of natural urgency and reasoning with what your body is telling you.</v>
      </c>
      <c r="GB74" s="582" t="str">
        <v>The exact intensity will change depending on the length of the race. This optimum intensity can be found though a mix of natural urgency and reasoning with what your body is telling you.</v>
      </c>
      <c r="GC74" s="582" t="str">
        <v>The exact intensity will change depending on the length of the race. This optimum intensity can be found though a mix of natural urgency and reasoning with what your body is telling you.</v>
      </c>
      <c r="GD74" s="582" t="str">
        <v>The exact intensity will change depending on the length of the race. This optimum intensity can be found though a mix of natural urgency and reasoning with what your body is telling you.</v>
      </c>
      <c r="GE74" s="582" t="str">
        <v>The exact intensity will change depending on the length of the race. This optimum intensity can be found though a mix of natural urgency and reasoning with what your body is telling you.</v>
      </c>
      <c r="GF74" s="582" t="str">
        <v>The exact intensity will change depending on the length of the race. This optimum intensity can be found though a mix of natural urgency and reasoning with what your body is telling you.</v>
      </c>
      <c r="GG74" s="582" t="str">
        <v>The exact intensity will change depending on the length of the race. This optimum intensity can be found though a mix of natural urgency and reasoning with what your body is telling you.</v>
      </c>
      <c r="GH74" s="582" t="str">
        <v>The exact intensity will change depending on the length of the race. This optimum intensity can be found though a mix of natural urgency and reasoning with what your body is telling you.</v>
      </c>
      <c r="GI74" s="582" t="str">
        <v>The exact intensity will change depending on the length of the race. This optimum intensity can be found though a mix of natural urgency and reasoning with what your body is telling you.</v>
      </c>
      <c r="GJ74" s="582" t="str">
        <v>The exact intensity will change depending on the length of the race. This optimum intensity can be found though a mix of natural urgency and reasoning with what your body is telling you.</v>
      </c>
      <c r="GK74" s="582" t="str">
        <v>The exact intensity will change depending on the length of the race. This optimum intensity can be found though a mix of natural urgency and reasoning with what your body is telling you.</v>
      </c>
      <c r="GL74" s="582" t="str">
        <v>The exact intensity will change depending on the length of the race. This optimum intensity can be found though a mix of natural urgency and reasoning with what your body is telling you.</v>
      </c>
      <c r="GM74" s="582" t="str">
        <v>The exact intensity will change depending on the length of the race. This optimum intensity can be found though a mix of natural urgency and reasoning with what your body is telling you.</v>
      </c>
      <c r="GN74" s="582" t="str">
        <v>The exact intensity will change depending on the length of the race. This optimum intensity can be found though a mix of natural urgency and reasoning with what your body is telling you.</v>
      </c>
      <c r="GO74" s="582" t="str">
        <v>The exact intensity will change depending on the length of the race. This optimum intensity can be found though a mix of natural urgency and reasoning with what your body is telling you.</v>
      </c>
      <c r="GP74" s="582" t="str">
        <v/>
      </c>
      <c r="GQ74" s="582" t="str">
        <v/>
      </c>
      <c r="GR74" s="582" t="str">
        <v/>
      </c>
      <c r="GS74" s="582" t="str">
        <v/>
      </c>
      <c r="GT74" s="582" t="str">
        <v/>
      </c>
      <c r="GU74" s="582" t="str">
        <v>Rest from continuous exercise.</v>
      </c>
      <c r="GV74" s="582" t="str">
        <v>Stay at a comfortable and controlled intensity where you should be able to have a conversation without large pauses. Keep an even intensity and accept that your pace may change as the terrain changes.</v>
      </c>
      <c r="GW74" s="582" t="str">
        <v>Stay at a comfortable and controlled intensity where you should be able to have a conversation without large pauses. Keep an even intensity and accept that your pace may change as the terrain changes.</v>
      </c>
      <c r="GX74" s="582" t="str">
        <v>Stay at a comfortable and controlled intensity where you should be able to have a conversation without large pauses. Keep an even intensity and accept that your pace may change as the terrain changes.</v>
      </c>
      <c r="GY74" s="582" t="str">
        <v xml:space="preserve">Fundamentally a steady, but you can be less strict at controlling your intensity as long as your average intensity is close to it's target by the end of the session </v>
      </c>
      <c r="GZ74" s="582" t="str">
        <v/>
      </c>
      <c r="HA74" s="582" t="str">
        <v/>
      </c>
      <c r="HB74" s="582" t="str">
        <v>Stay at a comfortable and controlled intensity where you should be able to have a conversation without large pauses. Keep an even intensity and accept that your pace may change as the terrain changes.</v>
      </c>
      <c r="HC74" s="582" t="str">
        <v>Stay at a comfortable and controlled intensity where you should be able to have a conversation without large pauses. Keep an even intensity and accept that your pace may change as the terrain changes.</v>
      </c>
      <c r="HD74" s="582" t="str">
        <v>Stay at a comfortable and controlled intensity where you should be able to have a conversation without large pauses. Keep an even intensity and accept that your pace may change as the terrain changes.</v>
      </c>
      <c r="HE74" s="582" t="str">
        <v>Stay at a comfortable and controlled intensity where you should be able to have a conversation without large pauses. Keep an even intensity and accept that your pace may change as the terrain changes.</v>
      </c>
      <c r="HF74" s="582" t="str">
        <v>Stay at a comfortable and controlled intensity where you should be able to have a conversation without large pauses. Keep an even intensity and accept that your pace may change as the terrain changes.</v>
      </c>
      <c r="HG74" s="582" t="str">
        <v>Stay at a comfortable and controlled intensity where you should be able to have a conversation without large pauses. Keep an even intensity and accept that your pace may change as the terrain changes.</v>
      </c>
      <c r="HH74" s="582" t="str">
        <v>Stay at a comfortable and controlled intensity where you should be able to have a conversation without large pauses. Keep an even intensity and accept that your pace may change as the terrain changes.</v>
      </c>
      <c r="HI74" s="582" t="str">
        <v>Stay at a comfortable and controlled intensity where you should be able to have a conversation without large pauses. Keep an even intensity and accept that your pace may change as the terrain changes.</v>
      </c>
      <c r="HJ74" s="582" t="str">
        <v>Stay at a comfortable and controlled intensity where you should be able to have a conversation without large pauses. Keep an even intensity and accept that your pace may change as the terrain changes.</v>
      </c>
      <c r="HK74" s="582" t="str">
        <v>Stay at a comfortable and controlled intensity where you should be able to have a conversation without large pauses. Keep an even intensity and accept that your pace may change as the terrain changes.</v>
      </c>
      <c r="HL74" s="582" t="str">
        <v xml:space="preserve">Fundamentally a steady, but you can be less strict at controlling your intensity as long as your average intensity is close to it's target by the end of the session </v>
      </c>
      <c r="HM74" s="582" t="str">
        <v xml:space="preserve">Fundamentally a steady, but you can be less strict at controlling your intensity as long as your average intensity is close to it's target by the end of the session </v>
      </c>
      <c r="HN74" s="582" t="str">
        <v xml:space="preserve">Fundamentally a steady, but you can be less strict at controlling your intensity as long as your average intensity is close to it's target by the end of the session </v>
      </c>
      <c r="HO74" s="582" t="str">
        <v>Rest from continuous exercise.</v>
      </c>
      <c r="HP74" s="582" t="str">
        <v>Stay at a comfortable and controlled intensity where you should be able to have a conversation without large pauses. Keep an even intensity and accept that your pace may change as the terrain changes.</v>
      </c>
      <c r="HQ74" s="582" t="str">
        <v>Stay at a comfortable and controlled intensity where you should be able to have a conversation without large pauses. Keep an even intensity and accept that your pace may change as the terrain changes.</v>
      </c>
      <c r="HR74" s="582" t="str">
        <v>Stay at a comfortable and controlled intensity where you should be able to have a conversation without large pauses. Keep an even intensity and accept that your pace may change as the terrain changes.</v>
      </c>
      <c r="HS74" s="582" t="str">
        <v xml:space="preserve">Fundamentally a steady, but you can be less strict at controlling your intensity as long as your average intensity is close to it's target by the end of the session </v>
      </c>
      <c r="HT74" s="582" t="str">
        <v/>
      </c>
      <c r="HU74" s="582" t="str">
        <v/>
      </c>
      <c r="HV74" s="582" t="str">
        <v>Stay at a comfortable and controlled intensity where you should be able to have a conversation without large pauses. Keep an even intensity and accept that your pace may change as the terrain changes.</v>
      </c>
      <c r="HW74" s="582" t="str">
        <v>Stay at a comfortable and controlled intensity where you should be able to have a conversation without large pauses. Keep an even intensity and accept that your pace may change as the terrain changes.</v>
      </c>
      <c r="HX74" s="582" t="str">
        <v>Stay at a comfortable and controlled intensity where you should be able to have a conversation without large pauses. Keep an even intensity and accept that your pace may change as the terrain changes.</v>
      </c>
      <c r="HY74" s="582" t="str">
        <v>Stay at a comfortable and controlled intensity where you should be able to have a conversation without large pauses. Keep an even intensity and accept that your pace may change as the terrain changes.</v>
      </c>
      <c r="HZ74" s="582" t="str">
        <v>Stay at a comfortable and controlled intensity where you should be able to have a conversation without large pauses. Keep an even intensity and accept that your pace may change as the terrain changes.</v>
      </c>
      <c r="IA74" s="582" t="str">
        <v>Stay at a comfortable and controlled intensity where you should be able to have a conversation without large pauses. Keep an even intensity and accept that your pace may change as the terrain changes.</v>
      </c>
      <c r="IB74" s="582" t="str">
        <v>Stay at a comfortable and controlled intensity where you should be able to have a conversation without large pauses. Keep an even intensity and accept that your pace may change as the terrain changes.</v>
      </c>
      <c r="IC74" s="582" t="str">
        <v>Stay at a comfortable and controlled intensity where you should be able to have a conversation without large pauses. Keep an even intensity and accept that your pace may change as the terrain changes.</v>
      </c>
      <c r="ID74" s="582" t="str">
        <v>Stay at a comfortable and controlled intensity where you should be able to have a conversation without large pauses. Keep an even intensity and accept that your pace may change as the terrain changes.</v>
      </c>
      <c r="IE74" s="582" t="str">
        <v>Stay at a comfortable and controlled intensity where you should be able to have a conversation without large pauses. Keep an even intensity and accept that your pace may change as the terrain changes.</v>
      </c>
      <c r="IF74" s="582" t="str">
        <v xml:space="preserve">Fundamentally a steady, but you can be less strict at controlling your intensity as long as your average intensity is close to it's target by the end of the session </v>
      </c>
      <c r="IG74" s="582" t="str">
        <v xml:space="preserve">Fundamentally a steady, but you can be less strict at controlling your intensity as long as your average intensity is close to it's target by the end of the session </v>
      </c>
      <c r="IH74" s="582" t="str">
        <v xml:space="preserve">Fundamentally a steady, but you can be less strict at controlling your intensity as long as your average intensity is close to it's target by the end of the session </v>
      </c>
      <c r="II74" s="582" t="str">
        <v>Take part in another sport or physical acticity</v>
      </c>
      <c r="IJ74" s="582" t="str">
        <v/>
      </c>
      <c r="IK74" s="582" t="str">
        <v/>
      </c>
      <c r="IL74" s="582" t="str">
        <v/>
      </c>
      <c r="IM74" s="582" t="str">
        <v/>
      </c>
      <c r="IN74" s="582" t="str">
        <v/>
      </c>
      <c r="IO74" s="582" t="str">
        <v/>
      </c>
      <c r="IP74" s="582" t="str">
        <v/>
      </c>
      <c r="IQ74" s="582" t="str">
        <v/>
      </c>
      <c r="IR74" s="582" t="str">
        <v/>
      </c>
      <c r="IS74" s="582" t="str">
        <v>Rest from continuous exercise.</v>
      </c>
      <c r="IT74" s="582" t="str">
        <v xml:space="preserve">Fundamentally a steady, but you can be less strict at controlling your intensity as long as your average intensity is close to it's target by the end of the session </v>
      </c>
      <c r="IU74" s="582" t="str">
        <v xml:space="preserve">Fundamentally a steady, but you can be less strict at controlling your intensity as long as your average intensity is close to it's target by the end of the session </v>
      </c>
      <c r="IV74" s="582" t="str">
        <v xml:space="preserve">Fundamentally a steady, but you can be less strict at controlling your intensity as long as your average intensity is close to it's target by the end of the session </v>
      </c>
      <c r="IW74" s="582" t="str">
        <v xml:space="preserve">Fundamentally a steady, but you can be less strict at controlling your intensity as long as your average intensity is close to it's target by the end of the session </v>
      </c>
      <c r="IX74" s="582" t="str">
        <v xml:space="preserve">Fundamentally a steady, but you can be less strict at controlling your intensity as long as your average intensity is close to it's target by the end of the session </v>
      </c>
      <c r="IY74" s="582" t="str">
        <v xml:space="preserve">Fundamentally a steady, but you can be less strict at controlling your intensity as long as your average intensity is close to it's target by the end of the session </v>
      </c>
      <c r="IZ74" s="582" t="str">
        <v>Stay at a comfortable and controlled intensity where you should be able to have a conversation without large pauses. Keep an even intensity and accept that your pace may change as the terrain changes.</v>
      </c>
      <c r="JA74" s="582" t="str">
        <v/>
      </c>
      <c r="JB74" s="582" t="str">
        <v/>
      </c>
      <c r="JC74" s="582" t="str">
        <v/>
      </c>
      <c r="JD74" s="582" t="str">
        <v/>
      </c>
      <c r="JE74" s="582" t="str">
        <v/>
      </c>
      <c r="JF74" s="582" t="str">
        <v/>
      </c>
      <c r="JG74" s="582" t="str">
        <v/>
      </c>
      <c r="JH74" s="582" t="str">
        <v/>
      </c>
      <c r="JI74" s="582" t="str">
        <v/>
      </c>
      <c r="JJ74" s="582" t="str">
        <v/>
      </c>
      <c r="JK74" s="582" t="str">
        <v/>
      </c>
      <c r="JL74" s="582" t="str">
        <v/>
      </c>
      <c r="JM74" s="582" t="str">
        <v/>
      </c>
      <c r="JN74" s="582" t="str">
        <v/>
      </c>
      <c r="JO74" s="582" t="str">
        <v/>
      </c>
      <c r="JP74" s="582" t="str">
        <v/>
      </c>
      <c r="JQ74" s="582" t="str">
        <v/>
      </c>
      <c r="JR74" s="582" t="str">
        <v/>
      </c>
      <c r="JS74" s="582" t="str">
        <v/>
      </c>
      <c r="JT74" s="582" t="str">
        <v/>
      </c>
      <c r="JU74" s="582" t="str">
        <v/>
      </c>
      <c r="JV74" s="582" t="str">
        <v/>
      </c>
      <c r="JW74" s="582" t="str">
        <v>The exact intensity will change depending on the length of the race. This optimum intensity can be found though a mix of natural urgency and reasoning with what your body is telling you.</v>
      </c>
      <c r="JX74" s="582" t="str">
        <v>The exact intensity will change depending on the length of the race. This optimum intensity can be found though a mix of natural urgency and reasoning with what your body is telling you.</v>
      </c>
      <c r="JY74" s="582" t="str">
        <v>The exact intensity will change depending on the length of the race. This optimum intensity can be found though a mix of natural urgency and reasoning with what your body is telling you.</v>
      </c>
      <c r="JZ74" s="582" t="str">
        <v>The exact intensity will change depending on the length of the race. This optimum intensity can be found though a mix of natural urgency and reasoning with what your body is telling you.</v>
      </c>
      <c r="KA74" s="582" t="str">
        <v>The exact intensity will change depending on the length of the race. This optimum intensity can be found though a mix of natural urgency and reasoning with what your body is telling you.</v>
      </c>
      <c r="KB74" s="582" t="str">
        <v>The exact intensity will change depending on the length of the race. This optimum intensity can be found though a mix of natural urgency and reasoning with what your body is telling you.</v>
      </c>
      <c r="KC74" s="582" t="str">
        <v>The exact intensity will change depending on the length of the race. This optimum intensity can be found though a mix of natural urgency and reasoning with what your body is telling you.</v>
      </c>
      <c r="KD74" s="582" t="str">
        <v>The exact intensity will change depending on the length of the race. This optimum intensity can be found though a mix of natural urgency and reasoning with what your body is telling you.</v>
      </c>
      <c r="KE74" s="582" t="str">
        <v>The exact intensity will change depending on the length of the race. This optimum intensity can be found though a mix of natural urgency and reasoning with what your body is telling you.</v>
      </c>
      <c r="KF74" s="582" t="str">
        <v>The exact intensity will change depending on the length of the race. This optimum intensity can be found though a mix of natural urgency and reasoning with what your body is telling you.</v>
      </c>
      <c r="KG74" s="582" t="str">
        <v>The exact intensity will change depending on the length of the race. This optimum intensity can be found though a mix of natural urgency and reasoning with what your body is telling you.</v>
      </c>
      <c r="KH74" s="582" t="str">
        <v>The exact intensity will change depending on the length of the race. This optimum intensity can be found though a mix of natural urgency and reasoning with what your body is telling you.</v>
      </c>
      <c r="KI74" s="582" t="str">
        <v>The exact intensity will change depending on the length of the race. This optimum intensity can be found though a mix of natural urgency and reasoning with what your body is telling you.</v>
      </c>
      <c r="KJ74" s="582" t="str">
        <v>The exact intensity will change depending on the length of the race. This optimum intensity can be found though a mix of natural urgency and reasoning with what your body is telling you.</v>
      </c>
      <c r="KK74" s="582" t="str">
        <v>The exact intensity will change depending on the length of the race. This optimum intensity can be found though a mix of natural urgency and reasoning with what your body is telling you.</v>
      </c>
      <c r="KL74" s="582" t="str">
        <v/>
      </c>
      <c r="KM74" s="582" t="str">
        <v/>
      </c>
      <c r="KN74" s="582" t="str">
        <v/>
      </c>
      <c r="KO74" s="582" t="str">
        <v/>
      </c>
      <c r="KP74" s="916" t="str">
        <v/>
      </c>
      <c r="KQ74" s="701" t="s">
        <v>388</v>
      </c>
    </row>
    <row r="75" spans="1:303" s="76" customFormat="1" ht="28.5" hidden="1" customHeight="1" x14ac:dyDescent="0.45">
      <c r="A75" s="1763" t="s">
        <v>669</v>
      </c>
      <c r="B75" s="895">
        <v>1</v>
      </c>
      <c r="C75" s="586" t="str">
        <f t="array" ref="C75:KP77">IFERROR(CONCATENATE(SUBSTITUTE(SUBSTITUTE(INDEX(elements_summary_description,,sessions_elements_index),"TT",IF(B75:B77=1, "duration_primary", IF(B75:B77=2,"duration_secondary", "duration_tertiary"))),"SS",LOWER(sessions_sport))),"")</f>
        <v>Rest from continuous exercise</v>
      </c>
      <c r="D75" s="587" t="str">
        <v>Easy run: duration_primary minutes</v>
      </c>
      <c r="E75" s="587" t="str">
        <v>Easy run: duration_primary minutes</v>
      </c>
      <c r="F75" s="587" t="str">
        <v>Steady hilly trail run: duration_primary minutes</v>
      </c>
      <c r="G75" s="587" t="str">
        <v>Long hilly trail run: duration_primary minutes</v>
      </c>
      <c r="H75" s="587" t="str">
        <v>Easy road run: duration_primary minutes</v>
      </c>
      <c r="I75" s="587" t="str">
        <v>Easy road run: duration_primary minutes</v>
      </c>
      <c r="J75" s="587" t="str">
        <v>Easy run: duration_primary minutes</v>
      </c>
      <c r="K75" s="587" t="str">
        <v>Easy road run: duration_primary minutes</v>
      </c>
      <c r="L75" s="587" t="str">
        <v>Easy road run: duration_primary minutes</v>
      </c>
      <c r="M75" s="587" t="str">
        <v>Easy road run: duration_primary minutes</v>
      </c>
      <c r="N75" s="587" t="str">
        <v>Easy road run: duration_primary minutes</v>
      </c>
      <c r="O75" s="587" t="str">
        <v>Easy road run: duration_primary minutes</v>
      </c>
      <c r="P75" s="587" t="str">
        <v>Easy road run: duration_primary minutes</v>
      </c>
      <c r="Q75" s="587" t="str">
        <v>Easy road run: duration_primary minutes</v>
      </c>
      <c r="R75" s="587" t="str">
        <v>Steady hilly trail run: duration_primary minutes</v>
      </c>
      <c r="S75" s="587" t="str">
        <v>Steady hilly trail run: duration_primary minutes</v>
      </c>
      <c r="T75" s="587" t="str">
        <v>Long hilly trail run: duration_primary minutes</v>
      </c>
      <c r="U75" s="587" t="str">
        <v>Long hilly trail run: duration_primary minutes</v>
      </c>
      <c r="V75" s="587" t="str">
        <v>Long hilly trail run: duration_primary minutes</v>
      </c>
      <c r="W75" s="587" t="str">
        <v>Subthreshold hilly trail run: duration_primary minutes + WU/WD</v>
      </c>
      <c r="X75" s="587" t="str">
        <v>Tempo road run: duration_primary minutes + WU/WD</v>
      </c>
      <c r="Y75" s="587" t="str">
        <v>Tempo road run: duration_primary minutes + WU/WD</v>
      </c>
      <c r="Z75" s="587" t="str">
        <v>Hilly tempo hilly trail run: duration_primary minutes + WU/WD</v>
      </c>
      <c r="AA75" s="587" t="str">
        <v>Hilly tempo hilly trail run: duration_primary minutes + WU/WD</v>
      </c>
      <c r="AB75" s="587" t="str">
        <v>Subthreshold hilly trail run: duration_primary minutes + WU/WD</v>
      </c>
      <c r="AC75" s="587" t="str">
        <v>Tempo hilly trail run: duration_primary minutes + WU/WD</v>
      </c>
      <c r="AD75" s="587" t="str">
        <v>Tempo hilly trail run: duration_primary minutes + WU/WD</v>
      </c>
      <c r="AE75" s="587" t="str">
        <v>Hilly tempo hilly trail run: duration_primary minutes + WU/WD</v>
      </c>
      <c r="AF75" s="587" t="str">
        <v>Hilly tempo hilly trail run: duration_primary minutes + WU/WD</v>
      </c>
      <c r="AG75" s="587" t="str">
        <v>Fartlek hilly trail run: duration_primary minutes + WU/WD</v>
      </c>
      <c r="AH75" s="587" t="str">
        <v>Fartlek hilly trail run: duration_primary minutes + WU/WD</v>
      </c>
      <c r="AI75" s="587" t="str">
        <v>Fartlek hilly trail run: duration_primary minutes + WU/WD</v>
      </c>
      <c r="AJ75" s="587" t="str">
        <v>Fartlek hilly trail run: duration_primary minutes + WU/WD</v>
      </c>
      <c r="AK75" s="587" t="str">
        <v/>
      </c>
      <c r="AL75" s="587" t="str">
        <v/>
      </c>
      <c r="AM75" s="587" t="str">
        <v/>
      </c>
      <c r="AN75" s="587" t="str">
        <v/>
      </c>
      <c r="AO75" s="587" t="str">
        <v/>
      </c>
      <c r="AP75" s="587" t="str">
        <v/>
      </c>
      <c r="AQ75" s="587" t="str">
        <v>Intervals: II + WU/WD</v>
      </c>
      <c r="AR75" s="587" t="str">
        <v>Intervals: II + WU/WD</v>
      </c>
      <c r="AS75" s="587" t="str">
        <v>Intervals: II + WU/WD</v>
      </c>
      <c r="AT75" s="587" t="str">
        <v>Intervals: II + WU/WD</v>
      </c>
      <c r="AU75" s="587" t="str">
        <v>Intervals: II + WU/WD</v>
      </c>
      <c r="AV75" s="587" t="str">
        <v>Intervals: II + WU/WD</v>
      </c>
      <c r="AW75" s="587" t="str">
        <v>Intervals: II + WU/WD</v>
      </c>
      <c r="AX75" s="587" t="str">
        <v>Intervals: II + WU/WD</v>
      </c>
      <c r="AY75" s="587" t="str">
        <v>Intervals: II + WU/WD</v>
      </c>
      <c r="AZ75" s="587" t="str">
        <v>Intervals: II + WU/WD</v>
      </c>
      <c r="BA75" s="587" t="str">
        <v>Intervals: II + WU/WD</v>
      </c>
      <c r="BB75" s="587" t="str">
        <v>Intervals: II + WU/WD</v>
      </c>
      <c r="BC75" s="587" t="str">
        <v/>
      </c>
      <c r="BD75" s="587" t="str">
        <v/>
      </c>
      <c r="BE75" s="587" t="str">
        <v/>
      </c>
      <c r="BF75" s="587" t="str">
        <v/>
      </c>
      <c r="BG75" s="587" t="str">
        <v/>
      </c>
      <c r="BH75" s="587" t="str">
        <v/>
      </c>
      <c r="BI75" s="587" t="str">
        <v/>
      </c>
      <c r="BJ75" s="587" t="str">
        <v/>
      </c>
      <c r="BK75" s="587" t="str">
        <v>Reps: II + WU/WD</v>
      </c>
      <c r="BL75" s="587" t="str">
        <v>Reps: II + WU/WD</v>
      </c>
      <c r="BM75" s="587" t="str">
        <v>Reps: II + WU/WD</v>
      </c>
      <c r="BN75" s="587" t="str">
        <v>Reps: II + WU/WD</v>
      </c>
      <c r="BO75" s="587" t="str">
        <v>Reps: II + WU/WD</v>
      </c>
      <c r="BP75" s="587" t="str">
        <v>Reps: II + WU/WD</v>
      </c>
      <c r="BQ75" s="587" t="str">
        <v>Reps: II + WU/WD</v>
      </c>
      <c r="BR75" s="587" t="str">
        <v>Reps: II + WU/WD</v>
      </c>
      <c r="BS75" s="587" t="str">
        <v>Reps: II + WU/WD</v>
      </c>
      <c r="BT75" s="587" t="str">
        <v/>
      </c>
      <c r="BU75" s="587" t="str">
        <v>Drills + WU/WD</v>
      </c>
      <c r="BV75" s="587" t="str">
        <v>Drills + WU/WD</v>
      </c>
      <c r="BW75" s="587" t="str">
        <v>Drills + WU/WD</v>
      </c>
      <c r="BX75" s="587" t="str">
        <v>Drills + WU/WD</v>
      </c>
      <c r="BY75" s="587" t="str">
        <v>Drills + WU/WD</v>
      </c>
      <c r="BZ75" s="587" t="str">
        <v>Maintenance</v>
      </c>
      <c r="CA75" s="587" t="str">
        <v>Strength and conditioning</v>
      </c>
      <c r="CB75" s="587" t="str">
        <v>Easy road run: duration_primary minutes</v>
      </c>
      <c r="CC75" s="587" t="str">
        <v>Strength and conditioning</v>
      </c>
      <c r="CD75" s="587" t="str">
        <v>Easy run: duration_primary minutes</v>
      </c>
      <c r="CE75" s="587" t="str">
        <v>Race: duration_primary minutes + WU/WD</v>
      </c>
      <c r="CF75" s="587" t="str">
        <v>Race: duration_primary minutes + WU/WD</v>
      </c>
      <c r="CG75" s="587" t="str">
        <v>Race: duration_primary minutes + WU/WD</v>
      </c>
      <c r="CH75" s="587" t="str">
        <v>Race: duration_primary minutes + WU/WD</v>
      </c>
      <c r="CI75" s="587" t="str">
        <v>Race: duration_primary minutes + WU/WD</v>
      </c>
      <c r="CJ75" s="587" t="str">
        <v>Race: duration_primary minutes + WU/WD</v>
      </c>
      <c r="CK75" s="587" t="str">
        <v>Race: duration_primary minutes + WU/WD</v>
      </c>
      <c r="CL75" s="587" t="str">
        <v>Race: duration_primary minutes + WU/WD</v>
      </c>
      <c r="CM75" s="587" t="str">
        <v>Race: duration_primary minutes + WU/WD</v>
      </c>
      <c r="CN75" s="587" t="str">
        <v>Race: duration_primary minutes + WU/WD</v>
      </c>
      <c r="CO75" s="587" t="str">
        <v>Race: duration_primary minutes + WU/WD</v>
      </c>
      <c r="CP75" s="587" t="str">
        <v>Race: duration_primary minutes + WU/WD</v>
      </c>
      <c r="CQ75" s="587" t="str">
        <v>Race: duration_primary minutes + WU/WD</v>
      </c>
      <c r="CR75" s="587" t="str">
        <v>Race: duration_primary minutes + WU/WD</v>
      </c>
      <c r="CS75" s="587" t="str">
        <v>Race: duration_primary minutes + WU/WD</v>
      </c>
      <c r="CT75" s="587" t="str">
        <v>Race: duration_primary minutes + WU/WD</v>
      </c>
      <c r="CU75" s="587" t="str">
        <v>Race: duration_primary minutes + WU/WD</v>
      </c>
      <c r="CV75" s="587" t="str">
        <v>Race: duration_primary minutes + WU/WD</v>
      </c>
      <c r="CW75" s="587" t="str">
        <v>Race: duration_primary minutes + WU/WD</v>
      </c>
      <c r="CX75" s="587" t="str">
        <v>Race: duration_primary minutes + WU/WD</v>
      </c>
      <c r="CY75" s="586" t="str">
        <v>Rest from continuous exercise</v>
      </c>
      <c r="CZ75" s="587" t="str">
        <v>Easy road ride: duration_primary minutes</v>
      </c>
      <c r="DA75" s="587" t="str">
        <v>Easy road ride: duration_primary minutes</v>
      </c>
      <c r="DB75" s="587" t="str">
        <v>Steady ride: duration_primary minutes</v>
      </c>
      <c r="DC75" s="587" t="str">
        <v>Long ride: duration_primary minutes</v>
      </c>
      <c r="DD75" s="587" t="str">
        <v>Easy road ride: duration_primary minutes</v>
      </c>
      <c r="DE75" s="587" t="str">
        <v>Easy road ride: duration_primary minutes</v>
      </c>
      <c r="DF75" s="587" t="str">
        <v>Easy ride: duration_primary minutes</v>
      </c>
      <c r="DG75" s="587" t="str">
        <v>Easy ride: duration_primary minutes</v>
      </c>
      <c r="DH75" s="587" t="str">
        <v>Easy ride: duration_primary minutes</v>
      </c>
      <c r="DI75" s="587" t="str">
        <v>Easy ride: duration_primary minutes</v>
      </c>
      <c r="DJ75" s="587" t="str">
        <v>Easy ride: duration_primary minutes</v>
      </c>
      <c r="DK75" s="587" t="str">
        <v>Easy ride: duration_primary minutes</v>
      </c>
      <c r="DL75" s="587" t="str">
        <v>Easy ride: duration_primary minutes</v>
      </c>
      <c r="DM75" s="587" t="str">
        <v>Easy ride: duration_primary minutes</v>
      </c>
      <c r="DN75" s="587" t="str">
        <v>Steady ride: duration_primary minutes</v>
      </c>
      <c r="DO75" s="587" t="str">
        <v>Steady ride: duration_primary minutes</v>
      </c>
      <c r="DP75" s="587" t="str">
        <v>Long ride: duration_primary minutes</v>
      </c>
      <c r="DQ75" s="587" t="str">
        <v>Long ride: duration_primary minutes</v>
      </c>
      <c r="DR75" s="587" t="str">
        <v>Long ride: duration_primary minutes</v>
      </c>
      <c r="DS75" s="587" t="str">
        <v>Subthreshold ride: duration_primary minutes + WU/WD</v>
      </c>
      <c r="DT75" s="587" t="str">
        <v>Tempo road ride: duration_primary minutes + WU/WD</v>
      </c>
      <c r="DU75" s="587" t="str">
        <v>Tempo road ride: duration_primary minutes + WU/WD</v>
      </c>
      <c r="DV75" s="587" t="str">
        <v>Hilly tempo ride: duration_primary minutes + WU/WD</v>
      </c>
      <c r="DW75" s="587" t="str">
        <v>Hilly tempo ride: duration_primary minutes + WU/WD</v>
      </c>
      <c r="DX75" s="587" t="str">
        <v>Subthreshold ride: duration_primary minutes + WU/WD</v>
      </c>
      <c r="DY75" s="587" t="str">
        <v>Tempo road ride: duration_primary minutes + WU/WD</v>
      </c>
      <c r="DZ75" s="587" t="str">
        <v>Tempo road ride: duration_primary minutes + WU/WD</v>
      </c>
      <c r="EA75" s="587" t="str">
        <v>Hilly tempo ride: duration_primary minutes + WU/WD</v>
      </c>
      <c r="EB75" s="587" t="str">
        <v>Hilly tempo ride: duration_primary minutes + WU/WD</v>
      </c>
      <c r="EC75" s="587" t="str">
        <v>Fartlek ride: duration_primary minutes + WU/WD</v>
      </c>
      <c r="ED75" s="587" t="str">
        <v>Fartlek ride: duration_primary minutes + WU/WD</v>
      </c>
      <c r="EE75" s="587" t="str">
        <v>Fartlek ride: duration_primary minutes + WU/WD</v>
      </c>
      <c r="EF75" s="587" t="str">
        <v>Fartlek ride: duration_primary minutes + WU/WD</v>
      </c>
      <c r="EG75" s="587" t="str">
        <v/>
      </c>
      <c r="EH75" s="587" t="str">
        <v/>
      </c>
      <c r="EI75" s="587" t="str">
        <v/>
      </c>
      <c r="EJ75" s="587" t="str">
        <v/>
      </c>
      <c r="EK75" s="587" t="str">
        <v/>
      </c>
      <c r="EL75" s="587" t="str">
        <v/>
      </c>
      <c r="EM75" s="587" t="str">
        <v/>
      </c>
      <c r="EN75" s="587" t="str">
        <v/>
      </c>
      <c r="EO75" s="587" t="str">
        <v/>
      </c>
      <c r="EP75" s="587" t="str">
        <v/>
      </c>
      <c r="EQ75" s="587" t="str">
        <v/>
      </c>
      <c r="ER75" s="587" t="str">
        <v/>
      </c>
      <c r="ES75" s="587" t="str">
        <v/>
      </c>
      <c r="ET75" s="587" t="str">
        <v/>
      </c>
      <c r="EU75" s="587" t="str">
        <v/>
      </c>
      <c r="EV75" s="587" t="str">
        <v/>
      </c>
      <c r="EW75" s="587" t="str">
        <v/>
      </c>
      <c r="EX75" s="587" t="str">
        <v/>
      </c>
      <c r="EY75" s="587" t="str">
        <v/>
      </c>
      <c r="EZ75" s="587" t="str">
        <v/>
      </c>
      <c r="FA75" s="587" t="str">
        <v/>
      </c>
      <c r="FB75" s="587" t="str">
        <v/>
      </c>
      <c r="FC75" s="587" t="str">
        <v/>
      </c>
      <c r="FD75" s="587" t="str">
        <v/>
      </c>
      <c r="FE75" s="587" t="str">
        <v/>
      </c>
      <c r="FF75" s="587" t="str">
        <v/>
      </c>
      <c r="FG75" s="587" t="str">
        <v>Reps: II + WU/WD</v>
      </c>
      <c r="FH75" s="587" t="str">
        <v>Reps: II + WU/WD</v>
      </c>
      <c r="FI75" s="587" t="str">
        <v>Reps: II + WU/WD</v>
      </c>
      <c r="FJ75" s="587" t="str">
        <v>Reps: II + WU/WD</v>
      </c>
      <c r="FK75" s="587" t="str">
        <v>Reps: II + WU/WD</v>
      </c>
      <c r="FL75" s="587" t="str">
        <v>Reps: II + WU/WD</v>
      </c>
      <c r="FM75" s="587" t="str">
        <v>Reps: II + WU/WD</v>
      </c>
      <c r="FN75" s="587" t="str">
        <v>Reps: II + WU/WD</v>
      </c>
      <c r="FO75" s="587" t="str">
        <v>Reps: II + WU/WD</v>
      </c>
      <c r="FP75" s="587" t="str">
        <v>Reps: II + WU/WD</v>
      </c>
      <c r="FQ75" s="587" t="str">
        <v/>
      </c>
      <c r="FR75" s="587" t="str">
        <v/>
      </c>
      <c r="FS75" s="587" t="str">
        <v/>
      </c>
      <c r="FT75" s="587" t="str">
        <v/>
      </c>
      <c r="FU75" s="587" t="str">
        <v/>
      </c>
      <c r="FV75" s="587" t="str">
        <v/>
      </c>
      <c r="FW75" s="587" t="str">
        <v/>
      </c>
      <c r="FX75" s="587" t="str">
        <v/>
      </c>
      <c r="FY75" s="587" t="str">
        <v/>
      </c>
      <c r="FZ75" s="587" t="str">
        <v/>
      </c>
      <c r="GA75" s="587" t="str">
        <v>Race: duration_primary minutes + WU/WD</v>
      </c>
      <c r="GB75" s="587" t="str">
        <v>Race: duration_primary minutes + WU/WD</v>
      </c>
      <c r="GC75" s="587" t="str">
        <v>Race: duration_primary minutes + WU/WD</v>
      </c>
      <c r="GD75" s="587" t="str">
        <v>Race: duration_primary minutes + WU/WD</v>
      </c>
      <c r="GE75" s="587" t="str">
        <v>Race: duration_primary minutes + WU/WD</v>
      </c>
      <c r="GF75" s="587" t="str">
        <v>Race: duration_primary minutes + WU/WD</v>
      </c>
      <c r="GG75" s="587" t="str">
        <v>Race: duration_primary minutes + WU/WD</v>
      </c>
      <c r="GH75" s="587" t="str">
        <v>Race: duration_primary minutes + WU/WD</v>
      </c>
      <c r="GI75" s="587" t="str">
        <v>Race: duration_primary minutes + WU/WD</v>
      </c>
      <c r="GJ75" s="587" t="str">
        <v>Race: duration_primary minutes + WU/WD</v>
      </c>
      <c r="GK75" s="587" t="str">
        <v>Race: duration_primary minutes + WU/WD</v>
      </c>
      <c r="GL75" s="587" t="str">
        <v>Race: duration_primary minutes + WU/WD</v>
      </c>
      <c r="GM75" s="587" t="str">
        <v>Race: duration_primary minutes + WU/WD</v>
      </c>
      <c r="GN75" s="587" t="str">
        <v>Race: duration_primary minutes + WU/WD</v>
      </c>
      <c r="GO75" s="587" t="str">
        <v>Race: duration_primary minutes + WU/WD</v>
      </c>
      <c r="GP75" s="587" t="str">
        <v/>
      </c>
      <c r="GQ75" s="587" t="str">
        <v/>
      </c>
      <c r="GR75" s="587" t="str">
        <v/>
      </c>
      <c r="GS75" s="587" t="str">
        <v/>
      </c>
      <c r="GT75" s="587" t="str">
        <v/>
      </c>
      <c r="GU75" s="587" t="str">
        <v>Rest from continuous exercise</v>
      </c>
      <c r="GV75" s="587" t="str">
        <v>Easy swim: duration_primary minutes</v>
      </c>
      <c r="GW75" s="587" t="str">
        <v>Easy swim: duration_primary minutes</v>
      </c>
      <c r="GX75" s="587" t="str">
        <v>Steady swim: duration_primary minutes</v>
      </c>
      <c r="GY75" s="587" t="str">
        <v>Long open water swim: duration_primary minutes</v>
      </c>
      <c r="GZ75" s="587" t="str">
        <v/>
      </c>
      <c r="HA75" s="587" t="str">
        <v/>
      </c>
      <c r="HB75" s="587" t="str">
        <v>Easy swim: duration_primary minutes</v>
      </c>
      <c r="HC75" s="587" t="str">
        <v>Easy swim: duration_primary minutes</v>
      </c>
      <c r="HD75" s="587" t="str">
        <v>Easy swim: duration_primary minutes</v>
      </c>
      <c r="HE75" s="587" t="str">
        <v>Easy swim: duration_primary minutes</v>
      </c>
      <c r="HF75" s="587" t="str">
        <v>Easy swim: duration_primary minutes</v>
      </c>
      <c r="HG75" s="587" t="str">
        <v>Easy swim: duration_primary minutes</v>
      </c>
      <c r="HH75" s="587" t="str">
        <v>Easy swim: duration_primary minutes</v>
      </c>
      <c r="HI75" s="587" t="str">
        <v>Easy swim: duration_primary minutes</v>
      </c>
      <c r="HJ75" s="587" t="str">
        <v>Steady open water swim: duration_primary minutes</v>
      </c>
      <c r="HK75" s="587" t="str">
        <v>Steady open water swim: duration_primary minutes</v>
      </c>
      <c r="HL75" s="587" t="str">
        <v>Long open water swim: duration_primary minutes</v>
      </c>
      <c r="HM75" s="587" t="str">
        <v>Long open water swim: duration_primary minutes</v>
      </c>
      <c r="HN75" s="587" t="str">
        <v>Long open water swim: duration_primary minutes</v>
      </c>
      <c r="HO75" s="587" t="str">
        <v>Rest from continuous exercise</v>
      </c>
      <c r="HP75" s="587" t="str">
        <v>Easy paddle: duration_primary minutes</v>
      </c>
      <c r="HQ75" s="587" t="str">
        <v>Easy paddle: duration_primary minutes</v>
      </c>
      <c r="HR75" s="587" t="str">
        <v>Steady paddle: duration_primary minutes</v>
      </c>
      <c r="HS75" s="587" t="str">
        <v>Long paddle: duration_primary minutes</v>
      </c>
      <c r="HT75" s="587" t="str">
        <v/>
      </c>
      <c r="HU75" s="587" t="str">
        <v/>
      </c>
      <c r="HV75" s="587" t="str">
        <v>Easy paddle: duration_primary minutes</v>
      </c>
      <c r="HW75" s="587" t="str">
        <v>Easy paddle: duration_primary minutes</v>
      </c>
      <c r="HX75" s="587" t="str">
        <v>Easy paddle: duration_primary minutes</v>
      </c>
      <c r="HY75" s="587" t="str">
        <v>Easy paddle: duration_primary minutes</v>
      </c>
      <c r="HZ75" s="587" t="str">
        <v>Easy paddle: duration_primary minutes</v>
      </c>
      <c r="IA75" s="587" t="str">
        <v>Easy paddle: duration_primary minutes</v>
      </c>
      <c r="IB75" s="587" t="str">
        <v>Easy paddle: duration_primary minutes</v>
      </c>
      <c r="IC75" s="587" t="str">
        <v>Easy paddle: duration_primary minutes</v>
      </c>
      <c r="ID75" s="587" t="str">
        <v>Steady paddle: duration_primary minutes</v>
      </c>
      <c r="IE75" s="587" t="str">
        <v>Steady paddle: duration_primary minutes</v>
      </c>
      <c r="IF75" s="587" t="str">
        <v>Long paddle: duration_primary minutes</v>
      </c>
      <c r="IG75" s="587" t="str">
        <v>Long paddle: duration_primary minutes</v>
      </c>
      <c r="IH75" s="587" t="str">
        <v>Long paddle: duration_primary minutes</v>
      </c>
      <c r="II75" s="587" t="str">
        <v>Alternative sport: duration_primary minutes</v>
      </c>
      <c r="IJ75" s="587" t="str">
        <v/>
      </c>
      <c r="IK75" s="587" t="str">
        <v/>
      </c>
      <c r="IL75" s="587" t="str">
        <v/>
      </c>
      <c r="IM75" s="587" t="str">
        <v/>
      </c>
      <c r="IN75" s="587" t="str">
        <v/>
      </c>
      <c r="IO75" s="587" t="str">
        <v/>
      </c>
      <c r="IP75" s="587" t="str">
        <v/>
      </c>
      <c r="IQ75" s="587" t="str">
        <v/>
      </c>
      <c r="IR75" s="587" t="str">
        <v/>
      </c>
      <c r="IS75" s="587" t="str">
        <v>Rest from continuous exercise</v>
      </c>
      <c r="IT75" s="587" t="str">
        <v>Long run: duration_primary minutes</v>
      </c>
      <c r="IU75" s="587" t="str">
        <v>Long run: duration_primary minutes</v>
      </c>
      <c r="IV75" s="587" t="str">
        <v>Long run: duration_primary minutes</v>
      </c>
      <c r="IW75" s="587" t="str">
        <v>Long run: duration_primary minutes</v>
      </c>
      <c r="IX75" s="587" t="str">
        <v>Long run: duration_primary minutes</v>
      </c>
      <c r="IY75" s="587" t="str">
        <v>Long run: duration_primary minutes</v>
      </c>
      <c r="IZ75" s="587" t="str">
        <v>Easy run: duration_primary minutes</v>
      </c>
      <c r="JA75" s="587" t="str">
        <v/>
      </c>
      <c r="JB75" s="587" t="str">
        <v/>
      </c>
      <c r="JC75" s="587" t="str">
        <v/>
      </c>
      <c r="JD75" s="587" t="str">
        <v/>
      </c>
      <c r="JE75" s="587" t="str">
        <v/>
      </c>
      <c r="JF75" s="587" t="str">
        <v/>
      </c>
      <c r="JG75" s="587" t="str">
        <v/>
      </c>
      <c r="JH75" s="587" t="str">
        <v/>
      </c>
      <c r="JI75" s="587" t="str">
        <v/>
      </c>
      <c r="JJ75" s="587" t="str">
        <v/>
      </c>
      <c r="JK75" s="587" t="str">
        <v/>
      </c>
      <c r="JL75" s="587" t="str">
        <v/>
      </c>
      <c r="JM75" s="587" t="str">
        <v/>
      </c>
      <c r="JN75" s="587" t="str">
        <v/>
      </c>
      <c r="JO75" s="587" t="str">
        <v/>
      </c>
      <c r="JP75" s="587" t="str">
        <v/>
      </c>
      <c r="JQ75" s="587" t="str">
        <v/>
      </c>
      <c r="JR75" s="587" t="str">
        <v/>
      </c>
      <c r="JS75" s="587" t="str">
        <v/>
      </c>
      <c r="JT75" s="587" t="str">
        <v/>
      </c>
      <c r="JU75" s="587" t="str">
        <v/>
      </c>
      <c r="JV75" s="587" t="str">
        <v/>
      </c>
      <c r="JW75" s="587" t="str">
        <v>Race: duration_primary minutes + WU/WD</v>
      </c>
      <c r="JX75" s="587" t="str">
        <v>Race: duration_primary minutes + WU/WD</v>
      </c>
      <c r="JY75" s="587" t="str">
        <v>Race: duration_primary minutes + WU/WD</v>
      </c>
      <c r="JZ75" s="587" t="str">
        <v>Race: duration_primary minutes + WU/WD</v>
      </c>
      <c r="KA75" s="587" t="str">
        <v>Race: duration_primary minutes + WU/WD</v>
      </c>
      <c r="KB75" s="587" t="str">
        <v>Race: duration_primary minutes + WU/WD</v>
      </c>
      <c r="KC75" s="587" t="str">
        <v>Race: duration_primary minutes + WU/WD</v>
      </c>
      <c r="KD75" s="587" t="str">
        <v>Race: duration_primary minutes + WU/WD</v>
      </c>
      <c r="KE75" s="587" t="str">
        <v>Race: duration_primary minutes + WU/WD</v>
      </c>
      <c r="KF75" s="587" t="str">
        <v>Race: duration_primary minutes + WU/WD</v>
      </c>
      <c r="KG75" s="587" t="str">
        <v>Race: duration_primary minutes + WU/WD</v>
      </c>
      <c r="KH75" s="587" t="str">
        <v>Race: duration_primary minutes + WU/WD</v>
      </c>
      <c r="KI75" s="587" t="str">
        <v>Race: duration_primary minutes + WU/WD</v>
      </c>
      <c r="KJ75" s="587" t="str">
        <v>Race: duration_primary minutes + WU/WD</v>
      </c>
      <c r="KK75" s="587" t="str">
        <v>Race: duration_primary minutes + WU/WD</v>
      </c>
      <c r="KL75" s="587" t="str">
        <v/>
      </c>
      <c r="KM75" s="587" t="str">
        <v/>
      </c>
      <c r="KN75" s="587" t="str">
        <v/>
      </c>
      <c r="KO75" s="587" t="str">
        <v/>
      </c>
      <c r="KP75" s="914" t="str">
        <v/>
      </c>
      <c r="KQ75" s="701" t="s">
        <v>388</v>
      </c>
    </row>
    <row r="76" spans="1:303" s="76" customFormat="1" ht="28.5" hidden="1" customHeight="1" x14ac:dyDescent="0.45">
      <c r="A76" s="1757"/>
      <c r="B76" s="896">
        <v>2</v>
      </c>
      <c r="C76" s="135" t="str">
        <v/>
      </c>
      <c r="D76" s="136" t="str">
        <v/>
      </c>
      <c r="E76" s="136" t="str">
        <v/>
      </c>
      <c r="F76" s="136" t="str">
        <v/>
      </c>
      <c r="G76" s="136" t="str">
        <v/>
      </c>
      <c r="H76" s="136" t="str">
        <v/>
      </c>
      <c r="I76" s="136" t="str">
        <v/>
      </c>
      <c r="J76" s="136" t="str">
        <v/>
      </c>
      <c r="K76" s="136" t="str">
        <v>duration_secondary stride outs</v>
      </c>
      <c r="L76" s="136" t="str">
        <v>duration_secondary stride outs</v>
      </c>
      <c r="M76" s="136" t="str">
        <v>duration_secondary stride outs</v>
      </c>
      <c r="N76" s="136" t="str">
        <v/>
      </c>
      <c r="O76" s="136" t="str">
        <v/>
      </c>
      <c r="P76" s="136" t="str">
        <v/>
      </c>
      <c r="Q76" s="136" t="str">
        <v/>
      </c>
      <c r="R76" s="136" t="str">
        <v/>
      </c>
      <c r="S76" s="136" t="str">
        <v/>
      </c>
      <c r="T76" s="136" t="str">
        <v/>
      </c>
      <c r="U76" s="136" t="str">
        <v/>
      </c>
      <c r="V76" s="136" t="str">
        <v/>
      </c>
      <c r="W76" s="136" t="str">
        <v/>
      </c>
      <c r="X76" s="136" t="str">
        <v/>
      </c>
      <c r="Y76" s="136" t="str">
        <v/>
      </c>
      <c r="Z76" s="136" t="str">
        <v/>
      </c>
      <c r="AA76" s="136" t="str">
        <v/>
      </c>
      <c r="AB76" s="136" t="str">
        <v>Easy hilly trail run: duration_secondary minutes</v>
      </c>
      <c r="AC76" s="136" t="str">
        <v>Easy hilly trail run: duration_secondary minutes</v>
      </c>
      <c r="AD76" s="136" t="str">
        <v>Easy hilly trail run: duration_secondary minutes</v>
      </c>
      <c r="AE76" s="136" t="str">
        <v>Easy hilly trail run: duration_secondary minutes</v>
      </c>
      <c r="AF76" s="136" t="str">
        <v>Easy hilly trail run: duration_secondary minutes</v>
      </c>
      <c r="AG76" s="136" t="str">
        <v/>
      </c>
      <c r="AH76" s="136" t="str">
        <v/>
      </c>
      <c r="AI76" s="136" t="str">
        <v/>
      </c>
      <c r="AJ76" s="136" t="str">
        <v/>
      </c>
      <c r="AK76" s="136" t="str">
        <v/>
      </c>
      <c r="AL76" s="136" t="str">
        <v/>
      </c>
      <c r="AM76" s="136" t="str">
        <v/>
      </c>
      <c r="AN76" s="136" t="str">
        <v/>
      </c>
      <c r="AO76" s="136" t="str">
        <v/>
      </c>
      <c r="AP76" s="136" t="str">
        <v/>
      </c>
      <c r="AQ76" s="136" t="str">
        <v/>
      </c>
      <c r="AR76" s="136" t="str">
        <v/>
      </c>
      <c r="AS76" s="136" t="str">
        <v/>
      </c>
      <c r="AT76" s="136" t="str">
        <v/>
      </c>
      <c r="AU76" s="136" t="str">
        <v/>
      </c>
      <c r="AV76" s="136" t="str">
        <v/>
      </c>
      <c r="AW76" s="136" t="str">
        <v/>
      </c>
      <c r="AX76" s="136" t="str">
        <v/>
      </c>
      <c r="AY76" s="136" t="str">
        <v/>
      </c>
      <c r="AZ76" s="136" t="str">
        <v/>
      </c>
      <c r="BA76" s="136" t="str">
        <v/>
      </c>
      <c r="BB76" s="136" t="str">
        <v/>
      </c>
      <c r="BC76" s="136" t="str">
        <v/>
      </c>
      <c r="BD76" s="136" t="str">
        <v/>
      </c>
      <c r="BE76" s="136" t="str">
        <v/>
      </c>
      <c r="BF76" s="136" t="str">
        <v/>
      </c>
      <c r="BG76" s="136" t="str">
        <v/>
      </c>
      <c r="BH76" s="136" t="str">
        <v/>
      </c>
      <c r="BI76" s="136" t="str">
        <v/>
      </c>
      <c r="BJ76" s="136" t="str">
        <v/>
      </c>
      <c r="BK76" s="136" t="str">
        <v>Easy run: duration_secondary minutes</v>
      </c>
      <c r="BL76" s="136" t="str">
        <v>Easy run: duration_secondary minutes</v>
      </c>
      <c r="BM76" s="136" t="str">
        <v>Easy run: duration_secondary minutes</v>
      </c>
      <c r="BN76" s="136" t="str">
        <v>Easy run: duration_secondary minutes</v>
      </c>
      <c r="BO76" s="136" t="str">
        <v>Easy run: duration_secondary minutes</v>
      </c>
      <c r="BP76" s="136" t="str">
        <v>Easy run: duration_secondary minutes</v>
      </c>
      <c r="BQ76" s="136" t="str">
        <v>Easy run: duration_secondary minutes</v>
      </c>
      <c r="BR76" s="136" t="str">
        <v>Easy run: duration_secondary minutes</v>
      </c>
      <c r="BS76" s="136" t="str">
        <v>Easy run: duration_secondary minutes</v>
      </c>
      <c r="BT76" s="136" t="str">
        <v/>
      </c>
      <c r="BU76" s="136" t="str">
        <v/>
      </c>
      <c r="BV76" s="136" t="str">
        <v>duration_secondary stride outs</v>
      </c>
      <c r="BW76" s="136" t="str">
        <v>Reps: II + WU/WD</v>
      </c>
      <c r="BX76" s="136" t="str">
        <v>Easy run: duration_secondary minutes</v>
      </c>
      <c r="BY76" s="136" t="str">
        <v>Reps: II + WU/WD</v>
      </c>
      <c r="BZ76" s="136" t="str">
        <v/>
      </c>
      <c r="CA76" s="136" t="str">
        <v>Maintenance</v>
      </c>
      <c r="CB76" s="136" t="str">
        <v>Strength and conditioning</v>
      </c>
      <c r="CC76" s="136" t="str">
        <v/>
      </c>
      <c r="CD76" s="136" t="str">
        <v>Strength and conditioning</v>
      </c>
      <c r="CE76" s="136" t="str">
        <v/>
      </c>
      <c r="CF76" s="136" t="str">
        <v/>
      </c>
      <c r="CG76" s="136" t="str">
        <v/>
      </c>
      <c r="CH76" s="136" t="str">
        <v/>
      </c>
      <c r="CI76" s="136" t="str">
        <v/>
      </c>
      <c r="CJ76" s="136" t="str">
        <v/>
      </c>
      <c r="CK76" s="136" t="str">
        <v/>
      </c>
      <c r="CL76" s="136" t="str">
        <v/>
      </c>
      <c r="CM76" s="136" t="str">
        <v/>
      </c>
      <c r="CN76" s="136" t="str">
        <v/>
      </c>
      <c r="CO76" s="136" t="str">
        <v/>
      </c>
      <c r="CP76" s="136" t="str">
        <v/>
      </c>
      <c r="CQ76" s="136" t="str">
        <v/>
      </c>
      <c r="CR76" s="136" t="str">
        <v/>
      </c>
      <c r="CS76" s="136" t="str">
        <v/>
      </c>
      <c r="CT76" s="136" t="str">
        <v/>
      </c>
      <c r="CU76" s="136" t="str">
        <v/>
      </c>
      <c r="CV76" s="136" t="str">
        <v/>
      </c>
      <c r="CW76" s="136" t="str">
        <v/>
      </c>
      <c r="CX76" s="136" t="str">
        <v/>
      </c>
      <c r="CY76" s="135" t="str">
        <v/>
      </c>
      <c r="CZ76" s="136" t="str">
        <v/>
      </c>
      <c r="DA76" s="136" t="str">
        <v/>
      </c>
      <c r="DB76" s="136" t="str">
        <v/>
      </c>
      <c r="DC76" s="136" t="str">
        <v/>
      </c>
      <c r="DD76" s="136" t="str">
        <v/>
      </c>
      <c r="DE76" s="136" t="str">
        <v/>
      </c>
      <c r="DF76" s="136" t="str">
        <v/>
      </c>
      <c r="DG76" s="136" t="str">
        <v/>
      </c>
      <c r="DH76" s="136" t="str">
        <v/>
      </c>
      <c r="DI76" s="136" t="str">
        <v/>
      </c>
      <c r="DJ76" s="136" t="str">
        <v/>
      </c>
      <c r="DK76" s="136" t="str">
        <v/>
      </c>
      <c r="DL76" s="136" t="str">
        <v/>
      </c>
      <c r="DM76" s="136" t="str">
        <v/>
      </c>
      <c r="DN76" s="136" t="str">
        <v/>
      </c>
      <c r="DO76" s="136" t="str">
        <v/>
      </c>
      <c r="DP76" s="136" t="str">
        <v/>
      </c>
      <c r="DQ76" s="136" t="str">
        <v/>
      </c>
      <c r="DR76" s="136" t="str">
        <v/>
      </c>
      <c r="DS76" s="136" t="str">
        <v/>
      </c>
      <c r="DT76" s="136" t="str">
        <v/>
      </c>
      <c r="DU76" s="136" t="str">
        <v/>
      </c>
      <c r="DV76" s="136" t="str">
        <v/>
      </c>
      <c r="DW76" s="136" t="str">
        <v/>
      </c>
      <c r="DX76" s="136" t="str">
        <v>Easy ride: duration_secondary minutes</v>
      </c>
      <c r="DY76" s="136" t="str">
        <v>Easy ride: duration_secondary minutes</v>
      </c>
      <c r="DZ76" s="136" t="str">
        <v>Easy ride: duration_secondary minutes</v>
      </c>
      <c r="EA76" s="136" t="str">
        <v>Easy ride: duration_secondary minutes</v>
      </c>
      <c r="EB76" s="136" t="str">
        <v>Easy ride: duration_secondary minutes</v>
      </c>
      <c r="EC76" s="136" t="str">
        <v/>
      </c>
      <c r="ED76" s="136" t="str">
        <v/>
      </c>
      <c r="EE76" s="136" t="str">
        <v/>
      </c>
      <c r="EF76" s="136" t="str">
        <v/>
      </c>
      <c r="EG76" s="136" t="str">
        <v/>
      </c>
      <c r="EH76" s="136" t="str">
        <v/>
      </c>
      <c r="EI76" s="136" t="str">
        <v/>
      </c>
      <c r="EJ76" s="136" t="str">
        <v/>
      </c>
      <c r="EK76" s="136" t="str">
        <v/>
      </c>
      <c r="EL76" s="136" t="str">
        <v/>
      </c>
      <c r="EM76" s="136" t="str">
        <v/>
      </c>
      <c r="EN76" s="136" t="str">
        <v/>
      </c>
      <c r="EO76" s="136" t="str">
        <v/>
      </c>
      <c r="EP76" s="136" t="str">
        <v/>
      </c>
      <c r="EQ76" s="136" t="str">
        <v/>
      </c>
      <c r="ER76" s="136" t="str">
        <v/>
      </c>
      <c r="ES76" s="136" t="str">
        <v/>
      </c>
      <c r="ET76" s="136" t="str">
        <v/>
      </c>
      <c r="EU76" s="136" t="str">
        <v/>
      </c>
      <c r="EV76" s="136" t="str">
        <v/>
      </c>
      <c r="EW76" s="136" t="str">
        <v/>
      </c>
      <c r="EX76" s="136" t="str">
        <v/>
      </c>
      <c r="EY76" s="136" t="str">
        <v/>
      </c>
      <c r="EZ76" s="136" t="str">
        <v/>
      </c>
      <c r="FA76" s="136" t="str">
        <v/>
      </c>
      <c r="FB76" s="136" t="str">
        <v/>
      </c>
      <c r="FC76" s="136" t="str">
        <v/>
      </c>
      <c r="FD76" s="136" t="str">
        <v/>
      </c>
      <c r="FE76" s="136" t="str">
        <v/>
      </c>
      <c r="FF76" s="136" t="str">
        <v/>
      </c>
      <c r="FG76" s="136" t="str">
        <v/>
      </c>
      <c r="FH76" s="136" t="str">
        <v/>
      </c>
      <c r="FI76" s="136" t="str">
        <v/>
      </c>
      <c r="FJ76" s="136" t="str">
        <v/>
      </c>
      <c r="FK76" s="136" t="str">
        <v/>
      </c>
      <c r="FL76" s="136" t="str">
        <v/>
      </c>
      <c r="FM76" s="136" t="str">
        <v/>
      </c>
      <c r="FN76" s="136" t="str">
        <v>Steady ride: duration_secondary minutes</v>
      </c>
      <c r="FO76" s="136" t="str">
        <v/>
      </c>
      <c r="FP76" s="136" t="str">
        <v/>
      </c>
      <c r="FQ76" s="136" t="str">
        <v/>
      </c>
      <c r="FR76" s="136" t="str">
        <v/>
      </c>
      <c r="FS76" s="136" t="str">
        <v/>
      </c>
      <c r="FT76" s="136" t="str">
        <v/>
      </c>
      <c r="FU76" s="136" t="str">
        <v/>
      </c>
      <c r="FV76" s="136" t="str">
        <v/>
      </c>
      <c r="FW76" s="136" t="str">
        <v/>
      </c>
      <c r="FX76" s="136" t="str">
        <v/>
      </c>
      <c r="FY76" s="136" t="str">
        <v/>
      </c>
      <c r="FZ76" s="136" t="str">
        <v/>
      </c>
      <c r="GA76" s="136" t="str">
        <v/>
      </c>
      <c r="GB76" s="136" t="str">
        <v/>
      </c>
      <c r="GC76" s="136" t="str">
        <v/>
      </c>
      <c r="GD76" s="136" t="str">
        <v/>
      </c>
      <c r="GE76" s="136" t="str">
        <v/>
      </c>
      <c r="GF76" s="136" t="str">
        <v/>
      </c>
      <c r="GG76" s="136" t="str">
        <v/>
      </c>
      <c r="GH76" s="136" t="str">
        <v/>
      </c>
      <c r="GI76" s="136" t="str">
        <v/>
      </c>
      <c r="GJ76" s="136" t="str">
        <v/>
      </c>
      <c r="GK76" s="136" t="str">
        <v/>
      </c>
      <c r="GL76" s="136" t="str">
        <v/>
      </c>
      <c r="GM76" s="136" t="str">
        <v/>
      </c>
      <c r="GN76" s="136" t="str">
        <v/>
      </c>
      <c r="GO76" s="136" t="str">
        <v/>
      </c>
      <c r="GP76" s="136" t="str">
        <v/>
      </c>
      <c r="GQ76" s="136" t="str">
        <v/>
      </c>
      <c r="GR76" s="136" t="str">
        <v/>
      </c>
      <c r="GS76" s="136" t="str">
        <v/>
      </c>
      <c r="GT76" s="136" t="str">
        <v/>
      </c>
      <c r="GU76" s="136" t="str">
        <v/>
      </c>
      <c r="GV76" s="136" t="str">
        <v/>
      </c>
      <c r="GW76" s="136" t="str">
        <v/>
      </c>
      <c r="GX76" s="136" t="str">
        <v/>
      </c>
      <c r="GY76" s="136" t="str">
        <v/>
      </c>
      <c r="GZ76" s="136" t="str">
        <v/>
      </c>
      <c r="HA76" s="136" t="str">
        <v/>
      </c>
      <c r="HB76" s="136" t="str">
        <v/>
      </c>
      <c r="HC76" s="136" t="str">
        <v/>
      </c>
      <c r="HD76" s="136" t="str">
        <v/>
      </c>
      <c r="HE76" s="136" t="str">
        <v/>
      </c>
      <c r="HF76" s="136" t="str">
        <v/>
      </c>
      <c r="HG76" s="136" t="str">
        <v/>
      </c>
      <c r="HH76" s="136" t="str">
        <v/>
      </c>
      <c r="HI76" s="136" t="str">
        <v/>
      </c>
      <c r="HJ76" s="136" t="str">
        <v/>
      </c>
      <c r="HK76" s="136" t="str">
        <v/>
      </c>
      <c r="HL76" s="136" t="str">
        <v/>
      </c>
      <c r="HM76" s="136" t="str">
        <v/>
      </c>
      <c r="HN76" s="136" t="str">
        <v/>
      </c>
      <c r="HO76" s="136" t="str">
        <v/>
      </c>
      <c r="HP76" s="136" t="str">
        <v/>
      </c>
      <c r="HQ76" s="136" t="str">
        <v/>
      </c>
      <c r="HR76" s="136" t="str">
        <v/>
      </c>
      <c r="HS76" s="136" t="str">
        <v/>
      </c>
      <c r="HT76" s="136" t="str">
        <v/>
      </c>
      <c r="HU76" s="136" t="str">
        <v/>
      </c>
      <c r="HV76" s="136" t="str">
        <v/>
      </c>
      <c r="HW76" s="136" t="str">
        <v/>
      </c>
      <c r="HX76" s="136" t="str">
        <v/>
      </c>
      <c r="HY76" s="136" t="str">
        <v/>
      </c>
      <c r="HZ76" s="136" t="str">
        <v/>
      </c>
      <c r="IA76" s="136" t="str">
        <v/>
      </c>
      <c r="IB76" s="136" t="str">
        <v/>
      </c>
      <c r="IC76" s="136" t="str">
        <v/>
      </c>
      <c r="ID76" s="136" t="str">
        <v/>
      </c>
      <c r="IE76" s="136" t="str">
        <v/>
      </c>
      <c r="IF76" s="136" t="str">
        <v/>
      </c>
      <c r="IG76" s="136" t="str">
        <v/>
      </c>
      <c r="IH76" s="136" t="str">
        <v/>
      </c>
      <c r="II76" s="136" t="str">
        <v/>
      </c>
      <c r="IJ76" s="136" t="str">
        <v/>
      </c>
      <c r="IK76" s="136" t="str">
        <v/>
      </c>
      <c r="IL76" s="136" t="str">
        <v/>
      </c>
      <c r="IM76" s="136" t="str">
        <v/>
      </c>
      <c r="IN76" s="136" t="str">
        <v/>
      </c>
      <c r="IO76" s="136" t="str">
        <v/>
      </c>
      <c r="IP76" s="136" t="str">
        <v/>
      </c>
      <c r="IQ76" s="136" t="str">
        <v/>
      </c>
      <c r="IR76" s="136" t="str">
        <v/>
      </c>
      <c r="IS76" s="136" t="str">
        <v/>
      </c>
      <c r="IT76" s="136" t="str">
        <v/>
      </c>
      <c r="IU76" s="136" t="str">
        <v/>
      </c>
      <c r="IV76" s="136" t="str">
        <v/>
      </c>
      <c r="IW76" s="136" t="str">
        <v/>
      </c>
      <c r="IX76" s="136" t="str">
        <v/>
      </c>
      <c r="IY76" s="136" t="str">
        <v/>
      </c>
      <c r="IZ76" s="136" t="str">
        <v/>
      </c>
      <c r="JA76" s="136" t="str">
        <v/>
      </c>
      <c r="JB76" s="136" t="str">
        <v/>
      </c>
      <c r="JC76" s="136" t="str">
        <v/>
      </c>
      <c r="JD76" s="136" t="str">
        <v/>
      </c>
      <c r="JE76" s="136" t="str">
        <v/>
      </c>
      <c r="JF76" s="136" t="str">
        <v/>
      </c>
      <c r="JG76" s="136" t="str">
        <v/>
      </c>
      <c r="JH76" s="136" t="str">
        <v/>
      </c>
      <c r="JI76" s="136" t="str">
        <v/>
      </c>
      <c r="JJ76" s="136" t="str">
        <v/>
      </c>
      <c r="JK76" s="136" t="str">
        <v/>
      </c>
      <c r="JL76" s="136" t="str">
        <v/>
      </c>
      <c r="JM76" s="136" t="str">
        <v/>
      </c>
      <c r="JN76" s="136" t="str">
        <v/>
      </c>
      <c r="JO76" s="136" t="str">
        <v/>
      </c>
      <c r="JP76" s="136" t="str">
        <v/>
      </c>
      <c r="JQ76" s="136" t="str">
        <v/>
      </c>
      <c r="JR76" s="136" t="str">
        <v/>
      </c>
      <c r="JS76" s="136" t="str">
        <v/>
      </c>
      <c r="JT76" s="136" t="str">
        <v/>
      </c>
      <c r="JU76" s="136" t="str">
        <v/>
      </c>
      <c r="JV76" s="136" t="str">
        <v/>
      </c>
      <c r="JW76" s="136" t="str">
        <v/>
      </c>
      <c r="JX76" s="136" t="str">
        <v/>
      </c>
      <c r="JY76" s="136" t="str">
        <v/>
      </c>
      <c r="JZ76" s="136" t="str">
        <v/>
      </c>
      <c r="KA76" s="136" t="str">
        <v/>
      </c>
      <c r="KB76" s="136" t="str">
        <v/>
      </c>
      <c r="KC76" s="136" t="str">
        <v/>
      </c>
      <c r="KD76" s="136" t="str">
        <v/>
      </c>
      <c r="KE76" s="136" t="str">
        <v/>
      </c>
      <c r="KF76" s="136" t="str">
        <v/>
      </c>
      <c r="KG76" s="136" t="str">
        <v/>
      </c>
      <c r="KH76" s="136" t="str">
        <v/>
      </c>
      <c r="KI76" s="136" t="str">
        <v/>
      </c>
      <c r="KJ76" s="136" t="str">
        <v/>
      </c>
      <c r="KK76" s="136" t="str">
        <v/>
      </c>
      <c r="KL76" s="136" t="str">
        <v/>
      </c>
      <c r="KM76" s="136" t="str">
        <v/>
      </c>
      <c r="KN76" s="136" t="str">
        <v/>
      </c>
      <c r="KO76" s="136" t="str">
        <v/>
      </c>
      <c r="KP76" s="917" t="str">
        <v/>
      </c>
      <c r="KQ76" s="701" t="s">
        <v>388</v>
      </c>
    </row>
    <row r="77" spans="1:303" s="76" customFormat="1" ht="28.5" hidden="1" customHeight="1" x14ac:dyDescent="0.45">
      <c r="A77" s="1757"/>
      <c r="B77" s="896">
        <v>3</v>
      </c>
      <c r="C77" s="135" t="str">
        <v/>
      </c>
      <c r="D77" s="136" t="str">
        <v/>
      </c>
      <c r="E77" s="136" t="str">
        <v/>
      </c>
      <c r="F77" s="136" t="str">
        <v/>
      </c>
      <c r="G77" s="136" t="str">
        <v/>
      </c>
      <c r="H77" s="136" t="str">
        <v/>
      </c>
      <c r="I77" s="136" t="str">
        <v/>
      </c>
      <c r="J77" s="136" t="str">
        <v/>
      </c>
      <c r="K77" s="136" t="str">
        <v/>
      </c>
      <c r="L77" s="136" t="str">
        <v/>
      </c>
      <c r="M77" s="136" t="str">
        <v/>
      </c>
      <c r="N77" s="136" t="str">
        <v/>
      </c>
      <c r="O77" s="136" t="str">
        <v/>
      </c>
      <c r="P77" s="136" t="str">
        <v/>
      </c>
      <c r="Q77" s="136" t="str">
        <v/>
      </c>
      <c r="R77" s="136" t="str">
        <v/>
      </c>
      <c r="S77" s="136" t="str">
        <v/>
      </c>
      <c r="T77" s="136" t="str">
        <v/>
      </c>
      <c r="U77" s="136" t="str">
        <v/>
      </c>
      <c r="V77" s="136" t="str">
        <v/>
      </c>
      <c r="W77" s="136" t="str">
        <v/>
      </c>
      <c r="X77" s="136" t="str">
        <v/>
      </c>
      <c r="Y77" s="136" t="str">
        <v/>
      </c>
      <c r="Z77" s="136" t="str">
        <v/>
      </c>
      <c r="AA77" s="136" t="str">
        <v/>
      </c>
      <c r="AB77" s="136" t="str">
        <v/>
      </c>
      <c r="AC77" s="136" t="str">
        <v/>
      </c>
      <c r="AD77" s="136" t="str">
        <v/>
      </c>
      <c r="AE77" s="136" t="str">
        <v/>
      </c>
      <c r="AF77" s="136" t="str">
        <v/>
      </c>
      <c r="AG77" s="136" t="str">
        <v/>
      </c>
      <c r="AH77" s="136" t="str">
        <v/>
      </c>
      <c r="AI77" s="136" t="str">
        <v/>
      </c>
      <c r="AJ77" s="136" t="str">
        <v/>
      </c>
      <c r="AK77" s="136" t="str">
        <v/>
      </c>
      <c r="AL77" s="136" t="str">
        <v/>
      </c>
      <c r="AM77" s="136" t="str">
        <v/>
      </c>
      <c r="AN77" s="136" t="str">
        <v/>
      </c>
      <c r="AO77" s="136" t="str">
        <v/>
      </c>
      <c r="AP77" s="136" t="str">
        <v/>
      </c>
      <c r="AQ77" s="136" t="str">
        <v/>
      </c>
      <c r="AR77" s="136" t="str">
        <v/>
      </c>
      <c r="AS77" s="136" t="str">
        <v/>
      </c>
      <c r="AT77" s="136" t="str">
        <v/>
      </c>
      <c r="AU77" s="136" t="str">
        <v/>
      </c>
      <c r="AV77" s="136" t="str">
        <v/>
      </c>
      <c r="AW77" s="136" t="str">
        <v/>
      </c>
      <c r="AX77" s="136" t="str">
        <v/>
      </c>
      <c r="AY77" s="136" t="str">
        <v/>
      </c>
      <c r="AZ77" s="136" t="str">
        <v/>
      </c>
      <c r="BA77" s="136" t="str">
        <v/>
      </c>
      <c r="BB77" s="136" t="str">
        <v/>
      </c>
      <c r="BC77" s="136" t="str">
        <v/>
      </c>
      <c r="BD77" s="136" t="str">
        <v/>
      </c>
      <c r="BE77" s="136" t="str">
        <v/>
      </c>
      <c r="BF77" s="136" t="str">
        <v/>
      </c>
      <c r="BG77" s="136" t="str">
        <v/>
      </c>
      <c r="BH77" s="136" t="str">
        <v/>
      </c>
      <c r="BI77" s="136" t="str">
        <v/>
      </c>
      <c r="BJ77" s="136" t="str">
        <v/>
      </c>
      <c r="BK77" s="136" t="str">
        <v/>
      </c>
      <c r="BL77" s="136" t="str">
        <v/>
      </c>
      <c r="BM77" s="136" t="str">
        <v/>
      </c>
      <c r="BN77" s="136" t="str">
        <v/>
      </c>
      <c r="BO77" s="136" t="str">
        <v/>
      </c>
      <c r="BP77" s="136" t="str">
        <v/>
      </c>
      <c r="BQ77" s="136" t="str">
        <v/>
      </c>
      <c r="BR77" s="136" t="str">
        <v/>
      </c>
      <c r="BS77" s="136" t="str">
        <v/>
      </c>
      <c r="BT77" s="136" t="str">
        <v/>
      </c>
      <c r="BU77" s="136" t="str">
        <v/>
      </c>
      <c r="BV77" s="136" t="str">
        <v/>
      </c>
      <c r="BW77" s="136" t="str">
        <v/>
      </c>
      <c r="BX77" s="136" t="str">
        <v/>
      </c>
      <c r="BY77" s="136" t="str">
        <v>Easy run: duration_tertiary minutes</v>
      </c>
      <c r="BZ77" s="136" t="str">
        <v/>
      </c>
      <c r="CA77" s="136" t="str">
        <v/>
      </c>
      <c r="CB77" s="136" t="str">
        <v>Maintenance</v>
      </c>
      <c r="CC77" s="136" t="str">
        <v/>
      </c>
      <c r="CD77" s="136" t="str">
        <v/>
      </c>
      <c r="CE77" s="136" t="str">
        <v/>
      </c>
      <c r="CF77" s="136" t="str">
        <v/>
      </c>
      <c r="CG77" s="136" t="str">
        <v/>
      </c>
      <c r="CH77" s="136" t="str">
        <v/>
      </c>
      <c r="CI77" s="136" t="str">
        <v/>
      </c>
      <c r="CJ77" s="136" t="str">
        <v/>
      </c>
      <c r="CK77" s="136" t="str">
        <v/>
      </c>
      <c r="CL77" s="136" t="str">
        <v/>
      </c>
      <c r="CM77" s="136" t="str">
        <v/>
      </c>
      <c r="CN77" s="136" t="str">
        <v/>
      </c>
      <c r="CO77" s="136" t="str">
        <v/>
      </c>
      <c r="CP77" s="136" t="str">
        <v/>
      </c>
      <c r="CQ77" s="136" t="str">
        <v/>
      </c>
      <c r="CR77" s="136" t="str">
        <v/>
      </c>
      <c r="CS77" s="136" t="str">
        <v/>
      </c>
      <c r="CT77" s="136" t="str">
        <v/>
      </c>
      <c r="CU77" s="136" t="str">
        <v/>
      </c>
      <c r="CV77" s="136" t="str">
        <v/>
      </c>
      <c r="CW77" s="136" t="str">
        <v/>
      </c>
      <c r="CX77" s="136" t="str">
        <v/>
      </c>
      <c r="CY77" s="135" t="str">
        <v/>
      </c>
      <c r="CZ77" s="136" t="str">
        <v/>
      </c>
      <c r="DA77" s="136" t="str">
        <v/>
      </c>
      <c r="DB77" s="136" t="str">
        <v/>
      </c>
      <c r="DC77" s="136" t="str">
        <v/>
      </c>
      <c r="DD77" s="136" t="str">
        <v/>
      </c>
      <c r="DE77" s="136" t="str">
        <v/>
      </c>
      <c r="DF77" s="136" t="str">
        <v/>
      </c>
      <c r="DG77" s="136" t="str">
        <v/>
      </c>
      <c r="DH77" s="136" t="str">
        <v/>
      </c>
      <c r="DI77" s="136" t="str">
        <v/>
      </c>
      <c r="DJ77" s="136" t="str">
        <v/>
      </c>
      <c r="DK77" s="136" t="str">
        <v/>
      </c>
      <c r="DL77" s="136" t="str">
        <v/>
      </c>
      <c r="DM77" s="136" t="str">
        <v/>
      </c>
      <c r="DN77" s="136" t="str">
        <v/>
      </c>
      <c r="DO77" s="136" t="str">
        <v/>
      </c>
      <c r="DP77" s="136" t="str">
        <v/>
      </c>
      <c r="DQ77" s="136" t="str">
        <v/>
      </c>
      <c r="DR77" s="136" t="str">
        <v/>
      </c>
      <c r="DS77" s="136" t="str">
        <v/>
      </c>
      <c r="DT77" s="136" t="str">
        <v/>
      </c>
      <c r="DU77" s="136" t="str">
        <v/>
      </c>
      <c r="DV77" s="136" t="str">
        <v/>
      </c>
      <c r="DW77" s="136" t="str">
        <v/>
      </c>
      <c r="DX77" s="136" t="str">
        <v/>
      </c>
      <c r="DY77" s="136" t="str">
        <v/>
      </c>
      <c r="DZ77" s="136" t="str">
        <v/>
      </c>
      <c r="EA77" s="136" t="str">
        <v/>
      </c>
      <c r="EB77" s="136" t="str">
        <v/>
      </c>
      <c r="EC77" s="136" t="str">
        <v/>
      </c>
      <c r="ED77" s="136" t="str">
        <v/>
      </c>
      <c r="EE77" s="136" t="str">
        <v/>
      </c>
      <c r="EF77" s="136" t="str">
        <v/>
      </c>
      <c r="EG77" s="136" t="str">
        <v/>
      </c>
      <c r="EH77" s="136" t="str">
        <v/>
      </c>
      <c r="EI77" s="136" t="str">
        <v/>
      </c>
      <c r="EJ77" s="136" t="str">
        <v/>
      </c>
      <c r="EK77" s="136" t="str">
        <v/>
      </c>
      <c r="EL77" s="136" t="str">
        <v/>
      </c>
      <c r="EM77" s="136" t="str">
        <v/>
      </c>
      <c r="EN77" s="136" t="str">
        <v/>
      </c>
      <c r="EO77" s="136" t="str">
        <v/>
      </c>
      <c r="EP77" s="136" t="str">
        <v/>
      </c>
      <c r="EQ77" s="136" t="str">
        <v/>
      </c>
      <c r="ER77" s="136" t="str">
        <v/>
      </c>
      <c r="ES77" s="136" t="str">
        <v/>
      </c>
      <c r="ET77" s="136" t="str">
        <v/>
      </c>
      <c r="EU77" s="136" t="str">
        <v/>
      </c>
      <c r="EV77" s="136" t="str">
        <v/>
      </c>
      <c r="EW77" s="136" t="str">
        <v/>
      </c>
      <c r="EX77" s="136" t="str">
        <v/>
      </c>
      <c r="EY77" s="136" t="str">
        <v/>
      </c>
      <c r="EZ77" s="136" t="str">
        <v/>
      </c>
      <c r="FA77" s="136" t="str">
        <v/>
      </c>
      <c r="FB77" s="136" t="str">
        <v/>
      </c>
      <c r="FC77" s="136" t="str">
        <v/>
      </c>
      <c r="FD77" s="136" t="str">
        <v/>
      </c>
      <c r="FE77" s="136" t="str">
        <v/>
      </c>
      <c r="FF77" s="136" t="str">
        <v/>
      </c>
      <c r="FG77" s="136" t="str">
        <v/>
      </c>
      <c r="FH77" s="136" t="str">
        <v/>
      </c>
      <c r="FI77" s="136" t="str">
        <v/>
      </c>
      <c r="FJ77" s="136" t="str">
        <v/>
      </c>
      <c r="FK77" s="136" t="str">
        <v/>
      </c>
      <c r="FL77" s="136" t="str">
        <v/>
      </c>
      <c r="FM77" s="136" t="str">
        <v/>
      </c>
      <c r="FN77" s="136" t="str">
        <v/>
      </c>
      <c r="FO77" s="136" t="str">
        <v/>
      </c>
      <c r="FP77" s="136" t="str">
        <v/>
      </c>
      <c r="FQ77" s="136" t="str">
        <v/>
      </c>
      <c r="FR77" s="136" t="str">
        <v/>
      </c>
      <c r="FS77" s="136" t="str">
        <v/>
      </c>
      <c r="FT77" s="136" t="str">
        <v/>
      </c>
      <c r="FU77" s="136" t="str">
        <v/>
      </c>
      <c r="FV77" s="136" t="str">
        <v/>
      </c>
      <c r="FW77" s="136" t="str">
        <v/>
      </c>
      <c r="FX77" s="136" t="str">
        <v/>
      </c>
      <c r="FY77" s="136" t="str">
        <v/>
      </c>
      <c r="FZ77" s="136" t="str">
        <v/>
      </c>
      <c r="GA77" s="136" t="str">
        <v/>
      </c>
      <c r="GB77" s="136" t="str">
        <v/>
      </c>
      <c r="GC77" s="136" t="str">
        <v/>
      </c>
      <c r="GD77" s="136" t="str">
        <v/>
      </c>
      <c r="GE77" s="136" t="str">
        <v/>
      </c>
      <c r="GF77" s="136" t="str">
        <v/>
      </c>
      <c r="GG77" s="136" t="str">
        <v/>
      </c>
      <c r="GH77" s="136" t="str">
        <v/>
      </c>
      <c r="GI77" s="136" t="str">
        <v/>
      </c>
      <c r="GJ77" s="136" t="str">
        <v/>
      </c>
      <c r="GK77" s="136" t="str">
        <v/>
      </c>
      <c r="GL77" s="136" t="str">
        <v/>
      </c>
      <c r="GM77" s="136" t="str">
        <v/>
      </c>
      <c r="GN77" s="136" t="str">
        <v/>
      </c>
      <c r="GO77" s="136" t="str">
        <v/>
      </c>
      <c r="GP77" s="136" t="str">
        <v/>
      </c>
      <c r="GQ77" s="136" t="str">
        <v/>
      </c>
      <c r="GR77" s="136" t="str">
        <v/>
      </c>
      <c r="GS77" s="136" t="str">
        <v/>
      </c>
      <c r="GT77" s="136" t="str">
        <v/>
      </c>
      <c r="GU77" s="136" t="str">
        <v/>
      </c>
      <c r="GV77" s="136" t="str">
        <v/>
      </c>
      <c r="GW77" s="136" t="str">
        <v/>
      </c>
      <c r="GX77" s="136" t="str">
        <v/>
      </c>
      <c r="GY77" s="136" t="str">
        <v/>
      </c>
      <c r="GZ77" s="136" t="str">
        <v/>
      </c>
      <c r="HA77" s="136" t="str">
        <v/>
      </c>
      <c r="HB77" s="136" t="str">
        <v/>
      </c>
      <c r="HC77" s="136" t="str">
        <v/>
      </c>
      <c r="HD77" s="136" t="str">
        <v/>
      </c>
      <c r="HE77" s="136" t="str">
        <v/>
      </c>
      <c r="HF77" s="136" t="str">
        <v/>
      </c>
      <c r="HG77" s="136" t="str">
        <v/>
      </c>
      <c r="HH77" s="136" t="str">
        <v/>
      </c>
      <c r="HI77" s="136" t="str">
        <v/>
      </c>
      <c r="HJ77" s="136" t="str">
        <v/>
      </c>
      <c r="HK77" s="136" t="str">
        <v/>
      </c>
      <c r="HL77" s="136" t="str">
        <v/>
      </c>
      <c r="HM77" s="136" t="str">
        <v/>
      </c>
      <c r="HN77" s="136" t="str">
        <v/>
      </c>
      <c r="HO77" s="136" t="str">
        <v/>
      </c>
      <c r="HP77" s="136" t="str">
        <v/>
      </c>
      <c r="HQ77" s="136" t="str">
        <v/>
      </c>
      <c r="HR77" s="136" t="str">
        <v/>
      </c>
      <c r="HS77" s="136" t="str">
        <v/>
      </c>
      <c r="HT77" s="136" t="str">
        <v/>
      </c>
      <c r="HU77" s="136" t="str">
        <v/>
      </c>
      <c r="HV77" s="136" t="str">
        <v/>
      </c>
      <c r="HW77" s="136" t="str">
        <v/>
      </c>
      <c r="HX77" s="136" t="str">
        <v/>
      </c>
      <c r="HY77" s="136" t="str">
        <v/>
      </c>
      <c r="HZ77" s="136" t="str">
        <v/>
      </c>
      <c r="IA77" s="136" t="str">
        <v/>
      </c>
      <c r="IB77" s="136" t="str">
        <v/>
      </c>
      <c r="IC77" s="136" t="str">
        <v/>
      </c>
      <c r="ID77" s="136" t="str">
        <v/>
      </c>
      <c r="IE77" s="136" t="str">
        <v/>
      </c>
      <c r="IF77" s="136" t="str">
        <v/>
      </c>
      <c r="IG77" s="136" t="str">
        <v/>
      </c>
      <c r="IH77" s="136" t="str">
        <v/>
      </c>
      <c r="II77" s="136" t="str">
        <v/>
      </c>
      <c r="IJ77" s="136" t="str">
        <v/>
      </c>
      <c r="IK77" s="136" t="str">
        <v/>
      </c>
      <c r="IL77" s="136" t="str">
        <v/>
      </c>
      <c r="IM77" s="136" t="str">
        <v/>
      </c>
      <c r="IN77" s="136" t="str">
        <v/>
      </c>
      <c r="IO77" s="136" t="str">
        <v/>
      </c>
      <c r="IP77" s="136" t="str">
        <v/>
      </c>
      <c r="IQ77" s="136" t="str">
        <v/>
      </c>
      <c r="IR77" s="136" t="str">
        <v/>
      </c>
      <c r="IS77" s="136" t="str">
        <v/>
      </c>
      <c r="IT77" s="136" t="str">
        <v/>
      </c>
      <c r="IU77" s="136" t="str">
        <v/>
      </c>
      <c r="IV77" s="136" t="str">
        <v/>
      </c>
      <c r="IW77" s="136" t="str">
        <v/>
      </c>
      <c r="IX77" s="136" t="str">
        <v/>
      </c>
      <c r="IY77" s="136" t="str">
        <v/>
      </c>
      <c r="IZ77" s="136" t="str">
        <v/>
      </c>
      <c r="JA77" s="136" t="str">
        <v/>
      </c>
      <c r="JB77" s="136" t="str">
        <v/>
      </c>
      <c r="JC77" s="136" t="str">
        <v/>
      </c>
      <c r="JD77" s="136" t="str">
        <v/>
      </c>
      <c r="JE77" s="136" t="str">
        <v/>
      </c>
      <c r="JF77" s="136" t="str">
        <v/>
      </c>
      <c r="JG77" s="136" t="str">
        <v/>
      </c>
      <c r="JH77" s="136" t="str">
        <v/>
      </c>
      <c r="JI77" s="136" t="str">
        <v/>
      </c>
      <c r="JJ77" s="136" t="str">
        <v/>
      </c>
      <c r="JK77" s="136" t="str">
        <v/>
      </c>
      <c r="JL77" s="136" t="str">
        <v/>
      </c>
      <c r="JM77" s="136" t="str">
        <v/>
      </c>
      <c r="JN77" s="136" t="str">
        <v/>
      </c>
      <c r="JO77" s="136" t="str">
        <v/>
      </c>
      <c r="JP77" s="136" t="str">
        <v/>
      </c>
      <c r="JQ77" s="136" t="str">
        <v/>
      </c>
      <c r="JR77" s="136" t="str">
        <v/>
      </c>
      <c r="JS77" s="136" t="str">
        <v/>
      </c>
      <c r="JT77" s="136" t="str">
        <v/>
      </c>
      <c r="JU77" s="136" t="str">
        <v/>
      </c>
      <c r="JV77" s="136" t="str">
        <v/>
      </c>
      <c r="JW77" s="136" t="str">
        <v/>
      </c>
      <c r="JX77" s="136" t="str">
        <v/>
      </c>
      <c r="JY77" s="136" t="str">
        <v/>
      </c>
      <c r="JZ77" s="136" t="str">
        <v/>
      </c>
      <c r="KA77" s="136" t="str">
        <v/>
      </c>
      <c r="KB77" s="136" t="str">
        <v/>
      </c>
      <c r="KC77" s="136" t="str">
        <v/>
      </c>
      <c r="KD77" s="136" t="str">
        <v/>
      </c>
      <c r="KE77" s="136" t="str">
        <v/>
      </c>
      <c r="KF77" s="136" t="str">
        <v/>
      </c>
      <c r="KG77" s="136" t="str">
        <v/>
      </c>
      <c r="KH77" s="136" t="str">
        <v/>
      </c>
      <c r="KI77" s="136" t="str">
        <v/>
      </c>
      <c r="KJ77" s="136" t="str">
        <v/>
      </c>
      <c r="KK77" s="136" t="str">
        <v/>
      </c>
      <c r="KL77" s="136" t="str">
        <v/>
      </c>
      <c r="KM77" s="136" t="str">
        <v/>
      </c>
      <c r="KN77" s="136" t="str">
        <v/>
      </c>
      <c r="KO77" s="136" t="str">
        <v/>
      </c>
      <c r="KP77" s="917" t="str">
        <v/>
      </c>
      <c r="KQ77" s="701" t="s">
        <v>388</v>
      </c>
    </row>
    <row r="78" spans="1:303" s="76" customFormat="1" ht="28.5" hidden="1" customHeight="1" x14ac:dyDescent="0.45">
      <c r="A78" s="1757"/>
      <c r="B78" s="1496" t="s">
        <v>724</v>
      </c>
      <c r="C78" s="584"/>
      <c r="D78" s="585"/>
      <c r="E78" s="585"/>
      <c r="F78" s="585"/>
      <c r="G78" s="585"/>
      <c r="H78" s="585"/>
      <c r="I78" s="585"/>
      <c r="J78" s="585"/>
      <c r="K78" s="585"/>
      <c r="L78" s="585"/>
      <c r="M78" s="585"/>
      <c r="N78" s="585"/>
      <c r="O78" s="585"/>
      <c r="P78" s="585"/>
      <c r="Q78" s="585"/>
      <c r="R78" s="585"/>
      <c r="S78" s="585"/>
      <c r="T78" s="585"/>
      <c r="U78" s="585"/>
      <c r="V78" s="585"/>
      <c r="W78" s="585"/>
      <c r="X78" s="585"/>
      <c r="Y78" s="585"/>
      <c r="Z78" s="585"/>
      <c r="AA78" s="585"/>
      <c r="AB78" s="585"/>
      <c r="AC78" s="585"/>
      <c r="AD78" s="585"/>
      <c r="AE78" s="585"/>
      <c r="AF78" s="585"/>
      <c r="AG78" s="585"/>
      <c r="AH78" s="585"/>
      <c r="AI78" s="585"/>
      <c r="AJ78" s="585"/>
      <c r="AK78" s="585"/>
      <c r="AL78" s="585"/>
      <c r="AM78" s="585"/>
      <c r="AN78" s="585"/>
      <c r="AO78" s="585"/>
      <c r="AP78" s="585"/>
      <c r="AQ78" s="585"/>
      <c r="AR78" s="585"/>
      <c r="AS78" s="585"/>
      <c r="AT78" s="585"/>
      <c r="AU78" s="585"/>
      <c r="AV78" s="585"/>
      <c r="AW78" s="585"/>
      <c r="AX78" s="585"/>
      <c r="AY78" s="585"/>
      <c r="AZ78" s="585"/>
      <c r="BA78" s="585"/>
      <c r="BB78" s="585"/>
      <c r="BC78" s="585"/>
      <c r="BD78" s="585"/>
      <c r="BE78" s="585"/>
      <c r="BF78" s="585"/>
      <c r="BG78" s="585"/>
      <c r="BH78" s="585"/>
      <c r="BI78" s="585"/>
      <c r="BJ78" s="585"/>
      <c r="BK78" s="585"/>
      <c r="BL78" s="585"/>
      <c r="BM78" s="585"/>
      <c r="BN78" s="585"/>
      <c r="BO78" s="585"/>
      <c r="BP78" s="585"/>
      <c r="BQ78" s="585"/>
      <c r="BR78" s="585"/>
      <c r="BS78" s="585"/>
      <c r="BT78" s="585"/>
      <c r="BU78" s="585"/>
      <c r="BV78" s="585"/>
      <c r="BW78" s="585"/>
      <c r="BX78" s="585"/>
      <c r="BY78" s="585"/>
      <c r="BZ78" s="585"/>
      <c r="CA78" s="585"/>
      <c r="CB78" s="585"/>
      <c r="CC78" s="585"/>
      <c r="CD78" s="585"/>
      <c r="CE78" s="585"/>
      <c r="CF78" s="585"/>
      <c r="CG78" s="585"/>
      <c r="CH78" s="585"/>
      <c r="CI78" s="585"/>
      <c r="CJ78" s="585"/>
      <c r="CK78" s="585"/>
      <c r="CL78" s="585"/>
      <c r="CM78" s="585"/>
      <c r="CN78" s="585"/>
      <c r="CO78" s="585"/>
      <c r="CP78" s="585"/>
      <c r="CQ78" s="585"/>
      <c r="CR78" s="585"/>
      <c r="CS78" s="585"/>
      <c r="CT78" s="585"/>
      <c r="CU78" s="585"/>
      <c r="CV78" s="585"/>
      <c r="CW78" s="585"/>
      <c r="CX78" s="585"/>
      <c r="CY78" s="584"/>
      <c r="CZ78" s="585"/>
      <c r="DA78" s="585"/>
      <c r="DB78" s="585"/>
      <c r="DC78" s="585"/>
      <c r="DD78" s="585"/>
      <c r="DE78" s="585"/>
      <c r="DF78" s="585"/>
      <c r="DG78" s="585"/>
      <c r="DH78" s="585"/>
      <c r="DI78" s="585"/>
      <c r="DJ78" s="585"/>
      <c r="DK78" s="585"/>
      <c r="DL78" s="585"/>
      <c r="DM78" s="585"/>
      <c r="DN78" s="585"/>
      <c r="DO78" s="585"/>
      <c r="DP78" s="585"/>
      <c r="DQ78" s="585"/>
      <c r="DR78" s="585"/>
      <c r="DS78" s="585"/>
      <c r="DT78" s="585"/>
      <c r="DU78" s="585"/>
      <c r="DV78" s="585"/>
      <c r="DW78" s="585"/>
      <c r="DX78" s="585"/>
      <c r="DY78" s="585"/>
      <c r="DZ78" s="585"/>
      <c r="EA78" s="585"/>
      <c r="EB78" s="585"/>
      <c r="EC78" s="585"/>
      <c r="ED78" s="585"/>
      <c r="EE78" s="585"/>
      <c r="EF78" s="585"/>
      <c r="EG78" s="585"/>
      <c r="EH78" s="585"/>
      <c r="EI78" s="585"/>
      <c r="EJ78" s="585"/>
      <c r="EK78" s="585"/>
      <c r="EL78" s="585"/>
      <c r="EM78" s="585"/>
      <c r="EN78" s="585"/>
      <c r="EO78" s="585"/>
      <c r="EP78" s="585"/>
      <c r="EQ78" s="585"/>
      <c r="ER78" s="585"/>
      <c r="ES78" s="585"/>
      <c r="ET78" s="585"/>
      <c r="EU78" s="585"/>
      <c r="EV78" s="585"/>
      <c r="EW78" s="585"/>
      <c r="EX78" s="585"/>
      <c r="EY78" s="585"/>
      <c r="EZ78" s="585"/>
      <c r="FA78" s="585"/>
      <c r="FB78" s="585"/>
      <c r="FC78" s="585"/>
      <c r="FD78" s="585"/>
      <c r="FE78" s="585"/>
      <c r="FF78" s="585"/>
      <c r="FG78" s="585"/>
      <c r="FH78" s="585"/>
      <c r="FI78" s="585"/>
      <c r="FJ78" s="585"/>
      <c r="FK78" s="585"/>
      <c r="FL78" s="585"/>
      <c r="FM78" s="585"/>
      <c r="FN78" s="585"/>
      <c r="FO78" s="585"/>
      <c r="FP78" s="585"/>
      <c r="FQ78" s="585"/>
      <c r="FR78" s="585"/>
      <c r="FS78" s="585"/>
      <c r="FT78" s="585"/>
      <c r="FU78" s="585"/>
      <c r="FV78" s="585"/>
      <c r="FW78" s="585"/>
      <c r="FX78" s="585"/>
      <c r="FY78" s="585"/>
      <c r="FZ78" s="585"/>
      <c r="GA78" s="585"/>
      <c r="GB78" s="585"/>
      <c r="GC78" s="585"/>
      <c r="GD78" s="585"/>
      <c r="GE78" s="585"/>
      <c r="GF78" s="585"/>
      <c r="GG78" s="585"/>
      <c r="GH78" s="585"/>
      <c r="GI78" s="585"/>
      <c r="GJ78" s="585"/>
      <c r="GK78" s="585"/>
      <c r="GL78" s="585"/>
      <c r="GM78" s="585"/>
      <c r="GN78" s="585"/>
      <c r="GO78" s="585"/>
      <c r="GP78" s="585"/>
      <c r="GQ78" s="585"/>
      <c r="GR78" s="585"/>
      <c r="GS78" s="585"/>
      <c r="GT78" s="585"/>
      <c r="GU78" s="585"/>
      <c r="GV78" s="585"/>
      <c r="GW78" s="585"/>
      <c r="GX78" s="585"/>
      <c r="GY78" s="585"/>
      <c r="GZ78" s="585"/>
      <c r="HA78" s="585"/>
      <c r="HB78" s="585"/>
      <c r="HC78" s="585"/>
      <c r="HD78" s="585"/>
      <c r="HE78" s="585"/>
      <c r="HF78" s="585"/>
      <c r="HG78" s="585"/>
      <c r="HH78" s="585"/>
      <c r="HI78" s="585"/>
      <c r="HJ78" s="585"/>
      <c r="HK78" s="585"/>
      <c r="HL78" s="585"/>
      <c r="HM78" s="585"/>
      <c r="HN78" s="585"/>
      <c r="HO78" s="585"/>
      <c r="HP78" s="585"/>
      <c r="HQ78" s="585"/>
      <c r="HR78" s="585"/>
      <c r="HS78" s="585"/>
      <c r="HT78" s="585"/>
      <c r="HU78" s="585"/>
      <c r="HV78" s="585"/>
      <c r="HW78" s="585"/>
      <c r="HX78" s="585"/>
      <c r="HY78" s="585"/>
      <c r="HZ78" s="585"/>
      <c r="IA78" s="585"/>
      <c r="IB78" s="585"/>
      <c r="IC78" s="585"/>
      <c r="ID78" s="585"/>
      <c r="IE78" s="585"/>
      <c r="IF78" s="585"/>
      <c r="IG78" s="585"/>
      <c r="IH78" s="585"/>
      <c r="II78" s="585"/>
      <c r="IJ78" s="585"/>
      <c r="IK78" s="585"/>
      <c r="IL78" s="585"/>
      <c r="IM78" s="585"/>
      <c r="IN78" s="585"/>
      <c r="IO78" s="585"/>
      <c r="IP78" s="585"/>
      <c r="IQ78" s="585"/>
      <c r="IR78" s="585"/>
      <c r="IS78" s="585"/>
      <c r="IT78" s="585"/>
      <c r="IU78" s="585"/>
      <c r="IV78" s="585"/>
      <c r="IW78" s="585"/>
      <c r="IX78" s="585"/>
      <c r="IY78" s="585"/>
      <c r="IZ78" s="585"/>
      <c r="JA78" s="585"/>
      <c r="JB78" s="585"/>
      <c r="JC78" s="585"/>
      <c r="JD78" s="585"/>
      <c r="JE78" s="585"/>
      <c r="JF78" s="585"/>
      <c r="JG78" s="585"/>
      <c r="JH78" s="585"/>
      <c r="JI78" s="585"/>
      <c r="JJ78" s="585"/>
      <c r="JK78" s="585"/>
      <c r="JL78" s="585"/>
      <c r="JM78" s="585"/>
      <c r="JN78" s="585"/>
      <c r="JO78" s="585"/>
      <c r="JP78" s="585"/>
      <c r="JQ78" s="585"/>
      <c r="JR78" s="585"/>
      <c r="JS78" s="585"/>
      <c r="JT78" s="585"/>
      <c r="JU78" s="585"/>
      <c r="JV78" s="585"/>
      <c r="JW78" s="585"/>
      <c r="JX78" s="585"/>
      <c r="JY78" s="585"/>
      <c r="JZ78" s="585"/>
      <c r="KA78" s="585"/>
      <c r="KB78" s="585"/>
      <c r="KC78" s="585"/>
      <c r="KD78" s="585"/>
      <c r="KE78" s="585"/>
      <c r="KF78" s="585"/>
      <c r="KG78" s="585"/>
      <c r="KH78" s="585"/>
      <c r="KI78" s="585"/>
      <c r="KJ78" s="585"/>
      <c r="KK78" s="585"/>
      <c r="KL78" s="585"/>
      <c r="KM78" s="585"/>
      <c r="KN78" s="585"/>
      <c r="KO78" s="585"/>
      <c r="KP78" s="918"/>
      <c r="KQ78" s="701"/>
    </row>
    <row r="79" spans="1:303" s="76" customFormat="1" hidden="1" x14ac:dyDescent="0.45">
      <c r="A79" s="1764"/>
      <c r="B79" s="583" t="s">
        <v>402</v>
      </c>
      <c r="C79" s="588"/>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c r="AB79" s="582"/>
      <c r="AC79" s="582"/>
      <c r="AD79" s="582"/>
      <c r="AE79" s="582"/>
      <c r="AF79" s="582"/>
      <c r="AG79" s="582"/>
      <c r="AH79" s="582"/>
      <c r="AI79" s="582"/>
      <c r="AJ79" s="582"/>
      <c r="AK79" s="582"/>
      <c r="AL79" s="582"/>
      <c r="AM79" s="582"/>
      <c r="AN79" s="582"/>
      <c r="AO79" s="582"/>
      <c r="AP79" s="582"/>
      <c r="AQ79" s="582"/>
      <c r="AR79" s="582"/>
      <c r="AS79" s="582"/>
      <c r="AT79" s="582"/>
      <c r="AU79" s="582"/>
      <c r="AV79" s="582"/>
      <c r="AW79" s="582"/>
      <c r="AX79" s="582"/>
      <c r="AY79" s="582"/>
      <c r="AZ79" s="582"/>
      <c r="BA79" s="582"/>
      <c r="BB79" s="582"/>
      <c r="BC79" s="582"/>
      <c r="BD79" s="582"/>
      <c r="BE79" s="582"/>
      <c r="BF79" s="582"/>
      <c r="BG79" s="582"/>
      <c r="BH79" s="582"/>
      <c r="BI79" s="582"/>
      <c r="BJ79" s="582"/>
      <c r="BK79" s="582"/>
      <c r="BL79" s="582"/>
      <c r="BM79" s="582"/>
      <c r="BN79" s="582"/>
      <c r="BO79" s="582"/>
      <c r="BP79" s="582"/>
      <c r="BQ79" s="582"/>
      <c r="BR79" s="582"/>
      <c r="BS79" s="582"/>
      <c r="BT79" s="582"/>
      <c r="BU79" s="582"/>
      <c r="BV79" s="582"/>
      <c r="BW79" s="582"/>
      <c r="BX79" s="582"/>
      <c r="BY79" s="582"/>
      <c r="BZ79" s="582"/>
      <c r="CA79" s="582"/>
      <c r="CB79" s="582"/>
      <c r="CC79" s="582"/>
      <c r="CD79" s="582"/>
      <c r="CE79" s="582"/>
      <c r="CF79" s="582"/>
      <c r="CG79" s="582"/>
      <c r="CH79" s="582"/>
      <c r="CI79" s="582"/>
      <c r="CJ79" s="582"/>
      <c r="CK79" s="582"/>
      <c r="CL79" s="582"/>
      <c r="CM79" s="582"/>
      <c r="CN79" s="582"/>
      <c r="CO79" s="582"/>
      <c r="CP79" s="582"/>
      <c r="CQ79" s="582"/>
      <c r="CR79" s="582"/>
      <c r="CS79" s="582"/>
      <c r="CT79" s="582"/>
      <c r="CU79" s="582"/>
      <c r="CV79" s="582"/>
      <c r="CW79" s="582"/>
      <c r="CX79" s="582"/>
      <c r="CY79" s="588"/>
      <c r="CZ79" s="582"/>
      <c r="DA79" s="582"/>
      <c r="DB79" s="582"/>
      <c r="DC79" s="582"/>
      <c r="DD79" s="582"/>
      <c r="DE79" s="582"/>
      <c r="DF79" s="582"/>
      <c r="DG79" s="582"/>
      <c r="DH79" s="582"/>
      <c r="DI79" s="582"/>
      <c r="DJ79" s="582"/>
      <c r="DK79" s="582"/>
      <c r="DL79" s="582"/>
      <c r="DM79" s="582"/>
      <c r="DN79" s="582"/>
      <c r="DO79" s="582"/>
      <c r="DP79" s="582"/>
      <c r="DQ79" s="582"/>
      <c r="DR79" s="582"/>
      <c r="DS79" s="582"/>
      <c r="DT79" s="582"/>
      <c r="DU79" s="582"/>
      <c r="DV79" s="582"/>
      <c r="DW79" s="582"/>
      <c r="DX79" s="582"/>
      <c r="DY79" s="582"/>
      <c r="DZ79" s="582"/>
      <c r="EA79" s="582"/>
      <c r="EB79" s="582"/>
      <c r="EC79" s="582"/>
      <c r="ED79" s="582"/>
      <c r="EE79" s="582"/>
      <c r="EF79" s="582"/>
      <c r="EG79" s="582"/>
      <c r="EH79" s="582"/>
      <c r="EI79" s="582"/>
      <c r="EJ79" s="582"/>
      <c r="EK79" s="582"/>
      <c r="EL79" s="582"/>
      <c r="EM79" s="582"/>
      <c r="EN79" s="582"/>
      <c r="EO79" s="582"/>
      <c r="EP79" s="582"/>
      <c r="EQ79" s="582"/>
      <c r="ER79" s="582"/>
      <c r="ES79" s="582"/>
      <c r="ET79" s="582"/>
      <c r="EU79" s="582"/>
      <c r="EV79" s="582"/>
      <c r="EW79" s="582"/>
      <c r="EX79" s="582"/>
      <c r="EY79" s="582"/>
      <c r="EZ79" s="582"/>
      <c r="FA79" s="582"/>
      <c r="FB79" s="582"/>
      <c r="FC79" s="582"/>
      <c r="FD79" s="582"/>
      <c r="FE79" s="582"/>
      <c r="FF79" s="582"/>
      <c r="FG79" s="582"/>
      <c r="FH79" s="582"/>
      <c r="FI79" s="582"/>
      <c r="FJ79" s="582"/>
      <c r="FK79" s="582"/>
      <c r="FL79" s="582"/>
      <c r="FM79" s="582"/>
      <c r="FN79" s="582"/>
      <c r="FO79" s="582"/>
      <c r="FP79" s="582"/>
      <c r="FQ79" s="582"/>
      <c r="FR79" s="582"/>
      <c r="FS79" s="582"/>
      <c r="FT79" s="582"/>
      <c r="FU79" s="582"/>
      <c r="FV79" s="582"/>
      <c r="FW79" s="582"/>
      <c r="FX79" s="582"/>
      <c r="FY79" s="582"/>
      <c r="FZ79" s="582"/>
      <c r="GA79" s="582"/>
      <c r="GB79" s="582"/>
      <c r="GC79" s="582"/>
      <c r="GD79" s="582"/>
      <c r="GE79" s="582"/>
      <c r="GF79" s="582"/>
      <c r="GG79" s="582"/>
      <c r="GH79" s="582"/>
      <c r="GI79" s="582"/>
      <c r="GJ79" s="582"/>
      <c r="GK79" s="582"/>
      <c r="GL79" s="582"/>
      <c r="GM79" s="582"/>
      <c r="GN79" s="582"/>
      <c r="GO79" s="582"/>
      <c r="GP79" s="582"/>
      <c r="GQ79" s="582"/>
      <c r="GR79" s="582"/>
      <c r="GS79" s="582"/>
      <c r="GT79" s="582"/>
      <c r="GU79" s="582"/>
      <c r="GV79" s="582"/>
      <c r="GW79" s="582"/>
      <c r="GX79" s="582"/>
      <c r="GY79" s="582"/>
      <c r="GZ79" s="582"/>
      <c r="HA79" s="582"/>
      <c r="HB79" s="582"/>
      <c r="HC79" s="582"/>
      <c r="HD79" s="582"/>
      <c r="HE79" s="582"/>
      <c r="HF79" s="582"/>
      <c r="HG79" s="582"/>
      <c r="HH79" s="582"/>
      <c r="HI79" s="582"/>
      <c r="HJ79" s="582"/>
      <c r="HK79" s="582"/>
      <c r="HL79" s="582"/>
      <c r="HM79" s="582"/>
      <c r="HN79" s="582"/>
      <c r="HO79" s="582"/>
      <c r="HP79" s="582"/>
      <c r="HQ79" s="582"/>
      <c r="HR79" s="582"/>
      <c r="HS79" s="582"/>
      <c r="HT79" s="582"/>
      <c r="HU79" s="582"/>
      <c r="HV79" s="582"/>
      <c r="HW79" s="582"/>
      <c r="HX79" s="582"/>
      <c r="HY79" s="582"/>
      <c r="HZ79" s="582"/>
      <c r="IA79" s="582"/>
      <c r="IB79" s="582"/>
      <c r="IC79" s="582"/>
      <c r="ID79" s="582"/>
      <c r="IE79" s="582"/>
      <c r="IF79" s="582"/>
      <c r="IG79" s="582"/>
      <c r="IH79" s="582"/>
      <c r="II79" s="582"/>
      <c r="IJ79" s="582"/>
      <c r="IK79" s="582"/>
      <c r="IL79" s="582"/>
      <c r="IM79" s="582"/>
      <c r="IN79" s="582"/>
      <c r="IO79" s="582"/>
      <c r="IP79" s="582"/>
      <c r="IQ79" s="582"/>
      <c r="IR79" s="582"/>
      <c r="IS79" s="582"/>
      <c r="IT79" s="582"/>
      <c r="IU79" s="582"/>
      <c r="IV79" s="582"/>
      <c r="IW79" s="582"/>
      <c r="IX79" s="582"/>
      <c r="IY79" s="582"/>
      <c r="IZ79" s="582"/>
      <c r="JA79" s="582"/>
      <c r="JB79" s="582"/>
      <c r="JC79" s="582"/>
      <c r="JD79" s="582"/>
      <c r="JE79" s="582"/>
      <c r="JF79" s="582"/>
      <c r="JG79" s="582"/>
      <c r="JH79" s="582"/>
      <c r="JI79" s="582"/>
      <c r="JJ79" s="582"/>
      <c r="JK79" s="582"/>
      <c r="JL79" s="582"/>
      <c r="JM79" s="582"/>
      <c r="JN79" s="582"/>
      <c r="JO79" s="582"/>
      <c r="JP79" s="582"/>
      <c r="JQ79" s="582"/>
      <c r="JR79" s="582"/>
      <c r="JS79" s="582"/>
      <c r="JT79" s="582"/>
      <c r="JU79" s="582"/>
      <c r="JV79" s="582"/>
      <c r="JW79" s="582"/>
      <c r="JX79" s="582"/>
      <c r="JY79" s="582"/>
      <c r="JZ79" s="582"/>
      <c r="KA79" s="582"/>
      <c r="KB79" s="582"/>
      <c r="KC79" s="582"/>
      <c r="KD79" s="582"/>
      <c r="KE79" s="582"/>
      <c r="KF79" s="582"/>
      <c r="KG79" s="582"/>
      <c r="KH79" s="582"/>
      <c r="KI79" s="582"/>
      <c r="KJ79" s="582"/>
      <c r="KK79" s="582"/>
      <c r="KL79" s="582"/>
      <c r="KM79" s="582"/>
      <c r="KN79" s="582"/>
      <c r="KO79" s="582"/>
      <c r="KP79" s="916"/>
      <c r="KQ79" s="701" t="s">
        <v>388</v>
      </c>
    </row>
    <row r="80" spans="1:303" ht="120.75" hidden="1" customHeight="1" x14ac:dyDescent="0.45">
      <c r="A80" s="1757" t="s">
        <v>615</v>
      </c>
      <c r="B80" s="1077">
        <v>1</v>
      </c>
      <c r="C80" s="584" t="str">
        <f t="array" ref="C80:KP82">IF(sessions_elements_index="","",
CONCATENATE("Sport: ", sessions_sport, "
WU/WD: ", IF(sessions_WUWD="Yes", CONCATENATE(athlete_WUWD_duration, " minutes"), "No"), " 
Effort Total: EF minutes", IF(sessions_HR="","",CONCATENATE("
HR Target: ", sessions_HR, " BPM")), IF(sessions_HR_range="","",CONCATENATE("
HR Range: ", sessions_HR_range, " BPM",)), " 
Flat Road Equivalent Pace: ", TEXT(sessions_pace,"m:ss"), " min/km", ))</f>
        <v>Sport: Run
WU/WD: No 
Effort Total: EF minutes
HR Target: N/A BPM
HR Range: N/A BPM 
Flat Road Equivalent Pace:  min/km</v>
      </c>
      <c r="D80" s="585" t="str">
        <v>Sport: Run
WU/WD: No 
Effort Total: EF minutes
HR Target: 138 BPM
HR Range: 129 - 148 BPM 
Flat Road Equivalent Pace: 4:39 min/km</v>
      </c>
      <c r="E80" s="585" t="str">
        <v>Sport: Run
WU/WD: No 
Effort Total: EF minutes
HR Target: 138 BPM
HR Range: 129 - 148 BPM 
Flat Road Equivalent Pace: 4:39 min/km</v>
      </c>
      <c r="F80" s="585" t="str">
        <v>Sport: Hilly Trail Run
WU/WD: No 
Effort Total: EF minutes
HR Target: 148 BPM
HR Range: 138 - 157 BPM 
Flat Road Equivalent Pace: 4:14 min/km</v>
      </c>
      <c r="G80" s="585" t="str">
        <v>Sport: Hilly Trail Run
WU/WD: No 
Effort Total: EF minutes
HR Target: 148 BPM
HR Range: 129 - 169 BPM 
Flat Road Equivalent Pace: 4:14 min/km</v>
      </c>
      <c r="H80" s="585" t="str">
        <v>Sport: Road Run
WU/WD: No 
Effort Total: EF minutes
HR Target: 138 BPM
HR Range: 129 - 148 BPM 
Flat Road Equivalent Pace: 4:39 min/km</v>
      </c>
      <c r="I80" s="585" t="str">
        <v>Sport: Road Run
WU/WD: No 
Effort Total: EF minutes
HR Target: 138 BPM
HR Range: 129 - 148 BPM 
Flat Road Equivalent Pace: 4:39 min/km</v>
      </c>
      <c r="J80" s="585" t="str">
        <v>Sport: Run
WU/WD: No 
Effort Total: EF minutes
HR Target: 138 BPM
HR Range: 129 - 148 BPM 
Flat Road Equivalent Pace: 4:39 min/km</v>
      </c>
      <c r="K80" s="585" t="str">
        <v>Sport: Road Run
WU/WD: No 
Effort Total: EF minutes
HR Target: 138 BPM
HR Range: 129 - 148 BPM 
Flat Road Equivalent Pace: 4:39 min/km</v>
      </c>
      <c r="L80" s="585" t="str">
        <v>Sport: Road Run
WU/WD: No 
Effort Total: EF minutes
HR Target: 138 BPM
HR Range: 129 - 148 BPM 
Flat Road Equivalent Pace: 4:39 min/km</v>
      </c>
      <c r="M80" s="585" t="str">
        <v>Sport: Road Run
WU/WD: No 
Effort Total: EF minutes
HR Target: 138 BPM
HR Range: 129 - 148 BPM 
Flat Road Equivalent Pace: 4:39 min/km</v>
      </c>
      <c r="N80" s="585" t="str">
        <v>Sport: Road Run
WU/WD: No 
Effort Total: EF minutes
HR Target: 138 BPM
HR Range: 129 - 148 BPM 
Flat Road Equivalent Pace: 4:39 min/km</v>
      </c>
      <c r="O80" s="585" t="str">
        <v>Sport: Road Run
WU/WD: No 
Effort Total: EF minutes
HR Target: 138 BPM
HR Range: 129 - 148 BPM 
Flat Road Equivalent Pace: 4:39 min/km</v>
      </c>
      <c r="P80" s="585" t="str">
        <v>Sport: Road Run
WU/WD: No 
Effort Total: EF minutes
HR Target: 138 BPM
HR Range: 129 - 148 BPM 
Flat Road Equivalent Pace: 4:39 min/km</v>
      </c>
      <c r="Q80" s="585" t="str">
        <v>Sport: Road Run
WU/WD: No 
Effort Total: EF minutes
HR Target: 138 BPM
HR Range: 129 - 148 BPM 
Flat Road Equivalent Pace: 4:39 min/km</v>
      </c>
      <c r="R80" s="585" t="str">
        <v>Sport: Hilly Trail Run
WU/WD: No 
Effort Total: EF minutes
HR Target: 148 BPM
HR Range: 138 - 157 BPM 
Flat Road Equivalent Pace: 4:14 min/km</v>
      </c>
      <c r="S80" s="585" t="str">
        <v>Sport: Hilly Trail Run
WU/WD: No 
Effort Total: EF minutes
HR Target: 148 BPM
HR Range: 138 - 157 BPM 
Flat Road Equivalent Pace: 4:14 min/km</v>
      </c>
      <c r="T80" s="585" t="str">
        <v>Sport: Hilly Trail Run
WU/WD: No 
Effort Total: EF minutes
HR Target: 148 BPM
HR Range: 129 - 169 BPM 
Flat Road Equivalent Pace: 4:14 min/km</v>
      </c>
      <c r="U80" s="585" t="str">
        <v>Sport: Hilly Trail Run
WU/WD: No 
Effort Total: EF minutes
HR Target: 148 BPM
HR Range: 129 - 169 BPM 
Flat Road Equivalent Pace: 4:14 min/km</v>
      </c>
      <c r="V80" s="585" t="str">
        <v>Sport: Hilly Trail Run
WU/WD: No 
Effort Total: EF minutes
HR Target: 148 BPM
HR Range: 129 - 169 BPM 
Flat Road Equivalent Pace: 4:14 min/km</v>
      </c>
      <c r="W80" s="585" t="str">
        <v>Sport: Hilly Trail Run
WU/WD: 15 minutes 
Effort Total: EF minutes
HR Target: 163 BPM
HR Range: 157 - 169 BPM 
Flat Road Equivalent Pace: 3:42 min/km</v>
      </c>
      <c r="X80" s="585" t="str">
        <v>Sport: Road Run
WU/WD: 15 minutes 
Effort Total: EF minutes
HR Target: 177 BPM
HR Range: 173 - 180 BPM 
Flat Road Equivalent Pace: 3:21 min/km</v>
      </c>
      <c r="Y80" s="585" t="str">
        <v>Sport: Road Run
WU/WD: 15 minutes 
Effort Total: EF minutes
HR Target: 177 BPM
HR Range: 173 - 180 BPM 
Flat Road Equivalent Pace: 3:21 min/km</v>
      </c>
      <c r="Z80" s="585" t="str">
        <v>Sport: Hilly Trail Run
WU/WD: 15 minutes 
Effort Total: EF minutes
HR Target: 177 BPM
HR Range: 173 - 180 BPM 
Flat Road Equivalent Pace: 3:21 min/km</v>
      </c>
      <c r="AA80" s="585" t="str">
        <v>Sport: Hilly Trail Run
WU/WD: 15 minutes 
Effort Total: EF minutes
HR Target: 177 BPM
HR Range: 173 - 180 BPM 
Flat Road Equivalent Pace: 3:21 min/km</v>
      </c>
      <c r="AB80" s="585" t="str">
        <v>Sport: Hilly Trail Run
WU/WD: 15 minutes 
Effort Total: EF minutes
HR Target: 163 BPM
HR Range: 157 - 169 BPM 
Flat Road Equivalent Pace: 3:42 min/km</v>
      </c>
      <c r="AC80" s="585" t="str">
        <v>Sport: Hilly Trail Run
WU/WD: 15 minutes 
Effort Total: EF minutes
HR Target: 177 BPM
HR Range: 173 - 180 BPM 
Flat Road Equivalent Pace: 3:21 min/km</v>
      </c>
      <c r="AD80" s="585" t="str">
        <v>Sport: Hilly Trail Run
WU/WD: 15 minutes 
Effort Total: EF minutes
HR Target: 177 BPM
HR Range: 173 - 180 BPM 
Flat Road Equivalent Pace: 3:21 min/km</v>
      </c>
      <c r="AE80" s="585" t="str">
        <v>Sport: Hilly Trail Run
WU/WD: 15 minutes 
Effort Total: EF minutes
HR Target: 177 BPM
HR Range: 173 - 180 BPM 
Flat Road Equivalent Pace: 3:21 min/km</v>
      </c>
      <c r="AF80" s="585" t="str">
        <v>Sport: Hilly Trail Run
WU/WD: 15 minutes 
Effort Total: EF minutes
HR Target: 177 BPM
HR Range: 173 - 180 BPM 
Flat Road Equivalent Pace: 3:21 min/km</v>
      </c>
      <c r="AG80" s="585" t="str">
        <v>Sport: Hilly Trail Run
WU/WD: 15 minutes 
Effort Total: EF minutes
HR Target: 163 BPM
HR Range: 138 - 188 BPM 
Flat Road Equivalent Pace: 3:42 min/km</v>
      </c>
      <c r="AH80" s="585" t="str">
        <v>Sport: Hilly Trail Run
WU/WD: 15 minutes 
Effort Total: EF minutes
HR Target: 163 BPM
HR Range: 138 - 188 BPM 
Flat Road Equivalent Pace: 3:42 min/km</v>
      </c>
      <c r="AI80" s="585" t="str">
        <v>Sport: Hilly Trail Run
WU/WD: 15 minutes 
Effort Total: EF minutes
HR Target: 163 BPM
HR Range: 138 - 188 BPM 
Flat Road Equivalent Pace: 3:42 min/km</v>
      </c>
      <c r="AJ80" s="585" t="str">
        <v>Sport: Hilly Trail Run
WU/WD: 15 minutes 
Effort Total: EF minutes
HR Target: 163 BPM
HR Range: 138 - 188 BPM 
Flat Road Equivalent Pace: 3:42 min/km</v>
      </c>
      <c r="AK80" s="585" t="str">
        <v/>
      </c>
      <c r="AL80" s="585" t="str">
        <v/>
      </c>
      <c r="AM80" s="585" t="str">
        <v/>
      </c>
      <c r="AN80" s="585" t="str">
        <v/>
      </c>
      <c r="AO80" s="585" t="str">
        <v/>
      </c>
      <c r="AP80" s="585" t="str">
        <v/>
      </c>
      <c r="AQ80" s="585" t="str">
        <v>Sport: Road Run
WU/WD: 15 minutes 
Effort Total: EF minutes
HR Target: 188 BPM
HR Range: 184 - 192 BPM 
Flat Road Equivalent Pace: 3:06 min/km</v>
      </c>
      <c r="AR80" s="585" t="str">
        <v>Sport: Road Run
WU/WD: 15 minutes 
Effort Total: EF minutes
HR Target: 188 BPM
HR Range: 184 - 192 BPM 
Flat Road Equivalent Pace: 3:06 min/km</v>
      </c>
      <c r="AS80" s="585" t="str">
        <v>Sport: Road Run
WU/WD: 15 minutes 
Effort Total: EF minutes
HR Target: 188 BPM
HR Range: 184 - 192 BPM 
Flat Road Equivalent Pace: 3:06 min/km</v>
      </c>
      <c r="AT80" s="585" t="str">
        <v>Sport: Road Run
WU/WD: 15 minutes 
Effort Total: EF minutes
HR Target: 188 BPM
HR Range: 184 - 192 BPM 
Flat Road Equivalent Pace: 3:06 min/km</v>
      </c>
      <c r="AU80" s="585" t="str">
        <v>Sport: Road Run
WU/WD: 15 minutes 
Effort Total: EF minutes
HR Target: 188 BPM
HR Range: 184 - 192 BPM 
Flat Road Equivalent Pace: 3:06 min/km</v>
      </c>
      <c r="AV80" s="585" t="str">
        <v>Sport: Road Run
WU/WD: 15 minutes 
Effort Total: EF minutes
HR Target: 188 BPM
HR Range: 184 - 192 BPM 
Flat Road Equivalent Pace: 3:06 min/km</v>
      </c>
      <c r="AW80" s="585" t="str">
        <v>Sport: Road Run
WU/WD: 15 minutes 
Effort Total: EF minutes
HR Target: 188 BPM
HR Range: 184 - 192 BPM 
Flat Road Equivalent Pace: 3:06 min/km</v>
      </c>
      <c r="AX80" s="585" t="str">
        <v>Sport: Road Run
WU/WD: 15 minutes 
Effort Total: EF minutes
HR Target: 188 BPM
HR Range: 184 - 192 BPM 
Flat Road Equivalent Pace: 3:06 min/km</v>
      </c>
      <c r="AY80" s="585" t="str">
        <v>Sport: Road Run
WU/WD: 15 minutes 
Effort Total: EF minutes
HR Target: 188 BPM
HR Range: 184 - 192 BPM 
Flat Road Equivalent Pace: 3:06 min/km</v>
      </c>
      <c r="AZ80" s="585" t="str">
        <v>Sport: Road Run
WU/WD: 15 minutes 
Effort Total: EF minutes
HR Target: 188 BPM
HR Range: 184 - 192 BPM 
Flat Road Equivalent Pace: 3:06 min/km</v>
      </c>
      <c r="BA80" s="585" t="str">
        <v>Sport: Road Run
WU/WD: 15 minutes 
Effort Total: EF minutes
HR Target: 188 BPM
HR Range: 184 - 192 BPM 
Flat Road Equivalent Pace: 3:06 min/km</v>
      </c>
      <c r="BB80" s="585" t="str">
        <v>Sport: Road Run
WU/WD: 15 minutes 
Effort Total: EF minutes
HR Target: 188 BPM
HR Range: 184 - 192 BPM 
Flat Road Equivalent Pace: 3:06 min/km</v>
      </c>
      <c r="BC80" s="585" t="str">
        <v/>
      </c>
      <c r="BD80" s="585" t="str">
        <v/>
      </c>
      <c r="BE80" s="585" t="str">
        <v/>
      </c>
      <c r="BF80" s="585" t="str">
        <v/>
      </c>
      <c r="BG80" s="585" t="str">
        <v/>
      </c>
      <c r="BH80" s="585" t="str">
        <v/>
      </c>
      <c r="BI80" s="585" t="str">
        <v/>
      </c>
      <c r="BJ80" s="585" t="str">
        <v/>
      </c>
      <c r="BK80" s="585" t="str">
        <v>Sport: Road Run
WU/WD: 15 minutes 
Effort Total: EF minutes
HR Target: N/A BPM
HR Range: N/A BPM 
Flat Road Equivalent Pace: 2:35 min/km</v>
      </c>
      <c r="BL80" s="585" t="str">
        <v>Sport: Road Run
WU/WD: 15 minutes 
Effort Total: EF minutes
HR Target: N/A BPM
HR Range: N/A BPM 
Flat Road Equivalent Pace: 2:35 min/km</v>
      </c>
      <c r="BM80" s="585" t="str">
        <v>Sport: Road Run
WU/WD: 15 minutes 
Effort Total: EF minutes
HR Target: N/A BPM
HR Range: N/A BPM 
Flat Road Equivalent Pace: 2:35 min/km</v>
      </c>
      <c r="BN80" s="585" t="str">
        <v>Sport: Road Run
WU/WD: 15 minutes 
Effort Total: EF minutes
HR Target: N/A BPM
HR Range: N/A BPM 
Flat Road Equivalent Pace: 2:35 min/km</v>
      </c>
      <c r="BO80" s="585" t="str">
        <v>Sport: Road Run
WU/WD: 15 minutes 
Effort Total: EF minutes
HR Target: N/A BPM
HR Range: N/A BPM 
Flat Road Equivalent Pace: 2:35 min/km</v>
      </c>
      <c r="BP80" s="585" t="str">
        <v>Sport: Road Run
WU/WD: 15 minutes 
Effort Total: EF minutes
HR Target: N/A BPM
HR Range: N/A BPM 
Flat Road Equivalent Pace: 2:35 min/km</v>
      </c>
      <c r="BQ80" s="585" t="str">
        <v>Sport: Road Run
WU/WD: 15 minutes 
Effort Total: EF minutes
HR Target: N/A BPM
HR Range: N/A BPM 
Flat Road Equivalent Pace: 2:35 min/km</v>
      </c>
      <c r="BR80" s="585" t="str">
        <v>Sport: Road Run
WU/WD: 15 minutes 
Effort Total: EF minutes
HR Target: N/A BPM
HR Range: N/A BPM 
Flat Road Equivalent Pace: 2:35 min/km</v>
      </c>
      <c r="BS80" s="585" t="str">
        <v>Sport: Road Run
WU/WD: 15 minutes 
Effort Total: EF minutes
HR Target: N/A BPM
HR Range: N/A BPM 
Flat Road Equivalent Pace: 2:35 min/km</v>
      </c>
      <c r="BT80" s="585" t="str">
        <v/>
      </c>
      <c r="BU80" s="585" t="str">
        <v>Sport: Run
WU/WD: 15 minutes 
Effort Total: EF minutes
HR Target: 148 BPM
HR Range: 129 - 169 BPM 
Flat Road Equivalent Pace: 4:14 min/km</v>
      </c>
      <c r="BV80" s="585" t="str">
        <v>Sport: Run
WU/WD: 15 minutes 
Effort Total: EF minutes
HR Target: 148 BPM
HR Range: 129 - 169 BPM 
Flat Road Equivalent Pace: 4:14 min/km</v>
      </c>
      <c r="BW80" s="585" t="str">
        <v>Sport: Run
WU/WD: 15 minutes 
Effort Total: EF minutes
HR Target: 148 BPM
HR Range: 129 - 169 BPM 
Flat Road Equivalent Pace: 4:14 min/km</v>
      </c>
      <c r="BX80" s="585" t="str">
        <v>Sport: Run
WU/WD: 15 minutes 
Effort Total: EF minutes
HR Target: 148 BPM
HR Range: 129 - 169 BPM 
Flat Road Equivalent Pace: 4:14 min/km</v>
      </c>
      <c r="BY80" s="585" t="str">
        <v>Sport: Run
WU/WD: 15 minutes 
Effort Total: EF minutes
HR Target: 148 BPM
HR Range: 129 - 169 BPM 
Flat Road Equivalent Pace: 4:14 min/km</v>
      </c>
      <c r="BZ80" s="585" t="str">
        <v>Sport: Indoor
WU/WD: No 
Effort Total: EF minutes
HR Target: N/A BPM
HR Range: N/A BPM 
Flat Road Equivalent Pace:  min/km</v>
      </c>
      <c r="CA80" s="585" t="str">
        <v>Sport: Indoor
WU/WD: No 
Effort Total: EF minutes
HR Target: N/A BPM
HR Range: N/A BPM 
Flat Road Equivalent Pace:  min/km</v>
      </c>
      <c r="CB80" s="585" t="str">
        <v>Sport: Road Run
WU/WD: No 
Effort Total: EF minutes
HR Target: 138 BPM
HR Range: 129 - 148 BPM 
Flat Road Equivalent Pace: 4:39 min/km</v>
      </c>
      <c r="CC80" s="585" t="str">
        <v>Sport: Indoor
WU/WD: No 
Effort Total: EF minutes
HR Target: N/A BPM
HR Range: N/A BPM 
Flat Road Equivalent Pace:  min/km</v>
      </c>
      <c r="CD80" s="585" t="str">
        <v>Sport: Run
WU/WD: No 
Effort Total: EF minutes
HR Target: 138 BPM
HR Range: 129 - 148 BPM 
Flat Road Equivalent Pace: 4:39 min/km</v>
      </c>
      <c r="CE80" s="585" t="str">
        <v>Sport: Hilly Trail Run
WU/WD: 15 minutes 
Effort Total: EF minutes
HR Target: 193 BPM
HR Range: N/A BPM 
Flat Road Equivalent Pace: 3:00 min/km</v>
      </c>
      <c r="CF80" s="585" t="str">
        <v>Sport: Hilly Trail Run
WU/WD: 15 minutes 
Effort Total: EF minutes
HR Target: 188 BPM
HR Range: N/A BPM 
Flat Road Equivalent Pace: 3:06 min/km</v>
      </c>
      <c r="CG80" s="585" t="str">
        <v>Sport: Hilly Trail Run
WU/WD: 15 minutes 
Effort Total: EF minutes
HR Target: 183 BPM
HR Range: N/A BPM 
Flat Road Equivalent Pace: 3:12 min/km</v>
      </c>
      <c r="CH80" s="585" t="str">
        <v>Sport: Hilly Trail Run
WU/WD: 15 minutes 
Effort Total: EF minutes
HR Target: 180 BPM
HR Range: N/A BPM 
Flat Road Equivalent Pace: 3:16 min/km</v>
      </c>
      <c r="CI80" s="585" t="str">
        <v>Sport: Hilly Trail Run
WU/WD: 15 minutes 
Effort Total: EF minutes
HR Target: 177 BPM
HR Range: N/A BPM 
Flat Road Equivalent Pace: 3:20 min/km</v>
      </c>
      <c r="CJ80" s="585" t="str">
        <v>Sport: Hilly Trail Run
WU/WD: 15 minutes 
Effort Total: EF minutes
HR Target: 175 BPM
HR Range: N/A BPM 
Flat Road Equivalent Pace: 3:23 min/km</v>
      </c>
      <c r="CK80" s="585" t="str">
        <v>Sport: Hilly Trail Run
WU/WD: 15 minutes 
Effort Total: EF minutes
HR Target: 173 BPM
HR Range: N/A BPM 
Flat Road Equivalent Pace: 3:26 min/km</v>
      </c>
      <c r="CL80" s="585" t="str">
        <v>Sport: Hilly Trail Run
WU/WD: 15 minutes 
Effort Total: EF minutes
HR Target: 172 BPM
HR Range: N/A BPM 
Flat Road Equivalent Pace: 3:28 min/km</v>
      </c>
      <c r="CM80" s="585" t="str">
        <v>Sport: Hilly Trail Run
WU/WD: 15 minutes 
Effort Total: EF minutes
HR Target: 171 BPM
HR Range: N/A BPM 
Flat Road Equivalent Pace: 3:29 min/km</v>
      </c>
      <c r="CN80" s="585" t="str">
        <v>Sport: Hilly Trail Run
WU/WD: 15 minutes 
Effort Total: EF minutes
HR Target: 169 BPM
HR Range: N/A BPM 
Flat Road Equivalent Pace: 3:32 min/km</v>
      </c>
      <c r="CO80" s="585" t="str">
        <v>Sport: Hilly Trail Run
WU/WD: 15 minutes 
Effort Total: EF minutes
HR Target: 168 BPM
HR Range: N/A BPM 
Flat Road Equivalent Pace: 3:34 min/km</v>
      </c>
      <c r="CP80" s="585" t="str">
        <v>Sport: Hilly Trail Run
WU/WD: 15 minutes 
Effort Total: EF minutes
HR Target: 167 BPM
HR Range: N/A BPM 
Flat Road Equivalent Pace: 3:36 min/km</v>
      </c>
      <c r="CQ80" s="585" t="str">
        <v>Sport: Hilly Trail Run
WU/WD: 15 minutes 
Effort Total: EF minutes
HR Target: 167 BPM
HR Range: N/A BPM 
Flat Road Equivalent Pace: 3:36 min/km</v>
      </c>
      <c r="CR80" s="585" t="str">
        <v>Sport: Hilly Trail Run
WU/WD: 15 minutes 
Effort Total: EF minutes
HR Target: 166 BPM
HR Range: N/A BPM 
Flat Road Equivalent Pace: 3:37 min/km</v>
      </c>
      <c r="CS80" s="585" t="str">
        <v>Sport: Hilly Trail Run
WU/WD: 15 minutes 
Effort Total: EF minutes
HR Target: 166 BPM
HR Range: N/A BPM 
Flat Road Equivalent Pace: 3:37 min/km</v>
      </c>
      <c r="CT80" s="585" t="str">
        <v>Sport: Hilly Trail Run
WU/WD: 15 minutes 
Effort Total: EF minutes
HR Target: 165 BPM
HR Range: N/A BPM 
Flat Road Equivalent Pace: 3:39 min/km</v>
      </c>
      <c r="CU80" s="585" t="str">
        <v>Sport: Hilly Trail Run
WU/WD: 15 minutes 
Effort Total: EF minutes
HR Target: 165 BPM
HR Range: N/A BPM 
Flat Road Equivalent Pace: 3:39 min/km</v>
      </c>
      <c r="CV80" s="585" t="str">
        <v>Sport: Hilly Trail Run
WU/WD: 15 minutes 
Effort Total: EF minutes
HR Target: 165 BPM
HR Range: N/A BPM 
Flat Road Equivalent Pace: 3:39 min/km</v>
      </c>
      <c r="CW80" s="585" t="str">
        <v>Sport: Hilly Trail Run
WU/WD: 15 minutes 
Effort Total: EF minutes
HR Target: 165 BPM
HR Range: N/A BPM 
Flat Road Equivalent Pace: 3:39 min/km</v>
      </c>
      <c r="CX80" s="585" t="str">
        <v>Sport: Hilly Trail Run
WU/WD: 15 minutes 
Effort Total: EF minutes
HR Target: 165 BPM
HR Range: N/A BPM 
Flat Road Equivalent Pace: 3:39 min/km</v>
      </c>
      <c r="CY80" s="584" t="str">
        <v>Sport: Road Ride
WU/WD: No 
Effort Total: EF minutes
HR Target: N/A BPM
HR Range: N/A BPM 
Flat Road Equivalent Pace:  min/km</v>
      </c>
      <c r="CZ80" s="585" t="str">
        <v>Sport: Road Ride
WU/WD: No 
Effort Total: EF minutes
HR Target: 138 BPM
HR Range: 129 - 148 BPM 
Flat Road Equivalent Pace: 4:39 min/km</v>
      </c>
      <c r="DA80" s="585" t="str">
        <v>Sport: Road Ride
WU/WD: No 
Effort Total: EF minutes
HR Target: 138 BPM
HR Range: 129 - 148 BPM 
Flat Road Equivalent Pace: 4:39 min/km</v>
      </c>
      <c r="DB80" s="585" t="str">
        <v>Sport: Ride
WU/WD: No 
Effort Total: EF minutes
HR Target: 148 BPM
HR Range: 138 - 157 BPM 
Flat Road Equivalent Pace: 4:14 min/km</v>
      </c>
      <c r="DC80" s="585" t="str">
        <v>Sport: Ride
WU/WD: No 
Effort Total: EF minutes
HR Target: 148 BPM
HR Range: 129 - 169 BPM 
Flat Road Equivalent Pace: 4:14 min/km</v>
      </c>
      <c r="DD80" s="585" t="str">
        <v>Sport: Road Ride
WU/WD: No 
Effort Total: EF minutes
HR Target: 138 BPM
HR Range: 129 - 148 BPM 
Flat Road Equivalent Pace: 4:39 min/km</v>
      </c>
      <c r="DE80" s="585" t="str">
        <v>Sport: Road Ride
WU/WD: No 
Effort Total: EF minutes
HR Target: 138 BPM
HR Range: 129 - 148 BPM 
Flat Road Equivalent Pace: 4:39 min/km</v>
      </c>
      <c r="DF80" s="585" t="str">
        <v>Sport: Ride
WU/WD: No 
Effort Total: EF minutes
HR Target: 138 BPM
HR Range: 129 - 148 BPM 
Flat Road Equivalent Pace: 4:39 min/km</v>
      </c>
      <c r="DG80" s="585" t="str">
        <v>Sport: Ride
WU/WD: No 
Effort Total: EF minutes
HR Target: 138 BPM
HR Range: 129 - 148 BPM 
Flat Road Equivalent Pace: 4:39 min/km</v>
      </c>
      <c r="DH80" s="585" t="str">
        <v>Sport: Ride
WU/WD: No 
Effort Total: EF minutes
HR Target: 138 BPM
HR Range: 129 - 148 BPM 
Flat Road Equivalent Pace: 4:39 min/km</v>
      </c>
      <c r="DI80" s="585" t="str">
        <v>Sport: Ride
WU/WD: No 
Effort Total: EF minutes
HR Target: 138 BPM
HR Range: 129 - 148 BPM 
Flat Road Equivalent Pace: 4:39 min/km</v>
      </c>
      <c r="DJ80" s="585" t="str">
        <v>Sport: Ride
WU/WD: No 
Effort Total: EF minutes
HR Target: 138 BPM
HR Range: 129 - 148 BPM 
Flat Road Equivalent Pace: 4:39 min/km</v>
      </c>
      <c r="DK80" s="585" t="str">
        <v>Sport: Ride
WU/WD: No 
Effort Total: EF minutes
HR Target: 138 BPM
HR Range: 129 - 148 BPM 
Flat Road Equivalent Pace: 4:39 min/km</v>
      </c>
      <c r="DL80" s="585" t="str">
        <v>Sport: Ride
WU/WD: No 
Effort Total: EF minutes
HR Target: 138 BPM
HR Range: 129 - 148 BPM 
Flat Road Equivalent Pace: 4:39 min/km</v>
      </c>
      <c r="DM80" s="585" t="str">
        <v>Sport: Ride
WU/WD: No 
Effort Total: EF minutes
HR Target: 138 BPM
HR Range: 129 - 148 BPM 
Flat Road Equivalent Pace: 4:39 min/km</v>
      </c>
      <c r="DN80" s="585" t="str">
        <v>Sport: Ride
WU/WD: No 
Effort Total: EF minutes
HR Target: 148 BPM
HR Range: 138 - 157 BPM 
Flat Road Equivalent Pace: 4:14 min/km</v>
      </c>
      <c r="DO80" s="585" t="str">
        <v>Sport: Ride
WU/WD: No 
Effort Total: EF minutes
HR Target: 148 BPM
HR Range: 138 - 157 BPM 
Flat Road Equivalent Pace: 4:14 min/km</v>
      </c>
      <c r="DP80" s="585" t="str">
        <v>Sport: Ride
WU/WD: No 
Effort Total: EF minutes
HR Target: 148 BPM
HR Range: 129 - 169 BPM 
Flat Road Equivalent Pace: 4:14 min/km</v>
      </c>
      <c r="DQ80" s="585" t="str">
        <v>Sport: Ride
WU/WD: No 
Effort Total: EF minutes
HR Target: 148 BPM
HR Range: 129 - 169 BPM 
Flat Road Equivalent Pace: 4:14 min/km</v>
      </c>
      <c r="DR80" s="585" t="str">
        <v>Sport: Ride
WU/WD: No 
Effort Total: EF minutes
HR Target: 148 BPM
HR Range: 129 - 169 BPM 
Flat Road Equivalent Pace: 4:14 min/km</v>
      </c>
      <c r="DS80" s="585" t="str">
        <v>Sport: Ride
WU/WD: 15 minutes 
Effort Total: EF minutes
HR Target: 163 BPM
HR Range: 157 - 169 BPM 
Flat Road Equivalent Pace: 3:42 min/km</v>
      </c>
      <c r="DT80" s="585" t="str">
        <v>Sport: Road Ride
WU/WD: 15 minutes 
Effort Total: EF minutes
HR Target: 177 BPM
HR Range: 173 - 180 BPM 
Flat Road Equivalent Pace: 3:21 min/km</v>
      </c>
      <c r="DU80" s="585" t="str">
        <v>Sport: Road Ride
WU/WD: 15 minutes 
Effort Total: EF minutes
HR Target: 177 BPM
HR Range: 173 - 180 BPM 
Flat Road Equivalent Pace: 3:21 min/km</v>
      </c>
      <c r="DV80" s="585" t="str">
        <v>Sport: Ride
WU/WD: 15 minutes 
Effort Total: EF minutes
HR Target: 177 BPM
HR Range: 173 - 180 BPM 
Flat Road Equivalent Pace: 3:21 min/km</v>
      </c>
      <c r="DW80" s="585" t="str">
        <v>Sport: Ride
WU/WD: 15 minutes 
Effort Total: EF minutes
HR Target: 177 BPM
HR Range: 173 - 180 BPM 
Flat Road Equivalent Pace: 3:21 min/km</v>
      </c>
      <c r="DX80" s="585" t="str">
        <v>Sport: Ride
WU/WD: 15 minutes 
Effort Total: EF minutes
HR Target: 163 BPM
HR Range: 157 - 169 BPM 
Flat Road Equivalent Pace: 3:42 min/km</v>
      </c>
      <c r="DY80" s="585" t="str">
        <v>Sport: Road Ride
WU/WD: 15 minutes 
Effort Total: EF minutes
HR Target: 177 BPM
HR Range: 173 - 180 BPM 
Flat Road Equivalent Pace: 3:21 min/km</v>
      </c>
      <c r="DZ80" s="585" t="str">
        <v>Sport: Road Ride
WU/WD: 15 minutes 
Effort Total: EF minutes
HR Target: 177 BPM
HR Range: 173 - 180 BPM 
Flat Road Equivalent Pace: 3:21 min/km</v>
      </c>
      <c r="EA80" s="585" t="str">
        <v>Sport: Ride
WU/WD: 15 minutes 
Effort Total: EF minutes
HR Target: 177 BPM
HR Range: 173 - 180 BPM 
Flat Road Equivalent Pace: 3:21 min/km</v>
      </c>
      <c r="EB80" s="585" t="str">
        <v>Sport: Ride
WU/WD: 15 minutes 
Effort Total: EF minutes
HR Target: 177 BPM
HR Range: 173 - 180 BPM 
Flat Road Equivalent Pace: 3:21 min/km</v>
      </c>
      <c r="EC80" s="585" t="str">
        <v>Sport: Ride
WU/WD: 15 minutes 
Effort Total: EF minutes
HR Target: 163 BPM
HR Range: 138 - 188 BPM 
Flat Road Equivalent Pace: 3:42 min/km</v>
      </c>
      <c r="ED80" s="585" t="str">
        <v>Sport: Ride
WU/WD: 15 minutes 
Effort Total: EF minutes
HR Target: 163 BPM
HR Range: 138 - 188 BPM 
Flat Road Equivalent Pace: 3:42 min/km</v>
      </c>
      <c r="EE80" s="585" t="str">
        <v>Sport: Ride
WU/WD: 15 minutes 
Effort Total: EF minutes
HR Target: 163 BPM
HR Range: 138 - 188 BPM 
Flat Road Equivalent Pace: 3:42 min/km</v>
      </c>
      <c r="EF80" s="585" t="str">
        <v>Sport: Ride
WU/WD: 15 minutes 
Effort Total: EF minutes
HR Target: 163 BPM
HR Range: 138 - 188 BPM 
Flat Road Equivalent Pace: 3:42 min/km</v>
      </c>
      <c r="EG80" s="585" t="str">
        <v/>
      </c>
      <c r="EH80" s="585" t="str">
        <v/>
      </c>
      <c r="EI80" s="585" t="str">
        <v/>
      </c>
      <c r="EJ80" s="585" t="str">
        <v/>
      </c>
      <c r="EK80" s="585" t="str">
        <v/>
      </c>
      <c r="EL80" s="585" t="str">
        <v/>
      </c>
      <c r="EM80" s="585" t="str">
        <v/>
      </c>
      <c r="EN80" s="585" t="str">
        <v/>
      </c>
      <c r="EO80" s="585" t="str">
        <v/>
      </c>
      <c r="EP80" s="585" t="str">
        <v/>
      </c>
      <c r="EQ80" s="585" t="str">
        <v/>
      </c>
      <c r="ER80" s="585" t="str">
        <v/>
      </c>
      <c r="ES80" s="585" t="str">
        <v/>
      </c>
      <c r="ET80" s="585" t="str">
        <v/>
      </c>
      <c r="EU80" s="585" t="str">
        <v/>
      </c>
      <c r="EV80" s="585" t="str">
        <v/>
      </c>
      <c r="EW80" s="585" t="str">
        <v/>
      </c>
      <c r="EX80" s="585" t="str">
        <v/>
      </c>
      <c r="EY80" s="585" t="str">
        <v/>
      </c>
      <c r="EZ80" s="585" t="str">
        <v/>
      </c>
      <c r="FA80" s="585" t="str">
        <v/>
      </c>
      <c r="FB80" s="585" t="str">
        <v/>
      </c>
      <c r="FC80" s="585" t="str">
        <v/>
      </c>
      <c r="FD80" s="585" t="str">
        <v/>
      </c>
      <c r="FE80" s="585" t="str">
        <v/>
      </c>
      <c r="FF80" s="585" t="str">
        <v/>
      </c>
      <c r="FG80" s="585" t="str">
        <v>Sport: Ride
WU/WD: 15 minutes 
Effort Total: EF minutes
HR Target: N/A BPM
HR Range: N/A BPM 
Flat Road Equivalent Pace: 2:35 min/km</v>
      </c>
      <c r="FH80" s="585" t="str">
        <v>Sport: Ride
WU/WD: 15 minutes 
Effort Total: EF minutes
HR Target: N/A BPM
HR Range: N/A BPM 
Flat Road Equivalent Pace: 2:35 min/km</v>
      </c>
      <c r="FI80" s="585" t="str">
        <v>Sport: Ride
WU/WD: 15 minutes 
Effort Total: EF minutes
HR Target: N/A BPM
HR Range: N/A BPM 
Flat Road Equivalent Pace: 2:35 min/km</v>
      </c>
      <c r="FJ80" s="585" t="str">
        <v>Sport: Ride
WU/WD: 15 minutes 
Effort Total: EF minutes
HR Target: N/A BPM
HR Range: N/A BPM 
Flat Road Equivalent Pace: 2:35 min/km</v>
      </c>
      <c r="FK80" s="585" t="str">
        <v>Sport: Ride
WU/WD: 15 minutes 
Effort Total: EF minutes
HR Target: N/A BPM
HR Range: N/A BPM 
Flat Road Equivalent Pace: 2:35 min/km</v>
      </c>
      <c r="FL80" s="585" t="str">
        <v>Sport: Ride
WU/WD: 15 minutes 
Effort Total: EF minutes
HR Target: N/A BPM
HR Range: N/A BPM 
Flat Road Equivalent Pace: 2:35 min/km</v>
      </c>
      <c r="FM80" s="585" t="str">
        <v>Sport: Ride
WU/WD: 15 minutes 
Effort Total: EF minutes
HR Target: N/A BPM
HR Range: N/A BPM 
Flat Road Equivalent Pace: 2:35 min/km</v>
      </c>
      <c r="FN80" s="585" t="str">
        <v>Sport: Ride
WU/WD: 15 minutes 
Effort Total: EF minutes
HR Target: N/A BPM
HR Range: N/A BPM 
Flat Road Equivalent Pace: 2:35 min/km</v>
      </c>
      <c r="FO80" s="585" t="str">
        <v>Sport: Ride
WU/WD: 15 minutes 
Effort Total: EF minutes
HR Target: N/A BPM
HR Range: N/A BPM 
Flat Road Equivalent Pace: 2:35 min/km</v>
      </c>
      <c r="FP80" s="585" t="str">
        <v>Sport: Ride
WU/WD: 15 minutes 
Effort Total: EF minutes
HR Target: N/A BPM
HR Range: N/A BPM 
Flat Road Equivalent Pace: 2:35 min/km</v>
      </c>
      <c r="FQ80" s="585" t="str">
        <v/>
      </c>
      <c r="FR80" s="585" t="str">
        <v/>
      </c>
      <c r="FS80" s="585" t="str">
        <v/>
      </c>
      <c r="FT80" s="585" t="str">
        <v/>
      </c>
      <c r="FU80" s="585" t="str">
        <v/>
      </c>
      <c r="FV80" s="585" t="str">
        <v/>
      </c>
      <c r="FW80" s="585" t="str">
        <v/>
      </c>
      <c r="FX80" s="585" t="str">
        <v/>
      </c>
      <c r="FY80" s="585" t="str">
        <v/>
      </c>
      <c r="FZ80" s="585" t="str">
        <v/>
      </c>
      <c r="GA80" s="585" t="str">
        <v>Sport: Ride
WU/WD: 15 minutes 
Effort Total: EF minutes
HR Target: 188 BPM
HR Range: N/A BPM 
Flat Road Equivalent Pace: 3:06 min/km</v>
      </c>
      <c r="GB80" s="585" t="str">
        <v>Sport: Ride
WU/WD: 15 minutes 
Effort Total: EF minutes
HR Target: 183 BPM
HR Range: N/A BPM 
Flat Road Equivalent Pace: 3:12 min/km</v>
      </c>
      <c r="GC80" s="585" t="str">
        <v>Sport: Ride
WU/WD: 15 minutes 
Effort Total: EF minutes
HR Target: 180 BPM
HR Range: N/A BPM 
Flat Road Equivalent Pace: 3:16 min/km</v>
      </c>
      <c r="GD80" s="585" t="str">
        <v>Sport: Ride
WU/WD: 15 minutes 
Effort Total: EF minutes
HR Target: 177 BPM
HR Range: N/A BPM 
Flat Road Equivalent Pace: 3:20 min/km</v>
      </c>
      <c r="GE80" s="585" t="str">
        <v>Sport: Ride
WU/WD: 15 minutes 
Effort Total: EF minutes
HR Target: 175 BPM
HR Range: N/A BPM 
Flat Road Equivalent Pace: 3:23 min/km</v>
      </c>
      <c r="GF80" s="585" t="str">
        <v>Sport: Ride
WU/WD: 15 minutes 
Effort Total: EF minutes
HR Target: 173 BPM
HR Range: N/A BPM 
Flat Road Equivalent Pace: 3:26 min/km</v>
      </c>
      <c r="GG80" s="585" t="str">
        <v>Sport: Ride
WU/WD: 15 minutes 
Effort Total: EF minutes
HR Target: 172 BPM
HR Range: N/A BPM 
Flat Road Equivalent Pace: 3:28 min/km</v>
      </c>
      <c r="GH80" s="585" t="str">
        <v>Sport: Ride
WU/WD: 15 minutes 
Effort Total: EF minutes
HR Target: 171 BPM
HR Range: N/A BPM 
Flat Road Equivalent Pace: 3:29 min/km</v>
      </c>
      <c r="GI80" s="585" t="str">
        <v>Sport: Ride
WU/WD: 15 minutes 
Effort Total: EF minutes
HR Target: 169 BPM
HR Range: N/A BPM 
Flat Road Equivalent Pace: 3:32 min/km</v>
      </c>
      <c r="GJ80" s="585" t="str">
        <v>Sport: Ride
WU/WD: 15 minutes 
Effort Total: EF minutes
HR Target: 168 BPM
HR Range: N/A BPM 
Flat Road Equivalent Pace: 3:34 min/km</v>
      </c>
      <c r="GK80" s="585" t="str">
        <v>Sport: Ride
WU/WD: 15 minutes 
Effort Total: EF minutes
HR Target: 167 BPM
HR Range: N/A BPM 
Flat Road Equivalent Pace: 3:36 min/km</v>
      </c>
      <c r="GL80" s="585" t="str">
        <v>Sport: Ride
WU/WD: 15 minutes 
Effort Total: EF minutes
HR Target: 166 BPM
HR Range: N/A BPM 
Flat Road Equivalent Pace: 3:37 min/km</v>
      </c>
      <c r="GM80" s="585" t="str">
        <v>Sport: Ride
WU/WD: 15 minutes 
Effort Total: EF minutes
HR Target: 166 BPM
HR Range: N/A BPM 
Flat Road Equivalent Pace: 3:37 min/km</v>
      </c>
      <c r="GN80" s="585" t="str">
        <v>Sport: Ride
WU/WD: 15 minutes 
Effort Total: EF minutes
HR Target: 165 BPM
HR Range: N/A BPM 
Flat Road Equivalent Pace: 3:39 min/km</v>
      </c>
      <c r="GO80" s="585" t="str">
        <v>Sport: Ride
WU/WD: 15 minutes 
Effort Total: EF minutes
HR Target: 165 BPM
HR Range: N/A BPM 
Flat Road Equivalent Pace: 3:39 min/km</v>
      </c>
      <c r="GP80" s="585" t="str">
        <v/>
      </c>
      <c r="GQ80" s="585" t="str">
        <v/>
      </c>
      <c r="GR80" s="585" t="str">
        <v/>
      </c>
      <c r="GS80" s="585" t="str">
        <v/>
      </c>
      <c r="GT80" s="585" t="str">
        <v/>
      </c>
      <c r="GU80" s="585" t="str">
        <v>Sport: Swim
WU/WD: No 
Effort Total: EF minutes
HR Target: N/A BPM
HR Range: N/A BPM 
Flat Road Equivalent Pace:  min/km</v>
      </c>
      <c r="GV80" s="585" t="str">
        <v>Sport: Swim
WU/WD: No 
Effort Total: EF minutes
HR Target: 138 BPM
HR Range: 129 - 148 BPM 
Flat Road Equivalent Pace: 4:39 min/km</v>
      </c>
      <c r="GW80" s="585" t="str">
        <v>Sport: Swim
WU/WD: No 
Effort Total: EF minutes
HR Target: 138 BPM
HR Range: 129 - 148 BPM 
Flat Road Equivalent Pace: 4:39 min/km</v>
      </c>
      <c r="GX80" s="585" t="str">
        <v>Sport: Swim
WU/WD: No 
Effort Total: EF minutes
HR Target: 148 BPM
HR Range: 138 - 157 BPM 
Flat Road Equivalent Pace: 4:14 min/km</v>
      </c>
      <c r="GY80" s="585" t="str">
        <v>Sport: Open Water Swim
WU/WD: No 
Effort Total: EF minutes
HR Target: 148 BPM
HR Range: 129 - 169 BPM 
Flat Road Equivalent Pace: 4:14 min/km</v>
      </c>
      <c r="GZ80" s="585" t="str">
        <v/>
      </c>
      <c r="HA80" s="585" t="str">
        <v/>
      </c>
      <c r="HB80" s="585" t="str">
        <v>Sport: Swim
WU/WD: No 
Effort Total: EF minutes
HR Target: 138 BPM
HR Range: 129 - 148 BPM 
Flat Road Equivalent Pace: 4:39 min/km</v>
      </c>
      <c r="HC80" s="585" t="str">
        <v>Sport: Swim
WU/WD: No 
Effort Total: EF minutes
HR Target: 138 BPM
HR Range: 129 - 148 BPM 
Flat Road Equivalent Pace: 4:39 min/km</v>
      </c>
      <c r="HD80" s="585" t="str">
        <v>Sport: Swim
WU/WD: No 
Effort Total: EF minutes
HR Target: 138 BPM
HR Range: 129 - 148 BPM 
Flat Road Equivalent Pace: 4:39 min/km</v>
      </c>
      <c r="HE80" s="585" t="str">
        <v>Sport: Swim
WU/WD: No 
Effort Total: EF minutes
HR Target: 138 BPM
HR Range: 129 - 148 BPM 
Flat Road Equivalent Pace: 4:39 min/km</v>
      </c>
      <c r="HF80" s="585" t="str">
        <v>Sport: Swim
WU/WD: No 
Effort Total: EF minutes
HR Target: 138 BPM
HR Range: 129 - 148 BPM 
Flat Road Equivalent Pace: 4:39 min/km</v>
      </c>
      <c r="HG80" s="585" t="str">
        <v>Sport: Swim
WU/WD: No 
Effort Total: EF minutes
HR Target: 138 BPM
HR Range: 129 - 148 BPM 
Flat Road Equivalent Pace: 4:39 min/km</v>
      </c>
      <c r="HH80" s="585" t="str">
        <v>Sport: Swim
WU/WD: No 
Effort Total: EF minutes
HR Target: 138 BPM
HR Range: 129 - 148 BPM 
Flat Road Equivalent Pace: 4:39 min/km</v>
      </c>
      <c r="HI80" s="585" t="str">
        <v>Sport: Swim
WU/WD: No 
Effort Total: EF minutes
HR Target: 138 BPM
HR Range: 129 - 148 BPM 
Flat Road Equivalent Pace: 4:39 min/km</v>
      </c>
      <c r="HJ80" s="585" t="str">
        <v>Sport: Open Water Swim
WU/WD: No 
Effort Total: EF minutes
HR Target: 148 BPM
HR Range: 138 - 157 BPM 
Flat Road Equivalent Pace: 4:14 min/km</v>
      </c>
      <c r="HK80" s="585" t="str">
        <v>Sport: Open Water Swim
WU/WD: No 
Effort Total: EF minutes
HR Target: 148 BPM
HR Range: 138 - 157 BPM 
Flat Road Equivalent Pace: 4:14 min/km</v>
      </c>
      <c r="HL80" s="585" t="str">
        <v>Sport: Open Water Swim
WU/WD: No 
Effort Total: EF minutes
HR Target: 148 BPM
HR Range: 129 - 169 BPM 
Flat Road Equivalent Pace: 4:14 min/km</v>
      </c>
      <c r="HM80" s="585" t="str">
        <v>Sport: Open Water Swim
WU/WD: No 
Effort Total: EF minutes
HR Target: 148 BPM
HR Range: 129 - 169 BPM 
Flat Road Equivalent Pace: 4:14 min/km</v>
      </c>
      <c r="HN80" s="585" t="str">
        <v>Sport: Open Water Swim
WU/WD: No 
Effort Total: EF minutes
HR Target: 148 BPM
HR Range: 129 - 169 BPM 
Flat Road Equivalent Pace: 4:14 min/km</v>
      </c>
      <c r="HO80" s="585" t="str">
        <v>Sport: Paddle
WU/WD: No 
Effort Total: EF minutes
HR Target: N/A BPM
HR Range: N/A BPM 
Flat Road Equivalent Pace:  min/km</v>
      </c>
      <c r="HP80" s="585" t="str">
        <v>Sport: Paddle
WU/WD: No 
Effort Total: EF minutes
HR Target: 138 BPM
HR Range: 129 - 148 BPM 
Flat Road Equivalent Pace: 4:39 min/km</v>
      </c>
      <c r="HQ80" s="585" t="str">
        <v>Sport: Paddle
WU/WD: No 
Effort Total: EF minutes
HR Target: 138 BPM
HR Range: 129 - 148 BPM 
Flat Road Equivalent Pace: 4:39 min/km</v>
      </c>
      <c r="HR80" s="585" t="str">
        <v>Sport: Paddle
WU/WD: No 
Effort Total: EF minutes
HR Target: 148 BPM
HR Range: 138 - 157 BPM 
Flat Road Equivalent Pace: 4:14 min/km</v>
      </c>
      <c r="HS80" s="585" t="str">
        <v>Sport: Paddle
WU/WD: No 
Effort Total: EF minutes
HR Target: 148 BPM
HR Range: 129 - 169 BPM 
Flat Road Equivalent Pace: 4:14 min/km</v>
      </c>
      <c r="HT80" s="585" t="str">
        <v/>
      </c>
      <c r="HU80" s="585" t="str">
        <v/>
      </c>
      <c r="HV80" s="585" t="str">
        <v>Sport: Paddle
WU/WD: No 
Effort Total: EF minutes
HR Target: 138 BPM
HR Range: 129 - 148 BPM 
Flat Road Equivalent Pace: 4:39 min/km</v>
      </c>
      <c r="HW80" s="585" t="str">
        <v>Sport: Paddle
WU/WD: No 
Effort Total: EF minutes
HR Target: 138 BPM
HR Range: 129 - 148 BPM 
Flat Road Equivalent Pace: 4:39 min/km</v>
      </c>
      <c r="HX80" s="585" t="str">
        <v>Sport: Paddle
WU/WD: No 
Effort Total: EF minutes
HR Target: 138 BPM
HR Range: 129 - 148 BPM 
Flat Road Equivalent Pace: 4:39 min/km</v>
      </c>
      <c r="HY80" s="585" t="str">
        <v>Sport: Paddle
WU/WD: No 
Effort Total: EF minutes
HR Target: 138 BPM
HR Range: 129 - 148 BPM 
Flat Road Equivalent Pace: 4:39 min/km</v>
      </c>
      <c r="HZ80" s="585" t="str">
        <v>Sport: Paddle
WU/WD: No 
Effort Total: EF minutes
HR Target: 138 BPM
HR Range: 129 - 148 BPM 
Flat Road Equivalent Pace: 4:39 min/km</v>
      </c>
      <c r="IA80" s="585" t="str">
        <v>Sport: Paddle
WU/WD: No 
Effort Total: EF minutes
HR Target: 138 BPM
HR Range: 129 - 148 BPM 
Flat Road Equivalent Pace: 4:39 min/km</v>
      </c>
      <c r="IB80" s="585" t="str">
        <v>Sport: Paddle
WU/WD: No 
Effort Total: EF minutes
HR Target: 138 BPM
HR Range: 129 - 148 BPM 
Flat Road Equivalent Pace: 4:39 min/km</v>
      </c>
      <c r="IC80" s="585" t="str">
        <v>Sport: Paddle
WU/WD: No 
Effort Total: EF minutes
HR Target: 138 BPM
HR Range: 129 - 148 BPM 
Flat Road Equivalent Pace: 4:39 min/km</v>
      </c>
      <c r="ID80" s="585" t="str">
        <v>Sport: Paddle
WU/WD: No 
Effort Total: EF minutes
HR Target: 148 BPM
HR Range: 138 - 157 BPM 
Flat Road Equivalent Pace: 4:14 min/km</v>
      </c>
      <c r="IE80" s="585" t="str">
        <v>Sport: Paddle
WU/WD: No 
Effort Total: EF minutes
HR Target: 148 BPM
HR Range: 138 - 157 BPM 
Flat Road Equivalent Pace: 4:14 min/km</v>
      </c>
      <c r="IF80" s="585" t="str">
        <v>Sport: Paddle
WU/WD: No 
Effort Total: EF minutes
HR Target: 148 BPM
HR Range: 129 - 169 BPM 
Flat Road Equivalent Pace: 4:14 min/km</v>
      </c>
      <c r="IG80" s="585" t="str">
        <v>Sport: Paddle
WU/WD: No 
Effort Total: EF minutes
HR Target: 148 BPM
HR Range: 129 - 169 BPM 
Flat Road Equivalent Pace: 4:14 min/km</v>
      </c>
      <c r="IH80" s="585" t="str">
        <v>Sport: Paddle
WU/WD: No 
Effort Total: EF minutes
HR Target: 148 BPM
HR Range: 129 - 169 BPM 
Flat Road Equivalent Pace: 4:14 min/km</v>
      </c>
      <c r="II80" s="585" t="str">
        <v>Sport: Hockey
WU/WD: No 
Effort Total: EF minutes
HR Target: 138 BPM
HR Range: 129 - 148 BPM 
Flat Road Equivalent Pace: 4:39 min/km</v>
      </c>
      <c r="IJ80" s="585" t="str">
        <v/>
      </c>
      <c r="IK80" s="585" t="str">
        <v/>
      </c>
      <c r="IL80" s="585" t="str">
        <v/>
      </c>
      <c r="IM80" s="585" t="str">
        <v/>
      </c>
      <c r="IN80" s="585" t="str">
        <v/>
      </c>
      <c r="IO80" s="585" t="str">
        <v/>
      </c>
      <c r="IP80" s="585" t="str">
        <v/>
      </c>
      <c r="IQ80" s="585" t="str">
        <v/>
      </c>
      <c r="IR80" s="585" t="str">
        <v/>
      </c>
      <c r="IS80" s="585" t="str">
        <v>Sport: 
WU/WD: No 
Effort Total: EF minutes
HR Target: N/A BPM
HR Range: N/A BPM 
Flat Road Equivalent Pace:  min/km</v>
      </c>
      <c r="IT80" s="585" t="str">
        <v>Sport: Run
WU/WD: No 
Effort Total: EF minutes
HR Target: 148 BPM
HR Range: 129 - 169 BPM 
Flat Road Equivalent Pace: 4:14 min/km</v>
      </c>
      <c r="IU80" s="585" t="str">
        <v>Sport: Run
WU/WD: No 
Effort Total: EF minutes
HR Target: 148 BPM
HR Range: 129 - 169 BPM 
Flat Road Equivalent Pace: 4:14 min/km</v>
      </c>
      <c r="IV80" s="585" t="str">
        <v>Sport: Run
WU/WD: No 
Effort Total: EF minutes
HR Target: 148 BPM
HR Range: 129 - 169 BPM 
Flat Road Equivalent Pace: 4:14 min/km</v>
      </c>
      <c r="IW80" s="585" t="str">
        <v>Sport: Run
WU/WD: No 
Effort Total: EF minutes
HR Target: 148 BPM
HR Range: 129 - 169 BPM 
Flat Road Equivalent Pace: 4:14 min/km</v>
      </c>
      <c r="IX80" s="585" t="str">
        <v>Sport: Run
WU/WD: No 
Effort Total: EF minutes
HR Target: 148 BPM
HR Range: 129 - 169 BPM 
Flat Road Equivalent Pace: 4:14 min/km</v>
      </c>
      <c r="IY80" s="585" t="str">
        <v>Sport: Run
WU/WD: No 
Effort Total: EF minutes
HR Target: 148 BPM
HR Range: 129 - 169 BPM 
Flat Road Equivalent Pace: 4:14 min/km</v>
      </c>
      <c r="IZ80" s="585" t="str">
        <v>Sport: Run
WU/WD: No 
Effort Total: EF minutes
HR Target: 138 BPM
HR Range: 129 - 148 BPM 
Flat Road Equivalent Pace: 4:39 min/km</v>
      </c>
      <c r="JA80" s="585" t="str">
        <v/>
      </c>
      <c r="JB80" s="585" t="str">
        <v/>
      </c>
      <c r="JC80" s="585" t="str">
        <v/>
      </c>
      <c r="JD80" s="585" t="str">
        <v/>
      </c>
      <c r="JE80" s="585" t="str">
        <v/>
      </c>
      <c r="JF80" s="585" t="str">
        <v/>
      </c>
      <c r="JG80" s="585" t="str">
        <v/>
      </c>
      <c r="JH80" s="585" t="str">
        <v/>
      </c>
      <c r="JI80" s="585" t="str">
        <v/>
      </c>
      <c r="JJ80" s="585" t="str">
        <v/>
      </c>
      <c r="JK80" s="585" t="str">
        <v/>
      </c>
      <c r="JL80" s="585" t="str">
        <v/>
      </c>
      <c r="JM80" s="585" t="str">
        <v/>
      </c>
      <c r="JN80" s="585" t="str">
        <v/>
      </c>
      <c r="JO80" s="585" t="str">
        <v/>
      </c>
      <c r="JP80" s="585" t="str">
        <v/>
      </c>
      <c r="JQ80" s="585" t="str">
        <v/>
      </c>
      <c r="JR80" s="585" t="str">
        <v/>
      </c>
      <c r="JS80" s="585" t="str">
        <v/>
      </c>
      <c r="JT80" s="585" t="str">
        <v/>
      </c>
      <c r="JU80" s="585" t="str">
        <v/>
      </c>
      <c r="JV80" s="585" t="str">
        <v/>
      </c>
      <c r="JW80" s="585" t="str">
        <v>Sport: Paddle
WU/WD: 15 minutes 
Effort Total: EF minutes
HR Target: 188 BPM
HR Range: N/A BPM 
Flat Road Equivalent Pace: 3:06 min/km</v>
      </c>
      <c r="JX80" s="585" t="str">
        <v>Sport: Paddle
WU/WD: 15 minutes 
Effort Total: EF minutes
HR Target: 183 BPM
HR Range: N/A BPM 
Flat Road Equivalent Pace: 3:12 min/km</v>
      </c>
      <c r="JY80" s="585" t="str">
        <v>Sport: Paddle
WU/WD: 15 minutes 
Effort Total: EF minutes
HR Target: 180 BPM
HR Range: N/A BPM 
Flat Road Equivalent Pace: 3:16 min/km</v>
      </c>
      <c r="JZ80" s="585" t="str">
        <v>Sport: Paddle
WU/WD: 15 minutes 
Effort Total: EF minutes
HR Target: 177 BPM
HR Range: N/A BPM 
Flat Road Equivalent Pace: 3:20 min/km</v>
      </c>
      <c r="KA80" s="585" t="str">
        <v>Sport: Paddle
WU/WD: 15 minutes 
Effort Total: EF minutes
HR Target: 175 BPM
HR Range: N/A BPM 
Flat Road Equivalent Pace: 3:23 min/km</v>
      </c>
      <c r="KB80" s="585" t="str">
        <v>Sport: Paddle
WU/WD: 15 minutes 
Effort Total: EF minutes
HR Target: 173 BPM
HR Range: N/A BPM 
Flat Road Equivalent Pace: 3:26 min/km</v>
      </c>
      <c r="KC80" s="585" t="str">
        <v>Sport: Paddle
WU/WD: 15 minutes 
Effort Total: EF minutes
HR Target: 172 BPM
HR Range: N/A BPM 
Flat Road Equivalent Pace: 3:28 min/km</v>
      </c>
      <c r="KD80" s="585" t="str">
        <v>Sport: Paddle
WU/WD: 15 minutes 
Effort Total: EF minutes
HR Target: 171 BPM
HR Range: N/A BPM 
Flat Road Equivalent Pace: 3:29 min/km</v>
      </c>
      <c r="KE80" s="585" t="str">
        <v>Sport: Paddle
WU/WD: 15 minutes 
Effort Total: EF minutes
HR Target: 169 BPM
HR Range: N/A BPM 
Flat Road Equivalent Pace: 3:32 min/km</v>
      </c>
      <c r="KF80" s="585" t="str">
        <v>Sport: Paddle
WU/WD: 15 minutes 
Effort Total: EF minutes
HR Target: 168 BPM
HR Range: N/A BPM 
Flat Road Equivalent Pace: 3:34 min/km</v>
      </c>
      <c r="KG80" s="585" t="str">
        <v>Sport: Paddle
WU/WD: 15 minutes 
Effort Total: EF minutes
HR Target: 167 BPM
HR Range: N/A BPM 
Flat Road Equivalent Pace: 3:36 min/km</v>
      </c>
      <c r="KH80" s="585" t="str">
        <v>Sport: Paddle
WU/WD: 15 minutes 
Effort Total: EF minutes
HR Target: 166 BPM
HR Range: N/A BPM 
Flat Road Equivalent Pace: 3:37 min/km</v>
      </c>
      <c r="KI80" s="585" t="str">
        <v>Sport: Paddle
WU/WD: 15 minutes 
Effort Total: EF minutes
HR Target: 166 BPM
HR Range: N/A BPM 
Flat Road Equivalent Pace: 3:37 min/km</v>
      </c>
      <c r="KJ80" s="585" t="str">
        <v>Sport: Paddle
WU/WD: 15 minutes 
Effort Total: EF minutes
HR Target: 165 BPM
HR Range: N/A BPM 
Flat Road Equivalent Pace: 3:39 min/km</v>
      </c>
      <c r="KK80" s="585" t="str">
        <v>Sport: Paddle
WU/WD: 15 minutes 
Effort Total: EF minutes
HR Target: 165 BPM
HR Range: N/A BPM 
Flat Road Equivalent Pace: 3:39 min/km</v>
      </c>
      <c r="KL80" s="585" t="str">
        <v/>
      </c>
      <c r="KM80" s="585" t="str">
        <v/>
      </c>
      <c r="KN80" s="585" t="str">
        <v/>
      </c>
      <c r="KO80" s="585" t="str">
        <v/>
      </c>
      <c r="KP80" s="918" t="str">
        <v/>
      </c>
      <c r="KQ80" s="701" t="s">
        <v>388</v>
      </c>
    </row>
    <row r="81" spans="1:303" ht="120.75" hidden="1" customHeight="1" x14ac:dyDescent="0.45">
      <c r="A81" s="1757"/>
      <c r="B81" s="896">
        <v>2</v>
      </c>
      <c r="C81" s="580" t="str">
        <v/>
      </c>
      <c r="D81" s="581" t="str">
        <v/>
      </c>
      <c r="E81" s="581" t="str">
        <v/>
      </c>
      <c r="F81" s="581" t="str">
        <v/>
      </c>
      <c r="G81" s="581" t="str">
        <v/>
      </c>
      <c r="H81" s="581" t="str">
        <v/>
      </c>
      <c r="I81" s="581" t="str">
        <v/>
      </c>
      <c r="J81" s="581" t="str">
        <v/>
      </c>
      <c r="K81" s="581" t="str">
        <v>Sport: Road Run
WU/WD: 15 minutes 
Effort Total: EF minutes
HR Target: 148 BPM
HR Range: 138 - 157 BPM 
Flat Road Equivalent Pace: 4:14 min/km</v>
      </c>
      <c r="L81" s="581" t="str">
        <v>Sport: Road Run
WU/WD: 15 minutes 
Effort Total: EF minutes
HR Target: 148 BPM
HR Range: 138 - 157 BPM 
Flat Road Equivalent Pace: 4:14 min/km</v>
      </c>
      <c r="M81" s="581" t="str">
        <v>Sport: Road Run
WU/WD: 15 minutes 
Effort Total: EF minutes
HR Target: 148 BPM
HR Range: 138 - 157 BPM 
Flat Road Equivalent Pace: 4:14 min/km</v>
      </c>
      <c r="N81" s="581" t="str">
        <v/>
      </c>
      <c r="O81" s="581" t="str">
        <v/>
      </c>
      <c r="P81" s="581" t="str">
        <v/>
      </c>
      <c r="Q81" s="581" t="str">
        <v/>
      </c>
      <c r="R81" s="581" t="str">
        <v/>
      </c>
      <c r="S81" s="581" t="str">
        <v/>
      </c>
      <c r="T81" s="581" t="str">
        <v/>
      </c>
      <c r="U81" s="581" t="str">
        <v/>
      </c>
      <c r="V81" s="581" t="str">
        <v/>
      </c>
      <c r="W81" s="581" t="str">
        <v/>
      </c>
      <c r="X81" s="581" t="str">
        <v/>
      </c>
      <c r="Y81" s="581" t="str">
        <v/>
      </c>
      <c r="Z81" s="581" t="str">
        <v/>
      </c>
      <c r="AA81" s="581" t="str">
        <v/>
      </c>
      <c r="AB81" s="581" t="str">
        <v>Sport: Hilly Trail Run
WU/WD: No 
Effort Total: EF minutes
HR Target: 138 BPM
HR Range: 129 - 148 BPM 
Flat Road Equivalent Pace: 4:39 min/km</v>
      </c>
      <c r="AC81" s="581" t="str">
        <v>Sport: Hilly Trail Run
WU/WD: No 
Effort Total: EF minutes
HR Target: 138 BPM
HR Range: 129 - 148 BPM 
Flat Road Equivalent Pace: 4:39 min/km</v>
      </c>
      <c r="AD81" s="581" t="str">
        <v>Sport: Hilly Trail Run
WU/WD: No 
Effort Total: EF minutes
HR Target: 138 BPM
HR Range: 129 - 148 BPM 
Flat Road Equivalent Pace: 4:39 min/km</v>
      </c>
      <c r="AE81" s="581" t="str">
        <v>Sport: Hilly Trail Run
WU/WD: No 
Effort Total: EF minutes
HR Target: 138 BPM
HR Range: 129 - 148 BPM 
Flat Road Equivalent Pace: 4:39 min/km</v>
      </c>
      <c r="AF81" s="581" t="str">
        <v>Sport: Hilly Trail Run
WU/WD: No 
Effort Total: EF minutes
HR Target: 138 BPM
HR Range: 129 - 148 BPM 
Flat Road Equivalent Pace: 4:39 min/km</v>
      </c>
      <c r="AG81" s="581" t="str">
        <v/>
      </c>
      <c r="AH81" s="581" t="str">
        <v/>
      </c>
      <c r="AI81" s="581" t="str">
        <v/>
      </c>
      <c r="AJ81" s="581" t="str">
        <v/>
      </c>
      <c r="AK81" s="581" t="str">
        <v/>
      </c>
      <c r="AL81" s="581" t="str">
        <v/>
      </c>
      <c r="AM81" s="581" t="str">
        <v/>
      </c>
      <c r="AN81" s="581" t="str">
        <v/>
      </c>
      <c r="AO81" s="581" t="str">
        <v/>
      </c>
      <c r="AP81" s="581" t="str">
        <v/>
      </c>
      <c r="AQ81" s="581" t="str">
        <v/>
      </c>
      <c r="AR81" s="581" t="str">
        <v/>
      </c>
      <c r="AS81" s="581" t="str">
        <v/>
      </c>
      <c r="AT81" s="581" t="str">
        <v/>
      </c>
      <c r="AU81" s="581" t="str">
        <v/>
      </c>
      <c r="AV81" s="581" t="str">
        <v/>
      </c>
      <c r="AW81" s="581" t="str">
        <v/>
      </c>
      <c r="AX81" s="581" t="str">
        <v/>
      </c>
      <c r="AY81" s="581" t="str">
        <v/>
      </c>
      <c r="AZ81" s="581" t="str">
        <v/>
      </c>
      <c r="BA81" s="581" t="str">
        <v/>
      </c>
      <c r="BB81" s="581" t="str">
        <v/>
      </c>
      <c r="BC81" s="581" t="str">
        <v/>
      </c>
      <c r="BD81" s="581" t="str">
        <v/>
      </c>
      <c r="BE81" s="581" t="str">
        <v/>
      </c>
      <c r="BF81" s="581" t="str">
        <v/>
      </c>
      <c r="BG81" s="581" t="str">
        <v/>
      </c>
      <c r="BH81" s="581" t="str">
        <v/>
      </c>
      <c r="BI81" s="581" t="str">
        <v/>
      </c>
      <c r="BJ81" s="581" t="str">
        <v/>
      </c>
      <c r="BK81" s="581" t="str">
        <v>Sport: Run
WU/WD: No 
Effort Total: EF minutes
HR Target: 138 BPM
HR Range: 129 - 148 BPM 
Flat Road Equivalent Pace: 4:39 min/km</v>
      </c>
      <c r="BL81" s="581" t="str">
        <v>Sport: Run
WU/WD: No 
Effort Total: EF minutes
HR Target: 138 BPM
HR Range: 129 - 148 BPM 
Flat Road Equivalent Pace: 4:39 min/km</v>
      </c>
      <c r="BM81" s="581" t="str">
        <v>Sport: Run
WU/WD: No 
Effort Total: EF minutes
HR Target: 138 BPM
HR Range: 129 - 148 BPM 
Flat Road Equivalent Pace: 4:39 min/km</v>
      </c>
      <c r="BN81" s="581" t="str">
        <v>Sport: Run
WU/WD: No 
Effort Total: EF minutes
HR Target: 138 BPM
HR Range: 129 - 148 BPM 
Flat Road Equivalent Pace: 4:39 min/km</v>
      </c>
      <c r="BO81" s="581" t="str">
        <v>Sport: Run
WU/WD: No 
Effort Total: EF minutes
HR Target: 138 BPM
HR Range: 129 - 148 BPM 
Flat Road Equivalent Pace: 4:39 min/km</v>
      </c>
      <c r="BP81" s="581" t="str">
        <v>Sport: Run
WU/WD: No 
Effort Total: EF minutes
HR Target: 138 BPM
HR Range: 129 - 148 BPM 
Flat Road Equivalent Pace: 4:39 min/km</v>
      </c>
      <c r="BQ81" s="581" t="str">
        <v>Sport: Run
WU/WD: No 
Effort Total: EF minutes
HR Target: 138 BPM
HR Range: 129 - 148 BPM 
Flat Road Equivalent Pace: 4:39 min/km</v>
      </c>
      <c r="BR81" s="581" t="str">
        <v>Sport: Run
WU/WD: No 
Effort Total: EF minutes
HR Target: 138 BPM
HR Range: 129 - 148 BPM 
Flat Road Equivalent Pace: 4:39 min/km</v>
      </c>
      <c r="BS81" s="581" t="str">
        <v>Sport: Run
WU/WD: No 
Effort Total: EF minutes
HR Target: 138 BPM
HR Range: 129 - 148 BPM 
Flat Road Equivalent Pace: 4:39 min/km</v>
      </c>
      <c r="BT81" s="581" t="str">
        <v/>
      </c>
      <c r="BU81" s="581" t="str">
        <v/>
      </c>
      <c r="BV81" s="581" t="str">
        <v>Sport: Run
WU/WD: 15 minutes 
Effort Total: EF minutes
HR Target: 148 BPM
HR Range: 138 - 157 BPM 
Flat Road Equivalent Pace: 4:14 min/km</v>
      </c>
      <c r="BW81" s="581" t="str">
        <v>Sport: Run
WU/WD: 15 minutes 
Effort Total: EF minutes
HR Target: N/A BPM
HR Range: N/A BPM 
Flat Road Equivalent Pace: 2:35 min/km</v>
      </c>
      <c r="BX81" s="581" t="str">
        <v>Sport: Run
WU/WD: No 
Effort Total: EF minutes
HR Target: 138 BPM
HR Range: 129 - 148 BPM 
Flat Road Equivalent Pace: 4:39 min/km</v>
      </c>
      <c r="BY81" s="581" t="str">
        <v>Sport: Run
WU/WD: 15 minutes 
Effort Total: EF minutes
HR Target: N/A BPM
HR Range: N/A BPM 
Flat Road Equivalent Pace: 2:35 min/km</v>
      </c>
      <c r="BZ81" s="581" t="str">
        <v/>
      </c>
      <c r="CA81" s="581" t="str">
        <v>Sport: Indoor
WU/WD: No 
Effort Total: EF minutes
HR Target: N/A BPM
HR Range: N/A BPM 
Flat Road Equivalent Pace:  min/km</v>
      </c>
      <c r="CB81" s="581" t="str">
        <v>Sport: Indoor
WU/WD: No 
Effort Total: EF minutes
HR Target: N/A BPM
HR Range: N/A BPM 
Flat Road Equivalent Pace:  min/km</v>
      </c>
      <c r="CC81" s="581" t="str">
        <v/>
      </c>
      <c r="CD81" s="581" t="str">
        <v>Sport: Indoor
WU/WD: No 
Effort Total: EF minutes
HR Target: N/A BPM
HR Range: N/A BPM 
Flat Road Equivalent Pace:  min/km</v>
      </c>
      <c r="CE81" s="581" t="str">
        <v/>
      </c>
      <c r="CF81" s="581" t="str">
        <v/>
      </c>
      <c r="CG81" s="581" t="str">
        <v/>
      </c>
      <c r="CH81" s="581" t="str">
        <v/>
      </c>
      <c r="CI81" s="581" t="str">
        <v/>
      </c>
      <c r="CJ81" s="581" t="str">
        <v/>
      </c>
      <c r="CK81" s="581" t="str">
        <v/>
      </c>
      <c r="CL81" s="581" t="str">
        <v/>
      </c>
      <c r="CM81" s="581" t="str">
        <v/>
      </c>
      <c r="CN81" s="581" t="str">
        <v/>
      </c>
      <c r="CO81" s="581" t="str">
        <v/>
      </c>
      <c r="CP81" s="581" t="str">
        <v/>
      </c>
      <c r="CQ81" s="581" t="str">
        <v/>
      </c>
      <c r="CR81" s="581" t="str">
        <v/>
      </c>
      <c r="CS81" s="581" t="str">
        <v/>
      </c>
      <c r="CT81" s="581" t="str">
        <v/>
      </c>
      <c r="CU81" s="581" t="str">
        <v/>
      </c>
      <c r="CV81" s="581" t="str">
        <v/>
      </c>
      <c r="CW81" s="581" t="str">
        <v/>
      </c>
      <c r="CX81" s="581" t="str">
        <v/>
      </c>
      <c r="CY81" s="580" t="str">
        <v/>
      </c>
      <c r="CZ81" s="581" t="str">
        <v/>
      </c>
      <c r="DA81" s="581" t="str">
        <v/>
      </c>
      <c r="DB81" s="581" t="str">
        <v/>
      </c>
      <c r="DC81" s="581" t="str">
        <v/>
      </c>
      <c r="DD81" s="581" t="str">
        <v/>
      </c>
      <c r="DE81" s="581" t="str">
        <v/>
      </c>
      <c r="DF81" s="581" t="str">
        <v/>
      </c>
      <c r="DG81" s="581" t="str">
        <v/>
      </c>
      <c r="DH81" s="581" t="str">
        <v/>
      </c>
      <c r="DI81" s="581" t="str">
        <v/>
      </c>
      <c r="DJ81" s="581" t="str">
        <v/>
      </c>
      <c r="DK81" s="581" t="str">
        <v/>
      </c>
      <c r="DL81" s="581" t="str">
        <v/>
      </c>
      <c r="DM81" s="581" t="str">
        <v/>
      </c>
      <c r="DN81" s="581" t="str">
        <v/>
      </c>
      <c r="DO81" s="581" t="str">
        <v/>
      </c>
      <c r="DP81" s="581" t="str">
        <v/>
      </c>
      <c r="DQ81" s="581" t="str">
        <v/>
      </c>
      <c r="DR81" s="581" t="str">
        <v/>
      </c>
      <c r="DS81" s="581" t="str">
        <v/>
      </c>
      <c r="DT81" s="581" t="str">
        <v/>
      </c>
      <c r="DU81" s="581" t="str">
        <v/>
      </c>
      <c r="DV81" s="581" t="str">
        <v/>
      </c>
      <c r="DW81" s="581" t="str">
        <v/>
      </c>
      <c r="DX81" s="581" t="str">
        <v>Sport: Ride
WU/WD: No 
Effort Total: EF minutes
HR Target: 138 BPM
HR Range: 129 - 148 BPM 
Flat Road Equivalent Pace: 4:39 min/km</v>
      </c>
      <c r="DY81" s="581" t="str">
        <v>Sport: Ride
WU/WD: No 
Effort Total: EF minutes
HR Target: 138 BPM
HR Range: 129 - 148 BPM 
Flat Road Equivalent Pace: 4:39 min/km</v>
      </c>
      <c r="DZ81" s="581" t="str">
        <v>Sport: Ride
WU/WD: No 
Effort Total: EF minutes
HR Target: 138 BPM
HR Range: 129 - 148 BPM 
Flat Road Equivalent Pace: 4:39 min/km</v>
      </c>
      <c r="EA81" s="581" t="str">
        <v>Sport: Ride
WU/WD: No 
Effort Total: EF minutes
HR Target: 138 BPM
HR Range: 129 - 148 BPM 
Flat Road Equivalent Pace: 4:39 min/km</v>
      </c>
      <c r="EB81" s="581" t="str">
        <v>Sport: Ride
WU/WD: No 
Effort Total: EF minutes
HR Target: 138 BPM
HR Range: 129 - 148 BPM 
Flat Road Equivalent Pace: 4:39 min/km</v>
      </c>
      <c r="EC81" s="581" t="str">
        <v/>
      </c>
      <c r="ED81" s="581" t="str">
        <v/>
      </c>
      <c r="EE81" s="581" t="str">
        <v/>
      </c>
      <c r="EF81" s="581" t="str">
        <v/>
      </c>
      <c r="EG81" s="581" t="str">
        <v/>
      </c>
      <c r="EH81" s="581" t="str">
        <v/>
      </c>
      <c r="EI81" s="581" t="str">
        <v/>
      </c>
      <c r="EJ81" s="581" t="str">
        <v/>
      </c>
      <c r="EK81" s="581" t="str">
        <v/>
      </c>
      <c r="EL81" s="581" t="str">
        <v/>
      </c>
      <c r="EM81" s="581" t="str">
        <v/>
      </c>
      <c r="EN81" s="581" t="str">
        <v/>
      </c>
      <c r="EO81" s="581" t="str">
        <v/>
      </c>
      <c r="EP81" s="581" t="str">
        <v/>
      </c>
      <c r="EQ81" s="581" t="str">
        <v/>
      </c>
      <c r="ER81" s="581" t="str">
        <v/>
      </c>
      <c r="ES81" s="581" t="str">
        <v/>
      </c>
      <c r="ET81" s="581" t="str">
        <v/>
      </c>
      <c r="EU81" s="581" t="str">
        <v/>
      </c>
      <c r="EV81" s="581" t="str">
        <v/>
      </c>
      <c r="EW81" s="581" t="str">
        <v/>
      </c>
      <c r="EX81" s="581" t="str">
        <v/>
      </c>
      <c r="EY81" s="581" t="str">
        <v/>
      </c>
      <c r="EZ81" s="581" t="str">
        <v/>
      </c>
      <c r="FA81" s="581" t="str">
        <v/>
      </c>
      <c r="FB81" s="581" t="str">
        <v/>
      </c>
      <c r="FC81" s="581" t="str">
        <v/>
      </c>
      <c r="FD81" s="581" t="str">
        <v/>
      </c>
      <c r="FE81" s="581" t="str">
        <v/>
      </c>
      <c r="FF81" s="581" t="str">
        <v/>
      </c>
      <c r="FG81" s="581" t="str">
        <v/>
      </c>
      <c r="FH81" s="581" t="str">
        <v/>
      </c>
      <c r="FI81" s="581" t="str">
        <v/>
      </c>
      <c r="FJ81" s="581" t="str">
        <v/>
      </c>
      <c r="FK81" s="581" t="str">
        <v/>
      </c>
      <c r="FL81" s="581" t="str">
        <v/>
      </c>
      <c r="FM81" s="581" t="str">
        <v/>
      </c>
      <c r="FN81" s="581" t="str">
        <v>Sport: Ride
WU/WD: No 
Effort Total: EF minutes
HR Target: 148 BPM
HR Range: 138 - 157 BPM 
Flat Road Equivalent Pace: 4:14 min/km</v>
      </c>
      <c r="FO81" s="581" t="str">
        <v/>
      </c>
      <c r="FP81" s="581" t="str">
        <v/>
      </c>
      <c r="FQ81" s="581" t="str">
        <v/>
      </c>
      <c r="FR81" s="581" t="str">
        <v/>
      </c>
      <c r="FS81" s="581" t="str">
        <v/>
      </c>
      <c r="FT81" s="581" t="str">
        <v/>
      </c>
      <c r="FU81" s="581" t="str">
        <v/>
      </c>
      <c r="FV81" s="581" t="str">
        <v/>
      </c>
      <c r="FW81" s="581" t="str">
        <v/>
      </c>
      <c r="FX81" s="581" t="str">
        <v/>
      </c>
      <c r="FY81" s="581" t="str">
        <v/>
      </c>
      <c r="FZ81" s="581" t="str">
        <v/>
      </c>
      <c r="GA81" s="581" t="str">
        <v/>
      </c>
      <c r="GB81" s="581" t="str">
        <v/>
      </c>
      <c r="GC81" s="581" t="str">
        <v/>
      </c>
      <c r="GD81" s="581" t="str">
        <v/>
      </c>
      <c r="GE81" s="581" t="str">
        <v/>
      </c>
      <c r="GF81" s="581" t="str">
        <v/>
      </c>
      <c r="GG81" s="581" t="str">
        <v/>
      </c>
      <c r="GH81" s="581" t="str">
        <v/>
      </c>
      <c r="GI81" s="581" t="str">
        <v/>
      </c>
      <c r="GJ81" s="581" t="str">
        <v/>
      </c>
      <c r="GK81" s="581" t="str">
        <v/>
      </c>
      <c r="GL81" s="581" t="str">
        <v/>
      </c>
      <c r="GM81" s="581" t="str">
        <v/>
      </c>
      <c r="GN81" s="581" t="str">
        <v/>
      </c>
      <c r="GO81" s="581" t="str">
        <v/>
      </c>
      <c r="GP81" s="581" t="str">
        <v/>
      </c>
      <c r="GQ81" s="581" t="str">
        <v/>
      </c>
      <c r="GR81" s="581" t="str">
        <v/>
      </c>
      <c r="GS81" s="581" t="str">
        <v/>
      </c>
      <c r="GT81" s="581" t="str">
        <v/>
      </c>
      <c r="GU81" s="581" t="str">
        <v/>
      </c>
      <c r="GV81" s="581" t="str">
        <v/>
      </c>
      <c r="GW81" s="581" t="str">
        <v/>
      </c>
      <c r="GX81" s="581" t="str">
        <v/>
      </c>
      <c r="GY81" s="581" t="str">
        <v/>
      </c>
      <c r="GZ81" s="581" t="str">
        <v/>
      </c>
      <c r="HA81" s="581" t="str">
        <v/>
      </c>
      <c r="HB81" s="581" t="str">
        <v/>
      </c>
      <c r="HC81" s="581" t="str">
        <v/>
      </c>
      <c r="HD81" s="581" t="str">
        <v/>
      </c>
      <c r="HE81" s="581" t="str">
        <v/>
      </c>
      <c r="HF81" s="581" t="str">
        <v/>
      </c>
      <c r="HG81" s="581" t="str">
        <v/>
      </c>
      <c r="HH81" s="581" t="str">
        <v/>
      </c>
      <c r="HI81" s="581" t="str">
        <v/>
      </c>
      <c r="HJ81" s="581" t="str">
        <v/>
      </c>
      <c r="HK81" s="581" t="str">
        <v/>
      </c>
      <c r="HL81" s="581" t="str">
        <v/>
      </c>
      <c r="HM81" s="581" t="str">
        <v/>
      </c>
      <c r="HN81" s="581" t="str">
        <v/>
      </c>
      <c r="HO81" s="581" t="str">
        <v/>
      </c>
      <c r="HP81" s="581" t="str">
        <v/>
      </c>
      <c r="HQ81" s="581" t="str">
        <v/>
      </c>
      <c r="HR81" s="581" t="str">
        <v/>
      </c>
      <c r="HS81" s="581" t="str">
        <v/>
      </c>
      <c r="HT81" s="581" t="str">
        <v/>
      </c>
      <c r="HU81" s="581" t="str">
        <v/>
      </c>
      <c r="HV81" s="581" t="str">
        <v/>
      </c>
      <c r="HW81" s="581" t="str">
        <v/>
      </c>
      <c r="HX81" s="581" t="str">
        <v/>
      </c>
      <c r="HY81" s="581" t="str">
        <v/>
      </c>
      <c r="HZ81" s="581" t="str">
        <v/>
      </c>
      <c r="IA81" s="581" t="str">
        <v/>
      </c>
      <c r="IB81" s="581" t="str">
        <v/>
      </c>
      <c r="IC81" s="581" t="str">
        <v/>
      </c>
      <c r="ID81" s="581" t="str">
        <v/>
      </c>
      <c r="IE81" s="581" t="str">
        <v/>
      </c>
      <c r="IF81" s="581" t="str">
        <v/>
      </c>
      <c r="IG81" s="581" t="str">
        <v/>
      </c>
      <c r="IH81" s="581" t="str">
        <v/>
      </c>
      <c r="II81" s="581" t="str">
        <v/>
      </c>
      <c r="IJ81" s="581" t="str">
        <v/>
      </c>
      <c r="IK81" s="581" t="str">
        <v/>
      </c>
      <c r="IL81" s="581" t="str">
        <v/>
      </c>
      <c r="IM81" s="581" t="str">
        <v/>
      </c>
      <c r="IN81" s="581" t="str">
        <v/>
      </c>
      <c r="IO81" s="581" t="str">
        <v/>
      </c>
      <c r="IP81" s="581" t="str">
        <v/>
      </c>
      <c r="IQ81" s="581" t="str">
        <v/>
      </c>
      <c r="IR81" s="581" t="str">
        <v/>
      </c>
      <c r="IS81" s="581" t="str">
        <v/>
      </c>
      <c r="IT81" s="581" t="str">
        <v/>
      </c>
      <c r="IU81" s="581" t="str">
        <v/>
      </c>
      <c r="IV81" s="581" t="str">
        <v/>
      </c>
      <c r="IW81" s="581" t="str">
        <v/>
      </c>
      <c r="IX81" s="581" t="str">
        <v/>
      </c>
      <c r="IY81" s="581" t="str">
        <v/>
      </c>
      <c r="IZ81" s="581" t="str">
        <v/>
      </c>
      <c r="JA81" s="581" t="str">
        <v/>
      </c>
      <c r="JB81" s="581" t="str">
        <v/>
      </c>
      <c r="JC81" s="581" t="str">
        <v/>
      </c>
      <c r="JD81" s="581" t="str">
        <v/>
      </c>
      <c r="JE81" s="581" t="str">
        <v/>
      </c>
      <c r="JF81" s="581" t="str">
        <v/>
      </c>
      <c r="JG81" s="581" t="str">
        <v/>
      </c>
      <c r="JH81" s="581" t="str">
        <v/>
      </c>
      <c r="JI81" s="581" t="str">
        <v/>
      </c>
      <c r="JJ81" s="581" t="str">
        <v/>
      </c>
      <c r="JK81" s="581" t="str">
        <v/>
      </c>
      <c r="JL81" s="581" t="str">
        <v/>
      </c>
      <c r="JM81" s="581" t="str">
        <v/>
      </c>
      <c r="JN81" s="581" t="str">
        <v/>
      </c>
      <c r="JO81" s="581" t="str">
        <v/>
      </c>
      <c r="JP81" s="581" t="str">
        <v/>
      </c>
      <c r="JQ81" s="581" t="str">
        <v/>
      </c>
      <c r="JR81" s="581" t="str">
        <v/>
      </c>
      <c r="JS81" s="581" t="str">
        <v/>
      </c>
      <c r="JT81" s="581" t="str">
        <v/>
      </c>
      <c r="JU81" s="581" t="str">
        <v/>
      </c>
      <c r="JV81" s="581" t="str">
        <v/>
      </c>
      <c r="JW81" s="581" t="str">
        <v/>
      </c>
      <c r="JX81" s="581" t="str">
        <v/>
      </c>
      <c r="JY81" s="581" t="str">
        <v/>
      </c>
      <c r="JZ81" s="581" t="str">
        <v/>
      </c>
      <c r="KA81" s="581" t="str">
        <v/>
      </c>
      <c r="KB81" s="581" t="str">
        <v/>
      </c>
      <c r="KC81" s="581" t="str">
        <v/>
      </c>
      <c r="KD81" s="581" t="str">
        <v/>
      </c>
      <c r="KE81" s="581" t="str">
        <v/>
      </c>
      <c r="KF81" s="581" t="str">
        <v/>
      </c>
      <c r="KG81" s="581" t="str">
        <v/>
      </c>
      <c r="KH81" s="581" t="str">
        <v/>
      </c>
      <c r="KI81" s="581" t="str">
        <v/>
      </c>
      <c r="KJ81" s="581" t="str">
        <v/>
      </c>
      <c r="KK81" s="581" t="str">
        <v/>
      </c>
      <c r="KL81" s="581" t="str">
        <v/>
      </c>
      <c r="KM81" s="581" t="str">
        <v/>
      </c>
      <c r="KN81" s="581" t="str">
        <v/>
      </c>
      <c r="KO81" s="581" t="str">
        <v/>
      </c>
      <c r="KP81" s="919" t="str">
        <v/>
      </c>
      <c r="KQ81" s="701" t="s">
        <v>388</v>
      </c>
    </row>
    <row r="82" spans="1:303" hidden="1" x14ac:dyDescent="0.45">
      <c r="A82" s="1757"/>
      <c r="B82" s="896">
        <v>3</v>
      </c>
      <c r="C82" s="580" t="str">
        <v/>
      </c>
      <c r="D82" s="581" t="str">
        <v/>
      </c>
      <c r="E82" s="581" t="str">
        <v/>
      </c>
      <c r="F82" s="581" t="str">
        <v/>
      </c>
      <c r="G82" s="581" t="str">
        <v/>
      </c>
      <c r="H82" s="581" t="str">
        <v/>
      </c>
      <c r="I82" s="581" t="str">
        <v/>
      </c>
      <c r="J82" s="581" t="str">
        <v/>
      </c>
      <c r="K82" s="581" t="str">
        <v/>
      </c>
      <c r="L82" s="581" t="str">
        <v/>
      </c>
      <c r="M82" s="581" t="str">
        <v/>
      </c>
      <c r="N82" s="581" t="str">
        <v/>
      </c>
      <c r="O82" s="581" t="str">
        <v/>
      </c>
      <c r="P82" s="581" t="str">
        <v/>
      </c>
      <c r="Q82" s="581" t="str">
        <v/>
      </c>
      <c r="R82" s="581" t="str">
        <v/>
      </c>
      <c r="S82" s="581" t="str">
        <v/>
      </c>
      <c r="T82" s="581" t="str">
        <v/>
      </c>
      <c r="U82" s="581" t="str">
        <v/>
      </c>
      <c r="V82" s="581" t="str">
        <v/>
      </c>
      <c r="W82" s="581" t="str">
        <v/>
      </c>
      <c r="X82" s="581" t="str">
        <v/>
      </c>
      <c r="Y82" s="581" t="str">
        <v/>
      </c>
      <c r="Z82" s="581" t="str">
        <v/>
      </c>
      <c r="AA82" s="581" t="str">
        <v/>
      </c>
      <c r="AB82" s="581" t="str">
        <v/>
      </c>
      <c r="AC82" s="581" t="str">
        <v/>
      </c>
      <c r="AD82" s="581" t="str">
        <v/>
      </c>
      <c r="AE82" s="581" t="str">
        <v/>
      </c>
      <c r="AF82" s="581" t="str">
        <v/>
      </c>
      <c r="AG82" s="581" t="str">
        <v/>
      </c>
      <c r="AH82" s="581" t="str">
        <v/>
      </c>
      <c r="AI82" s="581" t="str">
        <v/>
      </c>
      <c r="AJ82" s="581" t="str">
        <v/>
      </c>
      <c r="AK82" s="581" t="str">
        <v/>
      </c>
      <c r="AL82" s="581" t="str">
        <v/>
      </c>
      <c r="AM82" s="581" t="str">
        <v/>
      </c>
      <c r="AN82" s="581" t="str">
        <v/>
      </c>
      <c r="AO82" s="581" t="str">
        <v/>
      </c>
      <c r="AP82" s="581" t="str">
        <v/>
      </c>
      <c r="AQ82" s="581" t="str">
        <v/>
      </c>
      <c r="AR82" s="581" t="str">
        <v/>
      </c>
      <c r="AS82" s="581" t="str">
        <v/>
      </c>
      <c r="AT82" s="581" t="str">
        <v/>
      </c>
      <c r="AU82" s="581" t="str">
        <v/>
      </c>
      <c r="AV82" s="581" t="str">
        <v/>
      </c>
      <c r="AW82" s="581" t="str">
        <v/>
      </c>
      <c r="AX82" s="581" t="str">
        <v/>
      </c>
      <c r="AY82" s="581" t="str">
        <v/>
      </c>
      <c r="AZ82" s="581" t="str">
        <v/>
      </c>
      <c r="BA82" s="581" t="str">
        <v/>
      </c>
      <c r="BB82" s="581" t="str">
        <v/>
      </c>
      <c r="BC82" s="581" t="str">
        <v/>
      </c>
      <c r="BD82" s="581" t="str">
        <v/>
      </c>
      <c r="BE82" s="581" t="str">
        <v/>
      </c>
      <c r="BF82" s="581" t="str">
        <v/>
      </c>
      <c r="BG82" s="581" t="str">
        <v/>
      </c>
      <c r="BH82" s="581" t="str">
        <v/>
      </c>
      <c r="BI82" s="581" t="str">
        <v/>
      </c>
      <c r="BJ82" s="581" t="str">
        <v/>
      </c>
      <c r="BK82" s="581" t="str">
        <v/>
      </c>
      <c r="BL82" s="581" t="str">
        <v/>
      </c>
      <c r="BM82" s="581" t="str">
        <v/>
      </c>
      <c r="BN82" s="581" t="str">
        <v/>
      </c>
      <c r="BO82" s="581" t="str">
        <v/>
      </c>
      <c r="BP82" s="581" t="str">
        <v/>
      </c>
      <c r="BQ82" s="581" t="str">
        <v/>
      </c>
      <c r="BR82" s="581" t="str">
        <v/>
      </c>
      <c r="BS82" s="581" t="str">
        <v/>
      </c>
      <c r="BT82" s="581" t="str">
        <v/>
      </c>
      <c r="BU82" s="581" t="str">
        <v/>
      </c>
      <c r="BV82" s="581" t="str">
        <v/>
      </c>
      <c r="BW82" s="581" t="str">
        <v/>
      </c>
      <c r="BX82" s="581" t="str">
        <v/>
      </c>
      <c r="BY82" s="581" t="e">
        <v>#N/A</v>
      </c>
      <c r="BZ82" s="581" t="str">
        <v/>
      </c>
      <c r="CA82" s="581" t="str">
        <v/>
      </c>
      <c r="CB82" s="581" t="e">
        <v>#N/A</v>
      </c>
      <c r="CC82" s="581" t="str">
        <v/>
      </c>
      <c r="CD82" s="581" t="str">
        <v/>
      </c>
      <c r="CE82" s="581" t="str">
        <v/>
      </c>
      <c r="CF82" s="581" t="str">
        <v/>
      </c>
      <c r="CG82" s="581" t="str">
        <v/>
      </c>
      <c r="CH82" s="581" t="str">
        <v/>
      </c>
      <c r="CI82" s="581" t="str">
        <v/>
      </c>
      <c r="CJ82" s="581" t="str">
        <v/>
      </c>
      <c r="CK82" s="581" t="str">
        <v/>
      </c>
      <c r="CL82" s="581" t="str">
        <v/>
      </c>
      <c r="CM82" s="581" t="str">
        <v/>
      </c>
      <c r="CN82" s="581" t="str">
        <v/>
      </c>
      <c r="CO82" s="581" t="str">
        <v/>
      </c>
      <c r="CP82" s="581" t="str">
        <v/>
      </c>
      <c r="CQ82" s="581" t="str">
        <v/>
      </c>
      <c r="CR82" s="581" t="str">
        <v/>
      </c>
      <c r="CS82" s="581" t="str">
        <v/>
      </c>
      <c r="CT82" s="581" t="str">
        <v/>
      </c>
      <c r="CU82" s="581" t="str">
        <v/>
      </c>
      <c r="CV82" s="581" t="str">
        <v/>
      </c>
      <c r="CW82" s="581" t="str">
        <v/>
      </c>
      <c r="CX82" s="581" t="str">
        <v/>
      </c>
      <c r="CY82" s="580" t="str">
        <v/>
      </c>
      <c r="CZ82" s="581" t="str">
        <v/>
      </c>
      <c r="DA82" s="581" t="str">
        <v/>
      </c>
      <c r="DB82" s="581" t="str">
        <v/>
      </c>
      <c r="DC82" s="581" t="str">
        <v/>
      </c>
      <c r="DD82" s="581" t="str">
        <v/>
      </c>
      <c r="DE82" s="581" t="str">
        <v/>
      </c>
      <c r="DF82" s="581" t="str">
        <v/>
      </c>
      <c r="DG82" s="581" t="str">
        <v/>
      </c>
      <c r="DH82" s="581" t="str">
        <v/>
      </c>
      <c r="DI82" s="581" t="str">
        <v/>
      </c>
      <c r="DJ82" s="581" t="str">
        <v/>
      </c>
      <c r="DK82" s="581" t="str">
        <v/>
      </c>
      <c r="DL82" s="581" t="str">
        <v/>
      </c>
      <c r="DM82" s="581" t="str">
        <v/>
      </c>
      <c r="DN82" s="581" t="str">
        <v/>
      </c>
      <c r="DO82" s="581" t="str">
        <v/>
      </c>
      <c r="DP82" s="581" t="str">
        <v/>
      </c>
      <c r="DQ82" s="581" t="str">
        <v/>
      </c>
      <c r="DR82" s="581" t="str">
        <v/>
      </c>
      <c r="DS82" s="581" t="str">
        <v/>
      </c>
      <c r="DT82" s="581" t="str">
        <v/>
      </c>
      <c r="DU82" s="581" t="str">
        <v/>
      </c>
      <c r="DV82" s="581" t="str">
        <v/>
      </c>
      <c r="DW82" s="581" t="str">
        <v/>
      </c>
      <c r="DX82" s="581" t="str">
        <v/>
      </c>
      <c r="DY82" s="581" t="str">
        <v/>
      </c>
      <c r="DZ82" s="581" t="str">
        <v/>
      </c>
      <c r="EA82" s="581" t="str">
        <v/>
      </c>
      <c r="EB82" s="581" t="str">
        <v/>
      </c>
      <c r="EC82" s="581" t="str">
        <v/>
      </c>
      <c r="ED82" s="581" t="str">
        <v/>
      </c>
      <c r="EE82" s="581" t="str">
        <v/>
      </c>
      <c r="EF82" s="581" t="str">
        <v/>
      </c>
      <c r="EG82" s="581" t="str">
        <v/>
      </c>
      <c r="EH82" s="581" t="str">
        <v/>
      </c>
      <c r="EI82" s="581" t="str">
        <v/>
      </c>
      <c r="EJ82" s="581" t="str">
        <v/>
      </c>
      <c r="EK82" s="581" t="str">
        <v/>
      </c>
      <c r="EL82" s="581" t="str">
        <v/>
      </c>
      <c r="EM82" s="581" t="str">
        <v/>
      </c>
      <c r="EN82" s="581" t="str">
        <v/>
      </c>
      <c r="EO82" s="581" t="str">
        <v/>
      </c>
      <c r="EP82" s="581" t="str">
        <v/>
      </c>
      <c r="EQ82" s="581" t="str">
        <v/>
      </c>
      <c r="ER82" s="581" t="str">
        <v/>
      </c>
      <c r="ES82" s="581" t="str">
        <v/>
      </c>
      <c r="ET82" s="581" t="str">
        <v/>
      </c>
      <c r="EU82" s="581" t="str">
        <v/>
      </c>
      <c r="EV82" s="581" t="str">
        <v/>
      </c>
      <c r="EW82" s="581" t="str">
        <v/>
      </c>
      <c r="EX82" s="581" t="str">
        <v/>
      </c>
      <c r="EY82" s="581" t="str">
        <v/>
      </c>
      <c r="EZ82" s="581" t="str">
        <v/>
      </c>
      <c r="FA82" s="581" t="str">
        <v/>
      </c>
      <c r="FB82" s="581" t="str">
        <v/>
      </c>
      <c r="FC82" s="581" t="str">
        <v/>
      </c>
      <c r="FD82" s="581" t="str">
        <v/>
      </c>
      <c r="FE82" s="581" t="str">
        <v/>
      </c>
      <c r="FF82" s="581" t="str">
        <v/>
      </c>
      <c r="FG82" s="581" t="str">
        <v/>
      </c>
      <c r="FH82" s="581" t="str">
        <v/>
      </c>
      <c r="FI82" s="581" t="str">
        <v/>
      </c>
      <c r="FJ82" s="581" t="str">
        <v/>
      </c>
      <c r="FK82" s="581" t="str">
        <v/>
      </c>
      <c r="FL82" s="581" t="str">
        <v/>
      </c>
      <c r="FM82" s="581" t="str">
        <v/>
      </c>
      <c r="FN82" s="581" t="str">
        <v/>
      </c>
      <c r="FO82" s="581" t="str">
        <v/>
      </c>
      <c r="FP82" s="581" t="str">
        <v/>
      </c>
      <c r="FQ82" s="581" t="str">
        <v/>
      </c>
      <c r="FR82" s="581" t="str">
        <v/>
      </c>
      <c r="FS82" s="581" t="str">
        <v/>
      </c>
      <c r="FT82" s="581" t="str">
        <v/>
      </c>
      <c r="FU82" s="581" t="str">
        <v/>
      </c>
      <c r="FV82" s="581" t="str">
        <v/>
      </c>
      <c r="FW82" s="581" t="str">
        <v/>
      </c>
      <c r="FX82" s="581" t="str">
        <v/>
      </c>
      <c r="FY82" s="581" t="str">
        <v/>
      </c>
      <c r="FZ82" s="581" t="str">
        <v/>
      </c>
      <c r="GA82" s="581" t="str">
        <v/>
      </c>
      <c r="GB82" s="581" t="str">
        <v/>
      </c>
      <c r="GC82" s="581" t="str">
        <v/>
      </c>
      <c r="GD82" s="581" t="str">
        <v/>
      </c>
      <c r="GE82" s="581" t="str">
        <v/>
      </c>
      <c r="GF82" s="581" t="str">
        <v/>
      </c>
      <c r="GG82" s="581" t="str">
        <v/>
      </c>
      <c r="GH82" s="581" t="str">
        <v/>
      </c>
      <c r="GI82" s="581" t="str">
        <v/>
      </c>
      <c r="GJ82" s="581" t="str">
        <v/>
      </c>
      <c r="GK82" s="581" t="str">
        <v/>
      </c>
      <c r="GL82" s="581" t="str">
        <v/>
      </c>
      <c r="GM82" s="581" t="str">
        <v/>
      </c>
      <c r="GN82" s="581" t="str">
        <v/>
      </c>
      <c r="GO82" s="581" t="str">
        <v/>
      </c>
      <c r="GP82" s="581" t="str">
        <v/>
      </c>
      <c r="GQ82" s="581" t="str">
        <v/>
      </c>
      <c r="GR82" s="581" t="str">
        <v/>
      </c>
      <c r="GS82" s="581" t="str">
        <v/>
      </c>
      <c r="GT82" s="581" t="str">
        <v/>
      </c>
      <c r="GU82" s="581" t="str">
        <v/>
      </c>
      <c r="GV82" s="581" t="str">
        <v/>
      </c>
      <c r="GW82" s="581" t="str">
        <v/>
      </c>
      <c r="GX82" s="581" t="str">
        <v/>
      </c>
      <c r="GY82" s="581" t="str">
        <v/>
      </c>
      <c r="GZ82" s="581" t="str">
        <v/>
      </c>
      <c r="HA82" s="581" t="str">
        <v/>
      </c>
      <c r="HB82" s="581" t="str">
        <v/>
      </c>
      <c r="HC82" s="581" t="str">
        <v/>
      </c>
      <c r="HD82" s="581" t="str">
        <v/>
      </c>
      <c r="HE82" s="581" t="str">
        <v/>
      </c>
      <c r="HF82" s="581" t="str">
        <v/>
      </c>
      <c r="HG82" s="581" t="str">
        <v/>
      </c>
      <c r="HH82" s="581" t="str">
        <v/>
      </c>
      <c r="HI82" s="581" t="str">
        <v/>
      </c>
      <c r="HJ82" s="581" t="str">
        <v/>
      </c>
      <c r="HK82" s="581" t="str">
        <v/>
      </c>
      <c r="HL82" s="581" t="str">
        <v/>
      </c>
      <c r="HM82" s="581" t="str">
        <v/>
      </c>
      <c r="HN82" s="581" t="str">
        <v/>
      </c>
      <c r="HO82" s="581" t="str">
        <v/>
      </c>
      <c r="HP82" s="581" t="str">
        <v/>
      </c>
      <c r="HQ82" s="581" t="str">
        <v/>
      </c>
      <c r="HR82" s="581" t="str">
        <v/>
      </c>
      <c r="HS82" s="581" t="str">
        <v/>
      </c>
      <c r="HT82" s="581" t="str">
        <v/>
      </c>
      <c r="HU82" s="581" t="str">
        <v/>
      </c>
      <c r="HV82" s="581" t="str">
        <v/>
      </c>
      <c r="HW82" s="581" t="str">
        <v/>
      </c>
      <c r="HX82" s="581" t="str">
        <v/>
      </c>
      <c r="HY82" s="581" t="str">
        <v/>
      </c>
      <c r="HZ82" s="581" t="str">
        <v/>
      </c>
      <c r="IA82" s="581" t="str">
        <v/>
      </c>
      <c r="IB82" s="581" t="str">
        <v/>
      </c>
      <c r="IC82" s="581" t="str">
        <v/>
      </c>
      <c r="ID82" s="581" t="str">
        <v/>
      </c>
      <c r="IE82" s="581" t="str">
        <v/>
      </c>
      <c r="IF82" s="581" t="str">
        <v/>
      </c>
      <c r="IG82" s="581" t="str">
        <v/>
      </c>
      <c r="IH82" s="581" t="str">
        <v/>
      </c>
      <c r="II82" s="581" t="str">
        <v/>
      </c>
      <c r="IJ82" s="581" t="str">
        <v/>
      </c>
      <c r="IK82" s="581" t="str">
        <v/>
      </c>
      <c r="IL82" s="581" t="str">
        <v/>
      </c>
      <c r="IM82" s="581" t="str">
        <v/>
      </c>
      <c r="IN82" s="581" t="str">
        <v/>
      </c>
      <c r="IO82" s="581" t="str">
        <v/>
      </c>
      <c r="IP82" s="581" t="str">
        <v/>
      </c>
      <c r="IQ82" s="581" t="str">
        <v/>
      </c>
      <c r="IR82" s="581" t="str">
        <v/>
      </c>
      <c r="IS82" s="581" t="str">
        <v/>
      </c>
      <c r="IT82" s="581" t="str">
        <v/>
      </c>
      <c r="IU82" s="581" t="str">
        <v/>
      </c>
      <c r="IV82" s="581" t="str">
        <v/>
      </c>
      <c r="IW82" s="581" t="str">
        <v/>
      </c>
      <c r="IX82" s="581" t="str">
        <v/>
      </c>
      <c r="IY82" s="581" t="str">
        <v/>
      </c>
      <c r="IZ82" s="581" t="str">
        <v/>
      </c>
      <c r="JA82" s="581" t="str">
        <v/>
      </c>
      <c r="JB82" s="581" t="str">
        <v/>
      </c>
      <c r="JC82" s="581" t="str">
        <v/>
      </c>
      <c r="JD82" s="581" t="str">
        <v/>
      </c>
      <c r="JE82" s="581" t="str">
        <v/>
      </c>
      <c r="JF82" s="581" t="str">
        <v/>
      </c>
      <c r="JG82" s="581" t="str">
        <v/>
      </c>
      <c r="JH82" s="581" t="str">
        <v/>
      </c>
      <c r="JI82" s="581" t="str">
        <v/>
      </c>
      <c r="JJ82" s="581" t="str">
        <v/>
      </c>
      <c r="JK82" s="581" t="str">
        <v/>
      </c>
      <c r="JL82" s="581" t="str">
        <v/>
      </c>
      <c r="JM82" s="581" t="str">
        <v/>
      </c>
      <c r="JN82" s="581" t="str">
        <v/>
      </c>
      <c r="JO82" s="581" t="str">
        <v/>
      </c>
      <c r="JP82" s="581" t="str">
        <v/>
      </c>
      <c r="JQ82" s="581" t="str">
        <v/>
      </c>
      <c r="JR82" s="581" t="str">
        <v/>
      </c>
      <c r="JS82" s="581" t="str">
        <v/>
      </c>
      <c r="JT82" s="581" t="str">
        <v/>
      </c>
      <c r="JU82" s="581" t="str">
        <v/>
      </c>
      <c r="JV82" s="581" t="str">
        <v/>
      </c>
      <c r="JW82" s="581" t="str">
        <v/>
      </c>
      <c r="JX82" s="581" t="str">
        <v/>
      </c>
      <c r="JY82" s="581" t="str">
        <v/>
      </c>
      <c r="JZ82" s="581" t="str">
        <v/>
      </c>
      <c r="KA82" s="581" t="str">
        <v/>
      </c>
      <c r="KB82" s="581" t="str">
        <v/>
      </c>
      <c r="KC82" s="581" t="str">
        <v/>
      </c>
      <c r="KD82" s="581" t="str">
        <v/>
      </c>
      <c r="KE82" s="581" t="str">
        <v/>
      </c>
      <c r="KF82" s="581" t="str">
        <v/>
      </c>
      <c r="KG82" s="581" t="str">
        <v/>
      </c>
      <c r="KH82" s="581" t="str">
        <v/>
      </c>
      <c r="KI82" s="581" t="str">
        <v/>
      </c>
      <c r="KJ82" s="581" t="str">
        <v/>
      </c>
      <c r="KK82" s="581" t="str">
        <v/>
      </c>
      <c r="KL82" s="581" t="str">
        <v/>
      </c>
      <c r="KM82" s="581" t="str">
        <v/>
      </c>
      <c r="KN82" s="581" t="str">
        <v/>
      </c>
      <c r="KO82" s="581" t="str">
        <v/>
      </c>
      <c r="KP82" s="919" t="str">
        <v/>
      </c>
      <c r="KQ82" s="701" t="s">
        <v>388</v>
      </c>
    </row>
    <row r="83" spans="1:303" hidden="1" x14ac:dyDescent="0.45">
      <c r="A83" s="1757"/>
      <c r="B83" s="1496" t="s">
        <v>724</v>
      </c>
      <c r="C83" s="580"/>
      <c r="D83" s="581"/>
      <c r="E83" s="581"/>
      <c r="F83" s="581"/>
      <c r="G83" s="581"/>
      <c r="H83" s="581"/>
      <c r="I83" s="581"/>
      <c r="J83" s="581"/>
      <c r="K83" s="581"/>
      <c r="L83" s="581"/>
      <c r="M83" s="581"/>
      <c r="N83" s="581"/>
      <c r="O83" s="581"/>
      <c r="P83" s="581"/>
      <c r="Q83" s="581"/>
      <c r="R83" s="581"/>
      <c r="S83" s="581"/>
      <c r="T83" s="581"/>
      <c r="U83" s="581"/>
      <c r="V83" s="581"/>
      <c r="W83" s="581"/>
      <c r="X83" s="581"/>
      <c r="Y83" s="581"/>
      <c r="Z83" s="581"/>
      <c r="AA83" s="581"/>
      <c r="AB83" s="581"/>
      <c r="AC83" s="581"/>
      <c r="AD83" s="581"/>
      <c r="AE83" s="581"/>
      <c r="AF83" s="581"/>
      <c r="AG83" s="581"/>
      <c r="AH83" s="581"/>
      <c r="AI83" s="581"/>
      <c r="AJ83" s="581"/>
      <c r="AK83" s="581"/>
      <c r="AL83" s="581"/>
      <c r="AM83" s="581"/>
      <c r="AN83" s="581"/>
      <c r="AO83" s="581"/>
      <c r="AP83" s="581"/>
      <c r="AQ83" s="581"/>
      <c r="AR83" s="581"/>
      <c r="AS83" s="581"/>
      <c r="AT83" s="581"/>
      <c r="AU83" s="581"/>
      <c r="AV83" s="581"/>
      <c r="AW83" s="581"/>
      <c r="AX83" s="581"/>
      <c r="AY83" s="581"/>
      <c r="AZ83" s="581"/>
      <c r="BA83" s="581"/>
      <c r="BB83" s="581"/>
      <c r="BC83" s="581"/>
      <c r="BD83" s="581"/>
      <c r="BE83" s="581"/>
      <c r="BF83" s="581"/>
      <c r="BG83" s="581"/>
      <c r="BH83" s="581"/>
      <c r="BI83" s="581"/>
      <c r="BJ83" s="581"/>
      <c r="BK83" s="581"/>
      <c r="BL83" s="581"/>
      <c r="BM83" s="581"/>
      <c r="BN83" s="581"/>
      <c r="BO83" s="581"/>
      <c r="BP83" s="581"/>
      <c r="BQ83" s="581"/>
      <c r="BR83" s="581"/>
      <c r="BS83" s="581"/>
      <c r="BT83" s="581"/>
      <c r="BU83" s="581"/>
      <c r="BV83" s="581"/>
      <c r="BW83" s="581"/>
      <c r="BX83" s="581"/>
      <c r="BY83" s="581"/>
      <c r="BZ83" s="581"/>
      <c r="CA83" s="581"/>
      <c r="CB83" s="581"/>
      <c r="CC83" s="581"/>
      <c r="CD83" s="581"/>
      <c r="CE83" s="581"/>
      <c r="CF83" s="581"/>
      <c r="CG83" s="581"/>
      <c r="CH83" s="581"/>
      <c r="CI83" s="581"/>
      <c r="CJ83" s="581"/>
      <c r="CK83" s="581"/>
      <c r="CL83" s="581"/>
      <c r="CM83" s="581"/>
      <c r="CN83" s="581"/>
      <c r="CO83" s="581"/>
      <c r="CP83" s="581"/>
      <c r="CQ83" s="581"/>
      <c r="CR83" s="581"/>
      <c r="CS83" s="581"/>
      <c r="CT83" s="581"/>
      <c r="CU83" s="581"/>
      <c r="CV83" s="581"/>
      <c r="CW83" s="581"/>
      <c r="CX83" s="581"/>
      <c r="CY83" s="580"/>
      <c r="CZ83" s="581"/>
      <c r="DA83" s="581"/>
      <c r="DB83" s="581"/>
      <c r="DC83" s="581"/>
      <c r="DD83" s="581"/>
      <c r="DE83" s="581"/>
      <c r="DF83" s="581"/>
      <c r="DG83" s="581"/>
      <c r="DH83" s="581"/>
      <c r="DI83" s="581"/>
      <c r="DJ83" s="581"/>
      <c r="DK83" s="581"/>
      <c r="DL83" s="581"/>
      <c r="DM83" s="581"/>
      <c r="DN83" s="581"/>
      <c r="DO83" s="581"/>
      <c r="DP83" s="581"/>
      <c r="DQ83" s="581"/>
      <c r="DR83" s="581"/>
      <c r="DS83" s="581"/>
      <c r="DT83" s="581"/>
      <c r="DU83" s="581"/>
      <c r="DV83" s="581"/>
      <c r="DW83" s="581"/>
      <c r="DX83" s="581"/>
      <c r="DY83" s="581"/>
      <c r="DZ83" s="581"/>
      <c r="EA83" s="581"/>
      <c r="EB83" s="581"/>
      <c r="EC83" s="581"/>
      <c r="ED83" s="581"/>
      <c r="EE83" s="581"/>
      <c r="EF83" s="581"/>
      <c r="EG83" s="581"/>
      <c r="EH83" s="581"/>
      <c r="EI83" s="581"/>
      <c r="EJ83" s="581"/>
      <c r="EK83" s="581"/>
      <c r="EL83" s="581"/>
      <c r="EM83" s="581"/>
      <c r="EN83" s="581"/>
      <c r="EO83" s="581"/>
      <c r="EP83" s="581"/>
      <c r="EQ83" s="581"/>
      <c r="ER83" s="581"/>
      <c r="ES83" s="581"/>
      <c r="ET83" s="581"/>
      <c r="EU83" s="581"/>
      <c r="EV83" s="581"/>
      <c r="EW83" s="581"/>
      <c r="EX83" s="581"/>
      <c r="EY83" s="581"/>
      <c r="EZ83" s="581"/>
      <c r="FA83" s="581"/>
      <c r="FB83" s="581"/>
      <c r="FC83" s="581"/>
      <c r="FD83" s="581"/>
      <c r="FE83" s="581"/>
      <c r="FF83" s="581"/>
      <c r="FG83" s="581"/>
      <c r="FH83" s="581"/>
      <c r="FI83" s="581"/>
      <c r="FJ83" s="581"/>
      <c r="FK83" s="581"/>
      <c r="FL83" s="581"/>
      <c r="FM83" s="581"/>
      <c r="FN83" s="581"/>
      <c r="FO83" s="581"/>
      <c r="FP83" s="581"/>
      <c r="FQ83" s="581"/>
      <c r="FR83" s="581"/>
      <c r="FS83" s="581"/>
      <c r="FT83" s="581"/>
      <c r="FU83" s="581"/>
      <c r="FV83" s="581"/>
      <c r="FW83" s="581"/>
      <c r="FX83" s="581"/>
      <c r="FY83" s="581"/>
      <c r="FZ83" s="581"/>
      <c r="GA83" s="581"/>
      <c r="GB83" s="581"/>
      <c r="GC83" s="581"/>
      <c r="GD83" s="581"/>
      <c r="GE83" s="581"/>
      <c r="GF83" s="581"/>
      <c r="GG83" s="581"/>
      <c r="GH83" s="581"/>
      <c r="GI83" s="581"/>
      <c r="GJ83" s="581"/>
      <c r="GK83" s="581"/>
      <c r="GL83" s="581"/>
      <c r="GM83" s="581"/>
      <c r="GN83" s="581"/>
      <c r="GO83" s="581"/>
      <c r="GP83" s="581"/>
      <c r="GQ83" s="581"/>
      <c r="GR83" s="581"/>
      <c r="GS83" s="581"/>
      <c r="GT83" s="581"/>
      <c r="GU83" s="581"/>
      <c r="GV83" s="581"/>
      <c r="GW83" s="581"/>
      <c r="GX83" s="581"/>
      <c r="GY83" s="581"/>
      <c r="GZ83" s="581"/>
      <c r="HA83" s="581"/>
      <c r="HB83" s="581"/>
      <c r="HC83" s="581"/>
      <c r="HD83" s="581"/>
      <c r="HE83" s="581"/>
      <c r="HF83" s="581"/>
      <c r="HG83" s="581"/>
      <c r="HH83" s="581"/>
      <c r="HI83" s="581"/>
      <c r="HJ83" s="581"/>
      <c r="HK83" s="581"/>
      <c r="HL83" s="581"/>
      <c r="HM83" s="581"/>
      <c r="HN83" s="581"/>
      <c r="HO83" s="581"/>
      <c r="HP83" s="581"/>
      <c r="HQ83" s="581"/>
      <c r="HR83" s="581"/>
      <c r="HS83" s="581"/>
      <c r="HT83" s="581"/>
      <c r="HU83" s="581"/>
      <c r="HV83" s="581"/>
      <c r="HW83" s="581"/>
      <c r="HX83" s="581"/>
      <c r="HY83" s="581"/>
      <c r="HZ83" s="581"/>
      <c r="IA83" s="581"/>
      <c r="IB83" s="581"/>
      <c r="IC83" s="581"/>
      <c r="ID83" s="581"/>
      <c r="IE83" s="581"/>
      <c r="IF83" s="581"/>
      <c r="IG83" s="581"/>
      <c r="IH83" s="581"/>
      <c r="II83" s="581"/>
      <c r="IJ83" s="581"/>
      <c r="IK83" s="581"/>
      <c r="IL83" s="581"/>
      <c r="IM83" s="581"/>
      <c r="IN83" s="581"/>
      <c r="IO83" s="581"/>
      <c r="IP83" s="581"/>
      <c r="IQ83" s="581"/>
      <c r="IR83" s="581"/>
      <c r="IS83" s="581"/>
      <c r="IT83" s="581"/>
      <c r="IU83" s="581"/>
      <c r="IV83" s="581"/>
      <c r="IW83" s="581"/>
      <c r="IX83" s="581"/>
      <c r="IY83" s="581"/>
      <c r="IZ83" s="581"/>
      <c r="JA83" s="581"/>
      <c r="JB83" s="581"/>
      <c r="JC83" s="581"/>
      <c r="JD83" s="581"/>
      <c r="JE83" s="581"/>
      <c r="JF83" s="581"/>
      <c r="JG83" s="581"/>
      <c r="JH83" s="581"/>
      <c r="JI83" s="581"/>
      <c r="JJ83" s="581"/>
      <c r="JK83" s="581"/>
      <c r="JL83" s="581"/>
      <c r="JM83" s="581"/>
      <c r="JN83" s="581"/>
      <c r="JO83" s="581"/>
      <c r="JP83" s="581"/>
      <c r="JQ83" s="581"/>
      <c r="JR83" s="581"/>
      <c r="JS83" s="581"/>
      <c r="JT83" s="581"/>
      <c r="JU83" s="581"/>
      <c r="JV83" s="581"/>
      <c r="JW83" s="581"/>
      <c r="JX83" s="581"/>
      <c r="JY83" s="581"/>
      <c r="JZ83" s="581"/>
      <c r="KA83" s="581"/>
      <c r="KB83" s="581"/>
      <c r="KC83" s="581"/>
      <c r="KD83" s="581"/>
      <c r="KE83" s="581"/>
      <c r="KF83" s="581"/>
      <c r="KG83" s="581"/>
      <c r="KH83" s="581"/>
      <c r="KI83" s="581"/>
      <c r="KJ83" s="581"/>
      <c r="KK83" s="581"/>
      <c r="KL83" s="581"/>
      <c r="KM83" s="581"/>
      <c r="KN83" s="581"/>
      <c r="KO83" s="581"/>
      <c r="KP83" s="919"/>
      <c r="KQ83" s="701"/>
    </row>
    <row r="84" spans="1:303" ht="14.65" hidden="1" thickBot="1" x14ac:dyDescent="0.5">
      <c r="A84" s="1758"/>
      <c r="B84" s="872" t="s">
        <v>402</v>
      </c>
      <c r="C84" s="147"/>
      <c r="D84" s="147"/>
      <c r="E84" s="147"/>
      <c r="F84" s="147"/>
      <c r="G84" s="147"/>
      <c r="H84" s="147"/>
      <c r="I84" s="147"/>
      <c r="J84" s="147"/>
      <c r="K84" s="147"/>
      <c r="L84" s="147"/>
      <c r="M84" s="147"/>
      <c r="N84" s="147"/>
      <c r="O84" s="147"/>
      <c r="P84" s="147"/>
      <c r="Q84" s="147"/>
      <c r="R84" s="147"/>
      <c r="S84" s="147"/>
      <c r="T84" s="147"/>
      <c r="U84" s="147"/>
      <c r="V84" s="147"/>
      <c r="W84" s="147"/>
      <c r="X84" s="147"/>
      <c r="Y84" s="147"/>
      <c r="Z84" s="147"/>
      <c r="AA84" s="147"/>
      <c r="AB84" s="147"/>
      <c r="AC84" s="147"/>
      <c r="AD84" s="147"/>
      <c r="AE84" s="147"/>
      <c r="AF84" s="147"/>
      <c r="AG84" s="147"/>
      <c r="AH84" s="147"/>
      <c r="AI84" s="147"/>
      <c r="AJ84" s="147"/>
      <c r="AK84" s="147"/>
      <c r="AL84" s="147"/>
      <c r="AM84" s="147"/>
      <c r="AN84" s="147"/>
      <c r="AO84" s="147"/>
      <c r="AP84" s="147"/>
      <c r="AQ84" s="147"/>
      <c r="AR84" s="147"/>
      <c r="AS84" s="147"/>
      <c r="AT84" s="147"/>
      <c r="AU84" s="147"/>
      <c r="AV84" s="147"/>
      <c r="AW84" s="147"/>
      <c r="AX84" s="147"/>
      <c r="AY84" s="147"/>
      <c r="AZ84" s="147"/>
      <c r="BA84" s="147"/>
      <c r="BB84" s="147"/>
      <c r="BC84" s="147"/>
      <c r="BD84" s="147"/>
      <c r="BE84" s="147"/>
      <c r="BF84" s="147"/>
      <c r="BG84" s="147"/>
      <c r="BH84" s="147"/>
      <c r="BI84" s="147"/>
      <c r="BJ84" s="147"/>
      <c r="BK84" s="147"/>
      <c r="BL84" s="147"/>
      <c r="BM84" s="147"/>
      <c r="BN84" s="147"/>
      <c r="BO84" s="147"/>
      <c r="BP84" s="147"/>
      <c r="BQ84" s="147"/>
      <c r="BR84" s="147"/>
      <c r="BS84" s="147"/>
      <c r="BT84" s="147"/>
      <c r="BU84" s="147"/>
      <c r="BV84" s="147"/>
      <c r="BW84" s="147"/>
      <c r="BX84" s="147"/>
      <c r="BY84" s="147"/>
      <c r="BZ84" s="147"/>
      <c r="CA84" s="147"/>
      <c r="CB84" s="147"/>
      <c r="CC84" s="147"/>
      <c r="CD84" s="147"/>
      <c r="CE84" s="147"/>
      <c r="CF84" s="147"/>
      <c r="CG84" s="147"/>
      <c r="CH84" s="147"/>
      <c r="CI84" s="147"/>
      <c r="CJ84" s="147"/>
      <c r="CK84" s="147"/>
      <c r="CL84" s="147"/>
      <c r="CM84" s="147"/>
      <c r="CN84" s="147"/>
      <c r="CO84" s="147"/>
      <c r="CP84" s="147"/>
      <c r="CQ84" s="147"/>
      <c r="CR84" s="147"/>
      <c r="CS84" s="147"/>
      <c r="CT84" s="147"/>
      <c r="CU84" s="147"/>
      <c r="CV84" s="147"/>
      <c r="CW84" s="147"/>
      <c r="CX84" s="147"/>
      <c r="CY84" s="878"/>
      <c r="CZ84" s="147"/>
      <c r="DA84" s="147"/>
      <c r="DB84" s="147"/>
      <c r="DC84" s="147"/>
      <c r="DD84" s="147"/>
      <c r="DE84" s="147"/>
      <c r="DF84" s="147"/>
      <c r="DG84" s="147"/>
      <c r="DH84" s="147"/>
      <c r="DI84" s="147"/>
      <c r="DJ84" s="147"/>
      <c r="DK84" s="147"/>
      <c r="DL84" s="147"/>
      <c r="DM84" s="147"/>
      <c r="DN84" s="147"/>
      <c r="DO84" s="147"/>
      <c r="DP84" s="147"/>
      <c r="DQ84" s="147"/>
      <c r="DR84" s="147"/>
      <c r="DS84" s="147"/>
      <c r="DT84" s="147"/>
      <c r="DU84" s="147"/>
      <c r="DV84" s="147"/>
      <c r="DW84" s="147"/>
      <c r="DX84" s="147"/>
      <c r="DY84" s="147"/>
      <c r="DZ84" s="147"/>
      <c r="EA84" s="147"/>
      <c r="EB84" s="147"/>
      <c r="EC84" s="147"/>
      <c r="ED84" s="147"/>
      <c r="EE84" s="147"/>
      <c r="EF84" s="147"/>
      <c r="EG84" s="147"/>
      <c r="EH84" s="147"/>
      <c r="EI84" s="147"/>
      <c r="EJ84" s="147"/>
      <c r="EK84" s="147"/>
      <c r="EL84" s="147"/>
      <c r="EM84" s="147"/>
      <c r="EN84" s="147"/>
      <c r="EO84" s="147"/>
      <c r="EP84" s="147"/>
      <c r="EQ84" s="147"/>
      <c r="ER84" s="147"/>
      <c r="ES84" s="147"/>
      <c r="ET84" s="147"/>
      <c r="EU84" s="147"/>
      <c r="EV84" s="147"/>
      <c r="EW84" s="147"/>
      <c r="EX84" s="147"/>
      <c r="EY84" s="147"/>
      <c r="EZ84" s="147"/>
      <c r="FA84" s="147"/>
      <c r="FB84" s="147"/>
      <c r="FC84" s="147"/>
      <c r="FD84" s="147"/>
      <c r="FE84" s="147"/>
      <c r="FF84" s="147"/>
      <c r="FG84" s="147"/>
      <c r="FH84" s="147"/>
      <c r="FI84" s="147"/>
      <c r="FJ84" s="147"/>
      <c r="FK84" s="147"/>
      <c r="FL84" s="147"/>
      <c r="FM84" s="147"/>
      <c r="FN84" s="147"/>
      <c r="FO84" s="147"/>
      <c r="FP84" s="147"/>
      <c r="FQ84" s="147"/>
      <c r="FR84" s="147"/>
      <c r="FS84" s="147"/>
      <c r="FT84" s="147"/>
      <c r="FU84" s="147"/>
      <c r="FV84" s="147"/>
      <c r="FW84" s="147"/>
      <c r="FX84" s="147"/>
      <c r="FY84" s="147"/>
      <c r="FZ84" s="147"/>
      <c r="GA84" s="147"/>
      <c r="GB84" s="147"/>
      <c r="GC84" s="147"/>
      <c r="GD84" s="147"/>
      <c r="GE84" s="147"/>
      <c r="GF84" s="147"/>
      <c r="GG84" s="147"/>
      <c r="GH84" s="147"/>
      <c r="GI84" s="147"/>
      <c r="GJ84" s="147"/>
      <c r="GK84" s="147"/>
      <c r="GL84" s="147"/>
      <c r="GM84" s="147"/>
      <c r="GN84" s="147"/>
      <c r="GO84" s="147"/>
      <c r="GP84" s="147"/>
      <c r="GQ84" s="147"/>
      <c r="GR84" s="147"/>
      <c r="GS84" s="147"/>
      <c r="GT84" s="147"/>
      <c r="GU84" s="147"/>
      <c r="GV84" s="147"/>
      <c r="GW84" s="147"/>
      <c r="GX84" s="147"/>
      <c r="GY84" s="147"/>
      <c r="GZ84" s="147"/>
      <c r="HA84" s="147"/>
      <c r="HB84" s="147"/>
      <c r="HC84" s="147"/>
      <c r="HD84" s="147"/>
      <c r="HE84" s="147"/>
      <c r="HF84" s="147"/>
      <c r="HG84" s="147"/>
      <c r="HH84" s="147"/>
      <c r="HI84" s="147"/>
      <c r="HJ84" s="147"/>
      <c r="HK84" s="147"/>
      <c r="HL84" s="147"/>
      <c r="HM84" s="147"/>
      <c r="HN84" s="147"/>
      <c r="HO84" s="147"/>
      <c r="HP84" s="147"/>
      <c r="HQ84" s="147"/>
      <c r="HR84" s="147"/>
      <c r="HS84" s="147"/>
      <c r="HT84" s="147"/>
      <c r="HU84" s="147"/>
      <c r="HV84" s="147"/>
      <c r="HW84" s="147"/>
      <c r="HX84" s="147"/>
      <c r="HY84" s="147"/>
      <c r="HZ84" s="147"/>
      <c r="IA84" s="147"/>
      <c r="IB84" s="147"/>
      <c r="IC84" s="147"/>
      <c r="ID84" s="147"/>
      <c r="IE84" s="147"/>
      <c r="IF84" s="147"/>
      <c r="IG84" s="147"/>
      <c r="IH84" s="147"/>
      <c r="II84" s="147"/>
      <c r="IJ84" s="147"/>
      <c r="IK84" s="147"/>
      <c r="IL84" s="147"/>
      <c r="IM84" s="147"/>
      <c r="IN84" s="147"/>
      <c r="IO84" s="147"/>
      <c r="IP84" s="147"/>
      <c r="IQ84" s="147"/>
      <c r="IR84" s="147"/>
      <c r="IS84" s="147"/>
      <c r="IT84" s="147"/>
      <c r="IU84" s="147"/>
      <c r="IV84" s="147"/>
      <c r="IW84" s="147"/>
      <c r="IX84" s="147"/>
      <c r="IY84" s="147"/>
      <c r="IZ84" s="147"/>
      <c r="JA84" s="147"/>
      <c r="JB84" s="147"/>
      <c r="JC84" s="147"/>
      <c r="JD84" s="147"/>
      <c r="JE84" s="147"/>
      <c r="JF84" s="147"/>
      <c r="JG84" s="147"/>
      <c r="JH84" s="147"/>
      <c r="JI84" s="147"/>
      <c r="JJ84" s="147"/>
      <c r="JK84" s="147"/>
      <c r="JL84" s="147"/>
      <c r="JM84" s="147"/>
      <c r="JN84" s="147"/>
      <c r="JO84" s="147"/>
      <c r="JP84" s="147"/>
      <c r="JQ84" s="147"/>
      <c r="JR84" s="147"/>
      <c r="JS84" s="147"/>
      <c r="JT84" s="147"/>
      <c r="JU84" s="147"/>
      <c r="JV84" s="147"/>
      <c r="JW84" s="147"/>
      <c r="JX84" s="147"/>
      <c r="JY84" s="147"/>
      <c r="JZ84" s="147"/>
      <c r="KA84" s="147"/>
      <c r="KB84" s="147"/>
      <c r="KC84" s="147"/>
      <c r="KD84" s="147"/>
      <c r="KE84" s="147"/>
      <c r="KF84" s="147"/>
      <c r="KG84" s="147"/>
      <c r="KH84" s="147"/>
      <c r="KI84" s="147"/>
      <c r="KJ84" s="147"/>
      <c r="KK84" s="147"/>
      <c r="KL84" s="147"/>
      <c r="KM84" s="147"/>
      <c r="KN84" s="147"/>
      <c r="KO84" s="147"/>
      <c r="KP84" s="920"/>
      <c r="KQ84" s="701" t="s">
        <v>388</v>
      </c>
    </row>
    <row r="85" spans="1:303" hidden="1" x14ac:dyDescent="0.45"/>
    <row r="86" spans="1:303" hidden="1" x14ac:dyDescent="0.45"/>
    <row r="87" spans="1:303" hidden="1" x14ac:dyDescent="0.45"/>
    <row r="88" spans="1:303" hidden="1" x14ac:dyDescent="0.45"/>
    <row r="89" spans="1:303" hidden="1" x14ac:dyDescent="0.45"/>
    <row r="90" spans="1:303" hidden="1" x14ac:dyDescent="0.45"/>
    <row r="91" spans="1:303" hidden="1" x14ac:dyDescent="0.45"/>
    <row r="92" spans="1:303" hidden="1" x14ac:dyDescent="0.45"/>
    <row r="93" spans="1:303" hidden="1" x14ac:dyDescent="0.45"/>
    <row r="94" spans="1:303" hidden="1" x14ac:dyDescent="0.45"/>
    <row r="95" spans="1:303" hidden="1" x14ac:dyDescent="0.45"/>
    <row r="96" spans="1:303"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qXHcgA1t4VX0L1gM0giXqkH21X/dh6BuQpBunr0W1JO4+PfhIFLf9FrJZbW7ZgVdxnwzPmIMZTI/FWe92e7BJg==" saltValue="uzWOOnVV1VhGjMNJffl3Gg==" spinCount="100000" sheet="1" objects="1" scenarios="1" selectLockedCells="1" selectUnlockedCells="1"/>
  <mergeCells count="58">
    <mergeCell ref="A80:A84"/>
    <mergeCell ref="A59:A63"/>
    <mergeCell ref="A70:A74"/>
    <mergeCell ref="A64:A68"/>
    <mergeCell ref="A50:A52"/>
    <mergeCell ref="A53:A55"/>
    <mergeCell ref="A56:A58"/>
    <mergeCell ref="A75:A79"/>
    <mergeCell ref="A69:B69"/>
    <mergeCell ref="A11:A13"/>
    <mergeCell ref="A32:A34"/>
    <mergeCell ref="A47:A49"/>
    <mergeCell ref="A35:A37"/>
    <mergeCell ref="A46:B46"/>
    <mergeCell ref="A38:A40"/>
    <mergeCell ref="A14:A16"/>
    <mergeCell ref="A18:A20"/>
    <mergeCell ref="A43:A45"/>
    <mergeCell ref="A41:B41"/>
    <mergeCell ref="A28:A31"/>
    <mergeCell ref="A42:B42"/>
    <mergeCell ref="A24:A27"/>
    <mergeCell ref="CY1:DH1"/>
    <mergeCell ref="DI1:DR1"/>
    <mergeCell ref="DS1:EB1"/>
    <mergeCell ref="CO1:CX1"/>
    <mergeCell ref="A1:B1"/>
    <mergeCell ref="M1:V1"/>
    <mergeCell ref="W1:AF1"/>
    <mergeCell ref="AQ1:AZ1"/>
    <mergeCell ref="A8:A10"/>
    <mergeCell ref="CE1:CN1"/>
    <mergeCell ref="AG1:AP1"/>
    <mergeCell ref="BA1:BJ1"/>
    <mergeCell ref="BK1:BT1"/>
    <mergeCell ref="BU1:CD1"/>
    <mergeCell ref="C1:L1"/>
    <mergeCell ref="A4:B4"/>
    <mergeCell ref="A2:B2"/>
    <mergeCell ref="A3:B3"/>
    <mergeCell ref="A5:A7"/>
    <mergeCell ref="EC1:EL1"/>
    <mergeCell ref="EM1:EV1"/>
    <mergeCell ref="EW1:FF1"/>
    <mergeCell ref="FG1:FP1"/>
    <mergeCell ref="FQ1:FZ1"/>
    <mergeCell ref="GA1:GJ1"/>
    <mergeCell ref="GK1:GT1"/>
    <mergeCell ref="GU1:HD1"/>
    <mergeCell ref="HE1:HN1"/>
    <mergeCell ref="HO1:HX1"/>
    <mergeCell ref="JW1:KF1"/>
    <mergeCell ref="KG1:KP1"/>
    <mergeCell ref="HY1:IH1"/>
    <mergeCell ref="II1:IR1"/>
    <mergeCell ref="IS1:JB1"/>
    <mergeCell ref="JC1:JL1"/>
    <mergeCell ref="JM1:JV1"/>
  </mergeCells>
  <dataValidations count="6">
    <dataValidation type="list" allowBlank="1" showInputMessage="1" showErrorMessage="1" sqref="C4:KP4" xr:uid="{00000000-0002-0000-0900-000000000000}">
      <formula1>sports_group</formula1>
    </dataValidation>
    <dataValidation type="list" allowBlank="1" showInputMessage="1" showErrorMessage="1" sqref="C5:KP7" xr:uid="{00000000-0002-0000-0900-000001000000}">
      <formula1>sports_name</formula1>
    </dataValidation>
    <dataValidation type="list" allowBlank="1" showInputMessage="1" showErrorMessage="1" sqref="C8:KP10" xr:uid="{00000000-0002-0000-0900-000002000000}">
      <formula1>elements_name</formula1>
    </dataValidation>
    <dataValidation type="list" allowBlank="1" showInputMessage="1" showErrorMessage="1" sqref="C14:KP16" xr:uid="{00000000-0002-0000-0900-000003000000}">
      <formula1>intervals_name</formula1>
    </dataValidation>
    <dataValidation allowBlank="1" showDropDown="1" showInputMessage="1" showErrorMessage="1" sqref="C38:KP43" xr:uid="{00000000-0002-0000-0900-000004000000}"/>
    <dataValidation type="list" allowBlank="1" showInputMessage="1" showErrorMessage="1" sqref="C17:KP17" xr:uid="{00000000-0002-0000-0900-000005000000}">
      <formula1>fuellings_name</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DropDown="1" showInputMessage="1" showErrorMessage="1" xr:uid="{00000000-0002-0000-0900-000006000000}">
          <x14:formula1>
            <xm:f>Intervals!$D:$D</xm:f>
          </x14:formula1>
          <xm:sqref>DH13:DR13 CY41:DD42 CY13:DD13 DH41:DR42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theme="7" tint="0.59999389629810485"/>
  </sheetPr>
  <dimension ref="B1:E2000"/>
  <sheetViews>
    <sheetView showGridLines="0" showRowColHeaders="0" topLeftCell="A2001" zoomScale="85" zoomScaleNormal="85" workbookViewId="0">
      <selection activeCell="C8" sqref="C8"/>
    </sheetView>
  </sheetViews>
  <sheetFormatPr defaultRowHeight="14.25" x14ac:dyDescent="0.45"/>
  <cols>
    <col min="1" max="1" width="1.3984375" customWidth="1"/>
    <col min="3" max="3" width="40.265625" style="449" customWidth="1"/>
    <col min="4" max="4" width="34.265625" style="449" bestFit="1" customWidth="1"/>
    <col min="5" max="5" width="7" style="1024" bestFit="1" customWidth="1"/>
  </cols>
  <sheetData>
    <row r="1" spans="2:5" ht="7.5" hidden="1" customHeight="1" thickBot="1" x14ac:dyDescent="0.5"/>
    <row r="2" spans="2:5" hidden="1" x14ac:dyDescent="0.45">
      <c r="B2" s="1122">
        <f t="array" ref="B2:B301">TRANSPOSE(sessions_index)</f>
        <v>0</v>
      </c>
      <c r="C2" s="1123" t="str">
        <f t="array" ref="C2:C301">IF(INDEX(sessions_category,1,reference_index+1)="","",
INDEX(sessions_category,1,reference_index+1))</f>
        <v>EASY and STEADY</v>
      </c>
      <c r="D2" s="1123" t="str">
        <f t="array" ref="D2:D301">IF(INDEX(sessions_name,1,reference_index+1)="","",
INDEX(sessions_name,1,reference_index+1))</f>
        <v>Rest</v>
      </c>
      <c r="E2" s="1124" t="str">
        <f t="array" ref="E2:E301">IF(INDEX(sessions_name,1,reference_index+1)="","",
CONCATENATE(IF(INDEX(sessions_duration_custom_primary,1,reference_index+1)+INDEX(sessions_duration_custom_secondary,1,reference_index+1)+INDEX(sessions_duration_custom_tertiary,1,reference_index+1)=0,"",
CONCATENATE(" (", INDEX(sessions_duration_custom_primary,1,reference_index+1), ",", INDEX(sessions_duration_custom_secondary,1,reference_index+1), ",", INDEX(sessions_duration_custom_tertiary,1,reference_index+1), ")"))))</f>
        <v/>
      </c>
    </row>
    <row r="3" spans="2:5" hidden="1" x14ac:dyDescent="0.45">
      <c r="B3" s="1125">
        <v>1</v>
      </c>
      <c r="C3" s="1126" t="str">
        <v/>
      </c>
      <c r="D3" s="1126" t="str">
        <v xml:space="preserve">Easy </v>
      </c>
      <c r="E3" s="1127" t="str">
        <v/>
      </c>
    </row>
    <row r="4" spans="2:5" hidden="1" x14ac:dyDescent="0.45">
      <c r="B4" s="1125">
        <v>2</v>
      </c>
      <c r="C4" s="1126" t="str">
        <v/>
      </c>
      <c r="D4" s="1126" t="str">
        <v>Easy</v>
      </c>
      <c r="E4" s="1127" t="str">
        <v/>
      </c>
    </row>
    <row r="5" spans="2:5" hidden="1" x14ac:dyDescent="0.45">
      <c r="B5" s="1125">
        <v>3</v>
      </c>
      <c r="C5" s="1126" t="str">
        <v/>
      </c>
      <c r="D5" s="1126" t="str">
        <v>Steady</v>
      </c>
      <c r="E5" s="1127" t="str">
        <v/>
      </c>
    </row>
    <row r="6" spans="2:5" hidden="1" x14ac:dyDescent="0.45">
      <c r="B6" s="1125">
        <v>4</v>
      </c>
      <c r="C6" s="1126" t="str">
        <v/>
      </c>
      <c r="D6" s="1126" t="str">
        <v>Long</v>
      </c>
      <c r="E6" s="1127" t="str">
        <v/>
      </c>
    </row>
    <row r="7" spans="2:5" hidden="1" x14ac:dyDescent="0.45">
      <c r="B7" s="1125">
        <v>5</v>
      </c>
      <c r="C7" s="1126" t="str">
        <v/>
      </c>
      <c r="D7" s="1126" t="str">
        <v>Easy</v>
      </c>
      <c r="E7" s="1127" t="str">
        <v xml:space="preserve"> (20,,)</v>
      </c>
    </row>
    <row r="8" spans="2:5" hidden="1" x14ac:dyDescent="0.45">
      <c r="B8" s="1125">
        <v>6</v>
      </c>
      <c r="C8" s="1126" t="str">
        <v/>
      </c>
      <c r="D8" s="1126" t="str">
        <v>Easy</v>
      </c>
      <c r="E8" s="1127" t="str">
        <v xml:space="preserve"> (30,,)</v>
      </c>
    </row>
    <row r="9" spans="2:5" hidden="1" x14ac:dyDescent="0.45">
      <c r="B9" s="1125">
        <v>7</v>
      </c>
      <c r="C9" s="1126" t="str">
        <v/>
      </c>
      <c r="D9" s="1126" t="str">
        <v>Easy</v>
      </c>
      <c r="E9" s="1127" t="str">
        <v/>
      </c>
    </row>
    <row r="10" spans="2:5" hidden="1" x14ac:dyDescent="0.45">
      <c r="B10" s="1125">
        <v>8</v>
      </c>
      <c r="C10" s="1126" t="str">
        <v/>
      </c>
      <c r="D10" s="1126" t="str">
        <v>Easy + Strides</v>
      </c>
      <c r="E10" s="1127" t="str">
        <v xml:space="preserve"> (20,5,)</v>
      </c>
    </row>
    <row r="11" spans="2:5" hidden="1" x14ac:dyDescent="0.45">
      <c r="B11" s="1128">
        <v>9</v>
      </c>
      <c r="C11" s="1129" t="str">
        <v/>
      </c>
      <c r="D11" s="1129" t="str">
        <v>Easy + Strides</v>
      </c>
      <c r="E11" s="1130" t="str">
        <v xml:space="preserve"> (30,5,)</v>
      </c>
    </row>
    <row r="12" spans="2:5" hidden="1" x14ac:dyDescent="0.45">
      <c r="B12" s="1134">
        <v>10</v>
      </c>
      <c r="C12" s="1135" t="str">
        <v>EASY and STEADY with Custom Durations</v>
      </c>
      <c r="D12" s="1135" t="str">
        <v>Easy</v>
      </c>
      <c r="E12" s="1136" t="str">
        <v xml:space="preserve"> (40,,)</v>
      </c>
    </row>
    <row r="13" spans="2:5" hidden="1" x14ac:dyDescent="0.45">
      <c r="B13" s="1125">
        <v>11</v>
      </c>
      <c r="C13" s="1126" t="str">
        <v/>
      </c>
      <c r="D13" s="1126" t="str">
        <v>Easy</v>
      </c>
      <c r="E13" s="1127" t="str">
        <v xml:space="preserve"> (60,,)</v>
      </c>
    </row>
    <row r="14" spans="2:5" hidden="1" x14ac:dyDescent="0.45">
      <c r="B14" s="1125">
        <v>12</v>
      </c>
      <c r="C14" s="1126" t="str">
        <v/>
      </c>
      <c r="D14" s="1126" t="str">
        <v>Easy</v>
      </c>
      <c r="E14" s="1127" t="str">
        <v xml:space="preserve"> (120,,)</v>
      </c>
    </row>
    <row r="15" spans="2:5" hidden="1" x14ac:dyDescent="0.45">
      <c r="B15" s="1125">
        <v>13</v>
      </c>
      <c r="C15" s="1126" t="str">
        <v/>
      </c>
      <c r="D15" s="1126" t="str">
        <v>Easy</v>
      </c>
      <c r="E15" s="1127" t="str">
        <v xml:space="preserve"> (180,,)</v>
      </c>
    </row>
    <row r="16" spans="2:5" hidden="1" x14ac:dyDescent="0.45">
      <c r="B16" s="1125">
        <v>14</v>
      </c>
      <c r="C16" s="1126" t="str">
        <v/>
      </c>
      <c r="D16" s="1126" t="str">
        <v>Easy</v>
      </c>
      <c r="E16" s="1127" t="str">
        <v xml:space="preserve"> (240,,)</v>
      </c>
    </row>
    <row r="17" spans="2:5" hidden="1" x14ac:dyDescent="0.45">
      <c r="B17" s="1125">
        <v>15</v>
      </c>
      <c r="C17" s="1126" t="str">
        <v/>
      </c>
      <c r="D17" s="1126" t="str">
        <v>Steady</v>
      </c>
      <c r="E17" s="1127" t="str">
        <v xml:space="preserve"> (40,,)</v>
      </c>
    </row>
    <row r="18" spans="2:5" hidden="1" x14ac:dyDescent="0.45">
      <c r="B18" s="1125">
        <v>16</v>
      </c>
      <c r="C18" s="1126" t="str">
        <v/>
      </c>
      <c r="D18" s="1126" t="str">
        <v>Steady</v>
      </c>
      <c r="E18" s="1127" t="str">
        <v xml:space="preserve"> (60,,)</v>
      </c>
    </row>
    <row r="19" spans="2:5" hidden="1" x14ac:dyDescent="0.45">
      <c r="B19" s="1125">
        <v>17</v>
      </c>
      <c r="C19" s="1126" t="str">
        <v/>
      </c>
      <c r="D19" s="1126" t="str">
        <v>Long</v>
      </c>
      <c r="E19" s="1127" t="str">
        <v xml:space="preserve"> (120,,)</v>
      </c>
    </row>
    <row r="20" spans="2:5" hidden="1" x14ac:dyDescent="0.45">
      <c r="B20" s="1125">
        <v>18</v>
      </c>
      <c r="C20" s="1126" t="str">
        <v/>
      </c>
      <c r="D20" s="1126" t="str">
        <v>Long</v>
      </c>
      <c r="E20" s="1127" t="str">
        <v xml:space="preserve"> (180,,)</v>
      </c>
    </row>
    <row r="21" spans="2:5" hidden="1" x14ac:dyDescent="0.45">
      <c r="B21" s="1128">
        <v>19</v>
      </c>
      <c r="C21" s="1129" t="str">
        <v/>
      </c>
      <c r="D21" s="1129" t="str">
        <v>Long</v>
      </c>
      <c r="E21" s="1130" t="str">
        <v xml:space="preserve"> (240,,)</v>
      </c>
    </row>
    <row r="22" spans="2:5" hidden="1" x14ac:dyDescent="0.45">
      <c r="B22" s="1137">
        <v>20</v>
      </c>
      <c r="C22" s="1138" t="str">
        <v>SUBTHRESHOLD and TEMPO</v>
      </c>
      <c r="D22" s="1138" t="str">
        <v>Subthreshold</v>
      </c>
      <c r="E22" s="1139" t="str">
        <v/>
      </c>
    </row>
    <row r="23" spans="2:5" hidden="1" x14ac:dyDescent="0.45">
      <c r="B23" s="1140">
        <v>21</v>
      </c>
      <c r="C23" s="1141" t="str">
        <v/>
      </c>
      <c r="D23" s="1141" t="str">
        <v>Tempo</v>
      </c>
      <c r="E23" s="1142" t="str">
        <v/>
      </c>
    </row>
    <row r="24" spans="2:5" hidden="1" x14ac:dyDescent="0.45">
      <c r="B24" s="1140">
        <v>22</v>
      </c>
      <c r="C24" s="1141" t="str">
        <v/>
      </c>
      <c r="D24" s="1141" t="str">
        <v>Split Tempo</v>
      </c>
      <c r="E24" s="1142" t="str">
        <v/>
      </c>
    </row>
    <row r="25" spans="2:5" hidden="1" x14ac:dyDescent="0.45">
      <c r="B25" s="1140">
        <v>23</v>
      </c>
      <c r="C25" s="1141" t="str">
        <v/>
      </c>
      <c r="D25" s="1141" t="str">
        <v>Hill Tempo</v>
      </c>
      <c r="E25" s="1142" t="str">
        <v/>
      </c>
    </row>
    <row r="26" spans="2:5" hidden="1" x14ac:dyDescent="0.45">
      <c r="B26" s="1140">
        <v>24</v>
      </c>
      <c r="C26" s="1141" t="str">
        <v/>
      </c>
      <c r="D26" s="1141" t="str">
        <v>Split Hill Tempo</v>
      </c>
      <c r="E26" s="1142" t="str">
        <v/>
      </c>
    </row>
    <row r="27" spans="2:5" hidden="1" x14ac:dyDescent="0.45">
      <c r="B27" s="1140">
        <v>25</v>
      </c>
      <c r="C27" s="1141" t="str">
        <v/>
      </c>
      <c r="D27" s="1141" t="str">
        <v>Subthreshold, Extended WD</v>
      </c>
      <c r="E27" s="1142" t="str">
        <v/>
      </c>
    </row>
    <row r="28" spans="2:5" hidden="1" x14ac:dyDescent="0.45">
      <c r="B28" s="1140">
        <v>26</v>
      </c>
      <c r="C28" s="1141" t="str">
        <v/>
      </c>
      <c r="D28" s="1141" t="str">
        <v>Flat Tempo, Extended WD</v>
      </c>
      <c r="E28" s="1142" t="str">
        <v/>
      </c>
    </row>
    <row r="29" spans="2:5" hidden="1" x14ac:dyDescent="0.45">
      <c r="B29" s="1140">
        <v>27</v>
      </c>
      <c r="C29" s="1141" t="str">
        <v/>
      </c>
      <c r="D29" s="1141" t="str">
        <v>Split Tempo, Extended WD</v>
      </c>
      <c r="E29" s="1142" t="str">
        <v/>
      </c>
    </row>
    <row r="30" spans="2:5" hidden="1" x14ac:dyDescent="0.45">
      <c r="B30" s="1140">
        <v>28</v>
      </c>
      <c r="C30" s="1141" t="str">
        <v/>
      </c>
      <c r="D30" s="1141" t="str">
        <v>Hill Tempo, Extended WD</v>
      </c>
      <c r="E30" s="1142" t="str">
        <v/>
      </c>
    </row>
    <row r="31" spans="2:5" hidden="1" x14ac:dyDescent="0.45">
      <c r="B31" s="1143">
        <v>29</v>
      </c>
      <c r="C31" s="1144" t="str">
        <v/>
      </c>
      <c r="D31" s="1144" t="str">
        <v>Split Hill Tempo, Extended WD</v>
      </c>
      <c r="E31" s="1145" t="str">
        <v/>
      </c>
    </row>
    <row r="32" spans="2:5" hidden="1" x14ac:dyDescent="0.45">
      <c r="B32" s="1082">
        <v>30</v>
      </c>
      <c r="C32" s="1083" t="str">
        <v>FARTLEK</v>
      </c>
      <c r="D32" s="1083" t="str">
        <v>Full Sweep Fartlek</v>
      </c>
      <c r="E32" s="1084" t="str">
        <v/>
      </c>
    </row>
    <row r="33" spans="2:5" hidden="1" x14ac:dyDescent="0.45">
      <c r="B33" s="1085">
        <v>31</v>
      </c>
      <c r="C33" s="1086" t="str">
        <v/>
      </c>
      <c r="D33" s="1086" t="str">
        <v>Uphill-Downhill Fartlek</v>
      </c>
      <c r="E33" s="1087" t="str">
        <v/>
      </c>
    </row>
    <row r="34" spans="2:5" hidden="1" x14ac:dyDescent="0.45">
      <c r="B34" s="1085">
        <v>32</v>
      </c>
      <c r="C34" s="1086" t="str">
        <v/>
      </c>
      <c r="D34" s="1086" t="str">
        <v>Randomiser Fartlek</v>
      </c>
      <c r="E34" s="1087" t="str">
        <v/>
      </c>
    </row>
    <row r="35" spans="2:5" hidden="1" x14ac:dyDescent="0.45">
      <c r="B35" s="1085">
        <v>33</v>
      </c>
      <c r="C35" s="1086" t="str">
        <v/>
      </c>
      <c r="D35" s="1086" t="str">
        <v xml:space="preserve">Unstructured Fartlek </v>
      </c>
      <c r="E35" s="1087" t="str">
        <v/>
      </c>
    </row>
    <row r="36" spans="2:5" hidden="1" x14ac:dyDescent="0.45">
      <c r="B36" s="1085">
        <v>34</v>
      </c>
      <c r="C36" s="1086" t="str">
        <v/>
      </c>
      <c r="D36" s="1086" t="str">
        <v/>
      </c>
      <c r="E36" s="1087" t="str">
        <v/>
      </c>
    </row>
    <row r="37" spans="2:5" hidden="1" x14ac:dyDescent="0.45">
      <c r="B37" s="1085">
        <v>35</v>
      </c>
      <c r="C37" s="1086" t="str">
        <v/>
      </c>
      <c r="D37" s="1086" t="str">
        <v/>
      </c>
      <c r="E37" s="1087" t="str">
        <v/>
      </c>
    </row>
    <row r="38" spans="2:5" hidden="1" x14ac:dyDescent="0.45">
      <c r="B38" s="1085">
        <v>36</v>
      </c>
      <c r="C38" s="1086" t="str">
        <v/>
      </c>
      <c r="D38" s="1086" t="str">
        <v/>
      </c>
      <c r="E38" s="1087" t="str">
        <v/>
      </c>
    </row>
    <row r="39" spans="2:5" hidden="1" x14ac:dyDescent="0.45">
      <c r="B39" s="1085">
        <v>37</v>
      </c>
      <c r="C39" s="1086" t="str">
        <v/>
      </c>
      <c r="D39" s="1086" t="str">
        <v/>
      </c>
      <c r="E39" s="1087" t="str">
        <v/>
      </c>
    </row>
    <row r="40" spans="2:5" hidden="1" x14ac:dyDescent="0.45">
      <c r="B40" s="1085">
        <v>38</v>
      </c>
      <c r="C40" s="1086" t="str">
        <v/>
      </c>
      <c r="D40" s="1086" t="str">
        <v/>
      </c>
      <c r="E40" s="1087" t="str">
        <v/>
      </c>
    </row>
    <row r="41" spans="2:5" hidden="1" x14ac:dyDescent="0.45">
      <c r="B41" s="1088">
        <v>39</v>
      </c>
      <c r="C41" s="1089" t="str">
        <v/>
      </c>
      <c r="D41" s="1089" t="str">
        <v/>
      </c>
      <c r="E41" s="1090" t="str">
        <v/>
      </c>
    </row>
    <row r="42" spans="2:5" hidden="1" x14ac:dyDescent="0.45">
      <c r="B42" s="1091">
        <v>40</v>
      </c>
      <c r="C42" s="1092" t="str">
        <v>INTERVALS</v>
      </c>
      <c r="D42" s="1092" t="str">
        <v>Intervals: Moneghetti</v>
      </c>
      <c r="E42" s="1093" t="str">
        <v/>
      </c>
    </row>
    <row r="43" spans="2:5" hidden="1" x14ac:dyDescent="0.45">
      <c r="B43" s="1094">
        <v>41</v>
      </c>
      <c r="C43" s="1095" t="str">
        <v/>
      </c>
      <c r="D43" s="1095" t="str">
        <v>Intervals: 500m w/ 1min</v>
      </c>
      <c r="E43" s="1096" t="str">
        <v/>
      </c>
    </row>
    <row r="44" spans="2:5" hidden="1" x14ac:dyDescent="0.45">
      <c r="B44" s="1094">
        <v>42</v>
      </c>
      <c r="C44" s="1095" t="str">
        <v/>
      </c>
      <c r="D44" s="1095" t="str">
        <v>Intervals: 500m w/ 30sec</v>
      </c>
      <c r="E44" s="1096" t="str">
        <v/>
      </c>
    </row>
    <row r="45" spans="2:5" hidden="1" x14ac:dyDescent="0.45">
      <c r="B45" s="1094">
        <v>43</v>
      </c>
      <c r="C45" s="1095" t="str">
        <v/>
      </c>
      <c r="D45" s="1095" t="str">
        <v>Intervals: 1km w/ 2min</v>
      </c>
      <c r="E45" s="1096" t="str">
        <v/>
      </c>
    </row>
    <row r="46" spans="2:5" hidden="1" x14ac:dyDescent="0.45">
      <c r="B46" s="1094">
        <v>44</v>
      </c>
      <c r="C46" s="1095" t="str">
        <v/>
      </c>
      <c r="D46" s="1095" t="str">
        <v>Intervals: 1km w/ 1min</v>
      </c>
      <c r="E46" s="1096" t="str">
        <v/>
      </c>
    </row>
    <row r="47" spans="2:5" hidden="1" x14ac:dyDescent="0.45">
      <c r="B47" s="1094">
        <v>45</v>
      </c>
      <c r="C47" s="1095" t="str">
        <v/>
      </c>
      <c r="D47" s="1095" t="str">
        <v>Intervals: 1500m w/ 3min</v>
      </c>
      <c r="E47" s="1096" t="str">
        <v/>
      </c>
    </row>
    <row r="48" spans="2:5" hidden="1" x14ac:dyDescent="0.45">
      <c r="B48" s="1094">
        <v>46</v>
      </c>
      <c r="C48" s="1095" t="str">
        <v/>
      </c>
      <c r="D48" s="1095" t="str">
        <v>Intervals: 1500m w/ 90sec</v>
      </c>
      <c r="E48" s="1096" t="str">
        <v/>
      </c>
    </row>
    <row r="49" spans="2:5" hidden="1" x14ac:dyDescent="0.45">
      <c r="B49" s="1094">
        <v>47</v>
      </c>
      <c r="C49" s="1095" t="str">
        <v/>
      </c>
      <c r="D49" s="1095" t="str">
        <v>Intervals: 2km w/ 3mins</v>
      </c>
      <c r="E49" s="1096" t="str">
        <v/>
      </c>
    </row>
    <row r="50" spans="2:5" hidden="1" x14ac:dyDescent="0.45">
      <c r="B50" s="1094">
        <v>48</v>
      </c>
      <c r="C50" s="1095" t="str">
        <v/>
      </c>
      <c r="D50" s="1095" t="str">
        <v>Intervals: 2km w/ 90sec</v>
      </c>
      <c r="E50" s="1096" t="str">
        <v/>
      </c>
    </row>
    <row r="51" spans="2:5" hidden="1" x14ac:dyDescent="0.45">
      <c r="B51" s="1097">
        <v>49</v>
      </c>
      <c r="C51" s="1098" t="str">
        <v/>
      </c>
      <c r="D51" s="1098" t="str">
        <v>Intervals: 1-2-1 w/ 2mins</v>
      </c>
      <c r="E51" s="1099" t="str">
        <v/>
      </c>
    </row>
    <row r="52" spans="2:5" hidden="1" x14ac:dyDescent="0.45">
      <c r="B52" s="1091">
        <v>50</v>
      </c>
      <c r="C52" s="1092" t="str">
        <v>INTERVALS</v>
      </c>
      <c r="D52" s="1092" t="str">
        <v>Intervals: Pyramid</v>
      </c>
      <c r="E52" s="1093" t="str">
        <v/>
      </c>
    </row>
    <row r="53" spans="2:5" hidden="1" x14ac:dyDescent="0.45">
      <c r="B53" s="1094">
        <v>51</v>
      </c>
      <c r="C53" s="1095" t="str">
        <v/>
      </c>
      <c r="D53" s="1095" t="str">
        <v>Intervals: TrackO2 Max</v>
      </c>
      <c r="E53" s="1096" t="str">
        <v/>
      </c>
    </row>
    <row r="54" spans="2:5" hidden="1" x14ac:dyDescent="0.45">
      <c r="B54" s="1094">
        <v>52</v>
      </c>
      <c r="C54" s="1095" t="str">
        <v/>
      </c>
      <c r="D54" s="1095" t="str">
        <v/>
      </c>
      <c r="E54" s="1096" t="str">
        <v/>
      </c>
    </row>
    <row r="55" spans="2:5" hidden="1" x14ac:dyDescent="0.45">
      <c r="B55" s="1094">
        <v>53</v>
      </c>
      <c r="C55" s="1095" t="str">
        <v/>
      </c>
      <c r="D55" s="1095" t="str">
        <v/>
      </c>
      <c r="E55" s="1096" t="str">
        <v/>
      </c>
    </row>
    <row r="56" spans="2:5" hidden="1" x14ac:dyDescent="0.45">
      <c r="B56" s="1094">
        <v>54</v>
      </c>
      <c r="C56" s="1095" t="str">
        <v/>
      </c>
      <c r="D56" s="1095" t="str">
        <v/>
      </c>
      <c r="E56" s="1096" t="str">
        <v/>
      </c>
    </row>
    <row r="57" spans="2:5" hidden="1" x14ac:dyDescent="0.45">
      <c r="B57" s="1094">
        <v>55</v>
      </c>
      <c r="C57" s="1095" t="str">
        <v/>
      </c>
      <c r="D57" s="1095" t="str">
        <v/>
      </c>
      <c r="E57" s="1096" t="str">
        <v/>
      </c>
    </row>
    <row r="58" spans="2:5" hidden="1" x14ac:dyDescent="0.45">
      <c r="B58" s="1094">
        <v>56</v>
      </c>
      <c r="C58" s="1095" t="str">
        <v/>
      </c>
      <c r="D58" s="1095" t="str">
        <v/>
      </c>
      <c r="E58" s="1096" t="str">
        <v/>
      </c>
    </row>
    <row r="59" spans="2:5" hidden="1" x14ac:dyDescent="0.45">
      <c r="B59" s="1094">
        <v>57</v>
      </c>
      <c r="C59" s="1095" t="str">
        <v/>
      </c>
      <c r="D59" s="1095" t="str">
        <v/>
      </c>
      <c r="E59" s="1096" t="str">
        <v/>
      </c>
    </row>
    <row r="60" spans="2:5" hidden="1" x14ac:dyDescent="0.45">
      <c r="B60" s="1094">
        <v>58</v>
      </c>
      <c r="C60" s="1095" t="str">
        <v/>
      </c>
      <c r="D60" s="1095" t="str">
        <v/>
      </c>
      <c r="E60" s="1096" t="str">
        <v/>
      </c>
    </row>
    <row r="61" spans="2:5" hidden="1" x14ac:dyDescent="0.45">
      <c r="B61" s="1097">
        <v>59</v>
      </c>
      <c r="C61" s="1098" t="str">
        <v/>
      </c>
      <c r="D61" s="1098" t="str">
        <v/>
      </c>
      <c r="E61" s="1099" t="str">
        <v/>
      </c>
    </row>
    <row r="62" spans="2:5" hidden="1" x14ac:dyDescent="0.45">
      <c r="B62" s="1100">
        <v>60</v>
      </c>
      <c r="C62" s="1101" t="str">
        <v>REPS</v>
      </c>
      <c r="D62" s="1101" t="str">
        <v>Reps: Ladder 800</v>
      </c>
      <c r="E62" s="1102" t="str">
        <v/>
      </c>
    </row>
    <row r="63" spans="2:5" hidden="1" x14ac:dyDescent="0.45">
      <c r="B63" s="1103">
        <v>61</v>
      </c>
      <c r="C63" s="1104" t="str">
        <v/>
      </c>
      <c r="D63" s="1104" t="str">
        <v>Intensive Hill Reps</v>
      </c>
      <c r="E63" s="1105" t="str">
        <v/>
      </c>
    </row>
    <row r="64" spans="2:5" hidden="1" x14ac:dyDescent="0.45">
      <c r="B64" s="1103">
        <v>62</v>
      </c>
      <c r="C64" s="1104" t="str">
        <v/>
      </c>
      <c r="D64" s="1104" t="str">
        <v>Extensive Hill Reps</v>
      </c>
      <c r="E64" s="1105" t="str">
        <v/>
      </c>
    </row>
    <row r="65" spans="2:5" hidden="1" x14ac:dyDescent="0.45">
      <c r="B65" s="1103">
        <v>63</v>
      </c>
      <c r="C65" s="1104" t="str">
        <v/>
      </c>
      <c r="D65" s="1104" t="str">
        <v>Hill Reps Progression</v>
      </c>
      <c r="E65" s="1105" t="str">
        <v/>
      </c>
    </row>
    <row r="66" spans="2:5" hidden="1" x14ac:dyDescent="0.45">
      <c r="B66" s="1103">
        <v>64</v>
      </c>
      <c r="C66" s="1104" t="str">
        <v/>
      </c>
      <c r="D66" s="1104" t="str">
        <v>Intensive Sprint Reps</v>
      </c>
      <c r="E66" s="1105" t="str">
        <v/>
      </c>
    </row>
    <row r="67" spans="2:5" hidden="1" x14ac:dyDescent="0.45">
      <c r="B67" s="1103">
        <v>65</v>
      </c>
      <c r="C67" s="1104" t="str">
        <v/>
      </c>
      <c r="D67" s="1104" t="str">
        <v>Extensive Sprints Reps</v>
      </c>
      <c r="E67" s="1105" t="str">
        <v/>
      </c>
    </row>
    <row r="68" spans="2:5" hidden="1" x14ac:dyDescent="0.45">
      <c r="B68" s="1103">
        <v>66</v>
      </c>
      <c r="C68" s="1104" t="str">
        <v/>
      </c>
      <c r="D68" s="1104" t="str">
        <v>Lactic Sprint Reps</v>
      </c>
      <c r="E68" s="1105" t="str">
        <v/>
      </c>
    </row>
    <row r="69" spans="2:5" hidden="1" x14ac:dyDescent="0.45">
      <c r="B69" s="1103">
        <v>67</v>
      </c>
      <c r="C69" s="1104" t="str">
        <v/>
      </c>
      <c r="D69" s="1104" t="str">
        <v>Sprint Reps Progression</v>
      </c>
      <c r="E69" s="1105" t="str">
        <v/>
      </c>
    </row>
    <row r="70" spans="2:5" hidden="1" x14ac:dyDescent="0.45">
      <c r="B70" s="1103">
        <v>68</v>
      </c>
      <c r="C70" s="1104" t="str">
        <v/>
      </c>
      <c r="D70" s="1104" t="str">
        <v>Reps: Tabata</v>
      </c>
      <c r="E70" s="1105" t="str">
        <v/>
      </c>
    </row>
    <row r="71" spans="2:5" hidden="1" x14ac:dyDescent="0.45">
      <c r="B71" s="1106">
        <v>69</v>
      </c>
      <c r="C71" s="1107" t="str">
        <v/>
      </c>
      <c r="D71" s="1107" t="str">
        <v/>
      </c>
      <c r="E71" s="1108" t="str">
        <v/>
      </c>
    </row>
    <row r="72" spans="2:5" hidden="1" x14ac:dyDescent="0.45">
      <c r="B72" s="1180">
        <v>70</v>
      </c>
      <c r="C72" s="1181" t="str">
        <v>DRILLS and STRENGTH, MAINTENANCE</v>
      </c>
      <c r="D72" s="1181" t="str">
        <v>Drills</v>
      </c>
      <c r="E72" s="1182" t="str">
        <v/>
      </c>
    </row>
    <row r="73" spans="2:5" hidden="1" x14ac:dyDescent="0.45">
      <c r="B73" s="1183">
        <v>71</v>
      </c>
      <c r="C73" s="1184" t="str">
        <v/>
      </c>
      <c r="D73" s="1184" t="str">
        <v>Drills</v>
      </c>
      <c r="E73" s="1185" t="str">
        <v xml:space="preserve"> (,5,)</v>
      </c>
    </row>
    <row r="74" spans="2:5" hidden="1" x14ac:dyDescent="0.45">
      <c r="B74" s="1183">
        <v>72</v>
      </c>
      <c r="C74" s="1184" t="str">
        <v/>
      </c>
      <c r="D74" s="1184" t="str">
        <v>Drills and Reps</v>
      </c>
      <c r="E74" s="1185" t="str">
        <v/>
      </c>
    </row>
    <row r="75" spans="2:5" hidden="1" x14ac:dyDescent="0.45">
      <c r="B75" s="1183">
        <v>73</v>
      </c>
      <c r="C75" s="1184" t="str">
        <v/>
      </c>
      <c r="D75" s="1184" t="str">
        <v>Drills</v>
      </c>
      <c r="E75" s="1185" t="str">
        <v/>
      </c>
    </row>
    <row r="76" spans="2:5" hidden="1" x14ac:dyDescent="0.45">
      <c r="B76" s="1183">
        <v>74</v>
      </c>
      <c r="C76" s="1184" t="str">
        <v/>
      </c>
      <c r="D76" s="1184" t="str">
        <v>Drills and Reps</v>
      </c>
      <c r="E76" s="1185" t="str">
        <v/>
      </c>
    </row>
    <row r="77" spans="2:5" hidden="1" x14ac:dyDescent="0.45">
      <c r="B77" s="1183">
        <v>75</v>
      </c>
      <c r="C77" s="1184" t="str">
        <v/>
      </c>
      <c r="D77" s="1184" t="str">
        <v>Maintenance</v>
      </c>
      <c r="E77" s="1185" t="str">
        <v/>
      </c>
    </row>
    <row r="78" spans="2:5" hidden="1" x14ac:dyDescent="0.45">
      <c r="B78" s="1183">
        <v>76</v>
      </c>
      <c r="C78" s="1184" t="str">
        <v/>
      </c>
      <c r="D78" s="1184" t="str">
        <v>Strength and Maintenance</v>
      </c>
      <c r="E78" s="1185" t="str">
        <v/>
      </c>
    </row>
    <row r="79" spans="2:5" hidden="1" x14ac:dyDescent="0.45">
      <c r="B79" s="1183">
        <v>77</v>
      </c>
      <c r="C79" s="1184" t="str">
        <v/>
      </c>
      <c r="D79" s="1184" t="str">
        <v>Cruise, Stength and Maintenance</v>
      </c>
      <c r="E79" s="1185" t="str">
        <v xml:space="preserve"> (20,,)</v>
      </c>
    </row>
    <row r="80" spans="2:5" hidden="1" x14ac:dyDescent="0.45">
      <c r="B80" s="1183">
        <v>78</v>
      </c>
      <c r="C80" s="1184" t="str">
        <v/>
      </c>
      <c r="D80" s="1184" t="str">
        <v>Strength and Conditioning</v>
      </c>
      <c r="E80" s="1185" t="str">
        <v/>
      </c>
    </row>
    <row r="81" spans="2:5" hidden="1" x14ac:dyDescent="0.45">
      <c r="B81" s="1186">
        <v>79</v>
      </c>
      <c r="C81" s="1187" t="str">
        <v/>
      </c>
      <c r="D81" s="1187" t="str">
        <v>Strength</v>
      </c>
      <c r="E81" s="1188" t="str">
        <v/>
      </c>
    </row>
    <row r="82" spans="2:5" hidden="1" x14ac:dyDescent="0.45">
      <c r="B82" s="1113">
        <v>80</v>
      </c>
      <c r="C82" s="1114" t="str">
        <v>RACE</v>
      </c>
      <c r="D82" s="1114" t="str">
        <v>Race: 10 minutes</v>
      </c>
      <c r="E82" s="1115" t="str">
        <v xml:space="preserve"> (10,,)</v>
      </c>
    </row>
    <row r="83" spans="2:5" hidden="1" x14ac:dyDescent="0.45">
      <c r="B83" s="1116">
        <v>81</v>
      </c>
      <c r="C83" s="1117" t="str">
        <v/>
      </c>
      <c r="D83" s="1117" t="str">
        <v>Race: 15 minutes</v>
      </c>
      <c r="E83" s="1118" t="str">
        <v xml:space="preserve"> (15,,)</v>
      </c>
    </row>
    <row r="84" spans="2:5" hidden="1" x14ac:dyDescent="0.45">
      <c r="B84" s="1116">
        <v>82</v>
      </c>
      <c r="C84" s="1117" t="str">
        <v/>
      </c>
      <c r="D84" s="1117" t="str">
        <v>Race: 30 minutes</v>
      </c>
      <c r="E84" s="1118" t="str">
        <v xml:space="preserve"> (30,,)</v>
      </c>
    </row>
    <row r="85" spans="2:5" hidden="1" x14ac:dyDescent="0.45">
      <c r="B85" s="1116">
        <v>83</v>
      </c>
      <c r="C85" s="1117" t="str">
        <v/>
      </c>
      <c r="D85" s="1117" t="str">
        <v>Race: 45 minutes</v>
      </c>
      <c r="E85" s="1118" t="str">
        <v xml:space="preserve"> (45,,)</v>
      </c>
    </row>
    <row r="86" spans="2:5" hidden="1" x14ac:dyDescent="0.45">
      <c r="B86" s="1116">
        <v>84</v>
      </c>
      <c r="C86" s="1117" t="str">
        <v/>
      </c>
      <c r="D86" s="1117" t="str">
        <v>Race: 60 minutes</v>
      </c>
      <c r="E86" s="1118" t="str">
        <v xml:space="preserve"> (60,,)</v>
      </c>
    </row>
    <row r="87" spans="2:5" hidden="1" x14ac:dyDescent="0.45">
      <c r="B87" s="1116">
        <v>85</v>
      </c>
      <c r="C87" s="1117" t="str">
        <v/>
      </c>
      <c r="D87" s="1117" t="str">
        <v>Race: 75 minutes</v>
      </c>
      <c r="E87" s="1118" t="str">
        <v xml:space="preserve"> (75,,)</v>
      </c>
    </row>
    <row r="88" spans="2:5" hidden="1" x14ac:dyDescent="0.45">
      <c r="B88" s="1116">
        <v>86</v>
      </c>
      <c r="C88" s="1117" t="str">
        <v/>
      </c>
      <c r="D88" s="1117" t="str">
        <v>Race: 90 minutes</v>
      </c>
      <c r="E88" s="1118" t="str">
        <v xml:space="preserve"> (90,,)</v>
      </c>
    </row>
    <row r="89" spans="2:5" hidden="1" x14ac:dyDescent="0.45">
      <c r="B89" s="1116">
        <v>87</v>
      </c>
      <c r="C89" s="1117" t="str">
        <v/>
      </c>
      <c r="D89" s="1117" t="str">
        <v>Race: 105 minutes</v>
      </c>
      <c r="E89" s="1118" t="str">
        <v xml:space="preserve"> (105,,)</v>
      </c>
    </row>
    <row r="90" spans="2:5" hidden="1" x14ac:dyDescent="0.45">
      <c r="B90" s="1116">
        <v>88</v>
      </c>
      <c r="C90" s="1117" t="str">
        <v/>
      </c>
      <c r="D90" s="1117" t="str">
        <v>Race: 2 hours</v>
      </c>
      <c r="E90" s="1118" t="str">
        <v xml:space="preserve"> (120,,)</v>
      </c>
    </row>
    <row r="91" spans="2:5" hidden="1" x14ac:dyDescent="0.45">
      <c r="B91" s="1165">
        <v>89</v>
      </c>
      <c r="C91" s="1168" t="str">
        <v/>
      </c>
      <c r="D91" s="1168" t="str">
        <v>Race: 2.5 hours</v>
      </c>
      <c r="E91" s="1167" t="str">
        <v xml:space="preserve"> (150,,)</v>
      </c>
    </row>
    <row r="92" spans="2:5" hidden="1" x14ac:dyDescent="0.45">
      <c r="B92" s="1116">
        <v>90</v>
      </c>
      <c r="C92" s="1117" t="str">
        <v>RACE</v>
      </c>
      <c r="D92" s="1117" t="str">
        <v>Race: 3 hours</v>
      </c>
      <c r="E92" s="1118" t="str">
        <v xml:space="preserve"> (180,,)</v>
      </c>
    </row>
    <row r="93" spans="2:5" hidden="1" x14ac:dyDescent="0.45">
      <c r="B93" s="1116">
        <v>91</v>
      </c>
      <c r="C93" s="1117" t="str">
        <v/>
      </c>
      <c r="D93" s="1117" t="str">
        <v>Race: 3.5 hours</v>
      </c>
      <c r="E93" s="1118" t="str">
        <v xml:space="preserve"> (210,,)</v>
      </c>
    </row>
    <row r="94" spans="2:5" hidden="1" x14ac:dyDescent="0.45">
      <c r="B94" s="1116">
        <v>92</v>
      </c>
      <c r="C94" s="1117" t="str">
        <v/>
      </c>
      <c r="D94" s="1117" t="str">
        <v>Race: 4 hours</v>
      </c>
      <c r="E94" s="1118" t="str">
        <v xml:space="preserve"> (240,,)</v>
      </c>
    </row>
    <row r="95" spans="2:5" hidden="1" x14ac:dyDescent="0.45">
      <c r="B95" s="1116">
        <v>93</v>
      </c>
      <c r="C95" s="1117" t="str">
        <v/>
      </c>
      <c r="D95" s="1117" t="str">
        <v>Race: 5 hours</v>
      </c>
      <c r="E95" s="1118" t="str">
        <v xml:space="preserve"> (300,,)</v>
      </c>
    </row>
    <row r="96" spans="2:5" hidden="1" x14ac:dyDescent="0.45">
      <c r="B96" s="1116">
        <v>94</v>
      </c>
      <c r="C96" s="1117" t="str">
        <v/>
      </c>
      <c r="D96" s="1117" t="str">
        <v>Race: 6 hours</v>
      </c>
      <c r="E96" s="1118" t="str">
        <v xml:space="preserve"> (360,,)</v>
      </c>
    </row>
    <row r="97" spans="2:5" hidden="1" x14ac:dyDescent="0.45">
      <c r="B97" s="1116">
        <v>95</v>
      </c>
      <c r="C97" s="1117" t="str">
        <v/>
      </c>
      <c r="D97" s="1117" t="str">
        <v>Race: 7 hours</v>
      </c>
      <c r="E97" s="1118" t="str">
        <v xml:space="preserve"> (420,,)</v>
      </c>
    </row>
    <row r="98" spans="2:5" hidden="1" x14ac:dyDescent="0.45">
      <c r="B98" s="1116">
        <v>96</v>
      </c>
      <c r="C98" s="1117" t="str">
        <v/>
      </c>
      <c r="D98" s="1117" t="str">
        <v>Race: 8 hours</v>
      </c>
      <c r="E98" s="1118" t="str">
        <v xml:space="preserve"> (480,,)</v>
      </c>
    </row>
    <row r="99" spans="2:5" hidden="1" x14ac:dyDescent="0.45">
      <c r="B99" s="1116">
        <v>97</v>
      </c>
      <c r="C99" s="1117" t="str">
        <v/>
      </c>
      <c r="D99" s="1117" t="str">
        <v>Race: 9 hours</v>
      </c>
      <c r="E99" s="1118" t="str">
        <v xml:space="preserve"> (540,,)</v>
      </c>
    </row>
    <row r="100" spans="2:5" hidden="1" x14ac:dyDescent="0.45">
      <c r="B100" s="1116">
        <v>98</v>
      </c>
      <c r="C100" s="1117" t="str">
        <v/>
      </c>
      <c r="D100" s="1117" t="str">
        <v>Race: 10 hours</v>
      </c>
      <c r="E100" s="1118" t="str">
        <v xml:space="preserve"> (600,,)</v>
      </c>
    </row>
    <row r="101" spans="2:5" ht="14.65" hidden="1" thickBot="1" x14ac:dyDescent="0.5">
      <c r="B101" s="1158">
        <v>99</v>
      </c>
      <c r="C101" s="1159" t="str">
        <v/>
      </c>
      <c r="D101" s="1159" t="str">
        <v>Race: 12 hours</v>
      </c>
      <c r="E101" s="1160" t="str">
        <v xml:space="preserve"> (600,,)</v>
      </c>
    </row>
    <row r="102" spans="2:5" hidden="1" x14ac:dyDescent="0.45">
      <c r="B102" s="1122">
        <v>100</v>
      </c>
      <c r="C102" s="1131" t="str">
        <v>EASY and STEADY</v>
      </c>
      <c r="D102" s="1131" t="str">
        <v>Rest</v>
      </c>
      <c r="E102" s="1124" t="str">
        <v/>
      </c>
    </row>
    <row r="103" spans="2:5" hidden="1" x14ac:dyDescent="0.45">
      <c r="B103" s="1125">
        <v>101</v>
      </c>
      <c r="C103" s="1132" t="str">
        <v/>
      </c>
      <c r="D103" s="1132" t="str">
        <v xml:space="preserve">Easy </v>
      </c>
      <c r="E103" s="1127" t="str">
        <v/>
      </c>
    </row>
    <row r="104" spans="2:5" hidden="1" x14ac:dyDescent="0.45">
      <c r="B104" s="1125">
        <v>102</v>
      </c>
      <c r="C104" s="1132" t="str">
        <v/>
      </c>
      <c r="D104" s="1132" t="str">
        <v>Easy</v>
      </c>
      <c r="E104" s="1127" t="str">
        <v/>
      </c>
    </row>
    <row r="105" spans="2:5" hidden="1" x14ac:dyDescent="0.45">
      <c r="B105" s="1125">
        <v>103</v>
      </c>
      <c r="C105" s="1132" t="str">
        <v/>
      </c>
      <c r="D105" s="1132" t="str">
        <v>Steady</v>
      </c>
      <c r="E105" s="1127" t="str">
        <v/>
      </c>
    </row>
    <row r="106" spans="2:5" hidden="1" x14ac:dyDescent="0.45">
      <c r="B106" s="1125">
        <v>104</v>
      </c>
      <c r="C106" s="1132" t="str">
        <v/>
      </c>
      <c r="D106" s="1132" t="str">
        <v>Long</v>
      </c>
      <c r="E106" s="1127" t="str">
        <v/>
      </c>
    </row>
    <row r="107" spans="2:5" hidden="1" x14ac:dyDescent="0.45">
      <c r="B107" s="1125">
        <v>105</v>
      </c>
      <c r="C107" s="1132" t="str">
        <v/>
      </c>
      <c r="D107" s="1132" t="str">
        <v xml:space="preserve">Easy </v>
      </c>
      <c r="E107" s="1127" t="str">
        <v xml:space="preserve"> (20,,)</v>
      </c>
    </row>
    <row r="108" spans="2:5" hidden="1" x14ac:dyDescent="0.45">
      <c r="B108" s="1125">
        <v>106</v>
      </c>
      <c r="C108" s="1132" t="str">
        <v/>
      </c>
      <c r="D108" s="1132" t="str">
        <v xml:space="preserve">Easy </v>
      </c>
      <c r="E108" s="1127" t="str">
        <v xml:space="preserve"> (30,,)</v>
      </c>
    </row>
    <row r="109" spans="2:5" hidden="1" x14ac:dyDescent="0.45">
      <c r="B109" s="1125">
        <v>107</v>
      </c>
      <c r="C109" s="1132" t="str">
        <v/>
      </c>
      <c r="D109" s="1132" t="str">
        <v>Easy</v>
      </c>
      <c r="E109" s="1127" t="str">
        <v/>
      </c>
    </row>
    <row r="110" spans="2:5" hidden="1" x14ac:dyDescent="0.45">
      <c r="B110" s="1125">
        <v>108</v>
      </c>
      <c r="C110" s="1132" t="str">
        <v/>
      </c>
      <c r="D110" s="1132" t="str">
        <v>Easy</v>
      </c>
      <c r="E110" s="1127" t="str">
        <v xml:space="preserve"> (20,,)</v>
      </c>
    </row>
    <row r="111" spans="2:5" hidden="1" x14ac:dyDescent="0.45">
      <c r="B111" s="1128">
        <v>109</v>
      </c>
      <c r="C111" s="1133" t="str">
        <v/>
      </c>
      <c r="D111" s="1133" t="str">
        <v>Easy</v>
      </c>
      <c r="E111" s="1130" t="str">
        <v xml:space="preserve"> (30,,)</v>
      </c>
    </row>
    <row r="112" spans="2:5" hidden="1" x14ac:dyDescent="0.45">
      <c r="B112" s="1125">
        <v>110</v>
      </c>
      <c r="C112" s="1132" t="str">
        <v>EASY and STEADY with Custom Durations</v>
      </c>
      <c r="D112" s="1132" t="str">
        <v>Easy</v>
      </c>
      <c r="E112" s="1127" t="str">
        <v xml:space="preserve"> (40,,)</v>
      </c>
    </row>
    <row r="113" spans="2:5" hidden="1" x14ac:dyDescent="0.45">
      <c r="B113" s="1125">
        <v>111</v>
      </c>
      <c r="C113" s="1132" t="str">
        <v/>
      </c>
      <c r="D113" s="1132" t="str">
        <v>Easy</v>
      </c>
      <c r="E113" s="1127" t="str">
        <v xml:space="preserve"> (60,,)</v>
      </c>
    </row>
    <row r="114" spans="2:5" hidden="1" x14ac:dyDescent="0.45">
      <c r="B114" s="1125">
        <v>112</v>
      </c>
      <c r="C114" s="1132" t="str">
        <v/>
      </c>
      <c r="D114" s="1132" t="str">
        <v>Easy</v>
      </c>
      <c r="E114" s="1127" t="str">
        <v xml:space="preserve"> (120,,)</v>
      </c>
    </row>
    <row r="115" spans="2:5" hidden="1" x14ac:dyDescent="0.45">
      <c r="B115" s="1125">
        <v>113</v>
      </c>
      <c r="C115" s="1132" t="str">
        <v/>
      </c>
      <c r="D115" s="1132" t="str">
        <v>Easy</v>
      </c>
      <c r="E115" s="1127" t="str">
        <v xml:space="preserve"> (180,,)</v>
      </c>
    </row>
    <row r="116" spans="2:5" hidden="1" x14ac:dyDescent="0.45">
      <c r="B116" s="1125">
        <v>114</v>
      </c>
      <c r="C116" s="1132" t="str">
        <v/>
      </c>
      <c r="D116" s="1132" t="str">
        <v>Easy</v>
      </c>
      <c r="E116" s="1127" t="str">
        <v xml:space="preserve"> (240,,)</v>
      </c>
    </row>
    <row r="117" spans="2:5" hidden="1" x14ac:dyDescent="0.45">
      <c r="B117" s="1125">
        <v>115</v>
      </c>
      <c r="C117" s="1132" t="str">
        <v/>
      </c>
      <c r="D117" s="1132" t="str">
        <v>Steady</v>
      </c>
      <c r="E117" s="1127" t="str">
        <v xml:space="preserve"> (40,,)</v>
      </c>
    </row>
    <row r="118" spans="2:5" hidden="1" x14ac:dyDescent="0.45">
      <c r="B118" s="1125">
        <v>116</v>
      </c>
      <c r="C118" s="1132" t="str">
        <v/>
      </c>
      <c r="D118" s="1132" t="str">
        <v>Steady</v>
      </c>
      <c r="E118" s="1127" t="str">
        <v xml:space="preserve"> (60,,)</v>
      </c>
    </row>
    <row r="119" spans="2:5" hidden="1" x14ac:dyDescent="0.45">
      <c r="B119" s="1125">
        <v>117</v>
      </c>
      <c r="C119" s="1132" t="str">
        <v/>
      </c>
      <c r="D119" s="1132" t="str">
        <v>Long</v>
      </c>
      <c r="E119" s="1127" t="str">
        <v xml:space="preserve"> (120,,)</v>
      </c>
    </row>
    <row r="120" spans="2:5" hidden="1" x14ac:dyDescent="0.45">
      <c r="B120" s="1125">
        <v>118</v>
      </c>
      <c r="C120" s="1132" t="str">
        <v/>
      </c>
      <c r="D120" s="1132" t="str">
        <v>Long</v>
      </c>
      <c r="E120" s="1127" t="str">
        <v xml:space="preserve"> (180,,)</v>
      </c>
    </row>
    <row r="121" spans="2:5" hidden="1" x14ac:dyDescent="0.45">
      <c r="B121" s="1128">
        <v>119</v>
      </c>
      <c r="C121" s="1133" t="str">
        <v/>
      </c>
      <c r="D121" s="1133" t="str">
        <v>Long</v>
      </c>
      <c r="E121" s="1130" t="str">
        <v xml:space="preserve"> (240,,)</v>
      </c>
    </row>
    <row r="122" spans="2:5" hidden="1" x14ac:dyDescent="0.45">
      <c r="B122" s="1140">
        <v>120</v>
      </c>
      <c r="C122" s="1146" t="str">
        <v>SUBTHRESHOLD and TEMPO</v>
      </c>
      <c r="D122" s="1146" t="str">
        <v>Subthreshold</v>
      </c>
      <c r="E122" s="1142" t="str">
        <v/>
      </c>
    </row>
    <row r="123" spans="2:5" hidden="1" x14ac:dyDescent="0.45">
      <c r="B123" s="1140">
        <v>121</v>
      </c>
      <c r="C123" s="1146" t="str">
        <v/>
      </c>
      <c r="D123" s="1146" t="str">
        <v>Flat Tempo</v>
      </c>
      <c r="E123" s="1142" t="str">
        <v/>
      </c>
    </row>
    <row r="124" spans="2:5" hidden="1" x14ac:dyDescent="0.45">
      <c r="B124" s="1140">
        <v>122</v>
      </c>
      <c r="C124" s="1146" t="str">
        <v/>
      </c>
      <c r="D124" s="1146" t="str">
        <v>Split Flat Tempo</v>
      </c>
      <c r="E124" s="1142" t="str">
        <v/>
      </c>
    </row>
    <row r="125" spans="2:5" hidden="1" x14ac:dyDescent="0.45">
      <c r="B125" s="1140">
        <v>123</v>
      </c>
      <c r="C125" s="1146" t="str">
        <v/>
      </c>
      <c r="D125" s="1146" t="str">
        <v>Hill Tempo</v>
      </c>
      <c r="E125" s="1142" t="str">
        <v/>
      </c>
    </row>
    <row r="126" spans="2:5" hidden="1" x14ac:dyDescent="0.45">
      <c r="B126" s="1140">
        <v>124</v>
      </c>
      <c r="C126" s="1146" t="str">
        <v/>
      </c>
      <c r="D126" s="1146" t="str">
        <v>Split Hill Tempo</v>
      </c>
      <c r="E126" s="1142" t="str">
        <v/>
      </c>
    </row>
    <row r="127" spans="2:5" hidden="1" x14ac:dyDescent="0.45">
      <c r="B127" s="1140">
        <v>125</v>
      </c>
      <c r="C127" s="1146" t="str">
        <v/>
      </c>
      <c r="D127" s="1146" t="str">
        <v>Subthreshold, Extended WD</v>
      </c>
      <c r="E127" s="1142" t="str">
        <v/>
      </c>
    </row>
    <row r="128" spans="2:5" hidden="1" x14ac:dyDescent="0.45">
      <c r="B128" s="1140">
        <v>126</v>
      </c>
      <c r="C128" s="1146" t="str">
        <v/>
      </c>
      <c r="D128" s="1146" t="str">
        <v>Flat Tempo, Extended WD</v>
      </c>
      <c r="E128" s="1142" t="str">
        <v/>
      </c>
    </row>
    <row r="129" spans="2:5" hidden="1" x14ac:dyDescent="0.45">
      <c r="B129" s="1140">
        <v>127</v>
      </c>
      <c r="C129" s="1146" t="str">
        <v/>
      </c>
      <c r="D129" s="1146" t="str">
        <v>Split Tempo, Extended WD</v>
      </c>
      <c r="E129" s="1142" t="str">
        <v/>
      </c>
    </row>
    <row r="130" spans="2:5" hidden="1" x14ac:dyDescent="0.45">
      <c r="B130" s="1140">
        <v>128</v>
      </c>
      <c r="C130" s="1146" t="str">
        <v/>
      </c>
      <c r="D130" s="1146" t="str">
        <v>Hill Tempo, Extended WD</v>
      </c>
      <c r="E130" s="1142" t="str">
        <v/>
      </c>
    </row>
    <row r="131" spans="2:5" hidden="1" x14ac:dyDescent="0.45">
      <c r="B131" s="1143">
        <v>129</v>
      </c>
      <c r="C131" s="1147" t="str">
        <v/>
      </c>
      <c r="D131" s="1147" t="str">
        <v>Split Hill Tempo, Extended WD</v>
      </c>
      <c r="E131" s="1145" t="str">
        <v/>
      </c>
    </row>
    <row r="132" spans="2:5" hidden="1" x14ac:dyDescent="0.45">
      <c r="B132" s="1085">
        <v>130</v>
      </c>
      <c r="C132" s="1148" t="str">
        <v>FARTLEK</v>
      </c>
      <c r="D132" s="1148" t="str">
        <v>Full Sweep Fartlek</v>
      </c>
      <c r="E132" s="1087" t="str">
        <v/>
      </c>
    </row>
    <row r="133" spans="2:5" hidden="1" x14ac:dyDescent="0.45">
      <c r="B133" s="1085">
        <v>131</v>
      </c>
      <c r="C133" s="1148" t="str">
        <v/>
      </c>
      <c r="D133" s="1148" t="str">
        <v>Uphill-Downhill Fartlek</v>
      </c>
      <c r="E133" s="1087" t="str">
        <v/>
      </c>
    </row>
    <row r="134" spans="2:5" hidden="1" x14ac:dyDescent="0.45">
      <c r="B134" s="1085">
        <v>132</v>
      </c>
      <c r="C134" s="1148" t="str">
        <v/>
      </c>
      <c r="D134" s="1148" t="str">
        <v>Randomiser Fartlek</v>
      </c>
      <c r="E134" s="1087" t="str">
        <v/>
      </c>
    </row>
    <row r="135" spans="2:5" hidden="1" x14ac:dyDescent="0.45">
      <c r="B135" s="1085">
        <v>133</v>
      </c>
      <c r="C135" s="1148" t="str">
        <v/>
      </c>
      <c r="D135" s="1148" t="str">
        <v xml:space="preserve">Unstructured Fartlek </v>
      </c>
      <c r="E135" s="1087" t="str">
        <v/>
      </c>
    </row>
    <row r="136" spans="2:5" hidden="1" x14ac:dyDescent="0.45">
      <c r="B136" s="1085">
        <v>134</v>
      </c>
      <c r="C136" s="1148" t="str">
        <v/>
      </c>
      <c r="D136" s="1148" t="str">
        <v/>
      </c>
      <c r="E136" s="1087" t="str">
        <v/>
      </c>
    </row>
    <row r="137" spans="2:5" hidden="1" x14ac:dyDescent="0.45">
      <c r="B137" s="1085">
        <v>135</v>
      </c>
      <c r="C137" s="1148" t="str">
        <v/>
      </c>
      <c r="D137" s="1148" t="str">
        <v/>
      </c>
      <c r="E137" s="1087" t="str">
        <v/>
      </c>
    </row>
    <row r="138" spans="2:5" hidden="1" x14ac:dyDescent="0.45">
      <c r="B138" s="1085">
        <v>136</v>
      </c>
      <c r="C138" s="1148" t="str">
        <v/>
      </c>
      <c r="D138" s="1148" t="str">
        <v/>
      </c>
      <c r="E138" s="1087" t="str">
        <v/>
      </c>
    </row>
    <row r="139" spans="2:5" hidden="1" x14ac:dyDescent="0.45">
      <c r="B139" s="1085">
        <v>137</v>
      </c>
      <c r="C139" s="1148" t="str">
        <v/>
      </c>
      <c r="D139" s="1148" t="str">
        <v/>
      </c>
      <c r="E139" s="1087" t="str">
        <v/>
      </c>
    </row>
    <row r="140" spans="2:5" hidden="1" x14ac:dyDescent="0.45">
      <c r="B140" s="1085">
        <v>138</v>
      </c>
      <c r="C140" s="1148" t="str">
        <v/>
      </c>
      <c r="D140" s="1148" t="str">
        <v/>
      </c>
      <c r="E140" s="1087" t="str">
        <v/>
      </c>
    </row>
    <row r="141" spans="2:5" hidden="1" x14ac:dyDescent="0.45">
      <c r="B141" s="1088">
        <v>139</v>
      </c>
      <c r="C141" s="1149" t="str">
        <v/>
      </c>
      <c r="D141" s="1149" t="str">
        <v/>
      </c>
      <c r="E141" s="1090" t="str">
        <v/>
      </c>
    </row>
    <row r="142" spans="2:5" hidden="1" x14ac:dyDescent="0.45">
      <c r="B142" s="1094">
        <v>140</v>
      </c>
      <c r="C142" s="1150" t="str">
        <v>INTERVALS</v>
      </c>
      <c r="D142" s="1150" t="str">
        <v/>
      </c>
      <c r="E142" s="1096" t="str">
        <v/>
      </c>
    </row>
    <row r="143" spans="2:5" hidden="1" x14ac:dyDescent="0.45">
      <c r="B143" s="1094">
        <v>141</v>
      </c>
      <c r="C143" s="1150" t="str">
        <v/>
      </c>
      <c r="D143" s="1150" t="str">
        <v/>
      </c>
      <c r="E143" s="1096" t="str">
        <v/>
      </c>
    </row>
    <row r="144" spans="2:5" hidden="1" x14ac:dyDescent="0.45">
      <c r="B144" s="1094">
        <v>142</v>
      </c>
      <c r="C144" s="1150" t="str">
        <v/>
      </c>
      <c r="D144" s="1150" t="str">
        <v/>
      </c>
      <c r="E144" s="1096" t="str">
        <v/>
      </c>
    </row>
    <row r="145" spans="2:5" hidden="1" x14ac:dyDescent="0.45">
      <c r="B145" s="1094">
        <v>143</v>
      </c>
      <c r="C145" s="1150" t="str">
        <v/>
      </c>
      <c r="D145" s="1150" t="str">
        <v/>
      </c>
      <c r="E145" s="1096" t="str">
        <v/>
      </c>
    </row>
    <row r="146" spans="2:5" hidden="1" x14ac:dyDescent="0.45">
      <c r="B146" s="1094">
        <v>144</v>
      </c>
      <c r="C146" s="1150" t="str">
        <v/>
      </c>
      <c r="D146" s="1150" t="str">
        <v/>
      </c>
      <c r="E146" s="1096" t="str">
        <v/>
      </c>
    </row>
    <row r="147" spans="2:5" hidden="1" x14ac:dyDescent="0.45">
      <c r="B147" s="1094">
        <v>145</v>
      </c>
      <c r="C147" s="1150" t="str">
        <v/>
      </c>
      <c r="D147" s="1150" t="str">
        <v/>
      </c>
      <c r="E147" s="1096" t="str">
        <v/>
      </c>
    </row>
    <row r="148" spans="2:5" hidden="1" x14ac:dyDescent="0.45">
      <c r="B148" s="1094">
        <v>146</v>
      </c>
      <c r="C148" s="1150" t="str">
        <v/>
      </c>
      <c r="D148" s="1150" t="str">
        <v/>
      </c>
      <c r="E148" s="1096" t="str">
        <v/>
      </c>
    </row>
    <row r="149" spans="2:5" hidden="1" x14ac:dyDescent="0.45">
      <c r="B149" s="1094">
        <v>147</v>
      </c>
      <c r="C149" s="1150" t="str">
        <v/>
      </c>
      <c r="D149" s="1150" t="str">
        <v/>
      </c>
      <c r="E149" s="1096" t="str">
        <v/>
      </c>
    </row>
    <row r="150" spans="2:5" hidden="1" x14ac:dyDescent="0.45">
      <c r="B150" s="1094">
        <v>148</v>
      </c>
      <c r="C150" s="1150" t="str">
        <v/>
      </c>
      <c r="D150" s="1150" t="str">
        <v/>
      </c>
      <c r="E150" s="1096" t="str">
        <v/>
      </c>
    </row>
    <row r="151" spans="2:5" hidden="1" x14ac:dyDescent="0.45">
      <c r="B151" s="1097">
        <v>149</v>
      </c>
      <c r="C151" s="1151" t="str">
        <v/>
      </c>
      <c r="D151" s="1151" t="str">
        <v/>
      </c>
      <c r="E151" s="1099" t="str">
        <v/>
      </c>
    </row>
    <row r="152" spans="2:5" hidden="1" x14ac:dyDescent="0.45">
      <c r="B152" s="1094">
        <v>150</v>
      </c>
      <c r="C152" s="1150" t="str">
        <v>INTERVALS</v>
      </c>
      <c r="D152" s="1150" t="str">
        <v/>
      </c>
      <c r="E152" s="1096" t="str">
        <v/>
      </c>
    </row>
    <row r="153" spans="2:5" hidden="1" x14ac:dyDescent="0.45">
      <c r="B153" s="1094">
        <v>151</v>
      </c>
      <c r="C153" s="1150" t="str">
        <v/>
      </c>
      <c r="D153" s="1150" t="str">
        <v/>
      </c>
      <c r="E153" s="1096" t="str">
        <v/>
      </c>
    </row>
    <row r="154" spans="2:5" hidden="1" x14ac:dyDescent="0.45">
      <c r="B154" s="1094">
        <v>152</v>
      </c>
      <c r="C154" s="1150" t="str">
        <v/>
      </c>
      <c r="D154" s="1150" t="str">
        <v/>
      </c>
      <c r="E154" s="1096" t="str">
        <v/>
      </c>
    </row>
    <row r="155" spans="2:5" hidden="1" x14ac:dyDescent="0.45">
      <c r="B155" s="1094">
        <v>153</v>
      </c>
      <c r="C155" s="1150" t="str">
        <v/>
      </c>
      <c r="D155" s="1150" t="str">
        <v/>
      </c>
      <c r="E155" s="1096" t="str">
        <v/>
      </c>
    </row>
    <row r="156" spans="2:5" hidden="1" x14ac:dyDescent="0.45">
      <c r="B156" s="1094">
        <v>154</v>
      </c>
      <c r="C156" s="1150" t="str">
        <v/>
      </c>
      <c r="D156" s="1150" t="str">
        <v/>
      </c>
      <c r="E156" s="1096" t="str">
        <v/>
      </c>
    </row>
    <row r="157" spans="2:5" hidden="1" x14ac:dyDescent="0.45">
      <c r="B157" s="1094">
        <v>155</v>
      </c>
      <c r="C157" s="1150" t="str">
        <v/>
      </c>
      <c r="D157" s="1150" t="str">
        <v/>
      </c>
      <c r="E157" s="1096" t="str">
        <v/>
      </c>
    </row>
    <row r="158" spans="2:5" hidden="1" x14ac:dyDescent="0.45">
      <c r="B158" s="1094">
        <v>156</v>
      </c>
      <c r="C158" s="1150" t="str">
        <v/>
      </c>
      <c r="D158" s="1150" t="str">
        <v/>
      </c>
      <c r="E158" s="1096" t="str">
        <v/>
      </c>
    </row>
    <row r="159" spans="2:5" hidden="1" x14ac:dyDescent="0.45">
      <c r="B159" s="1094">
        <v>157</v>
      </c>
      <c r="C159" s="1150" t="str">
        <v/>
      </c>
      <c r="D159" s="1150" t="str">
        <v/>
      </c>
      <c r="E159" s="1096" t="str">
        <v/>
      </c>
    </row>
    <row r="160" spans="2:5" hidden="1" x14ac:dyDescent="0.45">
      <c r="B160" s="1094">
        <v>158</v>
      </c>
      <c r="C160" s="1150" t="str">
        <v/>
      </c>
      <c r="D160" s="1150" t="str">
        <v/>
      </c>
      <c r="E160" s="1096" t="str">
        <v/>
      </c>
    </row>
    <row r="161" spans="2:5" hidden="1" x14ac:dyDescent="0.45">
      <c r="B161" s="1097">
        <v>159</v>
      </c>
      <c r="C161" s="1151" t="str">
        <v/>
      </c>
      <c r="D161" s="1151" t="str">
        <v/>
      </c>
      <c r="E161" s="1099" t="str">
        <v/>
      </c>
    </row>
    <row r="162" spans="2:5" hidden="1" x14ac:dyDescent="0.45">
      <c r="B162" s="1103">
        <v>160</v>
      </c>
      <c r="C162" s="1152" t="str">
        <v>REPS</v>
      </c>
      <c r="D162" s="1152" t="str">
        <v>Intensive Sprint Reps</v>
      </c>
      <c r="E162" s="1105" t="str">
        <v/>
      </c>
    </row>
    <row r="163" spans="2:5" hidden="1" x14ac:dyDescent="0.45">
      <c r="B163" s="1103">
        <v>161</v>
      </c>
      <c r="C163" s="1152" t="str">
        <v/>
      </c>
      <c r="D163" s="1152" t="str">
        <v>Extensive Sprint Reps</v>
      </c>
      <c r="E163" s="1105" t="str">
        <v/>
      </c>
    </row>
    <row r="164" spans="2:5" hidden="1" x14ac:dyDescent="0.45">
      <c r="B164" s="1103">
        <v>162</v>
      </c>
      <c r="C164" s="1152" t="str">
        <v/>
      </c>
      <c r="D164" s="1152" t="str">
        <v>Lactic Sprint Reps</v>
      </c>
      <c r="E164" s="1105" t="str">
        <v/>
      </c>
    </row>
    <row r="165" spans="2:5" hidden="1" x14ac:dyDescent="0.45">
      <c r="B165" s="1103">
        <v>163</v>
      </c>
      <c r="C165" s="1152" t="str">
        <v/>
      </c>
      <c r="D165" s="1152" t="str">
        <v>Sprint Reps Progression</v>
      </c>
      <c r="E165" s="1105" t="str">
        <v/>
      </c>
    </row>
    <row r="166" spans="2:5" hidden="1" x14ac:dyDescent="0.45">
      <c r="B166" s="1103">
        <v>164</v>
      </c>
      <c r="C166" s="1152" t="str">
        <v/>
      </c>
      <c r="D166" s="1152" t="str">
        <v>Intensive Hill Reps</v>
      </c>
      <c r="E166" s="1105" t="str">
        <v/>
      </c>
    </row>
    <row r="167" spans="2:5" hidden="1" x14ac:dyDescent="0.45">
      <c r="B167" s="1103">
        <v>165</v>
      </c>
      <c r="C167" s="1152" t="str">
        <v/>
      </c>
      <c r="D167" s="1152" t="str">
        <v>Extensive Hill Reps</v>
      </c>
      <c r="E167" s="1105" t="str">
        <v/>
      </c>
    </row>
    <row r="168" spans="2:5" hidden="1" x14ac:dyDescent="0.45">
      <c r="B168" s="1103">
        <v>166</v>
      </c>
      <c r="C168" s="1152" t="str">
        <v/>
      </c>
      <c r="D168" s="1152" t="str">
        <v>Lactic Hill Reps</v>
      </c>
      <c r="E168" s="1105" t="str">
        <v/>
      </c>
    </row>
    <row r="169" spans="2:5" hidden="1" x14ac:dyDescent="0.45">
      <c r="B169" s="1103">
        <v>167</v>
      </c>
      <c r="C169" s="1152" t="str">
        <v/>
      </c>
      <c r="D169" s="1152" t="str">
        <v>Hill Reps Progression + 30 Minutes</v>
      </c>
      <c r="E169" s="1105" t="str">
        <v xml:space="preserve"> (,30,)</v>
      </c>
    </row>
    <row r="170" spans="2:5" hidden="1" x14ac:dyDescent="0.45">
      <c r="B170" s="1103">
        <v>168</v>
      </c>
      <c r="C170" s="1152" t="str">
        <v/>
      </c>
      <c r="D170" s="1152" t="str">
        <v>Reps: Ladder 800</v>
      </c>
      <c r="E170" s="1105" t="str">
        <v/>
      </c>
    </row>
    <row r="171" spans="2:5" hidden="1" x14ac:dyDescent="0.45">
      <c r="B171" s="1106">
        <v>169</v>
      </c>
      <c r="C171" s="1153" t="str">
        <v/>
      </c>
      <c r="D171" s="1153" t="str">
        <v>Tabata</v>
      </c>
      <c r="E171" s="1108" t="str">
        <v/>
      </c>
    </row>
    <row r="172" spans="2:5" hidden="1" x14ac:dyDescent="0.45">
      <c r="B172" s="1109">
        <v>170</v>
      </c>
      <c r="C172" s="1154" t="str">
        <v>DRILLS and STRENGTH, Maintenance</v>
      </c>
      <c r="D172" s="1154" t="str">
        <v/>
      </c>
      <c r="E172" s="1110" t="str">
        <v/>
      </c>
    </row>
    <row r="173" spans="2:5" hidden="1" x14ac:dyDescent="0.45">
      <c r="B173" s="1109">
        <v>171</v>
      </c>
      <c r="C173" s="1154" t="str">
        <v/>
      </c>
      <c r="D173" s="1154" t="str">
        <v/>
      </c>
      <c r="E173" s="1110" t="str">
        <v/>
      </c>
    </row>
    <row r="174" spans="2:5" hidden="1" x14ac:dyDescent="0.45">
      <c r="B174" s="1109">
        <v>172</v>
      </c>
      <c r="C174" s="1154" t="str">
        <v/>
      </c>
      <c r="D174" s="1154" t="str">
        <v/>
      </c>
      <c r="E174" s="1110" t="str">
        <v/>
      </c>
    </row>
    <row r="175" spans="2:5" hidden="1" x14ac:dyDescent="0.45">
      <c r="B175" s="1109">
        <v>173</v>
      </c>
      <c r="C175" s="1154" t="str">
        <v/>
      </c>
      <c r="D175" s="1154" t="str">
        <v/>
      </c>
      <c r="E175" s="1110" t="str">
        <v/>
      </c>
    </row>
    <row r="176" spans="2:5" hidden="1" x14ac:dyDescent="0.45">
      <c r="B176" s="1109">
        <v>174</v>
      </c>
      <c r="C176" s="1154" t="str">
        <v/>
      </c>
      <c r="D176" s="1154" t="str">
        <v/>
      </c>
      <c r="E176" s="1110" t="str">
        <v/>
      </c>
    </row>
    <row r="177" spans="2:5" hidden="1" x14ac:dyDescent="0.45">
      <c r="B177" s="1109">
        <v>175</v>
      </c>
      <c r="C177" s="1154" t="str">
        <v/>
      </c>
      <c r="D177" s="1154" t="str">
        <v/>
      </c>
      <c r="E177" s="1110" t="str">
        <v/>
      </c>
    </row>
    <row r="178" spans="2:5" hidden="1" x14ac:dyDescent="0.45">
      <c r="B178" s="1109">
        <v>176</v>
      </c>
      <c r="C178" s="1154" t="str">
        <v/>
      </c>
      <c r="D178" s="1154" t="str">
        <v/>
      </c>
      <c r="E178" s="1110" t="str">
        <v/>
      </c>
    </row>
    <row r="179" spans="2:5" hidden="1" x14ac:dyDescent="0.45">
      <c r="B179" s="1109">
        <v>177</v>
      </c>
      <c r="C179" s="1154" t="str">
        <v/>
      </c>
      <c r="D179" s="1154" t="str">
        <v/>
      </c>
      <c r="E179" s="1110" t="str">
        <v/>
      </c>
    </row>
    <row r="180" spans="2:5" hidden="1" x14ac:dyDescent="0.45">
      <c r="B180" s="1109">
        <v>178</v>
      </c>
      <c r="C180" s="1154" t="str">
        <v/>
      </c>
      <c r="D180" s="1154" t="str">
        <v/>
      </c>
      <c r="E180" s="1110" t="str">
        <v/>
      </c>
    </row>
    <row r="181" spans="2:5" hidden="1" x14ac:dyDescent="0.45">
      <c r="B181" s="1111">
        <v>179</v>
      </c>
      <c r="C181" s="1155" t="str">
        <v/>
      </c>
      <c r="D181" s="1155" t="str">
        <v/>
      </c>
      <c r="E181" s="1112" t="str">
        <v/>
      </c>
    </row>
    <row r="182" spans="2:5" hidden="1" x14ac:dyDescent="0.45">
      <c r="B182" s="1116">
        <v>180</v>
      </c>
      <c r="C182" s="1156" t="str">
        <v>RACE</v>
      </c>
      <c r="D182" s="1156" t="str">
        <v>Race: 15 minutes</v>
      </c>
      <c r="E182" s="1118" t="str">
        <v xml:space="preserve"> (15,,)</v>
      </c>
    </row>
    <row r="183" spans="2:5" hidden="1" x14ac:dyDescent="0.45">
      <c r="B183" s="1116">
        <v>181</v>
      </c>
      <c r="C183" s="1156" t="str">
        <v/>
      </c>
      <c r="D183" s="1156" t="str">
        <v>Race: 30 minutes</v>
      </c>
      <c r="E183" s="1118" t="str">
        <v xml:space="preserve"> (30,,)</v>
      </c>
    </row>
    <row r="184" spans="2:5" hidden="1" x14ac:dyDescent="0.45">
      <c r="B184" s="1116">
        <v>182</v>
      </c>
      <c r="C184" s="1156" t="str">
        <v/>
      </c>
      <c r="D184" s="1156" t="str">
        <v>Race: 45 minutes</v>
      </c>
      <c r="E184" s="1118" t="str">
        <v xml:space="preserve"> (45,,)</v>
      </c>
    </row>
    <row r="185" spans="2:5" hidden="1" x14ac:dyDescent="0.45">
      <c r="B185" s="1116">
        <v>183</v>
      </c>
      <c r="C185" s="1156" t="str">
        <v/>
      </c>
      <c r="D185" s="1156" t="str">
        <v>Race: 60 minutes</v>
      </c>
      <c r="E185" s="1118" t="str">
        <v xml:space="preserve"> (60,,)</v>
      </c>
    </row>
    <row r="186" spans="2:5" hidden="1" x14ac:dyDescent="0.45">
      <c r="B186" s="1116">
        <v>184</v>
      </c>
      <c r="C186" s="1156" t="str">
        <v/>
      </c>
      <c r="D186" s="1156" t="str">
        <v>Race: 75 minutes</v>
      </c>
      <c r="E186" s="1118" t="str">
        <v xml:space="preserve"> (75,,)</v>
      </c>
    </row>
    <row r="187" spans="2:5" hidden="1" x14ac:dyDescent="0.45">
      <c r="B187" s="1116">
        <v>185</v>
      </c>
      <c r="C187" s="1156" t="str">
        <v/>
      </c>
      <c r="D187" s="1156" t="str">
        <v>Race: 90 minutes</v>
      </c>
      <c r="E187" s="1118" t="str">
        <v xml:space="preserve"> (90,,)</v>
      </c>
    </row>
    <row r="188" spans="2:5" hidden="1" x14ac:dyDescent="0.45">
      <c r="B188" s="1116">
        <v>186</v>
      </c>
      <c r="C188" s="1156" t="str">
        <v/>
      </c>
      <c r="D188" s="1156" t="str">
        <v>Race: 105 minutes</v>
      </c>
      <c r="E188" s="1118" t="str">
        <v xml:space="preserve"> (105,,)</v>
      </c>
    </row>
    <row r="189" spans="2:5" hidden="1" x14ac:dyDescent="0.45">
      <c r="B189" s="1116">
        <v>187</v>
      </c>
      <c r="C189" s="1156" t="str">
        <v/>
      </c>
      <c r="D189" s="1156" t="str">
        <v>Race: 2 hours</v>
      </c>
      <c r="E189" s="1118" t="str">
        <v xml:space="preserve"> (120,,)</v>
      </c>
    </row>
    <row r="190" spans="2:5" hidden="1" x14ac:dyDescent="0.45">
      <c r="B190" s="1116">
        <v>188</v>
      </c>
      <c r="C190" s="1156" t="str">
        <v/>
      </c>
      <c r="D190" s="1156" t="str">
        <v>Race: 2.5 hours</v>
      </c>
      <c r="E190" s="1118" t="str">
        <v xml:space="preserve"> (150,,)</v>
      </c>
    </row>
    <row r="191" spans="2:5" hidden="1" x14ac:dyDescent="0.45">
      <c r="B191" s="1165">
        <v>189</v>
      </c>
      <c r="C191" s="1166" t="str">
        <v/>
      </c>
      <c r="D191" s="1166" t="str">
        <v>Race: 3 hours</v>
      </c>
      <c r="E191" s="1167" t="str">
        <v xml:space="preserve"> (180,,)</v>
      </c>
    </row>
    <row r="192" spans="2:5" hidden="1" x14ac:dyDescent="0.45">
      <c r="B192" s="1116">
        <v>190</v>
      </c>
      <c r="C192" s="1156" t="str">
        <v>RACE</v>
      </c>
      <c r="D192" s="1156" t="str">
        <v>Race: 4 hours</v>
      </c>
      <c r="E192" s="1118" t="str">
        <v xml:space="preserve"> (240,,)</v>
      </c>
    </row>
    <row r="193" spans="2:5" hidden="1" x14ac:dyDescent="0.45">
      <c r="B193" s="1116">
        <v>191</v>
      </c>
      <c r="C193" s="1156" t="str">
        <v/>
      </c>
      <c r="D193" s="1156" t="str">
        <v>Race: 5 hours</v>
      </c>
      <c r="E193" s="1118" t="str">
        <v xml:space="preserve"> (300,,)</v>
      </c>
    </row>
    <row r="194" spans="2:5" hidden="1" x14ac:dyDescent="0.45">
      <c r="B194" s="1116">
        <v>192</v>
      </c>
      <c r="C194" s="1156" t="str">
        <v/>
      </c>
      <c r="D194" s="1156" t="str">
        <v>Race: 6 hours</v>
      </c>
      <c r="E194" s="1118" t="str">
        <v xml:space="preserve"> (360,,)</v>
      </c>
    </row>
    <row r="195" spans="2:5" hidden="1" x14ac:dyDescent="0.45">
      <c r="B195" s="1116">
        <v>193</v>
      </c>
      <c r="C195" s="1156" t="str">
        <v/>
      </c>
      <c r="D195" s="1156" t="str">
        <v>Race: 7 hours</v>
      </c>
      <c r="E195" s="1118" t="str">
        <v xml:space="preserve"> (420,,)</v>
      </c>
    </row>
    <row r="196" spans="2:5" hidden="1" x14ac:dyDescent="0.45">
      <c r="B196" s="1116">
        <v>194</v>
      </c>
      <c r="C196" s="1156" t="str">
        <v/>
      </c>
      <c r="D196" s="1156" t="str">
        <v>Race: 8 hours</v>
      </c>
      <c r="E196" s="1118" t="str">
        <v xml:space="preserve"> (480,,)</v>
      </c>
    </row>
    <row r="197" spans="2:5" hidden="1" x14ac:dyDescent="0.45">
      <c r="B197" s="1116">
        <v>195</v>
      </c>
      <c r="C197" s="1156" t="str">
        <v/>
      </c>
      <c r="D197" s="1156" t="str">
        <v/>
      </c>
      <c r="E197" s="1118" t="str">
        <v/>
      </c>
    </row>
    <row r="198" spans="2:5" hidden="1" x14ac:dyDescent="0.45">
      <c r="B198" s="1116">
        <v>196</v>
      </c>
      <c r="C198" s="1156" t="str">
        <v/>
      </c>
      <c r="D198" s="1156" t="str">
        <v/>
      </c>
      <c r="E198" s="1118" t="str">
        <v/>
      </c>
    </row>
    <row r="199" spans="2:5" hidden="1" x14ac:dyDescent="0.45">
      <c r="B199" s="1116">
        <v>197</v>
      </c>
      <c r="C199" s="1156" t="str">
        <v/>
      </c>
      <c r="D199" s="1156" t="str">
        <v/>
      </c>
      <c r="E199" s="1118" t="str">
        <v/>
      </c>
    </row>
    <row r="200" spans="2:5" hidden="1" x14ac:dyDescent="0.45">
      <c r="B200" s="1116">
        <v>198</v>
      </c>
      <c r="C200" s="1156" t="str">
        <v/>
      </c>
      <c r="D200" s="1156" t="str">
        <v/>
      </c>
      <c r="E200" s="1118" t="str">
        <v/>
      </c>
    </row>
    <row r="201" spans="2:5" hidden="1" x14ac:dyDescent="0.45">
      <c r="B201" s="1119">
        <v>199</v>
      </c>
      <c r="C201" s="1157" t="str">
        <v/>
      </c>
      <c r="D201" s="1157" t="str">
        <v/>
      </c>
      <c r="E201" s="1120" t="str">
        <v/>
      </c>
    </row>
    <row r="202" spans="2:5" hidden="1" x14ac:dyDescent="0.45">
      <c r="B202" s="1125">
        <v>200</v>
      </c>
      <c r="C202" s="1132" t="str">
        <v>SWIM</v>
      </c>
      <c r="D202" s="1132" t="str">
        <v>Rest</v>
      </c>
      <c r="E202" s="1127" t="str">
        <v/>
      </c>
    </row>
    <row r="203" spans="2:5" hidden="1" x14ac:dyDescent="0.45">
      <c r="B203" s="1125">
        <v>201</v>
      </c>
      <c r="C203" s="1132" t="str">
        <v/>
      </c>
      <c r="D203" s="1132" t="str">
        <v xml:space="preserve">Easy </v>
      </c>
      <c r="E203" s="1127" t="str">
        <v/>
      </c>
    </row>
    <row r="204" spans="2:5" hidden="1" x14ac:dyDescent="0.45">
      <c r="B204" s="1125">
        <v>202</v>
      </c>
      <c r="C204" s="1132" t="str">
        <v/>
      </c>
      <c r="D204" s="1132" t="str">
        <v>Easy</v>
      </c>
      <c r="E204" s="1127" t="str">
        <v/>
      </c>
    </row>
    <row r="205" spans="2:5" hidden="1" x14ac:dyDescent="0.45">
      <c r="B205" s="1125">
        <v>203</v>
      </c>
      <c r="C205" s="1132" t="str">
        <v/>
      </c>
      <c r="D205" s="1132" t="str">
        <v>Steady</v>
      </c>
      <c r="E205" s="1127" t="str">
        <v/>
      </c>
    </row>
    <row r="206" spans="2:5" hidden="1" x14ac:dyDescent="0.45">
      <c r="B206" s="1125">
        <v>204</v>
      </c>
      <c r="C206" s="1132" t="str">
        <v/>
      </c>
      <c r="D206" s="1132" t="str">
        <v>Long</v>
      </c>
      <c r="E206" s="1127" t="str">
        <v/>
      </c>
    </row>
    <row r="207" spans="2:5" hidden="1" x14ac:dyDescent="0.45">
      <c r="B207" s="1125">
        <v>205</v>
      </c>
      <c r="C207" s="1132" t="str">
        <v/>
      </c>
      <c r="D207" s="1132" t="str">
        <v/>
      </c>
      <c r="E207" s="1127" t="str">
        <v/>
      </c>
    </row>
    <row r="208" spans="2:5" hidden="1" x14ac:dyDescent="0.45">
      <c r="B208" s="1125">
        <v>206</v>
      </c>
      <c r="C208" s="1132" t="str">
        <v/>
      </c>
      <c r="D208" s="1132" t="str">
        <v/>
      </c>
      <c r="E208" s="1127" t="str">
        <v/>
      </c>
    </row>
    <row r="209" spans="2:5" hidden="1" x14ac:dyDescent="0.45">
      <c r="B209" s="1125">
        <v>207</v>
      </c>
      <c r="C209" s="1132" t="str">
        <v/>
      </c>
      <c r="D209" s="1132" t="str">
        <v>Easy</v>
      </c>
      <c r="E209" s="1127" t="str">
        <v/>
      </c>
    </row>
    <row r="210" spans="2:5" hidden="1" x14ac:dyDescent="0.45">
      <c r="B210" s="1125">
        <v>208</v>
      </c>
      <c r="C210" s="1132" t="str">
        <v/>
      </c>
      <c r="D210" s="1132" t="str">
        <v>Easy</v>
      </c>
      <c r="E210" s="1127" t="str">
        <v xml:space="preserve"> (20,,)</v>
      </c>
    </row>
    <row r="211" spans="2:5" hidden="1" x14ac:dyDescent="0.45">
      <c r="B211" s="1128">
        <v>209</v>
      </c>
      <c r="C211" s="1133" t="str">
        <v/>
      </c>
      <c r="D211" s="1133" t="str">
        <v>Easy</v>
      </c>
      <c r="E211" s="1130" t="str">
        <v xml:space="preserve"> (30,,)</v>
      </c>
    </row>
    <row r="212" spans="2:5" hidden="1" x14ac:dyDescent="0.45">
      <c r="B212" s="1125">
        <v>210</v>
      </c>
      <c r="C212" s="1132" t="str">
        <v>SWIM</v>
      </c>
      <c r="D212" s="1132" t="str">
        <v>Easy</v>
      </c>
      <c r="E212" s="1127" t="str">
        <v xml:space="preserve"> (40,,)</v>
      </c>
    </row>
    <row r="213" spans="2:5" hidden="1" x14ac:dyDescent="0.45">
      <c r="B213" s="1125">
        <v>211</v>
      </c>
      <c r="C213" s="1132" t="str">
        <v/>
      </c>
      <c r="D213" s="1132" t="str">
        <v>Easy</v>
      </c>
      <c r="E213" s="1127" t="str">
        <v xml:space="preserve"> (60,,)</v>
      </c>
    </row>
    <row r="214" spans="2:5" hidden="1" x14ac:dyDescent="0.45">
      <c r="B214" s="1125">
        <v>212</v>
      </c>
      <c r="C214" s="1132" t="str">
        <v/>
      </c>
      <c r="D214" s="1132" t="str">
        <v>Easy</v>
      </c>
      <c r="E214" s="1127" t="str">
        <v xml:space="preserve"> (120,,)</v>
      </c>
    </row>
    <row r="215" spans="2:5" hidden="1" x14ac:dyDescent="0.45">
      <c r="B215" s="1125">
        <v>213</v>
      </c>
      <c r="C215" s="1132" t="str">
        <v/>
      </c>
      <c r="D215" s="1132" t="str">
        <v>Easy</v>
      </c>
      <c r="E215" s="1127" t="str">
        <v xml:space="preserve"> (180,,)</v>
      </c>
    </row>
    <row r="216" spans="2:5" hidden="1" x14ac:dyDescent="0.45">
      <c r="B216" s="1125">
        <v>214</v>
      </c>
      <c r="C216" s="1132" t="str">
        <v/>
      </c>
      <c r="D216" s="1132" t="str">
        <v>Easy</v>
      </c>
      <c r="E216" s="1127" t="str">
        <v xml:space="preserve"> (240,,)</v>
      </c>
    </row>
    <row r="217" spans="2:5" hidden="1" x14ac:dyDescent="0.45">
      <c r="B217" s="1125">
        <v>215</v>
      </c>
      <c r="C217" s="1132" t="str">
        <v/>
      </c>
      <c r="D217" s="1132" t="str">
        <v>Steady</v>
      </c>
      <c r="E217" s="1127" t="str">
        <v xml:space="preserve"> (40,,)</v>
      </c>
    </row>
    <row r="218" spans="2:5" hidden="1" x14ac:dyDescent="0.45">
      <c r="B218" s="1125">
        <v>216</v>
      </c>
      <c r="C218" s="1132" t="str">
        <v/>
      </c>
      <c r="D218" s="1132" t="str">
        <v>Steady</v>
      </c>
      <c r="E218" s="1127" t="str">
        <v xml:space="preserve"> (60,,)</v>
      </c>
    </row>
    <row r="219" spans="2:5" hidden="1" x14ac:dyDescent="0.45">
      <c r="B219" s="1125">
        <v>217</v>
      </c>
      <c r="C219" s="1132" t="str">
        <v/>
      </c>
      <c r="D219" s="1132" t="str">
        <v>Long</v>
      </c>
      <c r="E219" s="1127" t="str">
        <v xml:space="preserve"> (120,,)</v>
      </c>
    </row>
    <row r="220" spans="2:5" hidden="1" x14ac:dyDescent="0.45">
      <c r="B220" s="1125">
        <v>218</v>
      </c>
      <c r="C220" s="1132" t="str">
        <v/>
      </c>
      <c r="D220" s="1132" t="str">
        <v>Long</v>
      </c>
      <c r="E220" s="1127" t="str">
        <v xml:space="preserve"> (180,,)</v>
      </c>
    </row>
    <row r="221" spans="2:5" ht="14.65" hidden="1" thickBot="1" x14ac:dyDescent="0.5">
      <c r="B221" s="1128">
        <v>219</v>
      </c>
      <c r="C221" s="1133" t="str">
        <v/>
      </c>
      <c r="D221" s="1133" t="str">
        <v>Long</v>
      </c>
      <c r="E221" s="1130" t="str">
        <v xml:space="preserve"> (240,,)</v>
      </c>
    </row>
    <row r="222" spans="2:5" hidden="1" x14ac:dyDescent="0.45">
      <c r="B222" s="1122">
        <v>220</v>
      </c>
      <c r="C222" s="1131" t="str">
        <v>KAYAKING</v>
      </c>
      <c r="D222" s="1131" t="str">
        <v>Rest</v>
      </c>
      <c r="E222" s="1124" t="str">
        <v/>
      </c>
    </row>
    <row r="223" spans="2:5" hidden="1" x14ac:dyDescent="0.45">
      <c r="B223" s="1125">
        <v>221</v>
      </c>
      <c r="C223" s="1132" t="str">
        <v/>
      </c>
      <c r="D223" s="1132" t="str">
        <v xml:space="preserve">Easy </v>
      </c>
      <c r="E223" s="1127" t="str">
        <v/>
      </c>
    </row>
    <row r="224" spans="2:5" hidden="1" x14ac:dyDescent="0.45">
      <c r="B224" s="1125">
        <v>222</v>
      </c>
      <c r="C224" s="1132" t="str">
        <v/>
      </c>
      <c r="D224" s="1132" t="str">
        <v>Easy</v>
      </c>
      <c r="E224" s="1127" t="str">
        <v/>
      </c>
    </row>
    <row r="225" spans="2:5" hidden="1" x14ac:dyDescent="0.45">
      <c r="B225" s="1125">
        <v>223</v>
      </c>
      <c r="C225" s="1132" t="str">
        <v/>
      </c>
      <c r="D225" s="1132" t="str">
        <v>Steady</v>
      </c>
      <c r="E225" s="1127" t="str">
        <v/>
      </c>
    </row>
    <row r="226" spans="2:5" hidden="1" x14ac:dyDescent="0.45">
      <c r="B226" s="1125">
        <v>224</v>
      </c>
      <c r="C226" s="1132" t="str">
        <v/>
      </c>
      <c r="D226" s="1132" t="str">
        <v>Long</v>
      </c>
      <c r="E226" s="1127" t="str">
        <v/>
      </c>
    </row>
    <row r="227" spans="2:5" hidden="1" x14ac:dyDescent="0.45">
      <c r="B227" s="1125">
        <v>225</v>
      </c>
      <c r="C227" s="1132" t="str">
        <v/>
      </c>
      <c r="D227" s="1132" t="str">
        <v/>
      </c>
      <c r="E227" s="1127" t="str">
        <v/>
      </c>
    </row>
    <row r="228" spans="2:5" hidden="1" x14ac:dyDescent="0.45">
      <c r="B228" s="1125">
        <v>226</v>
      </c>
      <c r="C228" s="1132" t="str">
        <v/>
      </c>
      <c r="D228" s="1132" t="str">
        <v/>
      </c>
      <c r="E228" s="1127" t="str">
        <v/>
      </c>
    </row>
    <row r="229" spans="2:5" hidden="1" x14ac:dyDescent="0.45">
      <c r="B229" s="1125">
        <v>227</v>
      </c>
      <c r="C229" s="1132" t="str">
        <v/>
      </c>
      <c r="D229" s="1132" t="str">
        <v>Easy</v>
      </c>
      <c r="E229" s="1127" t="str">
        <v/>
      </c>
    </row>
    <row r="230" spans="2:5" hidden="1" x14ac:dyDescent="0.45">
      <c r="B230" s="1125">
        <v>228</v>
      </c>
      <c r="C230" s="1132" t="str">
        <v/>
      </c>
      <c r="D230" s="1132" t="str">
        <v>Easy</v>
      </c>
      <c r="E230" s="1127" t="str">
        <v xml:space="preserve"> (20,,)</v>
      </c>
    </row>
    <row r="231" spans="2:5" hidden="1" x14ac:dyDescent="0.45">
      <c r="B231" s="1128">
        <v>229</v>
      </c>
      <c r="C231" s="1133" t="str">
        <v/>
      </c>
      <c r="D231" s="1133" t="str">
        <v>Easy</v>
      </c>
      <c r="E231" s="1130" t="str">
        <v xml:space="preserve"> (30,,)</v>
      </c>
    </row>
    <row r="232" spans="2:5" hidden="1" x14ac:dyDescent="0.45">
      <c r="B232" s="1125">
        <v>230</v>
      </c>
      <c r="C232" s="1132" t="str">
        <v>KAYAKING</v>
      </c>
      <c r="D232" s="1132" t="str">
        <v>Easy</v>
      </c>
      <c r="E232" s="1127" t="str">
        <v xml:space="preserve"> (40,,)</v>
      </c>
    </row>
    <row r="233" spans="2:5" hidden="1" x14ac:dyDescent="0.45">
      <c r="B233" s="1125">
        <v>231</v>
      </c>
      <c r="C233" s="1132" t="str">
        <v/>
      </c>
      <c r="D233" s="1132" t="str">
        <v>Easy</v>
      </c>
      <c r="E233" s="1127" t="str">
        <v xml:space="preserve"> (60,,)</v>
      </c>
    </row>
    <row r="234" spans="2:5" hidden="1" x14ac:dyDescent="0.45">
      <c r="B234" s="1125">
        <v>232</v>
      </c>
      <c r="C234" s="1132" t="str">
        <v/>
      </c>
      <c r="D234" s="1132" t="str">
        <v>Easy</v>
      </c>
      <c r="E234" s="1127" t="str">
        <v xml:space="preserve"> (120,,)</v>
      </c>
    </row>
    <row r="235" spans="2:5" hidden="1" x14ac:dyDescent="0.45">
      <c r="B235" s="1125">
        <v>233</v>
      </c>
      <c r="C235" s="1132" t="str">
        <v/>
      </c>
      <c r="D235" s="1132" t="str">
        <v>Easy</v>
      </c>
      <c r="E235" s="1127" t="str">
        <v xml:space="preserve"> (180,,)</v>
      </c>
    </row>
    <row r="236" spans="2:5" hidden="1" x14ac:dyDescent="0.45">
      <c r="B236" s="1125">
        <v>234</v>
      </c>
      <c r="C236" s="1132" t="str">
        <v/>
      </c>
      <c r="D236" s="1132" t="str">
        <v>Easy</v>
      </c>
      <c r="E236" s="1127" t="str">
        <v xml:space="preserve"> (240,,)</v>
      </c>
    </row>
    <row r="237" spans="2:5" hidden="1" x14ac:dyDescent="0.45">
      <c r="B237" s="1125">
        <v>235</v>
      </c>
      <c r="C237" s="1132" t="str">
        <v/>
      </c>
      <c r="D237" s="1132" t="str">
        <v>Steady</v>
      </c>
      <c r="E237" s="1127" t="str">
        <v xml:space="preserve"> (40,,)</v>
      </c>
    </row>
    <row r="238" spans="2:5" hidden="1" x14ac:dyDescent="0.45">
      <c r="B238" s="1125">
        <v>236</v>
      </c>
      <c r="C238" s="1132" t="str">
        <v/>
      </c>
      <c r="D238" s="1132" t="str">
        <v>Steady</v>
      </c>
      <c r="E238" s="1127" t="str">
        <v xml:space="preserve"> (60,,)</v>
      </c>
    </row>
    <row r="239" spans="2:5" hidden="1" x14ac:dyDescent="0.45">
      <c r="B239" s="1125">
        <v>237</v>
      </c>
      <c r="C239" s="1132" t="str">
        <v/>
      </c>
      <c r="D239" s="1132" t="str">
        <v>Long</v>
      </c>
      <c r="E239" s="1127" t="str">
        <v xml:space="preserve"> (120,,)</v>
      </c>
    </row>
    <row r="240" spans="2:5" hidden="1" x14ac:dyDescent="0.45">
      <c r="B240" s="1125">
        <v>238</v>
      </c>
      <c r="C240" s="1132" t="str">
        <v/>
      </c>
      <c r="D240" s="1132" t="str">
        <v>Long</v>
      </c>
      <c r="E240" s="1127" t="str">
        <v xml:space="preserve"> (180,,)</v>
      </c>
    </row>
    <row r="241" spans="2:5" hidden="1" x14ac:dyDescent="0.45">
      <c r="B241" s="1128">
        <v>239</v>
      </c>
      <c r="C241" s="1133" t="str">
        <v/>
      </c>
      <c r="D241" s="1133" t="str">
        <v>Long</v>
      </c>
      <c r="E241" s="1130" t="str">
        <v xml:space="preserve"> (240,,)</v>
      </c>
    </row>
    <row r="242" spans="2:5" hidden="1" x14ac:dyDescent="0.45">
      <c r="B242" s="1161">
        <v>240</v>
      </c>
      <c r="C242" s="1162" t="str">
        <v>Other Sports</v>
      </c>
      <c r="D242" s="1162" t="str">
        <v>Hockey Training</v>
      </c>
      <c r="E242" s="749" t="str">
        <v xml:space="preserve"> (45,,)</v>
      </c>
    </row>
    <row r="243" spans="2:5" hidden="1" x14ac:dyDescent="0.45">
      <c r="B243" s="1161">
        <v>241</v>
      </c>
      <c r="C243" s="1162" t="str">
        <v/>
      </c>
      <c r="D243" s="1162" t="str">
        <v/>
      </c>
      <c r="E243" s="749" t="str">
        <v/>
      </c>
    </row>
    <row r="244" spans="2:5" hidden="1" x14ac:dyDescent="0.45">
      <c r="B244" s="1161">
        <v>242</v>
      </c>
      <c r="C244" s="1162" t="str">
        <v/>
      </c>
      <c r="D244" s="1162" t="str">
        <v/>
      </c>
      <c r="E244" s="749" t="str">
        <v/>
      </c>
    </row>
    <row r="245" spans="2:5" hidden="1" x14ac:dyDescent="0.45">
      <c r="B245" s="1161">
        <v>243</v>
      </c>
      <c r="C245" s="1162" t="str">
        <v/>
      </c>
      <c r="D245" s="1162" t="str">
        <v/>
      </c>
      <c r="E245" s="749" t="str">
        <v/>
      </c>
    </row>
    <row r="246" spans="2:5" hidden="1" x14ac:dyDescent="0.45">
      <c r="B246" s="1161">
        <v>244</v>
      </c>
      <c r="C246" s="1162" t="str">
        <v/>
      </c>
      <c r="D246" s="1162" t="str">
        <v/>
      </c>
      <c r="E246" s="749" t="str">
        <v/>
      </c>
    </row>
    <row r="247" spans="2:5" hidden="1" x14ac:dyDescent="0.45">
      <c r="B247" s="1161">
        <v>245</v>
      </c>
      <c r="C247" s="1162" t="str">
        <v/>
      </c>
      <c r="D247" s="1162" t="str">
        <v/>
      </c>
      <c r="E247" s="749" t="str">
        <v/>
      </c>
    </row>
    <row r="248" spans="2:5" hidden="1" x14ac:dyDescent="0.45">
      <c r="B248" s="1161">
        <v>246</v>
      </c>
      <c r="C248" s="1162" t="str">
        <v/>
      </c>
      <c r="D248" s="1162" t="str">
        <v/>
      </c>
      <c r="E248" s="749" t="str">
        <v/>
      </c>
    </row>
    <row r="249" spans="2:5" hidden="1" x14ac:dyDescent="0.45">
      <c r="B249" s="1161">
        <v>247</v>
      </c>
      <c r="C249" s="1162" t="str">
        <v/>
      </c>
      <c r="D249" s="1162" t="str">
        <v/>
      </c>
      <c r="E249" s="749" t="str">
        <v/>
      </c>
    </row>
    <row r="250" spans="2:5" hidden="1" x14ac:dyDescent="0.45">
      <c r="B250" s="1161">
        <v>248</v>
      </c>
      <c r="C250" s="1162" t="str">
        <v/>
      </c>
      <c r="D250" s="1162" t="str">
        <v/>
      </c>
      <c r="E250" s="749" t="str">
        <v/>
      </c>
    </row>
    <row r="251" spans="2:5" hidden="1" x14ac:dyDescent="0.45">
      <c r="B251" s="1163">
        <v>249</v>
      </c>
      <c r="C251" s="1164" t="str">
        <v/>
      </c>
      <c r="D251" s="1164" t="str">
        <v/>
      </c>
      <c r="E251" s="1025" t="str">
        <v/>
      </c>
    </row>
    <row r="252" spans="2:5" hidden="1" x14ac:dyDescent="0.45">
      <c r="B252" s="1161">
        <v>250</v>
      </c>
      <c r="C252" s="1162" t="str">
        <v>Nutrition Sessions</v>
      </c>
      <c r="D252" s="1162" t="str">
        <v>Nutrition</v>
      </c>
      <c r="E252" s="749" t="str">
        <v/>
      </c>
    </row>
    <row r="253" spans="2:5" hidden="1" x14ac:dyDescent="0.45">
      <c r="B253" s="1161">
        <v>251</v>
      </c>
      <c r="C253" s="1162" t="str">
        <v/>
      </c>
      <c r="D253" s="1162" t="str">
        <v>Easy LC</v>
      </c>
      <c r="E253" s="749" t="str">
        <v/>
      </c>
    </row>
    <row r="254" spans="2:5" hidden="1" x14ac:dyDescent="0.45">
      <c r="B254" s="1161">
        <v>252</v>
      </c>
      <c r="C254" s="1162" t="str">
        <v/>
      </c>
      <c r="D254" s="1162" t="str">
        <v>Easy HC</v>
      </c>
      <c r="E254" s="749" t="str">
        <v/>
      </c>
    </row>
    <row r="255" spans="2:5" hidden="1" x14ac:dyDescent="0.45">
      <c r="B255" s="1161">
        <v>253</v>
      </c>
      <c r="C255" s="1162" t="str">
        <v/>
      </c>
      <c r="D255" s="1162" t="str">
        <v>Steady LC</v>
      </c>
      <c r="E255" s="749" t="str">
        <v/>
      </c>
    </row>
    <row r="256" spans="2:5" hidden="1" x14ac:dyDescent="0.45">
      <c r="B256" s="1161">
        <v>254</v>
      </c>
      <c r="C256" s="1162" t="str">
        <v/>
      </c>
      <c r="D256" s="1162" t="str">
        <v>Steady HC</v>
      </c>
      <c r="E256" s="749" t="str">
        <v/>
      </c>
    </row>
    <row r="257" spans="2:5" hidden="1" x14ac:dyDescent="0.45">
      <c r="B257" s="1161">
        <v>255</v>
      </c>
      <c r="C257" s="1162" t="str">
        <v/>
      </c>
      <c r="D257" s="1162" t="str">
        <v>Long LC</v>
      </c>
      <c r="E257" s="749" t="str">
        <v/>
      </c>
    </row>
    <row r="258" spans="2:5" hidden="1" x14ac:dyDescent="0.45">
      <c r="B258" s="1161">
        <v>256</v>
      </c>
      <c r="C258" s="1162" t="str">
        <v/>
      </c>
      <c r="D258" s="1162" t="str">
        <v>Long HC</v>
      </c>
      <c r="E258" s="749" t="str">
        <v/>
      </c>
    </row>
    <row r="259" spans="2:5" hidden="1" x14ac:dyDescent="0.45">
      <c r="B259" s="1161">
        <v>257</v>
      </c>
      <c r="C259" s="1162" t="str">
        <v/>
      </c>
      <c r="D259" s="1162" t="str">
        <v>Light Day</v>
      </c>
      <c r="E259" s="749" t="str">
        <v/>
      </c>
    </row>
    <row r="260" spans="2:5" hidden="1" x14ac:dyDescent="0.45">
      <c r="B260" s="1161">
        <v>258</v>
      </c>
      <c r="C260" s="1162" t="str">
        <v/>
      </c>
      <c r="D260" s="1162" t="str">
        <v>Medium Day</v>
      </c>
      <c r="E260" s="749" t="str">
        <v/>
      </c>
    </row>
    <row r="261" spans="2:5" hidden="1" x14ac:dyDescent="0.45">
      <c r="B261" s="1163">
        <v>259</v>
      </c>
      <c r="C261" s="1164" t="str">
        <v/>
      </c>
      <c r="D261" s="1164" t="str">
        <v>Heavy Day</v>
      </c>
      <c r="E261" s="1025" t="str">
        <v/>
      </c>
    </row>
    <row r="262" spans="2:5" hidden="1" x14ac:dyDescent="0.45">
      <c r="B262" s="1161">
        <v>260</v>
      </c>
      <c r="C262" s="1162" t="str">
        <v>REPS</v>
      </c>
      <c r="D262" s="1162" t="str">
        <v/>
      </c>
      <c r="E262" s="749" t="str">
        <v/>
      </c>
    </row>
    <row r="263" spans="2:5" hidden="1" x14ac:dyDescent="0.45">
      <c r="B263" s="1161">
        <v>261</v>
      </c>
      <c r="C263" s="1162" t="str">
        <v/>
      </c>
      <c r="D263" s="1162" t="str">
        <v/>
      </c>
      <c r="E263" s="749" t="str">
        <v/>
      </c>
    </row>
    <row r="264" spans="2:5" hidden="1" x14ac:dyDescent="0.45">
      <c r="B264" s="1161">
        <v>262</v>
      </c>
      <c r="C264" s="1162" t="str">
        <v/>
      </c>
      <c r="D264" s="1162" t="str">
        <v/>
      </c>
      <c r="E264" s="749" t="str">
        <v/>
      </c>
    </row>
    <row r="265" spans="2:5" hidden="1" x14ac:dyDescent="0.45">
      <c r="B265" s="1161">
        <v>263</v>
      </c>
      <c r="C265" s="1162" t="str">
        <v/>
      </c>
      <c r="D265" s="1162" t="str">
        <v/>
      </c>
      <c r="E265" s="749" t="str">
        <v/>
      </c>
    </row>
    <row r="266" spans="2:5" hidden="1" x14ac:dyDescent="0.45">
      <c r="B266" s="1161">
        <v>264</v>
      </c>
      <c r="C266" s="1162" t="str">
        <v/>
      </c>
      <c r="D266" s="1162" t="str">
        <v/>
      </c>
      <c r="E266" s="749" t="str">
        <v/>
      </c>
    </row>
    <row r="267" spans="2:5" hidden="1" x14ac:dyDescent="0.45">
      <c r="B267" s="1161">
        <v>265</v>
      </c>
      <c r="C267" s="1162" t="str">
        <v/>
      </c>
      <c r="D267" s="1162" t="str">
        <v/>
      </c>
      <c r="E267" s="749" t="str">
        <v/>
      </c>
    </row>
    <row r="268" spans="2:5" hidden="1" x14ac:dyDescent="0.45">
      <c r="B268" s="1161">
        <v>266</v>
      </c>
      <c r="C268" s="1162" t="str">
        <v/>
      </c>
      <c r="D268" s="1162" t="str">
        <v/>
      </c>
      <c r="E268" s="749" t="str">
        <v/>
      </c>
    </row>
    <row r="269" spans="2:5" hidden="1" x14ac:dyDescent="0.45">
      <c r="B269" s="1161">
        <v>267</v>
      </c>
      <c r="C269" s="1162" t="str">
        <v/>
      </c>
      <c r="D269" s="1162" t="str">
        <v/>
      </c>
      <c r="E269" s="749" t="str">
        <v/>
      </c>
    </row>
    <row r="270" spans="2:5" hidden="1" x14ac:dyDescent="0.45">
      <c r="B270" s="1161">
        <v>268</v>
      </c>
      <c r="C270" s="1162" t="str">
        <v/>
      </c>
      <c r="D270" s="1162" t="str">
        <v/>
      </c>
      <c r="E270" s="749" t="str">
        <v/>
      </c>
    </row>
    <row r="271" spans="2:5" hidden="1" x14ac:dyDescent="0.45">
      <c r="B271" s="1163">
        <v>269</v>
      </c>
      <c r="C271" s="1164" t="str">
        <v/>
      </c>
      <c r="D271" s="1164" t="str">
        <v/>
      </c>
      <c r="E271" s="1025" t="str">
        <v/>
      </c>
    </row>
    <row r="272" spans="2:5" hidden="1" x14ac:dyDescent="0.45">
      <c r="B272" s="1161">
        <v>270</v>
      </c>
      <c r="C272" s="1162" t="str">
        <v>DRILLS and STRENGTH, Maintenance</v>
      </c>
      <c r="D272" s="1162" t="str">
        <v/>
      </c>
      <c r="E272" s="749" t="str">
        <v/>
      </c>
    </row>
    <row r="273" spans="2:5" hidden="1" x14ac:dyDescent="0.45">
      <c r="B273" s="1161">
        <v>271</v>
      </c>
      <c r="C273" s="1162" t="str">
        <v/>
      </c>
      <c r="D273" s="1162" t="str">
        <v/>
      </c>
      <c r="E273" s="749" t="str">
        <v/>
      </c>
    </row>
    <row r="274" spans="2:5" hidden="1" x14ac:dyDescent="0.45">
      <c r="B274" s="1161">
        <v>272</v>
      </c>
      <c r="C274" s="1162" t="str">
        <v/>
      </c>
      <c r="D274" s="1162" t="str">
        <v/>
      </c>
      <c r="E274" s="749" t="str">
        <v/>
      </c>
    </row>
    <row r="275" spans="2:5" hidden="1" x14ac:dyDescent="0.45">
      <c r="B275" s="1161">
        <v>273</v>
      </c>
      <c r="C275" s="1162" t="str">
        <v/>
      </c>
      <c r="D275" s="1162" t="str">
        <v/>
      </c>
      <c r="E275" s="749" t="str">
        <v/>
      </c>
    </row>
    <row r="276" spans="2:5" hidden="1" x14ac:dyDescent="0.45">
      <c r="B276" s="1161">
        <v>274</v>
      </c>
      <c r="C276" s="1162" t="str">
        <v/>
      </c>
      <c r="D276" s="1162" t="str">
        <v/>
      </c>
      <c r="E276" s="749" t="str">
        <v/>
      </c>
    </row>
    <row r="277" spans="2:5" hidden="1" x14ac:dyDescent="0.45">
      <c r="B277" s="1161">
        <v>275</v>
      </c>
      <c r="C277" s="1162" t="str">
        <v/>
      </c>
      <c r="D277" s="1162" t="str">
        <v/>
      </c>
      <c r="E277" s="749" t="str">
        <v/>
      </c>
    </row>
    <row r="278" spans="2:5" hidden="1" x14ac:dyDescent="0.45">
      <c r="B278" s="1161">
        <v>276</v>
      </c>
      <c r="C278" s="1162" t="str">
        <v/>
      </c>
      <c r="D278" s="1162" t="str">
        <v/>
      </c>
      <c r="E278" s="749" t="str">
        <v/>
      </c>
    </row>
    <row r="279" spans="2:5" hidden="1" x14ac:dyDescent="0.45">
      <c r="B279" s="1161">
        <v>277</v>
      </c>
      <c r="C279" s="1162" t="str">
        <v/>
      </c>
      <c r="D279" s="1162" t="str">
        <v/>
      </c>
      <c r="E279" s="749" t="str">
        <v/>
      </c>
    </row>
    <row r="280" spans="2:5" hidden="1" x14ac:dyDescent="0.45">
      <c r="B280" s="1161">
        <v>278</v>
      </c>
      <c r="C280" s="1162" t="str">
        <v/>
      </c>
      <c r="D280" s="1162" t="str">
        <v/>
      </c>
      <c r="E280" s="749" t="str">
        <v/>
      </c>
    </row>
    <row r="281" spans="2:5" hidden="1" x14ac:dyDescent="0.45">
      <c r="B281" s="1163">
        <v>279</v>
      </c>
      <c r="C281" s="1164" t="str">
        <v/>
      </c>
      <c r="D281" s="1164" t="str">
        <v/>
      </c>
      <c r="E281" s="1025" t="str">
        <v/>
      </c>
    </row>
    <row r="282" spans="2:5" hidden="1" x14ac:dyDescent="0.45">
      <c r="B282" s="1171">
        <v>280</v>
      </c>
      <c r="C282" s="1172" t="str">
        <v>RACE</v>
      </c>
      <c r="D282" s="1172" t="str">
        <v>Race: 15 minutes</v>
      </c>
      <c r="E282" s="1173" t="str">
        <v xml:space="preserve"> (15,,)</v>
      </c>
    </row>
    <row r="283" spans="2:5" hidden="1" x14ac:dyDescent="0.45">
      <c r="B283" s="1171">
        <v>281</v>
      </c>
      <c r="C283" s="1172" t="str">
        <v/>
      </c>
      <c r="D283" s="1172" t="str">
        <v>Race: 30 minutes</v>
      </c>
      <c r="E283" s="1173" t="str">
        <v xml:space="preserve"> (30,,)</v>
      </c>
    </row>
    <row r="284" spans="2:5" hidden="1" x14ac:dyDescent="0.45">
      <c r="B284" s="1171">
        <v>282</v>
      </c>
      <c r="C284" s="1172" t="str">
        <v/>
      </c>
      <c r="D284" s="1172" t="str">
        <v>Race: 45 minutes</v>
      </c>
      <c r="E284" s="1173" t="str">
        <v xml:space="preserve"> (45,,)</v>
      </c>
    </row>
    <row r="285" spans="2:5" hidden="1" x14ac:dyDescent="0.45">
      <c r="B285" s="1171">
        <v>283</v>
      </c>
      <c r="C285" s="1172" t="str">
        <v/>
      </c>
      <c r="D285" s="1172" t="str">
        <v>Race: 60 minutes</v>
      </c>
      <c r="E285" s="1173" t="str">
        <v xml:space="preserve"> (60,,)</v>
      </c>
    </row>
    <row r="286" spans="2:5" hidden="1" x14ac:dyDescent="0.45">
      <c r="B286" s="1171">
        <v>284</v>
      </c>
      <c r="C286" s="1172" t="str">
        <v/>
      </c>
      <c r="D286" s="1172" t="str">
        <v>Race: 75 minutes</v>
      </c>
      <c r="E286" s="1173" t="str">
        <v xml:space="preserve"> (75,,)</v>
      </c>
    </row>
    <row r="287" spans="2:5" hidden="1" x14ac:dyDescent="0.45">
      <c r="B287" s="1171">
        <v>285</v>
      </c>
      <c r="C287" s="1172" t="str">
        <v/>
      </c>
      <c r="D287" s="1172" t="str">
        <v>Race: 90 minutes</v>
      </c>
      <c r="E287" s="1173" t="str">
        <v xml:space="preserve"> (90,,)</v>
      </c>
    </row>
    <row r="288" spans="2:5" hidden="1" x14ac:dyDescent="0.45">
      <c r="B288" s="1171">
        <v>286</v>
      </c>
      <c r="C288" s="1172" t="str">
        <v/>
      </c>
      <c r="D288" s="1172" t="str">
        <v>Race: 105 minutes</v>
      </c>
      <c r="E288" s="1173" t="str">
        <v xml:space="preserve"> (105,,)</v>
      </c>
    </row>
    <row r="289" spans="2:5" hidden="1" x14ac:dyDescent="0.45">
      <c r="B289" s="1171">
        <v>287</v>
      </c>
      <c r="C289" s="1172" t="str">
        <v/>
      </c>
      <c r="D289" s="1172" t="str">
        <v>Race: 2 hours</v>
      </c>
      <c r="E289" s="1173" t="str">
        <v xml:space="preserve"> (120,,)</v>
      </c>
    </row>
    <row r="290" spans="2:5" hidden="1" x14ac:dyDescent="0.45">
      <c r="B290" s="1171">
        <v>288</v>
      </c>
      <c r="C290" s="1172" t="str">
        <v/>
      </c>
      <c r="D290" s="1172" t="str">
        <v>Race: 2.5 hours</v>
      </c>
      <c r="E290" s="1173" t="str">
        <v xml:space="preserve"> (150,,)</v>
      </c>
    </row>
    <row r="291" spans="2:5" hidden="1" x14ac:dyDescent="0.45">
      <c r="B291" s="1174">
        <v>289</v>
      </c>
      <c r="C291" s="1175" t="str">
        <v/>
      </c>
      <c r="D291" s="1175" t="str">
        <v>Race: 3 hours</v>
      </c>
      <c r="E291" s="1176" t="str">
        <v xml:space="preserve"> (180,,)</v>
      </c>
    </row>
    <row r="292" spans="2:5" hidden="1" x14ac:dyDescent="0.45">
      <c r="B292" s="1171">
        <v>290</v>
      </c>
      <c r="C292" s="1172" t="str">
        <v>RACE</v>
      </c>
      <c r="D292" s="1172" t="str">
        <v>Race: 4 hours</v>
      </c>
      <c r="E292" s="1173" t="str">
        <v xml:space="preserve"> (240,,)</v>
      </c>
    </row>
    <row r="293" spans="2:5" hidden="1" x14ac:dyDescent="0.45">
      <c r="B293" s="1171">
        <v>291</v>
      </c>
      <c r="C293" s="1172" t="str">
        <v/>
      </c>
      <c r="D293" s="1172" t="str">
        <v>Race: 5 hours</v>
      </c>
      <c r="E293" s="1173" t="str">
        <v xml:space="preserve"> (300,,)</v>
      </c>
    </row>
    <row r="294" spans="2:5" hidden="1" x14ac:dyDescent="0.45">
      <c r="B294" s="1171">
        <v>292</v>
      </c>
      <c r="C294" s="1172" t="str">
        <v/>
      </c>
      <c r="D294" s="1172" t="str">
        <v>Race: 6 hours</v>
      </c>
      <c r="E294" s="1173" t="str">
        <v xml:space="preserve"> (360,,)</v>
      </c>
    </row>
    <row r="295" spans="2:5" hidden="1" x14ac:dyDescent="0.45">
      <c r="B295" s="1171">
        <v>293</v>
      </c>
      <c r="C295" s="1172" t="str">
        <v/>
      </c>
      <c r="D295" s="1172" t="str">
        <v>Race: 7 hours</v>
      </c>
      <c r="E295" s="1173" t="str">
        <v xml:space="preserve"> (420,,)</v>
      </c>
    </row>
    <row r="296" spans="2:5" hidden="1" x14ac:dyDescent="0.45">
      <c r="B296" s="1171">
        <v>294</v>
      </c>
      <c r="C296" s="1172" t="str">
        <v/>
      </c>
      <c r="D296" s="1172" t="str">
        <v>Race: 8 hours</v>
      </c>
      <c r="E296" s="1173" t="str">
        <v xml:space="preserve"> (480,,)</v>
      </c>
    </row>
    <row r="297" spans="2:5" hidden="1" x14ac:dyDescent="0.45">
      <c r="B297" s="1171">
        <v>295</v>
      </c>
      <c r="C297" s="1172" t="str">
        <v/>
      </c>
      <c r="D297" s="1172" t="str">
        <v/>
      </c>
      <c r="E297" s="1173" t="str">
        <v/>
      </c>
    </row>
    <row r="298" spans="2:5" hidden="1" x14ac:dyDescent="0.45">
      <c r="B298" s="1171">
        <v>296</v>
      </c>
      <c r="C298" s="1172" t="str">
        <v/>
      </c>
      <c r="D298" s="1172" t="str">
        <v/>
      </c>
      <c r="E298" s="1173" t="str">
        <v/>
      </c>
    </row>
    <row r="299" spans="2:5" hidden="1" x14ac:dyDescent="0.45">
      <c r="B299" s="1171">
        <v>297</v>
      </c>
      <c r="C299" s="1172" t="str">
        <v/>
      </c>
      <c r="D299" s="1172" t="str">
        <v/>
      </c>
      <c r="E299" s="1173" t="str">
        <v/>
      </c>
    </row>
    <row r="300" spans="2:5" hidden="1" x14ac:dyDescent="0.45">
      <c r="B300" s="1171">
        <v>298</v>
      </c>
      <c r="C300" s="1172" t="str">
        <v/>
      </c>
      <c r="D300" s="1172" t="str">
        <v/>
      </c>
      <c r="E300" s="1173" t="str">
        <v/>
      </c>
    </row>
    <row r="301" spans="2:5" ht="14.65" hidden="1" thickBot="1" x14ac:dyDescent="0.5">
      <c r="B301" s="1177">
        <v>299</v>
      </c>
      <c r="C301" s="1178" t="str">
        <v/>
      </c>
      <c r="D301" s="1178" t="str">
        <v/>
      </c>
      <c r="E301" s="1179" t="str">
        <v/>
      </c>
    </row>
    <row r="302" spans="2:5" s="698" customFormat="1" hidden="1" x14ac:dyDescent="0.45">
      <c r="B302" s="698" t="s">
        <v>388</v>
      </c>
      <c r="C302" s="921" t="s">
        <v>388</v>
      </c>
      <c r="D302" s="921" t="s">
        <v>388</v>
      </c>
      <c r="E302" s="1026" t="s">
        <v>388</v>
      </c>
    </row>
    <row r="303" spans="2:5" hidden="1" x14ac:dyDescent="0.45"/>
    <row r="304" spans="2:5"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wdczFBOEGzlOBqPlMYLJ7JPsu+xkhqxeeFfTXoXcXuOovR/N65vB/qC+pNaCF2CVwrY4gpjW4XngQwvBYY7fbA==" saltValue="FnUPlfZHMxmddnFY8b18yg==" spinCount="100000" sheet="1" objects="1" scenarios="1" selectLockedCells="1" selectUnlockedCells="1"/>
  <pageMargins left="0.23622047244094491" right="0.23622047244094491" top="0.6692913385826772" bottom="0.74803149606299213" header="0.31496062992125984" footer="0.31496062992125984"/>
  <pageSetup paperSize="9" scale="50"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theme="7" tint="0.59999389629810485"/>
  </sheetPr>
  <dimension ref="A1:AB2000"/>
  <sheetViews>
    <sheetView showGridLines="0" showRowColHeaders="0" topLeftCell="A2001" zoomScale="70" zoomScaleNormal="70" workbookViewId="0">
      <selection activeCell="S9" sqref="S9:AA9"/>
    </sheetView>
  </sheetViews>
  <sheetFormatPr defaultColWidth="9.1328125" defaultRowHeight="14.25" x14ac:dyDescent="0.45"/>
  <cols>
    <col min="1" max="1" width="7.1328125" style="11" customWidth="1"/>
    <col min="2" max="2" width="15.1328125" style="11" customWidth="1"/>
    <col min="3" max="3" width="19.3984375" style="11" customWidth="1"/>
    <col min="4" max="27" width="20.73046875" style="11" customWidth="1"/>
    <col min="28" max="16384" width="9.1328125" style="11"/>
  </cols>
  <sheetData>
    <row r="1" spans="1:28" s="9" customFormat="1" hidden="1" x14ac:dyDescent="0.45">
      <c r="A1" s="1815" t="s">
        <v>317</v>
      </c>
      <c r="B1" s="1816"/>
      <c r="C1" s="1817"/>
      <c r="D1" s="1240">
        <f t="array" aca="1" ref="D1:AA1" ca="1">IF(display_week="","",plan_start_date+display_week*7-7)</f>
        <v>43374</v>
      </c>
      <c r="E1" s="1240">
        <f ca="1"/>
        <v>43381</v>
      </c>
      <c r="F1" s="1240">
        <f ca="1"/>
        <v>43388</v>
      </c>
      <c r="G1" s="1241">
        <f ca="1"/>
        <v>43395</v>
      </c>
      <c r="H1" s="1241">
        <f ca="1"/>
        <v>43402</v>
      </c>
      <c r="I1" s="1241">
        <f ca="1"/>
        <v>43409</v>
      </c>
      <c r="J1" s="1241">
        <f ca="1"/>
        <v>43416</v>
      </c>
      <c r="K1" s="1241">
        <f ca="1"/>
        <v>43423</v>
      </c>
      <c r="L1" s="1241">
        <f ca="1"/>
        <v>43430</v>
      </c>
      <c r="M1" s="1241">
        <f ca="1"/>
        <v>43437</v>
      </c>
      <c r="N1" s="1241">
        <f ca="1"/>
        <v>43444</v>
      </c>
      <c r="O1" s="1241">
        <f ca="1"/>
        <v>43451</v>
      </c>
      <c r="P1" s="1241">
        <f ca="1"/>
        <v>43458</v>
      </c>
      <c r="Q1" s="1241">
        <f ca="1"/>
        <v>43465</v>
      </c>
      <c r="R1" s="1241">
        <f ca="1"/>
        <v>43472</v>
      </c>
      <c r="S1" s="1241">
        <f ca="1"/>
        <v>43479</v>
      </c>
      <c r="T1" s="1241">
        <f ca="1"/>
        <v>43486</v>
      </c>
      <c r="U1" s="1241">
        <f ca="1"/>
        <v>43493</v>
      </c>
      <c r="V1" s="1241">
        <f ca="1"/>
        <v>43500</v>
      </c>
      <c r="W1" s="1241" t="str">
        <f ca="1"/>
        <v/>
      </c>
      <c r="X1" s="1241" t="str">
        <f ca="1"/>
        <v/>
      </c>
      <c r="Y1" s="1241" t="str">
        <f ca="1"/>
        <v/>
      </c>
      <c r="Z1" s="1241" t="str">
        <f ca="1"/>
        <v/>
      </c>
      <c r="AA1" s="1242" t="str">
        <f ca="1"/>
        <v/>
      </c>
      <c r="AB1" s="13"/>
    </row>
    <row r="2" spans="1:28" s="9" customFormat="1" hidden="1" x14ac:dyDescent="0.45">
      <c r="A2" s="1832" t="s">
        <v>318</v>
      </c>
      <c r="B2" s="1833"/>
      <c r="C2" s="1834"/>
      <c r="D2" s="513">
        <f t="array" aca="1" ref="D2:AA2" ca="1">IF(display_strategy="","",COLUMN(display_strategy)-3)</f>
        <v>1</v>
      </c>
      <c r="E2" s="514">
        <f ca="1"/>
        <v>2</v>
      </c>
      <c r="F2" s="513">
        <f ca="1"/>
        <v>3</v>
      </c>
      <c r="G2" s="513">
        <f ca="1"/>
        <v>4</v>
      </c>
      <c r="H2" s="513">
        <f ca="1"/>
        <v>5</v>
      </c>
      <c r="I2" s="513">
        <f ca="1"/>
        <v>6</v>
      </c>
      <c r="J2" s="513">
        <f ca="1"/>
        <v>7</v>
      </c>
      <c r="K2" s="513">
        <f ca="1"/>
        <v>8</v>
      </c>
      <c r="L2" s="513">
        <f ca="1"/>
        <v>9</v>
      </c>
      <c r="M2" s="513">
        <f ca="1"/>
        <v>10</v>
      </c>
      <c r="N2" s="513">
        <f ca="1"/>
        <v>11</v>
      </c>
      <c r="O2" s="513">
        <f ca="1"/>
        <v>12</v>
      </c>
      <c r="P2" s="513">
        <f ca="1"/>
        <v>13</v>
      </c>
      <c r="Q2" s="514">
        <f ca="1"/>
        <v>14</v>
      </c>
      <c r="R2" s="513">
        <f ca="1"/>
        <v>15</v>
      </c>
      <c r="S2" s="513">
        <f ca="1"/>
        <v>16</v>
      </c>
      <c r="T2" s="513">
        <f ca="1"/>
        <v>17</v>
      </c>
      <c r="U2" s="513">
        <f ca="1"/>
        <v>18</v>
      </c>
      <c r="V2" s="513">
        <f ca="1"/>
        <v>19</v>
      </c>
      <c r="W2" s="513" t="str">
        <f ca="1"/>
        <v/>
      </c>
      <c r="X2" s="513" t="str">
        <f ca="1"/>
        <v/>
      </c>
      <c r="Y2" s="513" t="str">
        <f ca="1"/>
        <v/>
      </c>
      <c r="Z2" s="513" t="str">
        <f ca="1"/>
        <v/>
      </c>
      <c r="AA2" s="515" t="str">
        <f ca="1"/>
        <v/>
      </c>
      <c r="AB2" s="13"/>
    </row>
    <row r="3" spans="1:28" s="9" customFormat="1" hidden="1" x14ac:dyDescent="0.45">
      <c r="A3" s="1832" t="s">
        <v>319</v>
      </c>
      <c r="B3" s="1833"/>
      <c r="C3" s="1834"/>
      <c r="D3" s="513">
        <f t="array" aca="1" ref="D3:AA3" ca="1">IF(display_strategy="","",MAX(display_week)-COLUMN(display_strategy)+3)</f>
        <v>18</v>
      </c>
      <c r="E3" s="514">
        <f ca="1"/>
        <v>17</v>
      </c>
      <c r="F3" s="513">
        <f ca="1"/>
        <v>16</v>
      </c>
      <c r="G3" s="513">
        <f ca="1"/>
        <v>15</v>
      </c>
      <c r="H3" s="513">
        <f ca="1"/>
        <v>14</v>
      </c>
      <c r="I3" s="513">
        <f ca="1"/>
        <v>13</v>
      </c>
      <c r="J3" s="513">
        <f ca="1"/>
        <v>12</v>
      </c>
      <c r="K3" s="513">
        <f ca="1"/>
        <v>11</v>
      </c>
      <c r="L3" s="513">
        <f ca="1"/>
        <v>10</v>
      </c>
      <c r="M3" s="513">
        <f ca="1"/>
        <v>9</v>
      </c>
      <c r="N3" s="513">
        <f ca="1"/>
        <v>8</v>
      </c>
      <c r="O3" s="513">
        <f ca="1"/>
        <v>7</v>
      </c>
      <c r="P3" s="513">
        <f ca="1"/>
        <v>6</v>
      </c>
      <c r="Q3" s="513">
        <f ca="1"/>
        <v>5</v>
      </c>
      <c r="R3" s="513">
        <f ca="1"/>
        <v>4</v>
      </c>
      <c r="S3" s="513">
        <f ca="1"/>
        <v>3</v>
      </c>
      <c r="T3" s="513">
        <f ca="1"/>
        <v>2</v>
      </c>
      <c r="U3" s="513">
        <f ca="1"/>
        <v>1</v>
      </c>
      <c r="V3" s="513">
        <f ca="1"/>
        <v>0</v>
      </c>
      <c r="W3" s="513" t="str">
        <f ca="1"/>
        <v/>
      </c>
      <c r="X3" s="513" t="str">
        <f ca="1"/>
        <v/>
      </c>
      <c r="Y3" s="513" t="str">
        <f ca="1"/>
        <v/>
      </c>
      <c r="Z3" s="513" t="str">
        <f ca="1"/>
        <v/>
      </c>
      <c r="AA3" s="515" t="str">
        <f ca="1"/>
        <v/>
      </c>
      <c r="AB3" s="13"/>
    </row>
    <row r="4" spans="1:28" s="10" customFormat="1" ht="15" hidden="1" customHeight="1" x14ac:dyDescent="0.45">
      <c r="A4" s="1820" t="s">
        <v>453</v>
      </c>
      <c r="B4" s="1800"/>
      <c r="C4" s="1801"/>
      <c r="D4" s="565" t="str">
        <f t="array" ref="D4:AA4" ca="1">IF(plan_strategy="", "", INDEX(strategies_name,, plan_strategy))</f>
        <v>Conservative Balance</v>
      </c>
      <c r="E4" s="565" t="str">
        <f ca="1"/>
        <v>Conservative Balance</v>
      </c>
      <c r="F4" s="565" t="str">
        <f ca="1"/>
        <v>Conservative Balance</v>
      </c>
      <c r="G4" s="565" t="str">
        <f ca="1"/>
        <v>Conservative Balance</v>
      </c>
      <c r="H4" s="565" t="str">
        <f ca="1"/>
        <v>Conservative Balance</v>
      </c>
      <c r="I4" s="565" t="str">
        <f ca="1"/>
        <v>Conservative Balance</v>
      </c>
      <c r="J4" s="565" t="str">
        <f ca="1"/>
        <v>Taper</v>
      </c>
      <c r="K4" s="565" t="str">
        <f ca="1"/>
        <v>Taper</v>
      </c>
      <c r="L4" s="566" t="str">
        <f ca="1"/>
        <v>Maintain</v>
      </c>
      <c r="M4" s="565" t="str">
        <f ca="1"/>
        <v>Recover</v>
      </c>
      <c r="N4" s="565" t="str">
        <f ca="1"/>
        <v>Overload</v>
      </c>
      <c r="O4" s="565" t="str">
        <f ca="1"/>
        <v>Conservative Balance</v>
      </c>
      <c r="P4" s="565" t="str">
        <f ca="1"/>
        <v>Conservative Balance</v>
      </c>
      <c r="Q4" s="565" t="str">
        <f ca="1"/>
        <v>Overload</v>
      </c>
      <c r="R4" s="565" t="str">
        <f ca="1"/>
        <v>Recover</v>
      </c>
      <c r="S4" s="565" t="str">
        <f ca="1"/>
        <v>Recover</v>
      </c>
      <c r="T4" s="566" t="str">
        <f ca="1"/>
        <v>Maintain</v>
      </c>
      <c r="U4" s="566" t="str">
        <f ca="1"/>
        <v>Maintain</v>
      </c>
      <c r="V4" s="566" t="str">
        <f ca="1"/>
        <v>Race</v>
      </c>
      <c r="W4" s="566" t="str">
        <f ca="1"/>
        <v/>
      </c>
      <c r="X4" s="566" t="str">
        <f ca="1"/>
        <v/>
      </c>
      <c r="Y4" s="566" t="str">
        <f ca="1"/>
        <v/>
      </c>
      <c r="Z4" s="566" t="str">
        <f ca="1"/>
        <v/>
      </c>
      <c r="AA4" s="567" t="str">
        <f ca="1"/>
        <v/>
      </c>
      <c r="AB4" s="14"/>
    </row>
    <row r="5" spans="1:28" s="10" customFormat="1" ht="15" hidden="1" customHeight="1" x14ac:dyDescent="0.45">
      <c r="A5" s="1782" t="s">
        <v>398</v>
      </c>
      <c r="B5" s="1818" t="s">
        <v>453</v>
      </c>
      <c r="C5" s="1819"/>
      <c r="D5" s="714">
        <f t="array" aca="1" ref="D5:AA5" ca="1">IF(INDIRECT(strategy_array)=0,"",INDIRECT(strategy_array))</f>
        <v>4</v>
      </c>
      <c r="E5" s="715">
        <f ca="1"/>
        <v>4</v>
      </c>
      <c r="F5" s="715">
        <f ca="1"/>
        <v>4</v>
      </c>
      <c r="G5" s="715">
        <f ca="1"/>
        <v>4</v>
      </c>
      <c r="H5" s="715">
        <f ca="1"/>
        <v>4</v>
      </c>
      <c r="I5" s="715">
        <f ca="1"/>
        <v>4</v>
      </c>
      <c r="J5" s="715">
        <f ca="1"/>
        <v>13</v>
      </c>
      <c r="K5" s="715">
        <f ca="1"/>
        <v>13</v>
      </c>
      <c r="L5" s="715">
        <f ca="1"/>
        <v>3</v>
      </c>
      <c r="M5" s="715">
        <f ca="1"/>
        <v>2</v>
      </c>
      <c r="N5" s="715">
        <f ca="1"/>
        <v>12</v>
      </c>
      <c r="O5" s="715">
        <f ca="1"/>
        <v>4</v>
      </c>
      <c r="P5" s="715">
        <f ca="1"/>
        <v>4</v>
      </c>
      <c r="Q5" s="715">
        <f ca="1"/>
        <v>12</v>
      </c>
      <c r="R5" s="715">
        <f ca="1"/>
        <v>2</v>
      </c>
      <c r="S5" s="715">
        <f ca="1"/>
        <v>2</v>
      </c>
      <c r="T5" s="715">
        <f ca="1"/>
        <v>3</v>
      </c>
      <c r="U5" s="715">
        <f ca="1"/>
        <v>3</v>
      </c>
      <c r="V5" s="715">
        <f ca="1"/>
        <v>14</v>
      </c>
      <c r="W5" s="715" t="str">
        <f ca="1"/>
        <v/>
      </c>
      <c r="X5" s="715" t="str">
        <f ca="1"/>
        <v/>
      </c>
      <c r="Y5" s="715" t="str">
        <f ca="1"/>
        <v/>
      </c>
      <c r="Z5" s="715" t="str">
        <f ca="1"/>
        <v/>
      </c>
      <c r="AA5" s="716" t="str">
        <f ca="1"/>
        <v/>
      </c>
      <c r="AB5" s="14"/>
    </row>
    <row r="6" spans="1:28" s="10" customFormat="1" ht="15" hidden="1" customHeight="1" x14ac:dyDescent="0.45">
      <c r="A6" s="1783"/>
      <c r="B6" s="1827" t="s">
        <v>800</v>
      </c>
      <c r="C6" s="1828"/>
      <c r="D6" s="1543">
        <f>athlete_starting_progression_rate</f>
        <v>4.4776119402985204E-2</v>
      </c>
      <c r="E6" s="1543">
        <f t="shared" ref="E6:AA6" ca="1" si="0">((athlete_duration_maximum*(1+athlete_progression_maximum))/(athlete_progression_maximum))/(D15+(athlete_duration_maximum/(athlete_progression_maximum))) - 1</f>
        <v>4.4776119402985204E-2</v>
      </c>
      <c r="F6" s="1543">
        <f t="shared" ca="1" si="0"/>
        <v>4.1643531371460485E-2</v>
      </c>
      <c r="G6" s="1543">
        <f t="shared" ca="1" si="0"/>
        <v>3.8617593145634954E-2</v>
      </c>
      <c r="H6" s="1543">
        <f t="shared" ca="1" si="0"/>
        <v>3.5711319974188971E-2</v>
      </c>
      <c r="I6" s="1543">
        <f t="shared" ca="1" si="0"/>
        <v>3.2935251130113086E-2</v>
      </c>
      <c r="J6" s="1543">
        <f t="shared" ca="1" si="0"/>
        <v>3.0297414357656871E-2</v>
      </c>
      <c r="K6" s="1543">
        <f t="shared" ca="1" si="0"/>
        <v>4.7536607192804947E-2</v>
      </c>
      <c r="L6" s="1543">
        <f t="shared" ca="1" si="0"/>
        <v>5.780249437976992E-2</v>
      </c>
      <c r="M6" s="1544">
        <f t="shared" ca="1" si="0"/>
        <v>5.780249437976992E-2</v>
      </c>
      <c r="N6" s="1544">
        <f t="shared" ca="1" si="0"/>
        <v>7.1807484301757984E-2</v>
      </c>
      <c r="O6" s="1544">
        <f t="shared" ca="1" si="0"/>
        <v>4.0468245395662406E-2</v>
      </c>
      <c r="P6" s="1544">
        <f t="shared" ca="1" si="0"/>
        <v>5.4417840442976928E-2</v>
      </c>
      <c r="Q6" s="1544">
        <f t="shared" ca="1" si="0"/>
        <v>5.1068648207848399E-2</v>
      </c>
      <c r="R6" s="1544">
        <f t="shared" ca="1" si="0"/>
        <v>3.2013798336205435E-2</v>
      </c>
      <c r="S6" s="1544">
        <f t="shared" ca="1" si="0"/>
        <v>7.4208218395422021E-2</v>
      </c>
      <c r="T6" s="1544">
        <f t="shared" ca="1" si="0"/>
        <v>7.4208218395422021E-2</v>
      </c>
      <c r="U6" s="1544">
        <f t="shared" ca="1" si="0"/>
        <v>5.9765201532121059E-2</v>
      </c>
      <c r="V6" s="1544">
        <f t="shared" ca="1" si="0"/>
        <v>5.9765201532121059E-2</v>
      </c>
      <c r="W6" s="1544">
        <f t="shared" ca="1" si="0"/>
        <v>5.9765201532121059E-2</v>
      </c>
      <c r="X6" s="1544">
        <f t="shared" ca="1" si="0"/>
        <v>5.9765201532121059E-2</v>
      </c>
      <c r="Y6" s="1544">
        <f t="shared" ca="1" si="0"/>
        <v>5.9765201532121059E-2</v>
      </c>
      <c r="Z6" s="1544">
        <f t="shared" ca="1" si="0"/>
        <v>5.9765201532121059E-2</v>
      </c>
      <c r="AA6" s="1545">
        <f t="shared" ca="1" si="0"/>
        <v>5.9765201532121059E-2</v>
      </c>
      <c r="AB6" s="14"/>
    </row>
    <row r="7" spans="1:28" s="10" customFormat="1" ht="15" hidden="1" customHeight="1" x14ac:dyDescent="0.45">
      <c r="A7" s="1783"/>
      <c r="B7" s="1827" t="s">
        <v>801</v>
      </c>
      <c r="C7" s="1828"/>
      <c r="D7" s="1550">
        <f>athlete_starting_load</f>
        <v>897.39209124195543</v>
      </c>
      <c r="E7" s="1550">
        <f ca="1">D18 * (1+E6)</f>
        <v>937.57382667069976</v>
      </c>
      <c r="F7" s="1550">
        <f t="shared" ref="F7:AA7" ca="1" si="1">E18 * (1+F6)</f>
        <v>976.6177117347213</v>
      </c>
      <c r="G7" s="1550">
        <f t="shared" ca="1" si="1"/>
        <v>1014.3323371853138</v>
      </c>
      <c r="H7" s="1550">
        <f t="shared" ca="1" si="1"/>
        <v>1050.5554838387052</v>
      </c>
      <c r="I7" s="1550">
        <f t="shared" ca="1" si="1"/>
        <v>1085.1557925250506</v>
      </c>
      <c r="J7" s="1550">
        <f t="shared" ca="1" si="1"/>
        <v>1118.0332072137937</v>
      </c>
      <c r="K7" s="1550">
        <f t="shared" ca="1" si="1"/>
        <v>903.16771680189368</v>
      </c>
      <c r="L7" s="1550">
        <f t="shared" ca="1" si="1"/>
        <v>775.21596720238585</v>
      </c>
      <c r="M7" s="1551">
        <f t="shared" ca="1" si="1"/>
        <v>775.21596720238585</v>
      </c>
      <c r="N7" s="1551">
        <f t="shared" ca="1" si="1"/>
        <v>600.66086728689356</v>
      </c>
      <c r="O7" s="1551">
        <f t="shared" ca="1" si="1"/>
        <v>991.26621645178795</v>
      </c>
      <c r="P7" s="1551">
        <f t="shared" ca="1" si="1"/>
        <v>817.40154601445329</v>
      </c>
      <c r="Q7" s="1551">
        <f t="shared" ca="1" si="1"/>
        <v>859.14513801241685</v>
      </c>
      <c r="R7" s="1551">
        <f t="shared" ca="1" si="1"/>
        <v>1096.6405765487414</v>
      </c>
      <c r="S7" s="1551">
        <f t="shared" ca="1" si="1"/>
        <v>570.73864799760213</v>
      </c>
      <c r="T7" s="1551">
        <f t="shared" ca="1" si="1"/>
        <v>570.73864799760213</v>
      </c>
      <c r="U7" s="1551">
        <f t="shared" ca="1" si="1"/>
        <v>750.75321892538443</v>
      </c>
      <c r="V7" s="1551">
        <f t="shared" ca="1" si="1"/>
        <v>750.75321892538443</v>
      </c>
      <c r="W7" s="1551">
        <f t="shared" ca="1" si="1"/>
        <v>750.75321892538443</v>
      </c>
      <c r="X7" s="1551">
        <f t="shared" ca="1" si="1"/>
        <v>750.75321892538443</v>
      </c>
      <c r="Y7" s="1551">
        <f t="shared" ca="1" si="1"/>
        <v>750.75321892538443</v>
      </c>
      <c r="Z7" s="1551">
        <f t="shared" ca="1" si="1"/>
        <v>750.75321892538443</v>
      </c>
      <c r="AA7" s="134">
        <f t="shared" ca="1" si="1"/>
        <v>750.75321892538443</v>
      </c>
      <c r="AB7" s="14"/>
    </row>
    <row r="8" spans="1:28" s="10" customFormat="1" ht="15" hidden="1" customHeight="1" x14ac:dyDescent="0.45">
      <c r="A8" s="1783"/>
      <c r="B8" s="1831" t="s">
        <v>791</v>
      </c>
      <c r="C8" s="1819"/>
      <c r="D8" s="1542">
        <f t="shared" ref="D8:AA8" si="2">IFERROR( (1+athlete_recovery_rate) * MAX(IF(A4="Overload",0,A15), IF(B4="Overload",0,B15), IF(C4="Overload",0,C15))/C15 -1,0)</f>
        <v>0</v>
      </c>
      <c r="E8" s="1542">
        <f t="shared" ca="1" si="2"/>
        <v>-0.35</v>
      </c>
      <c r="F8" s="1542">
        <f t="shared" ca="1" si="2"/>
        <v>-0.35</v>
      </c>
      <c r="G8" s="1542">
        <f t="shared" ca="1" si="2"/>
        <v>-0.35</v>
      </c>
      <c r="H8" s="1542">
        <f t="shared" ca="1" si="2"/>
        <v>-0.35</v>
      </c>
      <c r="I8" s="1542">
        <f t="shared" ca="1" si="2"/>
        <v>-0.35</v>
      </c>
      <c r="J8" s="1542">
        <f t="shared" ca="1" si="2"/>
        <v>-0.35</v>
      </c>
      <c r="K8" s="1542">
        <f t="shared" ca="1" si="2"/>
        <v>-0.18190026346200461</v>
      </c>
      <c r="L8" s="1542">
        <f t="shared" ca="1" si="2"/>
        <v>-3.7529721720005349E-2</v>
      </c>
      <c r="M8" s="1546">
        <f t="shared" ca="1" si="2"/>
        <v>-0.23529411764705876</v>
      </c>
      <c r="N8" s="1546">
        <f t="shared" ca="1" si="2"/>
        <v>-0.15000000000000002</v>
      </c>
      <c r="O8" s="1546">
        <f t="shared" ca="1" si="2"/>
        <v>-0.5</v>
      </c>
      <c r="P8" s="1546">
        <f t="shared" ca="1" si="2"/>
        <v>-0.35</v>
      </c>
      <c r="Q8" s="1546">
        <f t="shared" ca="1" si="2"/>
        <v>-0.35</v>
      </c>
      <c r="R8" s="1546">
        <f t="shared" ca="1" si="2"/>
        <v>-0.5</v>
      </c>
      <c r="S8" s="1546">
        <f t="shared" ca="1" si="2"/>
        <v>0</v>
      </c>
      <c r="T8" s="1546">
        <f t="shared" ca="1" si="2"/>
        <v>-0.35</v>
      </c>
      <c r="U8" s="1546">
        <f t="shared" ca="1" si="2"/>
        <v>-0.35000000000000009</v>
      </c>
      <c r="V8" s="1546">
        <f t="shared" ca="1" si="2"/>
        <v>-0.35000000000000009</v>
      </c>
      <c r="W8" s="1546">
        <f t="shared" ca="1" si="2"/>
        <v>-0.35000000000000009</v>
      </c>
      <c r="X8" s="1546">
        <f t="shared" ca="1" si="2"/>
        <v>-0.35000000000000009</v>
      </c>
      <c r="Y8" s="1546">
        <f t="shared" ca="1" si="2"/>
        <v>-0.35000000000000009</v>
      </c>
      <c r="Z8" s="1546">
        <f t="shared" ca="1" si="2"/>
        <v>-0.35000000000000009</v>
      </c>
      <c r="AA8" s="1547">
        <f t="shared" ca="1" si="2"/>
        <v>-0.35000000000000009</v>
      </c>
      <c r="AB8" s="14"/>
    </row>
    <row r="9" spans="1:28" s="10" customFormat="1" ht="15" hidden="1" customHeight="1" x14ac:dyDescent="0.45">
      <c r="A9" s="1783"/>
      <c r="B9" s="1827" t="s">
        <v>795</v>
      </c>
      <c r="C9" s="1828"/>
      <c r="D9" s="1544">
        <f t="shared" ref="D9:AA9" si="3">IFERROR( MIN(IF(OR(C4="Overload", C4="Recover", C4=""), 10000, C18), IF(OR(B4="Overload", B4="Recover", B4=""), 10000, B18), IF(OR(A4="Overload", A4="Recover", A4=""), 10000, A18)) * (1 + athlete_taper_rate)/C18 - 1, 0)</f>
        <v>0</v>
      </c>
      <c r="E9" s="1544">
        <f t="shared" ca="1" si="3"/>
        <v>-0.15000000000000013</v>
      </c>
      <c r="F9" s="1544">
        <f t="shared" ca="1" si="3"/>
        <v>-0.18642857142857161</v>
      </c>
      <c r="G9" s="1544">
        <f t="shared" ca="1" si="3"/>
        <v>-0.21895408163265329</v>
      </c>
      <c r="H9" s="1544">
        <f t="shared" ca="1" si="3"/>
        <v>-0.21432283734389301</v>
      </c>
      <c r="I9" s="1544">
        <f t="shared" ca="1" si="3"/>
        <v>-0.2098227387845758</v>
      </c>
      <c r="J9" s="1544">
        <f t="shared" ca="1" si="3"/>
        <v>-0.20547584729626445</v>
      </c>
      <c r="K9" s="1544">
        <f t="shared" ca="1" si="3"/>
        <v>-0.15000000000000002</v>
      </c>
      <c r="L9" s="1544">
        <f t="shared" ca="1" si="3"/>
        <v>-0.14999999999999991</v>
      </c>
      <c r="M9" s="1544">
        <f t="shared" ca="1" si="3"/>
        <v>-0.14999999999999991</v>
      </c>
      <c r="N9" s="1544">
        <f t="shared" ca="1" si="3"/>
        <v>0.11153846153846159</v>
      </c>
      <c r="O9" s="1544">
        <f t="shared" ca="1" si="3"/>
        <v>-0.34615384615384626</v>
      </c>
      <c r="P9" s="1544">
        <f t="shared" ca="1" si="3"/>
        <v>-0.15000000000000002</v>
      </c>
      <c r="Q9" s="1544">
        <f t="shared" ca="1" si="3"/>
        <v>-0.19386796448464672</v>
      </c>
      <c r="R9" s="1544">
        <f t="shared" ca="1" si="3"/>
        <v>-0.37989843421895908</v>
      </c>
      <c r="S9" s="1544">
        <f t="shared" ca="1" si="3"/>
        <v>0.30769230769230749</v>
      </c>
      <c r="T9" s="1544">
        <f t="shared" ca="1" si="3"/>
        <v>14.998162886630814</v>
      </c>
      <c r="U9" s="1544">
        <f t="shared" ca="1" si="3"/>
        <v>-0.14999999999999991</v>
      </c>
      <c r="V9" s="1544">
        <f t="shared" ca="1" si="3"/>
        <v>-0.14999999999999991</v>
      </c>
      <c r="W9" s="1544">
        <f t="shared" ca="1" si="3"/>
        <v>-0.14999999999999991</v>
      </c>
      <c r="X9" s="1544">
        <f t="shared" ca="1" si="3"/>
        <v>-0.14999999999999991</v>
      </c>
      <c r="Y9" s="1544">
        <f t="shared" ca="1" si="3"/>
        <v>-0.14999999999999991</v>
      </c>
      <c r="Z9" s="1544">
        <f t="shared" ca="1" si="3"/>
        <v>10.998622164973112</v>
      </c>
      <c r="AA9" s="1545">
        <f t="shared" ca="1" si="3"/>
        <v>10.998622164973112</v>
      </c>
      <c r="AB9" s="14"/>
    </row>
    <row r="10" spans="1:28" s="10" customFormat="1" ht="15" hidden="1" customHeight="1" x14ac:dyDescent="0.45">
      <c r="A10" s="1783"/>
      <c r="B10" s="1831" t="s">
        <v>790</v>
      </c>
      <c r="C10" s="1819"/>
      <c r="D10" s="1542">
        <f t="shared" ref="D10:Z10" si="4">IFERROR( IF(OR(C4="Overload", C4="Recover", C4="Race"), IF(OR(B4="Overload", B4="Recover", B4="Race"), IF(OR(A4="Overload", A4="Recover", A4="Race"), AVERAGE(A15:C15), A15), B15), C15)/C15 -1,0)</f>
        <v>0</v>
      </c>
      <c r="E10" s="1542">
        <f t="shared" ca="1" si="4"/>
        <v>0</v>
      </c>
      <c r="F10" s="1542">
        <f t="shared" ca="1" si="4"/>
        <v>0</v>
      </c>
      <c r="G10" s="1542">
        <f t="shared" ca="1" si="4"/>
        <v>0</v>
      </c>
      <c r="H10" s="1542">
        <f t="shared" ca="1" si="4"/>
        <v>0</v>
      </c>
      <c r="I10" s="1542">
        <f t="shared" ca="1" si="4"/>
        <v>0</v>
      </c>
      <c r="J10" s="1542">
        <f t="shared" ca="1" si="4"/>
        <v>0</v>
      </c>
      <c r="K10" s="1542">
        <f t="shared" ca="1" si="4"/>
        <v>0</v>
      </c>
      <c r="L10" s="1546">
        <f t="shared" ca="1" si="4"/>
        <v>0</v>
      </c>
      <c r="M10" s="1546">
        <f t="shared" ca="1" si="4"/>
        <v>0</v>
      </c>
      <c r="N10" s="1546">
        <f t="shared" ca="1" si="4"/>
        <v>0.30769230769230749</v>
      </c>
      <c r="O10" s="1546">
        <f t="shared" ca="1" si="4"/>
        <v>-0.23076923076923084</v>
      </c>
      <c r="P10" s="1546">
        <f t="shared" ca="1" si="4"/>
        <v>0</v>
      </c>
      <c r="Q10" s="1546">
        <f t="shared" ca="1" si="4"/>
        <v>0</v>
      </c>
      <c r="R10" s="1546">
        <f t="shared" ca="1" si="4"/>
        <v>-0.23076923076923084</v>
      </c>
      <c r="S10" s="1546">
        <f t="shared" ca="1" si="4"/>
        <v>0.53846153846153832</v>
      </c>
      <c r="T10" s="1546">
        <f t="shared" ca="1" si="4"/>
        <v>0.33333333333333326</v>
      </c>
      <c r="U10" s="1546">
        <f t="shared" ca="1" si="4"/>
        <v>0</v>
      </c>
      <c r="V10" s="1546">
        <f t="shared" ca="1" si="4"/>
        <v>0</v>
      </c>
      <c r="W10" s="1546">
        <f t="shared" ca="1" si="4"/>
        <v>0</v>
      </c>
      <c r="X10" s="1546">
        <f t="shared" ca="1" si="4"/>
        <v>0</v>
      </c>
      <c r="Y10" s="1546">
        <f t="shared" ca="1" si="4"/>
        <v>0</v>
      </c>
      <c r="Z10" s="1546">
        <f t="shared" ca="1" si="4"/>
        <v>0</v>
      </c>
      <c r="AA10" s="1547">
        <f ca="1">IFERROR( IF(OR(Z4="Overload", Z4="Recover", Z4="Race"), IF(OR(Y4="Overload", Y4="Recover", Y4="Race"), IF(OR(X4="Overload", X4="Recover", X4="Race"), AVERAGE(X15:Z15), X15), Y15), Z15)/Z15 -1,0)</f>
        <v>0</v>
      </c>
      <c r="AB10" s="14"/>
    </row>
    <row r="11" spans="1:28" s="10" customFormat="1" ht="15" hidden="1" customHeight="1" x14ac:dyDescent="0.45">
      <c r="A11" s="1783"/>
      <c r="B11" s="1825" t="s">
        <v>792</v>
      </c>
      <c r="C11" s="1826"/>
      <c r="D11" s="717">
        <f t="shared" ref="D11" si="5">IFERROR( IF(OR(C4="Overload", C4="Race", C4="Recover"), IF(OR(B4="Overload",B4="Race", B4="Recover"), IF(OR(A4="Overload", A4="Race", A4="Recover"), A7, B7), C7), D7) / C18 - 1, 1)</f>
        <v>1</v>
      </c>
      <c r="E11" s="717">
        <f t="shared" ref="E11" ca="1" si="6">IFERROR( IF(OR(D4="Overload", D4="Race", D4="Recover"), IF(OR(C4="Overload",C4="Race", C4="Recover"), IF(OR(B4="Overload", B4="Race", B4="Recover"), B7, C7), D7), E7) / D18 - 1, 1)</f>
        <v>4.4776119402985204E-2</v>
      </c>
      <c r="F11" s="717">
        <f t="shared" ref="F11" ca="1" si="7">IFERROR( IF(OR(E4="Overload", E4="Race", E4="Recover"), IF(OR(D4="Overload",D4="Race", D4="Recover"), IF(OR(C4="Overload", C4="Race", C4="Recover"), C7, D7), E7), F7) / E18 - 1, 1)</f>
        <v>4.1643531371460485E-2</v>
      </c>
      <c r="G11" s="717">
        <f t="shared" ref="G11" ca="1" si="8">IFERROR( IF(OR(F4="Overload", F4="Race", F4="Recover"), IF(OR(E4="Overload",E4="Race", E4="Recover"), IF(OR(D4="Overload", D4="Race", D4="Recover"), D7, E7), F7), G7) / F18 - 1, 1)</f>
        <v>3.8617593145634954E-2</v>
      </c>
      <c r="H11" s="717">
        <f t="shared" ref="H11" ca="1" si="9">IFERROR( IF(OR(G4="Overload", G4="Race", G4="Recover"), IF(OR(F4="Overload",F4="Race", F4="Recover"), IF(OR(E4="Overload", E4="Race", E4="Recover"), E7, F7), G7), H7) / G18 - 1, 1)</f>
        <v>3.5711319974188971E-2</v>
      </c>
      <c r="I11" s="717">
        <f t="shared" ref="I11" ca="1" si="10">IFERROR( IF(OR(H4="Overload", H4="Race", H4="Recover"), IF(OR(G4="Overload",G4="Race", G4="Recover"), IF(OR(F4="Overload", F4="Race", F4="Recover"), F7, G7), H7), I7) / H18 - 1, 1)</f>
        <v>3.2935251130113086E-2</v>
      </c>
      <c r="J11" s="717">
        <f t="shared" ref="J11" ca="1" si="11">IFERROR( IF(OR(I4="Overload", I4="Race", I4="Recover"), IF(OR(H4="Overload",H4="Race", H4="Recover"), IF(OR(G4="Overload", G4="Race", G4="Recover"), G7, H7), I7), J7) / I18 - 1, 1)</f>
        <v>3.0297414357656871E-2</v>
      </c>
      <c r="K11" s="717">
        <f t="shared" ref="K11" ca="1" si="12">IFERROR( IF(OR(J4="Overload", J4="Race", J4="Recover"), IF(OR(I4="Overload",I4="Race", I4="Recover"), IF(OR(H4="Overload", H4="Race", H4="Recover"), H7, I7), J7), K7) / J18 - 1, 1)</f>
        <v>4.7536607192804947E-2</v>
      </c>
      <c r="L11" s="718">
        <f t="shared" ref="L11" ca="1" si="13">IFERROR( IF(OR(K4="Overload", K4="Race", K4="Recover"), IF(OR(J4="Overload",J4="Race", J4="Recover"), IF(OR(I4="Overload", I4="Race", I4="Recover"), I7, J7), K7), L7) / K18 - 1, 1)</f>
        <v>5.780249437976992E-2</v>
      </c>
      <c r="M11" s="718">
        <f t="shared" ref="M11" ca="1" si="14">IFERROR( IF(OR(L4="Overload", L4="Race", L4="Recover"), IF(OR(K4="Overload",K4="Race", K4="Recover"), IF(OR(J4="Overload", J4="Race", J4="Recover"), J7, K7), L7), M7) / L18 - 1, 1)</f>
        <v>5.780249437976992E-2</v>
      </c>
      <c r="N11" s="718">
        <f t="shared" ref="N11" ca="1" si="15">IFERROR( IF(OR(M4="Overload", M4="Race", M4="Recover"), IF(OR(L4="Overload",L4="Race", L4="Recover"), IF(OR(K4="Overload", K4="Race", K4="Recover"), K7, L7), M7), N7) / M18 - 1, 1)</f>
        <v>0.38328018495816063</v>
      </c>
      <c r="O11" s="718">
        <f t="shared" ref="O11" ca="1" si="16">IFERROR( IF(OR(N4="Overload", N4="Race", N4="Recover"), IF(OR(M4="Overload",M4="Race", M4="Recover"), IF(OR(L4="Overload", L4="Race", L4="Recover"), L7, M7), N7), O7) / N18 - 1, 1)</f>
        <v>-0.18630577355402322</v>
      </c>
      <c r="P11" s="718">
        <f t="shared" ref="P11:AA11" ca="1" si="17">IFERROR( IF(OR(O4="Overload", O4="Race", O4="Recover"), IF(OR(N4="Overload",N4="Race", N4="Recover"), IF(OR(M4="Overload", M4="Race", M4="Recover"), M7, N7), O7), P7) / O18 - 1, 1)</f>
        <v>5.4417840442976928E-2</v>
      </c>
      <c r="Q11" s="718">
        <f t="shared" ca="1" si="17"/>
        <v>5.1068648207848399E-2</v>
      </c>
      <c r="R11" s="718">
        <f t="shared" ca="1" si="17"/>
        <v>-0.19148565522473204</v>
      </c>
      <c r="S11" s="718">
        <f t="shared" ca="1" si="17"/>
        <v>0.61702868955053591</v>
      </c>
      <c r="T11" s="718">
        <f t="shared" ca="1" si="17"/>
        <v>0.61702868955053591</v>
      </c>
      <c r="U11" s="718">
        <f t="shared" ca="1" si="17"/>
        <v>5.9765201532121059E-2</v>
      </c>
      <c r="V11" s="718">
        <f t="shared" ca="1" si="17"/>
        <v>5.9765201532121059E-2</v>
      </c>
      <c r="W11" s="718">
        <f t="shared" ca="1" si="17"/>
        <v>5.9765201532121059E-2</v>
      </c>
      <c r="X11" s="718">
        <f t="shared" ca="1" si="17"/>
        <v>5.9765201532121059E-2</v>
      </c>
      <c r="Y11" s="718">
        <f t="shared" ca="1" si="17"/>
        <v>5.9765201532121059E-2</v>
      </c>
      <c r="Z11" s="718">
        <f t="shared" ca="1" si="17"/>
        <v>5.9765201532121059E-2</v>
      </c>
      <c r="AA11" s="719">
        <f t="shared" ca="1" si="17"/>
        <v>5.9765201532121059E-2</v>
      </c>
      <c r="AB11" s="14"/>
    </row>
    <row r="12" spans="1:28" s="10" customFormat="1" ht="15" hidden="1" customHeight="1" x14ac:dyDescent="0.45">
      <c r="A12" s="1783"/>
      <c r="B12" s="1831" t="s">
        <v>599</v>
      </c>
      <c r="C12" s="1819"/>
      <c r="D12" s="1539">
        <f t="array" ref="D12:AA12">plan_progression_rate_conservative * 1.5</f>
        <v>1.5</v>
      </c>
      <c r="E12" s="1539">
        <f ca="1"/>
        <v>6.7164179104477806E-2</v>
      </c>
      <c r="F12" s="1539">
        <f ca="1"/>
        <v>6.2465297057190727E-2</v>
      </c>
      <c r="G12" s="1539">
        <f ca="1"/>
        <v>5.7926389718452431E-2</v>
      </c>
      <c r="H12" s="1539">
        <f ca="1"/>
        <v>5.3566979961283456E-2</v>
      </c>
      <c r="I12" s="1539">
        <f ca="1"/>
        <v>4.9402876695169629E-2</v>
      </c>
      <c r="J12" s="1539">
        <f ca="1"/>
        <v>4.5446121536485307E-2</v>
      </c>
      <c r="K12" s="1539">
        <f ca="1"/>
        <v>7.1304910789207421E-2</v>
      </c>
      <c r="L12" s="1540">
        <f ca="1"/>
        <v>8.670374156965488E-2</v>
      </c>
      <c r="M12" s="1540">
        <f ca="1"/>
        <v>8.670374156965488E-2</v>
      </c>
      <c r="N12" s="1540">
        <f ca="1"/>
        <v>0.57492027743724095</v>
      </c>
      <c r="O12" s="1540">
        <f ca="1"/>
        <v>-0.27945866033103484</v>
      </c>
      <c r="P12" s="1540">
        <f ca="1"/>
        <v>8.1626760664465392E-2</v>
      </c>
      <c r="Q12" s="1540">
        <f ca="1"/>
        <v>7.6602972311772599E-2</v>
      </c>
      <c r="R12" s="1540">
        <f ca="1"/>
        <v>-0.28722848283709806</v>
      </c>
      <c r="S12" s="1540">
        <f ca="1"/>
        <v>0.92554303432580387</v>
      </c>
      <c r="T12" s="1540">
        <f ca="1"/>
        <v>0.92554303432580387</v>
      </c>
      <c r="U12" s="1540">
        <f ca="1"/>
        <v>8.9647802298181589E-2</v>
      </c>
      <c r="V12" s="1540">
        <f ca="1"/>
        <v>8.9647802298181589E-2</v>
      </c>
      <c r="W12" s="1540">
        <f ca="1"/>
        <v>8.9647802298181589E-2</v>
      </c>
      <c r="X12" s="1540">
        <f ca="1"/>
        <v>8.9647802298181589E-2</v>
      </c>
      <c r="Y12" s="1540">
        <f ca="1"/>
        <v>8.9647802298181589E-2</v>
      </c>
      <c r="Z12" s="1540">
        <f ca="1"/>
        <v>8.9647802298181589E-2</v>
      </c>
      <c r="AA12" s="1541">
        <f ca="1"/>
        <v>8.9647802298181589E-2</v>
      </c>
      <c r="AB12" s="1072"/>
    </row>
    <row r="13" spans="1:28" s="10" customFormat="1" ht="15" hidden="1" customHeight="1" x14ac:dyDescent="0.45">
      <c r="A13" s="1783"/>
      <c r="B13" s="1827" t="s">
        <v>788</v>
      </c>
      <c r="C13" s="1828"/>
      <c r="D13" s="717">
        <f t="shared" ref="D13:N13" si="18">IF(C4="Overload", 0, IF(C4="Recover", (B18*1.3/C18) - 1, 0.3))</f>
        <v>0.3</v>
      </c>
      <c r="E13" s="717">
        <f t="shared" ca="1" si="18"/>
        <v>0.3</v>
      </c>
      <c r="F13" s="717">
        <f t="shared" ca="1" si="18"/>
        <v>0.3</v>
      </c>
      <c r="G13" s="717">
        <f t="shared" ca="1" si="18"/>
        <v>0.3</v>
      </c>
      <c r="H13" s="717">
        <f t="shared" ca="1" si="18"/>
        <v>0.3</v>
      </c>
      <c r="I13" s="717">
        <f t="shared" ca="1" si="18"/>
        <v>0.3</v>
      </c>
      <c r="J13" s="717">
        <f t="shared" ca="1" si="18"/>
        <v>0.3</v>
      </c>
      <c r="K13" s="717">
        <f t="shared" ca="1" si="18"/>
        <v>0.3</v>
      </c>
      <c r="L13" s="718">
        <f t="shared" ca="1" si="18"/>
        <v>0.3</v>
      </c>
      <c r="M13" s="718">
        <f t="shared" ca="1" si="18"/>
        <v>0.3</v>
      </c>
      <c r="N13" s="718">
        <f t="shared" ca="1" si="18"/>
        <v>0.7</v>
      </c>
      <c r="O13" s="718">
        <f ca="1">IF(N4="Overload", 0, IF(N4="Recover", (M18*1.3/N18) - 1, 0.3))</f>
        <v>0</v>
      </c>
      <c r="P13" s="718">
        <f t="shared" ref="P13:AA13" ca="1" si="19">IF(O4="Overload", 0, 0.3)</f>
        <v>0.3</v>
      </c>
      <c r="Q13" s="718">
        <f t="shared" ca="1" si="19"/>
        <v>0.3</v>
      </c>
      <c r="R13" s="718">
        <f t="shared" ca="1" si="19"/>
        <v>0</v>
      </c>
      <c r="S13" s="718">
        <f t="shared" ca="1" si="19"/>
        <v>0.3</v>
      </c>
      <c r="T13" s="718">
        <f t="shared" ca="1" si="19"/>
        <v>0.3</v>
      </c>
      <c r="U13" s="718">
        <f t="shared" ca="1" si="19"/>
        <v>0.3</v>
      </c>
      <c r="V13" s="718">
        <f t="shared" ca="1" si="19"/>
        <v>0.3</v>
      </c>
      <c r="W13" s="718">
        <f t="shared" ca="1" si="19"/>
        <v>0.3</v>
      </c>
      <c r="X13" s="718">
        <f t="shared" ca="1" si="19"/>
        <v>0.3</v>
      </c>
      <c r="Y13" s="718">
        <f t="shared" ca="1" si="19"/>
        <v>0.3</v>
      </c>
      <c r="Z13" s="718">
        <f t="shared" ca="1" si="19"/>
        <v>0.3</v>
      </c>
      <c r="AA13" s="719">
        <f t="shared" ca="1" si="19"/>
        <v>0.3</v>
      </c>
      <c r="AB13" s="1072"/>
    </row>
    <row r="14" spans="1:28" s="10" customFormat="1" ht="15" hidden="1" customHeight="1" x14ac:dyDescent="0.45">
      <c r="A14" s="1783"/>
      <c r="B14" s="1818" t="s">
        <v>323</v>
      </c>
      <c r="C14" s="1819"/>
      <c r="D14" s="1243">
        <f t="array" ref="D14:AA14" ca="1">IF(plan_strategy="",0, IFERROR( IFERROR(INDEX(INDIRECT(INDEX(strategies_progression,,plan_strategy)),, display_week), INDIRECT(INDEX(strategies_progression,,plan_strategy))), 0))</f>
        <v>1</v>
      </c>
      <c r="E14" s="129">
        <f ca="1"/>
        <v>4.4776119402985204E-2</v>
      </c>
      <c r="F14" s="129">
        <f ca="1"/>
        <v>4.1643531371460485E-2</v>
      </c>
      <c r="G14" s="129">
        <f ca="1"/>
        <v>3.8617593145634954E-2</v>
      </c>
      <c r="H14" s="737">
        <f ca="1"/>
        <v>3.5711319974188971E-2</v>
      </c>
      <c r="I14" s="129">
        <f ca="1"/>
        <v>3.2935251130113086E-2</v>
      </c>
      <c r="J14" s="129">
        <f ca="1"/>
        <v>-0.20547584729626445</v>
      </c>
      <c r="K14" s="129">
        <f ca="1"/>
        <v>-0.15000000000000002</v>
      </c>
      <c r="L14" s="129">
        <f ca="1"/>
        <v>0</v>
      </c>
      <c r="M14" s="129">
        <f ca="1"/>
        <v>-0.23529411764705876</v>
      </c>
      <c r="N14" s="129">
        <f ca="1"/>
        <v>0.7</v>
      </c>
      <c r="O14" s="129">
        <f ca="1"/>
        <v>-0.18630577355402322</v>
      </c>
      <c r="P14" s="129">
        <f ca="1"/>
        <v>5.4417840442976928E-2</v>
      </c>
      <c r="Q14" s="129">
        <f ca="1"/>
        <v>0.3</v>
      </c>
      <c r="R14" s="129">
        <f ca="1"/>
        <v>-0.5</v>
      </c>
      <c r="S14" s="129">
        <f ca="1"/>
        <v>0</v>
      </c>
      <c r="T14" s="129">
        <f ca="1"/>
        <v>0.33333333333333326</v>
      </c>
      <c r="U14" s="129">
        <f ca="1"/>
        <v>0</v>
      </c>
      <c r="V14" s="129">
        <f ca="1"/>
        <v>0</v>
      </c>
      <c r="W14" s="129">
        <f ca="1"/>
        <v>0</v>
      </c>
      <c r="X14" s="129">
        <f ca="1"/>
        <v>0</v>
      </c>
      <c r="Y14" s="129">
        <f ca="1"/>
        <v>0</v>
      </c>
      <c r="Z14" s="129">
        <f ca="1"/>
        <v>0</v>
      </c>
      <c r="AA14" s="130">
        <f ca="1"/>
        <v>0</v>
      </c>
      <c r="AB14" s="14"/>
    </row>
    <row r="15" spans="1:28" s="10" customFormat="1" ht="15" hidden="1" customHeight="1" x14ac:dyDescent="0.45">
      <c r="A15" s="1783"/>
      <c r="B15" s="1821" t="s">
        <v>321</v>
      </c>
      <c r="C15" s="1822"/>
      <c r="D15" s="133">
        <f t="shared" ref="D15:AA15" ca="1" si="20">IF(D2=1, athlete_starting_duration, (1+D14)*C15)</f>
        <v>540</v>
      </c>
      <c r="E15" s="181">
        <f t="shared" ca="1" si="20"/>
        <v>564.17910447761199</v>
      </c>
      <c r="F15" s="181">
        <f t="shared" ca="1" si="20"/>
        <v>587.67351471404788</v>
      </c>
      <c r="G15" s="181">
        <f t="shared" ca="1" si="20"/>
        <v>610.36805140774027</v>
      </c>
      <c r="H15" s="181">
        <f t="shared" ca="1" si="20"/>
        <v>632.16510019358429</v>
      </c>
      <c r="I15" s="181">
        <f t="shared" ca="1" si="20"/>
        <v>652.9856165241531</v>
      </c>
      <c r="J15" s="181">
        <f t="shared" ca="1" si="20"/>
        <v>518.81284369657908</v>
      </c>
      <c r="K15" s="181">
        <f t="shared" ca="1" si="20"/>
        <v>440.9909171420922</v>
      </c>
      <c r="L15" s="181">
        <f t="shared" ca="1" si="20"/>
        <v>440.9909171420922</v>
      </c>
      <c r="M15" s="181">
        <f t="shared" ca="1" si="20"/>
        <v>337.22834840277642</v>
      </c>
      <c r="N15" s="181">
        <f t="shared" ca="1" si="20"/>
        <v>573.28819228471991</v>
      </c>
      <c r="O15" s="181">
        <f t="shared" ca="1" si="20"/>
        <v>466.48129215172759</v>
      </c>
      <c r="P15" s="181">
        <f t="shared" ca="1" si="20"/>
        <v>491.866196677674</v>
      </c>
      <c r="Q15" s="181">
        <f t="shared" ca="1" si="20"/>
        <v>639.42605568097622</v>
      </c>
      <c r="R15" s="181">
        <f t="shared" ca="1" si="20"/>
        <v>319.71302784048811</v>
      </c>
      <c r="S15" s="181">
        <f t="shared" ca="1" si="20"/>
        <v>319.71302784048811</v>
      </c>
      <c r="T15" s="181">
        <f t="shared" ca="1" si="20"/>
        <v>426.28403712065079</v>
      </c>
      <c r="U15" s="181">
        <f t="shared" ca="1" si="20"/>
        <v>426.28403712065079</v>
      </c>
      <c r="V15" s="181">
        <f t="shared" ca="1" si="20"/>
        <v>426.28403712065079</v>
      </c>
      <c r="W15" s="181">
        <f t="shared" ca="1" si="20"/>
        <v>426.28403712065079</v>
      </c>
      <c r="X15" s="181">
        <f t="shared" ca="1" si="20"/>
        <v>426.28403712065079</v>
      </c>
      <c r="Y15" s="181">
        <f t="shared" ca="1" si="20"/>
        <v>426.28403712065079</v>
      </c>
      <c r="Z15" s="181">
        <f t="shared" ca="1" si="20"/>
        <v>426.28403712065079</v>
      </c>
      <c r="AA15" s="134">
        <f t="shared" ca="1" si="20"/>
        <v>426.28403712065079</v>
      </c>
      <c r="AB15" s="14"/>
    </row>
    <row r="16" spans="1:28" s="10" customFormat="1" ht="15" hidden="1" customHeight="1" x14ac:dyDescent="0.45">
      <c r="A16" s="1783"/>
      <c r="B16" s="1818" t="s">
        <v>322</v>
      </c>
      <c r="C16" s="1819"/>
      <c r="D16" s="127">
        <f t="array" ref="D16:AA16" ca="1">IF(plan_strategy="",0,plan_duration/60/24)</f>
        <v>0.375</v>
      </c>
      <c r="E16" s="127">
        <f ca="1"/>
        <v>0.39179104477611942</v>
      </c>
      <c r="F16" s="127">
        <f ca="1"/>
        <v>0.40810660744031102</v>
      </c>
      <c r="G16" s="127">
        <f ca="1"/>
        <v>0.42386670236648633</v>
      </c>
      <c r="H16" s="127">
        <f ca="1"/>
        <v>0.43900354180110024</v>
      </c>
      <c r="I16" s="127">
        <f ca="1"/>
        <v>0.45346223369732858</v>
      </c>
      <c r="J16" s="127">
        <f ca="1"/>
        <v>0.36028669701151328</v>
      </c>
      <c r="K16" s="127">
        <f ca="1"/>
        <v>0.30624369245978628</v>
      </c>
      <c r="L16" s="127">
        <f ca="1"/>
        <v>0.30624369245978628</v>
      </c>
      <c r="M16" s="127">
        <f ca="1"/>
        <v>0.23418635305748361</v>
      </c>
      <c r="N16" s="127">
        <f ca="1"/>
        <v>0.39811680019772216</v>
      </c>
      <c r="O16" s="127">
        <f ca="1"/>
        <v>0.32394534177203305</v>
      </c>
      <c r="P16" s="127">
        <f ca="1"/>
        <v>0.34157374769282917</v>
      </c>
      <c r="Q16" s="127">
        <f ca="1"/>
        <v>0.44404587200067791</v>
      </c>
      <c r="R16" s="127">
        <f ca="1"/>
        <v>0.22202293600033896</v>
      </c>
      <c r="S16" s="127">
        <f ca="1"/>
        <v>0.22202293600033896</v>
      </c>
      <c r="T16" s="127">
        <f ca="1"/>
        <v>0.29603058133378529</v>
      </c>
      <c r="U16" s="127">
        <f ca="1"/>
        <v>0.29603058133378529</v>
      </c>
      <c r="V16" s="127">
        <f ca="1"/>
        <v>0.29603058133378529</v>
      </c>
      <c r="W16" s="127">
        <f ca="1"/>
        <v>0</v>
      </c>
      <c r="X16" s="127">
        <f ca="1"/>
        <v>0</v>
      </c>
      <c r="Y16" s="127">
        <f ca="1"/>
        <v>0</v>
      </c>
      <c r="Z16" s="127">
        <f ca="1"/>
        <v>0</v>
      </c>
      <c r="AA16" s="128">
        <f ca="1"/>
        <v>0</v>
      </c>
      <c r="AB16" s="14"/>
    </row>
    <row r="17" spans="1:28" s="10" customFormat="1" ht="15" hidden="1" customHeight="1" x14ac:dyDescent="0.45">
      <c r="A17" s="1783"/>
      <c r="B17" s="1827" t="s">
        <v>394</v>
      </c>
      <c r="C17" s="1828"/>
      <c r="D17" s="1244">
        <f t="array" aca="1" ref="D17:AA17" ca="1">IF(plan_duration="",0, plan_duration/MAX(plan_duration))</f>
        <v>0.82697074228743916</v>
      </c>
      <c r="E17" s="720">
        <f ca="1"/>
        <v>0.86399928298687678</v>
      </c>
      <c r="F17" s="720">
        <f ca="1"/>
        <v>0.89997926423286012</v>
      </c>
      <c r="G17" s="720">
        <f ca="1"/>
        <v>0.93473429729851265</v>
      </c>
      <c r="H17" s="720">
        <f ca="1"/>
        <v>0.96811489288018848</v>
      </c>
      <c r="I17" s="720">
        <f ca="1"/>
        <v>1</v>
      </c>
      <c r="J17" s="720">
        <f ca="1"/>
        <v>0.79452415270373544</v>
      </c>
      <c r="K17" s="720">
        <f ca="1"/>
        <v>0.67534552979817508</v>
      </c>
      <c r="L17" s="720">
        <f ca="1"/>
        <v>0.67534552979817508</v>
      </c>
      <c r="M17" s="720">
        <f ca="1"/>
        <v>0.51644069925742808</v>
      </c>
      <c r="N17" s="720">
        <f ca="1"/>
        <v>0.87794918873762773</v>
      </c>
      <c r="O17" s="720">
        <f ca="1"/>
        <v>0.71438218598873693</v>
      </c>
      <c r="P17" s="720">
        <f ca="1"/>
        <v>0.7532573218011771</v>
      </c>
      <c r="Q17" s="720">
        <f ca="1"/>
        <v>0.97923451834153019</v>
      </c>
      <c r="R17" s="720">
        <f ca="1"/>
        <v>0.4896172591707651</v>
      </c>
      <c r="S17" s="720">
        <f ca="1"/>
        <v>0.4896172591707651</v>
      </c>
      <c r="T17" s="720">
        <f ca="1"/>
        <v>0.65282301222768679</v>
      </c>
      <c r="U17" s="720">
        <f ca="1"/>
        <v>0.65282301222768679</v>
      </c>
      <c r="V17" s="720">
        <f ca="1"/>
        <v>0.65282301222768679</v>
      </c>
      <c r="W17" s="720">
        <f ca="1"/>
        <v>0.65282301222768679</v>
      </c>
      <c r="X17" s="720">
        <f ca="1"/>
        <v>0.65282301222768679</v>
      </c>
      <c r="Y17" s="720">
        <f ca="1"/>
        <v>0.65282301222768679</v>
      </c>
      <c r="Z17" s="720">
        <f ca="1"/>
        <v>0.65282301222768679</v>
      </c>
      <c r="AA17" s="721">
        <f ca="1"/>
        <v>0.65282301222768679</v>
      </c>
      <c r="AB17" s="14"/>
    </row>
    <row r="18" spans="1:28" s="10" customFormat="1" ht="15" hidden="1" customHeight="1" x14ac:dyDescent="0.45">
      <c r="A18" s="1783"/>
      <c r="B18" s="1823" t="s">
        <v>357</v>
      </c>
      <c r="C18" s="1824"/>
      <c r="D18" s="1245">
        <f t="array" ref="D18:AA18" ca="1">IF(plan_duration="",0,athlete_starting_load*plan_duration/plan_duration_start)</f>
        <v>897.39209124195543</v>
      </c>
      <c r="E18" s="131">
        <f ca="1"/>
        <v>937.57382667069976</v>
      </c>
      <c r="F18" s="131">
        <f ca="1"/>
        <v>976.6177117347213</v>
      </c>
      <c r="G18" s="131">
        <f ca="1"/>
        <v>1014.3323371853136</v>
      </c>
      <c r="H18" s="131">
        <f ca="1"/>
        <v>1050.5554838387054</v>
      </c>
      <c r="I18" s="131">
        <f ca="1"/>
        <v>1085.1557925250506</v>
      </c>
      <c r="J18" s="131">
        <f ca="1"/>
        <v>862.18248660751635</v>
      </c>
      <c r="K18" s="131">
        <f ca="1"/>
        <v>732.85511361638885</v>
      </c>
      <c r="L18" s="131">
        <f ca="1"/>
        <v>732.85511361638885</v>
      </c>
      <c r="M18" s="131">
        <f ca="1"/>
        <v>560.41861629488562</v>
      </c>
      <c r="N18" s="131">
        <f ca="1"/>
        <v>952.71164770130565</v>
      </c>
      <c r="O18" s="131">
        <f ca="1"/>
        <v>775.21596720238585</v>
      </c>
      <c r="P18" s="131">
        <f ca="1"/>
        <v>817.40154601445329</v>
      </c>
      <c r="Q18" s="131">
        <f ca="1"/>
        <v>1062.6220098187894</v>
      </c>
      <c r="R18" s="131">
        <f ca="1"/>
        <v>531.31100490939468</v>
      </c>
      <c r="S18" s="131">
        <f ca="1"/>
        <v>531.31100490939468</v>
      </c>
      <c r="T18" s="131">
        <f ca="1"/>
        <v>708.41467321252617</v>
      </c>
      <c r="U18" s="131">
        <f ca="1"/>
        <v>708.41467321252617</v>
      </c>
      <c r="V18" s="131">
        <f ca="1"/>
        <v>708.41467321252617</v>
      </c>
      <c r="W18" s="131">
        <f ca="1"/>
        <v>708.41467321252617</v>
      </c>
      <c r="X18" s="131">
        <f ca="1"/>
        <v>708.41467321252617</v>
      </c>
      <c r="Y18" s="131">
        <f ca="1"/>
        <v>708.41467321252617</v>
      </c>
      <c r="Z18" s="131">
        <f ca="1"/>
        <v>708.41467321252617</v>
      </c>
      <c r="AA18" s="132">
        <f ca="1"/>
        <v>708.41467321252617</v>
      </c>
      <c r="AB18" s="14"/>
    </row>
    <row r="19" spans="1:28" s="10" customFormat="1" ht="15" hidden="1" customHeight="1" x14ac:dyDescent="0.45">
      <c r="A19" s="1783"/>
      <c r="B19" s="1829" t="s">
        <v>397</v>
      </c>
      <c r="C19" s="1253" t="s">
        <v>80</v>
      </c>
      <c r="D19" s="1246">
        <v>0</v>
      </c>
      <c r="E19" s="533">
        <v>0</v>
      </c>
      <c r="F19" s="533">
        <v>0</v>
      </c>
      <c r="G19" s="533">
        <v>0</v>
      </c>
      <c r="H19" s="533">
        <v>0</v>
      </c>
      <c r="I19" s="533">
        <v>0</v>
      </c>
      <c r="J19" s="533">
        <v>0</v>
      </c>
      <c r="K19" s="533">
        <v>0</v>
      </c>
      <c r="L19" s="533">
        <v>0</v>
      </c>
      <c r="M19" s="533">
        <v>0</v>
      </c>
      <c r="N19" s="533">
        <v>0</v>
      </c>
      <c r="O19" s="533">
        <v>0</v>
      </c>
      <c r="P19" s="533">
        <v>0</v>
      </c>
      <c r="Q19" s="533">
        <v>0</v>
      </c>
      <c r="R19" s="533">
        <v>0</v>
      </c>
      <c r="S19" s="533">
        <v>0</v>
      </c>
      <c r="T19" s="533">
        <v>0</v>
      </c>
      <c r="U19" s="533">
        <v>0</v>
      </c>
      <c r="V19" s="533">
        <v>0</v>
      </c>
      <c r="W19" s="533">
        <v>0</v>
      </c>
      <c r="X19" s="533">
        <v>0</v>
      </c>
      <c r="Y19" s="533">
        <v>0</v>
      </c>
      <c r="Z19" s="533">
        <v>0</v>
      </c>
      <c r="AA19" s="534">
        <v>0</v>
      </c>
      <c r="AB19" s="14"/>
    </row>
    <row r="20" spans="1:28" s="10" customFormat="1" ht="15" hidden="1" customHeight="1" x14ac:dyDescent="0.45">
      <c r="A20" s="1783"/>
      <c r="B20" s="1830"/>
      <c r="C20" s="1254" t="s">
        <v>11</v>
      </c>
      <c r="D20" s="1247">
        <f t="array" ref="D20:AA20">IF(duration_recovery_constant=0,IF(duration_recovery_portion*plan_duration &lt; duration_recovery_max, MROUND(duration_recovery_portion*plan_duration,5), duration_recovery_max),duration_recovery_constant)</f>
        <v>20</v>
      </c>
      <c r="E20" s="536">
        <v>20</v>
      </c>
      <c r="F20" s="536">
        <v>20</v>
      </c>
      <c r="G20" s="536">
        <v>20</v>
      </c>
      <c r="H20" s="536">
        <v>20</v>
      </c>
      <c r="I20" s="536">
        <v>20</v>
      </c>
      <c r="J20" s="536">
        <v>20</v>
      </c>
      <c r="K20" s="536">
        <v>20</v>
      </c>
      <c r="L20" s="536">
        <v>20</v>
      </c>
      <c r="M20" s="536">
        <v>20</v>
      </c>
      <c r="N20" s="536">
        <v>20</v>
      </c>
      <c r="O20" s="536">
        <v>20</v>
      </c>
      <c r="P20" s="536">
        <v>20</v>
      </c>
      <c r="Q20" s="536">
        <v>20</v>
      </c>
      <c r="R20" s="536">
        <v>20</v>
      </c>
      <c r="S20" s="536">
        <v>20</v>
      </c>
      <c r="T20" s="536">
        <v>20</v>
      </c>
      <c r="U20" s="536">
        <v>20</v>
      </c>
      <c r="V20" s="536">
        <v>20</v>
      </c>
      <c r="W20" s="536">
        <v>20</v>
      </c>
      <c r="X20" s="536">
        <v>20</v>
      </c>
      <c r="Y20" s="536">
        <v>20</v>
      </c>
      <c r="Z20" s="536">
        <v>20</v>
      </c>
      <c r="AA20" s="537">
        <v>20</v>
      </c>
      <c r="AB20" s="14"/>
    </row>
    <row r="21" spans="1:28" s="10" customFormat="1" ht="15" hidden="1" customHeight="1" x14ac:dyDescent="0.45">
      <c r="A21" s="1783"/>
      <c r="B21" s="1830"/>
      <c r="C21" s="1255" t="s">
        <v>13</v>
      </c>
      <c r="D21" s="1248">
        <f t="array" ref="D21:AA21" ca="1">IF(duration_easy_portion*plan_duration &lt; duration_easy_max, MROUND(duration_easy_portion*plan_duration,5), duration_easy_max)</f>
        <v>55</v>
      </c>
      <c r="E21" s="539">
        <f ca="1"/>
        <v>55</v>
      </c>
      <c r="F21" s="539">
        <f ca="1"/>
        <v>60</v>
      </c>
      <c r="G21" s="539">
        <f ca="1"/>
        <v>60</v>
      </c>
      <c r="H21" s="539">
        <f ca="1"/>
        <v>65</v>
      </c>
      <c r="I21" s="539">
        <f ca="1"/>
        <v>65</v>
      </c>
      <c r="J21" s="539">
        <f ca="1"/>
        <v>50</v>
      </c>
      <c r="K21" s="539">
        <f ca="1"/>
        <v>45</v>
      </c>
      <c r="L21" s="539">
        <f ca="1"/>
        <v>45</v>
      </c>
      <c r="M21" s="539">
        <f ca="1"/>
        <v>35</v>
      </c>
      <c r="N21" s="539">
        <f ca="1"/>
        <v>55</v>
      </c>
      <c r="O21" s="539">
        <f ca="1"/>
        <v>45</v>
      </c>
      <c r="P21" s="539">
        <f ca="1"/>
        <v>50</v>
      </c>
      <c r="Q21" s="539">
        <f ca="1"/>
        <v>65</v>
      </c>
      <c r="R21" s="539">
        <f ca="1"/>
        <v>30</v>
      </c>
      <c r="S21" s="539">
        <f ca="1"/>
        <v>30</v>
      </c>
      <c r="T21" s="539">
        <f ca="1"/>
        <v>45</v>
      </c>
      <c r="U21" s="539">
        <f ca="1"/>
        <v>45</v>
      </c>
      <c r="V21" s="539">
        <f ca="1"/>
        <v>45</v>
      </c>
      <c r="W21" s="539">
        <f ca="1"/>
        <v>45</v>
      </c>
      <c r="X21" s="539">
        <f ca="1"/>
        <v>45</v>
      </c>
      <c r="Y21" s="539">
        <f ca="1"/>
        <v>45</v>
      </c>
      <c r="Z21" s="539">
        <f ca="1"/>
        <v>45</v>
      </c>
      <c r="AA21" s="540">
        <f ca="1"/>
        <v>45</v>
      </c>
      <c r="AB21" s="14"/>
    </row>
    <row r="22" spans="1:28" s="10" customFormat="1" ht="15" hidden="1" customHeight="1" x14ac:dyDescent="0.45">
      <c r="A22" s="1783"/>
      <c r="B22" s="1830"/>
      <c r="C22" s="1256" t="s">
        <v>81</v>
      </c>
      <c r="D22" s="535">
        <f t="array" ref="D22:AA22" ca="1">IF(duration_steady_constant=0,IF(duration_steady_portion*plan_duration &lt; duration_steady_max, MROUND(duration_steady_portion*plan_duration,5), duration_steady_max),duration_steady_constant)</f>
        <v>80</v>
      </c>
      <c r="E22" s="541">
        <f ca="1"/>
        <v>85</v>
      </c>
      <c r="F22" s="541">
        <f ca="1"/>
        <v>90</v>
      </c>
      <c r="G22" s="541">
        <f ca="1"/>
        <v>90</v>
      </c>
      <c r="H22" s="541">
        <f ca="1"/>
        <v>95</v>
      </c>
      <c r="I22" s="541">
        <f ca="1"/>
        <v>100</v>
      </c>
      <c r="J22" s="541">
        <f ca="1"/>
        <v>80</v>
      </c>
      <c r="K22" s="541">
        <f ca="1"/>
        <v>65</v>
      </c>
      <c r="L22" s="541">
        <f ca="1"/>
        <v>65</v>
      </c>
      <c r="M22" s="541">
        <f ca="1"/>
        <v>50</v>
      </c>
      <c r="N22" s="541">
        <f ca="1"/>
        <v>85</v>
      </c>
      <c r="O22" s="541">
        <f ca="1"/>
        <v>70</v>
      </c>
      <c r="P22" s="541">
        <f ca="1"/>
        <v>75</v>
      </c>
      <c r="Q22" s="541">
        <f ca="1"/>
        <v>95</v>
      </c>
      <c r="R22" s="541">
        <f ca="1"/>
        <v>50</v>
      </c>
      <c r="S22" s="541">
        <f ca="1"/>
        <v>50</v>
      </c>
      <c r="T22" s="541">
        <f ca="1"/>
        <v>65</v>
      </c>
      <c r="U22" s="541">
        <f ca="1"/>
        <v>65</v>
      </c>
      <c r="V22" s="541">
        <f ca="1"/>
        <v>65</v>
      </c>
      <c r="W22" s="541">
        <f ca="1"/>
        <v>65</v>
      </c>
      <c r="X22" s="541">
        <f ca="1"/>
        <v>65</v>
      </c>
      <c r="Y22" s="541">
        <f ca="1"/>
        <v>65</v>
      </c>
      <c r="Z22" s="541">
        <f ca="1"/>
        <v>65</v>
      </c>
      <c r="AA22" s="542">
        <f ca="1"/>
        <v>65</v>
      </c>
      <c r="AB22" s="14"/>
    </row>
    <row r="23" spans="1:28" s="10" customFormat="1" ht="15" hidden="1" customHeight="1" x14ac:dyDescent="0.45">
      <c r="A23" s="1783"/>
      <c r="B23" s="1830"/>
      <c r="C23" s="1257" t="s">
        <v>16</v>
      </c>
      <c r="D23" s="538">
        <f t="array" ref="D23:AA23" ca="1">IF(duration_steady_cycle_constant=0,IF(duration_steady_cycle_portion*plan_duration &lt; duration_steady_cycle_max, MROUND(duration_steady_cycle_portion*plan_duration,5), duration_steady_cycle_max),duration_steady_cycle_constant)</f>
        <v>80</v>
      </c>
      <c r="E23" s="543">
        <f ca="1"/>
        <v>85</v>
      </c>
      <c r="F23" s="543">
        <f ca="1"/>
        <v>90</v>
      </c>
      <c r="G23" s="543">
        <f ca="1"/>
        <v>90</v>
      </c>
      <c r="H23" s="543">
        <f ca="1"/>
        <v>95</v>
      </c>
      <c r="I23" s="543">
        <f ca="1"/>
        <v>100</v>
      </c>
      <c r="J23" s="543">
        <f ca="1"/>
        <v>80</v>
      </c>
      <c r="K23" s="543">
        <f ca="1"/>
        <v>65</v>
      </c>
      <c r="L23" s="543">
        <f ca="1"/>
        <v>65</v>
      </c>
      <c r="M23" s="543">
        <f ca="1"/>
        <v>50</v>
      </c>
      <c r="N23" s="543">
        <f ca="1"/>
        <v>85</v>
      </c>
      <c r="O23" s="543">
        <f ca="1"/>
        <v>70</v>
      </c>
      <c r="P23" s="543">
        <f ca="1"/>
        <v>75</v>
      </c>
      <c r="Q23" s="543">
        <f ca="1"/>
        <v>95</v>
      </c>
      <c r="R23" s="543">
        <f ca="1"/>
        <v>50</v>
      </c>
      <c r="S23" s="543">
        <f ca="1"/>
        <v>50</v>
      </c>
      <c r="T23" s="543">
        <f ca="1"/>
        <v>65</v>
      </c>
      <c r="U23" s="543">
        <f ca="1"/>
        <v>65</v>
      </c>
      <c r="V23" s="543">
        <f ca="1"/>
        <v>65</v>
      </c>
      <c r="W23" s="543">
        <f ca="1"/>
        <v>65</v>
      </c>
      <c r="X23" s="543">
        <f ca="1"/>
        <v>65</v>
      </c>
      <c r="Y23" s="543">
        <f ca="1"/>
        <v>65</v>
      </c>
      <c r="Z23" s="543">
        <f ca="1"/>
        <v>65</v>
      </c>
      <c r="AA23" s="544">
        <f ca="1"/>
        <v>65</v>
      </c>
      <c r="AB23" s="14"/>
    </row>
    <row r="24" spans="1:28" s="10" customFormat="1" ht="15" hidden="1" customHeight="1" x14ac:dyDescent="0.45">
      <c r="A24" s="1783"/>
      <c r="B24" s="1830"/>
      <c r="C24" s="1254" t="s">
        <v>82</v>
      </c>
      <c r="D24" s="535">
        <f t="array" ref="D24:AA24" ca="1">IF(duration_long_constant=0,IF(duration_long_portion*plan_duration &lt; duration_long_max, MROUND(duration_long_portion*plan_duration,5), duration_long_max),duration_long_constant)</f>
        <v>135</v>
      </c>
      <c r="E24" s="541">
        <f ca="1"/>
        <v>140</v>
      </c>
      <c r="F24" s="541">
        <f ca="1"/>
        <v>145</v>
      </c>
      <c r="G24" s="541">
        <f ca="1"/>
        <v>155</v>
      </c>
      <c r="H24" s="541">
        <f ca="1"/>
        <v>160</v>
      </c>
      <c r="I24" s="541">
        <f ca="1"/>
        <v>165</v>
      </c>
      <c r="J24" s="541">
        <f ca="1"/>
        <v>130</v>
      </c>
      <c r="K24" s="541">
        <f ca="1"/>
        <v>110</v>
      </c>
      <c r="L24" s="541">
        <f ca="1"/>
        <v>110</v>
      </c>
      <c r="M24" s="541">
        <f ca="1"/>
        <v>85</v>
      </c>
      <c r="N24" s="541">
        <f ca="1"/>
        <v>145</v>
      </c>
      <c r="O24" s="541">
        <f ca="1"/>
        <v>115</v>
      </c>
      <c r="P24" s="541">
        <f ca="1"/>
        <v>125</v>
      </c>
      <c r="Q24" s="541">
        <f ca="1"/>
        <v>160</v>
      </c>
      <c r="R24" s="541">
        <f ca="1"/>
        <v>80</v>
      </c>
      <c r="S24" s="541">
        <f ca="1"/>
        <v>80</v>
      </c>
      <c r="T24" s="541">
        <f ca="1"/>
        <v>105</v>
      </c>
      <c r="U24" s="541">
        <f ca="1"/>
        <v>105</v>
      </c>
      <c r="V24" s="541">
        <f ca="1"/>
        <v>105</v>
      </c>
      <c r="W24" s="541">
        <f ca="1"/>
        <v>105</v>
      </c>
      <c r="X24" s="541">
        <f ca="1"/>
        <v>105</v>
      </c>
      <c r="Y24" s="541">
        <f ca="1"/>
        <v>105</v>
      </c>
      <c r="Z24" s="541">
        <f ca="1"/>
        <v>105</v>
      </c>
      <c r="AA24" s="542">
        <f ca="1"/>
        <v>105</v>
      </c>
      <c r="AB24" s="14"/>
    </row>
    <row r="25" spans="1:28" s="10" customFormat="1" ht="15" hidden="1" customHeight="1" x14ac:dyDescent="0.45">
      <c r="A25" s="1783"/>
      <c r="B25" s="1830"/>
      <c r="C25" s="1258" t="s">
        <v>19</v>
      </c>
      <c r="D25" s="538">
        <f t="array" ref="D25:AA25" ca="1">IF(duration_long_cycle_constant=0,IF(duration_long_cycle_portion*N(plan_duration) &lt; duration_long_cycle_max, MROUND(duration_long_cycle_portion*plan_duration,5), duration_long_cycle_max),duration_long_cycle_constant)</f>
        <v>135</v>
      </c>
      <c r="E25" s="543">
        <f ca="1"/>
        <v>140</v>
      </c>
      <c r="F25" s="543">
        <f ca="1"/>
        <v>145</v>
      </c>
      <c r="G25" s="543">
        <f ca="1"/>
        <v>155</v>
      </c>
      <c r="H25" s="543">
        <f ca="1"/>
        <v>160</v>
      </c>
      <c r="I25" s="543">
        <f ca="1"/>
        <v>165</v>
      </c>
      <c r="J25" s="543">
        <f ca="1"/>
        <v>130</v>
      </c>
      <c r="K25" s="543">
        <f ca="1"/>
        <v>110</v>
      </c>
      <c r="L25" s="543">
        <f ca="1"/>
        <v>110</v>
      </c>
      <c r="M25" s="543">
        <f ca="1"/>
        <v>85</v>
      </c>
      <c r="N25" s="543">
        <f ca="1"/>
        <v>145</v>
      </c>
      <c r="O25" s="543">
        <f ca="1"/>
        <v>115</v>
      </c>
      <c r="P25" s="543">
        <f ca="1"/>
        <v>125</v>
      </c>
      <c r="Q25" s="543">
        <f ca="1"/>
        <v>160</v>
      </c>
      <c r="R25" s="543">
        <f ca="1"/>
        <v>80</v>
      </c>
      <c r="S25" s="543">
        <f ca="1"/>
        <v>80</v>
      </c>
      <c r="T25" s="543">
        <f ca="1"/>
        <v>105</v>
      </c>
      <c r="U25" s="543">
        <f ca="1"/>
        <v>105</v>
      </c>
      <c r="V25" s="543">
        <f ca="1"/>
        <v>105</v>
      </c>
      <c r="W25" s="543">
        <f ca="1"/>
        <v>105</v>
      </c>
      <c r="X25" s="543">
        <f ca="1"/>
        <v>105</v>
      </c>
      <c r="Y25" s="543">
        <f ca="1"/>
        <v>105</v>
      </c>
      <c r="Z25" s="543">
        <f ca="1"/>
        <v>105</v>
      </c>
      <c r="AA25" s="544">
        <f ca="1"/>
        <v>105</v>
      </c>
      <c r="AB25" s="14"/>
    </row>
    <row r="26" spans="1:28" s="10" customFormat="1" ht="15" hidden="1" customHeight="1" x14ac:dyDescent="0.45">
      <c r="A26" s="1783"/>
      <c r="B26" s="1830"/>
      <c r="C26" s="1259" t="s">
        <v>21</v>
      </c>
      <c r="D26" s="535">
        <f t="array" ref="D26:AA26" ca="1">IF(duration_subthreshold_constant=0,IF(duration_subthreshold_portion*plan_duration &lt; duration_subthreshold_max, MROUND(duration_subthreshold_portion*plan_duration,5), duration_subthreshold_max),duration_subthreshold_constant)</f>
        <v>60</v>
      </c>
      <c r="E26" s="541">
        <f ca="1"/>
        <v>60</v>
      </c>
      <c r="F26" s="541">
        <f ca="1"/>
        <v>60</v>
      </c>
      <c r="G26" s="541">
        <f ca="1"/>
        <v>60</v>
      </c>
      <c r="H26" s="541">
        <f ca="1"/>
        <v>60</v>
      </c>
      <c r="I26" s="541">
        <f ca="1"/>
        <v>60</v>
      </c>
      <c r="J26" s="541">
        <f ca="1"/>
        <v>60</v>
      </c>
      <c r="K26" s="541">
        <f ca="1"/>
        <v>55</v>
      </c>
      <c r="L26" s="541">
        <f ca="1"/>
        <v>55</v>
      </c>
      <c r="M26" s="541">
        <f ca="1"/>
        <v>40</v>
      </c>
      <c r="N26" s="541">
        <f ca="1"/>
        <v>60</v>
      </c>
      <c r="O26" s="541">
        <f ca="1"/>
        <v>55</v>
      </c>
      <c r="P26" s="541">
        <f ca="1"/>
        <v>60</v>
      </c>
      <c r="Q26" s="541">
        <f ca="1"/>
        <v>60</v>
      </c>
      <c r="R26" s="541">
        <f ca="1"/>
        <v>40</v>
      </c>
      <c r="S26" s="541">
        <f ca="1"/>
        <v>40</v>
      </c>
      <c r="T26" s="541">
        <f ca="1"/>
        <v>50</v>
      </c>
      <c r="U26" s="541">
        <f ca="1"/>
        <v>50</v>
      </c>
      <c r="V26" s="541">
        <f ca="1"/>
        <v>50</v>
      </c>
      <c r="W26" s="541">
        <f ca="1"/>
        <v>50</v>
      </c>
      <c r="X26" s="541">
        <f ca="1"/>
        <v>50</v>
      </c>
      <c r="Y26" s="541">
        <f ca="1"/>
        <v>50</v>
      </c>
      <c r="Z26" s="541">
        <f ca="1"/>
        <v>50</v>
      </c>
      <c r="AA26" s="542">
        <f ca="1"/>
        <v>50</v>
      </c>
      <c r="AB26" s="14"/>
    </row>
    <row r="27" spans="1:28" s="10" customFormat="1" ht="15" hidden="1" customHeight="1" x14ac:dyDescent="0.45">
      <c r="A27" s="1783"/>
      <c r="B27" s="1830"/>
      <c r="C27" s="1255" t="s">
        <v>23</v>
      </c>
      <c r="D27" s="545">
        <f t="array" ref="D27:AA27" ca="1">IF(duration_tempo_constant=0,IF(duration_tempo_portion*plan_duration &lt; duration_tempo_max, MROUND(duration_tempo_portion*plan_duration,5), duration_tempo_max),duration_tempo_constant)</f>
        <v>25</v>
      </c>
      <c r="E27" s="545">
        <f ca="1"/>
        <v>25</v>
      </c>
      <c r="F27" s="545">
        <f ca="1"/>
        <v>25</v>
      </c>
      <c r="G27" s="545">
        <f ca="1"/>
        <v>25</v>
      </c>
      <c r="H27" s="545">
        <f ca="1"/>
        <v>25</v>
      </c>
      <c r="I27" s="545">
        <f ca="1"/>
        <v>25</v>
      </c>
      <c r="J27" s="545">
        <f ca="1"/>
        <v>25</v>
      </c>
      <c r="K27" s="545">
        <f ca="1"/>
        <v>25</v>
      </c>
      <c r="L27" s="545">
        <f ca="1"/>
        <v>25</v>
      </c>
      <c r="M27" s="545">
        <f ca="1"/>
        <v>25</v>
      </c>
      <c r="N27" s="545">
        <f ca="1"/>
        <v>25</v>
      </c>
      <c r="O27" s="545">
        <f ca="1"/>
        <v>25</v>
      </c>
      <c r="P27" s="545">
        <f ca="1"/>
        <v>25</v>
      </c>
      <c r="Q27" s="545">
        <f ca="1"/>
        <v>25</v>
      </c>
      <c r="R27" s="545">
        <f ca="1"/>
        <v>25</v>
      </c>
      <c r="S27" s="545">
        <f ca="1"/>
        <v>25</v>
      </c>
      <c r="T27" s="545">
        <f ca="1"/>
        <v>25</v>
      </c>
      <c r="U27" s="545">
        <f ca="1"/>
        <v>25</v>
      </c>
      <c r="V27" s="545">
        <f ca="1"/>
        <v>25</v>
      </c>
      <c r="W27" s="545">
        <f ca="1"/>
        <v>25</v>
      </c>
      <c r="X27" s="545">
        <f ca="1"/>
        <v>25</v>
      </c>
      <c r="Y27" s="545">
        <f ca="1"/>
        <v>25</v>
      </c>
      <c r="Z27" s="545">
        <f ca="1"/>
        <v>25</v>
      </c>
      <c r="AA27" s="546">
        <f ca="1"/>
        <v>25</v>
      </c>
      <c r="AB27" s="14"/>
    </row>
    <row r="28" spans="1:28" s="10" customFormat="1" ht="15" hidden="1" customHeight="1" x14ac:dyDescent="0.45">
      <c r="A28" s="1783"/>
      <c r="B28" s="1830"/>
      <c r="C28" s="1259" t="s">
        <v>25</v>
      </c>
      <c r="D28" s="547">
        <f t="array" ref="D28:AA28" ca="1">IF(duration_hilltempo_constant=0,IF(duration_hilltempo_portion*plan_duration &lt; duration_hilltempo_max, MROUND(duration_hilltempo_portion*plan_duration,5), duration_hilltempo_max),duration_hilltempo_constant)</f>
        <v>25</v>
      </c>
      <c r="E28" s="548">
        <f ca="1"/>
        <v>25</v>
      </c>
      <c r="F28" s="548">
        <f ca="1"/>
        <v>25</v>
      </c>
      <c r="G28" s="548">
        <f ca="1"/>
        <v>25</v>
      </c>
      <c r="H28" s="548">
        <f ca="1"/>
        <v>25</v>
      </c>
      <c r="I28" s="548">
        <f ca="1"/>
        <v>25</v>
      </c>
      <c r="J28" s="548">
        <f ca="1"/>
        <v>25</v>
      </c>
      <c r="K28" s="548">
        <f ca="1"/>
        <v>25</v>
      </c>
      <c r="L28" s="548">
        <f ca="1"/>
        <v>25</v>
      </c>
      <c r="M28" s="548">
        <f ca="1"/>
        <v>25</v>
      </c>
      <c r="N28" s="548">
        <f ca="1"/>
        <v>25</v>
      </c>
      <c r="O28" s="548">
        <f ca="1"/>
        <v>25</v>
      </c>
      <c r="P28" s="548">
        <f ca="1"/>
        <v>25</v>
      </c>
      <c r="Q28" s="548">
        <f ca="1"/>
        <v>25</v>
      </c>
      <c r="R28" s="548">
        <f ca="1"/>
        <v>25</v>
      </c>
      <c r="S28" s="548">
        <f ca="1"/>
        <v>25</v>
      </c>
      <c r="T28" s="548">
        <f ca="1"/>
        <v>25</v>
      </c>
      <c r="U28" s="548">
        <f ca="1"/>
        <v>25</v>
      </c>
      <c r="V28" s="548">
        <f ca="1"/>
        <v>25</v>
      </c>
      <c r="W28" s="548">
        <f ca="1"/>
        <v>25</v>
      </c>
      <c r="X28" s="548">
        <f ca="1"/>
        <v>25</v>
      </c>
      <c r="Y28" s="548">
        <f ca="1"/>
        <v>25</v>
      </c>
      <c r="Z28" s="548">
        <f ca="1"/>
        <v>25</v>
      </c>
      <c r="AA28" s="549">
        <f ca="1"/>
        <v>25</v>
      </c>
      <c r="AB28" s="14"/>
    </row>
    <row r="29" spans="1:28" s="10" customFormat="1" ht="15" hidden="1" customHeight="1" x14ac:dyDescent="0.45">
      <c r="A29" s="1783"/>
      <c r="B29" s="1830"/>
      <c r="C29" s="1260" t="s">
        <v>28</v>
      </c>
      <c r="D29" s="545">
        <f t="array" ref="D29:AA29" ca="1">IF(duration_fartlek_constant=0,IF(duration_fartlek_portion*plan_duration &lt; duration_fartlek_max, MROUND(duration_fartlek_portion*plan_duration,5), duration_fartlek_max),duration_fartlek_constant)</f>
        <v>60</v>
      </c>
      <c r="E29" s="550">
        <f ca="1"/>
        <v>60</v>
      </c>
      <c r="F29" s="550">
        <f ca="1"/>
        <v>60</v>
      </c>
      <c r="G29" s="550">
        <f ca="1"/>
        <v>60</v>
      </c>
      <c r="H29" s="550">
        <f ca="1"/>
        <v>60</v>
      </c>
      <c r="I29" s="550">
        <f ca="1"/>
        <v>60</v>
      </c>
      <c r="J29" s="550">
        <f ca="1"/>
        <v>60</v>
      </c>
      <c r="K29" s="550">
        <f ca="1"/>
        <v>55</v>
      </c>
      <c r="L29" s="550">
        <f ca="1"/>
        <v>55</v>
      </c>
      <c r="M29" s="550">
        <f ca="1"/>
        <v>40</v>
      </c>
      <c r="N29" s="550">
        <f ca="1"/>
        <v>60</v>
      </c>
      <c r="O29" s="550">
        <f ca="1"/>
        <v>55</v>
      </c>
      <c r="P29" s="550">
        <f ca="1"/>
        <v>60</v>
      </c>
      <c r="Q29" s="550">
        <f ca="1"/>
        <v>60</v>
      </c>
      <c r="R29" s="550">
        <f ca="1"/>
        <v>40</v>
      </c>
      <c r="S29" s="550">
        <f ca="1"/>
        <v>40</v>
      </c>
      <c r="T29" s="550">
        <f ca="1"/>
        <v>50</v>
      </c>
      <c r="U29" s="550">
        <f ca="1"/>
        <v>50</v>
      </c>
      <c r="V29" s="550">
        <f ca="1"/>
        <v>50</v>
      </c>
      <c r="W29" s="550">
        <f ca="1"/>
        <v>50</v>
      </c>
      <c r="X29" s="550">
        <f ca="1"/>
        <v>50</v>
      </c>
      <c r="Y29" s="550">
        <f ca="1"/>
        <v>50</v>
      </c>
      <c r="Z29" s="550">
        <f ca="1"/>
        <v>50</v>
      </c>
      <c r="AA29" s="551">
        <f ca="1"/>
        <v>50</v>
      </c>
      <c r="AB29" s="14"/>
    </row>
    <row r="30" spans="1:28" s="10" customFormat="1" ht="15" hidden="1" customHeight="1" x14ac:dyDescent="0.45">
      <c r="A30" s="1783"/>
      <c r="B30" s="1830"/>
      <c r="C30" s="1261" t="s">
        <v>30</v>
      </c>
      <c r="D30" s="535">
        <f ca="1">IF(duration_intervals_constant=0,ROUND(MIN(duration_intervals_portion*D15, 6*COUNTIFS($C$43:C$56,"&gt;40",$C$43:C$56,"&lt;51")+9, duration_intervals_max), 0),duration_intervals_constant)</f>
        <v>9</v>
      </c>
      <c r="E30" s="535">
        <f ca="1">IF(duration_intervals_constant=0,ROUND(MIN(duration_intervals_portion*E15, 6*COUNTIFS($C$43:D$56,"&gt;40",$C$43:D$56,"&lt;51")+9, duration_intervals_max), 0),duration_intervals_constant)</f>
        <v>9</v>
      </c>
      <c r="F30" s="535">
        <f ca="1">IF(duration_intervals_constant=0,ROUND(MIN(duration_intervals_portion*F15, 6*COUNTIFS($C$43:E$56,"&gt;40",$C$43:E$56,"&lt;51")+9, duration_intervals_max), 0),duration_intervals_constant)</f>
        <v>9</v>
      </c>
      <c r="G30" s="535">
        <f ca="1">IF(duration_intervals_constant=0,ROUND(MIN(duration_intervals_portion*G15, 6*COUNTIFS($C$43:F$56,"&gt;40",$C$43:F$56,"&lt;51")+9, duration_intervals_max), 0),duration_intervals_constant)</f>
        <v>9</v>
      </c>
      <c r="H30" s="1549">
        <f ca="1">IF(duration_intervals_constant=0,ROUND(MIN(duration_intervals_portion*H15, 6*COUNTIFS($C$43:G$56,"&gt;40",$C$43:G$56,"&lt;51")+9, duration_intervals_max), 0),duration_intervals_constant)</f>
        <v>9</v>
      </c>
      <c r="I30" s="535">
        <f ca="1">IF(duration_intervals_constant=0,ROUND(MIN(duration_intervals_portion*I15, 6*COUNTIFS($C$43:H$56,"&gt;40",$C$43:H$56,"&lt;51")+9, duration_intervals_max), 0),duration_intervals_constant)</f>
        <v>9</v>
      </c>
      <c r="J30" s="535">
        <f ca="1">IF(duration_intervals_constant=0,ROUND(MIN(duration_intervals_portion*J15, 4*COUNTIFS($C$43:I$56,"&gt;40",$C$43:I$56,"&lt;51")+9, duration_intervals_max), 0),duration_intervals_constant)</f>
        <v>9</v>
      </c>
      <c r="K30" s="535">
        <f ca="1">IF(duration_intervals_constant=0,ROUND(MIN(duration_intervals_portion*K15, 6*COUNTIFS($C$43:J$56,"&gt;40",$C$43:J$56,"&lt;51")+9, duration_intervals_max), 0),duration_intervals_constant)</f>
        <v>9</v>
      </c>
      <c r="L30" s="535">
        <f ca="1">IF(duration_intervals_constant=0,ROUND(MIN(duration_intervals_portion*L15, 6*COUNTIFS($C$43:K$56,"&gt;40",$C$43:K$56,"&lt;51")+9, duration_intervals_max), 0),duration_intervals_constant)</f>
        <v>9</v>
      </c>
      <c r="M30" s="535">
        <f ca="1">IF(duration_intervals_constant=0,ROUND(MIN(duration_intervals_portion*M15, 6*COUNTIFS($C$43:L$56,"&gt;40",$C$43:L$56,"&lt;51")+9, duration_intervals_max), 0),duration_intervals_constant)</f>
        <v>9</v>
      </c>
      <c r="N30" s="535">
        <f ca="1">IF(duration_intervals_constant=0,ROUND(MIN(duration_intervals_portion*N15, 6*COUNTIFS($C$43:M$56,"&gt;40",$C$43:M$56,"&lt;51")+9, duration_intervals_max), 0),duration_intervals_constant)</f>
        <v>9</v>
      </c>
      <c r="O30" s="535">
        <f ca="1">IF(duration_intervals_constant=0,ROUND(MIN(duration_intervals_portion*O15, 6*COUNTIFS($C$43:N$56,"&gt;40",$C$43:N$56,"&lt;51")+9, duration_intervals_max), 0),duration_intervals_constant)</f>
        <v>9</v>
      </c>
      <c r="P30" s="535">
        <f ca="1">IF(duration_intervals_constant=0,ROUND(MIN(duration_intervals_portion*P15, 6*COUNTIFS($C$43:O$56,"&gt;40",$C$43:O$56,"&lt;51")+9, duration_intervals_max), 0),duration_intervals_constant)</f>
        <v>15</v>
      </c>
      <c r="Q30" s="541">
        <f ca="1">IF(duration_intervals_constant=0,ROUND(MIN(duration_intervals_portion*Q15, 6*COUNTIFS($C$43:P$56,"&gt;40",$C$43:P$56,"&lt;51")+9, duration_intervals_max), 0),duration_intervals_constant)</f>
        <v>20</v>
      </c>
      <c r="R30" s="541">
        <f ca="1">IF(duration_intervals_constant=0,ROUND(MIN(duration_intervals_portion*R15, 6*COUNTIFS($C$43:Q$56,"&gt;40",$C$43:Q$56,"&lt;51")+9, duration_intervals_max), 0),duration_intervals_constant)</f>
        <v>13</v>
      </c>
      <c r="S30" s="541">
        <f ca="1">IF(duration_intervals_constant=0,ROUND(MIN(duration_intervals_portion*S15, 6*COUNTIFS($C$43:R$56,"&gt;40",$C$43:R$56,"&lt;51")+9, duration_intervals_max), 0),duration_intervals_constant)</f>
        <v>13</v>
      </c>
      <c r="T30" s="541">
        <f ca="1">IF(duration_intervals_constant=0,ROUND(MIN(duration_intervals_portion*T15, 6*COUNTIFS($C$43:S$56,"&gt;40",$C$43:S$56,"&lt;51")+9, duration_intervals_max), 0),duration_intervals_constant)</f>
        <v>17</v>
      </c>
      <c r="U30" s="541">
        <f ca="1">IF(duration_intervals_constant=0,ROUND(MIN(duration_intervals_portion*U15, 6*COUNTIFS($C$43:T$56,"&gt;40",$C$43:T$56,"&lt;51")+9, duration_intervals_max), 0),duration_intervals_constant)</f>
        <v>17</v>
      </c>
      <c r="V30" s="541">
        <f ca="1">IF(duration_intervals_constant=0,ROUND(MIN(duration_intervals_portion*V15, 6*COUNTIFS($C$43:U$56,"&gt;40",$C$43:U$56,"&lt;51")+9, duration_intervals_max), 0),duration_intervals_constant)</f>
        <v>17</v>
      </c>
      <c r="W30" s="541">
        <f ca="1">IF(duration_intervals_constant=0,ROUND(MIN(duration_intervals_portion*W15, 6*COUNTIFS($C$43:V$56,"&gt;40",$C$43:V$56,"&lt;51")+9, duration_intervals_max), 0),duration_intervals_constant)</f>
        <v>17</v>
      </c>
      <c r="X30" s="541">
        <f ca="1">IF(duration_intervals_constant=0,ROUND(MIN(duration_intervals_portion*X15, 6*COUNTIFS($C$43:W$56,"&gt;40",$C$43:W$56,"&lt;51")+9, duration_intervals_max), 0),duration_intervals_constant)</f>
        <v>17</v>
      </c>
      <c r="Y30" s="541">
        <f ca="1">IF(duration_intervals_constant=0,ROUND(MIN(duration_intervals_portion*Y15, 6*COUNTIFS($C$43:X$56,"&gt;40",$C$43:X$56,"&lt;51")+9, duration_intervals_max), 0),duration_intervals_constant)</f>
        <v>17</v>
      </c>
      <c r="Z30" s="541">
        <f ca="1">IF(duration_intervals_constant=0,ROUND(MIN(duration_intervals_portion*Z15, 6*COUNTIFS($C$43:Y$56,"&gt;40",$C$43:Y$56,"&lt;51")+9, duration_intervals_max), 0),duration_intervals_constant)</f>
        <v>17</v>
      </c>
      <c r="AA30" s="542">
        <f ca="1">IF(duration_intervals_constant=0,ROUND(MIN(duration_intervals_portion*AA15, 6*COUNTIFS($C$43:Z$56,"&gt;40",$C$43:Z$56,"&lt;51")+9, duration_intervals_max), 0),duration_intervals_constant)</f>
        <v>17</v>
      </c>
      <c r="AB30" s="14"/>
    </row>
    <row r="31" spans="1:28" s="10" customFormat="1" ht="15" hidden="1" customHeight="1" x14ac:dyDescent="0.45">
      <c r="A31" s="1783"/>
      <c r="B31" s="1830"/>
      <c r="C31" s="1262" t="s">
        <v>32</v>
      </c>
      <c r="D31" s="532">
        <f t="array" aca="1" ref="D31" ca="1">IF(duration_reps_constant=0,ROUND(MIN(duration_reps_portion*D15, COUNTIF($C$57:C$70,"Reps")+1, duration_reps_max),0),duration_reps_constant)</f>
        <v>1</v>
      </c>
      <c r="E31" s="532">
        <f ca="1">IF(duration_reps_constant=0,ROUND(MIN(duration_reps_portion*E15, COUNTIF($C$57:D$70,"Reps")+2, duration_reps_max),0),duration_reps_constant)</f>
        <v>2</v>
      </c>
      <c r="F31" s="532">
        <f ca="1">IF(duration_reps_constant=0,ROUND(MIN(duration_reps_portion*F15, COUNTIF($C$57:E$70,"Reps")+2, duration_reps_max),0),duration_reps_constant)</f>
        <v>2</v>
      </c>
      <c r="G31" s="532">
        <f ca="1">IF(duration_reps_constant=0,ROUND(MIN(duration_reps_portion*G15, COUNTIF($C$57:F$70,"Reps")+2, duration_reps_max),0),duration_reps_constant)</f>
        <v>2</v>
      </c>
      <c r="H31" s="532">
        <f ca="1">IF(duration_reps_constant=0,ROUND(MIN(duration_reps_portion*H15, COUNTIF($C$57:G$70,"Reps")+2, duration_reps_max),0),duration_reps_constant)</f>
        <v>2</v>
      </c>
      <c r="I31" s="532">
        <f ca="1">IF(duration_reps_constant=0,ROUND(MIN(duration_reps_portion*I15, COUNTIF($C$57:H$70,"Reps")+2, duration_reps_max),0),duration_reps_constant)</f>
        <v>2</v>
      </c>
      <c r="J31" s="532">
        <f ca="1">IF(duration_reps_constant=0,ROUND(MIN(duration_reps_portion*J15, COUNTIF($C$57:I$70,"Reps")+2, duration_reps_max),0),duration_reps_constant)</f>
        <v>2</v>
      </c>
      <c r="K31" s="532">
        <f ca="1">IF(duration_reps_constant=0,ROUND(MIN(duration_reps_portion*K15, COUNTIF($C$57:J$70,"Reps")+2, duration_reps_max),0),duration_reps_constant)</f>
        <v>2</v>
      </c>
      <c r="L31" s="532">
        <f ca="1">IF(duration_reps_constant=0,ROUND(MIN(duration_reps_portion*L15, COUNTIF($C$57:K$70,"Reps")+2, duration_reps_max),0),duration_reps_constant)</f>
        <v>2</v>
      </c>
      <c r="M31" s="552">
        <f ca="1">IF(duration_reps_constant=0,ROUND(MIN(duration_reps_portion*M15, COUNTIF($C$57:L$70,"Reps")+2, duration_reps_max),0),duration_reps_constant)</f>
        <v>2</v>
      </c>
      <c r="N31" s="552">
        <f ca="1">IF(duration_reps_constant=0,ROUND(MIN(duration_reps_portion*N15, COUNTIF($C$57:M$70,"Reps")+2, duration_reps_max),0),duration_reps_constant)</f>
        <v>2</v>
      </c>
      <c r="O31" s="552">
        <f ca="1">IF(duration_reps_constant=0,ROUND(MIN(duration_reps_portion*O15, COUNTIF($C$57:N$70,"Reps")+2, duration_reps_max),0),duration_reps_constant)</f>
        <v>2</v>
      </c>
      <c r="P31" s="552">
        <f ca="1">IF(duration_reps_constant=0,ROUND(MIN(duration_reps_portion*P15, COUNTIF($C$57:O$70,"Reps")+2, duration_reps_max),0),duration_reps_constant)</f>
        <v>2</v>
      </c>
      <c r="Q31" s="552">
        <f ca="1">IF(duration_reps_constant=0,ROUND(MIN(duration_reps_portion*Q15, COUNTIF($C$57:P$70,"Reps")+2, duration_reps_max),0),duration_reps_constant)</f>
        <v>2</v>
      </c>
      <c r="R31" s="552">
        <f ca="1">IF(duration_reps_constant=0,ROUND(MIN(duration_reps_portion*R15, COUNTIF($C$57:Q$70,"Reps")+2, duration_reps_max),0),duration_reps_constant)</f>
        <v>2</v>
      </c>
      <c r="S31" s="552">
        <f ca="1">IF(duration_reps_constant=0,ROUND(MIN(duration_reps_portion*S15, COUNTIF($C$57:R$70,"Reps")+2, duration_reps_max),0),duration_reps_constant)</f>
        <v>2</v>
      </c>
      <c r="T31" s="552">
        <f ca="1">IF(duration_reps_constant=0,ROUND(MIN(duration_reps_portion*T15, COUNTIF($C$57:S$70,"Reps")+2, duration_reps_max),0),duration_reps_constant)</f>
        <v>2</v>
      </c>
      <c r="U31" s="552">
        <f ca="1">IF(duration_reps_constant=0,ROUND(MIN(duration_reps_portion*U15, COUNTIF($C$57:T$70,"Reps")+2, duration_reps_max),0),duration_reps_constant)</f>
        <v>2</v>
      </c>
      <c r="V31" s="552">
        <f ca="1">IF(duration_reps_constant=0,ROUND(MIN(duration_reps_portion*V15, COUNTIF($C$57:U$70,"Reps")+2, duration_reps_max),0),duration_reps_constant)</f>
        <v>2</v>
      </c>
      <c r="W31" s="552">
        <f ca="1">IF(duration_reps_constant=0,ROUND(MIN(duration_reps_portion*W15, COUNTIF($C$57:V$70,"Reps")+2, duration_reps_max),0),duration_reps_constant)</f>
        <v>2</v>
      </c>
      <c r="X31" s="552">
        <f ca="1">IF(duration_reps_constant=0,ROUND(MIN(duration_reps_portion*X15, COUNTIF($C$57:W$70,"Reps")+2, duration_reps_max),0),duration_reps_constant)</f>
        <v>2</v>
      </c>
      <c r="Y31" s="552">
        <f ca="1">IF(duration_reps_constant=0,ROUND(MIN(duration_reps_portion*Y15, COUNTIF($C$57:X$70,"Reps")+2, duration_reps_max),0),duration_reps_constant)</f>
        <v>2</v>
      </c>
      <c r="Z31" s="552">
        <f ca="1">IF(duration_reps_constant=0,ROUND(MIN(duration_reps_portion*Z15, COUNTIF($C$57:Y$70,"Reps")+2, duration_reps_max),0),duration_reps_constant)</f>
        <v>2</v>
      </c>
      <c r="AA31" s="553">
        <f ca="1">IF(duration_reps_constant=0,ROUND(MIN(duration_reps_portion*AA15, COUNTIF($C$57:Z$70,"Reps")+2, duration_reps_max),0),duration_reps_constant)</f>
        <v>2</v>
      </c>
      <c r="AB31" s="14"/>
    </row>
    <row r="32" spans="1:28" s="10" customFormat="1" ht="15" hidden="1" customHeight="1" x14ac:dyDescent="0.45">
      <c r="A32" s="1783"/>
      <c r="B32" s="1830"/>
      <c r="C32" s="1261" t="s">
        <v>34</v>
      </c>
      <c r="D32" s="535">
        <f t="array" ref="D32:AA32">IF(duration_drills_constant=0,IF(duration_drills_portion*plan_duration &lt; duration_drills_max, MROUND(duration_drills_portion*plan_duration,5), duration_drills_max),duration_drills_constant)</f>
        <v>30</v>
      </c>
      <c r="E32" s="535">
        <v>30</v>
      </c>
      <c r="F32" s="535">
        <v>30</v>
      </c>
      <c r="G32" s="535">
        <v>30</v>
      </c>
      <c r="H32" s="535">
        <v>30</v>
      </c>
      <c r="I32" s="535">
        <v>30</v>
      </c>
      <c r="J32" s="535">
        <v>30</v>
      </c>
      <c r="K32" s="535">
        <v>30</v>
      </c>
      <c r="L32" s="535">
        <v>30</v>
      </c>
      <c r="M32" s="541">
        <v>30</v>
      </c>
      <c r="N32" s="541">
        <v>30</v>
      </c>
      <c r="O32" s="541">
        <v>30</v>
      </c>
      <c r="P32" s="541">
        <v>30</v>
      </c>
      <c r="Q32" s="541">
        <v>30</v>
      </c>
      <c r="R32" s="541">
        <v>30</v>
      </c>
      <c r="S32" s="541">
        <v>30</v>
      </c>
      <c r="T32" s="541">
        <v>30</v>
      </c>
      <c r="U32" s="541">
        <v>30</v>
      </c>
      <c r="V32" s="541">
        <v>30</v>
      </c>
      <c r="W32" s="541">
        <v>30</v>
      </c>
      <c r="X32" s="541">
        <v>30</v>
      </c>
      <c r="Y32" s="541">
        <v>30</v>
      </c>
      <c r="Z32" s="541">
        <v>30</v>
      </c>
      <c r="AA32" s="542">
        <v>30</v>
      </c>
      <c r="AB32" s="14"/>
    </row>
    <row r="33" spans="1:28" s="10" customFormat="1" ht="15" hidden="1" customHeight="1" x14ac:dyDescent="0.45">
      <c r="A33" s="1783"/>
      <c r="B33" s="1830"/>
      <c r="C33" s="1263" t="s">
        <v>36</v>
      </c>
      <c r="D33" s="538">
        <f t="array" ref="D33:AA33">IF(duration_strength_constant=0,IF(duration_strength_portion*plan_duration &lt; duration_strength_max, MROUND(duration_strength_portion*plan_duration,5), duration_strength_max),duration_strength_constant)</f>
        <v>30</v>
      </c>
      <c r="E33" s="538">
        <v>30</v>
      </c>
      <c r="F33" s="538">
        <v>30</v>
      </c>
      <c r="G33" s="538">
        <v>30</v>
      </c>
      <c r="H33" s="538">
        <v>30</v>
      </c>
      <c r="I33" s="538">
        <v>30</v>
      </c>
      <c r="J33" s="538">
        <v>30</v>
      </c>
      <c r="K33" s="538">
        <v>30</v>
      </c>
      <c r="L33" s="538">
        <v>30</v>
      </c>
      <c r="M33" s="543">
        <v>30</v>
      </c>
      <c r="N33" s="543">
        <v>30</v>
      </c>
      <c r="O33" s="543">
        <v>30</v>
      </c>
      <c r="P33" s="543">
        <v>30</v>
      </c>
      <c r="Q33" s="543">
        <v>30</v>
      </c>
      <c r="R33" s="543">
        <v>30</v>
      </c>
      <c r="S33" s="543">
        <v>30</v>
      </c>
      <c r="T33" s="543">
        <v>30</v>
      </c>
      <c r="U33" s="543">
        <v>30</v>
      </c>
      <c r="V33" s="543">
        <v>30</v>
      </c>
      <c r="W33" s="543">
        <v>30</v>
      </c>
      <c r="X33" s="543">
        <v>30</v>
      </c>
      <c r="Y33" s="543">
        <v>30</v>
      </c>
      <c r="Z33" s="543">
        <v>30</v>
      </c>
      <c r="AA33" s="544">
        <v>30</v>
      </c>
      <c r="AB33" s="14"/>
    </row>
    <row r="34" spans="1:28" s="10" customFormat="1" ht="15" hidden="1" customHeight="1" x14ac:dyDescent="0.45">
      <c r="A34" s="1783"/>
      <c r="B34" s="1830"/>
      <c r="C34" s="1261" t="s">
        <v>38</v>
      </c>
      <c r="D34" s="535">
        <f t="array" ref="D34:AA34">IF(duration_maint_constant=0,IF(duration_long_portion*plan_duration &lt; duration_long_max, MROUND(duration_long_portion*plan_duration,5), duration_long_max),duration_maint_constant)</f>
        <v>30</v>
      </c>
      <c r="E34" s="535">
        <v>30</v>
      </c>
      <c r="F34" s="535">
        <v>30</v>
      </c>
      <c r="G34" s="535">
        <v>30</v>
      </c>
      <c r="H34" s="535">
        <v>30</v>
      </c>
      <c r="I34" s="535">
        <v>30</v>
      </c>
      <c r="J34" s="535">
        <v>30</v>
      </c>
      <c r="K34" s="535">
        <v>30</v>
      </c>
      <c r="L34" s="535">
        <v>30</v>
      </c>
      <c r="M34" s="541">
        <v>30</v>
      </c>
      <c r="N34" s="541">
        <v>30</v>
      </c>
      <c r="O34" s="541">
        <v>30</v>
      </c>
      <c r="P34" s="541">
        <v>30</v>
      </c>
      <c r="Q34" s="541">
        <v>30</v>
      </c>
      <c r="R34" s="541">
        <v>30</v>
      </c>
      <c r="S34" s="541">
        <v>30</v>
      </c>
      <c r="T34" s="541">
        <v>30</v>
      </c>
      <c r="U34" s="541">
        <v>30</v>
      </c>
      <c r="V34" s="541">
        <v>30</v>
      </c>
      <c r="W34" s="541">
        <v>30</v>
      </c>
      <c r="X34" s="541">
        <v>30</v>
      </c>
      <c r="Y34" s="541">
        <v>30</v>
      </c>
      <c r="Z34" s="541">
        <v>30</v>
      </c>
      <c r="AA34" s="542">
        <v>30</v>
      </c>
      <c r="AB34" s="14"/>
    </row>
    <row r="35" spans="1:28" s="10" customFormat="1" ht="15" hidden="1" customHeight="1" x14ac:dyDescent="0.45">
      <c r="A35" s="1783"/>
      <c r="B35" s="1830"/>
      <c r="C35" s="1263" t="s">
        <v>561</v>
      </c>
      <c r="D35" s="1192">
        <f t="array" aca="1" ref="D35:AA35" ca="1">MROUND( IFERROR( IF((evaluation_duration_filler / evaluation_filler_count / 2) &lt; 20,
IF(evaluation_duration_filler / evaluation_filler1_count &lt; 20, 0, evaluation_duration_filler / evaluation_filler1_count),
IF(evaluation_duration_filler / evaluation_filler_count &lt; 20, 0, evaluation_duration_filler / evaluation_filler_count)), 0), 5)</f>
        <v>50</v>
      </c>
      <c r="E35" s="1192">
        <f ca="1"/>
        <v>70</v>
      </c>
      <c r="F35" s="1192">
        <f ca="1"/>
        <v>85</v>
      </c>
      <c r="G35" s="1192">
        <f ca="1"/>
        <v>75</v>
      </c>
      <c r="H35" s="1192">
        <f ca="1"/>
        <v>80</v>
      </c>
      <c r="I35" s="1192">
        <f ca="1"/>
        <v>95</v>
      </c>
      <c r="J35" s="1192">
        <f ca="1"/>
        <v>60</v>
      </c>
      <c r="K35" s="1192">
        <f ca="1"/>
        <v>55</v>
      </c>
      <c r="L35" s="1192">
        <f ca="1"/>
        <v>0</v>
      </c>
      <c r="M35" s="1193">
        <f ca="1"/>
        <v>0</v>
      </c>
      <c r="N35" s="1193">
        <f ca="1"/>
        <v>0</v>
      </c>
      <c r="O35" s="1193">
        <f ca="1"/>
        <v>30</v>
      </c>
      <c r="P35" s="1193">
        <f ca="1"/>
        <v>30</v>
      </c>
      <c r="Q35" s="1193">
        <f ca="1"/>
        <v>80</v>
      </c>
      <c r="R35" s="1193">
        <f ca="1"/>
        <v>30</v>
      </c>
      <c r="S35" s="1193">
        <f ca="1"/>
        <v>30</v>
      </c>
      <c r="T35" s="1193">
        <f ca="1"/>
        <v>55</v>
      </c>
      <c r="U35" s="1193">
        <f ca="1"/>
        <v>105</v>
      </c>
      <c r="V35" s="1193">
        <f ca="1"/>
        <v>0</v>
      </c>
      <c r="W35" s="1193">
        <f ca="1"/>
        <v>0</v>
      </c>
      <c r="X35" s="1193">
        <f ca="1"/>
        <v>0</v>
      </c>
      <c r="Y35" s="1193">
        <f ca="1"/>
        <v>0</v>
      </c>
      <c r="Z35" s="1193">
        <f ca="1"/>
        <v>0</v>
      </c>
      <c r="AA35" s="1194">
        <f ca="1"/>
        <v>0</v>
      </c>
      <c r="AB35" s="14"/>
    </row>
    <row r="36" spans="1:28" s="10" customFormat="1" ht="15" hidden="1" customHeight="1" x14ac:dyDescent="0.45">
      <c r="A36" s="1784"/>
      <c r="B36" s="1830"/>
      <c r="C36" s="1445" t="s">
        <v>560</v>
      </c>
      <c r="D36" s="1027">
        <f t="array" aca="1" ref="D36:AA36" ca="1">MROUND( IFERROR( IF((evaluation_duration_filler / evaluation_filler_count / 2) &lt; 20, 0, evaluation_duration_filler / evaluation_filler_count / 2), 0), 5)</f>
        <v>25</v>
      </c>
      <c r="E36" s="1027">
        <f ca="1"/>
        <v>35</v>
      </c>
      <c r="F36" s="1027">
        <f ca="1"/>
        <v>40</v>
      </c>
      <c r="G36" s="1027">
        <f ca="1"/>
        <v>35</v>
      </c>
      <c r="H36" s="1027">
        <f ca="1"/>
        <v>40</v>
      </c>
      <c r="I36" s="1027">
        <f ca="1"/>
        <v>45</v>
      </c>
      <c r="J36" s="1027">
        <f ca="1"/>
        <v>30</v>
      </c>
      <c r="K36" s="1027">
        <f ca="1"/>
        <v>25</v>
      </c>
      <c r="L36" s="1027">
        <f ca="1"/>
        <v>0</v>
      </c>
      <c r="M36" s="1028">
        <f ca="1"/>
        <v>0</v>
      </c>
      <c r="N36" s="1028">
        <f ca="1"/>
        <v>0</v>
      </c>
      <c r="O36" s="1028">
        <f ca="1"/>
        <v>0</v>
      </c>
      <c r="P36" s="1028">
        <f ca="1"/>
        <v>0</v>
      </c>
      <c r="Q36" s="1028">
        <f ca="1"/>
        <v>40</v>
      </c>
      <c r="R36" s="1028">
        <f ca="1"/>
        <v>0</v>
      </c>
      <c r="S36" s="1028">
        <f ca="1"/>
        <v>0</v>
      </c>
      <c r="T36" s="1028">
        <f ca="1"/>
        <v>30</v>
      </c>
      <c r="U36" s="1028">
        <f ca="1"/>
        <v>55</v>
      </c>
      <c r="V36" s="1028">
        <f ca="1"/>
        <v>0</v>
      </c>
      <c r="W36" s="1028">
        <f ca="1"/>
        <v>0</v>
      </c>
      <c r="X36" s="1028">
        <f ca="1"/>
        <v>0</v>
      </c>
      <c r="Y36" s="1028">
        <f ca="1"/>
        <v>0</v>
      </c>
      <c r="Z36" s="1028">
        <f ca="1"/>
        <v>0</v>
      </c>
      <c r="AA36" s="1029">
        <f ca="1"/>
        <v>0</v>
      </c>
      <c r="AB36" s="14"/>
    </row>
    <row r="37" spans="1:28" s="10" customFormat="1" ht="15" hidden="1" customHeight="1" x14ac:dyDescent="0.45">
      <c r="A37" s="1427"/>
      <c r="B37" s="1779" t="s">
        <v>716</v>
      </c>
      <c r="C37" s="1477" t="s">
        <v>710</v>
      </c>
      <c r="D37" s="1478">
        <f t="array" ref="D37:AA37">15</f>
        <v>15</v>
      </c>
      <c r="E37" s="1478">
        <v>15</v>
      </c>
      <c r="F37" s="1478">
        <v>15</v>
      </c>
      <c r="G37" s="1478">
        <v>15</v>
      </c>
      <c r="H37" s="1478">
        <v>15</v>
      </c>
      <c r="I37" s="1478">
        <v>15</v>
      </c>
      <c r="J37" s="1478">
        <v>15</v>
      </c>
      <c r="K37" s="1478">
        <v>15</v>
      </c>
      <c r="L37" s="1478">
        <v>15</v>
      </c>
      <c r="M37" s="1479">
        <v>15</v>
      </c>
      <c r="N37" s="1479">
        <v>15</v>
      </c>
      <c r="O37" s="1479">
        <v>15</v>
      </c>
      <c r="P37" s="1479">
        <v>15</v>
      </c>
      <c r="Q37" s="1479">
        <v>15</v>
      </c>
      <c r="R37" s="1479">
        <v>15</v>
      </c>
      <c r="S37" s="1479">
        <v>15</v>
      </c>
      <c r="T37" s="1479">
        <v>15</v>
      </c>
      <c r="U37" s="1479">
        <v>15</v>
      </c>
      <c r="V37" s="1479">
        <v>15</v>
      </c>
      <c r="W37" s="1479">
        <v>15</v>
      </c>
      <c r="X37" s="1479">
        <v>15</v>
      </c>
      <c r="Y37" s="1479">
        <v>15</v>
      </c>
      <c r="Z37" s="1479">
        <v>15</v>
      </c>
      <c r="AA37" s="1480">
        <v>15</v>
      </c>
      <c r="AB37" s="14"/>
    </row>
    <row r="38" spans="1:28" s="10" customFormat="1" ht="15" hidden="1" customHeight="1" x14ac:dyDescent="0.45">
      <c r="A38" s="1427"/>
      <c r="B38" s="1780"/>
      <c r="C38" s="1263" t="s">
        <v>711</v>
      </c>
      <c r="D38" s="1192">
        <f ca="1">ROUND(MAX(30, MIN(athlete_nutrition_during - 10*COUNTIF(plan_nutrition_counter, "High Carb") + 10*COUNTIF($C$71:C$84,"High Carb"), athlete_nutrition_during)), 0)</f>
        <v>60</v>
      </c>
      <c r="E38" s="1192">
        <f ca="1">ROUND(MIN(athlete_nutrition_during - 10*COUNTIF(plan_nutrition_counter, "High Carb") + 10*COUNTIF($C$71:D$84,"High Carb"), athlete_nutrition_during), 0)</f>
        <v>60</v>
      </c>
      <c r="F38" s="1192">
        <f ca="1">ROUND(MIN(athlete_nutrition_during - 10*COUNTIF(plan_nutrition_counter, "High Carb") + 10*COUNTIF($C$71:E$84,"High Carb"), athlete_nutrition_during), 0)</f>
        <v>60</v>
      </c>
      <c r="G38" s="1192">
        <f ca="1">ROUND(MIN(athlete_nutrition_during - 10*COUNTIF(plan_nutrition_counter, "High Carb") + 10*COUNTIF($C$71:F$84,"High Carb"), athlete_nutrition_during), 0)</f>
        <v>60</v>
      </c>
      <c r="H38" s="1192">
        <f ca="1">ROUND(MIN(athlete_nutrition_during - 10*COUNTIF(plan_nutrition_counter, "High Carb") + 10*COUNTIF($C$71:G$84,"High Carb"), athlete_nutrition_during), 0)</f>
        <v>60</v>
      </c>
      <c r="I38" s="1192">
        <f ca="1">ROUND(MIN(athlete_nutrition_during - 10*COUNTIF(plan_nutrition_counter, "High Carb") + 10*COUNTIF($C$71:H$84,"High Carb"), athlete_nutrition_during), 0)</f>
        <v>60</v>
      </c>
      <c r="J38" s="1192">
        <f ca="1">ROUND(MIN(athlete_nutrition_during - 10*COUNTIF(plan_nutrition_counter, "High Carb") + 10*COUNTIF($C$71:I$84,"High Carb"), athlete_nutrition_during), 0)</f>
        <v>60</v>
      </c>
      <c r="K38" s="1192">
        <f ca="1">ROUND(MIN(athlete_nutrition_during - 10*COUNTIF(plan_nutrition_counter, "High Carb") + 10*COUNTIF($C$71:J$84,"High Carb"), athlete_nutrition_during), 0)</f>
        <v>60</v>
      </c>
      <c r="L38" s="1192">
        <f ca="1">ROUND(MIN(athlete_nutrition_during - 10*COUNTIF(plan_nutrition_counter, "High Carb") + 10*COUNTIF($C$71:K$84,"High Carb"), athlete_nutrition_during), 0)</f>
        <v>60</v>
      </c>
      <c r="M38" s="1193">
        <f ca="1">ROUND(MIN(athlete_nutrition_during - 10*COUNTIF(plan_nutrition_counter, "High Carb") + 10*COUNTIF($C$71:L$84,"High Carb"), athlete_nutrition_during), 0)</f>
        <v>60</v>
      </c>
      <c r="N38" s="1193">
        <f ca="1">ROUND(MIN(athlete_nutrition_during - 10*COUNTIF(plan_nutrition_counter, "High Carb") + 10*COUNTIF($C$71:M$84,"High Carb"), athlete_nutrition_during), 0)</f>
        <v>60</v>
      </c>
      <c r="O38" s="1193">
        <f ca="1">ROUND(MIN(athlete_nutrition_during - 10*COUNTIF(plan_nutrition_counter, "High Carb") + 10*COUNTIF($C$71:N$84,"High Carb"), athlete_nutrition_during), 0)</f>
        <v>60</v>
      </c>
      <c r="P38" s="1193">
        <f ca="1">ROUND(MIN(athlete_nutrition_during - 10*COUNTIF(plan_nutrition_counter, "High Carb") + 10*COUNTIF($C$71:O$84,"High Carb"), athlete_nutrition_during), 0)</f>
        <v>60</v>
      </c>
      <c r="Q38" s="1193">
        <f ca="1">ROUND(MIN(athlete_nutrition_during - 10*COUNTIF(plan_nutrition_counter, "High Carb") + 10*COUNTIF($C$71:P$84,"High Carb"), athlete_nutrition_during), 0)</f>
        <v>60</v>
      </c>
      <c r="R38" s="1193">
        <f ca="1">ROUND(MIN(athlete_nutrition_during - 10*COUNTIF(plan_nutrition_counter, "High Carb") + 10*COUNTIF($C$71:Q$84,"High Carb"), athlete_nutrition_during), 0)</f>
        <v>60</v>
      </c>
      <c r="S38" s="1193">
        <f ca="1">ROUND(MIN(athlete_nutrition_during - 10*COUNTIF(plan_nutrition_counter, "High Carb") + 10*COUNTIF($C$71:R$84,"High Carb"), athlete_nutrition_during), 0)</f>
        <v>60</v>
      </c>
      <c r="T38" s="1193">
        <f ca="1">ROUND(MIN(athlete_nutrition_during - 10*COUNTIF(plan_nutrition_counter, "High Carb") + 10*COUNTIF($C$71:S$84,"High Carb"), athlete_nutrition_during), 0)</f>
        <v>60</v>
      </c>
      <c r="U38" s="1193">
        <f ca="1">ROUND(MIN(athlete_nutrition_during - 10*COUNTIF(plan_nutrition_counter, "High Carb") + 10*COUNTIF($C$71:T$84,"High Carb"), athlete_nutrition_during), 0)</f>
        <v>60</v>
      </c>
      <c r="V38" s="1193">
        <f ca="1">ROUND(MIN(athlete_nutrition_during - 10*COUNTIF(plan_nutrition_counter, "High Carb") + 10*COUNTIF($C$71:U$84,"High Carb"), athlete_nutrition_during), 0)</f>
        <v>60</v>
      </c>
      <c r="W38" s="1193">
        <f ca="1">ROUND(MIN(athlete_nutrition_during - 10*COUNTIF(plan_nutrition_counter, "High Carb") + 10*COUNTIF($C$71:V$84,"High Carb"), athlete_nutrition_during), 0)</f>
        <v>60</v>
      </c>
      <c r="X38" s="1193">
        <f ca="1">ROUND(MIN(athlete_nutrition_during - 10*COUNTIF(plan_nutrition_counter, "High Carb") + 10*COUNTIF($C$71:W$84,"High Carb"), athlete_nutrition_during), 0)</f>
        <v>60</v>
      </c>
      <c r="Y38" s="1193">
        <f ca="1">ROUND(MIN(athlete_nutrition_during - 10*COUNTIF(plan_nutrition_counter, "High Carb") + 10*COUNTIF($C$71:X$84,"High Carb"), athlete_nutrition_during), 0)</f>
        <v>60</v>
      </c>
      <c r="Z38" s="1193">
        <f ca="1">ROUND(MIN(athlete_nutrition_during - 10*COUNTIF(plan_nutrition_counter, "High Carb") + 10*COUNTIF($C$71:Y$84,"High Carb"), athlete_nutrition_during), 0)</f>
        <v>60</v>
      </c>
      <c r="AA38" s="1194">
        <f ca="1">ROUND(MIN(athlete_nutrition_during - 10*COUNTIF(plan_nutrition_counter, "High Carb") + 10*COUNTIF($C$71:Z$84,"High Carb"), athlete_nutrition_during), 0)</f>
        <v>60</v>
      </c>
      <c r="AB38" s="14"/>
    </row>
    <row r="39" spans="1:28" s="10" customFormat="1" ht="15" hidden="1" customHeight="1" x14ac:dyDescent="0.45">
      <c r="A39" s="1427"/>
      <c r="B39" s="1780"/>
      <c r="C39" s="1445" t="s">
        <v>712</v>
      </c>
      <c r="D39" s="1027">
        <f t="array" ref="D39:AA39">60</f>
        <v>60</v>
      </c>
      <c r="E39" s="1027">
        <v>60</v>
      </c>
      <c r="F39" s="1027">
        <v>60</v>
      </c>
      <c r="G39" s="1027">
        <v>60</v>
      </c>
      <c r="H39" s="1027">
        <v>60</v>
      </c>
      <c r="I39" s="1027">
        <v>60</v>
      </c>
      <c r="J39" s="1027">
        <v>60</v>
      </c>
      <c r="K39" s="1027">
        <v>60</v>
      </c>
      <c r="L39" s="1027">
        <v>60</v>
      </c>
      <c r="M39" s="1028">
        <v>60</v>
      </c>
      <c r="N39" s="1028">
        <v>60</v>
      </c>
      <c r="O39" s="1028">
        <v>60</v>
      </c>
      <c r="P39" s="1028">
        <v>60</v>
      </c>
      <c r="Q39" s="1028">
        <v>60</v>
      </c>
      <c r="R39" s="1028">
        <v>60</v>
      </c>
      <c r="S39" s="1028">
        <v>60</v>
      </c>
      <c r="T39" s="1028">
        <v>60</v>
      </c>
      <c r="U39" s="1028">
        <v>60</v>
      </c>
      <c r="V39" s="1028">
        <v>60</v>
      </c>
      <c r="W39" s="1028">
        <v>60</v>
      </c>
      <c r="X39" s="1028">
        <v>60</v>
      </c>
      <c r="Y39" s="1028">
        <v>60</v>
      </c>
      <c r="Z39" s="1028">
        <v>60</v>
      </c>
      <c r="AA39" s="1029">
        <v>60</v>
      </c>
      <c r="AB39" s="14"/>
    </row>
    <row r="40" spans="1:28" s="10" customFormat="1" ht="15" hidden="1" customHeight="1" x14ac:dyDescent="0.45">
      <c r="A40" s="1426"/>
      <c r="B40" s="1779" t="s">
        <v>724</v>
      </c>
      <c r="C40" s="1481" t="s">
        <v>725</v>
      </c>
      <c r="D40" s="1482"/>
      <c r="E40" s="1482"/>
      <c r="F40" s="1482"/>
      <c r="G40" s="1482"/>
      <c r="H40" s="1482"/>
      <c r="I40" s="1482"/>
      <c r="J40" s="1482"/>
      <c r="K40" s="1482"/>
      <c r="L40" s="1482"/>
      <c r="M40" s="1483"/>
      <c r="N40" s="1483"/>
      <c r="O40" s="1483"/>
      <c r="P40" s="1483"/>
      <c r="Q40" s="1483"/>
      <c r="R40" s="1483"/>
      <c r="S40" s="1483"/>
      <c r="T40" s="1483"/>
      <c r="U40" s="1483"/>
      <c r="V40" s="1483"/>
      <c r="W40" s="1483"/>
      <c r="X40" s="1483"/>
      <c r="Y40" s="1483"/>
      <c r="Z40" s="1483"/>
      <c r="AA40" s="1484"/>
      <c r="AB40" s="14"/>
    </row>
    <row r="41" spans="1:28" s="10" customFormat="1" ht="15" hidden="1" customHeight="1" x14ac:dyDescent="0.45">
      <c r="A41" s="1427"/>
      <c r="B41" s="1780"/>
      <c r="C41" s="1445" t="s">
        <v>726</v>
      </c>
      <c r="D41" s="1027"/>
      <c r="E41" s="1027"/>
      <c r="F41" s="1027"/>
      <c r="G41" s="1027"/>
      <c r="H41" s="1027"/>
      <c r="I41" s="1027"/>
      <c r="J41" s="1027"/>
      <c r="K41" s="1027"/>
      <c r="L41" s="1027"/>
      <c r="M41" s="1028"/>
      <c r="N41" s="1028"/>
      <c r="O41" s="1028"/>
      <c r="P41" s="1028"/>
      <c r="Q41" s="1028"/>
      <c r="R41" s="1028"/>
      <c r="S41" s="1028"/>
      <c r="T41" s="1028"/>
      <c r="U41" s="1028"/>
      <c r="V41" s="1028"/>
      <c r="W41" s="1028"/>
      <c r="X41" s="1028"/>
      <c r="Y41" s="1028"/>
      <c r="Z41" s="1028"/>
      <c r="AA41" s="1029"/>
      <c r="AB41" s="14"/>
    </row>
    <row r="42" spans="1:28" s="10" customFormat="1" ht="15" hidden="1" customHeight="1" x14ac:dyDescent="0.45">
      <c r="A42" s="1427"/>
      <c r="B42" s="1781"/>
      <c r="C42" s="1488" t="s">
        <v>727</v>
      </c>
      <c r="D42" s="1489"/>
      <c r="E42" s="1485"/>
      <c r="F42" s="1485"/>
      <c r="G42" s="1485"/>
      <c r="H42" s="1485"/>
      <c r="I42" s="1485"/>
      <c r="J42" s="1485"/>
      <c r="K42" s="1485"/>
      <c r="L42" s="1485"/>
      <c r="M42" s="1486"/>
      <c r="N42" s="1486"/>
      <c r="O42" s="1486"/>
      <c r="P42" s="1486"/>
      <c r="Q42" s="1486"/>
      <c r="R42" s="1486"/>
      <c r="S42" s="1486"/>
      <c r="T42" s="1486"/>
      <c r="U42" s="1486"/>
      <c r="V42" s="1486"/>
      <c r="W42" s="1486"/>
      <c r="X42" s="1486"/>
      <c r="Y42" s="1486"/>
      <c r="Z42" s="1486"/>
      <c r="AA42" s="1487"/>
      <c r="AB42" s="14"/>
    </row>
    <row r="43" spans="1:28" s="10" customFormat="1" ht="15" hidden="1" customHeight="1" x14ac:dyDescent="0.45">
      <c r="A43" s="1782" t="s">
        <v>324</v>
      </c>
      <c r="B43" s="1814" t="s">
        <v>325</v>
      </c>
      <c r="C43" s="1264" t="s">
        <v>326</v>
      </c>
      <c r="D43" s="1424">
        <f t="array" aca="1" ref="D43:AA56" ca="1">INDIRECT(plan_array) +1</f>
        <v>111</v>
      </c>
      <c r="E43" s="1238">
        <f ca="1"/>
        <v>111</v>
      </c>
      <c r="F43" s="1238">
        <f ca="1"/>
        <v>111</v>
      </c>
      <c r="G43" s="1238">
        <f ca="1"/>
        <v>111</v>
      </c>
      <c r="H43" s="1238">
        <f ca="1"/>
        <v>111</v>
      </c>
      <c r="I43" s="1238">
        <f ca="1"/>
        <v>111</v>
      </c>
      <c r="J43" s="1238">
        <f ca="1"/>
        <v>111</v>
      </c>
      <c r="K43" s="1238">
        <f ca="1"/>
        <v>111</v>
      </c>
      <c r="L43" s="1238">
        <f ca="1"/>
        <v>111</v>
      </c>
      <c r="M43" s="1238">
        <f ca="1"/>
        <v>1</v>
      </c>
      <c r="N43" s="1238">
        <f ca="1"/>
        <v>1</v>
      </c>
      <c r="O43" s="1238">
        <f ca="1"/>
        <v>111</v>
      </c>
      <c r="P43" s="1238">
        <f ca="1"/>
        <v>111</v>
      </c>
      <c r="Q43" s="1238">
        <f ca="1"/>
        <v>111</v>
      </c>
      <c r="R43" s="1238">
        <f ca="1"/>
        <v>110</v>
      </c>
      <c r="S43" s="1238">
        <f ca="1"/>
        <v>110</v>
      </c>
      <c r="T43" s="1238">
        <f ca="1"/>
        <v>110</v>
      </c>
      <c r="U43" s="1238">
        <f ca="1"/>
        <v>110</v>
      </c>
      <c r="V43" s="1238">
        <f ca="1"/>
        <v>1</v>
      </c>
      <c r="W43" s="1238">
        <f ca="1"/>
        <v>1</v>
      </c>
      <c r="X43" s="1238">
        <f ca="1"/>
        <v>1</v>
      </c>
      <c r="Y43" s="1238">
        <f ca="1"/>
        <v>1</v>
      </c>
      <c r="Z43" s="1238">
        <f ca="1"/>
        <v>1</v>
      </c>
      <c r="AA43" s="123">
        <f ca="1"/>
        <v>1</v>
      </c>
      <c r="AB43" s="14"/>
    </row>
    <row r="44" spans="1:28" s="10" customFormat="1" ht="15" hidden="1" customHeight="1" x14ac:dyDescent="0.45">
      <c r="A44" s="1783"/>
      <c r="B44" s="1695"/>
      <c r="C44" s="1236" t="s">
        <v>327</v>
      </c>
      <c r="D44" s="1249">
        <f ca="1"/>
        <v>77</v>
      </c>
      <c r="E44" s="1236">
        <f ca="1"/>
        <v>77</v>
      </c>
      <c r="F44" s="1236">
        <f ca="1"/>
        <v>77</v>
      </c>
      <c r="G44" s="1236">
        <f ca="1"/>
        <v>77</v>
      </c>
      <c r="H44" s="1236">
        <f ca="1"/>
        <v>77</v>
      </c>
      <c r="I44" s="1236">
        <f ca="1"/>
        <v>77</v>
      </c>
      <c r="J44" s="1236">
        <f ca="1"/>
        <v>77</v>
      </c>
      <c r="K44" s="1236">
        <f ca="1"/>
        <v>77</v>
      </c>
      <c r="L44" s="1236">
        <f ca="1"/>
        <v>77</v>
      </c>
      <c r="M44" s="1236">
        <f ca="1"/>
        <v>1</v>
      </c>
      <c r="N44" s="1236">
        <f ca="1"/>
        <v>4</v>
      </c>
      <c r="O44" s="1236">
        <f ca="1"/>
        <v>77</v>
      </c>
      <c r="P44" s="1236">
        <f ca="1"/>
        <v>77</v>
      </c>
      <c r="Q44" s="1236">
        <f ca="1"/>
        <v>77</v>
      </c>
      <c r="R44" s="1236">
        <f ca="1"/>
        <v>77</v>
      </c>
      <c r="S44" s="1236">
        <f ca="1"/>
        <v>77</v>
      </c>
      <c r="T44" s="1236">
        <f ca="1"/>
        <v>77</v>
      </c>
      <c r="U44" s="1236">
        <f ca="1"/>
        <v>77</v>
      </c>
      <c r="V44" s="1236">
        <f ca="1"/>
        <v>1</v>
      </c>
      <c r="W44" s="1236">
        <f ca="1"/>
        <v>1</v>
      </c>
      <c r="X44" s="1236">
        <f ca="1"/>
        <v>1</v>
      </c>
      <c r="Y44" s="1236">
        <f ca="1"/>
        <v>1</v>
      </c>
      <c r="Z44" s="1236">
        <f ca="1"/>
        <v>1</v>
      </c>
      <c r="AA44" s="124">
        <f ca="1"/>
        <v>1</v>
      </c>
      <c r="AB44" s="14"/>
    </row>
    <row r="45" spans="1:28" s="10" customFormat="1" ht="15" hidden="1" customHeight="1" x14ac:dyDescent="0.45">
      <c r="A45" s="1783"/>
      <c r="B45" s="1696" t="s">
        <v>328</v>
      </c>
      <c r="C45" s="1237" t="s">
        <v>326</v>
      </c>
      <c r="D45" s="1250">
        <f ca="1"/>
        <v>111</v>
      </c>
      <c r="E45" s="1237">
        <f ca="1"/>
        <v>111</v>
      </c>
      <c r="F45" s="1237">
        <f ca="1"/>
        <v>111</v>
      </c>
      <c r="G45" s="1237">
        <f ca="1"/>
        <v>111</v>
      </c>
      <c r="H45" s="1237">
        <f ca="1"/>
        <v>111</v>
      </c>
      <c r="I45" s="1237">
        <f ca="1"/>
        <v>111</v>
      </c>
      <c r="J45" s="1237">
        <f ca="1"/>
        <v>111</v>
      </c>
      <c r="K45" s="1237">
        <f ca="1"/>
        <v>1</v>
      </c>
      <c r="L45" s="1237">
        <f ca="1"/>
        <v>1</v>
      </c>
      <c r="M45" s="1237">
        <f ca="1"/>
        <v>1</v>
      </c>
      <c r="N45" s="1237">
        <f ca="1"/>
        <v>1</v>
      </c>
      <c r="O45" s="1237">
        <f ca="1"/>
        <v>111</v>
      </c>
      <c r="P45" s="1237">
        <f ca="1"/>
        <v>111</v>
      </c>
      <c r="Q45" s="1237">
        <f ca="1"/>
        <v>111</v>
      </c>
      <c r="R45" s="1237">
        <f ca="1"/>
        <v>1</v>
      </c>
      <c r="S45" s="1237">
        <f ca="1"/>
        <v>1</v>
      </c>
      <c r="T45" s="1237">
        <f ca="1"/>
        <v>1</v>
      </c>
      <c r="U45" s="1237">
        <f ca="1"/>
        <v>1</v>
      </c>
      <c r="V45" s="1237">
        <f ca="1"/>
        <v>1</v>
      </c>
      <c r="W45" s="1237">
        <f ca="1"/>
        <v>1</v>
      </c>
      <c r="X45" s="1237">
        <f ca="1"/>
        <v>1</v>
      </c>
      <c r="Y45" s="1237">
        <f ca="1"/>
        <v>1</v>
      </c>
      <c r="Z45" s="1237">
        <f ca="1"/>
        <v>1</v>
      </c>
      <c r="AA45" s="122">
        <f ca="1"/>
        <v>1</v>
      </c>
      <c r="AB45" s="14"/>
    </row>
    <row r="46" spans="1:28" s="10" customFormat="1" ht="15" hidden="1" customHeight="1" x14ac:dyDescent="0.45">
      <c r="A46" s="1783"/>
      <c r="B46" s="1697"/>
      <c r="C46" s="1237" t="s">
        <v>327</v>
      </c>
      <c r="D46" s="1250">
        <f ca="1"/>
        <v>24</v>
      </c>
      <c r="E46" s="1237">
        <f ca="1"/>
        <v>24</v>
      </c>
      <c r="F46" s="1237">
        <f ca="1"/>
        <v>24</v>
      </c>
      <c r="G46" s="1237">
        <f ca="1"/>
        <v>24</v>
      </c>
      <c r="H46" s="1237">
        <f ca="1"/>
        <v>24</v>
      </c>
      <c r="I46" s="1237">
        <f ca="1"/>
        <v>24</v>
      </c>
      <c r="J46" s="1237">
        <f ca="1"/>
        <v>24</v>
      </c>
      <c r="K46" s="1237">
        <f ca="1"/>
        <v>23</v>
      </c>
      <c r="L46" s="1237">
        <f ca="1"/>
        <v>23</v>
      </c>
      <c r="M46" s="1237">
        <f ca="1"/>
        <v>1</v>
      </c>
      <c r="N46" s="1237">
        <f ca="1"/>
        <v>5</v>
      </c>
      <c r="O46" s="1237">
        <f ca="1"/>
        <v>24</v>
      </c>
      <c r="P46" s="1237">
        <f ca="1"/>
        <v>24</v>
      </c>
      <c r="Q46" s="1237">
        <f ca="1"/>
        <v>24</v>
      </c>
      <c r="R46" s="1237">
        <f ca="1"/>
        <v>24</v>
      </c>
      <c r="S46" s="1237">
        <f ca="1"/>
        <v>24</v>
      </c>
      <c r="T46" s="1237">
        <f ca="1"/>
        <v>2</v>
      </c>
      <c r="U46" s="1237">
        <f ca="1"/>
        <v>24</v>
      </c>
      <c r="V46" s="1237">
        <f ca="1"/>
        <v>45</v>
      </c>
      <c r="W46" s="1237">
        <f ca="1"/>
        <v>1</v>
      </c>
      <c r="X46" s="1237">
        <f ca="1"/>
        <v>1</v>
      </c>
      <c r="Y46" s="1237">
        <f ca="1"/>
        <v>1</v>
      </c>
      <c r="Z46" s="1237">
        <f ca="1"/>
        <v>1</v>
      </c>
      <c r="AA46" s="122">
        <f ca="1"/>
        <v>1</v>
      </c>
      <c r="AB46" s="14"/>
    </row>
    <row r="47" spans="1:28" s="10" customFormat="1" ht="15" hidden="1" customHeight="1" x14ac:dyDescent="0.45">
      <c r="A47" s="1783"/>
      <c r="B47" s="1698" t="s">
        <v>329</v>
      </c>
      <c r="C47" s="1264" t="s">
        <v>326</v>
      </c>
      <c r="D47" s="1249">
        <f ca="1"/>
        <v>1</v>
      </c>
      <c r="E47" s="1236">
        <f ca="1"/>
        <v>1</v>
      </c>
      <c r="F47" s="1236">
        <f ca="1"/>
        <v>1</v>
      </c>
      <c r="G47" s="1236">
        <f ca="1"/>
        <v>1</v>
      </c>
      <c r="H47" s="1236">
        <f ca="1"/>
        <v>1</v>
      </c>
      <c r="I47" s="1236">
        <f ca="1"/>
        <v>1</v>
      </c>
      <c r="J47" s="1236">
        <f ca="1"/>
        <v>1</v>
      </c>
      <c r="K47" s="1236">
        <f ca="1"/>
        <v>1</v>
      </c>
      <c r="L47" s="1236">
        <f ca="1"/>
        <v>1</v>
      </c>
      <c r="M47" s="1236">
        <f ca="1"/>
        <v>1</v>
      </c>
      <c r="N47" s="1236">
        <f ca="1"/>
        <v>1</v>
      </c>
      <c r="O47" s="1236">
        <f ca="1"/>
        <v>1</v>
      </c>
      <c r="P47" s="1236">
        <f ca="1"/>
        <v>1</v>
      </c>
      <c r="Q47" s="1236">
        <f ca="1"/>
        <v>1</v>
      </c>
      <c r="R47" s="1236">
        <f ca="1"/>
        <v>1</v>
      </c>
      <c r="S47" s="1236">
        <f ca="1"/>
        <v>1</v>
      </c>
      <c r="T47" s="1236">
        <f ca="1"/>
        <v>1</v>
      </c>
      <c r="U47" s="1236">
        <f ca="1"/>
        <v>1</v>
      </c>
      <c r="V47" s="1236">
        <f ca="1"/>
        <v>1</v>
      </c>
      <c r="W47" s="1236">
        <f ca="1"/>
        <v>1</v>
      </c>
      <c r="X47" s="1236">
        <f ca="1"/>
        <v>1</v>
      </c>
      <c r="Y47" s="1236">
        <f ca="1"/>
        <v>1</v>
      </c>
      <c r="Z47" s="1236">
        <f ca="1"/>
        <v>1</v>
      </c>
      <c r="AA47" s="124">
        <f ca="1"/>
        <v>1</v>
      </c>
      <c r="AB47" s="14"/>
    </row>
    <row r="48" spans="1:28" s="10" customFormat="1" ht="15" hidden="1" customHeight="1" x14ac:dyDescent="0.45">
      <c r="A48" s="1783"/>
      <c r="B48" s="1695"/>
      <c r="C48" s="1236" t="s">
        <v>327</v>
      </c>
      <c r="D48" s="1249">
        <f ca="1"/>
        <v>102</v>
      </c>
      <c r="E48" s="1236">
        <f ca="1"/>
        <v>102</v>
      </c>
      <c r="F48" s="1236">
        <f ca="1"/>
        <v>102</v>
      </c>
      <c r="G48" s="1236">
        <f ca="1"/>
        <v>102</v>
      </c>
      <c r="H48" s="1236">
        <f ca="1"/>
        <v>102</v>
      </c>
      <c r="I48" s="1236">
        <f ca="1"/>
        <v>102</v>
      </c>
      <c r="J48" s="1236">
        <f ca="1"/>
        <v>102</v>
      </c>
      <c r="K48" s="1236">
        <f ca="1"/>
        <v>102</v>
      </c>
      <c r="L48" s="1236">
        <f ca="1"/>
        <v>103</v>
      </c>
      <c r="M48" s="1236">
        <f ca="1"/>
        <v>1</v>
      </c>
      <c r="N48" s="1236">
        <f ca="1"/>
        <v>5</v>
      </c>
      <c r="O48" s="1236">
        <f ca="1"/>
        <v>102</v>
      </c>
      <c r="P48" s="1236">
        <f ca="1"/>
        <v>102</v>
      </c>
      <c r="Q48" s="1236">
        <f ca="1"/>
        <v>102</v>
      </c>
      <c r="R48" s="1236">
        <f ca="1"/>
        <v>102</v>
      </c>
      <c r="S48" s="1236">
        <f ca="1"/>
        <v>102</v>
      </c>
      <c r="T48" s="1236">
        <f ca="1"/>
        <v>2</v>
      </c>
      <c r="U48" s="1236">
        <f ca="1"/>
        <v>102</v>
      </c>
      <c r="V48" s="1236">
        <f ca="1"/>
        <v>11</v>
      </c>
      <c r="W48" s="1236">
        <f ca="1"/>
        <v>1</v>
      </c>
      <c r="X48" s="1236">
        <f ca="1"/>
        <v>1</v>
      </c>
      <c r="Y48" s="1236">
        <f ca="1"/>
        <v>1</v>
      </c>
      <c r="Z48" s="1236">
        <f ca="1"/>
        <v>1</v>
      </c>
      <c r="AA48" s="124">
        <f ca="1"/>
        <v>1</v>
      </c>
      <c r="AB48" s="14"/>
    </row>
    <row r="49" spans="1:28" s="10" customFormat="1" ht="15" hidden="1" customHeight="1" x14ac:dyDescent="0.45">
      <c r="A49" s="1783"/>
      <c r="B49" s="1696" t="s">
        <v>330</v>
      </c>
      <c r="C49" s="1237" t="s">
        <v>326</v>
      </c>
      <c r="D49" s="1250">
        <f ca="1"/>
        <v>111</v>
      </c>
      <c r="E49" s="1237">
        <f ca="1"/>
        <v>111</v>
      </c>
      <c r="F49" s="1237">
        <f ca="1"/>
        <v>111</v>
      </c>
      <c r="G49" s="1237">
        <f ca="1"/>
        <v>111</v>
      </c>
      <c r="H49" s="1237">
        <f ca="1"/>
        <v>111</v>
      </c>
      <c r="I49" s="1237">
        <f ca="1"/>
        <v>111</v>
      </c>
      <c r="J49" s="1237">
        <f ca="1"/>
        <v>1</v>
      </c>
      <c r="K49" s="1237">
        <f ca="1"/>
        <v>1</v>
      </c>
      <c r="L49" s="1237">
        <f ca="1"/>
        <v>1</v>
      </c>
      <c r="M49" s="1237">
        <f ca="1"/>
        <v>1</v>
      </c>
      <c r="N49" s="1237">
        <f ca="1"/>
        <v>1</v>
      </c>
      <c r="O49" s="1237">
        <f ca="1"/>
        <v>111</v>
      </c>
      <c r="P49" s="1237">
        <f ca="1"/>
        <v>111</v>
      </c>
      <c r="Q49" s="1237">
        <f ca="1"/>
        <v>111</v>
      </c>
      <c r="R49" s="1237">
        <f ca="1"/>
        <v>1</v>
      </c>
      <c r="S49" s="1237">
        <f ca="1"/>
        <v>1</v>
      </c>
      <c r="T49" s="1237">
        <f ca="1"/>
        <v>1</v>
      </c>
      <c r="U49" s="1237">
        <f ca="1"/>
        <v>1</v>
      </c>
      <c r="V49" s="1237">
        <f ca="1"/>
        <v>6</v>
      </c>
      <c r="W49" s="1237">
        <f ca="1"/>
        <v>1</v>
      </c>
      <c r="X49" s="1237">
        <f ca="1"/>
        <v>1</v>
      </c>
      <c r="Y49" s="1237">
        <f ca="1"/>
        <v>1</v>
      </c>
      <c r="Z49" s="1237">
        <f ca="1"/>
        <v>1</v>
      </c>
      <c r="AA49" s="122">
        <f ca="1"/>
        <v>1</v>
      </c>
      <c r="AB49" s="14"/>
    </row>
    <row r="50" spans="1:28" s="10" customFormat="1" ht="15" hidden="1" customHeight="1" x14ac:dyDescent="0.45">
      <c r="A50" s="1783"/>
      <c r="B50" s="1697"/>
      <c r="C50" s="1237" t="s">
        <v>327</v>
      </c>
      <c r="D50" s="1250">
        <f ca="1"/>
        <v>4</v>
      </c>
      <c r="E50" s="1237">
        <f ca="1"/>
        <v>4</v>
      </c>
      <c r="F50" s="1237">
        <f ca="1"/>
        <v>4</v>
      </c>
      <c r="G50" s="1237">
        <f ca="1"/>
        <v>4</v>
      </c>
      <c r="H50" s="1237">
        <f ca="1"/>
        <v>4</v>
      </c>
      <c r="I50" s="1237">
        <f ca="1"/>
        <v>4</v>
      </c>
      <c r="J50" s="1237">
        <f ca="1"/>
        <v>4</v>
      </c>
      <c r="K50" s="1237">
        <f ca="1"/>
        <v>4</v>
      </c>
      <c r="L50" s="1237">
        <f ca="1"/>
        <v>1</v>
      </c>
      <c r="M50" s="1237">
        <f ca="1"/>
        <v>1</v>
      </c>
      <c r="N50" s="1237">
        <f ca="1"/>
        <v>4</v>
      </c>
      <c r="O50" s="1237">
        <f ca="1"/>
        <v>44</v>
      </c>
      <c r="P50" s="1237">
        <f ca="1"/>
        <v>44</v>
      </c>
      <c r="Q50" s="1237">
        <f ca="1"/>
        <v>45</v>
      </c>
      <c r="R50" s="1237">
        <f ca="1"/>
        <v>45</v>
      </c>
      <c r="S50" s="1237">
        <f ca="1"/>
        <v>45</v>
      </c>
      <c r="T50" s="1237">
        <f ca="1"/>
        <v>1</v>
      </c>
      <c r="U50" s="1237">
        <f ca="1"/>
        <v>45</v>
      </c>
      <c r="V50" s="1237">
        <f ca="1"/>
        <v>1</v>
      </c>
      <c r="W50" s="1237">
        <f ca="1"/>
        <v>1</v>
      </c>
      <c r="X50" s="1237">
        <f ca="1"/>
        <v>1</v>
      </c>
      <c r="Y50" s="1237">
        <f ca="1"/>
        <v>1</v>
      </c>
      <c r="Z50" s="1237">
        <f ca="1"/>
        <v>1</v>
      </c>
      <c r="AA50" s="122">
        <f ca="1"/>
        <v>1</v>
      </c>
      <c r="AB50" s="14"/>
    </row>
    <row r="51" spans="1:28" s="10" customFormat="1" ht="15" hidden="1" customHeight="1" x14ac:dyDescent="0.45">
      <c r="A51" s="1783"/>
      <c r="B51" s="1698" t="s">
        <v>331</v>
      </c>
      <c r="C51" s="1264" t="s">
        <v>326</v>
      </c>
      <c r="D51" s="1249">
        <f ca="1"/>
        <v>111</v>
      </c>
      <c r="E51" s="1236">
        <f ca="1"/>
        <v>111</v>
      </c>
      <c r="F51" s="1236">
        <f ca="1"/>
        <v>111</v>
      </c>
      <c r="G51" s="1236">
        <f ca="1"/>
        <v>111</v>
      </c>
      <c r="H51" s="1236">
        <f ca="1"/>
        <v>111</v>
      </c>
      <c r="I51" s="1236">
        <f ca="1"/>
        <v>111</v>
      </c>
      <c r="J51" s="1236">
        <f ca="1"/>
        <v>111</v>
      </c>
      <c r="K51" s="1236">
        <f ca="1"/>
        <v>111</v>
      </c>
      <c r="L51" s="1236">
        <f ca="1"/>
        <v>9</v>
      </c>
      <c r="M51" s="1236">
        <f ca="1"/>
        <v>1</v>
      </c>
      <c r="N51" s="1236">
        <f ca="1"/>
        <v>1</v>
      </c>
      <c r="O51" s="1236">
        <f ca="1"/>
        <v>111</v>
      </c>
      <c r="P51" s="1236">
        <f ca="1"/>
        <v>111</v>
      </c>
      <c r="Q51" s="1236">
        <f ca="1"/>
        <v>111</v>
      </c>
      <c r="R51" s="1236">
        <f ca="1"/>
        <v>110</v>
      </c>
      <c r="S51" s="1236">
        <f ca="1"/>
        <v>110</v>
      </c>
      <c r="T51" s="1236">
        <f ca="1"/>
        <v>1</v>
      </c>
      <c r="U51" s="1236">
        <f ca="1"/>
        <v>110</v>
      </c>
      <c r="V51" s="1236">
        <f ca="1"/>
        <v>7</v>
      </c>
      <c r="W51" s="1236">
        <f ca="1"/>
        <v>1</v>
      </c>
      <c r="X51" s="1236">
        <f ca="1"/>
        <v>1</v>
      </c>
      <c r="Y51" s="1236">
        <f ca="1"/>
        <v>1</v>
      </c>
      <c r="Z51" s="1236">
        <f ca="1"/>
        <v>1</v>
      </c>
      <c r="AA51" s="124">
        <f ca="1"/>
        <v>1</v>
      </c>
      <c r="AB51" s="14"/>
    </row>
    <row r="52" spans="1:28" s="10" customFormat="1" ht="15" hidden="1" customHeight="1" x14ac:dyDescent="0.45">
      <c r="A52" s="1783"/>
      <c r="B52" s="1695"/>
      <c r="C52" s="1236" t="s">
        <v>327</v>
      </c>
      <c r="D52" s="1249">
        <f ca="1"/>
        <v>77</v>
      </c>
      <c r="E52" s="1236">
        <f ca="1"/>
        <v>77</v>
      </c>
      <c r="F52" s="1236">
        <f ca="1"/>
        <v>77</v>
      </c>
      <c r="G52" s="1236">
        <f ca="1"/>
        <v>77</v>
      </c>
      <c r="H52" s="1236">
        <f ca="1"/>
        <v>77</v>
      </c>
      <c r="I52" s="1236">
        <f ca="1"/>
        <v>77</v>
      </c>
      <c r="J52" s="1236">
        <f ca="1"/>
        <v>77</v>
      </c>
      <c r="K52" s="1236">
        <f ca="1"/>
        <v>77</v>
      </c>
      <c r="L52" s="1236">
        <f ca="1"/>
        <v>1</v>
      </c>
      <c r="M52" s="1236">
        <f ca="1"/>
        <v>1</v>
      </c>
      <c r="N52" s="1236">
        <f ca="1"/>
        <v>4</v>
      </c>
      <c r="O52" s="1236">
        <f ca="1"/>
        <v>77</v>
      </c>
      <c r="P52" s="1236">
        <f ca="1"/>
        <v>77</v>
      </c>
      <c r="Q52" s="1236">
        <f ca="1"/>
        <v>77</v>
      </c>
      <c r="R52" s="1236">
        <f ca="1"/>
        <v>77</v>
      </c>
      <c r="S52" s="1236">
        <f ca="1"/>
        <v>77</v>
      </c>
      <c r="T52" s="1236">
        <f ca="1"/>
        <v>82</v>
      </c>
      <c r="U52" s="1236">
        <f ca="1"/>
        <v>77</v>
      </c>
      <c r="V52" s="1236">
        <f ca="1"/>
        <v>1</v>
      </c>
      <c r="W52" s="1236">
        <f ca="1"/>
        <v>1</v>
      </c>
      <c r="X52" s="1236">
        <f ca="1"/>
        <v>1</v>
      </c>
      <c r="Y52" s="1236">
        <f ca="1"/>
        <v>1</v>
      </c>
      <c r="Z52" s="1236">
        <f ca="1"/>
        <v>1</v>
      </c>
      <c r="AA52" s="124">
        <f ca="1"/>
        <v>1</v>
      </c>
      <c r="AB52" s="14"/>
    </row>
    <row r="53" spans="1:28" s="10" customFormat="1" ht="15" hidden="1" customHeight="1" x14ac:dyDescent="0.45">
      <c r="A53" s="1783"/>
      <c r="B53" s="1696" t="s">
        <v>332</v>
      </c>
      <c r="C53" s="1237" t="s">
        <v>326</v>
      </c>
      <c r="D53" s="1250">
        <f ca="1"/>
        <v>71</v>
      </c>
      <c r="E53" s="1237">
        <f ca="1"/>
        <v>71</v>
      </c>
      <c r="F53" s="1237">
        <f ca="1"/>
        <v>71</v>
      </c>
      <c r="G53" s="1237">
        <f ca="1"/>
        <v>74</v>
      </c>
      <c r="H53" s="1237">
        <f ca="1"/>
        <v>74</v>
      </c>
      <c r="I53" s="1237">
        <f ca="1"/>
        <v>20</v>
      </c>
      <c r="J53" s="1237">
        <f ca="1"/>
        <v>74</v>
      </c>
      <c r="K53" s="1237">
        <f ca="1"/>
        <v>74</v>
      </c>
      <c r="L53" s="1237">
        <f ca="1"/>
        <v>94</v>
      </c>
      <c r="M53" s="1237">
        <f ca="1"/>
        <v>1</v>
      </c>
      <c r="N53" s="1237">
        <f ca="1"/>
        <v>5</v>
      </c>
      <c r="O53" s="1237">
        <f ca="1"/>
        <v>4</v>
      </c>
      <c r="P53" s="1237">
        <f ca="1"/>
        <v>4</v>
      </c>
      <c r="Q53" s="1237">
        <f ca="1"/>
        <v>4</v>
      </c>
      <c r="R53" s="1237">
        <f ca="1"/>
        <v>4</v>
      </c>
      <c r="S53" s="1237">
        <f ca="1"/>
        <v>4</v>
      </c>
      <c r="T53" s="1237">
        <f ca="1"/>
        <v>87</v>
      </c>
      <c r="U53" s="1237">
        <f ca="1"/>
        <v>4</v>
      </c>
      <c r="V53" s="1237">
        <f ca="1"/>
        <v>91</v>
      </c>
      <c r="W53" s="1237">
        <f ca="1"/>
        <v>1</v>
      </c>
      <c r="X53" s="1237">
        <f ca="1"/>
        <v>1</v>
      </c>
      <c r="Y53" s="1237">
        <f ca="1"/>
        <v>1</v>
      </c>
      <c r="Z53" s="1237">
        <f ca="1"/>
        <v>1</v>
      </c>
      <c r="AA53" s="122">
        <f ca="1"/>
        <v>1</v>
      </c>
      <c r="AB53" s="14"/>
    </row>
    <row r="54" spans="1:28" s="10" customFormat="1" ht="15" hidden="1" customHeight="1" x14ac:dyDescent="0.45">
      <c r="A54" s="1783"/>
      <c r="B54" s="1697"/>
      <c r="C54" s="1237" t="s">
        <v>327</v>
      </c>
      <c r="D54" s="1250">
        <f ca="1"/>
        <v>3</v>
      </c>
      <c r="E54" s="1237">
        <f ca="1"/>
        <v>3</v>
      </c>
      <c r="F54" s="1237">
        <f ca="1"/>
        <v>3</v>
      </c>
      <c r="G54" s="1237">
        <f ca="1"/>
        <v>3</v>
      </c>
      <c r="H54" s="1237">
        <f ca="1"/>
        <v>3</v>
      </c>
      <c r="I54" s="1237">
        <f ca="1"/>
        <v>1</v>
      </c>
      <c r="J54" s="1237">
        <f ca="1"/>
        <v>3</v>
      </c>
      <c r="K54" s="1237">
        <f ca="1"/>
        <v>3</v>
      </c>
      <c r="L54" s="1237">
        <f ca="1"/>
        <v>1</v>
      </c>
      <c r="M54" s="1237">
        <f ca="1"/>
        <v>1</v>
      </c>
      <c r="N54" s="1237">
        <f ca="1"/>
        <v>1</v>
      </c>
      <c r="O54" s="1237">
        <f ca="1"/>
        <v>102</v>
      </c>
      <c r="P54" s="1237">
        <f ca="1"/>
        <v>102</v>
      </c>
      <c r="Q54" s="1237">
        <f ca="1"/>
        <v>102</v>
      </c>
      <c r="R54" s="1237">
        <f ca="1"/>
        <v>1</v>
      </c>
      <c r="S54" s="1237">
        <f ca="1"/>
        <v>1</v>
      </c>
      <c r="T54" s="1237">
        <f ca="1"/>
        <v>1</v>
      </c>
      <c r="U54" s="1237">
        <f ca="1"/>
        <v>1</v>
      </c>
      <c r="V54" s="1237">
        <f ca="1"/>
        <v>1</v>
      </c>
      <c r="W54" s="1237">
        <f ca="1"/>
        <v>1</v>
      </c>
      <c r="X54" s="1237">
        <f ca="1"/>
        <v>1</v>
      </c>
      <c r="Y54" s="1237">
        <f ca="1"/>
        <v>1</v>
      </c>
      <c r="Z54" s="1237">
        <f ca="1"/>
        <v>1</v>
      </c>
      <c r="AA54" s="122">
        <f ca="1"/>
        <v>1</v>
      </c>
      <c r="AB54" s="14"/>
    </row>
    <row r="55" spans="1:28" s="10" customFormat="1" ht="15" hidden="1" customHeight="1" x14ac:dyDescent="0.45">
      <c r="A55" s="1783"/>
      <c r="B55" s="1698" t="s">
        <v>333</v>
      </c>
      <c r="C55" s="1236" t="s">
        <v>326</v>
      </c>
      <c r="D55" s="1249">
        <f ca="1"/>
        <v>105</v>
      </c>
      <c r="E55" s="1236">
        <f ca="1"/>
        <v>105</v>
      </c>
      <c r="F55" s="1236">
        <f ca="1"/>
        <v>105</v>
      </c>
      <c r="G55" s="1236">
        <f ca="1"/>
        <v>5</v>
      </c>
      <c r="H55" s="1236">
        <f ca="1"/>
        <v>5</v>
      </c>
      <c r="I55" s="1236">
        <f ca="1"/>
        <v>12</v>
      </c>
      <c r="J55" s="1236">
        <f ca="1"/>
        <v>5</v>
      </c>
      <c r="K55" s="1236">
        <f ca="1"/>
        <v>5</v>
      </c>
      <c r="L55" s="1236">
        <f ca="1"/>
        <v>1</v>
      </c>
      <c r="M55" s="1236">
        <f ca="1"/>
        <v>1</v>
      </c>
      <c r="N55" s="1236">
        <f ca="1"/>
        <v>5</v>
      </c>
      <c r="O55" s="1236">
        <f ca="1"/>
        <v>5</v>
      </c>
      <c r="P55" s="1236">
        <f ca="1"/>
        <v>5</v>
      </c>
      <c r="Q55" s="1236">
        <f ca="1"/>
        <v>5</v>
      </c>
      <c r="R55" s="1236">
        <f ca="1"/>
        <v>5</v>
      </c>
      <c r="S55" s="1236">
        <f ca="1"/>
        <v>5</v>
      </c>
      <c r="T55" s="1236">
        <f ca="1"/>
        <v>83</v>
      </c>
      <c r="U55" s="1236">
        <f ca="1"/>
        <v>5</v>
      </c>
      <c r="V55" s="1236">
        <f ca="1"/>
        <v>1</v>
      </c>
      <c r="W55" s="1236">
        <f ca="1"/>
        <v>1</v>
      </c>
      <c r="X55" s="1236">
        <f ca="1"/>
        <v>1</v>
      </c>
      <c r="Y55" s="1236">
        <f ca="1"/>
        <v>1</v>
      </c>
      <c r="Z55" s="1236">
        <f ca="1"/>
        <v>1</v>
      </c>
      <c r="AA55" s="124">
        <f ca="1"/>
        <v>1</v>
      </c>
      <c r="AB55" s="14"/>
    </row>
    <row r="56" spans="1:28" s="10" customFormat="1" ht="15" hidden="1" customHeight="1" x14ac:dyDescent="0.45">
      <c r="A56" s="1784"/>
      <c r="B56" s="1699"/>
      <c r="C56" s="1239" t="s">
        <v>327</v>
      </c>
      <c r="D56" s="1251">
        <f ca="1"/>
        <v>1</v>
      </c>
      <c r="E56" s="1239">
        <f ca="1"/>
        <v>1</v>
      </c>
      <c r="F56" s="1239">
        <f ca="1"/>
        <v>1</v>
      </c>
      <c r="G56" s="1239">
        <f ca="1"/>
        <v>1</v>
      </c>
      <c r="H56" s="1239">
        <f ca="1"/>
        <v>1</v>
      </c>
      <c r="I56" s="1239">
        <f ca="1"/>
        <v>1</v>
      </c>
      <c r="J56" s="1239">
        <f ca="1"/>
        <v>1</v>
      </c>
      <c r="K56" s="1239">
        <f ca="1"/>
        <v>1</v>
      </c>
      <c r="L56" s="1239">
        <f ca="1"/>
        <v>1</v>
      </c>
      <c r="M56" s="1239">
        <f ca="1"/>
        <v>4</v>
      </c>
      <c r="N56" s="1239">
        <f ca="1"/>
        <v>1</v>
      </c>
      <c r="O56" s="1239">
        <f ca="1"/>
        <v>1</v>
      </c>
      <c r="P56" s="1239">
        <f ca="1"/>
        <v>1</v>
      </c>
      <c r="Q56" s="1239">
        <f ca="1"/>
        <v>1</v>
      </c>
      <c r="R56" s="1239">
        <f ca="1"/>
        <v>1</v>
      </c>
      <c r="S56" s="1239">
        <f ca="1"/>
        <v>1</v>
      </c>
      <c r="T56" s="1239">
        <f ca="1"/>
        <v>1</v>
      </c>
      <c r="U56" s="1239">
        <f ca="1"/>
        <v>1</v>
      </c>
      <c r="V56" s="1239">
        <f ca="1"/>
        <v>1</v>
      </c>
      <c r="W56" s="1239">
        <f ca="1"/>
        <v>1</v>
      </c>
      <c r="X56" s="1239">
        <f ca="1"/>
        <v>1</v>
      </c>
      <c r="Y56" s="1239">
        <f ca="1"/>
        <v>1</v>
      </c>
      <c r="Z56" s="1239">
        <f ca="1"/>
        <v>1</v>
      </c>
      <c r="AA56" s="126">
        <f ca="1"/>
        <v>1</v>
      </c>
      <c r="AB56" s="14"/>
    </row>
    <row r="57" spans="1:28" s="10" customFormat="1" ht="15" hidden="1" customHeight="1" x14ac:dyDescent="0.45">
      <c r="A57" s="1782" t="s">
        <v>686</v>
      </c>
      <c r="B57" s="1773" t="s">
        <v>325</v>
      </c>
      <c r="C57" s="1326" t="s">
        <v>326</v>
      </c>
      <c r="D57" s="51" t="str">
        <f t="array" ref="D57:AA70" ca="1">INDEX(sessions_intervals_counter,, plan_session_allocation)</f>
        <v/>
      </c>
      <c r="E57" s="51" t="str">
        <f ca="1"/>
        <v/>
      </c>
      <c r="F57" s="51" t="str">
        <f ca="1"/>
        <v/>
      </c>
      <c r="G57" s="51" t="str">
        <f ca="1"/>
        <v/>
      </c>
      <c r="H57" s="51" t="str">
        <f ca="1"/>
        <v/>
      </c>
      <c r="I57" s="51" t="str">
        <f ca="1"/>
        <v/>
      </c>
      <c r="J57" s="51" t="str">
        <f ca="1"/>
        <v/>
      </c>
      <c r="K57" s="51" t="str">
        <f ca="1"/>
        <v/>
      </c>
      <c r="L57" s="51" t="str">
        <f ca="1"/>
        <v/>
      </c>
      <c r="M57" s="52" t="str">
        <f ca="1"/>
        <v/>
      </c>
      <c r="N57" s="52" t="str">
        <f ca="1"/>
        <v/>
      </c>
      <c r="O57" s="52" t="str">
        <f ca="1"/>
        <v/>
      </c>
      <c r="P57" s="52" t="str">
        <f ca="1"/>
        <v/>
      </c>
      <c r="Q57" s="53" t="str">
        <f ca="1"/>
        <v/>
      </c>
      <c r="R57" s="52" t="str">
        <f ca="1"/>
        <v/>
      </c>
      <c r="S57" s="52" t="str">
        <f ca="1"/>
        <v/>
      </c>
      <c r="T57" s="52" t="str">
        <f ca="1"/>
        <v/>
      </c>
      <c r="U57" s="52" t="str">
        <f ca="1"/>
        <v/>
      </c>
      <c r="V57" s="52" t="str">
        <f ca="1"/>
        <v/>
      </c>
      <c r="W57" s="52" t="str">
        <f ca="1"/>
        <v/>
      </c>
      <c r="X57" s="52" t="str">
        <f ca="1"/>
        <v/>
      </c>
      <c r="Y57" s="52" t="str">
        <f ca="1"/>
        <v/>
      </c>
      <c r="Z57" s="52" t="str">
        <f ca="1"/>
        <v/>
      </c>
      <c r="AA57" s="54" t="str">
        <f ca="1"/>
        <v/>
      </c>
      <c r="AB57" s="14"/>
    </row>
    <row r="58" spans="1:28" s="10" customFormat="1" ht="15" hidden="1" customHeight="1" x14ac:dyDescent="0.45">
      <c r="A58" s="1783"/>
      <c r="B58" s="1774"/>
      <c r="C58" s="1265" t="s">
        <v>327</v>
      </c>
      <c r="D58" s="44" t="str">
        <f ca="1"/>
        <v/>
      </c>
      <c r="E58" s="44" t="str">
        <f ca="1"/>
        <v/>
      </c>
      <c r="F58" s="44" t="str">
        <f ca="1"/>
        <v/>
      </c>
      <c r="G58" s="44" t="str">
        <f ca="1"/>
        <v/>
      </c>
      <c r="H58" s="44" t="str">
        <f ca="1"/>
        <v/>
      </c>
      <c r="I58" s="44" t="str">
        <f ca="1"/>
        <v/>
      </c>
      <c r="J58" s="44" t="str">
        <f ca="1"/>
        <v/>
      </c>
      <c r="K58" s="44" t="str">
        <f ca="1"/>
        <v/>
      </c>
      <c r="L58" s="44" t="str">
        <f ca="1"/>
        <v/>
      </c>
      <c r="M58" s="44" t="str">
        <f ca="1"/>
        <v/>
      </c>
      <c r="N58" s="44" t="str">
        <f ca="1"/>
        <v/>
      </c>
      <c r="O58" s="44" t="str">
        <f ca="1"/>
        <v/>
      </c>
      <c r="P58" s="44" t="str">
        <f ca="1"/>
        <v/>
      </c>
      <c r="Q58" s="44" t="str">
        <f ca="1"/>
        <v/>
      </c>
      <c r="R58" s="44" t="str">
        <f ca="1"/>
        <v/>
      </c>
      <c r="S58" s="44" t="str">
        <f ca="1"/>
        <v/>
      </c>
      <c r="T58" s="44" t="str">
        <f ca="1"/>
        <v/>
      </c>
      <c r="U58" s="44" t="str">
        <f ca="1"/>
        <v/>
      </c>
      <c r="V58" s="44" t="str">
        <f ca="1"/>
        <v/>
      </c>
      <c r="W58" s="44" t="str">
        <f ca="1"/>
        <v/>
      </c>
      <c r="X58" s="45" t="str">
        <f ca="1"/>
        <v/>
      </c>
      <c r="Y58" s="45" t="str">
        <f ca="1"/>
        <v/>
      </c>
      <c r="Z58" s="45" t="str">
        <f ca="1"/>
        <v/>
      </c>
      <c r="AA58" s="46" t="str">
        <f ca="1"/>
        <v/>
      </c>
      <c r="AB58" s="14"/>
    </row>
    <row r="59" spans="1:28" s="10" customFormat="1" ht="15" hidden="1" customHeight="1" x14ac:dyDescent="0.45">
      <c r="A59" s="1783"/>
      <c r="B59" s="1775" t="s">
        <v>328</v>
      </c>
      <c r="C59" s="1266" t="s">
        <v>326</v>
      </c>
      <c r="D59" s="47" t="str">
        <f ca="1"/>
        <v/>
      </c>
      <c r="E59" s="47" t="str">
        <f ca="1"/>
        <v/>
      </c>
      <c r="F59" s="47" t="str">
        <f ca="1"/>
        <v/>
      </c>
      <c r="G59" s="47" t="str">
        <f ca="1"/>
        <v/>
      </c>
      <c r="H59" s="47" t="str">
        <f ca="1"/>
        <v/>
      </c>
      <c r="I59" s="47" t="str">
        <f ca="1"/>
        <v/>
      </c>
      <c r="J59" s="47" t="str">
        <f ca="1"/>
        <v/>
      </c>
      <c r="K59" s="47" t="str">
        <f ca="1"/>
        <v/>
      </c>
      <c r="L59" s="47" t="str">
        <f ca="1"/>
        <v/>
      </c>
      <c r="M59" s="47" t="str">
        <f ca="1"/>
        <v/>
      </c>
      <c r="N59" s="47" t="str">
        <f ca="1"/>
        <v/>
      </c>
      <c r="O59" s="47" t="str">
        <f ca="1"/>
        <v/>
      </c>
      <c r="P59" s="48" t="str">
        <f ca="1"/>
        <v/>
      </c>
      <c r="Q59" s="49" t="str">
        <f ca="1"/>
        <v/>
      </c>
      <c r="R59" s="48" t="str">
        <f ca="1"/>
        <v/>
      </c>
      <c r="S59" s="48" t="str">
        <f ca="1"/>
        <v/>
      </c>
      <c r="T59" s="48" t="str">
        <f ca="1"/>
        <v/>
      </c>
      <c r="U59" s="48" t="str">
        <f ca="1"/>
        <v/>
      </c>
      <c r="V59" s="48" t="str">
        <f ca="1"/>
        <v/>
      </c>
      <c r="W59" s="48" t="str">
        <f ca="1"/>
        <v/>
      </c>
      <c r="X59" s="48" t="str">
        <f ca="1"/>
        <v/>
      </c>
      <c r="Y59" s="48" t="str">
        <f ca="1"/>
        <v/>
      </c>
      <c r="Z59" s="48" t="str">
        <f ca="1"/>
        <v/>
      </c>
      <c r="AA59" s="50" t="str">
        <f ca="1"/>
        <v/>
      </c>
      <c r="AB59" s="14"/>
    </row>
    <row r="60" spans="1:28" s="10" customFormat="1" ht="15" hidden="1" customHeight="1" x14ac:dyDescent="0.45">
      <c r="A60" s="1783"/>
      <c r="B60" s="1776"/>
      <c r="C60" s="1266" t="s">
        <v>327</v>
      </c>
      <c r="D60" s="47" t="str">
        <f ca="1"/>
        <v/>
      </c>
      <c r="E60" s="47" t="str">
        <f ca="1"/>
        <v/>
      </c>
      <c r="F60" s="47" t="str">
        <f ca="1"/>
        <v/>
      </c>
      <c r="G60" s="47" t="str">
        <f ca="1"/>
        <v/>
      </c>
      <c r="H60" s="47" t="str">
        <f ca="1"/>
        <v/>
      </c>
      <c r="I60" s="47" t="str">
        <f ca="1"/>
        <v/>
      </c>
      <c r="J60" s="47" t="str">
        <f ca="1"/>
        <v/>
      </c>
      <c r="K60" s="47" t="str">
        <f ca="1"/>
        <v/>
      </c>
      <c r="L60" s="47" t="str">
        <f ca="1"/>
        <v/>
      </c>
      <c r="M60" s="47" t="str">
        <f ca="1"/>
        <v/>
      </c>
      <c r="N60" s="47" t="str">
        <f ca="1"/>
        <v/>
      </c>
      <c r="O60" s="47" t="str">
        <f ca="1"/>
        <v/>
      </c>
      <c r="P60" s="47" t="str">
        <f ca="1"/>
        <v/>
      </c>
      <c r="Q60" s="49" t="str">
        <f ca="1"/>
        <v/>
      </c>
      <c r="R60" s="49" t="str">
        <f ca="1"/>
        <v/>
      </c>
      <c r="S60" s="49" t="str">
        <f ca="1"/>
        <v/>
      </c>
      <c r="T60" s="49" t="str">
        <f ca="1"/>
        <v/>
      </c>
      <c r="U60" s="49" t="str">
        <f ca="1"/>
        <v/>
      </c>
      <c r="V60" s="49" t="str">
        <f ca="1"/>
        <v>Intervals</v>
      </c>
      <c r="W60" s="49" t="str">
        <f ca="1"/>
        <v/>
      </c>
      <c r="X60" s="48" t="str">
        <f ca="1"/>
        <v/>
      </c>
      <c r="Y60" s="48" t="str">
        <f ca="1"/>
        <v/>
      </c>
      <c r="Z60" s="48" t="str">
        <f ca="1"/>
        <v/>
      </c>
      <c r="AA60" s="50" t="str">
        <f ca="1"/>
        <v/>
      </c>
      <c r="AB60" s="14"/>
    </row>
    <row r="61" spans="1:28" s="10" customFormat="1" ht="15" hidden="1" customHeight="1" x14ac:dyDescent="0.45">
      <c r="A61" s="1783"/>
      <c r="B61" s="1777" t="s">
        <v>329</v>
      </c>
      <c r="C61" s="1326" t="s">
        <v>326</v>
      </c>
      <c r="D61" s="51" t="str">
        <f ca="1"/>
        <v/>
      </c>
      <c r="E61" s="51" t="str">
        <f ca="1"/>
        <v/>
      </c>
      <c r="F61" s="51" t="str">
        <f ca="1"/>
        <v/>
      </c>
      <c r="G61" s="51" t="str">
        <f ca="1"/>
        <v/>
      </c>
      <c r="H61" s="51" t="str">
        <f ca="1"/>
        <v/>
      </c>
      <c r="I61" s="51" t="str">
        <f ca="1"/>
        <v/>
      </c>
      <c r="J61" s="51" t="str">
        <f ca="1"/>
        <v/>
      </c>
      <c r="K61" s="51" t="str">
        <f ca="1"/>
        <v/>
      </c>
      <c r="L61" s="51" t="str">
        <f ca="1"/>
        <v/>
      </c>
      <c r="M61" s="52" t="str">
        <f ca="1"/>
        <v/>
      </c>
      <c r="N61" s="52" t="str">
        <f ca="1"/>
        <v/>
      </c>
      <c r="O61" s="52" t="str">
        <f ca="1"/>
        <v/>
      </c>
      <c r="P61" s="52" t="str">
        <f ca="1"/>
        <v/>
      </c>
      <c r="Q61" s="53" t="str">
        <f ca="1"/>
        <v/>
      </c>
      <c r="R61" s="52" t="str">
        <f ca="1"/>
        <v/>
      </c>
      <c r="S61" s="52" t="str">
        <f ca="1"/>
        <v/>
      </c>
      <c r="T61" s="52" t="str">
        <f ca="1"/>
        <v/>
      </c>
      <c r="U61" s="52" t="str">
        <f ca="1"/>
        <v/>
      </c>
      <c r="V61" s="52" t="str">
        <f ca="1"/>
        <v/>
      </c>
      <c r="W61" s="52" t="str">
        <f ca="1"/>
        <v/>
      </c>
      <c r="X61" s="52" t="str">
        <f ca="1"/>
        <v/>
      </c>
      <c r="Y61" s="52" t="str">
        <f ca="1"/>
        <v/>
      </c>
      <c r="Z61" s="52" t="str">
        <f ca="1"/>
        <v/>
      </c>
      <c r="AA61" s="54" t="str">
        <f ca="1"/>
        <v/>
      </c>
      <c r="AB61" s="14"/>
    </row>
    <row r="62" spans="1:28" s="10" customFormat="1" ht="15" hidden="1" customHeight="1" x14ac:dyDescent="0.45">
      <c r="A62" s="1783"/>
      <c r="B62" s="1774"/>
      <c r="C62" s="1265" t="s">
        <v>327</v>
      </c>
      <c r="D62" s="44" t="str">
        <f ca="1"/>
        <v/>
      </c>
      <c r="E62" s="44" t="str">
        <f ca="1"/>
        <v/>
      </c>
      <c r="F62" s="44" t="str">
        <f ca="1"/>
        <v/>
      </c>
      <c r="G62" s="44" t="str">
        <f ca="1"/>
        <v/>
      </c>
      <c r="H62" s="44" t="str">
        <f ca="1"/>
        <v/>
      </c>
      <c r="I62" s="44" t="str">
        <f ca="1"/>
        <v/>
      </c>
      <c r="J62" s="44" t="str">
        <f ca="1"/>
        <v/>
      </c>
      <c r="K62" s="44" t="str">
        <f ca="1"/>
        <v/>
      </c>
      <c r="L62" s="44" t="str">
        <f ca="1"/>
        <v/>
      </c>
      <c r="M62" s="44" t="str">
        <f ca="1"/>
        <v/>
      </c>
      <c r="N62" s="44" t="str">
        <f ca="1"/>
        <v/>
      </c>
      <c r="O62" s="44" t="str">
        <f ca="1"/>
        <v/>
      </c>
      <c r="P62" s="44" t="str">
        <f ca="1"/>
        <v/>
      </c>
      <c r="Q62" s="44" t="str">
        <f ca="1"/>
        <v/>
      </c>
      <c r="R62" s="44" t="str">
        <f ca="1"/>
        <v/>
      </c>
      <c r="S62" s="44" t="str">
        <f ca="1"/>
        <v/>
      </c>
      <c r="T62" s="44" t="str">
        <f ca="1"/>
        <v/>
      </c>
      <c r="U62" s="44" t="str">
        <f ca="1"/>
        <v/>
      </c>
      <c r="V62" s="44" t="str">
        <f ca="1"/>
        <v/>
      </c>
      <c r="W62" s="44" t="str">
        <f ca="1"/>
        <v/>
      </c>
      <c r="X62" s="45" t="str">
        <f ca="1"/>
        <v/>
      </c>
      <c r="Y62" s="45" t="str">
        <f ca="1"/>
        <v/>
      </c>
      <c r="Z62" s="45" t="str">
        <f ca="1"/>
        <v/>
      </c>
      <c r="AA62" s="46" t="str">
        <f ca="1"/>
        <v/>
      </c>
      <c r="AB62" s="14"/>
    </row>
    <row r="63" spans="1:28" s="10" customFormat="1" ht="15" hidden="1" customHeight="1" x14ac:dyDescent="0.45">
      <c r="A63" s="1783"/>
      <c r="B63" s="1775" t="s">
        <v>330</v>
      </c>
      <c r="C63" s="1266" t="s">
        <v>326</v>
      </c>
      <c r="D63" s="47" t="str">
        <f ca="1"/>
        <v/>
      </c>
      <c r="E63" s="47" t="str">
        <f ca="1"/>
        <v/>
      </c>
      <c r="F63" s="47" t="str">
        <f ca="1"/>
        <v/>
      </c>
      <c r="G63" s="47" t="str">
        <f ca="1"/>
        <v/>
      </c>
      <c r="H63" s="47" t="str">
        <f ca="1"/>
        <v/>
      </c>
      <c r="I63" s="47" t="str">
        <f ca="1"/>
        <v/>
      </c>
      <c r="J63" s="47" t="str">
        <f ca="1"/>
        <v/>
      </c>
      <c r="K63" s="47" t="str">
        <f ca="1"/>
        <v/>
      </c>
      <c r="L63" s="47" t="str">
        <f ca="1"/>
        <v/>
      </c>
      <c r="M63" s="47" t="str">
        <f ca="1"/>
        <v/>
      </c>
      <c r="N63" s="47" t="str">
        <f ca="1"/>
        <v/>
      </c>
      <c r="O63" s="47" t="str">
        <f ca="1"/>
        <v/>
      </c>
      <c r="P63" s="48" t="str">
        <f ca="1"/>
        <v/>
      </c>
      <c r="Q63" s="49" t="str">
        <f ca="1"/>
        <v/>
      </c>
      <c r="R63" s="48" t="str">
        <f ca="1"/>
        <v/>
      </c>
      <c r="S63" s="48" t="str">
        <f ca="1"/>
        <v/>
      </c>
      <c r="T63" s="48" t="str">
        <f ca="1"/>
        <v/>
      </c>
      <c r="U63" s="48" t="str">
        <f ca="1"/>
        <v/>
      </c>
      <c r="V63" s="48" t="str">
        <f ca="1"/>
        <v/>
      </c>
      <c r="W63" s="48" t="str">
        <f ca="1"/>
        <v/>
      </c>
      <c r="X63" s="48" t="str">
        <f ca="1"/>
        <v/>
      </c>
      <c r="Y63" s="48" t="str">
        <f ca="1"/>
        <v/>
      </c>
      <c r="Z63" s="48" t="str">
        <f ca="1"/>
        <v/>
      </c>
      <c r="AA63" s="50" t="str">
        <f ca="1"/>
        <v/>
      </c>
      <c r="AB63" s="14"/>
    </row>
    <row r="64" spans="1:28" s="10" customFormat="1" ht="15" hidden="1" customHeight="1" x14ac:dyDescent="0.45">
      <c r="A64" s="1783"/>
      <c r="B64" s="1776"/>
      <c r="C64" s="1266" t="s">
        <v>327</v>
      </c>
      <c r="D64" s="47" t="str">
        <f ca="1"/>
        <v/>
      </c>
      <c r="E64" s="47" t="str">
        <f ca="1"/>
        <v/>
      </c>
      <c r="F64" s="47" t="str">
        <f ca="1"/>
        <v/>
      </c>
      <c r="G64" s="47" t="str">
        <f ca="1"/>
        <v/>
      </c>
      <c r="H64" s="47" t="str">
        <f ca="1"/>
        <v/>
      </c>
      <c r="I64" s="47" t="str">
        <f ca="1"/>
        <v/>
      </c>
      <c r="J64" s="47" t="str">
        <f ca="1"/>
        <v/>
      </c>
      <c r="K64" s="47" t="str">
        <f ca="1"/>
        <v/>
      </c>
      <c r="L64" s="47" t="str">
        <f ca="1"/>
        <v/>
      </c>
      <c r="M64" s="47" t="str">
        <f ca="1"/>
        <v/>
      </c>
      <c r="N64" s="47" t="str">
        <f ca="1"/>
        <v/>
      </c>
      <c r="O64" s="49" t="str">
        <f ca="1"/>
        <v>Intervals</v>
      </c>
      <c r="P64" s="47" t="str">
        <f ca="1"/>
        <v>Intervals</v>
      </c>
      <c r="Q64" s="49" t="str">
        <f ca="1"/>
        <v>Intervals</v>
      </c>
      <c r="R64" s="49" t="str">
        <f ca="1"/>
        <v>Intervals</v>
      </c>
      <c r="S64" s="49" t="str">
        <f ca="1"/>
        <v>Intervals</v>
      </c>
      <c r="T64" s="49" t="str">
        <f ca="1"/>
        <v/>
      </c>
      <c r="U64" s="49" t="str">
        <f ca="1"/>
        <v>Intervals</v>
      </c>
      <c r="V64" s="49" t="str">
        <f ca="1"/>
        <v/>
      </c>
      <c r="W64" s="49" t="str">
        <f ca="1"/>
        <v/>
      </c>
      <c r="X64" s="48" t="str">
        <f ca="1"/>
        <v/>
      </c>
      <c r="Y64" s="48" t="str">
        <f ca="1"/>
        <v/>
      </c>
      <c r="Z64" s="48" t="str">
        <f ca="1"/>
        <v/>
      </c>
      <c r="AA64" s="50" t="str">
        <f ca="1"/>
        <v/>
      </c>
      <c r="AB64" s="14"/>
    </row>
    <row r="65" spans="1:28" s="10" customFormat="1" ht="15" hidden="1" customHeight="1" x14ac:dyDescent="0.45">
      <c r="A65" s="1783"/>
      <c r="B65" s="1777" t="s">
        <v>331</v>
      </c>
      <c r="C65" s="1326" t="s">
        <v>326</v>
      </c>
      <c r="D65" s="51" t="str">
        <f ca="1"/>
        <v/>
      </c>
      <c r="E65" s="51" t="str">
        <f ca="1"/>
        <v/>
      </c>
      <c r="F65" s="51" t="str">
        <f ca="1"/>
        <v/>
      </c>
      <c r="G65" s="51" t="str">
        <f ca="1"/>
        <v/>
      </c>
      <c r="H65" s="51" t="str">
        <f ca="1"/>
        <v/>
      </c>
      <c r="I65" s="51" t="str">
        <f ca="1"/>
        <v/>
      </c>
      <c r="J65" s="51" t="str">
        <f ca="1"/>
        <v/>
      </c>
      <c r="K65" s="51" t="str">
        <f ca="1"/>
        <v/>
      </c>
      <c r="L65" s="51" t="str">
        <f ca="1"/>
        <v/>
      </c>
      <c r="M65" s="52" t="str">
        <f ca="1"/>
        <v/>
      </c>
      <c r="N65" s="52" t="str">
        <f ca="1"/>
        <v/>
      </c>
      <c r="O65" s="52" t="str">
        <f ca="1"/>
        <v/>
      </c>
      <c r="P65" s="52" t="str">
        <f ca="1"/>
        <v/>
      </c>
      <c r="Q65" s="53" t="str">
        <f ca="1"/>
        <v/>
      </c>
      <c r="R65" s="52" t="str">
        <f ca="1"/>
        <v/>
      </c>
      <c r="S65" s="52" t="str">
        <f ca="1"/>
        <v/>
      </c>
      <c r="T65" s="52" t="str">
        <f ca="1"/>
        <v/>
      </c>
      <c r="U65" s="52" t="str">
        <f ca="1"/>
        <v/>
      </c>
      <c r="V65" s="52" t="str">
        <f ca="1"/>
        <v/>
      </c>
      <c r="W65" s="52" t="str">
        <f ca="1"/>
        <v/>
      </c>
      <c r="X65" s="52" t="str">
        <f ca="1"/>
        <v/>
      </c>
      <c r="Y65" s="52" t="str">
        <f ca="1"/>
        <v/>
      </c>
      <c r="Z65" s="52" t="str">
        <f ca="1"/>
        <v/>
      </c>
      <c r="AA65" s="54" t="str">
        <f ca="1"/>
        <v/>
      </c>
      <c r="AB65" s="14"/>
    </row>
    <row r="66" spans="1:28" s="10" customFormat="1" ht="15" hidden="1" customHeight="1" x14ac:dyDescent="0.45">
      <c r="A66" s="1783"/>
      <c r="B66" s="1774"/>
      <c r="C66" s="1265" t="s">
        <v>327</v>
      </c>
      <c r="D66" s="44" t="str">
        <f ca="1"/>
        <v/>
      </c>
      <c r="E66" s="44" t="str">
        <f ca="1"/>
        <v/>
      </c>
      <c r="F66" s="44" t="str">
        <f ca="1"/>
        <v/>
      </c>
      <c r="G66" s="44" t="str">
        <f ca="1"/>
        <v/>
      </c>
      <c r="H66" s="44" t="str">
        <f ca="1"/>
        <v/>
      </c>
      <c r="I66" s="44" t="str">
        <f ca="1"/>
        <v/>
      </c>
      <c r="J66" s="44" t="str">
        <f ca="1"/>
        <v/>
      </c>
      <c r="K66" s="44" t="str">
        <f ca="1"/>
        <v/>
      </c>
      <c r="L66" s="44" t="str">
        <f ca="1"/>
        <v/>
      </c>
      <c r="M66" s="44" t="str">
        <f ca="1"/>
        <v/>
      </c>
      <c r="N66" s="44" t="str">
        <f ca="1"/>
        <v/>
      </c>
      <c r="O66" s="44" t="str">
        <f ca="1"/>
        <v/>
      </c>
      <c r="P66" s="44" t="str">
        <f ca="1"/>
        <v/>
      </c>
      <c r="Q66" s="44" t="str">
        <f ca="1"/>
        <v/>
      </c>
      <c r="R66" s="44" t="str">
        <f ca="1"/>
        <v/>
      </c>
      <c r="S66" s="44" t="str">
        <f ca="1"/>
        <v/>
      </c>
      <c r="T66" s="44" t="str">
        <f ca="1"/>
        <v/>
      </c>
      <c r="U66" s="44" t="str">
        <f ca="1"/>
        <v/>
      </c>
      <c r="V66" s="44" t="str">
        <f ca="1"/>
        <v/>
      </c>
      <c r="W66" s="44" t="str">
        <f ca="1"/>
        <v/>
      </c>
      <c r="X66" s="45" t="str">
        <f ca="1"/>
        <v/>
      </c>
      <c r="Y66" s="45" t="str">
        <f ca="1"/>
        <v/>
      </c>
      <c r="Z66" s="45" t="str">
        <f ca="1"/>
        <v/>
      </c>
      <c r="AA66" s="46" t="str">
        <f ca="1"/>
        <v/>
      </c>
      <c r="AB66" s="14"/>
    </row>
    <row r="67" spans="1:28" s="10" customFormat="1" ht="15" hidden="1" customHeight="1" x14ac:dyDescent="0.45">
      <c r="A67" s="1783"/>
      <c r="B67" s="1775" t="s">
        <v>332</v>
      </c>
      <c r="C67" s="1266" t="s">
        <v>326</v>
      </c>
      <c r="D67" s="47" t="str">
        <f ca="1"/>
        <v/>
      </c>
      <c r="E67" s="47" t="str">
        <f ca="1"/>
        <v/>
      </c>
      <c r="F67" s="47" t="str">
        <f ca="1"/>
        <v/>
      </c>
      <c r="G67" s="47" t="str">
        <f ca="1"/>
        <v/>
      </c>
      <c r="H67" s="47" t="str">
        <f ca="1"/>
        <v/>
      </c>
      <c r="I67" s="47" t="str">
        <f ca="1"/>
        <v/>
      </c>
      <c r="J67" s="47" t="str">
        <f ca="1"/>
        <v/>
      </c>
      <c r="K67" s="47" t="str">
        <f ca="1"/>
        <v/>
      </c>
      <c r="L67" s="47" t="str">
        <f ca="1"/>
        <v/>
      </c>
      <c r="M67" s="47" t="str">
        <f ca="1"/>
        <v/>
      </c>
      <c r="N67" s="47" t="str">
        <f ca="1"/>
        <v/>
      </c>
      <c r="O67" s="47" t="str">
        <f ca="1"/>
        <v/>
      </c>
      <c r="P67" s="48" t="str">
        <f ca="1"/>
        <v/>
      </c>
      <c r="Q67" s="49" t="str">
        <f ca="1"/>
        <v/>
      </c>
      <c r="R67" s="48" t="str">
        <f ca="1"/>
        <v/>
      </c>
      <c r="S67" s="48" t="str">
        <f ca="1"/>
        <v/>
      </c>
      <c r="T67" s="48" t="str">
        <f ca="1"/>
        <v/>
      </c>
      <c r="U67" s="48" t="str">
        <f ca="1"/>
        <v/>
      </c>
      <c r="V67" s="48" t="str">
        <f ca="1"/>
        <v/>
      </c>
      <c r="W67" s="48" t="str">
        <f ca="1"/>
        <v/>
      </c>
      <c r="X67" s="48" t="str">
        <f ca="1"/>
        <v/>
      </c>
      <c r="Y67" s="48" t="str">
        <f ca="1"/>
        <v/>
      </c>
      <c r="Z67" s="48" t="str">
        <f ca="1"/>
        <v/>
      </c>
      <c r="AA67" s="50" t="str">
        <f ca="1"/>
        <v/>
      </c>
      <c r="AB67" s="14"/>
    </row>
    <row r="68" spans="1:28" s="10" customFormat="1" ht="15" hidden="1" customHeight="1" x14ac:dyDescent="0.45">
      <c r="A68" s="1783"/>
      <c r="B68" s="1776"/>
      <c r="C68" s="1266" t="s">
        <v>327</v>
      </c>
      <c r="D68" s="47" t="str">
        <f ca="1"/>
        <v/>
      </c>
      <c r="E68" s="47" t="str">
        <f ca="1"/>
        <v/>
      </c>
      <c r="F68" s="47" t="str">
        <f ca="1"/>
        <v/>
      </c>
      <c r="G68" s="47" t="str">
        <f ca="1"/>
        <v/>
      </c>
      <c r="H68" s="47" t="str">
        <f ca="1"/>
        <v/>
      </c>
      <c r="I68" s="47" t="str">
        <f ca="1"/>
        <v/>
      </c>
      <c r="J68" s="47" t="str">
        <f ca="1"/>
        <v/>
      </c>
      <c r="K68" s="47" t="str">
        <f ca="1"/>
        <v/>
      </c>
      <c r="L68" s="47" t="str">
        <f ca="1"/>
        <v/>
      </c>
      <c r="M68" s="47" t="str">
        <f ca="1"/>
        <v/>
      </c>
      <c r="N68" s="47" t="str">
        <f ca="1"/>
        <v/>
      </c>
      <c r="O68" s="47" t="str">
        <f ca="1"/>
        <v/>
      </c>
      <c r="P68" s="47" t="str">
        <f ca="1"/>
        <v/>
      </c>
      <c r="Q68" s="49" t="str">
        <f ca="1"/>
        <v/>
      </c>
      <c r="R68" s="49" t="str">
        <f ca="1"/>
        <v/>
      </c>
      <c r="S68" s="49" t="str">
        <f ca="1"/>
        <v/>
      </c>
      <c r="T68" s="49" t="str">
        <f ca="1"/>
        <v/>
      </c>
      <c r="U68" s="49" t="str">
        <f ca="1"/>
        <v/>
      </c>
      <c r="V68" s="49" t="str">
        <f ca="1"/>
        <v/>
      </c>
      <c r="W68" s="49" t="str">
        <f ca="1"/>
        <v/>
      </c>
      <c r="X68" s="48" t="str">
        <f ca="1"/>
        <v/>
      </c>
      <c r="Y68" s="48" t="str">
        <f ca="1"/>
        <v/>
      </c>
      <c r="Z68" s="48" t="str">
        <f ca="1"/>
        <v/>
      </c>
      <c r="AA68" s="50" t="str">
        <f ca="1"/>
        <v/>
      </c>
      <c r="AB68" s="14"/>
    </row>
    <row r="69" spans="1:28" s="10" customFormat="1" ht="15" hidden="1" customHeight="1" x14ac:dyDescent="0.45">
      <c r="A69" s="1783"/>
      <c r="B69" s="1777" t="s">
        <v>333</v>
      </c>
      <c r="C69" s="1265" t="s">
        <v>326</v>
      </c>
      <c r="D69" s="44" t="str">
        <f ca="1"/>
        <v/>
      </c>
      <c r="E69" s="44" t="str">
        <f ca="1"/>
        <v/>
      </c>
      <c r="F69" s="44" t="str">
        <f ca="1"/>
        <v/>
      </c>
      <c r="G69" s="44" t="str">
        <f ca="1"/>
        <v/>
      </c>
      <c r="H69" s="44" t="str">
        <f ca="1"/>
        <v/>
      </c>
      <c r="I69" s="44" t="str">
        <f ca="1"/>
        <v/>
      </c>
      <c r="J69" s="44" t="str">
        <f ca="1"/>
        <v/>
      </c>
      <c r="K69" s="44" t="str">
        <f ca="1"/>
        <v/>
      </c>
      <c r="L69" s="44" t="str">
        <f ca="1"/>
        <v/>
      </c>
      <c r="M69" s="45" t="str">
        <f ca="1"/>
        <v/>
      </c>
      <c r="N69" s="45" t="str">
        <f ca="1"/>
        <v/>
      </c>
      <c r="O69" s="45" t="str">
        <f ca="1"/>
        <v/>
      </c>
      <c r="P69" s="45" t="str">
        <f ca="1"/>
        <v/>
      </c>
      <c r="Q69" s="55" t="str">
        <f ca="1"/>
        <v/>
      </c>
      <c r="R69" s="45" t="str">
        <f ca="1"/>
        <v/>
      </c>
      <c r="S69" s="45" t="str">
        <f ca="1"/>
        <v/>
      </c>
      <c r="T69" s="45" t="str">
        <f ca="1"/>
        <v/>
      </c>
      <c r="U69" s="45" t="str">
        <f ca="1"/>
        <v/>
      </c>
      <c r="V69" s="45" t="str">
        <f ca="1"/>
        <v/>
      </c>
      <c r="W69" s="45" t="str">
        <f ca="1"/>
        <v/>
      </c>
      <c r="X69" s="45" t="str">
        <f ca="1"/>
        <v/>
      </c>
      <c r="Y69" s="45" t="str">
        <f ca="1"/>
        <v/>
      </c>
      <c r="Z69" s="45" t="str">
        <f ca="1"/>
        <v/>
      </c>
      <c r="AA69" s="46" t="str">
        <f ca="1"/>
        <v/>
      </c>
      <c r="AB69" s="14"/>
    </row>
    <row r="70" spans="1:28" s="10" customFormat="1" ht="15" hidden="1" customHeight="1" x14ac:dyDescent="0.45">
      <c r="A70" s="1784"/>
      <c r="B70" s="1778"/>
      <c r="C70" s="1267" t="s">
        <v>327</v>
      </c>
      <c r="D70" s="56" t="str">
        <f ca="1"/>
        <v/>
      </c>
      <c r="E70" s="56" t="str">
        <f ca="1"/>
        <v/>
      </c>
      <c r="F70" s="56" t="str">
        <f ca="1"/>
        <v/>
      </c>
      <c r="G70" s="56" t="str">
        <f ca="1"/>
        <v/>
      </c>
      <c r="H70" s="56" t="str">
        <f ca="1"/>
        <v/>
      </c>
      <c r="I70" s="56" t="str">
        <f ca="1"/>
        <v/>
      </c>
      <c r="J70" s="56" t="str">
        <f ca="1"/>
        <v/>
      </c>
      <c r="K70" s="56" t="str">
        <f ca="1"/>
        <v/>
      </c>
      <c r="L70" s="56" t="str">
        <f ca="1"/>
        <v/>
      </c>
      <c r="M70" s="57" t="str">
        <f ca="1"/>
        <v/>
      </c>
      <c r="N70" s="57" t="str">
        <f ca="1"/>
        <v/>
      </c>
      <c r="O70" s="57" t="str">
        <f ca="1"/>
        <v/>
      </c>
      <c r="P70" s="57" t="str">
        <f ca="1"/>
        <v/>
      </c>
      <c r="Q70" s="58" t="str">
        <f ca="1"/>
        <v/>
      </c>
      <c r="R70" s="57" t="str">
        <f ca="1"/>
        <v/>
      </c>
      <c r="S70" s="57" t="str">
        <f ca="1"/>
        <v/>
      </c>
      <c r="T70" s="57" t="str">
        <f ca="1"/>
        <v/>
      </c>
      <c r="U70" s="57" t="str">
        <f ca="1"/>
        <v/>
      </c>
      <c r="V70" s="57" t="str">
        <f ca="1"/>
        <v/>
      </c>
      <c r="W70" s="57" t="str">
        <f ca="1"/>
        <v/>
      </c>
      <c r="X70" s="57" t="str">
        <f ca="1"/>
        <v/>
      </c>
      <c r="Y70" s="57" t="str">
        <f ca="1"/>
        <v/>
      </c>
      <c r="Z70" s="57" t="str">
        <f ca="1"/>
        <v/>
      </c>
      <c r="AA70" s="59" t="str">
        <f ca="1"/>
        <v/>
      </c>
      <c r="AB70" s="14"/>
    </row>
    <row r="71" spans="1:28" s="10" customFormat="1" ht="15" hidden="1" customHeight="1" x14ac:dyDescent="0.45">
      <c r="A71" s="1782" t="s">
        <v>734</v>
      </c>
      <c r="B71" s="1773" t="s">
        <v>325</v>
      </c>
      <c r="C71" s="1428" t="s">
        <v>326</v>
      </c>
      <c r="D71" s="51" t="str">
        <f t="array" aca="1" ref="D71:AA84" ca="1">INDEX(sessions_nutrition_counter,, plan_session_allocation)</f>
        <v/>
      </c>
      <c r="E71" s="51" t="str">
        <f ca="1"/>
        <v/>
      </c>
      <c r="F71" s="51" t="str">
        <f ca="1"/>
        <v/>
      </c>
      <c r="G71" s="51" t="str">
        <f ca="1"/>
        <v/>
      </c>
      <c r="H71" s="51" t="str">
        <f ca="1"/>
        <v/>
      </c>
      <c r="I71" s="51" t="str">
        <f ca="1"/>
        <v/>
      </c>
      <c r="J71" s="51" t="str">
        <f ca="1"/>
        <v/>
      </c>
      <c r="K71" s="51" t="str">
        <f ca="1"/>
        <v/>
      </c>
      <c r="L71" s="51" t="str">
        <f ca="1"/>
        <v/>
      </c>
      <c r="M71" s="52" t="str">
        <f ca="1"/>
        <v/>
      </c>
      <c r="N71" s="52" t="str">
        <f ca="1"/>
        <v/>
      </c>
      <c r="O71" s="52" t="str">
        <f ca="1"/>
        <v/>
      </c>
      <c r="P71" s="52" t="str">
        <f ca="1"/>
        <v/>
      </c>
      <c r="Q71" s="53" t="str">
        <f ca="1"/>
        <v/>
      </c>
      <c r="R71" s="52" t="str">
        <f ca="1"/>
        <v/>
      </c>
      <c r="S71" s="52" t="str">
        <f ca="1"/>
        <v/>
      </c>
      <c r="T71" s="52" t="str">
        <f ca="1"/>
        <v/>
      </c>
      <c r="U71" s="52" t="str">
        <f ca="1"/>
        <v/>
      </c>
      <c r="V71" s="52" t="str">
        <f ca="1"/>
        <v/>
      </c>
      <c r="W71" s="52" t="str">
        <f ca="1"/>
        <v/>
      </c>
      <c r="X71" s="52" t="str">
        <f ca="1"/>
        <v/>
      </c>
      <c r="Y71" s="52" t="str">
        <f ca="1"/>
        <v/>
      </c>
      <c r="Z71" s="52" t="str">
        <f ca="1"/>
        <v/>
      </c>
      <c r="AA71" s="54" t="str">
        <f ca="1"/>
        <v/>
      </c>
      <c r="AB71" s="14"/>
    </row>
    <row r="72" spans="1:28" s="10" customFormat="1" ht="15" hidden="1" customHeight="1" x14ac:dyDescent="0.45">
      <c r="A72" s="1783"/>
      <c r="B72" s="1774"/>
      <c r="C72" s="1265" t="s">
        <v>327</v>
      </c>
      <c r="D72" s="44" t="str">
        <f ca="1"/>
        <v/>
      </c>
      <c r="E72" s="44" t="str">
        <f ca="1"/>
        <v/>
      </c>
      <c r="F72" s="44" t="str">
        <f ca="1"/>
        <v/>
      </c>
      <c r="G72" s="44" t="str">
        <f ca="1"/>
        <v/>
      </c>
      <c r="H72" s="44" t="str">
        <f ca="1"/>
        <v/>
      </c>
      <c r="I72" s="44" t="str">
        <f ca="1"/>
        <v/>
      </c>
      <c r="J72" s="44" t="str">
        <f ca="1"/>
        <v/>
      </c>
      <c r="K72" s="44" t="str">
        <f ca="1"/>
        <v/>
      </c>
      <c r="L72" s="44" t="str">
        <f ca="1"/>
        <v/>
      </c>
      <c r="M72" s="44" t="str">
        <f ca="1"/>
        <v/>
      </c>
      <c r="N72" s="44" t="str">
        <f ca="1"/>
        <v/>
      </c>
      <c r="O72" s="44" t="str">
        <f ca="1"/>
        <v/>
      </c>
      <c r="P72" s="44" t="str">
        <f ca="1"/>
        <v/>
      </c>
      <c r="Q72" s="44" t="str">
        <f ca="1"/>
        <v/>
      </c>
      <c r="R72" s="44" t="str">
        <f ca="1"/>
        <v/>
      </c>
      <c r="S72" s="44" t="str">
        <f ca="1"/>
        <v/>
      </c>
      <c r="T72" s="44" t="str">
        <f ca="1"/>
        <v/>
      </c>
      <c r="U72" s="44" t="str">
        <f ca="1"/>
        <v/>
      </c>
      <c r="V72" s="44" t="str">
        <f ca="1"/>
        <v/>
      </c>
      <c r="W72" s="44" t="str">
        <f ca="1"/>
        <v/>
      </c>
      <c r="X72" s="45" t="str">
        <f ca="1"/>
        <v/>
      </c>
      <c r="Y72" s="45" t="str">
        <f ca="1"/>
        <v/>
      </c>
      <c r="Z72" s="45" t="str">
        <f ca="1"/>
        <v/>
      </c>
      <c r="AA72" s="46" t="str">
        <f ca="1"/>
        <v/>
      </c>
      <c r="AB72" s="14"/>
    </row>
    <row r="73" spans="1:28" s="10" customFormat="1" ht="15" hidden="1" customHeight="1" x14ac:dyDescent="0.45">
      <c r="A73" s="1783"/>
      <c r="B73" s="1775" t="s">
        <v>328</v>
      </c>
      <c r="C73" s="1266" t="s">
        <v>326</v>
      </c>
      <c r="D73" s="47" t="str">
        <f ca="1"/>
        <v/>
      </c>
      <c r="E73" s="47" t="str">
        <f ca="1"/>
        <v/>
      </c>
      <c r="F73" s="47" t="str">
        <f ca="1"/>
        <v/>
      </c>
      <c r="G73" s="47" t="str">
        <f ca="1"/>
        <v/>
      </c>
      <c r="H73" s="47" t="str">
        <f ca="1"/>
        <v/>
      </c>
      <c r="I73" s="47" t="str">
        <f ca="1"/>
        <v/>
      </c>
      <c r="J73" s="47" t="str">
        <f ca="1"/>
        <v/>
      </c>
      <c r="K73" s="47" t="str">
        <f ca="1"/>
        <v/>
      </c>
      <c r="L73" s="47" t="str">
        <f ca="1"/>
        <v/>
      </c>
      <c r="M73" s="47" t="str">
        <f ca="1"/>
        <v/>
      </c>
      <c r="N73" s="47" t="str">
        <f ca="1"/>
        <v/>
      </c>
      <c r="O73" s="47" t="str">
        <f ca="1"/>
        <v/>
      </c>
      <c r="P73" s="48" t="str">
        <f ca="1"/>
        <v/>
      </c>
      <c r="Q73" s="49" t="str">
        <f ca="1"/>
        <v/>
      </c>
      <c r="R73" s="48" t="str">
        <f ca="1"/>
        <v/>
      </c>
      <c r="S73" s="48" t="str">
        <f ca="1"/>
        <v/>
      </c>
      <c r="T73" s="48" t="str">
        <f ca="1"/>
        <v/>
      </c>
      <c r="U73" s="48" t="str">
        <f ca="1"/>
        <v/>
      </c>
      <c r="V73" s="48" t="str">
        <f ca="1"/>
        <v/>
      </c>
      <c r="W73" s="48" t="str">
        <f ca="1"/>
        <v/>
      </c>
      <c r="X73" s="48" t="str">
        <f ca="1"/>
        <v/>
      </c>
      <c r="Y73" s="48" t="str">
        <f ca="1"/>
        <v/>
      </c>
      <c r="Z73" s="48" t="str">
        <f ca="1"/>
        <v/>
      </c>
      <c r="AA73" s="50" t="str">
        <f ca="1"/>
        <v/>
      </c>
      <c r="AB73" s="14"/>
    </row>
    <row r="74" spans="1:28" s="10" customFormat="1" ht="15" hidden="1" customHeight="1" x14ac:dyDescent="0.45">
      <c r="A74" s="1783"/>
      <c r="B74" s="1776"/>
      <c r="C74" s="1266" t="s">
        <v>327</v>
      </c>
      <c r="D74" s="47" t="str">
        <f ca="1"/>
        <v/>
      </c>
      <c r="E74" s="47" t="str">
        <f ca="1"/>
        <v/>
      </c>
      <c r="F74" s="47" t="str">
        <f ca="1"/>
        <v/>
      </c>
      <c r="G74" s="47" t="str">
        <f ca="1"/>
        <v/>
      </c>
      <c r="H74" s="47" t="str">
        <f ca="1"/>
        <v/>
      </c>
      <c r="I74" s="47" t="str">
        <f ca="1"/>
        <v/>
      </c>
      <c r="J74" s="47" t="str">
        <f ca="1"/>
        <v/>
      </c>
      <c r="K74" s="47" t="str">
        <f ca="1"/>
        <v/>
      </c>
      <c r="L74" s="47" t="str">
        <f ca="1"/>
        <v/>
      </c>
      <c r="M74" s="47" t="str">
        <f ca="1"/>
        <v/>
      </c>
      <c r="N74" s="47" t="str">
        <f ca="1"/>
        <v/>
      </c>
      <c r="O74" s="47" t="str">
        <f ca="1"/>
        <v/>
      </c>
      <c r="P74" s="47" t="str">
        <f ca="1"/>
        <v/>
      </c>
      <c r="Q74" s="49" t="str">
        <f ca="1"/>
        <v/>
      </c>
      <c r="R74" s="49" t="str">
        <f ca="1"/>
        <v/>
      </c>
      <c r="S74" s="49" t="str">
        <f ca="1"/>
        <v/>
      </c>
      <c r="T74" s="49" t="str">
        <f ca="1"/>
        <v/>
      </c>
      <c r="U74" s="49" t="str">
        <f ca="1"/>
        <v/>
      </c>
      <c r="V74" s="49" t="str">
        <f ca="1"/>
        <v/>
      </c>
      <c r="W74" s="49" t="str">
        <f ca="1"/>
        <v/>
      </c>
      <c r="X74" s="48" t="str">
        <f ca="1"/>
        <v/>
      </c>
      <c r="Y74" s="48" t="str">
        <f ca="1"/>
        <v/>
      </c>
      <c r="Z74" s="48" t="str">
        <f ca="1"/>
        <v/>
      </c>
      <c r="AA74" s="50" t="str">
        <f ca="1"/>
        <v/>
      </c>
      <c r="AB74" s="14"/>
    </row>
    <row r="75" spans="1:28" s="10" customFormat="1" ht="15" hidden="1" customHeight="1" x14ac:dyDescent="0.45">
      <c r="A75" s="1783"/>
      <c r="B75" s="1777" t="s">
        <v>329</v>
      </c>
      <c r="C75" s="1428" t="s">
        <v>326</v>
      </c>
      <c r="D75" s="51" t="str">
        <f ca="1"/>
        <v/>
      </c>
      <c r="E75" s="51" t="str">
        <f ca="1"/>
        <v/>
      </c>
      <c r="F75" s="51" t="str">
        <f ca="1"/>
        <v/>
      </c>
      <c r="G75" s="51" t="str">
        <f ca="1"/>
        <v/>
      </c>
      <c r="H75" s="51" t="str">
        <f ca="1"/>
        <v/>
      </c>
      <c r="I75" s="51" t="str">
        <f ca="1"/>
        <v/>
      </c>
      <c r="J75" s="51" t="str">
        <f ca="1"/>
        <v/>
      </c>
      <c r="K75" s="51" t="str">
        <f ca="1"/>
        <v/>
      </c>
      <c r="L75" s="51" t="str">
        <f ca="1"/>
        <v/>
      </c>
      <c r="M75" s="52" t="str">
        <f ca="1"/>
        <v/>
      </c>
      <c r="N75" s="52" t="str">
        <f ca="1"/>
        <v/>
      </c>
      <c r="O75" s="52" t="str">
        <f ca="1"/>
        <v/>
      </c>
      <c r="P75" s="52" t="str">
        <f ca="1"/>
        <v/>
      </c>
      <c r="Q75" s="53" t="str">
        <f ca="1"/>
        <v/>
      </c>
      <c r="R75" s="52" t="str">
        <f ca="1"/>
        <v/>
      </c>
      <c r="S75" s="52" t="str">
        <f ca="1"/>
        <v/>
      </c>
      <c r="T75" s="52" t="str">
        <f ca="1"/>
        <v/>
      </c>
      <c r="U75" s="52" t="str">
        <f ca="1"/>
        <v/>
      </c>
      <c r="V75" s="52" t="str">
        <f ca="1"/>
        <v/>
      </c>
      <c r="W75" s="52" t="str">
        <f ca="1"/>
        <v/>
      </c>
      <c r="X75" s="52" t="str">
        <f ca="1"/>
        <v/>
      </c>
      <c r="Y75" s="52" t="str">
        <f ca="1"/>
        <v/>
      </c>
      <c r="Z75" s="52" t="str">
        <f ca="1"/>
        <v/>
      </c>
      <c r="AA75" s="54" t="str">
        <f ca="1"/>
        <v/>
      </c>
      <c r="AB75" s="14"/>
    </row>
    <row r="76" spans="1:28" s="10" customFormat="1" ht="15" hidden="1" customHeight="1" x14ac:dyDescent="0.45">
      <c r="A76" s="1783"/>
      <c r="B76" s="1774"/>
      <c r="C76" s="1265" t="s">
        <v>327</v>
      </c>
      <c r="D76" s="44" t="str">
        <f ca="1"/>
        <v/>
      </c>
      <c r="E76" s="44" t="str">
        <f ca="1"/>
        <v/>
      </c>
      <c r="F76" s="44" t="str">
        <f ca="1"/>
        <v/>
      </c>
      <c r="G76" s="44" t="str">
        <f ca="1"/>
        <v/>
      </c>
      <c r="H76" s="44" t="str">
        <f ca="1"/>
        <v/>
      </c>
      <c r="I76" s="44" t="str">
        <f ca="1"/>
        <v/>
      </c>
      <c r="J76" s="44" t="str">
        <f ca="1"/>
        <v/>
      </c>
      <c r="K76" s="44" t="str">
        <f ca="1"/>
        <v/>
      </c>
      <c r="L76" s="44" t="str">
        <f ca="1"/>
        <v/>
      </c>
      <c r="M76" s="44" t="str">
        <f ca="1"/>
        <v/>
      </c>
      <c r="N76" s="44" t="str">
        <f ca="1"/>
        <v/>
      </c>
      <c r="O76" s="44" t="str">
        <f ca="1"/>
        <v/>
      </c>
      <c r="P76" s="44" t="str">
        <f ca="1"/>
        <v/>
      </c>
      <c r="Q76" s="44" t="str">
        <f ca="1"/>
        <v/>
      </c>
      <c r="R76" s="44" t="str">
        <f ca="1"/>
        <v/>
      </c>
      <c r="S76" s="44" t="str">
        <f ca="1"/>
        <v/>
      </c>
      <c r="T76" s="44" t="str">
        <f ca="1"/>
        <v/>
      </c>
      <c r="U76" s="44" t="str">
        <f ca="1"/>
        <v/>
      </c>
      <c r="V76" s="44" t="str">
        <f ca="1"/>
        <v/>
      </c>
      <c r="W76" s="44" t="str">
        <f ca="1"/>
        <v/>
      </c>
      <c r="X76" s="45" t="str">
        <f ca="1"/>
        <v/>
      </c>
      <c r="Y76" s="45" t="str">
        <f ca="1"/>
        <v/>
      </c>
      <c r="Z76" s="45" t="str">
        <f ca="1"/>
        <v/>
      </c>
      <c r="AA76" s="46" t="str">
        <f ca="1"/>
        <v/>
      </c>
      <c r="AB76" s="14"/>
    </row>
    <row r="77" spans="1:28" s="10" customFormat="1" ht="15" hidden="1" customHeight="1" x14ac:dyDescent="0.45">
      <c r="A77" s="1783"/>
      <c r="B77" s="1775" t="s">
        <v>330</v>
      </c>
      <c r="C77" s="1266" t="s">
        <v>326</v>
      </c>
      <c r="D77" s="47" t="str">
        <f ca="1"/>
        <v/>
      </c>
      <c r="E77" s="47" t="str">
        <f ca="1"/>
        <v/>
      </c>
      <c r="F77" s="47" t="str">
        <f ca="1"/>
        <v/>
      </c>
      <c r="G77" s="47" t="str">
        <f ca="1"/>
        <v/>
      </c>
      <c r="H77" s="47" t="str">
        <f ca="1"/>
        <v/>
      </c>
      <c r="I77" s="47" t="str">
        <f ca="1"/>
        <v/>
      </c>
      <c r="J77" s="47" t="str">
        <f ca="1"/>
        <v/>
      </c>
      <c r="K77" s="47" t="str">
        <f ca="1"/>
        <v/>
      </c>
      <c r="L77" s="47" t="str">
        <f ca="1"/>
        <v/>
      </c>
      <c r="M77" s="47" t="str">
        <f ca="1"/>
        <v/>
      </c>
      <c r="N77" s="47" t="str">
        <f ca="1"/>
        <v/>
      </c>
      <c r="O77" s="47" t="str">
        <f ca="1"/>
        <v/>
      </c>
      <c r="P77" s="48" t="str">
        <f ca="1"/>
        <v/>
      </c>
      <c r="Q77" s="49" t="str">
        <f ca="1"/>
        <v/>
      </c>
      <c r="R77" s="48" t="str">
        <f ca="1"/>
        <v/>
      </c>
      <c r="S77" s="48" t="str">
        <f ca="1"/>
        <v/>
      </c>
      <c r="T77" s="48" t="str">
        <f ca="1"/>
        <v/>
      </c>
      <c r="U77" s="48" t="str">
        <f ca="1"/>
        <v/>
      </c>
      <c r="V77" s="48" t="str">
        <f ca="1"/>
        <v/>
      </c>
      <c r="W77" s="48" t="str">
        <f ca="1"/>
        <v/>
      </c>
      <c r="X77" s="48" t="str">
        <f ca="1"/>
        <v/>
      </c>
      <c r="Y77" s="48" t="str">
        <f ca="1"/>
        <v/>
      </c>
      <c r="Z77" s="48" t="str">
        <f ca="1"/>
        <v/>
      </c>
      <c r="AA77" s="50" t="str">
        <f ca="1"/>
        <v/>
      </c>
      <c r="AB77" s="14"/>
    </row>
    <row r="78" spans="1:28" s="10" customFormat="1" ht="15" hidden="1" customHeight="1" x14ac:dyDescent="0.45">
      <c r="A78" s="1783"/>
      <c r="B78" s="1776"/>
      <c r="C78" s="1266" t="s">
        <v>327</v>
      </c>
      <c r="D78" s="47" t="str">
        <f ca="1"/>
        <v/>
      </c>
      <c r="E78" s="47" t="str">
        <f ca="1"/>
        <v/>
      </c>
      <c r="F78" s="47" t="str">
        <f ca="1"/>
        <v/>
      </c>
      <c r="G78" s="47" t="str">
        <f ca="1"/>
        <v/>
      </c>
      <c r="H78" s="47" t="str">
        <f ca="1"/>
        <v/>
      </c>
      <c r="I78" s="47" t="str">
        <f ca="1"/>
        <v/>
      </c>
      <c r="J78" s="47" t="str">
        <f ca="1"/>
        <v/>
      </c>
      <c r="K78" s="47" t="str">
        <f ca="1"/>
        <v/>
      </c>
      <c r="L78" s="47" t="str">
        <f ca="1"/>
        <v/>
      </c>
      <c r="M78" s="47" t="str">
        <f ca="1"/>
        <v/>
      </c>
      <c r="N78" s="47" t="str">
        <f ca="1"/>
        <v/>
      </c>
      <c r="O78" s="49" t="str">
        <f ca="1"/>
        <v/>
      </c>
      <c r="P78" s="47" t="str">
        <f ca="1"/>
        <v/>
      </c>
      <c r="Q78" s="49" t="str">
        <f ca="1"/>
        <v/>
      </c>
      <c r="R78" s="49" t="str">
        <f ca="1"/>
        <v/>
      </c>
      <c r="S78" s="49" t="str">
        <f ca="1"/>
        <v/>
      </c>
      <c r="T78" s="49" t="str">
        <f ca="1"/>
        <v/>
      </c>
      <c r="U78" s="49" t="str">
        <f ca="1"/>
        <v/>
      </c>
      <c r="V78" s="49" t="str">
        <f ca="1"/>
        <v/>
      </c>
      <c r="W78" s="49" t="str">
        <f ca="1"/>
        <v/>
      </c>
      <c r="X78" s="48" t="str">
        <f ca="1"/>
        <v/>
      </c>
      <c r="Y78" s="48" t="str">
        <f ca="1"/>
        <v/>
      </c>
      <c r="Z78" s="48" t="str">
        <f ca="1"/>
        <v/>
      </c>
      <c r="AA78" s="50" t="str">
        <f ca="1"/>
        <v/>
      </c>
      <c r="AB78" s="14"/>
    </row>
    <row r="79" spans="1:28" s="10" customFormat="1" ht="15" hidden="1" customHeight="1" x14ac:dyDescent="0.45">
      <c r="A79" s="1783"/>
      <c r="B79" s="1777" t="s">
        <v>331</v>
      </c>
      <c r="C79" s="1428" t="s">
        <v>326</v>
      </c>
      <c r="D79" s="51" t="str">
        <f ca="1"/>
        <v/>
      </c>
      <c r="E79" s="51" t="str">
        <f ca="1"/>
        <v/>
      </c>
      <c r="F79" s="51" t="str">
        <f ca="1"/>
        <v/>
      </c>
      <c r="G79" s="51" t="str">
        <f ca="1"/>
        <v/>
      </c>
      <c r="H79" s="51" t="str">
        <f ca="1"/>
        <v/>
      </c>
      <c r="I79" s="51" t="str">
        <f ca="1"/>
        <v/>
      </c>
      <c r="J79" s="51" t="str">
        <f ca="1"/>
        <v/>
      </c>
      <c r="K79" s="51" t="str">
        <f ca="1"/>
        <v/>
      </c>
      <c r="L79" s="51" t="str">
        <f ca="1"/>
        <v/>
      </c>
      <c r="M79" s="52" t="str">
        <f ca="1"/>
        <v/>
      </c>
      <c r="N79" s="52" t="str">
        <f ca="1"/>
        <v/>
      </c>
      <c r="O79" s="52" t="str">
        <f ca="1"/>
        <v/>
      </c>
      <c r="P79" s="52" t="str">
        <f ca="1"/>
        <v/>
      </c>
      <c r="Q79" s="53" t="str">
        <f ca="1"/>
        <v/>
      </c>
      <c r="R79" s="52" t="str">
        <f ca="1"/>
        <v/>
      </c>
      <c r="S79" s="52" t="str">
        <f ca="1"/>
        <v/>
      </c>
      <c r="T79" s="52" t="str">
        <f ca="1"/>
        <v/>
      </c>
      <c r="U79" s="52" t="str">
        <f ca="1"/>
        <v/>
      </c>
      <c r="V79" s="52" t="str">
        <f ca="1"/>
        <v/>
      </c>
      <c r="W79" s="52" t="str">
        <f ca="1"/>
        <v/>
      </c>
      <c r="X79" s="52" t="str">
        <f ca="1"/>
        <v/>
      </c>
      <c r="Y79" s="52" t="str">
        <f ca="1"/>
        <v/>
      </c>
      <c r="Z79" s="52" t="str">
        <f ca="1"/>
        <v/>
      </c>
      <c r="AA79" s="54" t="str">
        <f ca="1"/>
        <v/>
      </c>
      <c r="AB79" s="14"/>
    </row>
    <row r="80" spans="1:28" s="10" customFormat="1" ht="15" hidden="1" customHeight="1" x14ac:dyDescent="0.45">
      <c r="A80" s="1783"/>
      <c r="B80" s="1774"/>
      <c r="C80" s="1265" t="s">
        <v>327</v>
      </c>
      <c r="D80" s="44" t="str">
        <f ca="1"/>
        <v/>
      </c>
      <c r="E80" s="44" t="str">
        <f ca="1"/>
        <v/>
      </c>
      <c r="F80" s="44" t="str">
        <f ca="1"/>
        <v/>
      </c>
      <c r="G80" s="44" t="str">
        <f ca="1"/>
        <v/>
      </c>
      <c r="H80" s="44" t="str">
        <f ca="1"/>
        <v/>
      </c>
      <c r="I80" s="44" t="str">
        <f ca="1"/>
        <v/>
      </c>
      <c r="J80" s="44" t="str">
        <f ca="1"/>
        <v/>
      </c>
      <c r="K80" s="44" t="str">
        <f ca="1"/>
        <v/>
      </c>
      <c r="L80" s="44" t="str">
        <f ca="1"/>
        <v/>
      </c>
      <c r="M80" s="44" t="str">
        <f ca="1"/>
        <v/>
      </c>
      <c r="N80" s="44" t="str">
        <f ca="1"/>
        <v/>
      </c>
      <c r="O80" s="44" t="str">
        <f ca="1"/>
        <v/>
      </c>
      <c r="P80" s="44" t="str">
        <f ca="1"/>
        <v/>
      </c>
      <c r="Q80" s="44" t="str">
        <f ca="1"/>
        <v/>
      </c>
      <c r="R80" s="44" t="str">
        <f ca="1"/>
        <v/>
      </c>
      <c r="S80" s="44" t="str">
        <f ca="1"/>
        <v/>
      </c>
      <c r="T80" s="44" t="str">
        <f ca="1"/>
        <v/>
      </c>
      <c r="U80" s="44" t="str">
        <f ca="1"/>
        <v/>
      </c>
      <c r="V80" s="44" t="str">
        <f ca="1"/>
        <v/>
      </c>
      <c r="W80" s="44" t="str">
        <f ca="1"/>
        <v/>
      </c>
      <c r="X80" s="45" t="str">
        <f ca="1"/>
        <v/>
      </c>
      <c r="Y80" s="45" t="str">
        <f ca="1"/>
        <v/>
      </c>
      <c r="Z80" s="45" t="str">
        <f ca="1"/>
        <v/>
      </c>
      <c r="AA80" s="46" t="str">
        <f ca="1"/>
        <v/>
      </c>
      <c r="AB80" s="14"/>
    </row>
    <row r="81" spans="1:28" s="10" customFormat="1" ht="15" hidden="1" customHeight="1" x14ac:dyDescent="0.45">
      <c r="A81" s="1783"/>
      <c r="B81" s="1775" t="s">
        <v>332</v>
      </c>
      <c r="C81" s="1266" t="s">
        <v>326</v>
      </c>
      <c r="D81" s="47" t="str">
        <f ca="1"/>
        <v/>
      </c>
      <c r="E81" s="47" t="str">
        <f ca="1"/>
        <v/>
      </c>
      <c r="F81" s="47" t="str">
        <f ca="1"/>
        <v/>
      </c>
      <c r="G81" s="47" t="str">
        <f ca="1"/>
        <v/>
      </c>
      <c r="H81" s="47" t="str">
        <f ca="1"/>
        <v/>
      </c>
      <c r="I81" s="47" t="str">
        <f ca="1"/>
        <v/>
      </c>
      <c r="J81" s="47" t="str">
        <f ca="1"/>
        <v/>
      </c>
      <c r="K81" s="47" t="str">
        <f ca="1"/>
        <v/>
      </c>
      <c r="L81" s="47" t="str">
        <f ca="1"/>
        <v/>
      </c>
      <c r="M81" s="47" t="str">
        <f ca="1"/>
        <v/>
      </c>
      <c r="N81" s="47" t="str">
        <f ca="1"/>
        <v/>
      </c>
      <c r="O81" s="47" t="str">
        <f ca="1"/>
        <v/>
      </c>
      <c r="P81" s="48" t="str">
        <f ca="1"/>
        <v/>
      </c>
      <c r="Q81" s="49" t="str">
        <f ca="1"/>
        <v/>
      </c>
      <c r="R81" s="48" t="str">
        <f ca="1"/>
        <v/>
      </c>
      <c r="S81" s="48" t="str">
        <f ca="1"/>
        <v/>
      </c>
      <c r="T81" s="48" t="str">
        <f ca="1"/>
        <v/>
      </c>
      <c r="U81" s="48" t="str">
        <f ca="1"/>
        <v/>
      </c>
      <c r="V81" s="48" t="str">
        <f ca="1"/>
        <v/>
      </c>
      <c r="W81" s="48" t="str">
        <f ca="1"/>
        <v/>
      </c>
      <c r="X81" s="48" t="str">
        <f ca="1"/>
        <v/>
      </c>
      <c r="Y81" s="48" t="str">
        <f ca="1"/>
        <v/>
      </c>
      <c r="Z81" s="48" t="str">
        <f ca="1"/>
        <v/>
      </c>
      <c r="AA81" s="50" t="str">
        <f ca="1"/>
        <v/>
      </c>
      <c r="AB81" s="14"/>
    </row>
    <row r="82" spans="1:28" s="10" customFormat="1" ht="15" hidden="1" customHeight="1" x14ac:dyDescent="0.45">
      <c r="A82" s="1783"/>
      <c r="B82" s="1776"/>
      <c r="C82" s="1266" t="s">
        <v>327</v>
      </c>
      <c r="D82" s="47" t="str">
        <f ca="1"/>
        <v/>
      </c>
      <c r="E82" s="47" t="str">
        <f ca="1"/>
        <v/>
      </c>
      <c r="F82" s="47" t="str">
        <f ca="1"/>
        <v/>
      </c>
      <c r="G82" s="47" t="str">
        <f ca="1"/>
        <v/>
      </c>
      <c r="H82" s="47" t="str">
        <f ca="1"/>
        <v/>
      </c>
      <c r="I82" s="47" t="str">
        <f ca="1"/>
        <v/>
      </c>
      <c r="J82" s="47" t="str">
        <f ca="1"/>
        <v/>
      </c>
      <c r="K82" s="47" t="str">
        <f ca="1"/>
        <v/>
      </c>
      <c r="L82" s="47" t="str">
        <f ca="1"/>
        <v/>
      </c>
      <c r="M82" s="47" t="str">
        <f ca="1"/>
        <v/>
      </c>
      <c r="N82" s="47" t="str">
        <f ca="1"/>
        <v/>
      </c>
      <c r="O82" s="47" t="str">
        <f ca="1"/>
        <v/>
      </c>
      <c r="P82" s="47" t="str">
        <f ca="1"/>
        <v/>
      </c>
      <c r="Q82" s="49" t="str">
        <f ca="1"/>
        <v/>
      </c>
      <c r="R82" s="49" t="str">
        <f ca="1"/>
        <v/>
      </c>
      <c r="S82" s="49" t="str">
        <f ca="1"/>
        <v/>
      </c>
      <c r="T82" s="49" t="str">
        <f ca="1"/>
        <v/>
      </c>
      <c r="U82" s="49" t="str">
        <f ca="1"/>
        <v/>
      </c>
      <c r="V82" s="49" t="str">
        <f ca="1"/>
        <v/>
      </c>
      <c r="W82" s="49" t="str">
        <f ca="1"/>
        <v/>
      </c>
      <c r="X82" s="48" t="str">
        <f ca="1"/>
        <v/>
      </c>
      <c r="Y82" s="48" t="str">
        <f ca="1"/>
        <v/>
      </c>
      <c r="Z82" s="48" t="str">
        <f ca="1"/>
        <v/>
      </c>
      <c r="AA82" s="50" t="str">
        <f ca="1"/>
        <v/>
      </c>
      <c r="AB82" s="14"/>
    </row>
    <row r="83" spans="1:28" s="10" customFormat="1" ht="15" hidden="1" customHeight="1" x14ac:dyDescent="0.45">
      <c r="A83" s="1783"/>
      <c r="B83" s="1777" t="s">
        <v>333</v>
      </c>
      <c r="C83" s="1265" t="s">
        <v>326</v>
      </c>
      <c r="D83" s="44" t="str">
        <f ca="1"/>
        <v/>
      </c>
      <c r="E83" s="44" t="str">
        <f ca="1"/>
        <v/>
      </c>
      <c r="F83" s="44" t="str">
        <f ca="1"/>
        <v/>
      </c>
      <c r="G83" s="44" t="str">
        <f ca="1"/>
        <v/>
      </c>
      <c r="H83" s="44" t="str">
        <f ca="1"/>
        <v/>
      </c>
      <c r="I83" s="44" t="str">
        <f ca="1"/>
        <v/>
      </c>
      <c r="J83" s="44" t="str">
        <f ca="1"/>
        <v/>
      </c>
      <c r="K83" s="44" t="str">
        <f ca="1"/>
        <v/>
      </c>
      <c r="L83" s="44" t="str">
        <f ca="1"/>
        <v/>
      </c>
      <c r="M83" s="45" t="str">
        <f ca="1"/>
        <v/>
      </c>
      <c r="N83" s="45" t="str">
        <f ca="1"/>
        <v/>
      </c>
      <c r="O83" s="45" t="str">
        <f ca="1"/>
        <v/>
      </c>
      <c r="P83" s="45" t="str">
        <f ca="1"/>
        <v/>
      </c>
      <c r="Q83" s="55" t="str">
        <f ca="1"/>
        <v/>
      </c>
      <c r="R83" s="45" t="str">
        <f ca="1"/>
        <v/>
      </c>
      <c r="S83" s="45" t="str">
        <f ca="1"/>
        <v/>
      </c>
      <c r="T83" s="45" t="str">
        <f ca="1"/>
        <v/>
      </c>
      <c r="U83" s="45" t="str">
        <f ca="1"/>
        <v/>
      </c>
      <c r="V83" s="45" t="str">
        <f ca="1"/>
        <v/>
      </c>
      <c r="W83" s="45" t="str">
        <f ca="1"/>
        <v/>
      </c>
      <c r="X83" s="45" t="str">
        <f ca="1"/>
        <v/>
      </c>
      <c r="Y83" s="45" t="str">
        <f ca="1"/>
        <v/>
      </c>
      <c r="Z83" s="45" t="str">
        <f ca="1"/>
        <v/>
      </c>
      <c r="AA83" s="46" t="str">
        <f ca="1"/>
        <v/>
      </c>
      <c r="AB83" s="14"/>
    </row>
    <row r="84" spans="1:28" s="10" customFormat="1" ht="15" hidden="1" customHeight="1" x14ac:dyDescent="0.45">
      <c r="A84" s="1784"/>
      <c r="B84" s="1778"/>
      <c r="C84" s="1267" t="s">
        <v>327</v>
      </c>
      <c r="D84" s="56" t="str">
        <f ca="1"/>
        <v/>
      </c>
      <c r="E84" s="56" t="str">
        <f ca="1"/>
        <v/>
      </c>
      <c r="F84" s="56" t="str">
        <f ca="1"/>
        <v/>
      </c>
      <c r="G84" s="56" t="str">
        <f ca="1"/>
        <v/>
      </c>
      <c r="H84" s="56" t="str">
        <f ca="1"/>
        <v/>
      </c>
      <c r="I84" s="56" t="str">
        <f ca="1"/>
        <v/>
      </c>
      <c r="J84" s="56" t="str">
        <f ca="1"/>
        <v/>
      </c>
      <c r="K84" s="56" t="str">
        <f ca="1"/>
        <v/>
      </c>
      <c r="L84" s="56" t="str">
        <f ca="1"/>
        <v/>
      </c>
      <c r="M84" s="57" t="str">
        <f ca="1"/>
        <v/>
      </c>
      <c r="N84" s="57" t="str">
        <f ca="1"/>
        <v/>
      </c>
      <c r="O84" s="57" t="str">
        <f ca="1"/>
        <v/>
      </c>
      <c r="P84" s="57" t="str">
        <f ca="1"/>
        <v/>
      </c>
      <c r="Q84" s="58" t="str">
        <f ca="1"/>
        <v/>
      </c>
      <c r="R84" s="57" t="str">
        <f ca="1"/>
        <v/>
      </c>
      <c r="S84" s="57" t="str">
        <f ca="1"/>
        <v/>
      </c>
      <c r="T84" s="57" t="str">
        <f ca="1"/>
        <v/>
      </c>
      <c r="U84" s="57" t="str">
        <f ca="1"/>
        <v/>
      </c>
      <c r="V84" s="57" t="str">
        <f ca="1"/>
        <v/>
      </c>
      <c r="W84" s="57" t="str">
        <f ca="1"/>
        <v/>
      </c>
      <c r="X84" s="57" t="str">
        <f ca="1"/>
        <v/>
      </c>
      <c r="Y84" s="57" t="str">
        <f ca="1"/>
        <v/>
      </c>
      <c r="Z84" s="57" t="str">
        <f ca="1"/>
        <v/>
      </c>
      <c r="AA84" s="59" t="str">
        <f ca="1"/>
        <v/>
      </c>
      <c r="AB84" s="14"/>
    </row>
    <row r="85" spans="1:28" s="10" customFormat="1" ht="15" hidden="1" customHeight="1" x14ac:dyDescent="0.45">
      <c r="A85" s="1782" t="s">
        <v>334</v>
      </c>
      <c r="B85" s="1773" t="s">
        <v>325</v>
      </c>
      <c r="C85" s="1235" t="s">
        <v>326</v>
      </c>
      <c r="D85" s="51">
        <f t="array" ref="D85:AA98" ca="1">IFERROR(IF(display_week="",0,
IF(INDEX(sessions_duration_custom_primary,,plan_session_allocation)="",
IF(INDEX(sessions_intervals_code_primary,,plan_session_allocation)="",
IF(INDEX(sessions_duration_primary,,plan_session_allocation)="duration_filler1","filler1",
IF(INDEX(sessions_duration_primary,,plan_session_allocation)="duration_filler2","filler2",
IFERROR(INDEX(INDIRECT(INDEX(sessions_duration_primary,,plan_session_allocation)),,display_week),"no session"))),
IFERROR(VLOOKUP(INDIRECT(INDEX(sessions_duration_primary,,plan_session_allocation)), INDIRECT(INDEX(sessions_intervals_code_primary,,plan_session_allocation)),4,TRUE),"no intervals")),
INDEX(sessions_duration_custom_primary,,plan_session_allocation))),"")</f>
        <v>40</v>
      </c>
      <c r="E85" s="51">
        <f ca="1"/>
        <v>40</v>
      </c>
      <c r="F85" s="51">
        <f ca="1"/>
        <v>40</v>
      </c>
      <c r="G85" s="51">
        <f ca="1"/>
        <v>40</v>
      </c>
      <c r="H85" s="51">
        <f ca="1"/>
        <v>40</v>
      </c>
      <c r="I85" s="51">
        <f ca="1"/>
        <v>40</v>
      </c>
      <c r="J85" s="51">
        <f ca="1"/>
        <v>40</v>
      </c>
      <c r="K85" s="51">
        <f ca="1"/>
        <v>40</v>
      </c>
      <c r="L85" s="51">
        <f ca="1"/>
        <v>40</v>
      </c>
      <c r="M85" s="52">
        <f ca="1"/>
        <v>0</v>
      </c>
      <c r="N85" s="52">
        <f ca="1"/>
        <v>0</v>
      </c>
      <c r="O85" s="52">
        <f ca="1"/>
        <v>40</v>
      </c>
      <c r="P85" s="52">
        <f ca="1"/>
        <v>40</v>
      </c>
      <c r="Q85" s="53">
        <f ca="1"/>
        <v>40</v>
      </c>
      <c r="R85" s="52">
        <f ca="1"/>
        <v>30</v>
      </c>
      <c r="S85" s="52">
        <f ca="1"/>
        <v>30</v>
      </c>
      <c r="T85" s="52">
        <f ca="1"/>
        <v>30</v>
      </c>
      <c r="U85" s="52">
        <f ca="1"/>
        <v>30</v>
      </c>
      <c r="V85" s="52">
        <f ca="1"/>
        <v>0</v>
      </c>
      <c r="W85" s="52">
        <f ca="1"/>
        <v>0</v>
      </c>
      <c r="X85" s="52">
        <f ca="1"/>
        <v>0</v>
      </c>
      <c r="Y85" s="52">
        <f ca="1"/>
        <v>0</v>
      </c>
      <c r="Z85" s="52">
        <f ca="1"/>
        <v>0</v>
      </c>
      <c r="AA85" s="54">
        <f ca="1"/>
        <v>0</v>
      </c>
      <c r="AB85" s="14"/>
    </row>
    <row r="86" spans="1:28" s="10" customFormat="1" ht="15" hidden="1" customHeight="1" x14ac:dyDescent="0.45">
      <c r="A86" s="1783"/>
      <c r="B86" s="1774"/>
      <c r="C86" s="1265" t="s">
        <v>327</v>
      </c>
      <c r="D86" s="44">
        <f ca="1"/>
        <v>30</v>
      </c>
      <c r="E86" s="44">
        <f ca="1"/>
        <v>30</v>
      </c>
      <c r="F86" s="44">
        <f ca="1"/>
        <v>30</v>
      </c>
      <c r="G86" s="44">
        <f ca="1"/>
        <v>30</v>
      </c>
      <c r="H86" s="44">
        <f ca="1"/>
        <v>30</v>
      </c>
      <c r="I86" s="44">
        <f ca="1"/>
        <v>30</v>
      </c>
      <c r="J86" s="44">
        <f ca="1"/>
        <v>30</v>
      </c>
      <c r="K86" s="44">
        <f ca="1"/>
        <v>30</v>
      </c>
      <c r="L86" s="44">
        <f ca="1"/>
        <v>30</v>
      </c>
      <c r="M86" s="44">
        <f ca="1"/>
        <v>0</v>
      </c>
      <c r="N86" s="44">
        <f ca="1"/>
        <v>85</v>
      </c>
      <c r="O86" s="44">
        <f ca="1"/>
        <v>30</v>
      </c>
      <c r="P86" s="44">
        <f ca="1"/>
        <v>30</v>
      </c>
      <c r="Q86" s="44">
        <f ca="1"/>
        <v>30</v>
      </c>
      <c r="R86" s="44">
        <f ca="1"/>
        <v>30</v>
      </c>
      <c r="S86" s="44">
        <f ca="1"/>
        <v>30</v>
      </c>
      <c r="T86" s="44">
        <f ca="1"/>
        <v>30</v>
      </c>
      <c r="U86" s="44">
        <f ca="1"/>
        <v>30</v>
      </c>
      <c r="V86" s="44">
        <f ca="1"/>
        <v>0</v>
      </c>
      <c r="W86" s="44">
        <f ca="1"/>
        <v>0</v>
      </c>
      <c r="X86" s="45">
        <f ca="1"/>
        <v>0</v>
      </c>
      <c r="Y86" s="45">
        <f ca="1"/>
        <v>0</v>
      </c>
      <c r="Z86" s="45">
        <f ca="1"/>
        <v>0</v>
      </c>
      <c r="AA86" s="46">
        <f ca="1"/>
        <v>0</v>
      </c>
      <c r="AB86" s="14"/>
    </row>
    <row r="87" spans="1:28" s="10" customFormat="1" ht="15" hidden="1" customHeight="1" x14ac:dyDescent="0.45">
      <c r="A87" s="1783"/>
      <c r="B87" s="1775" t="s">
        <v>328</v>
      </c>
      <c r="C87" s="1266" t="s">
        <v>326</v>
      </c>
      <c r="D87" s="47">
        <f ca="1"/>
        <v>40</v>
      </c>
      <c r="E87" s="47">
        <f ca="1"/>
        <v>40</v>
      </c>
      <c r="F87" s="47">
        <f ca="1"/>
        <v>40</v>
      </c>
      <c r="G87" s="47">
        <f ca="1"/>
        <v>40</v>
      </c>
      <c r="H87" s="47">
        <f ca="1"/>
        <v>40</v>
      </c>
      <c r="I87" s="47">
        <f ca="1"/>
        <v>40</v>
      </c>
      <c r="J87" s="47">
        <f ca="1"/>
        <v>40</v>
      </c>
      <c r="K87" s="47">
        <f ca="1"/>
        <v>0</v>
      </c>
      <c r="L87" s="47">
        <f ca="1"/>
        <v>0</v>
      </c>
      <c r="M87" s="47">
        <f ca="1"/>
        <v>0</v>
      </c>
      <c r="N87" s="47">
        <f ca="1"/>
        <v>0</v>
      </c>
      <c r="O87" s="47">
        <f ca="1"/>
        <v>40</v>
      </c>
      <c r="P87" s="48">
        <f ca="1"/>
        <v>40</v>
      </c>
      <c r="Q87" s="49">
        <f ca="1"/>
        <v>40</v>
      </c>
      <c r="R87" s="48">
        <f ca="1"/>
        <v>0</v>
      </c>
      <c r="S87" s="48">
        <f ca="1"/>
        <v>0</v>
      </c>
      <c r="T87" s="48">
        <f ca="1"/>
        <v>0</v>
      </c>
      <c r="U87" s="48">
        <f ca="1"/>
        <v>0</v>
      </c>
      <c r="V87" s="48">
        <f ca="1"/>
        <v>0</v>
      </c>
      <c r="W87" s="48">
        <f ca="1"/>
        <v>0</v>
      </c>
      <c r="X87" s="48">
        <f ca="1"/>
        <v>0</v>
      </c>
      <c r="Y87" s="48">
        <f ca="1"/>
        <v>0</v>
      </c>
      <c r="Z87" s="48">
        <f ca="1"/>
        <v>0</v>
      </c>
      <c r="AA87" s="50">
        <f ca="1"/>
        <v>0</v>
      </c>
      <c r="AB87" s="14"/>
    </row>
    <row r="88" spans="1:28" s="10" customFormat="1" ht="15" hidden="1" customHeight="1" x14ac:dyDescent="0.45">
      <c r="A88" s="1783"/>
      <c r="B88" s="1776"/>
      <c r="C88" s="1266" t="s">
        <v>327</v>
      </c>
      <c r="D88" s="47">
        <f ca="1"/>
        <v>25</v>
      </c>
      <c r="E88" s="47">
        <f ca="1"/>
        <v>25</v>
      </c>
      <c r="F88" s="47">
        <f ca="1"/>
        <v>25</v>
      </c>
      <c r="G88" s="47">
        <f ca="1"/>
        <v>25</v>
      </c>
      <c r="H88" s="47">
        <f ca="1"/>
        <v>25</v>
      </c>
      <c r="I88" s="47">
        <f ca="1"/>
        <v>25</v>
      </c>
      <c r="J88" s="47">
        <f ca="1"/>
        <v>25</v>
      </c>
      <c r="K88" s="47">
        <f ca="1"/>
        <v>25</v>
      </c>
      <c r="L88" s="47">
        <f ca="1"/>
        <v>25</v>
      </c>
      <c r="M88" s="47">
        <f ca="1"/>
        <v>0</v>
      </c>
      <c r="N88" s="47">
        <f ca="1"/>
        <v>145</v>
      </c>
      <c r="O88" s="47">
        <f ca="1"/>
        <v>25</v>
      </c>
      <c r="P88" s="47">
        <f ca="1"/>
        <v>25</v>
      </c>
      <c r="Q88" s="49">
        <f ca="1"/>
        <v>25</v>
      </c>
      <c r="R88" s="49">
        <f ca="1"/>
        <v>25</v>
      </c>
      <c r="S88" s="49">
        <f ca="1"/>
        <v>25</v>
      </c>
      <c r="T88" s="49" t="str">
        <f ca="1"/>
        <v>filler1</v>
      </c>
      <c r="U88" s="49">
        <f ca="1"/>
        <v>25</v>
      </c>
      <c r="V88" s="49">
        <f ca="1"/>
        <v>15.5</v>
      </c>
      <c r="W88" s="49">
        <f ca="1"/>
        <v>0</v>
      </c>
      <c r="X88" s="48">
        <f ca="1"/>
        <v>0</v>
      </c>
      <c r="Y88" s="48">
        <f ca="1"/>
        <v>0</v>
      </c>
      <c r="Z88" s="48">
        <f ca="1"/>
        <v>0</v>
      </c>
      <c r="AA88" s="50">
        <f ca="1"/>
        <v>0</v>
      </c>
      <c r="AB88" s="14"/>
    </row>
    <row r="89" spans="1:28" s="10" customFormat="1" ht="15" hidden="1" customHeight="1" x14ac:dyDescent="0.45">
      <c r="A89" s="1783"/>
      <c r="B89" s="1777" t="s">
        <v>329</v>
      </c>
      <c r="C89" s="1235" t="s">
        <v>326</v>
      </c>
      <c r="D89" s="51">
        <f ca="1"/>
        <v>0</v>
      </c>
      <c r="E89" s="51">
        <f ca="1"/>
        <v>0</v>
      </c>
      <c r="F89" s="51">
        <f ca="1"/>
        <v>0</v>
      </c>
      <c r="G89" s="51">
        <f ca="1"/>
        <v>0</v>
      </c>
      <c r="H89" s="51">
        <f ca="1"/>
        <v>0</v>
      </c>
      <c r="I89" s="51">
        <f ca="1"/>
        <v>0</v>
      </c>
      <c r="J89" s="51">
        <f ca="1"/>
        <v>0</v>
      </c>
      <c r="K89" s="51">
        <f ca="1"/>
        <v>0</v>
      </c>
      <c r="L89" s="51">
        <f ca="1"/>
        <v>0</v>
      </c>
      <c r="M89" s="52">
        <f ca="1"/>
        <v>0</v>
      </c>
      <c r="N89" s="52">
        <f ca="1"/>
        <v>0</v>
      </c>
      <c r="O89" s="52">
        <f ca="1"/>
        <v>0</v>
      </c>
      <c r="P89" s="52">
        <f ca="1"/>
        <v>0</v>
      </c>
      <c r="Q89" s="53">
        <f ca="1"/>
        <v>0</v>
      </c>
      <c r="R89" s="52">
        <f ca="1"/>
        <v>0</v>
      </c>
      <c r="S89" s="52">
        <f ca="1"/>
        <v>0</v>
      </c>
      <c r="T89" s="52">
        <f ca="1"/>
        <v>0</v>
      </c>
      <c r="U89" s="52">
        <f ca="1"/>
        <v>0</v>
      </c>
      <c r="V89" s="52">
        <f ca="1"/>
        <v>0</v>
      </c>
      <c r="W89" s="52">
        <f ca="1"/>
        <v>0</v>
      </c>
      <c r="X89" s="52">
        <f ca="1"/>
        <v>0</v>
      </c>
      <c r="Y89" s="52">
        <f ca="1"/>
        <v>0</v>
      </c>
      <c r="Z89" s="52">
        <f ca="1"/>
        <v>0</v>
      </c>
      <c r="AA89" s="54">
        <f ca="1"/>
        <v>0</v>
      </c>
      <c r="AB89" s="14"/>
    </row>
    <row r="90" spans="1:28" s="10" customFormat="1" ht="15" hidden="1" customHeight="1" x14ac:dyDescent="0.45">
      <c r="A90" s="1783"/>
      <c r="B90" s="1774"/>
      <c r="C90" s="1265" t="s">
        <v>327</v>
      </c>
      <c r="D90" s="44" t="str">
        <f ca="1"/>
        <v>filler1</v>
      </c>
      <c r="E90" s="44" t="str">
        <f ca="1"/>
        <v>filler1</v>
      </c>
      <c r="F90" s="44" t="str">
        <f ca="1"/>
        <v>filler1</v>
      </c>
      <c r="G90" s="44" t="str">
        <f ca="1"/>
        <v>filler1</v>
      </c>
      <c r="H90" s="44" t="str">
        <f ca="1"/>
        <v>filler1</v>
      </c>
      <c r="I90" s="44" t="str">
        <f ca="1"/>
        <v>filler1</v>
      </c>
      <c r="J90" s="44" t="str">
        <f ca="1"/>
        <v>filler1</v>
      </c>
      <c r="K90" s="44" t="str">
        <f ca="1"/>
        <v>filler1</v>
      </c>
      <c r="L90" s="44">
        <f ca="1"/>
        <v>45</v>
      </c>
      <c r="M90" s="44">
        <f ca="1"/>
        <v>0</v>
      </c>
      <c r="N90" s="44">
        <f ca="1"/>
        <v>145</v>
      </c>
      <c r="O90" s="44" t="str">
        <f ca="1"/>
        <v>filler1</v>
      </c>
      <c r="P90" s="44" t="str">
        <f ca="1"/>
        <v>filler1</v>
      </c>
      <c r="Q90" s="44" t="str">
        <f ca="1"/>
        <v>filler1</v>
      </c>
      <c r="R90" s="44" t="str">
        <f ca="1"/>
        <v>filler1</v>
      </c>
      <c r="S90" s="44" t="str">
        <f ca="1"/>
        <v>filler1</v>
      </c>
      <c r="T90" s="44" t="str">
        <f ca="1"/>
        <v>filler1</v>
      </c>
      <c r="U90" s="44" t="str">
        <f ca="1"/>
        <v>filler1</v>
      </c>
      <c r="V90" s="44">
        <f ca="1"/>
        <v>40</v>
      </c>
      <c r="W90" s="44">
        <f ca="1"/>
        <v>0</v>
      </c>
      <c r="X90" s="45">
        <f ca="1"/>
        <v>0</v>
      </c>
      <c r="Y90" s="45">
        <f ca="1"/>
        <v>0</v>
      </c>
      <c r="Z90" s="45">
        <f ca="1"/>
        <v>0</v>
      </c>
      <c r="AA90" s="46">
        <f ca="1"/>
        <v>0</v>
      </c>
      <c r="AB90" s="14"/>
    </row>
    <row r="91" spans="1:28" s="10" customFormat="1" ht="15" hidden="1" customHeight="1" x14ac:dyDescent="0.45">
      <c r="A91" s="1783"/>
      <c r="B91" s="1775" t="s">
        <v>330</v>
      </c>
      <c r="C91" s="1266" t="s">
        <v>326</v>
      </c>
      <c r="D91" s="47">
        <f ca="1"/>
        <v>40</v>
      </c>
      <c r="E91" s="47">
        <f ca="1"/>
        <v>40</v>
      </c>
      <c r="F91" s="47">
        <f ca="1"/>
        <v>40</v>
      </c>
      <c r="G91" s="47">
        <f ca="1"/>
        <v>40</v>
      </c>
      <c r="H91" s="47">
        <f ca="1"/>
        <v>40</v>
      </c>
      <c r="I91" s="47">
        <f ca="1"/>
        <v>40</v>
      </c>
      <c r="J91" s="47">
        <f ca="1"/>
        <v>0</v>
      </c>
      <c r="K91" s="47">
        <f ca="1"/>
        <v>0</v>
      </c>
      <c r="L91" s="47">
        <f ca="1"/>
        <v>0</v>
      </c>
      <c r="M91" s="47">
        <f ca="1"/>
        <v>0</v>
      </c>
      <c r="N91" s="47">
        <f ca="1"/>
        <v>0</v>
      </c>
      <c r="O91" s="47">
        <f ca="1"/>
        <v>40</v>
      </c>
      <c r="P91" s="48">
        <f ca="1"/>
        <v>40</v>
      </c>
      <c r="Q91" s="49">
        <f ca="1"/>
        <v>40</v>
      </c>
      <c r="R91" s="48">
        <f ca="1"/>
        <v>0</v>
      </c>
      <c r="S91" s="48">
        <f ca="1"/>
        <v>0</v>
      </c>
      <c r="T91" s="48">
        <f ca="1"/>
        <v>0</v>
      </c>
      <c r="U91" s="48">
        <f ca="1"/>
        <v>0</v>
      </c>
      <c r="V91" s="48">
        <f ca="1"/>
        <v>20</v>
      </c>
      <c r="W91" s="48">
        <f ca="1"/>
        <v>0</v>
      </c>
      <c r="X91" s="48">
        <f ca="1"/>
        <v>0</v>
      </c>
      <c r="Y91" s="48">
        <f ca="1"/>
        <v>0</v>
      </c>
      <c r="Z91" s="48">
        <f ca="1"/>
        <v>0</v>
      </c>
      <c r="AA91" s="50">
        <f ca="1"/>
        <v>0</v>
      </c>
      <c r="AB91" s="14"/>
    </row>
    <row r="92" spans="1:28" s="10" customFormat="1" ht="15" hidden="1" customHeight="1" x14ac:dyDescent="0.45">
      <c r="A92" s="1783"/>
      <c r="B92" s="1776"/>
      <c r="C92" s="1266" t="s">
        <v>327</v>
      </c>
      <c r="D92" s="47">
        <f ca="1"/>
        <v>80</v>
      </c>
      <c r="E92" s="47">
        <f ca="1"/>
        <v>85</v>
      </c>
      <c r="F92" s="47">
        <f ca="1"/>
        <v>90</v>
      </c>
      <c r="G92" s="47">
        <f ca="1"/>
        <v>90</v>
      </c>
      <c r="H92" s="47">
        <f ca="1"/>
        <v>95</v>
      </c>
      <c r="I92" s="47">
        <f ca="1"/>
        <v>100</v>
      </c>
      <c r="J92" s="47">
        <f ca="1"/>
        <v>80</v>
      </c>
      <c r="K92" s="47">
        <f ca="1"/>
        <v>65</v>
      </c>
      <c r="L92" s="47">
        <f ca="1"/>
        <v>0</v>
      </c>
      <c r="M92" s="47">
        <f ca="1"/>
        <v>0</v>
      </c>
      <c r="N92" s="47">
        <f ca="1"/>
        <v>85</v>
      </c>
      <c r="O92" s="49">
        <f ca="1"/>
        <v>9.3000000000000007</v>
      </c>
      <c r="P92" s="47">
        <f ca="1"/>
        <v>12.4</v>
      </c>
      <c r="Q92" s="49">
        <f ca="1"/>
        <v>18.600000000000001</v>
      </c>
      <c r="R92" s="49">
        <f ca="1"/>
        <v>12.4</v>
      </c>
      <c r="S92" s="49">
        <f ca="1"/>
        <v>12.4</v>
      </c>
      <c r="T92" s="49">
        <f ca="1"/>
        <v>0</v>
      </c>
      <c r="U92" s="49">
        <f ca="1"/>
        <v>15.5</v>
      </c>
      <c r="V92" s="49">
        <f ca="1"/>
        <v>0</v>
      </c>
      <c r="W92" s="49">
        <f ca="1"/>
        <v>0</v>
      </c>
      <c r="X92" s="48">
        <f ca="1"/>
        <v>0</v>
      </c>
      <c r="Y92" s="48">
        <f ca="1"/>
        <v>0</v>
      </c>
      <c r="Z92" s="48">
        <f ca="1"/>
        <v>0</v>
      </c>
      <c r="AA92" s="50">
        <f ca="1"/>
        <v>0</v>
      </c>
      <c r="AB92" s="14"/>
    </row>
    <row r="93" spans="1:28" s="10" customFormat="1" ht="15" hidden="1" customHeight="1" x14ac:dyDescent="0.45">
      <c r="A93" s="1783"/>
      <c r="B93" s="1777" t="s">
        <v>331</v>
      </c>
      <c r="C93" s="1235" t="s">
        <v>326</v>
      </c>
      <c r="D93" s="51">
        <f ca="1"/>
        <v>40</v>
      </c>
      <c r="E93" s="51">
        <f ca="1"/>
        <v>40</v>
      </c>
      <c r="F93" s="51">
        <f ca="1"/>
        <v>40</v>
      </c>
      <c r="G93" s="51">
        <f ca="1"/>
        <v>40</v>
      </c>
      <c r="H93" s="51">
        <f ca="1"/>
        <v>40</v>
      </c>
      <c r="I93" s="51">
        <f ca="1"/>
        <v>40</v>
      </c>
      <c r="J93" s="51">
        <f ca="1"/>
        <v>40</v>
      </c>
      <c r="K93" s="51">
        <f ca="1"/>
        <v>40</v>
      </c>
      <c r="L93" s="51">
        <f ca="1"/>
        <v>20</v>
      </c>
      <c r="M93" s="52">
        <f ca="1"/>
        <v>0</v>
      </c>
      <c r="N93" s="52">
        <f ca="1"/>
        <v>0</v>
      </c>
      <c r="O93" s="52">
        <f ca="1"/>
        <v>40</v>
      </c>
      <c r="P93" s="52">
        <f ca="1"/>
        <v>40</v>
      </c>
      <c r="Q93" s="53">
        <f ca="1"/>
        <v>40</v>
      </c>
      <c r="R93" s="52">
        <f ca="1"/>
        <v>30</v>
      </c>
      <c r="S93" s="52">
        <f ca="1"/>
        <v>30</v>
      </c>
      <c r="T93" s="52">
        <f ca="1"/>
        <v>0</v>
      </c>
      <c r="U93" s="52">
        <f ca="1"/>
        <v>30</v>
      </c>
      <c r="V93" s="52">
        <f ca="1"/>
        <v>30</v>
      </c>
      <c r="W93" s="52">
        <f ca="1"/>
        <v>0</v>
      </c>
      <c r="X93" s="52">
        <f ca="1"/>
        <v>0</v>
      </c>
      <c r="Y93" s="52">
        <f ca="1"/>
        <v>0</v>
      </c>
      <c r="Z93" s="52">
        <f ca="1"/>
        <v>0</v>
      </c>
      <c r="AA93" s="54">
        <f ca="1"/>
        <v>0</v>
      </c>
      <c r="AB93" s="14"/>
    </row>
    <row r="94" spans="1:28" s="10" customFormat="1" ht="15" hidden="1" customHeight="1" x14ac:dyDescent="0.45">
      <c r="A94" s="1783"/>
      <c r="B94" s="1774"/>
      <c r="C94" s="1265" t="s">
        <v>327</v>
      </c>
      <c r="D94" s="44">
        <f ca="1"/>
        <v>30</v>
      </c>
      <c r="E94" s="44">
        <f ca="1"/>
        <v>30</v>
      </c>
      <c r="F94" s="44">
        <f ca="1"/>
        <v>30</v>
      </c>
      <c r="G94" s="44">
        <f ca="1"/>
        <v>30</v>
      </c>
      <c r="H94" s="44">
        <f ca="1"/>
        <v>30</v>
      </c>
      <c r="I94" s="44">
        <f ca="1"/>
        <v>30</v>
      </c>
      <c r="J94" s="44">
        <f ca="1"/>
        <v>30</v>
      </c>
      <c r="K94" s="44">
        <f ca="1"/>
        <v>30</v>
      </c>
      <c r="L94" s="44">
        <f ca="1"/>
        <v>0</v>
      </c>
      <c r="M94" s="44">
        <f ca="1"/>
        <v>0</v>
      </c>
      <c r="N94" s="44">
        <f ca="1"/>
        <v>85</v>
      </c>
      <c r="O94" s="44">
        <f ca="1"/>
        <v>30</v>
      </c>
      <c r="P94" s="44">
        <f ca="1"/>
        <v>30</v>
      </c>
      <c r="Q94" s="44">
        <f ca="1"/>
        <v>30</v>
      </c>
      <c r="R94" s="44">
        <f ca="1"/>
        <v>30</v>
      </c>
      <c r="S94" s="44">
        <f ca="1"/>
        <v>30</v>
      </c>
      <c r="T94" s="44">
        <f ca="1"/>
        <v>15</v>
      </c>
      <c r="U94" s="44">
        <f ca="1"/>
        <v>30</v>
      </c>
      <c r="V94" s="44">
        <f ca="1"/>
        <v>0</v>
      </c>
      <c r="W94" s="44">
        <f ca="1"/>
        <v>0</v>
      </c>
      <c r="X94" s="45">
        <f ca="1"/>
        <v>0</v>
      </c>
      <c r="Y94" s="45">
        <f ca="1"/>
        <v>0</v>
      </c>
      <c r="Z94" s="45">
        <f ca="1"/>
        <v>0</v>
      </c>
      <c r="AA94" s="46">
        <f ca="1"/>
        <v>0</v>
      </c>
      <c r="AB94" s="14"/>
    </row>
    <row r="95" spans="1:28" s="10" customFormat="1" ht="15" hidden="1" customHeight="1" x14ac:dyDescent="0.45">
      <c r="A95" s="1783"/>
      <c r="B95" s="1775" t="s">
        <v>332</v>
      </c>
      <c r="C95" s="1266" t="s">
        <v>326</v>
      </c>
      <c r="D95" s="47">
        <f ca="1"/>
        <v>30</v>
      </c>
      <c r="E95" s="47">
        <f ca="1"/>
        <v>30</v>
      </c>
      <c r="F95" s="47">
        <f ca="1"/>
        <v>30</v>
      </c>
      <c r="G95" s="47">
        <f ca="1"/>
        <v>30</v>
      </c>
      <c r="H95" s="47">
        <f ca="1"/>
        <v>30</v>
      </c>
      <c r="I95" s="47">
        <f ca="1"/>
        <v>240</v>
      </c>
      <c r="J95" s="47">
        <f ca="1"/>
        <v>30</v>
      </c>
      <c r="K95" s="47">
        <f ca="1"/>
        <v>30</v>
      </c>
      <c r="L95" s="47">
        <f ca="1"/>
        <v>300</v>
      </c>
      <c r="M95" s="47">
        <f ca="1"/>
        <v>0</v>
      </c>
      <c r="N95" s="47">
        <f ca="1"/>
        <v>145</v>
      </c>
      <c r="O95" s="47">
        <f ca="1"/>
        <v>70</v>
      </c>
      <c r="P95" s="48">
        <f ca="1"/>
        <v>75</v>
      </c>
      <c r="Q95" s="49">
        <f ca="1"/>
        <v>95</v>
      </c>
      <c r="R95" s="48">
        <f ca="1"/>
        <v>50</v>
      </c>
      <c r="S95" s="48">
        <f ca="1"/>
        <v>50</v>
      </c>
      <c r="T95" s="48">
        <f ca="1"/>
        <v>90</v>
      </c>
      <c r="U95" s="48">
        <f ca="1"/>
        <v>65</v>
      </c>
      <c r="V95" s="48">
        <f ca="1"/>
        <v>180</v>
      </c>
      <c r="W95" s="48">
        <f ca="1"/>
        <v>0</v>
      </c>
      <c r="X95" s="48">
        <f ca="1"/>
        <v>0</v>
      </c>
      <c r="Y95" s="48">
        <f ca="1"/>
        <v>0</v>
      </c>
      <c r="Z95" s="48">
        <f ca="1"/>
        <v>0</v>
      </c>
      <c r="AA95" s="50">
        <f ca="1"/>
        <v>0</v>
      </c>
      <c r="AB95" s="14"/>
    </row>
    <row r="96" spans="1:28" s="10" customFormat="1" ht="15" hidden="1" customHeight="1" x14ac:dyDescent="0.45">
      <c r="A96" s="1783"/>
      <c r="B96" s="1776"/>
      <c r="C96" s="1266" t="s">
        <v>327</v>
      </c>
      <c r="D96" s="47">
        <f ca="1"/>
        <v>55</v>
      </c>
      <c r="E96" s="47">
        <f ca="1"/>
        <v>55</v>
      </c>
      <c r="F96" s="47">
        <f ca="1"/>
        <v>60</v>
      </c>
      <c r="G96" s="47">
        <f ca="1"/>
        <v>60</v>
      </c>
      <c r="H96" s="47">
        <f ca="1"/>
        <v>65</v>
      </c>
      <c r="I96" s="47">
        <f ca="1"/>
        <v>0</v>
      </c>
      <c r="J96" s="47">
        <f ca="1"/>
        <v>50</v>
      </c>
      <c r="K96" s="47">
        <f ca="1"/>
        <v>45</v>
      </c>
      <c r="L96" s="47">
        <f ca="1"/>
        <v>0</v>
      </c>
      <c r="M96" s="47">
        <f ca="1"/>
        <v>0</v>
      </c>
      <c r="N96" s="47">
        <f ca="1"/>
        <v>0</v>
      </c>
      <c r="O96" s="47" t="str">
        <f ca="1"/>
        <v>filler1</v>
      </c>
      <c r="P96" s="47" t="str">
        <f ca="1"/>
        <v>filler1</v>
      </c>
      <c r="Q96" s="49" t="str">
        <f ca="1"/>
        <v>filler1</v>
      </c>
      <c r="R96" s="49">
        <f ca="1"/>
        <v>0</v>
      </c>
      <c r="S96" s="49">
        <f ca="1"/>
        <v>0</v>
      </c>
      <c r="T96" s="49">
        <f ca="1"/>
        <v>0</v>
      </c>
      <c r="U96" s="49">
        <f ca="1"/>
        <v>0</v>
      </c>
      <c r="V96" s="49">
        <f ca="1"/>
        <v>0</v>
      </c>
      <c r="W96" s="49">
        <f ca="1"/>
        <v>0</v>
      </c>
      <c r="X96" s="48">
        <f ca="1"/>
        <v>0</v>
      </c>
      <c r="Y96" s="48">
        <f ca="1"/>
        <v>0</v>
      </c>
      <c r="Z96" s="48">
        <f ca="1"/>
        <v>0</v>
      </c>
      <c r="AA96" s="50">
        <f ca="1"/>
        <v>0</v>
      </c>
      <c r="AB96" s="14"/>
    </row>
    <row r="97" spans="1:28" s="10" customFormat="1" ht="15" hidden="1" customHeight="1" x14ac:dyDescent="0.45">
      <c r="A97" s="1783"/>
      <c r="B97" s="1777" t="s">
        <v>333</v>
      </c>
      <c r="C97" s="1265" t="s">
        <v>326</v>
      </c>
      <c r="D97" s="44">
        <f ca="1"/>
        <v>135</v>
      </c>
      <c r="E97" s="44">
        <f ca="1"/>
        <v>140</v>
      </c>
      <c r="F97" s="44">
        <f ca="1"/>
        <v>145</v>
      </c>
      <c r="G97" s="44">
        <f ca="1"/>
        <v>155</v>
      </c>
      <c r="H97" s="44">
        <f ca="1"/>
        <v>160</v>
      </c>
      <c r="I97" s="44">
        <f ca="1"/>
        <v>60</v>
      </c>
      <c r="J97" s="44">
        <f ca="1"/>
        <v>130</v>
      </c>
      <c r="K97" s="44">
        <f ca="1"/>
        <v>110</v>
      </c>
      <c r="L97" s="44">
        <f ca="1"/>
        <v>0</v>
      </c>
      <c r="M97" s="45">
        <f ca="1"/>
        <v>0</v>
      </c>
      <c r="N97" s="45">
        <f ca="1"/>
        <v>145</v>
      </c>
      <c r="O97" s="45">
        <f ca="1"/>
        <v>115</v>
      </c>
      <c r="P97" s="45">
        <f ca="1"/>
        <v>125</v>
      </c>
      <c r="Q97" s="55">
        <f ca="1"/>
        <v>160</v>
      </c>
      <c r="R97" s="45">
        <f ca="1"/>
        <v>80</v>
      </c>
      <c r="S97" s="45">
        <f ca="1"/>
        <v>80</v>
      </c>
      <c r="T97" s="45">
        <f ca="1"/>
        <v>30</v>
      </c>
      <c r="U97" s="45">
        <f ca="1"/>
        <v>105</v>
      </c>
      <c r="V97" s="45">
        <f ca="1"/>
        <v>0</v>
      </c>
      <c r="W97" s="45">
        <f ca="1"/>
        <v>0</v>
      </c>
      <c r="X97" s="45">
        <f ca="1"/>
        <v>0</v>
      </c>
      <c r="Y97" s="45">
        <f ca="1"/>
        <v>0</v>
      </c>
      <c r="Z97" s="45">
        <f ca="1"/>
        <v>0</v>
      </c>
      <c r="AA97" s="46">
        <f ca="1"/>
        <v>0</v>
      </c>
      <c r="AB97" s="14"/>
    </row>
    <row r="98" spans="1:28" s="10" customFormat="1" ht="15" hidden="1" customHeight="1" x14ac:dyDescent="0.45">
      <c r="A98" s="1784"/>
      <c r="B98" s="1778"/>
      <c r="C98" s="1267" t="s">
        <v>327</v>
      </c>
      <c r="D98" s="56">
        <f ca="1"/>
        <v>0</v>
      </c>
      <c r="E98" s="56">
        <f ca="1"/>
        <v>0</v>
      </c>
      <c r="F98" s="56">
        <f ca="1"/>
        <v>0</v>
      </c>
      <c r="G98" s="56">
        <f ca="1"/>
        <v>0</v>
      </c>
      <c r="H98" s="56">
        <f ca="1"/>
        <v>0</v>
      </c>
      <c r="I98" s="56">
        <f ca="1"/>
        <v>0</v>
      </c>
      <c r="J98" s="56">
        <f ca="1"/>
        <v>0</v>
      </c>
      <c r="K98" s="56">
        <f ca="1"/>
        <v>0</v>
      </c>
      <c r="L98" s="56">
        <f ca="1"/>
        <v>0</v>
      </c>
      <c r="M98" s="57">
        <f ca="1"/>
        <v>50</v>
      </c>
      <c r="N98" s="57">
        <f ca="1"/>
        <v>0</v>
      </c>
      <c r="O98" s="57">
        <f ca="1"/>
        <v>0</v>
      </c>
      <c r="P98" s="57">
        <f ca="1"/>
        <v>0</v>
      </c>
      <c r="Q98" s="58">
        <f ca="1"/>
        <v>0</v>
      </c>
      <c r="R98" s="57">
        <f ca="1"/>
        <v>0</v>
      </c>
      <c r="S98" s="57">
        <f ca="1"/>
        <v>0</v>
      </c>
      <c r="T98" s="57">
        <f ca="1"/>
        <v>0</v>
      </c>
      <c r="U98" s="57">
        <f ca="1"/>
        <v>0</v>
      </c>
      <c r="V98" s="57">
        <f ca="1"/>
        <v>0</v>
      </c>
      <c r="W98" s="57">
        <f ca="1"/>
        <v>0</v>
      </c>
      <c r="X98" s="57">
        <f ca="1"/>
        <v>0</v>
      </c>
      <c r="Y98" s="57">
        <f ca="1"/>
        <v>0</v>
      </c>
      <c r="Z98" s="57">
        <f ca="1"/>
        <v>0</v>
      </c>
      <c r="AA98" s="59">
        <f ca="1"/>
        <v>0</v>
      </c>
      <c r="AB98" s="14"/>
    </row>
    <row r="99" spans="1:28" s="10" customFormat="1" ht="15" hidden="1" customHeight="1" x14ac:dyDescent="0.45">
      <c r="A99" s="1782" t="s">
        <v>559</v>
      </c>
      <c r="B99" s="1773" t="s">
        <v>325</v>
      </c>
      <c r="C99" s="1268" t="s">
        <v>326</v>
      </c>
      <c r="D99" s="40">
        <f t="array" ref="D99:AA112" ca="1">IFERROR(IF(display_week="",0,
IF(INDEX(sessions_duration_custom_secondary,,plan_session_allocation)="",
IF(INDEX(sessions_intervals_code_secondary,,plan_session_allocation)="",
IF(INDEX(sessions_duration_secondary,,plan_session_allocation)="duration_filler1","filler1",
IF(INDEX(sessions_duration_secondary,,plan_session_allocation)="duration_filler2","filler2",
IFERROR(INDEX(INDIRECT(INDEX(sessions_duration_secondary,,plan_session_allocation)),,display_week),0))),
IFERROR(VLOOKUP(INDIRECT(INDEX(sessions_duration_secondary,,plan_session_allocation)), INDIRECT(INDEX(sessions_intervals_code_secondary,,plan_session_allocation)),4,TRUE),"no intervals")),
INDEX(sessions_duration_custom_secondary,,plan_session_allocation))),"")</f>
        <v>0</v>
      </c>
      <c r="E99" s="40">
        <f ca="1"/>
        <v>0</v>
      </c>
      <c r="F99" s="40">
        <f ca="1"/>
        <v>0</v>
      </c>
      <c r="G99" s="51">
        <f ca="1"/>
        <v>0</v>
      </c>
      <c r="H99" s="51">
        <f ca="1"/>
        <v>0</v>
      </c>
      <c r="I99" s="40">
        <f ca="1"/>
        <v>0</v>
      </c>
      <c r="J99" s="40">
        <f ca="1"/>
        <v>0</v>
      </c>
      <c r="K99" s="40">
        <f ca="1"/>
        <v>0</v>
      </c>
      <c r="L99" s="40">
        <f ca="1"/>
        <v>0</v>
      </c>
      <c r="M99" s="41">
        <f ca="1"/>
        <v>0</v>
      </c>
      <c r="N99" s="41">
        <f ca="1"/>
        <v>0</v>
      </c>
      <c r="O99" s="41">
        <f ca="1"/>
        <v>0</v>
      </c>
      <c r="P99" s="41">
        <f ca="1"/>
        <v>0</v>
      </c>
      <c r="Q99" s="42">
        <f ca="1"/>
        <v>0</v>
      </c>
      <c r="R99" s="41">
        <f ca="1"/>
        <v>0</v>
      </c>
      <c r="S99" s="41">
        <f ca="1"/>
        <v>0</v>
      </c>
      <c r="T99" s="41">
        <f ca="1"/>
        <v>0</v>
      </c>
      <c r="U99" s="41">
        <f ca="1"/>
        <v>0</v>
      </c>
      <c r="V99" s="41">
        <f ca="1"/>
        <v>0</v>
      </c>
      <c r="W99" s="41">
        <f ca="1"/>
        <v>0</v>
      </c>
      <c r="X99" s="41">
        <f ca="1"/>
        <v>0</v>
      </c>
      <c r="Y99" s="41">
        <f ca="1"/>
        <v>0</v>
      </c>
      <c r="Z99" s="41">
        <f ca="1"/>
        <v>0</v>
      </c>
      <c r="AA99" s="43">
        <f ca="1"/>
        <v>0</v>
      </c>
      <c r="AB99" s="14"/>
    </row>
    <row r="100" spans="1:28" s="10" customFormat="1" ht="15" hidden="1" customHeight="1" x14ac:dyDescent="0.45">
      <c r="A100" s="1783"/>
      <c r="B100" s="1774"/>
      <c r="C100" s="1265" t="s">
        <v>327</v>
      </c>
      <c r="D100" s="44">
        <f ca="1"/>
        <v>30</v>
      </c>
      <c r="E100" s="44">
        <f ca="1"/>
        <v>30</v>
      </c>
      <c r="F100" s="44">
        <f ca="1"/>
        <v>30</v>
      </c>
      <c r="G100" s="44">
        <f ca="1"/>
        <v>30</v>
      </c>
      <c r="H100" s="44">
        <f ca="1"/>
        <v>30</v>
      </c>
      <c r="I100" s="44">
        <f ca="1"/>
        <v>30</v>
      </c>
      <c r="J100" s="44">
        <f ca="1"/>
        <v>30</v>
      </c>
      <c r="K100" s="44">
        <f ca="1"/>
        <v>30</v>
      </c>
      <c r="L100" s="44">
        <f ca="1"/>
        <v>30</v>
      </c>
      <c r="M100" s="44">
        <f ca="1"/>
        <v>0</v>
      </c>
      <c r="N100" s="44">
        <f ca="1"/>
        <v>0</v>
      </c>
      <c r="O100" s="44">
        <f ca="1"/>
        <v>30</v>
      </c>
      <c r="P100" s="44">
        <f ca="1"/>
        <v>30</v>
      </c>
      <c r="Q100" s="44">
        <f ca="1"/>
        <v>30</v>
      </c>
      <c r="R100" s="44">
        <f ca="1"/>
        <v>30</v>
      </c>
      <c r="S100" s="44">
        <f ca="1"/>
        <v>30</v>
      </c>
      <c r="T100" s="44">
        <f ca="1"/>
        <v>30</v>
      </c>
      <c r="U100" s="44">
        <f ca="1"/>
        <v>30</v>
      </c>
      <c r="V100" s="44">
        <f ca="1"/>
        <v>0</v>
      </c>
      <c r="W100" s="44">
        <f ca="1"/>
        <v>0</v>
      </c>
      <c r="X100" s="45">
        <f ca="1"/>
        <v>0</v>
      </c>
      <c r="Y100" s="45">
        <f ca="1"/>
        <v>0</v>
      </c>
      <c r="Z100" s="45">
        <f ca="1"/>
        <v>0</v>
      </c>
      <c r="AA100" s="46">
        <f ca="1"/>
        <v>0</v>
      </c>
      <c r="AB100" s="14"/>
    </row>
    <row r="101" spans="1:28" s="10" customFormat="1" ht="15" hidden="1" customHeight="1" x14ac:dyDescent="0.45">
      <c r="A101" s="1783"/>
      <c r="B101" s="1775" t="s">
        <v>328</v>
      </c>
      <c r="C101" s="1266" t="s">
        <v>326</v>
      </c>
      <c r="D101" s="47">
        <f ca="1"/>
        <v>0</v>
      </c>
      <c r="E101" s="47">
        <f ca="1"/>
        <v>0</v>
      </c>
      <c r="F101" s="47">
        <f ca="1"/>
        <v>0</v>
      </c>
      <c r="G101" s="47">
        <f ca="1"/>
        <v>0</v>
      </c>
      <c r="H101" s="47">
        <f ca="1"/>
        <v>0</v>
      </c>
      <c r="I101" s="47">
        <f ca="1"/>
        <v>0</v>
      </c>
      <c r="J101" s="47">
        <f ca="1"/>
        <v>0</v>
      </c>
      <c r="K101" s="47">
        <f ca="1"/>
        <v>0</v>
      </c>
      <c r="L101" s="47">
        <f ca="1"/>
        <v>0</v>
      </c>
      <c r="M101" s="47">
        <f ca="1"/>
        <v>0</v>
      </c>
      <c r="N101" s="47">
        <f ca="1"/>
        <v>0</v>
      </c>
      <c r="O101" s="47">
        <f ca="1"/>
        <v>0</v>
      </c>
      <c r="P101" s="48">
        <f ca="1"/>
        <v>0</v>
      </c>
      <c r="Q101" s="49">
        <f ca="1"/>
        <v>0</v>
      </c>
      <c r="R101" s="48">
        <f ca="1"/>
        <v>0</v>
      </c>
      <c r="S101" s="48">
        <f ca="1"/>
        <v>0</v>
      </c>
      <c r="T101" s="48">
        <f ca="1"/>
        <v>0</v>
      </c>
      <c r="U101" s="48">
        <f ca="1"/>
        <v>0</v>
      </c>
      <c r="V101" s="48">
        <f ca="1"/>
        <v>0</v>
      </c>
      <c r="W101" s="48">
        <f ca="1"/>
        <v>0</v>
      </c>
      <c r="X101" s="48">
        <f ca="1"/>
        <v>0</v>
      </c>
      <c r="Y101" s="48">
        <f ca="1"/>
        <v>0</v>
      </c>
      <c r="Z101" s="48">
        <f ca="1"/>
        <v>0</v>
      </c>
      <c r="AA101" s="50">
        <f ca="1"/>
        <v>0</v>
      </c>
      <c r="AB101" s="14"/>
    </row>
    <row r="102" spans="1:28" s="10" customFormat="1" ht="15" hidden="1" customHeight="1" x14ac:dyDescent="0.45">
      <c r="A102" s="1783"/>
      <c r="B102" s="1776"/>
      <c r="C102" s="1266" t="s">
        <v>327</v>
      </c>
      <c r="D102" s="47">
        <f ca="1"/>
        <v>0</v>
      </c>
      <c r="E102" s="47">
        <f ca="1"/>
        <v>0</v>
      </c>
      <c r="F102" s="47">
        <f ca="1"/>
        <v>0</v>
      </c>
      <c r="G102" s="47">
        <f ca="1"/>
        <v>0</v>
      </c>
      <c r="H102" s="47">
        <f ca="1"/>
        <v>0</v>
      </c>
      <c r="I102" s="47">
        <f ca="1"/>
        <v>0</v>
      </c>
      <c r="J102" s="47">
        <f ca="1"/>
        <v>0</v>
      </c>
      <c r="K102" s="47">
        <f ca="1"/>
        <v>0</v>
      </c>
      <c r="L102" s="47">
        <f ca="1"/>
        <v>0</v>
      </c>
      <c r="M102" s="47">
        <f ca="1"/>
        <v>0</v>
      </c>
      <c r="N102" s="47">
        <f ca="1"/>
        <v>0</v>
      </c>
      <c r="O102" s="47">
        <f ca="1"/>
        <v>0</v>
      </c>
      <c r="P102" s="47">
        <f ca="1"/>
        <v>0</v>
      </c>
      <c r="Q102" s="49">
        <f ca="1"/>
        <v>0</v>
      </c>
      <c r="R102" s="49">
        <f ca="1"/>
        <v>0</v>
      </c>
      <c r="S102" s="49">
        <f ca="1"/>
        <v>0</v>
      </c>
      <c r="T102" s="49">
        <f ca="1"/>
        <v>0</v>
      </c>
      <c r="U102" s="49">
        <f ca="1"/>
        <v>0</v>
      </c>
      <c r="V102" s="49">
        <f ca="1"/>
        <v>0</v>
      </c>
      <c r="W102" s="49">
        <f ca="1"/>
        <v>0</v>
      </c>
      <c r="X102" s="48">
        <f ca="1"/>
        <v>0</v>
      </c>
      <c r="Y102" s="48">
        <f ca="1"/>
        <v>0</v>
      </c>
      <c r="Z102" s="48">
        <f ca="1"/>
        <v>0</v>
      </c>
      <c r="AA102" s="50">
        <f ca="1"/>
        <v>0</v>
      </c>
      <c r="AB102" s="14"/>
    </row>
    <row r="103" spans="1:28" s="10" customFormat="1" ht="15" hidden="1" customHeight="1" x14ac:dyDescent="0.45">
      <c r="A103" s="1783"/>
      <c r="B103" s="1777" t="s">
        <v>329</v>
      </c>
      <c r="C103" s="1235" t="s">
        <v>326</v>
      </c>
      <c r="D103" s="51">
        <f ca="1"/>
        <v>0</v>
      </c>
      <c r="E103" s="51">
        <f ca="1"/>
        <v>0</v>
      </c>
      <c r="F103" s="51">
        <f ca="1"/>
        <v>0</v>
      </c>
      <c r="G103" s="51">
        <f ca="1"/>
        <v>0</v>
      </c>
      <c r="H103" s="51">
        <f ca="1"/>
        <v>0</v>
      </c>
      <c r="I103" s="51">
        <f ca="1"/>
        <v>0</v>
      </c>
      <c r="J103" s="51">
        <f ca="1"/>
        <v>0</v>
      </c>
      <c r="K103" s="51">
        <f ca="1"/>
        <v>0</v>
      </c>
      <c r="L103" s="51">
        <f ca="1"/>
        <v>0</v>
      </c>
      <c r="M103" s="52">
        <f ca="1"/>
        <v>0</v>
      </c>
      <c r="N103" s="52">
        <f ca="1"/>
        <v>0</v>
      </c>
      <c r="O103" s="52">
        <f ca="1"/>
        <v>0</v>
      </c>
      <c r="P103" s="52">
        <f ca="1"/>
        <v>0</v>
      </c>
      <c r="Q103" s="53">
        <f ca="1"/>
        <v>0</v>
      </c>
      <c r="R103" s="52">
        <f ca="1"/>
        <v>0</v>
      </c>
      <c r="S103" s="52">
        <f ca="1"/>
        <v>0</v>
      </c>
      <c r="T103" s="52">
        <f ca="1"/>
        <v>0</v>
      </c>
      <c r="U103" s="52">
        <f ca="1"/>
        <v>0</v>
      </c>
      <c r="V103" s="52">
        <f ca="1"/>
        <v>0</v>
      </c>
      <c r="W103" s="52">
        <f ca="1"/>
        <v>0</v>
      </c>
      <c r="X103" s="52">
        <f ca="1"/>
        <v>0</v>
      </c>
      <c r="Y103" s="52">
        <f ca="1"/>
        <v>0</v>
      </c>
      <c r="Z103" s="52">
        <f ca="1"/>
        <v>0</v>
      </c>
      <c r="AA103" s="54">
        <f ca="1"/>
        <v>0</v>
      </c>
      <c r="AB103" s="14"/>
    </row>
    <row r="104" spans="1:28" s="10" customFormat="1" ht="15" hidden="1" customHeight="1" x14ac:dyDescent="0.45">
      <c r="A104" s="1783"/>
      <c r="B104" s="1774"/>
      <c r="C104" s="1265" t="s">
        <v>327</v>
      </c>
      <c r="D104" s="44">
        <f ca="1"/>
        <v>0</v>
      </c>
      <c r="E104" s="44">
        <f ca="1"/>
        <v>0</v>
      </c>
      <c r="F104" s="44">
        <f ca="1"/>
        <v>0</v>
      </c>
      <c r="G104" s="44">
        <f ca="1"/>
        <v>0</v>
      </c>
      <c r="H104" s="44">
        <f ca="1"/>
        <v>0</v>
      </c>
      <c r="I104" s="44">
        <f ca="1"/>
        <v>0</v>
      </c>
      <c r="J104" s="44">
        <f ca="1"/>
        <v>0</v>
      </c>
      <c r="K104" s="44">
        <f ca="1"/>
        <v>0</v>
      </c>
      <c r="L104" s="44">
        <f ca="1"/>
        <v>0</v>
      </c>
      <c r="M104" s="44">
        <f ca="1"/>
        <v>0</v>
      </c>
      <c r="N104" s="44">
        <f ca="1"/>
        <v>0</v>
      </c>
      <c r="O104" s="44">
        <f ca="1"/>
        <v>0</v>
      </c>
      <c r="P104" s="44">
        <f ca="1"/>
        <v>0</v>
      </c>
      <c r="Q104" s="44">
        <f ca="1"/>
        <v>0</v>
      </c>
      <c r="R104" s="44">
        <f ca="1"/>
        <v>0</v>
      </c>
      <c r="S104" s="44">
        <f ca="1"/>
        <v>0</v>
      </c>
      <c r="T104" s="44">
        <f ca="1"/>
        <v>0</v>
      </c>
      <c r="U104" s="44">
        <f ca="1"/>
        <v>0</v>
      </c>
      <c r="V104" s="44">
        <f ca="1"/>
        <v>45</v>
      </c>
      <c r="W104" s="44">
        <f ca="1"/>
        <v>0</v>
      </c>
      <c r="X104" s="45">
        <f ca="1"/>
        <v>0</v>
      </c>
      <c r="Y104" s="45">
        <f ca="1"/>
        <v>0</v>
      </c>
      <c r="Z104" s="45">
        <f ca="1"/>
        <v>0</v>
      </c>
      <c r="AA104" s="46">
        <f ca="1"/>
        <v>0</v>
      </c>
      <c r="AB104" s="14"/>
    </row>
    <row r="105" spans="1:28" s="10" customFormat="1" ht="15" hidden="1" customHeight="1" x14ac:dyDescent="0.45">
      <c r="A105" s="1783"/>
      <c r="B105" s="1775" t="s">
        <v>330</v>
      </c>
      <c r="C105" s="1266" t="s">
        <v>326</v>
      </c>
      <c r="D105" s="47">
        <f ca="1"/>
        <v>0</v>
      </c>
      <c r="E105" s="47">
        <f ca="1"/>
        <v>0</v>
      </c>
      <c r="F105" s="47">
        <f ca="1"/>
        <v>0</v>
      </c>
      <c r="G105" s="47">
        <f ca="1"/>
        <v>0</v>
      </c>
      <c r="H105" s="47">
        <f ca="1"/>
        <v>0</v>
      </c>
      <c r="I105" s="47">
        <f ca="1"/>
        <v>0</v>
      </c>
      <c r="J105" s="47">
        <f ca="1"/>
        <v>0</v>
      </c>
      <c r="K105" s="47">
        <f ca="1"/>
        <v>0</v>
      </c>
      <c r="L105" s="47">
        <f ca="1"/>
        <v>0</v>
      </c>
      <c r="M105" s="47">
        <f ca="1"/>
        <v>0</v>
      </c>
      <c r="N105" s="47">
        <f ca="1"/>
        <v>0</v>
      </c>
      <c r="O105" s="47">
        <f ca="1"/>
        <v>0</v>
      </c>
      <c r="P105" s="48">
        <f ca="1"/>
        <v>0</v>
      </c>
      <c r="Q105" s="49">
        <f ca="1"/>
        <v>0</v>
      </c>
      <c r="R105" s="48">
        <f ca="1"/>
        <v>0</v>
      </c>
      <c r="S105" s="48">
        <f ca="1"/>
        <v>0</v>
      </c>
      <c r="T105" s="48">
        <f ca="1"/>
        <v>0</v>
      </c>
      <c r="U105" s="48">
        <f ca="1"/>
        <v>0</v>
      </c>
      <c r="V105" s="48">
        <f ca="1"/>
        <v>0</v>
      </c>
      <c r="W105" s="48">
        <f ca="1"/>
        <v>0</v>
      </c>
      <c r="X105" s="48">
        <f ca="1"/>
        <v>0</v>
      </c>
      <c r="Y105" s="48">
        <f ca="1"/>
        <v>0</v>
      </c>
      <c r="Z105" s="48">
        <f ca="1"/>
        <v>0</v>
      </c>
      <c r="AA105" s="50">
        <f ca="1"/>
        <v>0</v>
      </c>
      <c r="AB105" s="14"/>
    </row>
    <row r="106" spans="1:28" s="10" customFormat="1" ht="15" hidden="1" customHeight="1" x14ac:dyDescent="0.45">
      <c r="A106" s="1783"/>
      <c r="B106" s="1776"/>
      <c r="C106" s="1266" t="s">
        <v>327</v>
      </c>
      <c r="D106" s="47">
        <f ca="1"/>
        <v>0</v>
      </c>
      <c r="E106" s="47">
        <f ca="1"/>
        <v>0</v>
      </c>
      <c r="F106" s="47">
        <f ca="1"/>
        <v>0</v>
      </c>
      <c r="G106" s="47">
        <f ca="1"/>
        <v>0</v>
      </c>
      <c r="H106" s="47">
        <f ca="1"/>
        <v>0</v>
      </c>
      <c r="I106" s="47">
        <f ca="1"/>
        <v>0</v>
      </c>
      <c r="J106" s="47">
        <f ca="1"/>
        <v>0</v>
      </c>
      <c r="K106" s="47">
        <f ca="1"/>
        <v>0</v>
      </c>
      <c r="L106" s="47">
        <f ca="1"/>
        <v>0</v>
      </c>
      <c r="M106" s="47">
        <f ca="1"/>
        <v>0</v>
      </c>
      <c r="N106" s="47">
        <f ca="1"/>
        <v>0</v>
      </c>
      <c r="O106" s="49">
        <f ca="1"/>
        <v>0</v>
      </c>
      <c r="P106" s="47">
        <f ca="1"/>
        <v>0</v>
      </c>
      <c r="Q106" s="49">
        <f ca="1"/>
        <v>0</v>
      </c>
      <c r="R106" s="49">
        <f ca="1"/>
        <v>0</v>
      </c>
      <c r="S106" s="49">
        <f ca="1"/>
        <v>0</v>
      </c>
      <c r="T106" s="49">
        <f ca="1"/>
        <v>0</v>
      </c>
      <c r="U106" s="49">
        <f ca="1"/>
        <v>0</v>
      </c>
      <c r="V106" s="49">
        <f ca="1"/>
        <v>0</v>
      </c>
      <c r="W106" s="49">
        <f ca="1"/>
        <v>0</v>
      </c>
      <c r="X106" s="48">
        <f ca="1"/>
        <v>0</v>
      </c>
      <c r="Y106" s="48">
        <f ca="1"/>
        <v>0</v>
      </c>
      <c r="Z106" s="48">
        <f ca="1"/>
        <v>0</v>
      </c>
      <c r="AA106" s="50">
        <f ca="1"/>
        <v>0</v>
      </c>
      <c r="AB106" s="14"/>
    </row>
    <row r="107" spans="1:28" s="10" customFormat="1" ht="15" hidden="1" customHeight="1" x14ac:dyDescent="0.45">
      <c r="A107" s="1783"/>
      <c r="B107" s="1777" t="s">
        <v>331</v>
      </c>
      <c r="C107" s="1235" t="s">
        <v>326</v>
      </c>
      <c r="D107" s="51">
        <f ca="1"/>
        <v>0</v>
      </c>
      <c r="E107" s="51">
        <f ca="1"/>
        <v>0</v>
      </c>
      <c r="F107" s="51">
        <f ca="1"/>
        <v>0</v>
      </c>
      <c r="G107" s="51">
        <f ca="1"/>
        <v>0</v>
      </c>
      <c r="H107" s="51">
        <f ca="1"/>
        <v>0</v>
      </c>
      <c r="I107" s="51">
        <f ca="1"/>
        <v>0</v>
      </c>
      <c r="J107" s="51">
        <f ca="1"/>
        <v>0</v>
      </c>
      <c r="K107" s="51">
        <f ca="1"/>
        <v>0</v>
      </c>
      <c r="L107" s="51">
        <f ca="1"/>
        <v>5</v>
      </c>
      <c r="M107" s="52">
        <f ca="1"/>
        <v>0</v>
      </c>
      <c r="N107" s="52">
        <f ca="1"/>
        <v>0</v>
      </c>
      <c r="O107" s="52">
        <f ca="1"/>
        <v>0</v>
      </c>
      <c r="P107" s="52">
        <f ca="1"/>
        <v>0</v>
      </c>
      <c r="Q107" s="53">
        <f ca="1"/>
        <v>0</v>
      </c>
      <c r="R107" s="52">
        <f ca="1"/>
        <v>0</v>
      </c>
      <c r="S107" s="52">
        <f ca="1"/>
        <v>0</v>
      </c>
      <c r="T107" s="52">
        <f ca="1"/>
        <v>0</v>
      </c>
      <c r="U107" s="52">
        <f ca="1"/>
        <v>0</v>
      </c>
      <c r="V107" s="52">
        <f ca="1"/>
        <v>0</v>
      </c>
      <c r="W107" s="52">
        <f ca="1"/>
        <v>0</v>
      </c>
      <c r="X107" s="52">
        <f ca="1"/>
        <v>0</v>
      </c>
      <c r="Y107" s="52">
        <f ca="1"/>
        <v>0</v>
      </c>
      <c r="Z107" s="52">
        <f ca="1"/>
        <v>0</v>
      </c>
      <c r="AA107" s="54">
        <f ca="1"/>
        <v>0</v>
      </c>
      <c r="AB107" s="14"/>
    </row>
    <row r="108" spans="1:28" s="10" customFormat="1" ht="15" hidden="1" customHeight="1" x14ac:dyDescent="0.45">
      <c r="A108" s="1783"/>
      <c r="B108" s="1774"/>
      <c r="C108" s="1265" t="s">
        <v>327</v>
      </c>
      <c r="D108" s="44">
        <f ca="1"/>
        <v>30</v>
      </c>
      <c r="E108" s="44">
        <f ca="1"/>
        <v>30</v>
      </c>
      <c r="F108" s="44">
        <f ca="1"/>
        <v>30</v>
      </c>
      <c r="G108" s="44">
        <f ca="1"/>
        <v>30</v>
      </c>
      <c r="H108" s="44">
        <f ca="1"/>
        <v>30</v>
      </c>
      <c r="I108" s="44">
        <f ca="1"/>
        <v>30</v>
      </c>
      <c r="J108" s="44">
        <f ca="1"/>
        <v>30</v>
      </c>
      <c r="K108" s="44">
        <f ca="1"/>
        <v>30</v>
      </c>
      <c r="L108" s="44">
        <f ca="1"/>
        <v>0</v>
      </c>
      <c r="M108" s="44">
        <f ca="1"/>
        <v>0</v>
      </c>
      <c r="N108" s="44">
        <f ca="1"/>
        <v>0</v>
      </c>
      <c r="O108" s="44">
        <f ca="1"/>
        <v>30</v>
      </c>
      <c r="P108" s="44">
        <f ca="1"/>
        <v>30</v>
      </c>
      <c r="Q108" s="44">
        <f ca="1"/>
        <v>30</v>
      </c>
      <c r="R108" s="44">
        <f ca="1"/>
        <v>30</v>
      </c>
      <c r="S108" s="44">
        <f ca="1"/>
        <v>30</v>
      </c>
      <c r="T108" s="44">
        <f ca="1"/>
        <v>0</v>
      </c>
      <c r="U108" s="44">
        <f ca="1"/>
        <v>30</v>
      </c>
      <c r="V108" s="44">
        <f ca="1"/>
        <v>0</v>
      </c>
      <c r="W108" s="44">
        <f ca="1"/>
        <v>0</v>
      </c>
      <c r="X108" s="45">
        <f ca="1"/>
        <v>0</v>
      </c>
      <c r="Y108" s="45">
        <f ca="1"/>
        <v>0</v>
      </c>
      <c r="Z108" s="45">
        <f ca="1"/>
        <v>0</v>
      </c>
      <c r="AA108" s="46">
        <f ca="1"/>
        <v>0</v>
      </c>
      <c r="AB108" s="14"/>
    </row>
    <row r="109" spans="1:28" s="10" customFormat="1" ht="15" hidden="1" customHeight="1" x14ac:dyDescent="0.45">
      <c r="A109" s="1783"/>
      <c r="B109" s="1775" t="s">
        <v>332</v>
      </c>
      <c r="C109" s="1266" t="s">
        <v>326</v>
      </c>
      <c r="D109" s="47">
        <f ca="1"/>
        <v>0</v>
      </c>
      <c r="E109" s="47">
        <f ca="1"/>
        <v>0</v>
      </c>
      <c r="F109" s="47">
        <f ca="1"/>
        <v>0</v>
      </c>
      <c r="G109" s="47" t="str">
        <f ca="1"/>
        <v>filler2</v>
      </c>
      <c r="H109" s="47" t="str">
        <f ca="1"/>
        <v>filler2</v>
      </c>
      <c r="I109" s="47">
        <f ca="1"/>
        <v>0</v>
      </c>
      <c r="J109" s="47" t="str">
        <f ca="1"/>
        <v>filler2</v>
      </c>
      <c r="K109" s="47" t="str">
        <f ca="1"/>
        <v>filler2</v>
      </c>
      <c r="L109" s="47">
        <f ca="1"/>
        <v>0</v>
      </c>
      <c r="M109" s="47">
        <f ca="1"/>
        <v>0</v>
      </c>
      <c r="N109" s="47">
        <f ca="1"/>
        <v>0</v>
      </c>
      <c r="O109" s="47">
        <f ca="1"/>
        <v>0</v>
      </c>
      <c r="P109" s="48">
        <f ca="1"/>
        <v>0</v>
      </c>
      <c r="Q109" s="49">
        <f ca="1"/>
        <v>0</v>
      </c>
      <c r="R109" s="48">
        <f ca="1"/>
        <v>0</v>
      </c>
      <c r="S109" s="48">
        <f ca="1"/>
        <v>0</v>
      </c>
      <c r="T109" s="48">
        <f ca="1"/>
        <v>0</v>
      </c>
      <c r="U109" s="48">
        <f ca="1"/>
        <v>0</v>
      </c>
      <c r="V109" s="48">
        <f ca="1"/>
        <v>0</v>
      </c>
      <c r="W109" s="48">
        <f ca="1"/>
        <v>0</v>
      </c>
      <c r="X109" s="48">
        <f ca="1"/>
        <v>0</v>
      </c>
      <c r="Y109" s="48">
        <f ca="1"/>
        <v>0</v>
      </c>
      <c r="Z109" s="48">
        <f ca="1"/>
        <v>0</v>
      </c>
      <c r="AA109" s="50">
        <f ca="1"/>
        <v>0</v>
      </c>
      <c r="AB109" s="14"/>
    </row>
    <row r="110" spans="1:28" s="10" customFormat="1" ht="15" hidden="1" customHeight="1" x14ac:dyDescent="0.45">
      <c r="A110" s="1783"/>
      <c r="B110" s="1776"/>
      <c r="C110" s="1266" t="s">
        <v>327</v>
      </c>
      <c r="D110" s="47">
        <f ca="1"/>
        <v>0</v>
      </c>
      <c r="E110" s="47">
        <f ca="1"/>
        <v>0</v>
      </c>
      <c r="F110" s="47">
        <f ca="1"/>
        <v>0</v>
      </c>
      <c r="G110" s="47">
        <f ca="1"/>
        <v>0</v>
      </c>
      <c r="H110" s="47">
        <f ca="1"/>
        <v>0</v>
      </c>
      <c r="I110" s="47">
        <f ca="1"/>
        <v>0</v>
      </c>
      <c r="J110" s="47">
        <f ca="1"/>
        <v>0</v>
      </c>
      <c r="K110" s="47">
        <f ca="1"/>
        <v>0</v>
      </c>
      <c r="L110" s="47">
        <f ca="1"/>
        <v>0</v>
      </c>
      <c r="M110" s="47">
        <f ca="1"/>
        <v>0</v>
      </c>
      <c r="N110" s="47">
        <f ca="1"/>
        <v>0</v>
      </c>
      <c r="O110" s="47">
        <f ca="1"/>
        <v>0</v>
      </c>
      <c r="P110" s="47">
        <f ca="1"/>
        <v>0</v>
      </c>
      <c r="Q110" s="49">
        <f ca="1"/>
        <v>0</v>
      </c>
      <c r="R110" s="49">
        <f ca="1"/>
        <v>0</v>
      </c>
      <c r="S110" s="49">
        <f ca="1"/>
        <v>0</v>
      </c>
      <c r="T110" s="49">
        <f ca="1"/>
        <v>0</v>
      </c>
      <c r="U110" s="49">
        <f ca="1"/>
        <v>0</v>
      </c>
      <c r="V110" s="49">
        <f ca="1"/>
        <v>0</v>
      </c>
      <c r="W110" s="49">
        <f ca="1"/>
        <v>0</v>
      </c>
      <c r="X110" s="48">
        <f ca="1"/>
        <v>0</v>
      </c>
      <c r="Y110" s="48">
        <f ca="1"/>
        <v>0</v>
      </c>
      <c r="Z110" s="48">
        <f ca="1"/>
        <v>0</v>
      </c>
      <c r="AA110" s="50">
        <f ca="1"/>
        <v>0</v>
      </c>
      <c r="AB110" s="14"/>
    </row>
    <row r="111" spans="1:28" s="10" customFormat="1" ht="15" hidden="1" customHeight="1" x14ac:dyDescent="0.45">
      <c r="A111" s="1783"/>
      <c r="B111" s="1777" t="s">
        <v>333</v>
      </c>
      <c r="C111" s="1265" t="s">
        <v>326</v>
      </c>
      <c r="D111" s="44">
        <f ca="1"/>
        <v>0</v>
      </c>
      <c r="E111" s="44">
        <f ca="1"/>
        <v>0</v>
      </c>
      <c r="F111" s="44">
        <f ca="1"/>
        <v>0</v>
      </c>
      <c r="G111" s="44">
        <f ca="1"/>
        <v>0</v>
      </c>
      <c r="H111" s="44">
        <f ca="1"/>
        <v>0</v>
      </c>
      <c r="I111" s="44">
        <f ca="1"/>
        <v>0</v>
      </c>
      <c r="J111" s="44">
        <f ca="1"/>
        <v>0</v>
      </c>
      <c r="K111" s="44">
        <f ca="1"/>
        <v>0</v>
      </c>
      <c r="L111" s="44">
        <f ca="1"/>
        <v>0</v>
      </c>
      <c r="M111" s="45">
        <f ca="1"/>
        <v>0</v>
      </c>
      <c r="N111" s="45">
        <f ca="1"/>
        <v>0</v>
      </c>
      <c r="O111" s="45">
        <f ca="1"/>
        <v>0</v>
      </c>
      <c r="P111" s="45">
        <f ca="1"/>
        <v>0</v>
      </c>
      <c r="Q111" s="55">
        <f ca="1"/>
        <v>0</v>
      </c>
      <c r="R111" s="45">
        <f ca="1"/>
        <v>0</v>
      </c>
      <c r="S111" s="45">
        <f ca="1"/>
        <v>0</v>
      </c>
      <c r="T111" s="45">
        <f ca="1"/>
        <v>0</v>
      </c>
      <c r="U111" s="45">
        <f ca="1"/>
        <v>0</v>
      </c>
      <c r="V111" s="45">
        <f ca="1"/>
        <v>0</v>
      </c>
      <c r="W111" s="45">
        <f ca="1"/>
        <v>0</v>
      </c>
      <c r="X111" s="45">
        <f ca="1"/>
        <v>0</v>
      </c>
      <c r="Y111" s="45">
        <f ca="1"/>
        <v>0</v>
      </c>
      <c r="Z111" s="45">
        <f ca="1"/>
        <v>0</v>
      </c>
      <c r="AA111" s="46">
        <f ca="1"/>
        <v>0</v>
      </c>
      <c r="AB111" s="14"/>
    </row>
    <row r="112" spans="1:28" s="10" customFormat="1" ht="15" hidden="1" customHeight="1" x14ac:dyDescent="0.45">
      <c r="A112" s="1784"/>
      <c r="B112" s="1778"/>
      <c r="C112" s="1267" t="s">
        <v>327</v>
      </c>
      <c r="D112" s="56">
        <f ca="1"/>
        <v>0</v>
      </c>
      <c r="E112" s="56">
        <f ca="1"/>
        <v>0</v>
      </c>
      <c r="F112" s="56">
        <f ca="1"/>
        <v>0</v>
      </c>
      <c r="G112" s="56">
        <f ca="1"/>
        <v>0</v>
      </c>
      <c r="H112" s="56">
        <f ca="1"/>
        <v>0</v>
      </c>
      <c r="I112" s="56">
        <f ca="1"/>
        <v>0</v>
      </c>
      <c r="J112" s="56">
        <f ca="1"/>
        <v>0</v>
      </c>
      <c r="K112" s="56">
        <f ca="1"/>
        <v>0</v>
      </c>
      <c r="L112" s="56">
        <f ca="1"/>
        <v>0</v>
      </c>
      <c r="M112" s="57">
        <f ca="1"/>
        <v>0</v>
      </c>
      <c r="N112" s="57">
        <f ca="1"/>
        <v>0</v>
      </c>
      <c r="O112" s="57">
        <f ca="1"/>
        <v>0</v>
      </c>
      <c r="P112" s="57">
        <f ca="1"/>
        <v>0</v>
      </c>
      <c r="Q112" s="58">
        <f ca="1"/>
        <v>0</v>
      </c>
      <c r="R112" s="57">
        <f ca="1"/>
        <v>0</v>
      </c>
      <c r="S112" s="57">
        <f ca="1"/>
        <v>0</v>
      </c>
      <c r="T112" s="57">
        <f ca="1"/>
        <v>0</v>
      </c>
      <c r="U112" s="57">
        <f ca="1"/>
        <v>0</v>
      </c>
      <c r="V112" s="57">
        <f ca="1"/>
        <v>0</v>
      </c>
      <c r="W112" s="57">
        <f ca="1"/>
        <v>0</v>
      </c>
      <c r="X112" s="57">
        <f ca="1"/>
        <v>0</v>
      </c>
      <c r="Y112" s="57">
        <f ca="1"/>
        <v>0</v>
      </c>
      <c r="Z112" s="57">
        <f ca="1"/>
        <v>0</v>
      </c>
      <c r="AA112" s="59">
        <f ca="1"/>
        <v>0</v>
      </c>
      <c r="AB112" s="14"/>
    </row>
    <row r="113" spans="1:28" s="10" customFormat="1" ht="15" hidden="1" customHeight="1" x14ac:dyDescent="0.45">
      <c r="A113" s="1782" t="s">
        <v>335</v>
      </c>
      <c r="B113" s="1773" t="s">
        <v>325</v>
      </c>
      <c r="C113" s="1268" t="s">
        <v>326</v>
      </c>
      <c r="D113" s="40">
        <f t="array" ref="D113:AA126" ca="1">IFERROR(IF(display_week="",0,
IF(INDEX(sessions_duration_custom_tertiary,,plan_session_allocation)="",
IF(INDEX(sessions_intervals_code_tertiary,,plan_session_allocation)="",
IF(INDEX(sessions_duration_tertiary,,plan_session_allocation)="duration_filler1","filler1",
IF(INDEX(sessions_duration_tertiary,,plan_session_allocation)="duration_filler2","filler2",
IFERROR(INDEX(INDIRECT(INDEX(sessions_duration_tertiary,,plan_session_allocation)),,display_week),0))),
IFERROR(VLOOKUP(INDIRECT(INDEX(sessions_duration_tertiary,,plan_session_allocation)), INDIRECT(INDEX(sessions_intervals_code_tertiary,,plan_session_allocation)),4,TRUE),"no intervals")),
INDEX(sessions_duration_custom_tertiary,,plan_session_allocation))),"")</f>
        <v>0</v>
      </c>
      <c r="E113" s="40">
        <f ca="1"/>
        <v>0</v>
      </c>
      <c r="F113" s="40">
        <f ca="1"/>
        <v>0</v>
      </c>
      <c r="G113" s="40">
        <f ca="1"/>
        <v>0</v>
      </c>
      <c r="H113" s="51">
        <f ca="1"/>
        <v>0</v>
      </c>
      <c r="I113" s="51">
        <f ca="1"/>
        <v>0</v>
      </c>
      <c r="J113" s="40">
        <f ca="1"/>
        <v>0</v>
      </c>
      <c r="K113" s="40">
        <f ca="1"/>
        <v>0</v>
      </c>
      <c r="L113" s="40">
        <f ca="1"/>
        <v>0</v>
      </c>
      <c r="M113" s="41">
        <f ca="1"/>
        <v>0</v>
      </c>
      <c r="N113" s="41">
        <f ca="1"/>
        <v>0</v>
      </c>
      <c r="O113" s="41">
        <f ca="1"/>
        <v>0</v>
      </c>
      <c r="P113" s="41">
        <f ca="1"/>
        <v>0</v>
      </c>
      <c r="Q113" s="42">
        <f ca="1"/>
        <v>0</v>
      </c>
      <c r="R113" s="41">
        <f ca="1"/>
        <v>0</v>
      </c>
      <c r="S113" s="41">
        <f ca="1"/>
        <v>0</v>
      </c>
      <c r="T113" s="41">
        <f ca="1"/>
        <v>0</v>
      </c>
      <c r="U113" s="41">
        <f ca="1"/>
        <v>0</v>
      </c>
      <c r="V113" s="41">
        <f ca="1"/>
        <v>0</v>
      </c>
      <c r="W113" s="41">
        <f ca="1"/>
        <v>0</v>
      </c>
      <c r="X113" s="41">
        <f ca="1"/>
        <v>0</v>
      </c>
      <c r="Y113" s="41">
        <f ca="1"/>
        <v>0</v>
      </c>
      <c r="Z113" s="41">
        <f ca="1"/>
        <v>0</v>
      </c>
      <c r="AA113" s="43">
        <f ca="1"/>
        <v>0</v>
      </c>
      <c r="AB113" s="14"/>
    </row>
    <row r="114" spans="1:28" s="10" customFormat="1" ht="15" hidden="1" customHeight="1" x14ac:dyDescent="0.45">
      <c r="A114" s="1783"/>
      <c r="B114" s="1774"/>
      <c r="C114" s="1265" t="s">
        <v>327</v>
      </c>
      <c r="D114" s="44">
        <f ca="1"/>
        <v>0</v>
      </c>
      <c r="E114" s="44">
        <f ca="1"/>
        <v>0</v>
      </c>
      <c r="F114" s="44">
        <f ca="1"/>
        <v>0</v>
      </c>
      <c r="G114" s="44">
        <f ca="1"/>
        <v>0</v>
      </c>
      <c r="H114" s="44">
        <f ca="1"/>
        <v>0</v>
      </c>
      <c r="I114" s="44">
        <f ca="1"/>
        <v>0</v>
      </c>
      <c r="J114" s="44">
        <f ca="1"/>
        <v>0</v>
      </c>
      <c r="K114" s="44">
        <f ca="1"/>
        <v>0</v>
      </c>
      <c r="L114" s="44">
        <f ca="1"/>
        <v>0</v>
      </c>
      <c r="M114" s="44">
        <f ca="1"/>
        <v>0</v>
      </c>
      <c r="N114" s="44">
        <f ca="1"/>
        <v>0</v>
      </c>
      <c r="O114" s="44">
        <f ca="1"/>
        <v>0</v>
      </c>
      <c r="P114" s="44">
        <f ca="1"/>
        <v>0</v>
      </c>
      <c r="Q114" s="44">
        <f ca="1"/>
        <v>0</v>
      </c>
      <c r="R114" s="44">
        <f ca="1"/>
        <v>0</v>
      </c>
      <c r="S114" s="44">
        <f ca="1"/>
        <v>0</v>
      </c>
      <c r="T114" s="44">
        <f ca="1"/>
        <v>0</v>
      </c>
      <c r="U114" s="44">
        <f ca="1"/>
        <v>0</v>
      </c>
      <c r="V114" s="44">
        <f ca="1"/>
        <v>0</v>
      </c>
      <c r="W114" s="44">
        <f ca="1"/>
        <v>0</v>
      </c>
      <c r="X114" s="45">
        <f ca="1"/>
        <v>0</v>
      </c>
      <c r="Y114" s="45">
        <f ca="1"/>
        <v>0</v>
      </c>
      <c r="Z114" s="45">
        <f ca="1"/>
        <v>0</v>
      </c>
      <c r="AA114" s="46">
        <f ca="1"/>
        <v>0</v>
      </c>
      <c r="AB114" s="14"/>
    </row>
    <row r="115" spans="1:28" s="10" customFormat="1" ht="15" hidden="1" customHeight="1" x14ac:dyDescent="0.45">
      <c r="A115" s="1783"/>
      <c r="B115" s="1775" t="s">
        <v>328</v>
      </c>
      <c r="C115" s="1266" t="s">
        <v>326</v>
      </c>
      <c r="D115" s="47">
        <f ca="1"/>
        <v>0</v>
      </c>
      <c r="E115" s="47">
        <f ca="1"/>
        <v>0</v>
      </c>
      <c r="F115" s="47">
        <f ca="1"/>
        <v>0</v>
      </c>
      <c r="G115" s="47">
        <f ca="1"/>
        <v>0</v>
      </c>
      <c r="H115" s="47">
        <f ca="1"/>
        <v>0</v>
      </c>
      <c r="I115" s="47">
        <f ca="1"/>
        <v>0</v>
      </c>
      <c r="J115" s="47">
        <f ca="1"/>
        <v>0</v>
      </c>
      <c r="K115" s="47">
        <f ca="1"/>
        <v>0</v>
      </c>
      <c r="L115" s="47">
        <f ca="1"/>
        <v>0</v>
      </c>
      <c r="M115" s="47">
        <f ca="1"/>
        <v>0</v>
      </c>
      <c r="N115" s="47">
        <f ca="1"/>
        <v>0</v>
      </c>
      <c r="O115" s="47">
        <f ca="1"/>
        <v>0</v>
      </c>
      <c r="P115" s="48">
        <f ca="1"/>
        <v>0</v>
      </c>
      <c r="Q115" s="49">
        <f ca="1"/>
        <v>0</v>
      </c>
      <c r="R115" s="48">
        <f ca="1"/>
        <v>0</v>
      </c>
      <c r="S115" s="48">
        <f ca="1"/>
        <v>0</v>
      </c>
      <c r="T115" s="48">
        <f ca="1"/>
        <v>0</v>
      </c>
      <c r="U115" s="48">
        <f ca="1"/>
        <v>0</v>
      </c>
      <c r="V115" s="48">
        <f ca="1"/>
        <v>0</v>
      </c>
      <c r="W115" s="48">
        <f ca="1"/>
        <v>0</v>
      </c>
      <c r="X115" s="48">
        <f ca="1"/>
        <v>0</v>
      </c>
      <c r="Y115" s="48">
        <f ca="1"/>
        <v>0</v>
      </c>
      <c r="Z115" s="48">
        <f ca="1"/>
        <v>0</v>
      </c>
      <c r="AA115" s="50">
        <f ca="1"/>
        <v>0</v>
      </c>
      <c r="AB115" s="14"/>
    </row>
    <row r="116" spans="1:28" s="10" customFormat="1" ht="15" hidden="1" customHeight="1" x14ac:dyDescent="0.45">
      <c r="A116" s="1783"/>
      <c r="B116" s="1776"/>
      <c r="C116" s="1266" t="s">
        <v>327</v>
      </c>
      <c r="D116" s="47">
        <f ca="1"/>
        <v>0</v>
      </c>
      <c r="E116" s="47">
        <f ca="1"/>
        <v>0</v>
      </c>
      <c r="F116" s="47">
        <f ca="1"/>
        <v>0</v>
      </c>
      <c r="G116" s="47">
        <f ca="1"/>
        <v>0</v>
      </c>
      <c r="H116" s="47">
        <f ca="1"/>
        <v>0</v>
      </c>
      <c r="I116" s="47">
        <f ca="1"/>
        <v>0</v>
      </c>
      <c r="J116" s="47">
        <f ca="1"/>
        <v>0</v>
      </c>
      <c r="K116" s="47">
        <f ca="1"/>
        <v>0</v>
      </c>
      <c r="L116" s="47">
        <f ca="1"/>
        <v>0</v>
      </c>
      <c r="M116" s="47">
        <f ca="1"/>
        <v>0</v>
      </c>
      <c r="N116" s="47">
        <f ca="1"/>
        <v>0</v>
      </c>
      <c r="O116" s="47">
        <f ca="1"/>
        <v>0</v>
      </c>
      <c r="P116" s="47">
        <f ca="1"/>
        <v>0</v>
      </c>
      <c r="Q116" s="49">
        <f ca="1"/>
        <v>0</v>
      </c>
      <c r="R116" s="49">
        <f ca="1"/>
        <v>0</v>
      </c>
      <c r="S116" s="49">
        <f ca="1"/>
        <v>0</v>
      </c>
      <c r="T116" s="49">
        <f ca="1"/>
        <v>0</v>
      </c>
      <c r="U116" s="49">
        <f ca="1"/>
        <v>0</v>
      </c>
      <c r="V116" s="49">
        <f ca="1"/>
        <v>0</v>
      </c>
      <c r="W116" s="49">
        <f ca="1"/>
        <v>0</v>
      </c>
      <c r="X116" s="48">
        <f ca="1"/>
        <v>0</v>
      </c>
      <c r="Y116" s="48">
        <f ca="1"/>
        <v>0</v>
      </c>
      <c r="Z116" s="48">
        <f ca="1"/>
        <v>0</v>
      </c>
      <c r="AA116" s="50">
        <f ca="1"/>
        <v>0</v>
      </c>
      <c r="AB116" s="14"/>
    </row>
    <row r="117" spans="1:28" s="10" customFormat="1" ht="15" hidden="1" customHeight="1" x14ac:dyDescent="0.45">
      <c r="A117" s="1783"/>
      <c r="B117" s="1777" t="s">
        <v>329</v>
      </c>
      <c r="C117" s="1235" t="s">
        <v>326</v>
      </c>
      <c r="D117" s="51">
        <f ca="1"/>
        <v>0</v>
      </c>
      <c r="E117" s="51">
        <f ca="1"/>
        <v>0</v>
      </c>
      <c r="F117" s="51">
        <f ca="1"/>
        <v>0</v>
      </c>
      <c r="G117" s="51">
        <f ca="1"/>
        <v>0</v>
      </c>
      <c r="H117" s="51">
        <f ca="1"/>
        <v>0</v>
      </c>
      <c r="I117" s="51">
        <f ca="1"/>
        <v>0</v>
      </c>
      <c r="J117" s="51">
        <f ca="1"/>
        <v>0</v>
      </c>
      <c r="K117" s="51">
        <f ca="1"/>
        <v>0</v>
      </c>
      <c r="L117" s="51">
        <f ca="1"/>
        <v>0</v>
      </c>
      <c r="M117" s="52">
        <f ca="1"/>
        <v>0</v>
      </c>
      <c r="N117" s="52">
        <f ca="1"/>
        <v>0</v>
      </c>
      <c r="O117" s="52">
        <f ca="1"/>
        <v>0</v>
      </c>
      <c r="P117" s="52">
        <f ca="1"/>
        <v>0</v>
      </c>
      <c r="Q117" s="53">
        <f ca="1"/>
        <v>0</v>
      </c>
      <c r="R117" s="52">
        <f ca="1"/>
        <v>0</v>
      </c>
      <c r="S117" s="52">
        <f ca="1"/>
        <v>0</v>
      </c>
      <c r="T117" s="52">
        <f ca="1"/>
        <v>0</v>
      </c>
      <c r="U117" s="52">
        <f ca="1"/>
        <v>0</v>
      </c>
      <c r="V117" s="52">
        <f ca="1"/>
        <v>0</v>
      </c>
      <c r="W117" s="52">
        <f ca="1"/>
        <v>0</v>
      </c>
      <c r="X117" s="52">
        <f ca="1"/>
        <v>0</v>
      </c>
      <c r="Y117" s="52">
        <f ca="1"/>
        <v>0</v>
      </c>
      <c r="Z117" s="52">
        <f ca="1"/>
        <v>0</v>
      </c>
      <c r="AA117" s="54">
        <f ca="1"/>
        <v>0</v>
      </c>
      <c r="AB117" s="14"/>
    </row>
    <row r="118" spans="1:28" s="10" customFormat="1" ht="15" hidden="1" customHeight="1" x14ac:dyDescent="0.45">
      <c r="A118" s="1783"/>
      <c r="B118" s="1774"/>
      <c r="C118" s="1265" t="s">
        <v>327</v>
      </c>
      <c r="D118" s="44">
        <f ca="1"/>
        <v>0</v>
      </c>
      <c r="E118" s="44">
        <f ca="1"/>
        <v>0</v>
      </c>
      <c r="F118" s="44">
        <f ca="1"/>
        <v>0</v>
      </c>
      <c r="G118" s="44">
        <f ca="1"/>
        <v>0</v>
      </c>
      <c r="H118" s="44">
        <f ca="1"/>
        <v>0</v>
      </c>
      <c r="I118" s="44">
        <f ca="1"/>
        <v>0</v>
      </c>
      <c r="J118" s="44">
        <f ca="1"/>
        <v>0</v>
      </c>
      <c r="K118" s="44">
        <f ca="1"/>
        <v>0</v>
      </c>
      <c r="L118" s="44">
        <f ca="1"/>
        <v>0</v>
      </c>
      <c r="M118" s="44">
        <f ca="1"/>
        <v>0</v>
      </c>
      <c r="N118" s="44">
        <f ca="1"/>
        <v>0</v>
      </c>
      <c r="O118" s="44">
        <f ca="1"/>
        <v>0</v>
      </c>
      <c r="P118" s="44">
        <f ca="1"/>
        <v>0</v>
      </c>
      <c r="Q118" s="44">
        <f ca="1"/>
        <v>0</v>
      </c>
      <c r="R118" s="44">
        <f ca="1"/>
        <v>0</v>
      </c>
      <c r="S118" s="44">
        <f ca="1"/>
        <v>0</v>
      </c>
      <c r="T118" s="44">
        <f ca="1"/>
        <v>0</v>
      </c>
      <c r="U118" s="44">
        <f ca="1"/>
        <v>0</v>
      </c>
      <c r="V118" s="44">
        <f ca="1"/>
        <v>0</v>
      </c>
      <c r="W118" s="44">
        <f ca="1"/>
        <v>0</v>
      </c>
      <c r="X118" s="45">
        <f ca="1"/>
        <v>0</v>
      </c>
      <c r="Y118" s="45">
        <f ca="1"/>
        <v>0</v>
      </c>
      <c r="Z118" s="45">
        <f ca="1"/>
        <v>0</v>
      </c>
      <c r="AA118" s="46">
        <f ca="1"/>
        <v>0</v>
      </c>
      <c r="AB118" s="14"/>
    </row>
    <row r="119" spans="1:28" s="10" customFormat="1" ht="15" hidden="1" customHeight="1" x14ac:dyDescent="0.45">
      <c r="A119" s="1783"/>
      <c r="B119" s="1775" t="s">
        <v>330</v>
      </c>
      <c r="C119" s="1266" t="s">
        <v>326</v>
      </c>
      <c r="D119" s="47">
        <f ca="1"/>
        <v>0</v>
      </c>
      <c r="E119" s="47">
        <f ca="1"/>
        <v>0</v>
      </c>
      <c r="F119" s="47">
        <f ca="1"/>
        <v>0</v>
      </c>
      <c r="G119" s="47">
        <f ca="1"/>
        <v>0</v>
      </c>
      <c r="H119" s="47">
        <f ca="1"/>
        <v>0</v>
      </c>
      <c r="I119" s="47">
        <f ca="1"/>
        <v>0</v>
      </c>
      <c r="J119" s="47">
        <f ca="1"/>
        <v>0</v>
      </c>
      <c r="K119" s="47">
        <f ca="1"/>
        <v>0</v>
      </c>
      <c r="L119" s="47">
        <f ca="1"/>
        <v>0</v>
      </c>
      <c r="M119" s="47">
        <f ca="1"/>
        <v>0</v>
      </c>
      <c r="N119" s="47">
        <f ca="1"/>
        <v>0</v>
      </c>
      <c r="O119" s="47">
        <f ca="1"/>
        <v>0</v>
      </c>
      <c r="P119" s="48">
        <f ca="1"/>
        <v>0</v>
      </c>
      <c r="Q119" s="49">
        <f ca="1"/>
        <v>0</v>
      </c>
      <c r="R119" s="48">
        <f ca="1"/>
        <v>0</v>
      </c>
      <c r="S119" s="48">
        <f ca="1"/>
        <v>0</v>
      </c>
      <c r="T119" s="48">
        <f ca="1"/>
        <v>0</v>
      </c>
      <c r="U119" s="48">
        <f ca="1"/>
        <v>0</v>
      </c>
      <c r="V119" s="48">
        <f ca="1"/>
        <v>0</v>
      </c>
      <c r="W119" s="48">
        <f ca="1"/>
        <v>0</v>
      </c>
      <c r="X119" s="48">
        <f ca="1"/>
        <v>0</v>
      </c>
      <c r="Y119" s="48">
        <f ca="1"/>
        <v>0</v>
      </c>
      <c r="Z119" s="48">
        <f ca="1"/>
        <v>0</v>
      </c>
      <c r="AA119" s="50">
        <f ca="1"/>
        <v>0</v>
      </c>
      <c r="AB119" s="14"/>
    </row>
    <row r="120" spans="1:28" s="10" customFormat="1" ht="15" hidden="1" customHeight="1" x14ac:dyDescent="0.45">
      <c r="A120" s="1783"/>
      <c r="B120" s="1776"/>
      <c r="C120" s="1266" t="s">
        <v>327</v>
      </c>
      <c r="D120" s="47">
        <f ca="1"/>
        <v>0</v>
      </c>
      <c r="E120" s="47">
        <f ca="1"/>
        <v>0</v>
      </c>
      <c r="F120" s="47">
        <f ca="1"/>
        <v>0</v>
      </c>
      <c r="G120" s="47">
        <f ca="1"/>
        <v>0</v>
      </c>
      <c r="H120" s="47">
        <f ca="1"/>
        <v>0</v>
      </c>
      <c r="I120" s="47">
        <f ca="1"/>
        <v>0</v>
      </c>
      <c r="J120" s="47">
        <f ca="1"/>
        <v>0</v>
      </c>
      <c r="K120" s="47">
        <f ca="1"/>
        <v>0</v>
      </c>
      <c r="L120" s="47">
        <f ca="1"/>
        <v>0</v>
      </c>
      <c r="M120" s="47">
        <f ca="1"/>
        <v>0</v>
      </c>
      <c r="N120" s="47">
        <f ca="1"/>
        <v>0</v>
      </c>
      <c r="O120" s="49">
        <f ca="1"/>
        <v>0</v>
      </c>
      <c r="P120" s="47">
        <f ca="1"/>
        <v>0</v>
      </c>
      <c r="Q120" s="49">
        <f ca="1"/>
        <v>0</v>
      </c>
      <c r="R120" s="49">
        <f ca="1"/>
        <v>0</v>
      </c>
      <c r="S120" s="49">
        <f ca="1"/>
        <v>0</v>
      </c>
      <c r="T120" s="49">
        <f ca="1"/>
        <v>0</v>
      </c>
      <c r="U120" s="49">
        <f ca="1"/>
        <v>0</v>
      </c>
      <c r="V120" s="49">
        <f ca="1"/>
        <v>0</v>
      </c>
      <c r="W120" s="49">
        <f ca="1"/>
        <v>0</v>
      </c>
      <c r="X120" s="48">
        <f ca="1"/>
        <v>0</v>
      </c>
      <c r="Y120" s="48">
        <f ca="1"/>
        <v>0</v>
      </c>
      <c r="Z120" s="48">
        <f ca="1"/>
        <v>0</v>
      </c>
      <c r="AA120" s="50">
        <f ca="1"/>
        <v>0</v>
      </c>
      <c r="AB120" s="14"/>
    </row>
    <row r="121" spans="1:28" s="10" customFormat="1" ht="15" hidden="1" customHeight="1" x14ac:dyDescent="0.45">
      <c r="A121" s="1783"/>
      <c r="B121" s="1777" t="s">
        <v>331</v>
      </c>
      <c r="C121" s="1235" t="s">
        <v>326</v>
      </c>
      <c r="D121" s="51">
        <f ca="1"/>
        <v>0</v>
      </c>
      <c r="E121" s="51">
        <f ca="1"/>
        <v>0</v>
      </c>
      <c r="F121" s="51">
        <f ca="1"/>
        <v>0</v>
      </c>
      <c r="G121" s="51">
        <f ca="1"/>
        <v>0</v>
      </c>
      <c r="H121" s="51">
        <f ca="1"/>
        <v>0</v>
      </c>
      <c r="I121" s="51">
        <f ca="1"/>
        <v>0</v>
      </c>
      <c r="J121" s="51">
        <f ca="1"/>
        <v>0</v>
      </c>
      <c r="K121" s="51">
        <f ca="1"/>
        <v>0</v>
      </c>
      <c r="L121" s="51">
        <f ca="1"/>
        <v>0</v>
      </c>
      <c r="M121" s="52">
        <f ca="1"/>
        <v>0</v>
      </c>
      <c r="N121" s="52">
        <f ca="1"/>
        <v>0</v>
      </c>
      <c r="O121" s="52">
        <f ca="1"/>
        <v>0</v>
      </c>
      <c r="P121" s="52">
        <f ca="1"/>
        <v>0</v>
      </c>
      <c r="Q121" s="53">
        <f ca="1"/>
        <v>0</v>
      </c>
      <c r="R121" s="52">
        <f ca="1"/>
        <v>0</v>
      </c>
      <c r="S121" s="52">
        <f ca="1"/>
        <v>0</v>
      </c>
      <c r="T121" s="52">
        <f ca="1"/>
        <v>0</v>
      </c>
      <c r="U121" s="52">
        <f ca="1"/>
        <v>0</v>
      </c>
      <c r="V121" s="52">
        <f ca="1"/>
        <v>0</v>
      </c>
      <c r="W121" s="52">
        <f ca="1"/>
        <v>0</v>
      </c>
      <c r="X121" s="52">
        <f ca="1"/>
        <v>0</v>
      </c>
      <c r="Y121" s="52">
        <f ca="1"/>
        <v>0</v>
      </c>
      <c r="Z121" s="52">
        <f ca="1"/>
        <v>0</v>
      </c>
      <c r="AA121" s="54">
        <f ca="1"/>
        <v>0</v>
      </c>
      <c r="AB121" s="14"/>
    </row>
    <row r="122" spans="1:28" s="10" customFormat="1" ht="15" hidden="1" customHeight="1" x14ac:dyDescent="0.45">
      <c r="A122" s="1783"/>
      <c r="B122" s="1774"/>
      <c r="C122" s="1265" t="s">
        <v>327</v>
      </c>
      <c r="D122" s="44">
        <f ca="1"/>
        <v>0</v>
      </c>
      <c r="E122" s="44">
        <f ca="1"/>
        <v>0</v>
      </c>
      <c r="F122" s="44">
        <f ca="1"/>
        <v>0</v>
      </c>
      <c r="G122" s="44">
        <f ca="1"/>
        <v>0</v>
      </c>
      <c r="H122" s="44">
        <f ca="1"/>
        <v>0</v>
      </c>
      <c r="I122" s="44">
        <f ca="1"/>
        <v>0</v>
      </c>
      <c r="J122" s="44">
        <f ca="1"/>
        <v>0</v>
      </c>
      <c r="K122" s="44">
        <f ca="1"/>
        <v>0</v>
      </c>
      <c r="L122" s="44">
        <f ca="1"/>
        <v>0</v>
      </c>
      <c r="M122" s="44">
        <f ca="1"/>
        <v>0</v>
      </c>
      <c r="N122" s="44">
        <f ca="1"/>
        <v>0</v>
      </c>
      <c r="O122" s="44">
        <f ca="1"/>
        <v>0</v>
      </c>
      <c r="P122" s="44">
        <f ca="1"/>
        <v>0</v>
      </c>
      <c r="Q122" s="44">
        <f ca="1"/>
        <v>0</v>
      </c>
      <c r="R122" s="44">
        <f ca="1"/>
        <v>0</v>
      </c>
      <c r="S122" s="44">
        <f ca="1"/>
        <v>0</v>
      </c>
      <c r="T122" s="44">
        <f ca="1"/>
        <v>0</v>
      </c>
      <c r="U122" s="44">
        <f ca="1"/>
        <v>0</v>
      </c>
      <c r="V122" s="44">
        <f ca="1"/>
        <v>0</v>
      </c>
      <c r="W122" s="44">
        <f ca="1"/>
        <v>0</v>
      </c>
      <c r="X122" s="45">
        <f ca="1"/>
        <v>0</v>
      </c>
      <c r="Y122" s="45">
        <f ca="1"/>
        <v>0</v>
      </c>
      <c r="Z122" s="45">
        <f ca="1"/>
        <v>0</v>
      </c>
      <c r="AA122" s="46">
        <f ca="1"/>
        <v>0</v>
      </c>
      <c r="AB122" s="14"/>
    </row>
    <row r="123" spans="1:28" s="10" customFormat="1" ht="15" hidden="1" customHeight="1" x14ac:dyDescent="0.45">
      <c r="A123" s="1783"/>
      <c r="B123" s="1775" t="s">
        <v>332</v>
      </c>
      <c r="C123" s="1266" t="s">
        <v>326</v>
      </c>
      <c r="D123" s="47">
        <f ca="1"/>
        <v>0</v>
      </c>
      <c r="E123" s="47">
        <f ca="1"/>
        <v>0</v>
      </c>
      <c r="F123" s="47">
        <f ca="1"/>
        <v>0</v>
      </c>
      <c r="G123" s="47">
        <f ca="1"/>
        <v>0</v>
      </c>
      <c r="H123" s="47">
        <f ca="1"/>
        <v>0</v>
      </c>
      <c r="I123" s="47">
        <f ca="1"/>
        <v>0</v>
      </c>
      <c r="J123" s="47">
        <f ca="1"/>
        <v>0</v>
      </c>
      <c r="K123" s="47">
        <f ca="1"/>
        <v>0</v>
      </c>
      <c r="L123" s="47">
        <f ca="1"/>
        <v>0</v>
      </c>
      <c r="M123" s="47">
        <f ca="1"/>
        <v>0</v>
      </c>
      <c r="N123" s="47">
        <f ca="1"/>
        <v>0</v>
      </c>
      <c r="O123" s="47">
        <f ca="1"/>
        <v>0</v>
      </c>
      <c r="P123" s="48">
        <f ca="1"/>
        <v>0</v>
      </c>
      <c r="Q123" s="49">
        <f ca="1"/>
        <v>0</v>
      </c>
      <c r="R123" s="48">
        <f ca="1"/>
        <v>0</v>
      </c>
      <c r="S123" s="48">
        <f ca="1"/>
        <v>0</v>
      </c>
      <c r="T123" s="48">
        <f ca="1"/>
        <v>0</v>
      </c>
      <c r="U123" s="48">
        <f ca="1"/>
        <v>0</v>
      </c>
      <c r="V123" s="48">
        <f ca="1"/>
        <v>0</v>
      </c>
      <c r="W123" s="48">
        <f ca="1"/>
        <v>0</v>
      </c>
      <c r="X123" s="48">
        <f ca="1"/>
        <v>0</v>
      </c>
      <c r="Y123" s="48">
        <f ca="1"/>
        <v>0</v>
      </c>
      <c r="Z123" s="48">
        <f ca="1"/>
        <v>0</v>
      </c>
      <c r="AA123" s="50">
        <f ca="1"/>
        <v>0</v>
      </c>
      <c r="AB123" s="14"/>
    </row>
    <row r="124" spans="1:28" s="10" customFormat="1" ht="15" hidden="1" customHeight="1" x14ac:dyDescent="0.45">
      <c r="A124" s="1783"/>
      <c r="B124" s="1776"/>
      <c r="C124" s="1266" t="s">
        <v>327</v>
      </c>
      <c r="D124" s="47">
        <f ca="1"/>
        <v>0</v>
      </c>
      <c r="E124" s="47">
        <f ca="1"/>
        <v>0</v>
      </c>
      <c r="F124" s="47">
        <f ca="1"/>
        <v>0</v>
      </c>
      <c r="G124" s="47">
        <f ca="1"/>
        <v>0</v>
      </c>
      <c r="H124" s="47">
        <f ca="1"/>
        <v>0</v>
      </c>
      <c r="I124" s="47">
        <f ca="1"/>
        <v>0</v>
      </c>
      <c r="J124" s="47">
        <f ca="1"/>
        <v>0</v>
      </c>
      <c r="K124" s="47">
        <f ca="1"/>
        <v>0</v>
      </c>
      <c r="L124" s="47">
        <f ca="1"/>
        <v>0</v>
      </c>
      <c r="M124" s="47">
        <f ca="1"/>
        <v>0</v>
      </c>
      <c r="N124" s="47">
        <f ca="1"/>
        <v>0</v>
      </c>
      <c r="O124" s="47">
        <f ca="1"/>
        <v>0</v>
      </c>
      <c r="P124" s="47">
        <f ca="1"/>
        <v>0</v>
      </c>
      <c r="Q124" s="49">
        <f ca="1"/>
        <v>0</v>
      </c>
      <c r="R124" s="49">
        <f ca="1"/>
        <v>0</v>
      </c>
      <c r="S124" s="49">
        <f ca="1"/>
        <v>0</v>
      </c>
      <c r="T124" s="49">
        <f ca="1"/>
        <v>0</v>
      </c>
      <c r="U124" s="49">
        <f ca="1"/>
        <v>0</v>
      </c>
      <c r="V124" s="49">
        <f ca="1"/>
        <v>0</v>
      </c>
      <c r="W124" s="49">
        <f ca="1"/>
        <v>0</v>
      </c>
      <c r="X124" s="48">
        <f ca="1"/>
        <v>0</v>
      </c>
      <c r="Y124" s="48">
        <f ca="1"/>
        <v>0</v>
      </c>
      <c r="Z124" s="48">
        <f ca="1"/>
        <v>0</v>
      </c>
      <c r="AA124" s="50">
        <f ca="1"/>
        <v>0</v>
      </c>
      <c r="AB124" s="14"/>
    </row>
    <row r="125" spans="1:28" s="10" customFormat="1" ht="15" hidden="1" customHeight="1" x14ac:dyDescent="0.45">
      <c r="A125" s="1783"/>
      <c r="B125" s="1777" t="s">
        <v>333</v>
      </c>
      <c r="C125" s="1265" t="s">
        <v>326</v>
      </c>
      <c r="D125" s="44">
        <f ca="1"/>
        <v>0</v>
      </c>
      <c r="E125" s="44">
        <f ca="1"/>
        <v>0</v>
      </c>
      <c r="F125" s="44">
        <f ca="1"/>
        <v>0</v>
      </c>
      <c r="G125" s="44">
        <f ca="1"/>
        <v>0</v>
      </c>
      <c r="H125" s="44">
        <f ca="1"/>
        <v>0</v>
      </c>
      <c r="I125" s="44">
        <f ca="1"/>
        <v>0</v>
      </c>
      <c r="J125" s="44">
        <f ca="1"/>
        <v>0</v>
      </c>
      <c r="K125" s="44">
        <f ca="1"/>
        <v>0</v>
      </c>
      <c r="L125" s="44">
        <f ca="1"/>
        <v>0</v>
      </c>
      <c r="M125" s="45">
        <f ca="1"/>
        <v>0</v>
      </c>
      <c r="N125" s="45">
        <f ca="1"/>
        <v>0</v>
      </c>
      <c r="O125" s="45">
        <f ca="1"/>
        <v>0</v>
      </c>
      <c r="P125" s="45">
        <f ca="1"/>
        <v>0</v>
      </c>
      <c r="Q125" s="55">
        <f ca="1"/>
        <v>0</v>
      </c>
      <c r="R125" s="45">
        <f ca="1"/>
        <v>0</v>
      </c>
      <c r="S125" s="45">
        <f ca="1"/>
        <v>0</v>
      </c>
      <c r="T125" s="45">
        <f ca="1"/>
        <v>0</v>
      </c>
      <c r="U125" s="45">
        <f ca="1"/>
        <v>0</v>
      </c>
      <c r="V125" s="45">
        <f ca="1"/>
        <v>0</v>
      </c>
      <c r="W125" s="45">
        <f ca="1"/>
        <v>0</v>
      </c>
      <c r="X125" s="45">
        <f ca="1"/>
        <v>0</v>
      </c>
      <c r="Y125" s="45">
        <f ca="1"/>
        <v>0</v>
      </c>
      <c r="Z125" s="45">
        <f ca="1"/>
        <v>0</v>
      </c>
      <c r="AA125" s="46">
        <f ca="1"/>
        <v>0</v>
      </c>
      <c r="AB125" s="14"/>
    </row>
    <row r="126" spans="1:28" s="10" customFormat="1" ht="15" hidden="1" customHeight="1" x14ac:dyDescent="0.45">
      <c r="A126" s="1784"/>
      <c r="B126" s="1778"/>
      <c r="C126" s="1267" t="s">
        <v>327</v>
      </c>
      <c r="D126" s="56">
        <f ca="1"/>
        <v>0</v>
      </c>
      <c r="E126" s="56">
        <f ca="1"/>
        <v>0</v>
      </c>
      <c r="F126" s="56">
        <f ca="1"/>
        <v>0</v>
      </c>
      <c r="G126" s="56">
        <f ca="1"/>
        <v>0</v>
      </c>
      <c r="H126" s="56">
        <f ca="1"/>
        <v>0</v>
      </c>
      <c r="I126" s="56">
        <f ca="1"/>
        <v>0</v>
      </c>
      <c r="J126" s="56">
        <f ca="1"/>
        <v>0</v>
      </c>
      <c r="K126" s="56">
        <f ca="1"/>
        <v>0</v>
      </c>
      <c r="L126" s="56">
        <f ca="1"/>
        <v>0</v>
      </c>
      <c r="M126" s="57">
        <f ca="1"/>
        <v>0</v>
      </c>
      <c r="N126" s="57">
        <f ca="1"/>
        <v>0</v>
      </c>
      <c r="O126" s="57">
        <f ca="1"/>
        <v>0</v>
      </c>
      <c r="P126" s="57">
        <f ca="1"/>
        <v>0</v>
      </c>
      <c r="Q126" s="58">
        <f ca="1"/>
        <v>0</v>
      </c>
      <c r="R126" s="57">
        <f ca="1"/>
        <v>0</v>
      </c>
      <c r="S126" s="57">
        <f ca="1"/>
        <v>0</v>
      </c>
      <c r="T126" s="57">
        <f ca="1"/>
        <v>0</v>
      </c>
      <c r="U126" s="57">
        <f ca="1"/>
        <v>0</v>
      </c>
      <c r="V126" s="57">
        <f ca="1"/>
        <v>0</v>
      </c>
      <c r="W126" s="57">
        <f ca="1"/>
        <v>0</v>
      </c>
      <c r="X126" s="57">
        <f ca="1"/>
        <v>0</v>
      </c>
      <c r="Y126" s="57">
        <f ca="1"/>
        <v>0</v>
      </c>
      <c r="Z126" s="57">
        <f ca="1"/>
        <v>0</v>
      </c>
      <c r="AA126" s="59">
        <f ca="1"/>
        <v>0</v>
      </c>
      <c r="AB126" s="14"/>
    </row>
    <row r="127" spans="1:28" s="10" customFormat="1" ht="15" hidden="1" customHeight="1" x14ac:dyDescent="0.45">
      <c r="A127" s="1782" t="s">
        <v>659</v>
      </c>
      <c r="B127" s="1773" t="s">
        <v>325</v>
      </c>
      <c r="C127" s="1268" t="s">
        <v>326</v>
      </c>
      <c r="D127" s="40">
        <f t="array" ref="D127:AA140" ca="1">IF(INDEX(sessions_WUWD,1,plan_session_allocation) = "Yes", athlete_WUWD_duration, 0)</f>
        <v>0</v>
      </c>
      <c r="E127" s="40">
        <f ca="1"/>
        <v>0</v>
      </c>
      <c r="F127" s="40">
        <f ca="1"/>
        <v>0</v>
      </c>
      <c r="G127" s="40">
        <f ca="1"/>
        <v>0</v>
      </c>
      <c r="H127" s="40">
        <f ca="1"/>
        <v>0</v>
      </c>
      <c r="I127" s="51">
        <f ca="1"/>
        <v>0</v>
      </c>
      <c r="J127" s="51">
        <f ca="1"/>
        <v>0</v>
      </c>
      <c r="K127" s="40">
        <f ca="1"/>
        <v>0</v>
      </c>
      <c r="L127" s="40">
        <f ca="1"/>
        <v>0</v>
      </c>
      <c r="M127" s="42">
        <f ca="1"/>
        <v>0</v>
      </c>
      <c r="N127" s="42">
        <f ca="1"/>
        <v>0</v>
      </c>
      <c r="O127" s="42">
        <f ca="1"/>
        <v>0</v>
      </c>
      <c r="P127" s="42">
        <f ca="1"/>
        <v>0</v>
      </c>
      <c r="Q127" s="42">
        <f ca="1"/>
        <v>0</v>
      </c>
      <c r="R127" s="42">
        <f ca="1"/>
        <v>0</v>
      </c>
      <c r="S127" s="42">
        <f ca="1"/>
        <v>0</v>
      </c>
      <c r="T127" s="42">
        <f ca="1"/>
        <v>0</v>
      </c>
      <c r="U127" s="42">
        <f ca="1"/>
        <v>0</v>
      </c>
      <c r="V127" s="42">
        <f ca="1"/>
        <v>0</v>
      </c>
      <c r="W127" s="42">
        <f ca="1"/>
        <v>0</v>
      </c>
      <c r="X127" s="42">
        <f ca="1"/>
        <v>0</v>
      </c>
      <c r="Y127" s="42">
        <f ca="1"/>
        <v>0</v>
      </c>
      <c r="Z127" s="42">
        <f ca="1"/>
        <v>0</v>
      </c>
      <c r="AA127" s="90">
        <f ca="1"/>
        <v>0</v>
      </c>
      <c r="AB127" s="14"/>
    </row>
    <row r="128" spans="1:28" s="10" customFormat="1" ht="15" hidden="1" customHeight="1" x14ac:dyDescent="0.45">
      <c r="A128" s="1783"/>
      <c r="B128" s="1774"/>
      <c r="C128" s="1265" t="s">
        <v>327</v>
      </c>
      <c r="D128" s="44">
        <f ca="1"/>
        <v>0</v>
      </c>
      <c r="E128" s="44">
        <f ca="1"/>
        <v>0</v>
      </c>
      <c r="F128" s="44">
        <f ca="1"/>
        <v>0</v>
      </c>
      <c r="G128" s="44">
        <f ca="1"/>
        <v>0</v>
      </c>
      <c r="H128" s="44">
        <f ca="1"/>
        <v>0</v>
      </c>
      <c r="I128" s="44">
        <f ca="1"/>
        <v>0</v>
      </c>
      <c r="J128" s="44">
        <f ca="1"/>
        <v>0</v>
      </c>
      <c r="K128" s="44">
        <f ca="1"/>
        <v>0</v>
      </c>
      <c r="L128" s="44">
        <f ca="1"/>
        <v>0</v>
      </c>
      <c r="M128" s="44">
        <f ca="1"/>
        <v>0</v>
      </c>
      <c r="N128" s="44">
        <f ca="1"/>
        <v>0</v>
      </c>
      <c r="O128" s="44">
        <f ca="1"/>
        <v>0</v>
      </c>
      <c r="P128" s="44">
        <f ca="1"/>
        <v>0</v>
      </c>
      <c r="Q128" s="44">
        <f ca="1"/>
        <v>0</v>
      </c>
      <c r="R128" s="44">
        <f ca="1"/>
        <v>0</v>
      </c>
      <c r="S128" s="44">
        <f ca="1"/>
        <v>0</v>
      </c>
      <c r="T128" s="44">
        <f ca="1"/>
        <v>0</v>
      </c>
      <c r="U128" s="44">
        <f ca="1"/>
        <v>0</v>
      </c>
      <c r="V128" s="44">
        <f ca="1"/>
        <v>0</v>
      </c>
      <c r="W128" s="44">
        <f ca="1"/>
        <v>0</v>
      </c>
      <c r="X128" s="55">
        <f ca="1"/>
        <v>0</v>
      </c>
      <c r="Y128" s="55">
        <f ca="1"/>
        <v>0</v>
      </c>
      <c r="Z128" s="55">
        <f ca="1"/>
        <v>0</v>
      </c>
      <c r="AA128" s="91">
        <f ca="1"/>
        <v>0</v>
      </c>
      <c r="AB128" s="14"/>
    </row>
    <row r="129" spans="1:28" s="10" customFormat="1" ht="15" hidden="1" customHeight="1" x14ac:dyDescent="0.45">
      <c r="A129" s="1783"/>
      <c r="B129" s="1775" t="s">
        <v>328</v>
      </c>
      <c r="C129" s="1266" t="s">
        <v>326</v>
      </c>
      <c r="D129" s="47">
        <f ca="1"/>
        <v>0</v>
      </c>
      <c r="E129" s="47">
        <f ca="1"/>
        <v>0</v>
      </c>
      <c r="F129" s="47">
        <f ca="1"/>
        <v>0</v>
      </c>
      <c r="G129" s="47">
        <f ca="1"/>
        <v>0</v>
      </c>
      <c r="H129" s="47">
        <f ca="1"/>
        <v>0</v>
      </c>
      <c r="I129" s="47">
        <f ca="1"/>
        <v>0</v>
      </c>
      <c r="J129" s="47">
        <f ca="1"/>
        <v>0</v>
      </c>
      <c r="K129" s="47">
        <f ca="1"/>
        <v>0</v>
      </c>
      <c r="L129" s="47">
        <f ca="1"/>
        <v>0</v>
      </c>
      <c r="M129" s="47">
        <f ca="1"/>
        <v>0</v>
      </c>
      <c r="N129" s="47">
        <f ca="1"/>
        <v>0</v>
      </c>
      <c r="O129" s="47">
        <f ca="1"/>
        <v>0</v>
      </c>
      <c r="P129" s="49">
        <f ca="1"/>
        <v>0</v>
      </c>
      <c r="Q129" s="49">
        <f ca="1"/>
        <v>0</v>
      </c>
      <c r="R129" s="49">
        <f ca="1"/>
        <v>0</v>
      </c>
      <c r="S129" s="49">
        <f ca="1"/>
        <v>0</v>
      </c>
      <c r="T129" s="49">
        <f ca="1"/>
        <v>0</v>
      </c>
      <c r="U129" s="49">
        <f ca="1"/>
        <v>0</v>
      </c>
      <c r="V129" s="49">
        <f ca="1"/>
        <v>0</v>
      </c>
      <c r="W129" s="49">
        <f ca="1"/>
        <v>0</v>
      </c>
      <c r="X129" s="49">
        <f ca="1"/>
        <v>0</v>
      </c>
      <c r="Y129" s="49">
        <f ca="1"/>
        <v>0</v>
      </c>
      <c r="Z129" s="49">
        <f ca="1"/>
        <v>0</v>
      </c>
      <c r="AA129" s="92">
        <f ca="1"/>
        <v>0</v>
      </c>
      <c r="AB129" s="14"/>
    </row>
    <row r="130" spans="1:28" s="10" customFormat="1" ht="15" hidden="1" customHeight="1" x14ac:dyDescent="0.45">
      <c r="A130" s="1783"/>
      <c r="B130" s="1776"/>
      <c r="C130" s="1266" t="s">
        <v>327</v>
      </c>
      <c r="D130" s="47">
        <f ca="1"/>
        <v>15</v>
      </c>
      <c r="E130" s="47">
        <f ca="1"/>
        <v>15</v>
      </c>
      <c r="F130" s="47">
        <f ca="1"/>
        <v>15</v>
      </c>
      <c r="G130" s="47">
        <f ca="1"/>
        <v>15</v>
      </c>
      <c r="H130" s="47">
        <f ca="1"/>
        <v>15</v>
      </c>
      <c r="I130" s="47">
        <f ca="1"/>
        <v>15</v>
      </c>
      <c r="J130" s="47">
        <f ca="1"/>
        <v>15</v>
      </c>
      <c r="K130" s="47">
        <f ca="1"/>
        <v>15</v>
      </c>
      <c r="L130" s="47">
        <f ca="1"/>
        <v>15</v>
      </c>
      <c r="M130" s="47">
        <f ca="1"/>
        <v>0</v>
      </c>
      <c r="N130" s="47">
        <f ca="1"/>
        <v>0</v>
      </c>
      <c r="O130" s="47">
        <f ca="1"/>
        <v>15</v>
      </c>
      <c r="P130" s="47">
        <f ca="1"/>
        <v>15</v>
      </c>
      <c r="Q130" s="49">
        <f ca="1"/>
        <v>15</v>
      </c>
      <c r="R130" s="49">
        <f ca="1"/>
        <v>15</v>
      </c>
      <c r="S130" s="49">
        <f ca="1"/>
        <v>15</v>
      </c>
      <c r="T130" s="49">
        <f ca="1"/>
        <v>0</v>
      </c>
      <c r="U130" s="49">
        <f ca="1"/>
        <v>15</v>
      </c>
      <c r="V130" s="49">
        <f ca="1"/>
        <v>15</v>
      </c>
      <c r="W130" s="49">
        <f ca="1"/>
        <v>0</v>
      </c>
      <c r="X130" s="49">
        <f ca="1"/>
        <v>0</v>
      </c>
      <c r="Y130" s="49">
        <f ca="1"/>
        <v>0</v>
      </c>
      <c r="Z130" s="49">
        <f ca="1"/>
        <v>0</v>
      </c>
      <c r="AA130" s="92">
        <f ca="1"/>
        <v>0</v>
      </c>
      <c r="AB130" s="14"/>
    </row>
    <row r="131" spans="1:28" s="10" customFormat="1" ht="15" hidden="1" customHeight="1" x14ac:dyDescent="0.45">
      <c r="A131" s="1783"/>
      <c r="B131" s="1777" t="s">
        <v>329</v>
      </c>
      <c r="C131" s="1235" t="s">
        <v>326</v>
      </c>
      <c r="D131" s="51">
        <f ca="1"/>
        <v>0</v>
      </c>
      <c r="E131" s="51">
        <f ca="1"/>
        <v>0</v>
      </c>
      <c r="F131" s="51">
        <f ca="1"/>
        <v>0</v>
      </c>
      <c r="G131" s="51">
        <f ca="1"/>
        <v>0</v>
      </c>
      <c r="H131" s="51">
        <f ca="1"/>
        <v>0</v>
      </c>
      <c r="I131" s="51">
        <f ca="1"/>
        <v>0</v>
      </c>
      <c r="J131" s="51">
        <f ca="1"/>
        <v>0</v>
      </c>
      <c r="K131" s="51">
        <f ca="1"/>
        <v>0</v>
      </c>
      <c r="L131" s="51">
        <f ca="1"/>
        <v>0</v>
      </c>
      <c r="M131" s="53">
        <f ca="1"/>
        <v>0</v>
      </c>
      <c r="N131" s="53">
        <f ca="1"/>
        <v>0</v>
      </c>
      <c r="O131" s="53">
        <f ca="1"/>
        <v>0</v>
      </c>
      <c r="P131" s="53">
        <f ca="1"/>
        <v>0</v>
      </c>
      <c r="Q131" s="53">
        <f ca="1"/>
        <v>0</v>
      </c>
      <c r="R131" s="53">
        <f ca="1"/>
        <v>0</v>
      </c>
      <c r="S131" s="53">
        <f ca="1"/>
        <v>0</v>
      </c>
      <c r="T131" s="53">
        <f ca="1"/>
        <v>0</v>
      </c>
      <c r="U131" s="53">
        <f ca="1"/>
        <v>0</v>
      </c>
      <c r="V131" s="53">
        <f ca="1"/>
        <v>0</v>
      </c>
      <c r="W131" s="53">
        <f ca="1"/>
        <v>0</v>
      </c>
      <c r="X131" s="53">
        <f ca="1"/>
        <v>0</v>
      </c>
      <c r="Y131" s="53">
        <f ca="1"/>
        <v>0</v>
      </c>
      <c r="Z131" s="53">
        <f ca="1"/>
        <v>0</v>
      </c>
      <c r="AA131" s="93">
        <f ca="1"/>
        <v>0</v>
      </c>
      <c r="AB131" s="14"/>
    </row>
    <row r="132" spans="1:28" s="10" customFormat="1" ht="15" hidden="1" customHeight="1" x14ac:dyDescent="0.45">
      <c r="A132" s="1783"/>
      <c r="B132" s="1774"/>
      <c r="C132" s="1265" t="s">
        <v>327</v>
      </c>
      <c r="D132" s="44">
        <f ca="1"/>
        <v>0</v>
      </c>
      <c r="E132" s="44">
        <f ca="1"/>
        <v>0</v>
      </c>
      <c r="F132" s="44">
        <f ca="1"/>
        <v>0</v>
      </c>
      <c r="G132" s="44">
        <f ca="1"/>
        <v>0</v>
      </c>
      <c r="H132" s="44">
        <f ca="1"/>
        <v>0</v>
      </c>
      <c r="I132" s="44">
        <f ca="1"/>
        <v>0</v>
      </c>
      <c r="J132" s="44">
        <f ca="1"/>
        <v>0</v>
      </c>
      <c r="K132" s="44">
        <f ca="1"/>
        <v>0</v>
      </c>
      <c r="L132" s="44">
        <f ca="1"/>
        <v>0</v>
      </c>
      <c r="M132" s="44">
        <f ca="1"/>
        <v>0</v>
      </c>
      <c r="N132" s="44">
        <f ca="1"/>
        <v>0</v>
      </c>
      <c r="O132" s="44">
        <f ca="1"/>
        <v>0</v>
      </c>
      <c r="P132" s="44">
        <f ca="1"/>
        <v>0</v>
      </c>
      <c r="Q132" s="44">
        <f ca="1"/>
        <v>0</v>
      </c>
      <c r="R132" s="44">
        <f ca="1"/>
        <v>0</v>
      </c>
      <c r="S132" s="44">
        <f ca="1"/>
        <v>0</v>
      </c>
      <c r="T132" s="44">
        <f ca="1"/>
        <v>0</v>
      </c>
      <c r="U132" s="44">
        <f ca="1"/>
        <v>0</v>
      </c>
      <c r="V132" s="44">
        <f ca="1"/>
        <v>0</v>
      </c>
      <c r="W132" s="44">
        <f ca="1"/>
        <v>0</v>
      </c>
      <c r="X132" s="55">
        <f ca="1"/>
        <v>0</v>
      </c>
      <c r="Y132" s="55">
        <f ca="1"/>
        <v>0</v>
      </c>
      <c r="Z132" s="55">
        <f ca="1"/>
        <v>0</v>
      </c>
      <c r="AA132" s="91">
        <f ca="1"/>
        <v>0</v>
      </c>
      <c r="AB132" s="14"/>
    </row>
    <row r="133" spans="1:28" s="10" customFormat="1" ht="15" hidden="1" customHeight="1" x14ac:dyDescent="0.45">
      <c r="A133" s="1783"/>
      <c r="B133" s="1775" t="s">
        <v>330</v>
      </c>
      <c r="C133" s="1266" t="s">
        <v>326</v>
      </c>
      <c r="D133" s="47">
        <f ca="1"/>
        <v>0</v>
      </c>
      <c r="E133" s="47">
        <f ca="1"/>
        <v>0</v>
      </c>
      <c r="F133" s="47">
        <f ca="1"/>
        <v>0</v>
      </c>
      <c r="G133" s="47">
        <f ca="1"/>
        <v>0</v>
      </c>
      <c r="H133" s="47">
        <f ca="1"/>
        <v>0</v>
      </c>
      <c r="I133" s="47">
        <f ca="1"/>
        <v>0</v>
      </c>
      <c r="J133" s="47">
        <f ca="1"/>
        <v>0</v>
      </c>
      <c r="K133" s="47">
        <f ca="1"/>
        <v>0</v>
      </c>
      <c r="L133" s="47">
        <f ca="1"/>
        <v>0</v>
      </c>
      <c r="M133" s="47">
        <f ca="1"/>
        <v>0</v>
      </c>
      <c r="N133" s="47">
        <f ca="1"/>
        <v>0</v>
      </c>
      <c r="O133" s="47">
        <f ca="1"/>
        <v>0</v>
      </c>
      <c r="P133" s="49">
        <f ca="1"/>
        <v>0</v>
      </c>
      <c r="Q133" s="49">
        <f ca="1"/>
        <v>0</v>
      </c>
      <c r="R133" s="49">
        <f ca="1"/>
        <v>0</v>
      </c>
      <c r="S133" s="49">
        <f ca="1"/>
        <v>0</v>
      </c>
      <c r="T133" s="49">
        <f ca="1"/>
        <v>0</v>
      </c>
      <c r="U133" s="49">
        <f ca="1"/>
        <v>0</v>
      </c>
      <c r="V133" s="49">
        <f ca="1"/>
        <v>0</v>
      </c>
      <c r="W133" s="49">
        <f ca="1"/>
        <v>0</v>
      </c>
      <c r="X133" s="49">
        <f ca="1"/>
        <v>0</v>
      </c>
      <c r="Y133" s="49">
        <f ca="1"/>
        <v>0</v>
      </c>
      <c r="Z133" s="49">
        <f ca="1"/>
        <v>0</v>
      </c>
      <c r="AA133" s="92">
        <f ca="1"/>
        <v>0</v>
      </c>
      <c r="AB133" s="14"/>
    </row>
    <row r="134" spans="1:28" s="10" customFormat="1" ht="15" hidden="1" customHeight="1" x14ac:dyDescent="0.45">
      <c r="A134" s="1783"/>
      <c r="B134" s="1776"/>
      <c r="C134" s="1266" t="s">
        <v>327</v>
      </c>
      <c r="D134" s="47">
        <f ca="1"/>
        <v>0</v>
      </c>
      <c r="E134" s="47">
        <f ca="1"/>
        <v>0</v>
      </c>
      <c r="F134" s="47">
        <f ca="1"/>
        <v>0</v>
      </c>
      <c r="G134" s="47">
        <f ca="1"/>
        <v>0</v>
      </c>
      <c r="H134" s="47">
        <f ca="1"/>
        <v>0</v>
      </c>
      <c r="I134" s="47">
        <f ca="1"/>
        <v>0</v>
      </c>
      <c r="J134" s="47">
        <f ca="1"/>
        <v>0</v>
      </c>
      <c r="K134" s="47">
        <f ca="1"/>
        <v>0</v>
      </c>
      <c r="L134" s="47">
        <f ca="1"/>
        <v>0</v>
      </c>
      <c r="M134" s="47">
        <f ca="1"/>
        <v>0</v>
      </c>
      <c r="N134" s="47">
        <f ca="1"/>
        <v>0</v>
      </c>
      <c r="O134" s="49">
        <f ca="1"/>
        <v>15</v>
      </c>
      <c r="P134" s="47">
        <f ca="1"/>
        <v>15</v>
      </c>
      <c r="Q134" s="49">
        <f ca="1"/>
        <v>15</v>
      </c>
      <c r="R134" s="49">
        <f ca="1"/>
        <v>15</v>
      </c>
      <c r="S134" s="49">
        <f ca="1"/>
        <v>15</v>
      </c>
      <c r="T134" s="49">
        <f ca="1"/>
        <v>0</v>
      </c>
      <c r="U134" s="49">
        <f ca="1"/>
        <v>15</v>
      </c>
      <c r="V134" s="49">
        <f ca="1"/>
        <v>0</v>
      </c>
      <c r="W134" s="49">
        <f ca="1"/>
        <v>0</v>
      </c>
      <c r="X134" s="49">
        <f ca="1"/>
        <v>0</v>
      </c>
      <c r="Y134" s="49">
        <f ca="1"/>
        <v>0</v>
      </c>
      <c r="Z134" s="49">
        <f ca="1"/>
        <v>0</v>
      </c>
      <c r="AA134" s="92">
        <f ca="1"/>
        <v>0</v>
      </c>
      <c r="AB134" s="14"/>
    </row>
    <row r="135" spans="1:28" s="10" customFormat="1" ht="15" hidden="1" customHeight="1" x14ac:dyDescent="0.45">
      <c r="A135" s="1783"/>
      <c r="B135" s="1777" t="s">
        <v>331</v>
      </c>
      <c r="C135" s="1235" t="s">
        <v>326</v>
      </c>
      <c r="D135" s="51">
        <f ca="1"/>
        <v>0</v>
      </c>
      <c r="E135" s="51">
        <f ca="1"/>
        <v>0</v>
      </c>
      <c r="F135" s="51">
        <f ca="1"/>
        <v>0</v>
      </c>
      <c r="G135" s="51">
        <f ca="1"/>
        <v>0</v>
      </c>
      <c r="H135" s="51">
        <f ca="1"/>
        <v>0</v>
      </c>
      <c r="I135" s="51">
        <f ca="1"/>
        <v>0</v>
      </c>
      <c r="J135" s="51">
        <f ca="1"/>
        <v>0</v>
      </c>
      <c r="K135" s="51">
        <f ca="1"/>
        <v>0</v>
      </c>
      <c r="L135" s="51">
        <f ca="1"/>
        <v>0</v>
      </c>
      <c r="M135" s="53">
        <f ca="1"/>
        <v>0</v>
      </c>
      <c r="N135" s="53">
        <f ca="1"/>
        <v>0</v>
      </c>
      <c r="O135" s="53">
        <f ca="1"/>
        <v>0</v>
      </c>
      <c r="P135" s="53">
        <f ca="1"/>
        <v>0</v>
      </c>
      <c r="Q135" s="53">
        <f ca="1"/>
        <v>0</v>
      </c>
      <c r="R135" s="53">
        <f ca="1"/>
        <v>0</v>
      </c>
      <c r="S135" s="53">
        <f ca="1"/>
        <v>0</v>
      </c>
      <c r="T135" s="53">
        <f ca="1"/>
        <v>0</v>
      </c>
      <c r="U135" s="53">
        <f ca="1"/>
        <v>0</v>
      </c>
      <c r="V135" s="53">
        <f ca="1"/>
        <v>0</v>
      </c>
      <c r="W135" s="53">
        <f ca="1"/>
        <v>0</v>
      </c>
      <c r="X135" s="53">
        <f ca="1"/>
        <v>0</v>
      </c>
      <c r="Y135" s="53">
        <f ca="1"/>
        <v>0</v>
      </c>
      <c r="Z135" s="53">
        <f ca="1"/>
        <v>0</v>
      </c>
      <c r="AA135" s="93">
        <f ca="1"/>
        <v>0</v>
      </c>
      <c r="AB135" s="14"/>
    </row>
    <row r="136" spans="1:28" s="10" customFormat="1" ht="15" hidden="1" customHeight="1" x14ac:dyDescent="0.45">
      <c r="A136" s="1783"/>
      <c r="B136" s="1774"/>
      <c r="C136" s="1265" t="s">
        <v>327</v>
      </c>
      <c r="D136" s="44">
        <f ca="1"/>
        <v>0</v>
      </c>
      <c r="E136" s="44">
        <f ca="1"/>
        <v>0</v>
      </c>
      <c r="F136" s="44">
        <f ca="1"/>
        <v>0</v>
      </c>
      <c r="G136" s="44">
        <f ca="1"/>
        <v>0</v>
      </c>
      <c r="H136" s="44">
        <f ca="1"/>
        <v>0</v>
      </c>
      <c r="I136" s="44">
        <f ca="1"/>
        <v>0</v>
      </c>
      <c r="J136" s="44">
        <f ca="1"/>
        <v>0</v>
      </c>
      <c r="K136" s="44">
        <f ca="1"/>
        <v>0</v>
      </c>
      <c r="L136" s="44">
        <f ca="1"/>
        <v>0</v>
      </c>
      <c r="M136" s="44">
        <f ca="1"/>
        <v>0</v>
      </c>
      <c r="N136" s="44">
        <f ca="1"/>
        <v>0</v>
      </c>
      <c r="O136" s="44">
        <f ca="1"/>
        <v>0</v>
      </c>
      <c r="P136" s="44">
        <f ca="1"/>
        <v>0</v>
      </c>
      <c r="Q136" s="44">
        <f ca="1"/>
        <v>0</v>
      </c>
      <c r="R136" s="44">
        <f ca="1"/>
        <v>0</v>
      </c>
      <c r="S136" s="44">
        <f ca="1"/>
        <v>0</v>
      </c>
      <c r="T136" s="44">
        <f ca="1"/>
        <v>15</v>
      </c>
      <c r="U136" s="44">
        <f ca="1"/>
        <v>0</v>
      </c>
      <c r="V136" s="44">
        <f ca="1"/>
        <v>0</v>
      </c>
      <c r="W136" s="44">
        <f ca="1"/>
        <v>0</v>
      </c>
      <c r="X136" s="55">
        <f ca="1"/>
        <v>0</v>
      </c>
      <c r="Y136" s="55">
        <f ca="1"/>
        <v>0</v>
      </c>
      <c r="Z136" s="55">
        <f ca="1"/>
        <v>0</v>
      </c>
      <c r="AA136" s="91">
        <f ca="1"/>
        <v>0</v>
      </c>
      <c r="AB136" s="14"/>
    </row>
    <row r="137" spans="1:28" s="10" customFormat="1" ht="15" hidden="1" customHeight="1" x14ac:dyDescent="0.45">
      <c r="A137" s="1783"/>
      <c r="B137" s="1775" t="s">
        <v>332</v>
      </c>
      <c r="C137" s="1266" t="s">
        <v>326</v>
      </c>
      <c r="D137" s="47">
        <f ca="1"/>
        <v>15</v>
      </c>
      <c r="E137" s="47">
        <f ca="1"/>
        <v>15</v>
      </c>
      <c r="F137" s="47">
        <f ca="1"/>
        <v>15</v>
      </c>
      <c r="G137" s="47">
        <f ca="1"/>
        <v>15</v>
      </c>
      <c r="H137" s="47">
        <f ca="1"/>
        <v>15</v>
      </c>
      <c r="I137" s="47">
        <f ca="1"/>
        <v>0</v>
      </c>
      <c r="J137" s="47">
        <f ca="1"/>
        <v>15</v>
      </c>
      <c r="K137" s="47">
        <f ca="1"/>
        <v>15</v>
      </c>
      <c r="L137" s="47">
        <f ca="1"/>
        <v>15</v>
      </c>
      <c r="M137" s="47">
        <f ca="1"/>
        <v>0</v>
      </c>
      <c r="N137" s="47">
        <f ca="1"/>
        <v>0</v>
      </c>
      <c r="O137" s="47">
        <f ca="1"/>
        <v>0</v>
      </c>
      <c r="P137" s="49">
        <f ca="1"/>
        <v>0</v>
      </c>
      <c r="Q137" s="49">
        <f ca="1"/>
        <v>0</v>
      </c>
      <c r="R137" s="49">
        <f ca="1"/>
        <v>0</v>
      </c>
      <c r="S137" s="49">
        <f ca="1"/>
        <v>0</v>
      </c>
      <c r="T137" s="49">
        <f ca="1"/>
        <v>15</v>
      </c>
      <c r="U137" s="49">
        <f ca="1"/>
        <v>0</v>
      </c>
      <c r="V137" s="49">
        <f ca="1"/>
        <v>15</v>
      </c>
      <c r="W137" s="49">
        <f ca="1"/>
        <v>0</v>
      </c>
      <c r="X137" s="49">
        <f ca="1"/>
        <v>0</v>
      </c>
      <c r="Y137" s="49">
        <f ca="1"/>
        <v>0</v>
      </c>
      <c r="Z137" s="49">
        <f ca="1"/>
        <v>0</v>
      </c>
      <c r="AA137" s="92">
        <f ca="1"/>
        <v>0</v>
      </c>
      <c r="AB137" s="14"/>
    </row>
    <row r="138" spans="1:28" s="10" customFormat="1" ht="15" hidden="1" customHeight="1" x14ac:dyDescent="0.45">
      <c r="A138" s="1783"/>
      <c r="B138" s="1776"/>
      <c r="C138" s="1266" t="s">
        <v>327</v>
      </c>
      <c r="D138" s="47">
        <f ca="1"/>
        <v>0</v>
      </c>
      <c r="E138" s="47">
        <f ca="1"/>
        <v>0</v>
      </c>
      <c r="F138" s="47">
        <f ca="1"/>
        <v>0</v>
      </c>
      <c r="G138" s="47">
        <f ca="1"/>
        <v>0</v>
      </c>
      <c r="H138" s="47">
        <f ca="1"/>
        <v>0</v>
      </c>
      <c r="I138" s="47">
        <f ca="1"/>
        <v>0</v>
      </c>
      <c r="J138" s="47">
        <f ca="1"/>
        <v>0</v>
      </c>
      <c r="K138" s="47">
        <f ca="1"/>
        <v>0</v>
      </c>
      <c r="L138" s="47">
        <f ca="1"/>
        <v>0</v>
      </c>
      <c r="M138" s="47">
        <f ca="1"/>
        <v>0</v>
      </c>
      <c r="N138" s="47">
        <f ca="1"/>
        <v>0</v>
      </c>
      <c r="O138" s="47">
        <f ca="1"/>
        <v>0</v>
      </c>
      <c r="P138" s="47">
        <f ca="1"/>
        <v>0</v>
      </c>
      <c r="Q138" s="49">
        <f ca="1"/>
        <v>0</v>
      </c>
      <c r="R138" s="49">
        <f ca="1"/>
        <v>0</v>
      </c>
      <c r="S138" s="49">
        <f ca="1"/>
        <v>0</v>
      </c>
      <c r="T138" s="49">
        <f ca="1"/>
        <v>0</v>
      </c>
      <c r="U138" s="49">
        <f ca="1"/>
        <v>0</v>
      </c>
      <c r="V138" s="49">
        <f ca="1"/>
        <v>0</v>
      </c>
      <c r="W138" s="49">
        <f ca="1"/>
        <v>0</v>
      </c>
      <c r="X138" s="49">
        <f ca="1"/>
        <v>0</v>
      </c>
      <c r="Y138" s="49">
        <f ca="1"/>
        <v>0</v>
      </c>
      <c r="Z138" s="49">
        <f ca="1"/>
        <v>0</v>
      </c>
      <c r="AA138" s="92">
        <f ca="1"/>
        <v>0</v>
      </c>
      <c r="AB138" s="14"/>
    </row>
    <row r="139" spans="1:28" s="10" customFormat="1" ht="15" hidden="1" customHeight="1" x14ac:dyDescent="0.45">
      <c r="A139" s="1783"/>
      <c r="B139" s="1777" t="s">
        <v>333</v>
      </c>
      <c r="C139" s="1265" t="s">
        <v>326</v>
      </c>
      <c r="D139" s="44">
        <f ca="1"/>
        <v>0</v>
      </c>
      <c r="E139" s="44">
        <f ca="1"/>
        <v>0</v>
      </c>
      <c r="F139" s="44">
        <f ca="1"/>
        <v>0</v>
      </c>
      <c r="G139" s="44">
        <f ca="1"/>
        <v>0</v>
      </c>
      <c r="H139" s="44">
        <f ca="1"/>
        <v>0</v>
      </c>
      <c r="I139" s="44">
        <f ca="1"/>
        <v>0</v>
      </c>
      <c r="J139" s="44">
        <f ca="1"/>
        <v>0</v>
      </c>
      <c r="K139" s="44">
        <f ca="1"/>
        <v>0</v>
      </c>
      <c r="L139" s="44">
        <f ca="1"/>
        <v>0</v>
      </c>
      <c r="M139" s="55">
        <f ca="1"/>
        <v>0</v>
      </c>
      <c r="N139" s="55">
        <f ca="1"/>
        <v>0</v>
      </c>
      <c r="O139" s="55">
        <f ca="1"/>
        <v>0</v>
      </c>
      <c r="P139" s="55">
        <f ca="1"/>
        <v>0</v>
      </c>
      <c r="Q139" s="55">
        <f ca="1"/>
        <v>0</v>
      </c>
      <c r="R139" s="55">
        <f ca="1"/>
        <v>0</v>
      </c>
      <c r="S139" s="55">
        <f ca="1"/>
        <v>0</v>
      </c>
      <c r="T139" s="55">
        <f ca="1"/>
        <v>15</v>
      </c>
      <c r="U139" s="55">
        <f ca="1"/>
        <v>0</v>
      </c>
      <c r="V139" s="55">
        <f ca="1"/>
        <v>0</v>
      </c>
      <c r="W139" s="55">
        <f ca="1"/>
        <v>0</v>
      </c>
      <c r="X139" s="55">
        <f ca="1"/>
        <v>0</v>
      </c>
      <c r="Y139" s="55">
        <f ca="1"/>
        <v>0</v>
      </c>
      <c r="Z139" s="55">
        <f ca="1"/>
        <v>0</v>
      </c>
      <c r="AA139" s="91">
        <f ca="1"/>
        <v>0</v>
      </c>
      <c r="AB139" s="14"/>
    </row>
    <row r="140" spans="1:28" s="10" customFormat="1" ht="15" hidden="1" customHeight="1" x14ac:dyDescent="0.45">
      <c r="A140" s="1784"/>
      <c r="B140" s="1778"/>
      <c r="C140" s="1267" t="s">
        <v>327</v>
      </c>
      <c r="D140" s="56">
        <f ca="1"/>
        <v>0</v>
      </c>
      <c r="E140" s="56">
        <f ca="1"/>
        <v>0</v>
      </c>
      <c r="F140" s="56">
        <f ca="1"/>
        <v>0</v>
      </c>
      <c r="G140" s="56">
        <f ca="1"/>
        <v>0</v>
      </c>
      <c r="H140" s="56">
        <f ca="1"/>
        <v>0</v>
      </c>
      <c r="I140" s="56">
        <f ca="1"/>
        <v>0</v>
      </c>
      <c r="J140" s="56">
        <f ca="1"/>
        <v>0</v>
      </c>
      <c r="K140" s="56">
        <f ca="1"/>
        <v>0</v>
      </c>
      <c r="L140" s="56">
        <f ca="1"/>
        <v>0</v>
      </c>
      <c r="M140" s="58">
        <f ca="1"/>
        <v>0</v>
      </c>
      <c r="N140" s="58">
        <f ca="1"/>
        <v>0</v>
      </c>
      <c r="O140" s="58">
        <f ca="1"/>
        <v>0</v>
      </c>
      <c r="P140" s="58">
        <f ca="1"/>
        <v>0</v>
      </c>
      <c r="Q140" s="58">
        <f ca="1"/>
        <v>0</v>
      </c>
      <c r="R140" s="58">
        <f ca="1"/>
        <v>0</v>
      </c>
      <c r="S140" s="58">
        <f ca="1"/>
        <v>0</v>
      </c>
      <c r="T140" s="58">
        <f ca="1"/>
        <v>0</v>
      </c>
      <c r="U140" s="58">
        <f ca="1"/>
        <v>0</v>
      </c>
      <c r="V140" s="58">
        <f ca="1"/>
        <v>0</v>
      </c>
      <c r="W140" s="58">
        <f ca="1"/>
        <v>0</v>
      </c>
      <c r="X140" s="58">
        <f ca="1"/>
        <v>0</v>
      </c>
      <c r="Y140" s="58">
        <f ca="1"/>
        <v>0</v>
      </c>
      <c r="Z140" s="58">
        <f ca="1"/>
        <v>0</v>
      </c>
      <c r="AA140" s="94">
        <f ca="1"/>
        <v>0</v>
      </c>
      <c r="AB140" s="14"/>
    </row>
    <row r="141" spans="1:28" s="10" customFormat="1" ht="15" hidden="1" customHeight="1" x14ac:dyDescent="0.45">
      <c r="A141" s="1782" t="s">
        <v>660</v>
      </c>
      <c r="B141" s="1773" t="s">
        <v>325</v>
      </c>
      <c r="C141" s="1268" t="s">
        <v>326</v>
      </c>
      <c r="D141" s="40">
        <f t="array" aca="1" ref="D141:AA154" ca="1">IFERROR(IF(display_week="",0,
IF(INDEX(sessions_WUWD_tertiary,, plan_session_allocation) = "Yes", athlete_WUWD_duration, IF(INDEX(sessions_WUWD_tertiary,, plan_session_allocation) = "No", 0,
IF(INDEX(sessions_WUWD_secondary,, plan_session_allocation) = "Yes", athlete_WUWD_duration, IF(INDEX(sessions_WUWD_secondary,, plan_session_allocation) = "No", 0,
IF(INDEX(sessions_WUWD_primary,, plan_session_allocation) = "Yes", athlete_WUWD_duration, 0)))))), 0)</f>
        <v>0</v>
      </c>
      <c r="E141" s="40">
        <f ca="1"/>
        <v>0</v>
      </c>
      <c r="F141" s="40">
        <f ca="1"/>
        <v>0</v>
      </c>
      <c r="G141" s="40">
        <f ca="1"/>
        <v>0</v>
      </c>
      <c r="H141" s="40">
        <f ca="1"/>
        <v>0</v>
      </c>
      <c r="I141" s="40">
        <f ca="1"/>
        <v>0</v>
      </c>
      <c r="J141" s="51">
        <f ca="1"/>
        <v>0</v>
      </c>
      <c r="K141" s="51">
        <f ca="1"/>
        <v>0</v>
      </c>
      <c r="L141" s="40">
        <f ca="1"/>
        <v>0</v>
      </c>
      <c r="M141" s="42">
        <f ca="1"/>
        <v>0</v>
      </c>
      <c r="N141" s="42">
        <f ca="1"/>
        <v>0</v>
      </c>
      <c r="O141" s="42">
        <f ca="1"/>
        <v>0</v>
      </c>
      <c r="P141" s="42">
        <f ca="1"/>
        <v>0</v>
      </c>
      <c r="Q141" s="42">
        <f ca="1"/>
        <v>0</v>
      </c>
      <c r="R141" s="42">
        <f ca="1"/>
        <v>0</v>
      </c>
      <c r="S141" s="42">
        <f ca="1"/>
        <v>0</v>
      </c>
      <c r="T141" s="42">
        <f ca="1"/>
        <v>0</v>
      </c>
      <c r="U141" s="42">
        <f ca="1"/>
        <v>0</v>
      </c>
      <c r="V141" s="42">
        <f ca="1"/>
        <v>0</v>
      </c>
      <c r="W141" s="42">
        <f ca="1"/>
        <v>0</v>
      </c>
      <c r="X141" s="42">
        <f ca="1"/>
        <v>0</v>
      </c>
      <c r="Y141" s="42">
        <f ca="1"/>
        <v>0</v>
      </c>
      <c r="Z141" s="42">
        <f ca="1"/>
        <v>0</v>
      </c>
      <c r="AA141" s="90">
        <f ca="1"/>
        <v>0</v>
      </c>
      <c r="AB141" s="14"/>
    </row>
    <row r="142" spans="1:28" s="10" customFormat="1" ht="15" hidden="1" customHeight="1" x14ac:dyDescent="0.45">
      <c r="A142" s="1783"/>
      <c r="B142" s="1774"/>
      <c r="C142" s="1265" t="s">
        <v>327</v>
      </c>
      <c r="D142" s="44">
        <f ca="1"/>
        <v>0</v>
      </c>
      <c r="E142" s="44">
        <f ca="1"/>
        <v>0</v>
      </c>
      <c r="F142" s="44">
        <f ca="1"/>
        <v>0</v>
      </c>
      <c r="G142" s="44">
        <f ca="1"/>
        <v>0</v>
      </c>
      <c r="H142" s="44">
        <f ca="1"/>
        <v>0</v>
      </c>
      <c r="I142" s="44">
        <f ca="1"/>
        <v>0</v>
      </c>
      <c r="J142" s="44">
        <f ca="1"/>
        <v>0</v>
      </c>
      <c r="K142" s="44">
        <f ca="1"/>
        <v>0</v>
      </c>
      <c r="L142" s="44">
        <f ca="1"/>
        <v>0</v>
      </c>
      <c r="M142" s="44">
        <f ca="1"/>
        <v>0</v>
      </c>
      <c r="N142" s="44">
        <f ca="1"/>
        <v>0</v>
      </c>
      <c r="O142" s="44">
        <f ca="1"/>
        <v>0</v>
      </c>
      <c r="P142" s="44">
        <f ca="1"/>
        <v>0</v>
      </c>
      <c r="Q142" s="44">
        <f ca="1"/>
        <v>0</v>
      </c>
      <c r="R142" s="44">
        <f ca="1"/>
        <v>0</v>
      </c>
      <c r="S142" s="44">
        <f ca="1"/>
        <v>0</v>
      </c>
      <c r="T142" s="44">
        <f ca="1"/>
        <v>0</v>
      </c>
      <c r="U142" s="44">
        <f ca="1"/>
        <v>0</v>
      </c>
      <c r="V142" s="44">
        <f ca="1"/>
        <v>0</v>
      </c>
      <c r="W142" s="44">
        <f ca="1"/>
        <v>0</v>
      </c>
      <c r="X142" s="55">
        <f ca="1"/>
        <v>0</v>
      </c>
      <c r="Y142" s="55">
        <f ca="1"/>
        <v>0</v>
      </c>
      <c r="Z142" s="55">
        <f ca="1"/>
        <v>0</v>
      </c>
      <c r="AA142" s="91">
        <f ca="1"/>
        <v>0</v>
      </c>
      <c r="AB142" s="14"/>
    </row>
    <row r="143" spans="1:28" s="10" customFormat="1" ht="15" hidden="1" customHeight="1" x14ac:dyDescent="0.45">
      <c r="A143" s="1783"/>
      <c r="B143" s="1775" t="s">
        <v>328</v>
      </c>
      <c r="C143" s="1266" t="s">
        <v>326</v>
      </c>
      <c r="D143" s="47">
        <f ca="1"/>
        <v>0</v>
      </c>
      <c r="E143" s="47">
        <f ca="1"/>
        <v>0</v>
      </c>
      <c r="F143" s="47">
        <f ca="1"/>
        <v>0</v>
      </c>
      <c r="G143" s="47">
        <f ca="1"/>
        <v>0</v>
      </c>
      <c r="H143" s="47">
        <f ca="1"/>
        <v>0</v>
      </c>
      <c r="I143" s="47">
        <f ca="1"/>
        <v>0</v>
      </c>
      <c r="J143" s="47">
        <f ca="1"/>
        <v>0</v>
      </c>
      <c r="K143" s="47">
        <f ca="1"/>
        <v>0</v>
      </c>
      <c r="L143" s="47">
        <f ca="1"/>
        <v>0</v>
      </c>
      <c r="M143" s="47">
        <f ca="1"/>
        <v>0</v>
      </c>
      <c r="N143" s="47">
        <f ca="1"/>
        <v>0</v>
      </c>
      <c r="O143" s="47">
        <f ca="1"/>
        <v>0</v>
      </c>
      <c r="P143" s="49">
        <f ca="1"/>
        <v>0</v>
      </c>
      <c r="Q143" s="49">
        <f ca="1"/>
        <v>0</v>
      </c>
      <c r="R143" s="49">
        <f ca="1"/>
        <v>0</v>
      </c>
      <c r="S143" s="49">
        <f ca="1"/>
        <v>0</v>
      </c>
      <c r="T143" s="49">
        <f ca="1"/>
        <v>0</v>
      </c>
      <c r="U143" s="49">
        <f ca="1"/>
        <v>0</v>
      </c>
      <c r="V143" s="49">
        <f ca="1"/>
        <v>0</v>
      </c>
      <c r="W143" s="49">
        <f ca="1"/>
        <v>0</v>
      </c>
      <c r="X143" s="49">
        <f ca="1"/>
        <v>0</v>
      </c>
      <c r="Y143" s="49">
        <f ca="1"/>
        <v>0</v>
      </c>
      <c r="Z143" s="49">
        <f ca="1"/>
        <v>0</v>
      </c>
      <c r="AA143" s="92">
        <f ca="1"/>
        <v>0</v>
      </c>
      <c r="AB143" s="14"/>
    </row>
    <row r="144" spans="1:28" s="10" customFormat="1" ht="15" hidden="1" customHeight="1" x14ac:dyDescent="0.45">
      <c r="A144" s="1783"/>
      <c r="B144" s="1776"/>
      <c r="C144" s="1266" t="s">
        <v>327</v>
      </c>
      <c r="D144" s="47">
        <f ca="1"/>
        <v>15</v>
      </c>
      <c r="E144" s="47">
        <f ca="1"/>
        <v>15</v>
      </c>
      <c r="F144" s="47">
        <f ca="1"/>
        <v>15</v>
      </c>
      <c r="G144" s="47">
        <f ca="1"/>
        <v>15</v>
      </c>
      <c r="H144" s="47">
        <f ca="1"/>
        <v>15</v>
      </c>
      <c r="I144" s="47">
        <f ca="1"/>
        <v>15</v>
      </c>
      <c r="J144" s="47">
        <f ca="1"/>
        <v>15</v>
      </c>
      <c r="K144" s="47">
        <f ca="1"/>
        <v>15</v>
      </c>
      <c r="L144" s="47">
        <f ca="1"/>
        <v>15</v>
      </c>
      <c r="M144" s="47">
        <f ca="1"/>
        <v>0</v>
      </c>
      <c r="N144" s="47">
        <f ca="1"/>
        <v>0</v>
      </c>
      <c r="O144" s="47">
        <f ca="1"/>
        <v>15</v>
      </c>
      <c r="P144" s="47">
        <f ca="1"/>
        <v>15</v>
      </c>
      <c r="Q144" s="49">
        <f ca="1"/>
        <v>15</v>
      </c>
      <c r="R144" s="49">
        <f ca="1"/>
        <v>15</v>
      </c>
      <c r="S144" s="49">
        <f ca="1"/>
        <v>15</v>
      </c>
      <c r="T144" s="49">
        <f ca="1"/>
        <v>0</v>
      </c>
      <c r="U144" s="49">
        <f ca="1"/>
        <v>15</v>
      </c>
      <c r="V144" s="49">
        <f ca="1"/>
        <v>15</v>
      </c>
      <c r="W144" s="49">
        <f ca="1"/>
        <v>0</v>
      </c>
      <c r="X144" s="49">
        <f ca="1"/>
        <v>0</v>
      </c>
      <c r="Y144" s="49">
        <f ca="1"/>
        <v>0</v>
      </c>
      <c r="Z144" s="49">
        <f ca="1"/>
        <v>0</v>
      </c>
      <c r="AA144" s="92">
        <f ca="1"/>
        <v>0</v>
      </c>
      <c r="AB144" s="14"/>
    </row>
    <row r="145" spans="1:28" s="10" customFormat="1" ht="15" hidden="1" customHeight="1" x14ac:dyDescent="0.45">
      <c r="A145" s="1783"/>
      <c r="B145" s="1777" t="s">
        <v>329</v>
      </c>
      <c r="C145" s="1235" t="s">
        <v>326</v>
      </c>
      <c r="D145" s="51">
        <f ca="1"/>
        <v>0</v>
      </c>
      <c r="E145" s="51">
        <f ca="1"/>
        <v>0</v>
      </c>
      <c r="F145" s="51">
        <f ca="1"/>
        <v>0</v>
      </c>
      <c r="G145" s="51">
        <f ca="1"/>
        <v>0</v>
      </c>
      <c r="H145" s="51">
        <f ca="1"/>
        <v>0</v>
      </c>
      <c r="I145" s="51">
        <f ca="1"/>
        <v>0</v>
      </c>
      <c r="J145" s="51">
        <f ca="1"/>
        <v>0</v>
      </c>
      <c r="K145" s="51">
        <f ca="1"/>
        <v>0</v>
      </c>
      <c r="L145" s="51">
        <f ca="1"/>
        <v>0</v>
      </c>
      <c r="M145" s="53">
        <f ca="1"/>
        <v>0</v>
      </c>
      <c r="N145" s="53">
        <f ca="1"/>
        <v>0</v>
      </c>
      <c r="O145" s="53">
        <f ca="1"/>
        <v>0</v>
      </c>
      <c r="P145" s="53">
        <f ca="1"/>
        <v>0</v>
      </c>
      <c r="Q145" s="53">
        <f ca="1"/>
        <v>0</v>
      </c>
      <c r="R145" s="53">
        <f ca="1"/>
        <v>0</v>
      </c>
      <c r="S145" s="53">
        <f ca="1"/>
        <v>0</v>
      </c>
      <c r="T145" s="53">
        <f ca="1"/>
        <v>0</v>
      </c>
      <c r="U145" s="53">
        <f ca="1"/>
        <v>0</v>
      </c>
      <c r="V145" s="53">
        <f ca="1"/>
        <v>0</v>
      </c>
      <c r="W145" s="53">
        <f ca="1"/>
        <v>0</v>
      </c>
      <c r="X145" s="53">
        <f ca="1"/>
        <v>0</v>
      </c>
      <c r="Y145" s="53">
        <f ca="1"/>
        <v>0</v>
      </c>
      <c r="Z145" s="53">
        <f ca="1"/>
        <v>0</v>
      </c>
      <c r="AA145" s="93">
        <f ca="1"/>
        <v>0</v>
      </c>
      <c r="AB145" s="14"/>
    </row>
    <row r="146" spans="1:28" s="10" customFormat="1" ht="15" hidden="1" customHeight="1" x14ac:dyDescent="0.45">
      <c r="A146" s="1783"/>
      <c r="B146" s="1774"/>
      <c r="C146" s="1265" t="s">
        <v>327</v>
      </c>
      <c r="D146" s="44">
        <f ca="1"/>
        <v>0</v>
      </c>
      <c r="E146" s="44">
        <f ca="1"/>
        <v>0</v>
      </c>
      <c r="F146" s="44">
        <f ca="1"/>
        <v>0</v>
      </c>
      <c r="G146" s="44">
        <f ca="1"/>
        <v>0</v>
      </c>
      <c r="H146" s="44">
        <f ca="1"/>
        <v>0</v>
      </c>
      <c r="I146" s="44">
        <f ca="1"/>
        <v>0</v>
      </c>
      <c r="J146" s="44">
        <f ca="1"/>
        <v>0</v>
      </c>
      <c r="K146" s="44">
        <f ca="1"/>
        <v>0</v>
      </c>
      <c r="L146" s="44">
        <f ca="1"/>
        <v>0</v>
      </c>
      <c r="M146" s="44">
        <f ca="1"/>
        <v>0</v>
      </c>
      <c r="N146" s="44">
        <f ca="1"/>
        <v>0</v>
      </c>
      <c r="O146" s="44">
        <f ca="1"/>
        <v>0</v>
      </c>
      <c r="P146" s="44">
        <f ca="1"/>
        <v>0</v>
      </c>
      <c r="Q146" s="44">
        <f ca="1"/>
        <v>0</v>
      </c>
      <c r="R146" s="44">
        <f ca="1"/>
        <v>0</v>
      </c>
      <c r="S146" s="44">
        <f ca="1"/>
        <v>0</v>
      </c>
      <c r="T146" s="44">
        <f ca="1"/>
        <v>0</v>
      </c>
      <c r="U146" s="44">
        <f ca="1"/>
        <v>0</v>
      </c>
      <c r="V146" s="44">
        <f ca="1"/>
        <v>15</v>
      </c>
      <c r="W146" s="44">
        <f ca="1"/>
        <v>0</v>
      </c>
      <c r="X146" s="55">
        <f ca="1"/>
        <v>0</v>
      </c>
      <c r="Y146" s="55">
        <f ca="1"/>
        <v>0</v>
      </c>
      <c r="Z146" s="55">
        <f ca="1"/>
        <v>0</v>
      </c>
      <c r="AA146" s="91">
        <f ca="1"/>
        <v>0</v>
      </c>
      <c r="AB146" s="14"/>
    </row>
    <row r="147" spans="1:28" s="10" customFormat="1" ht="15" hidden="1" customHeight="1" x14ac:dyDescent="0.45">
      <c r="A147" s="1783"/>
      <c r="B147" s="1775" t="s">
        <v>330</v>
      </c>
      <c r="C147" s="1266" t="s">
        <v>326</v>
      </c>
      <c r="D147" s="47">
        <f ca="1"/>
        <v>0</v>
      </c>
      <c r="E147" s="47">
        <f ca="1"/>
        <v>0</v>
      </c>
      <c r="F147" s="47">
        <f ca="1"/>
        <v>0</v>
      </c>
      <c r="G147" s="47">
        <f ca="1"/>
        <v>0</v>
      </c>
      <c r="H147" s="47">
        <f ca="1"/>
        <v>0</v>
      </c>
      <c r="I147" s="47">
        <f ca="1"/>
        <v>0</v>
      </c>
      <c r="J147" s="47">
        <f ca="1"/>
        <v>0</v>
      </c>
      <c r="K147" s="47">
        <f ca="1"/>
        <v>0</v>
      </c>
      <c r="L147" s="47">
        <f ca="1"/>
        <v>0</v>
      </c>
      <c r="M147" s="47">
        <f ca="1"/>
        <v>0</v>
      </c>
      <c r="N147" s="47">
        <f ca="1"/>
        <v>0</v>
      </c>
      <c r="O147" s="47">
        <f ca="1"/>
        <v>0</v>
      </c>
      <c r="P147" s="49">
        <f ca="1"/>
        <v>0</v>
      </c>
      <c r="Q147" s="49">
        <f ca="1"/>
        <v>0</v>
      </c>
      <c r="R147" s="49">
        <f ca="1"/>
        <v>0</v>
      </c>
      <c r="S147" s="49">
        <f ca="1"/>
        <v>0</v>
      </c>
      <c r="T147" s="49">
        <f ca="1"/>
        <v>0</v>
      </c>
      <c r="U147" s="49">
        <f ca="1"/>
        <v>0</v>
      </c>
      <c r="V147" s="49">
        <f ca="1"/>
        <v>0</v>
      </c>
      <c r="W147" s="49">
        <f ca="1"/>
        <v>0</v>
      </c>
      <c r="X147" s="49">
        <f ca="1"/>
        <v>0</v>
      </c>
      <c r="Y147" s="49">
        <f ca="1"/>
        <v>0</v>
      </c>
      <c r="Z147" s="49">
        <f ca="1"/>
        <v>0</v>
      </c>
      <c r="AA147" s="92">
        <f ca="1"/>
        <v>0</v>
      </c>
      <c r="AB147" s="14"/>
    </row>
    <row r="148" spans="1:28" s="10" customFormat="1" ht="15" hidden="1" customHeight="1" x14ac:dyDescent="0.45">
      <c r="A148" s="1783"/>
      <c r="B148" s="1776"/>
      <c r="C148" s="1266" t="s">
        <v>327</v>
      </c>
      <c r="D148" s="47">
        <f ca="1"/>
        <v>0</v>
      </c>
      <c r="E148" s="47">
        <f ca="1"/>
        <v>0</v>
      </c>
      <c r="F148" s="47">
        <f ca="1"/>
        <v>0</v>
      </c>
      <c r="G148" s="47">
        <f ca="1"/>
        <v>0</v>
      </c>
      <c r="H148" s="47">
        <f ca="1"/>
        <v>0</v>
      </c>
      <c r="I148" s="47">
        <f ca="1"/>
        <v>0</v>
      </c>
      <c r="J148" s="47">
        <f ca="1"/>
        <v>0</v>
      </c>
      <c r="K148" s="47">
        <f ca="1"/>
        <v>0</v>
      </c>
      <c r="L148" s="47">
        <f ca="1"/>
        <v>0</v>
      </c>
      <c r="M148" s="47">
        <f ca="1"/>
        <v>0</v>
      </c>
      <c r="N148" s="47">
        <f ca="1"/>
        <v>0</v>
      </c>
      <c r="O148" s="49">
        <f ca="1"/>
        <v>15</v>
      </c>
      <c r="P148" s="47">
        <f ca="1"/>
        <v>15</v>
      </c>
      <c r="Q148" s="49">
        <f ca="1"/>
        <v>15</v>
      </c>
      <c r="R148" s="49">
        <f ca="1"/>
        <v>15</v>
      </c>
      <c r="S148" s="49">
        <f ca="1"/>
        <v>15</v>
      </c>
      <c r="T148" s="49">
        <f ca="1"/>
        <v>0</v>
      </c>
      <c r="U148" s="49">
        <f ca="1"/>
        <v>15</v>
      </c>
      <c r="V148" s="49">
        <f ca="1"/>
        <v>0</v>
      </c>
      <c r="W148" s="49">
        <f ca="1"/>
        <v>0</v>
      </c>
      <c r="X148" s="49">
        <f ca="1"/>
        <v>0</v>
      </c>
      <c r="Y148" s="49">
        <f ca="1"/>
        <v>0</v>
      </c>
      <c r="Z148" s="49">
        <f ca="1"/>
        <v>0</v>
      </c>
      <c r="AA148" s="92">
        <f ca="1"/>
        <v>0</v>
      </c>
      <c r="AB148" s="14"/>
    </row>
    <row r="149" spans="1:28" s="10" customFormat="1" ht="15" hidden="1" customHeight="1" x14ac:dyDescent="0.45">
      <c r="A149" s="1783"/>
      <c r="B149" s="1777" t="s">
        <v>331</v>
      </c>
      <c r="C149" s="1235" t="s">
        <v>326</v>
      </c>
      <c r="D149" s="51">
        <f ca="1"/>
        <v>0</v>
      </c>
      <c r="E149" s="51">
        <f ca="1"/>
        <v>0</v>
      </c>
      <c r="F149" s="51">
        <f ca="1"/>
        <v>0</v>
      </c>
      <c r="G149" s="51">
        <f ca="1"/>
        <v>0</v>
      </c>
      <c r="H149" s="51">
        <f ca="1"/>
        <v>0</v>
      </c>
      <c r="I149" s="51">
        <f ca="1"/>
        <v>0</v>
      </c>
      <c r="J149" s="51">
        <f ca="1"/>
        <v>0</v>
      </c>
      <c r="K149" s="51">
        <f ca="1"/>
        <v>0</v>
      </c>
      <c r="L149" s="51">
        <f ca="1"/>
        <v>15</v>
      </c>
      <c r="M149" s="53">
        <f ca="1"/>
        <v>0</v>
      </c>
      <c r="N149" s="53">
        <f ca="1"/>
        <v>0</v>
      </c>
      <c r="O149" s="53">
        <f ca="1"/>
        <v>0</v>
      </c>
      <c r="P149" s="53">
        <f ca="1"/>
        <v>0</v>
      </c>
      <c r="Q149" s="53">
        <f ca="1"/>
        <v>0</v>
      </c>
      <c r="R149" s="53">
        <f ca="1"/>
        <v>0</v>
      </c>
      <c r="S149" s="53">
        <f ca="1"/>
        <v>0</v>
      </c>
      <c r="T149" s="53">
        <f ca="1"/>
        <v>0</v>
      </c>
      <c r="U149" s="53">
        <f ca="1"/>
        <v>0</v>
      </c>
      <c r="V149" s="53">
        <f ca="1"/>
        <v>0</v>
      </c>
      <c r="W149" s="53">
        <f ca="1"/>
        <v>0</v>
      </c>
      <c r="X149" s="53">
        <f ca="1"/>
        <v>0</v>
      </c>
      <c r="Y149" s="53">
        <f ca="1"/>
        <v>0</v>
      </c>
      <c r="Z149" s="53">
        <f ca="1"/>
        <v>0</v>
      </c>
      <c r="AA149" s="93">
        <f ca="1"/>
        <v>0</v>
      </c>
      <c r="AB149" s="14"/>
    </row>
    <row r="150" spans="1:28" s="10" customFormat="1" ht="15" hidden="1" customHeight="1" x14ac:dyDescent="0.45">
      <c r="A150" s="1783"/>
      <c r="B150" s="1774"/>
      <c r="C150" s="1265" t="s">
        <v>327</v>
      </c>
      <c r="D150" s="44">
        <f ca="1"/>
        <v>0</v>
      </c>
      <c r="E150" s="44">
        <f ca="1"/>
        <v>0</v>
      </c>
      <c r="F150" s="44">
        <f ca="1"/>
        <v>0</v>
      </c>
      <c r="G150" s="44">
        <f ca="1"/>
        <v>0</v>
      </c>
      <c r="H150" s="44">
        <f ca="1"/>
        <v>0</v>
      </c>
      <c r="I150" s="44">
        <f ca="1"/>
        <v>0</v>
      </c>
      <c r="J150" s="44">
        <f ca="1"/>
        <v>0</v>
      </c>
      <c r="K150" s="44">
        <f ca="1"/>
        <v>0</v>
      </c>
      <c r="L150" s="44">
        <f ca="1"/>
        <v>0</v>
      </c>
      <c r="M150" s="44">
        <f ca="1"/>
        <v>0</v>
      </c>
      <c r="N150" s="44">
        <f ca="1"/>
        <v>0</v>
      </c>
      <c r="O150" s="44">
        <f ca="1"/>
        <v>0</v>
      </c>
      <c r="P150" s="44">
        <f ca="1"/>
        <v>0</v>
      </c>
      <c r="Q150" s="44">
        <f ca="1"/>
        <v>0</v>
      </c>
      <c r="R150" s="44">
        <f ca="1"/>
        <v>0</v>
      </c>
      <c r="S150" s="44">
        <f ca="1"/>
        <v>0</v>
      </c>
      <c r="T150" s="44">
        <f ca="1"/>
        <v>15</v>
      </c>
      <c r="U150" s="44">
        <f ca="1"/>
        <v>0</v>
      </c>
      <c r="V150" s="44">
        <f ca="1"/>
        <v>0</v>
      </c>
      <c r="W150" s="44">
        <f ca="1"/>
        <v>0</v>
      </c>
      <c r="X150" s="55">
        <f ca="1"/>
        <v>0</v>
      </c>
      <c r="Y150" s="55">
        <f ca="1"/>
        <v>0</v>
      </c>
      <c r="Z150" s="55">
        <f ca="1"/>
        <v>0</v>
      </c>
      <c r="AA150" s="91">
        <f ca="1"/>
        <v>0</v>
      </c>
      <c r="AB150" s="14"/>
    </row>
    <row r="151" spans="1:28" s="10" customFormat="1" ht="15" hidden="1" customHeight="1" x14ac:dyDescent="0.45">
      <c r="A151" s="1783"/>
      <c r="B151" s="1775" t="s">
        <v>332</v>
      </c>
      <c r="C151" s="1266" t="s">
        <v>326</v>
      </c>
      <c r="D151" s="47">
        <f ca="1"/>
        <v>15</v>
      </c>
      <c r="E151" s="47">
        <f ca="1"/>
        <v>15</v>
      </c>
      <c r="F151" s="47">
        <f ca="1"/>
        <v>15</v>
      </c>
      <c r="G151" s="47">
        <f ca="1"/>
        <v>0</v>
      </c>
      <c r="H151" s="47">
        <f ca="1"/>
        <v>0</v>
      </c>
      <c r="I151" s="47">
        <f ca="1"/>
        <v>0</v>
      </c>
      <c r="J151" s="47">
        <f ca="1"/>
        <v>0</v>
      </c>
      <c r="K151" s="47">
        <f ca="1"/>
        <v>0</v>
      </c>
      <c r="L151" s="47">
        <f ca="1"/>
        <v>15</v>
      </c>
      <c r="M151" s="47">
        <f ca="1"/>
        <v>0</v>
      </c>
      <c r="N151" s="47">
        <f ca="1"/>
        <v>0</v>
      </c>
      <c r="O151" s="47">
        <f ca="1"/>
        <v>0</v>
      </c>
      <c r="P151" s="49">
        <f ca="1"/>
        <v>0</v>
      </c>
      <c r="Q151" s="49">
        <f ca="1"/>
        <v>0</v>
      </c>
      <c r="R151" s="49">
        <f ca="1"/>
        <v>0</v>
      </c>
      <c r="S151" s="49">
        <f ca="1"/>
        <v>0</v>
      </c>
      <c r="T151" s="49">
        <f ca="1"/>
        <v>15</v>
      </c>
      <c r="U151" s="49">
        <f ca="1"/>
        <v>0</v>
      </c>
      <c r="V151" s="49">
        <f ca="1"/>
        <v>15</v>
      </c>
      <c r="W151" s="49">
        <f ca="1"/>
        <v>0</v>
      </c>
      <c r="X151" s="49">
        <f ca="1"/>
        <v>0</v>
      </c>
      <c r="Y151" s="49">
        <f ca="1"/>
        <v>0</v>
      </c>
      <c r="Z151" s="49">
        <f ca="1"/>
        <v>0</v>
      </c>
      <c r="AA151" s="92">
        <f ca="1"/>
        <v>0</v>
      </c>
      <c r="AB151" s="14"/>
    </row>
    <row r="152" spans="1:28" s="10" customFormat="1" ht="15" hidden="1" customHeight="1" x14ac:dyDescent="0.45">
      <c r="A152" s="1783"/>
      <c r="B152" s="1776"/>
      <c r="C152" s="1266" t="s">
        <v>327</v>
      </c>
      <c r="D152" s="47">
        <f ca="1"/>
        <v>0</v>
      </c>
      <c r="E152" s="47">
        <f ca="1"/>
        <v>0</v>
      </c>
      <c r="F152" s="47">
        <f ca="1"/>
        <v>0</v>
      </c>
      <c r="G152" s="47">
        <f ca="1"/>
        <v>0</v>
      </c>
      <c r="H152" s="47">
        <f ca="1"/>
        <v>0</v>
      </c>
      <c r="I152" s="47">
        <f ca="1"/>
        <v>0</v>
      </c>
      <c r="J152" s="47">
        <f ca="1"/>
        <v>0</v>
      </c>
      <c r="K152" s="47">
        <f ca="1"/>
        <v>0</v>
      </c>
      <c r="L152" s="47">
        <f ca="1"/>
        <v>0</v>
      </c>
      <c r="M152" s="47">
        <f ca="1"/>
        <v>0</v>
      </c>
      <c r="N152" s="47">
        <f ca="1"/>
        <v>0</v>
      </c>
      <c r="O152" s="47">
        <f ca="1"/>
        <v>0</v>
      </c>
      <c r="P152" s="47">
        <f ca="1"/>
        <v>0</v>
      </c>
      <c r="Q152" s="49">
        <f ca="1"/>
        <v>0</v>
      </c>
      <c r="R152" s="49">
        <f ca="1"/>
        <v>0</v>
      </c>
      <c r="S152" s="49">
        <f ca="1"/>
        <v>0</v>
      </c>
      <c r="T152" s="49">
        <f ca="1"/>
        <v>0</v>
      </c>
      <c r="U152" s="49">
        <f ca="1"/>
        <v>0</v>
      </c>
      <c r="V152" s="49">
        <f ca="1"/>
        <v>0</v>
      </c>
      <c r="W152" s="49">
        <f ca="1"/>
        <v>0</v>
      </c>
      <c r="X152" s="49">
        <f ca="1"/>
        <v>0</v>
      </c>
      <c r="Y152" s="49">
        <f ca="1"/>
        <v>0</v>
      </c>
      <c r="Z152" s="49">
        <f ca="1"/>
        <v>0</v>
      </c>
      <c r="AA152" s="92">
        <f ca="1"/>
        <v>0</v>
      </c>
      <c r="AB152" s="14"/>
    </row>
    <row r="153" spans="1:28" s="10" customFormat="1" ht="15" hidden="1" customHeight="1" x14ac:dyDescent="0.45">
      <c r="A153" s="1783"/>
      <c r="B153" s="1777" t="s">
        <v>333</v>
      </c>
      <c r="C153" s="1265" t="s">
        <v>326</v>
      </c>
      <c r="D153" s="44">
        <f ca="1"/>
        <v>0</v>
      </c>
      <c r="E153" s="44">
        <f ca="1"/>
        <v>0</v>
      </c>
      <c r="F153" s="44">
        <f ca="1"/>
        <v>0</v>
      </c>
      <c r="G153" s="44">
        <f ca="1"/>
        <v>0</v>
      </c>
      <c r="H153" s="44">
        <f ca="1"/>
        <v>0</v>
      </c>
      <c r="I153" s="44">
        <f ca="1"/>
        <v>0</v>
      </c>
      <c r="J153" s="44">
        <f ca="1"/>
        <v>0</v>
      </c>
      <c r="K153" s="44">
        <f ca="1"/>
        <v>0</v>
      </c>
      <c r="L153" s="44">
        <f ca="1"/>
        <v>0</v>
      </c>
      <c r="M153" s="55">
        <f ca="1"/>
        <v>0</v>
      </c>
      <c r="N153" s="55">
        <f ca="1"/>
        <v>0</v>
      </c>
      <c r="O153" s="55">
        <f ca="1"/>
        <v>0</v>
      </c>
      <c r="P153" s="55">
        <f ca="1"/>
        <v>0</v>
      </c>
      <c r="Q153" s="55">
        <f ca="1"/>
        <v>0</v>
      </c>
      <c r="R153" s="55">
        <f ca="1"/>
        <v>0</v>
      </c>
      <c r="S153" s="55">
        <f ca="1"/>
        <v>0</v>
      </c>
      <c r="T153" s="55">
        <f ca="1"/>
        <v>15</v>
      </c>
      <c r="U153" s="55">
        <f ca="1"/>
        <v>0</v>
      </c>
      <c r="V153" s="55">
        <f ca="1"/>
        <v>0</v>
      </c>
      <c r="W153" s="55">
        <f ca="1"/>
        <v>0</v>
      </c>
      <c r="X153" s="55">
        <f ca="1"/>
        <v>0</v>
      </c>
      <c r="Y153" s="55">
        <f ca="1"/>
        <v>0</v>
      </c>
      <c r="Z153" s="55">
        <f ca="1"/>
        <v>0</v>
      </c>
      <c r="AA153" s="91">
        <f ca="1"/>
        <v>0</v>
      </c>
      <c r="AB153" s="14"/>
    </row>
    <row r="154" spans="1:28" s="10" customFormat="1" ht="15" hidden="1" customHeight="1" x14ac:dyDescent="0.45">
      <c r="A154" s="1784"/>
      <c r="B154" s="1778"/>
      <c r="C154" s="1267" t="s">
        <v>327</v>
      </c>
      <c r="D154" s="56">
        <f ca="1"/>
        <v>0</v>
      </c>
      <c r="E154" s="56">
        <f ca="1"/>
        <v>0</v>
      </c>
      <c r="F154" s="56">
        <f ca="1"/>
        <v>0</v>
      </c>
      <c r="G154" s="56">
        <f ca="1"/>
        <v>0</v>
      </c>
      <c r="H154" s="56">
        <f ca="1"/>
        <v>0</v>
      </c>
      <c r="I154" s="56">
        <f ca="1"/>
        <v>0</v>
      </c>
      <c r="J154" s="56">
        <f ca="1"/>
        <v>0</v>
      </c>
      <c r="K154" s="56">
        <f ca="1"/>
        <v>0</v>
      </c>
      <c r="L154" s="56">
        <f ca="1"/>
        <v>0</v>
      </c>
      <c r="M154" s="58">
        <f ca="1"/>
        <v>0</v>
      </c>
      <c r="N154" s="58">
        <f ca="1"/>
        <v>0</v>
      </c>
      <c r="O154" s="58">
        <f ca="1"/>
        <v>0</v>
      </c>
      <c r="P154" s="58">
        <f ca="1"/>
        <v>0</v>
      </c>
      <c r="Q154" s="58">
        <f ca="1"/>
        <v>0</v>
      </c>
      <c r="R154" s="58">
        <f ca="1"/>
        <v>0</v>
      </c>
      <c r="S154" s="58">
        <f ca="1"/>
        <v>0</v>
      </c>
      <c r="T154" s="58">
        <f ca="1"/>
        <v>0</v>
      </c>
      <c r="U154" s="58">
        <f ca="1"/>
        <v>0</v>
      </c>
      <c r="V154" s="58">
        <f ca="1"/>
        <v>0</v>
      </c>
      <c r="W154" s="58">
        <f ca="1"/>
        <v>0</v>
      </c>
      <c r="X154" s="58">
        <f ca="1"/>
        <v>0</v>
      </c>
      <c r="Y154" s="58">
        <f ca="1"/>
        <v>0</v>
      </c>
      <c r="Z154" s="58">
        <f ca="1"/>
        <v>0</v>
      </c>
      <c r="AA154" s="94">
        <f ca="1"/>
        <v>0</v>
      </c>
      <c r="AB154" s="14"/>
    </row>
    <row r="155" spans="1:28" s="10" customFormat="1" ht="15" hidden="1" customHeight="1" x14ac:dyDescent="0.45">
      <c r="A155" s="1782" t="s">
        <v>336</v>
      </c>
      <c r="B155" s="1773" t="s">
        <v>325</v>
      </c>
      <c r="C155" s="1268" t="s">
        <v>326</v>
      </c>
      <c r="D155" s="155">
        <f t="array" ref="D155:AA168" ca="1">IF(INDEX(sessions_recoveries,,plan_session_allocation)="Yes",
VLOOKUP(duration_intervals, INDIRECT(INDEX(sessions_intervals_code_primary,,plan_session_allocation)),7), 0)</f>
        <v>0</v>
      </c>
      <c r="E155" s="155">
        <f ca="1"/>
        <v>0</v>
      </c>
      <c r="F155" s="155">
        <f ca="1"/>
        <v>0</v>
      </c>
      <c r="G155" s="155">
        <f ca="1"/>
        <v>0</v>
      </c>
      <c r="H155" s="155">
        <f ca="1"/>
        <v>0</v>
      </c>
      <c r="I155" s="155">
        <f ca="1"/>
        <v>0</v>
      </c>
      <c r="J155" s="155">
        <f ca="1"/>
        <v>0</v>
      </c>
      <c r="K155" s="51">
        <f ca="1"/>
        <v>0</v>
      </c>
      <c r="L155" s="51">
        <f ca="1"/>
        <v>0</v>
      </c>
      <c r="M155" s="156">
        <f ca="1"/>
        <v>0</v>
      </c>
      <c r="N155" s="156">
        <f ca="1"/>
        <v>0</v>
      </c>
      <c r="O155" s="156">
        <f ca="1"/>
        <v>0</v>
      </c>
      <c r="P155" s="156">
        <f ca="1"/>
        <v>0</v>
      </c>
      <c r="Q155" s="157">
        <f ca="1"/>
        <v>0</v>
      </c>
      <c r="R155" s="156">
        <f ca="1"/>
        <v>0</v>
      </c>
      <c r="S155" s="156">
        <f ca="1"/>
        <v>0</v>
      </c>
      <c r="T155" s="156">
        <f ca="1"/>
        <v>0</v>
      </c>
      <c r="U155" s="156">
        <f ca="1"/>
        <v>0</v>
      </c>
      <c r="V155" s="156">
        <f ca="1"/>
        <v>0</v>
      </c>
      <c r="W155" s="156">
        <f ca="1"/>
        <v>0</v>
      </c>
      <c r="X155" s="156">
        <f ca="1"/>
        <v>0</v>
      </c>
      <c r="Y155" s="156">
        <f ca="1"/>
        <v>0</v>
      </c>
      <c r="Z155" s="156">
        <f ca="1"/>
        <v>0</v>
      </c>
      <c r="AA155" s="158">
        <f ca="1"/>
        <v>0</v>
      </c>
      <c r="AB155" s="14"/>
    </row>
    <row r="156" spans="1:28" s="10" customFormat="1" ht="15" hidden="1" customHeight="1" x14ac:dyDescent="0.45">
      <c r="A156" s="1783"/>
      <c r="B156" s="1774"/>
      <c r="C156" s="1265" t="s">
        <v>327</v>
      </c>
      <c r="D156" s="159">
        <f ca="1"/>
        <v>0</v>
      </c>
      <c r="E156" s="159">
        <f ca="1"/>
        <v>0</v>
      </c>
      <c r="F156" s="159">
        <f ca="1"/>
        <v>0</v>
      </c>
      <c r="G156" s="159">
        <f ca="1"/>
        <v>0</v>
      </c>
      <c r="H156" s="159">
        <f ca="1"/>
        <v>0</v>
      </c>
      <c r="I156" s="159">
        <f ca="1"/>
        <v>0</v>
      </c>
      <c r="J156" s="159">
        <f ca="1"/>
        <v>0</v>
      </c>
      <c r="K156" s="44">
        <f ca="1"/>
        <v>0</v>
      </c>
      <c r="L156" s="44">
        <f ca="1"/>
        <v>0</v>
      </c>
      <c r="M156" s="159">
        <f ca="1"/>
        <v>0</v>
      </c>
      <c r="N156" s="159">
        <f ca="1"/>
        <v>0</v>
      </c>
      <c r="O156" s="159">
        <f ca="1"/>
        <v>0</v>
      </c>
      <c r="P156" s="159">
        <f ca="1"/>
        <v>0</v>
      </c>
      <c r="Q156" s="159">
        <f ca="1"/>
        <v>0</v>
      </c>
      <c r="R156" s="159">
        <f ca="1"/>
        <v>0</v>
      </c>
      <c r="S156" s="159">
        <f ca="1"/>
        <v>0</v>
      </c>
      <c r="T156" s="159">
        <f ca="1"/>
        <v>0</v>
      </c>
      <c r="U156" s="159">
        <f ca="1"/>
        <v>0</v>
      </c>
      <c r="V156" s="159">
        <f ca="1"/>
        <v>0</v>
      </c>
      <c r="W156" s="159">
        <f ca="1"/>
        <v>0</v>
      </c>
      <c r="X156" s="160">
        <f ca="1"/>
        <v>0</v>
      </c>
      <c r="Y156" s="160">
        <f ca="1"/>
        <v>0</v>
      </c>
      <c r="Z156" s="160">
        <f ca="1"/>
        <v>0</v>
      </c>
      <c r="AA156" s="161">
        <f ca="1"/>
        <v>0</v>
      </c>
      <c r="AB156" s="14"/>
    </row>
    <row r="157" spans="1:28" s="10" customFormat="1" ht="15" hidden="1" customHeight="1" x14ac:dyDescent="0.45">
      <c r="A157" s="1783"/>
      <c r="B157" s="1775" t="s">
        <v>328</v>
      </c>
      <c r="C157" s="1266" t="s">
        <v>326</v>
      </c>
      <c r="D157" s="162">
        <f ca="1"/>
        <v>0</v>
      </c>
      <c r="E157" s="162">
        <f ca="1"/>
        <v>0</v>
      </c>
      <c r="F157" s="162">
        <f ca="1"/>
        <v>0</v>
      </c>
      <c r="G157" s="162">
        <f ca="1"/>
        <v>0</v>
      </c>
      <c r="H157" s="162">
        <f ca="1"/>
        <v>0</v>
      </c>
      <c r="I157" s="162">
        <f ca="1"/>
        <v>0</v>
      </c>
      <c r="J157" s="162">
        <f ca="1"/>
        <v>0</v>
      </c>
      <c r="K157" s="47">
        <f ca="1"/>
        <v>0</v>
      </c>
      <c r="L157" s="47">
        <f ca="1"/>
        <v>0</v>
      </c>
      <c r="M157" s="162">
        <f ca="1"/>
        <v>0</v>
      </c>
      <c r="N157" s="162">
        <f ca="1"/>
        <v>0</v>
      </c>
      <c r="O157" s="162">
        <f ca="1"/>
        <v>0</v>
      </c>
      <c r="P157" s="163">
        <f ca="1"/>
        <v>0</v>
      </c>
      <c r="Q157" s="164">
        <f ca="1"/>
        <v>0</v>
      </c>
      <c r="R157" s="163">
        <f ca="1"/>
        <v>0</v>
      </c>
      <c r="S157" s="163">
        <f ca="1"/>
        <v>0</v>
      </c>
      <c r="T157" s="163">
        <f ca="1"/>
        <v>0</v>
      </c>
      <c r="U157" s="163">
        <f ca="1"/>
        <v>0</v>
      </c>
      <c r="V157" s="163">
        <f ca="1"/>
        <v>0</v>
      </c>
      <c r="W157" s="163">
        <f ca="1"/>
        <v>0</v>
      </c>
      <c r="X157" s="163">
        <f ca="1"/>
        <v>0</v>
      </c>
      <c r="Y157" s="163">
        <f ca="1"/>
        <v>0</v>
      </c>
      <c r="Z157" s="163">
        <f ca="1"/>
        <v>0</v>
      </c>
      <c r="AA157" s="165">
        <f ca="1"/>
        <v>0</v>
      </c>
      <c r="AB157" s="14"/>
    </row>
    <row r="158" spans="1:28" s="10" customFormat="1" ht="15" hidden="1" customHeight="1" x14ac:dyDescent="0.45">
      <c r="A158" s="1783"/>
      <c r="B158" s="1776"/>
      <c r="C158" s="1266" t="s">
        <v>327</v>
      </c>
      <c r="D158" s="162">
        <f ca="1"/>
        <v>0</v>
      </c>
      <c r="E158" s="162">
        <f ca="1"/>
        <v>0</v>
      </c>
      <c r="F158" s="162">
        <f ca="1"/>
        <v>0</v>
      </c>
      <c r="G158" s="162">
        <f ca="1"/>
        <v>0</v>
      </c>
      <c r="H158" s="162">
        <f ca="1"/>
        <v>0</v>
      </c>
      <c r="I158" s="162">
        <f ca="1"/>
        <v>0</v>
      </c>
      <c r="J158" s="162">
        <f ca="1"/>
        <v>0</v>
      </c>
      <c r="K158" s="47">
        <f ca="1"/>
        <v>0</v>
      </c>
      <c r="L158" s="47">
        <f ca="1"/>
        <v>0</v>
      </c>
      <c r="M158" s="162">
        <f ca="1"/>
        <v>0</v>
      </c>
      <c r="N158" s="162">
        <f ca="1"/>
        <v>0</v>
      </c>
      <c r="O158" s="162">
        <f ca="1"/>
        <v>0</v>
      </c>
      <c r="P158" s="162">
        <f ca="1"/>
        <v>0</v>
      </c>
      <c r="Q158" s="164">
        <f ca="1"/>
        <v>0</v>
      </c>
      <c r="R158" s="164">
        <f ca="1"/>
        <v>0</v>
      </c>
      <c r="S158" s="164">
        <f ca="1"/>
        <v>0</v>
      </c>
      <c r="T158" s="164">
        <f ca="1"/>
        <v>0</v>
      </c>
      <c r="U158" s="164">
        <f ca="1"/>
        <v>0</v>
      </c>
      <c r="V158" s="164">
        <f ca="1"/>
        <v>4</v>
      </c>
      <c r="W158" s="164">
        <f ca="1"/>
        <v>0</v>
      </c>
      <c r="X158" s="163">
        <f ca="1"/>
        <v>0</v>
      </c>
      <c r="Y158" s="163">
        <f ca="1"/>
        <v>0</v>
      </c>
      <c r="Z158" s="163">
        <f ca="1"/>
        <v>0</v>
      </c>
      <c r="AA158" s="165">
        <f ca="1"/>
        <v>0</v>
      </c>
      <c r="AB158" s="14"/>
    </row>
    <row r="159" spans="1:28" s="10" customFormat="1" ht="15" hidden="1" customHeight="1" x14ac:dyDescent="0.45">
      <c r="A159" s="1783"/>
      <c r="B159" s="1777" t="s">
        <v>329</v>
      </c>
      <c r="C159" s="1235" t="s">
        <v>326</v>
      </c>
      <c r="D159" s="166">
        <f ca="1"/>
        <v>0</v>
      </c>
      <c r="E159" s="166">
        <f ca="1"/>
        <v>0</v>
      </c>
      <c r="F159" s="166">
        <f ca="1"/>
        <v>0</v>
      </c>
      <c r="G159" s="166">
        <f ca="1"/>
        <v>0</v>
      </c>
      <c r="H159" s="166">
        <f ca="1"/>
        <v>0</v>
      </c>
      <c r="I159" s="166">
        <f ca="1"/>
        <v>0</v>
      </c>
      <c r="J159" s="166">
        <f ca="1"/>
        <v>0</v>
      </c>
      <c r="K159" s="51">
        <f ca="1"/>
        <v>0</v>
      </c>
      <c r="L159" s="51">
        <f ca="1"/>
        <v>0</v>
      </c>
      <c r="M159" s="167">
        <f ca="1"/>
        <v>0</v>
      </c>
      <c r="N159" s="167">
        <f ca="1"/>
        <v>0</v>
      </c>
      <c r="O159" s="167">
        <f ca="1"/>
        <v>0</v>
      </c>
      <c r="P159" s="167">
        <f ca="1"/>
        <v>0</v>
      </c>
      <c r="Q159" s="168">
        <f ca="1"/>
        <v>0</v>
      </c>
      <c r="R159" s="167">
        <f ca="1"/>
        <v>0</v>
      </c>
      <c r="S159" s="167">
        <f ca="1"/>
        <v>0</v>
      </c>
      <c r="T159" s="167">
        <f ca="1"/>
        <v>0</v>
      </c>
      <c r="U159" s="167">
        <f ca="1"/>
        <v>0</v>
      </c>
      <c r="V159" s="167">
        <f ca="1"/>
        <v>0</v>
      </c>
      <c r="W159" s="167">
        <f ca="1"/>
        <v>0</v>
      </c>
      <c r="X159" s="167">
        <f ca="1"/>
        <v>0</v>
      </c>
      <c r="Y159" s="167">
        <f ca="1"/>
        <v>0</v>
      </c>
      <c r="Z159" s="167">
        <f ca="1"/>
        <v>0</v>
      </c>
      <c r="AA159" s="169">
        <f ca="1"/>
        <v>0</v>
      </c>
      <c r="AB159" s="14"/>
    </row>
    <row r="160" spans="1:28" s="10" customFormat="1" ht="15" hidden="1" customHeight="1" x14ac:dyDescent="0.45">
      <c r="A160" s="1783"/>
      <c r="B160" s="1774"/>
      <c r="C160" s="1265" t="s">
        <v>327</v>
      </c>
      <c r="D160" s="159">
        <f ca="1"/>
        <v>0</v>
      </c>
      <c r="E160" s="159">
        <f ca="1"/>
        <v>0</v>
      </c>
      <c r="F160" s="159">
        <f ca="1"/>
        <v>0</v>
      </c>
      <c r="G160" s="159">
        <f ca="1"/>
        <v>0</v>
      </c>
      <c r="H160" s="159">
        <f ca="1"/>
        <v>0</v>
      </c>
      <c r="I160" s="159">
        <f ca="1"/>
        <v>0</v>
      </c>
      <c r="J160" s="159">
        <f ca="1"/>
        <v>0</v>
      </c>
      <c r="K160" s="44">
        <f ca="1"/>
        <v>0</v>
      </c>
      <c r="L160" s="44">
        <f ca="1"/>
        <v>0</v>
      </c>
      <c r="M160" s="159">
        <f ca="1"/>
        <v>0</v>
      </c>
      <c r="N160" s="159">
        <f ca="1"/>
        <v>0</v>
      </c>
      <c r="O160" s="159">
        <f ca="1"/>
        <v>0</v>
      </c>
      <c r="P160" s="159">
        <f ca="1"/>
        <v>0</v>
      </c>
      <c r="Q160" s="159">
        <f ca="1"/>
        <v>0</v>
      </c>
      <c r="R160" s="159">
        <f ca="1"/>
        <v>0</v>
      </c>
      <c r="S160" s="159">
        <f ca="1"/>
        <v>0</v>
      </c>
      <c r="T160" s="159">
        <f ca="1"/>
        <v>0</v>
      </c>
      <c r="U160" s="159">
        <f ca="1"/>
        <v>0</v>
      </c>
      <c r="V160" s="159">
        <f ca="1"/>
        <v>0</v>
      </c>
      <c r="W160" s="159">
        <f ca="1"/>
        <v>0</v>
      </c>
      <c r="X160" s="160">
        <f ca="1"/>
        <v>0</v>
      </c>
      <c r="Y160" s="160">
        <f ca="1"/>
        <v>0</v>
      </c>
      <c r="Z160" s="160">
        <f ca="1"/>
        <v>0</v>
      </c>
      <c r="AA160" s="161">
        <f ca="1"/>
        <v>0</v>
      </c>
      <c r="AB160" s="14"/>
    </row>
    <row r="161" spans="1:28" s="10" customFormat="1" ht="15" hidden="1" customHeight="1" x14ac:dyDescent="0.45">
      <c r="A161" s="1783"/>
      <c r="B161" s="1775" t="s">
        <v>330</v>
      </c>
      <c r="C161" s="1266" t="s">
        <v>326</v>
      </c>
      <c r="D161" s="162">
        <f ca="1"/>
        <v>0</v>
      </c>
      <c r="E161" s="162">
        <f ca="1"/>
        <v>0</v>
      </c>
      <c r="F161" s="162">
        <f ca="1"/>
        <v>0</v>
      </c>
      <c r="G161" s="162">
        <f ca="1"/>
        <v>0</v>
      </c>
      <c r="H161" s="162">
        <f ca="1"/>
        <v>0</v>
      </c>
      <c r="I161" s="162">
        <f ca="1"/>
        <v>0</v>
      </c>
      <c r="J161" s="162">
        <f ca="1"/>
        <v>0</v>
      </c>
      <c r="K161" s="47">
        <f ca="1"/>
        <v>0</v>
      </c>
      <c r="L161" s="47">
        <f ca="1"/>
        <v>0</v>
      </c>
      <c r="M161" s="162">
        <f ca="1"/>
        <v>0</v>
      </c>
      <c r="N161" s="162">
        <f ca="1"/>
        <v>0</v>
      </c>
      <c r="O161" s="162">
        <f ca="1"/>
        <v>0</v>
      </c>
      <c r="P161" s="163">
        <f ca="1"/>
        <v>0</v>
      </c>
      <c r="Q161" s="164">
        <f ca="1"/>
        <v>0</v>
      </c>
      <c r="R161" s="163">
        <f ca="1"/>
        <v>0</v>
      </c>
      <c r="S161" s="163">
        <f ca="1"/>
        <v>0</v>
      </c>
      <c r="T161" s="163">
        <f ca="1"/>
        <v>0</v>
      </c>
      <c r="U161" s="163">
        <f ca="1"/>
        <v>0</v>
      </c>
      <c r="V161" s="163">
        <f ca="1"/>
        <v>0</v>
      </c>
      <c r="W161" s="163">
        <f ca="1"/>
        <v>0</v>
      </c>
      <c r="X161" s="163">
        <f ca="1"/>
        <v>0</v>
      </c>
      <c r="Y161" s="163">
        <f ca="1"/>
        <v>0</v>
      </c>
      <c r="Z161" s="163">
        <f ca="1"/>
        <v>0</v>
      </c>
      <c r="AA161" s="165">
        <f ca="1"/>
        <v>0</v>
      </c>
      <c r="AB161" s="14"/>
    </row>
    <row r="162" spans="1:28" s="10" customFormat="1" ht="15" hidden="1" customHeight="1" x14ac:dyDescent="0.45">
      <c r="A162" s="1783"/>
      <c r="B162" s="1776"/>
      <c r="C162" s="1266" t="s">
        <v>327</v>
      </c>
      <c r="D162" s="162">
        <f ca="1"/>
        <v>0</v>
      </c>
      <c r="E162" s="162">
        <f ca="1"/>
        <v>0</v>
      </c>
      <c r="F162" s="162">
        <f ca="1"/>
        <v>0</v>
      </c>
      <c r="G162" s="162">
        <f ca="1"/>
        <v>0</v>
      </c>
      <c r="H162" s="162">
        <f ca="1"/>
        <v>0</v>
      </c>
      <c r="I162" s="162">
        <f ca="1"/>
        <v>0</v>
      </c>
      <c r="J162" s="162">
        <f ca="1"/>
        <v>0</v>
      </c>
      <c r="K162" s="47">
        <f ca="1"/>
        <v>0</v>
      </c>
      <c r="L162" s="47">
        <f ca="1"/>
        <v>0</v>
      </c>
      <c r="M162" s="162">
        <f ca="1"/>
        <v>0</v>
      </c>
      <c r="N162" s="162">
        <f ca="1"/>
        <v>0</v>
      </c>
      <c r="O162" s="164">
        <f ca="1"/>
        <v>4</v>
      </c>
      <c r="P162" s="162">
        <f ca="1"/>
        <v>6</v>
      </c>
      <c r="Q162" s="164">
        <f ca="1"/>
        <v>5</v>
      </c>
      <c r="R162" s="164">
        <f ca="1"/>
        <v>3</v>
      </c>
      <c r="S162" s="164">
        <f ca="1"/>
        <v>3</v>
      </c>
      <c r="T162" s="164">
        <f ca="1"/>
        <v>0</v>
      </c>
      <c r="U162" s="164">
        <f ca="1"/>
        <v>4</v>
      </c>
      <c r="V162" s="164">
        <f ca="1"/>
        <v>0</v>
      </c>
      <c r="W162" s="164">
        <f ca="1"/>
        <v>0</v>
      </c>
      <c r="X162" s="163">
        <f ca="1"/>
        <v>0</v>
      </c>
      <c r="Y162" s="163">
        <f ca="1"/>
        <v>0</v>
      </c>
      <c r="Z162" s="163">
        <f ca="1"/>
        <v>0</v>
      </c>
      <c r="AA162" s="165">
        <f ca="1"/>
        <v>0</v>
      </c>
      <c r="AB162" s="14"/>
    </row>
    <row r="163" spans="1:28" s="10" customFormat="1" ht="15" hidden="1" customHeight="1" x14ac:dyDescent="0.45">
      <c r="A163" s="1783"/>
      <c r="B163" s="1777" t="s">
        <v>331</v>
      </c>
      <c r="C163" s="1235" t="s">
        <v>326</v>
      </c>
      <c r="D163" s="166">
        <f ca="1"/>
        <v>0</v>
      </c>
      <c r="E163" s="166">
        <f ca="1"/>
        <v>0</v>
      </c>
      <c r="F163" s="166">
        <f ca="1"/>
        <v>0</v>
      </c>
      <c r="G163" s="166">
        <f ca="1"/>
        <v>0</v>
      </c>
      <c r="H163" s="166">
        <f ca="1"/>
        <v>0</v>
      </c>
      <c r="I163" s="166">
        <f ca="1"/>
        <v>0</v>
      </c>
      <c r="J163" s="166">
        <f ca="1"/>
        <v>0</v>
      </c>
      <c r="K163" s="51">
        <f ca="1"/>
        <v>0</v>
      </c>
      <c r="L163" s="51">
        <f ca="1"/>
        <v>0</v>
      </c>
      <c r="M163" s="167">
        <f ca="1"/>
        <v>0</v>
      </c>
      <c r="N163" s="167">
        <f ca="1"/>
        <v>0</v>
      </c>
      <c r="O163" s="167">
        <f ca="1"/>
        <v>0</v>
      </c>
      <c r="P163" s="167">
        <f ca="1"/>
        <v>0</v>
      </c>
      <c r="Q163" s="168">
        <f ca="1"/>
        <v>0</v>
      </c>
      <c r="R163" s="167">
        <f ca="1"/>
        <v>0</v>
      </c>
      <c r="S163" s="167">
        <f ca="1"/>
        <v>0</v>
      </c>
      <c r="T163" s="167">
        <f ca="1"/>
        <v>0</v>
      </c>
      <c r="U163" s="167">
        <f ca="1"/>
        <v>0</v>
      </c>
      <c r="V163" s="167">
        <f ca="1"/>
        <v>0</v>
      </c>
      <c r="W163" s="167">
        <f ca="1"/>
        <v>0</v>
      </c>
      <c r="X163" s="167">
        <f ca="1"/>
        <v>0</v>
      </c>
      <c r="Y163" s="167">
        <f ca="1"/>
        <v>0</v>
      </c>
      <c r="Z163" s="167">
        <f ca="1"/>
        <v>0</v>
      </c>
      <c r="AA163" s="169">
        <f ca="1"/>
        <v>0</v>
      </c>
      <c r="AB163" s="14"/>
    </row>
    <row r="164" spans="1:28" s="10" customFormat="1" ht="15" hidden="1" customHeight="1" x14ac:dyDescent="0.45">
      <c r="A164" s="1783"/>
      <c r="B164" s="1774"/>
      <c r="C164" s="1265" t="s">
        <v>327</v>
      </c>
      <c r="D164" s="159">
        <f ca="1"/>
        <v>0</v>
      </c>
      <c r="E164" s="159">
        <f ca="1"/>
        <v>0</v>
      </c>
      <c r="F164" s="159">
        <f ca="1"/>
        <v>0</v>
      </c>
      <c r="G164" s="159">
        <f ca="1"/>
        <v>0</v>
      </c>
      <c r="H164" s="159">
        <f ca="1"/>
        <v>0</v>
      </c>
      <c r="I164" s="159">
        <f ca="1"/>
        <v>0</v>
      </c>
      <c r="J164" s="159">
        <f ca="1"/>
        <v>0</v>
      </c>
      <c r="K164" s="44">
        <f ca="1"/>
        <v>0</v>
      </c>
      <c r="L164" s="44">
        <f ca="1"/>
        <v>0</v>
      </c>
      <c r="M164" s="159">
        <f ca="1"/>
        <v>0</v>
      </c>
      <c r="N164" s="159">
        <f ca="1"/>
        <v>0</v>
      </c>
      <c r="O164" s="159">
        <f ca="1"/>
        <v>0</v>
      </c>
      <c r="P164" s="159">
        <f ca="1"/>
        <v>0</v>
      </c>
      <c r="Q164" s="159">
        <f ca="1"/>
        <v>0</v>
      </c>
      <c r="R164" s="159">
        <f ca="1"/>
        <v>0</v>
      </c>
      <c r="S164" s="159">
        <f ca="1"/>
        <v>0</v>
      </c>
      <c r="T164" s="159">
        <f ca="1"/>
        <v>0</v>
      </c>
      <c r="U164" s="159">
        <f ca="1"/>
        <v>0</v>
      </c>
      <c r="V164" s="159">
        <f ca="1"/>
        <v>0</v>
      </c>
      <c r="W164" s="159">
        <f ca="1"/>
        <v>0</v>
      </c>
      <c r="X164" s="160">
        <f ca="1"/>
        <v>0</v>
      </c>
      <c r="Y164" s="160">
        <f ca="1"/>
        <v>0</v>
      </c>
      <c r="Z164" s="160">
        <f ca="1"/>
        <v>0</v>
      </c>
      <c r="AA164" s="161">
        <f ca="1"/>
        <v>0</v>
      </c>
      <c r="AB164" s="14"/>
    </row>
    <row r="165" spans="1:28" s="10" customFormat="1" ht="15" hidden="1" customHeight="1" x14ac:dyDescent="0.45">
      <c r="A165" s="1783"/>
      <c r="B165" s="1775" t="s">
        <v>332</v>
      </c>
      <c r="C165" s="1266" t="s">
        <v>326</v>
      </c>
      <c r="D165" s="162">
        <f ca="1"/>
        <v>0</v>
      </c>
      <c r="E165" s="162">
        <f ca="1"/>
        <v>0</v>
      </c>
      <c r="F165" s="162">
        <f ca="1"/>
        <v>0</v>
      </c>
      <c r="G165" s="162">
        <f ca="1"/>
        <v>0</v>
      </c>
      <c r="H165" s="162">
        <f ca="1"/>
        <v>0</v>
      </c>
      <c r="I165" s="162">
        <f ca="1"/>
        <v>0</v>
      </c>
      <c r="J165" s="162">
        <f ca="1"/>
        <v>0</v>
      </c>
      <c r="K165" s="47">
        <f ca="1"/>
        <v>0</v>
      </c>
      <c r="L165" s="47">
        <f ca="1"/>
        <v>0</v>
      </c>
      <c r="M165" s="162">
        <f ca="1"/>
        <v>0</v>
      </c>
      <c r="N165" s="162">
        <f ca="1"/>
        <v>0</v>
      </c>
      <c r="O165" s="162">
        <f ca="1"/>
        <v>0</v>
      </c>
      <c r="P165" s="163">
        <f ca="1"/>
        <v>0</v>
      </c>
      <c r="Q165" s="164">
        <f ca="1"/>
        <v>0</v>
      </c>
      <c r="R165" s="163">
        <f ca="1"/>
        <v>0</v>
      </c>
      <c r="S165" s="163">
        <f ca="1"/>
        <v>0</v>
      </c>
      <c r="T165" s="163">
        <f ca="1"/>
        <v>0</v>
      </c>
      <c r="U165" s="163">
        <f ca="1"/>
        <v>0</v>
      </c>
      <c r="V165" s="163">
        <f ca="1"/>
        <v>0</v>
      </c>
      <c r="W165" s="163">
        <f ca="1"/>
        <v>0</v>
      </c>
      <c r="X165" s="163">
        <f ca="1"/>
        <v>0</v>
      </c>
      <c r="Y165" s="163">
        <f ca="1"/>
        <v>0</v>
      </c>
      <c r="Z165" s="163">
        <f ca="1"/>
        <v>0</v>
      </c>
      <c r="AA165" s="165">
        <f ca="1"/>
        <v>0</v>
      </c>
      <c r="AB165" s="14"/>
    </row>
    <row r="166" spans="1:28" s="10" customFormat="1" ht="15" hidden="1" customHeight="1" x14ac:dyDescent="0.45">
      <c r="A166" s="1783"/>
      <c r="B166" s="1776"/>
      <c r="C166" s="1266" t="s">
        <v>327</v>
      </c>
      <c r="D166" s="162">
        <f ca="1"/>
        <v>0</v>
      </c>
      <c r="E166" s="162">
        <f ca="1"/>
        <v>0</v>
      </c>
      <c r="F166" s="162">
        <f ca="1"/>
        <v>0</v>
      </c>
      <c r="G166" s="162">
        <f ca="1"/>
        <v>0</v>
      </c>
      <c r="H166" s="162">
        <f ca="1"/>
        <v>0</v>
      </c>
      <c r="I166" s="162">
        <f ca="1"/>
        <v>0</v>
      </c>
      <c r="J166" s="162">
        <f ca="1"/>
        <v>0</v>
      </c>
      <c r="K166" s="47">
        <f ca="1"/>
        <v>0</v>
      </c>
      <c r="L166" s="47">
        <f ca="1"/>
        <v>0</v>
      </c>
      <c r="M166" s="162">
        <f ca="1"/>
        <v>0</v>
      </c>
      <c r="N166" s="162">
        <f ca="1"/>
        <v>0</v>
      </c>
      <c r="O166" s="162">
        <f ca="1"/>
        <v>0</v>
      </c>
      <c r="P166" s="162">
        <f ca="1"/>
        <v>0</v>
      </c>
      <c r="Q166" s="164">
        <f ca="1"/>
        <v>0</v>
      </c>
      <c r="R166" s="164">
        <f ca="1"/>
        <v>0</v>
      </c>
      <c r="S166" s="164">
        <f ca="1"/>
        <v>0</v>
      </c>
      <c r="T166" s="164">
        <f ca="1"/>
        <v>0</v>
      </c>
      <c r="U166" s="164">
        <f ca="1"/>
        <v>0</v>
      </c>
      <c r="V166" s="164">
        <f ca="1"/>
        <v>0</v>
      </c>
      <c r="W166" s="164">
        <f ca="1"/>
        <v>0</v>
      </c>
      <c r="X166" s="163">
        <f ca="1"/>
        <v>0</v>
      </c>
      <c r="Y166" s="163">
        <f ca="1"/>
        <v>0</v>
      </c>
      <c r="Z166" s="163">
        <f ca="1"/>
        <v>0</v>
      </c>
      <c r="AA166" s="165">
        <f ca="1"/>
        <v>0</v>
      </c>
      <c r="AB166" s="14"/>
    </row>
    <row r="167" spans="1:28" s="10" customFormat="1" ht="15" hidden="1" customHeight="1" x14ac:dyDescent="0.45">
      <c r="A167" s="1783"/>
      <c r="B167" s="1777" t="s">
        <v>333</v>
      </c>
      <c r="C167" s="1265" t="s">
        <v>326</v>
      </c>
      <c r="D167" s="159">
        <f ca="1"/>
        <v>0</v>
      </c>
      <c r="E167" s="159">
        <f ca="1"/>
        <v>0</v>
      </c>
      <c r="F167" s="159">
        <f ca="1"/>
        <v>0</v>
      </c>
      <c r="G167" s="159">
        <f ca="1"/>
        <v>0</v>
      </c>
      <c r="H167" s="159">
        <f ca="1"/>
        <v>0</v>
      </c>
      <c r="I167" s="159">
        <f ca="1"/>
        <v>0</v>
      </c>
      <c r="J167" s="159">
        <f ca="1"/>
        <v>0</v>
      </c>
      <c r="K167" s="44">
        <f ca="1"/>
        <v>0</v>
      </c>
      <c r="L167" s="44">
        <f ca="1"/>
        <v>0</v>
      </c>
      <c r="M167" s="160">
        <f ca="1"/>
        <v>0</v>
      </c>
      <c r="N167" s="160">
        <f ca="1"/>
        <v>0</v>
      </c>
      <c r="O167" s="160">
        <f ca="1"/>
        <v>0</v>
      </c>
      <c r="P167" s="160">
        <f ca="1"/>
        <v>0</v>
      </c>
      <c r="Q167" s="170">
        <f ca="1"/>
        <v>0</v>
      </c>
      <c r="R167" s="160">
        <f ca="1"/>
        <v>0</v>
      </c>
      <c r="S167" s="160">
        <f ca="1"/>
        <v>0</v>
      </c>
      <c r="T167" s="160">
        <f ca="1"/>
        <v>0</v>
      </c>
      <c r="U167" s="160">
        <f ca="1"/>
        <v>0</v>
      </c>
      <c r="V167" s="160">
        <f ca="1"/>
        <v>0</v>
      </c>
      <c r="W167" s="160">
        <f ca="1"/>
        <v>0</v>
      </c>
      <c r="X167" s="160">
        <f ca="1"/>
        <v>0</v>
      </c>
      <c r="Y167" s="160">
        <f ca="1"/>
        <v>0</v>
      </c>
      <c r="Z167" s="160">
        <f ca="1"/>
        <v>0</v>
      </c>
      <c r="AA167" s="161">
        <f ca="1"/>
        <v>0</v>
      </c>
      <c r="AB167" s="14"/>
    </row>
    <row r="168" spans="1:28" s="10" customFormat="1" ht="15" hidden="1" customHeight="1" x14ac:dyDescent="0.45">
      <c r="A168" s="1784"/>
      <c r="B168" s="1778"/>
      <c r="C168" s="1267" t="s">
        <v>327</v>
      </c>
      <c r="D168" s="171">
        <f ca="1"/>
        <v>0</v>
      </c>
      <c r="E168" s="171">
        <f ca="1"/>
        <v>0</v>
      </c>
      <c r="F168" s="171">
        <f ca="1"/>
        <v>0</v>
      </c>
      <c r="G168" s="171">
        <f ca="1"/>
        <v>0</v>
      </c>
      <c r="H168" s="171">
        <f ca="1"/>
        <v>0</v>
      </c>
      <c r="I168" s="171">
        <f ca="1"/>
        <v>0</v>
      </c>
      <c r="J168" s="171">
        <f ca="1"/>
        <v>0</v>
      </c>
      <c r="K168" s="56">
        <f ca="1"/>
        <v>0</v>
      </c>
      <c r="L168" s="56">
        <f ca="1"/>
        <v>0</v>
      </c>
      <c r="M168" s="172">
        <f ca="1"/>
        <v>0</v>
      </c>
      <c r="N168" s="172">
        <f ca="1"/>
        <v>0</v>
      </c>
      <c r="O168" s="172">
        <f ca="1"/>
        <v>0</v>
      </c>
      <c r="P168" s="172">
        <f ca="1"/>
        <v>0</v>
      </c>
      <c r="Q168" s="173">
        <f ca="1"/>
        <v>0</v>
      </c>
      <c r="R168" s="172">
        <f ca="1"/>
        <v>0</v>
      </c>
      <c r="S168" s="172">
        <f ca="1"/>
        <v>0</v>
      </c>
      <c r="T168" s="172">
        <f ca="1"/>
        <v>0</v>
      </c>
      <c r="U168" s="172">
        <f ca="1"/>
        <v>0</v>
      </c>
      <c r="V168" s="172">
        <f ca="1"/>
        <v>0</v>
      </c>
      <c r="W168" s="172">
        <f ca="1"/>
        <v>0</v>
      </c>
      <c r="X168" s="172">
        <f ca="1"/>
        <v>0</v>
      </c>
      <c r="Y168" s="172">
        <f ca="1"/>
        <v>0</v>
      </c>
      <c r="Z168" s="172">
        <f ca="1"/>
        <v>0</v>
      </c>
      <c r="AA168" s="174">
        <f ca="1"/>
        <v>0</v>
      </c>
      <c r="AB168" s="14"/>
    </row>
    <row r="169" spans="1:28" s="10" customFormat="1" ht="15" hidden="1" customHeight="1" x14ac:dyDescent="0.45">
      <c r="A169" s="1802" t="s">
        <v>337</v>
      </c>
      <c r="B169" s="1773" t="s">
        <v>325</v>
      </c>
      <c r="C169" s="1268" t="s">
        <v>326</v>
      </c>
      <c r="D169" s="40">
        <f t="array" ref="D169:AA182" ca="1">IF(display_week="",0,
IF(IFERROR(FIND("filler",plan_duration_primary),0),0,plan_duration_primary)
+IF(IFERROR(FIND("filler",plan_duration_secondary),0),0,plan_duration_secondary)
+IF(IFERROR(FIND("filler",plan_duration_tertiary),0),0,plan_duration_tertiary)
+IF(plan_duration_WU="",0,plan_duration_WU)
+IF(plan_duration_WD="",0,plan_duration_WD)
+IF(plan_duration_recoveries="",0,plan_duration_recoveries))</f>
        <v>40</v>
      </c>
      <c r="E169" s="40">
        <f ca="1"/>
        <v>40</v>
      </c>
      <c r="F169" s="40">
        <f ca="1"/>
        <v>40</v>
      </c>
      <c r="G169" s="40">
        <f ca="1"/>
        <v>40</v>
      </c>
      <c r="H169" s="40">
        <f ca="1"/>
        <v>40</v>
      </c>
      <c r="I169" s="40">
        <f ca="1"/>
        <v>40</v>
      </c>
      <c r="J169" s="40">
        <f ca="1"/>
        <v>40</v>
      </c>
      <c r="K169" s="40">
        <f ca="1"/>
        <v>40</v>
      </c>
      <c r="L169" s="51">
        <f ca="1"/>
        <v>40</v>
      </c>
      <c r="M169" s="51">
        <f ca="1"/>
        <v>0</v>
      </c>
      <c r="N169" s="41">
        <f ca="1"/>
        <v>0</v>
      </c>
      <c r="O169" s="41">
        <f ca="1"/>
        <v>40</v>
      </c>
      <c r="P169" s="41">
        <f ca="1"/>
        <v>40</v>
      </c>
      <c r="Q169" s="42">
        <f ca="1"/>
        <v>40</v>
      </c>
      <c r="R169" s="41">
        <f ca="1"/>
        <v>30</v>
      </c>
      <c r="S169" s="41">
        <f ca="1"/>
        <v>30</v>
      </c>
      <c r="T169" s="41">
        <f ca="1"/>
        <v>30</v>
      </c>
      <c r="U169" s="41">
        <f ca="1"/>
        <v>30</v>
      </c>
      <c r="V169" s="41">
        <f ca="1"/>
        <v>0</v>
      </c>
      <c r="W169" s="41">
        <f ca="1"/>
        <v>0</v>
      </c>
      <c r="X169" s="41">
        <f ca="1"/>
        <v>0</v>
      </c>
      <c r="Y169" s="41">
        <f ca="1"/>
        <v>0</v>
      </c>
      <c r="Z169" s="41">
        <f ca="1"/>
        <v>0</v>
      </c>
      <c r="AA169" s="43">
        <f ca="1"/>
        <v>0</v>
      </c>
      <c r="AB169" s="14"/>
    </row>
    <row r="170" spans="1:28" s="10" customFormat="1" ht="15" hidden="1" customHeight="1" x14ac:dyDescent="0.45">
      <c r="A170" s="1803"/>
      <c r="B170" s="1774"/>
      <c r="C170" s="1265" t="s">
        <v>327</v>
      </c>
      <c r="D170" s="44">
        <f ca="1"/>
        <v>60</v>
      </c>
      <c r="E170" s="44">
        <f ca="1"/>
        <v>60</v>
      </c>
      <c r="F170" s="44">
        <f ca="1"/>
        <v>60</v>
      </c>
      <c r="G170" s="44">
        <f ca="1"/>
        <v>60</v>
      </c>
      <c r="H170" s="44">
        <f ca="1"/>
        <v>60</v>
      </c>
      <c r="I170" s="44">
        <f ca="1"/>
        <v>60</v>
      </c>
      <c r="J170" s="44">
        <f ca="1"/>
        <v>60</v>
      </c>
      <c r="K170" s="44">
        <f ca="1"/>
        <v>60</v>
      </c>
      <c r="L170" s="44">
        <f ca="1"/>
        <v>60</v>
      </c>
      <c r="M170" s="44">
        <f ca="1"/>
        <v>0</v>
      </c>
      <c r="N170" s="44">
        <f ca="1"/>
        <v>85</v>
      </c>
      <c r="O170" s="44">
        <f ca="1"/>
        <v>60</v>
      </c>
      <c r="P170" s="44">
        <f ca="1"/>
        <v>60</v>
      </c>
      <c r="Q170" s="44">
        <f ca="1"/>
        <v>60</v>
      </c>
      <c r="R170" s="44">
        <f ca="1"/>
        <v>60</v>
      </c>
      <c r="S170" s="44">
        <f ca="1"/>
        <v>60</v>
      </c>
      <c r="T170" s="44">
        <f ca="1"/>
        <v>60</v>
      </c>
      <c r="U170" s="44">
        <f ca="1"/>
        <v>60</v>
      </c>
      <c r="V170" s="44">
        <f ca="1"/>
        <v>0</v>
      </c>
      <c r="W170" s="44">
        <f ca="1"/>
        <v>0</v>
      </c>
      <c r="X170" s="45">
        <f ca="1"/>
        <v>0</v>
      </c>
      <c r="Y170" s="45">
        <f ca="1"/>
        <v>0</v>
      </c>
      <c r="Z170" s="45">
        <f ca="1"/>
        <v>0</v>
      </c>
      <c r="AA170" s="46">
        <f ca="1"/>
        <v>0</v>
      </c>
      <c r="AB170" s="14"/>
    </row>
    <row r="171" spans="1:28" s="10" customFormat="1" ht="15" hidden="1" customHeight="1" x14ac:dyDescent="0.45">
      <c r="A171" s="1803"/>
      <c r="B171" s="1775" t="s">
        <v>328</v>
      </c>
      <c r="C171" s="1266" t="s">
        <v>326</v>
      </c>
      <c r="D171" s="47">
        <f ca="1"/>
        <v>40</v>
      </c>
      <c r="E171" s="47">
        <f ca="1"/>
        <v>40</v>
      </c>
      <c r="F171" s="47">
        <f ca="1"/>
        <v>40</v>
      </c>
      <c r="G171" s="47">
        <f ca="1"/>
        <v>40</v>
      </c>
      <c r="H171" s="47">
        <f ca="1"/>
        <v>40</v>
      </c>
      <c r="I171" s="47">
        <f ca="1"/>
        <v>40</v>
      </c>
      <c r="J171" s="47">
        <f ca="1"/>
        <v>40</v>
      </c>
      <c r="K171" s="47">
        <f ca="1"/>
        <v>0</v>
      </c>
      <c r="L171" s="47">
        <f ca="1"/>
        <v>0</v>
      </c>
      <c r="M171" s="47">
        <f ca="1"/>
        <v>0</v>
      </c>
      <c r="N171" s="47">
        <f ca="1"/>
        <v>0</v>
      </c>
      <c r="O171" s="47">
        <f ca="1"/>
        <v>40</v>
      </c>
      <c r="P171" s="48">
        <f ca="1"/>
        <v>40</v>
      </c>
      <c r="Q171" s="49">
        <f ca="1"/>
        <v>40</v>
      </c>
      <c r="R171" s="48">
        <f ca="1"/>
        <v>0</v>
      </c>
      <c r="S171" s="48">
        <f ca="1"/>
        <v>0</v>
      </c>
      <c r="T171" s="48">
        <f ca="1"/>
        <v>0</v>
      </c>
      <c r="U171" s="48">
        <f ca="1"/>
        <v>0</v>
      </c>
      <c r="V171" s="48">
        <f ca="1"/>
        <v>0</v>
      </c>
      <c r="W171" s="48">
        <f ca="1"/>
        <v>0</v>
      </c>
      <c r="X171" s="48">
        <f ca="1"/>
        <v>0</v>
      </c>
      <c r="Y171" s="48">
        <f ca="1"/>
        <v>0</v>
      </c>
      <c r="Z171" s="48">
        <f ca="1"/>
        <v>0</v>
      </c>
      <c r="AA171" s="50">
        <f ca="1"/>
        <v>0</v>
      </c>
      <c r="AB171" s="14"/>
    </row>
    <row r="172" spans="1:28" s="10" customFormat="1" ht="15" hidden="1" customHeight="1" x14ac:dyDescent="0.45">
      <c r="A172" s="1803"/>
      <c r="B172" s="1776"/>
      <c r="C172" s="1266" t="s">
        <v>327</v>
      </c>
      <c r="D172" s="47">
        <f ca="1"/>
        <v>55</v>
      </c>
      <c r="E172" s="47">
        <f ca="1"/>
        <v>55</v>
      </c>
      <c r="F172" s="47">
        <f ca="1"/>
        <v>55</v>
      </c>
      <c r="G172" s="47">
        <f ca="1"/>
        <v>55</v>
      </c>
      <c r="H172" s="47">
        <f ca="1"/>
        <v>55</v>
      </c>
      <c r="I172" s="47">
        <f ca="1"/>
        <v>55</v>
      </c>
      <c r="J172" s="47">
        <f ca="1"/>
        <v>55</v>
      </c>
      <c r="K172" s="47">
        <f ca="1"/>
        <v>55</v>
      </c>
      <c r="L172" s="47">
        <f ca="1"/>
        <v>55</v>
      </c>
      <c r="M172" s="47">
        <f ca="1"/>
        <v>0</v>
      </c>
      <c r="N172" s="47">
        <f ca="1"/>
        <v>145</v>
      </c>
      <c r="O172" s="47">
        <f ca="1"/>
        <v>55</v>
      </c>
      <c r="P172" s="47">
        <f ca="1"/>
        <v>55</v>
      </c>
      <c r="Q172" s="49">
        <f ca="1"/>
        <v>55</v>
      </c>
      <c r="R172" s="49">
        <f ca="1"/>
        <v>55</v>
      </c>
      <c r="S172" s="49">
        <f ca="1"/>
        <v>55</v>
      </c>
      <c r="T172" s="49">
        <f ca="1"/>
        <v>0</v>
      </c>
      <c r="U172" s="49">
        <f ca="1"/>
        <v>55</v>
      </c>
      <c r="V172" s="49">
        <f ca="1"/>
        <v>49.5</v>
      </c>
      <c r="W172" s="49">
        <f ca="1"/>
        <v>0</v>
      </c>
      <c r="X172" s="48">
        <f ca="1"/>
        <v>0</v>
      </c>
      <c r="Y172" s="48">
        <f ca="1"/>
        <v>0</v>
      </c>
      <c r="Z172" s="48">
        <f ca="1"/>
        <v>0</v>
      </c>
      <c r="AA172" s="50">
        <f ca="1"/>
        <v>0</v>
      </c>
      <c r="AB172" s="14"/>
    </row>
    <row r="173" spans="1:28" s="10" customFormat="1" ht="15" hidden="1" customHeight="1" x14ac:dyDescent="0.45">
      <c r="A173" s="1803"/>
      <c r="B173" s="1777" t="s">
        <v>329</v>
      </c>
      <c r="C173" s="1235" t="s">
        <v>326</v>
      </c>
      <c r="D173" s="51">
        <f ca="1"/>
        <v>0</v>
      </c>
      <c r="E173" s="51">
        <f ca="1"/>
        <v>0</v>
      </c>
      <c r="F173" s="51">
        <f ca="1"/>
        <v>0</v>
      </c>
      <c r="G173" s="51">
        <f ca="1"/>
        <v>0</v>
      </c>
      <c r="H173" s="51">
        <f ca="1"/>
        <v>0</v>
      </c>
      <c r="I173" s="51">
        <f ca="1"/>
        <v>0</v>
      </c>
      <c r="J173" s="51">
        <f ca="1"/>
        <v>0</v>
      </c>
      <c r="K173" s="51">
        <f ca="1"/>
        <v>0</v>
      </c>
      <c r="L173" s="51">
        <f ca="1"/>
        <v>0</v>
      </c>
      <c r="M173" s="51">
        <f ca="1"/>
        <v>0</v>
      </c>
      <c r="N173" s="52">
        <f ca="1"/>
        <v>0</v>
      </c>
      <c r="O173" s="52">
        <f ca="1"/>
        <v>0</v>
      </c>
      <c r="P173" s="52">
        <f ca="1"/>
        <v>0</v>
      </c>
      <c r="Q173" s="53">
        <f ca="1"/>
        <v>0</v>
      </c>
      <c r="R173" s="52">
        <f ca="1"/>
        <v>0</v>
      </c>
      <c r="S173" s="52">
        <f ca="1"/>
        <v>0</v>
      </c>
      <c r="T173" s="52">
        <f ca="1"/>
        <v>0</v>
      </c>
      <c r="U173" s="52">
        <f ca="1"/>
        <v>0</v>
      </c>
      <c r="V173" s="52">
        <f ca="1"/>
        <v>0</v>
      </c>
      <c r="W173" s="52">
        <f ca="1"/>
        <v>0</v>
      </c>
      <c r="X173" s="52">
        <f ca="1"/>
        <v>0</v>
      </c>
      <c r="Y173" s="52">
        <f ca="1"/>
        <v>0</v>
      </c>
      <c r="Z173" s="52">
        <f ca="1"/>
        <v>0</v>
      </c>
      <c r="AA173" s="54">
        <f ca="1"/>
        <v>0</v>
      </c>
      <c r="AB173" s="14"/>
    </row>
    <row r="174" spans="1:28" s="10" customFormat="1" ht="15" hidden="1" customHeight="1" x14ac:dyDescent="0.45">
      <c r="A174" s="1803"/>
      <c r="B174" s="1774"/>
      <c r="C174" s="1265" t="s">
        <v>327</v>
      </c>
      <c r="D174" s="44">
        <f ca="1"/>
        <v>0</v>
      </c>
      <c r="E174" s="44">
        <f ca="1"/>
        <v>0</v>
      </c>
      <c r="F174" s="44">
        <f ca="1"/>
        <v>0</v>
      </c>
      <c r="G174" s="44">
        <f ca="1"/>
        <v>0</v>
      </c>
      <c r="H174" s="44">
        <f ca="1"/>
        <v>0</v>
      </c>
      <c r="I174" s="44">
        <f ca="1"/>
        <v>0</v>
      </c>
      <c r="J174" s="44">
        <f ca="1"/>
        <v>0</v>
      </c>
      <c r="K174" s="44">
        <f ca="1"/>
        <v>0</v>
      </c>
      <c r="L174" s="44">
        <f ca="1"/>
        <v>45</v>
      </c>
      <c r="M174" s="44">
        <f ca="1"/>
        <v>0</v>
      </c>
      <c r="N174" s="44">
        <f ca="1"/>
        <v>145</v>
      </c>
      <c r="O174" s="44">
        <f ca="1"/>
        <v>0</v>
      </c>
      <c r="P174" s="44">
        <f ca="1"/>
        <v>0</v>
      </c>
      <c r="Q174" s="44">
        <f ca="1"/>
        <v>0</v>
      </c>
      <c r="R174" s="44">
        <f ca="1"/>
        <v>0</v>
      </c>
      <c r="S174" s="44">
        <f ca="1"/>
        <v>0</v>
      </c>
      <c r="T174" s="44">
        <f ca="1"/>
        <v>0</v>
      </c>
      <c r="U174" s="44">
        <f ca="1"/>
        <v>0</v>
      </c>
      <c r="V174" s="44">
        <f ca="1"/>
        <v>100</v>
      </c>
      <c r="W174" s="44">
        <f ca="1"/>
        <v>0</v>
      </c>
      <c r="X174" s="45">
        <f ca="1"/>
        <v>0</v>
      </c>
      <c r="Y174" s="45">
        <f ca="1"/>
        <v>0</v>
      </c>
      <c r="Z174" s="45">
        <f ca="1"/>
        <v>0</v>
      </c>
      <c r="AA174" s="46">
        <f ca="1"/>
        <v>0</v>
      </c>
      <c r="AB174" s="14"/>
    </row>
    <row r="175" spans="1:28" s="10" customFormat="1" ht="15" hidden="1" customHeight="1" x14ac:dyDescent="0.45">
      <c r="A175" s="1803"/>
      <c r="B175" s="1775" t="s">
        <v>330</v>
      </c>
      <c r="C175" s="1266" t="s">
        <v>326</v>
      </c>
      <c r="D175" s="47">
        <f ca="1"/>
        <v>40</v>
      </c>
      <c r="E175" s="47">
        <f ca="1"/>
        <v>40</v>
      </c>
      <c r="F175" s="47">
        <f ca="1"/>
        <v>40</v>
      </c>
      <c r="G175" s="47">
        <f ca="1"/>
        <v>40</v>
      </c>
      <c r="H175" s="47">
        <f ca="1"/>
        <v>40</v>
      </c>
      <c r="I175" s="47">
        <f ca="1"/>
        <v>40</v>
      </c>
      <c r="J175" s="47">
        <f ca="1"/>
        <v>0</v>
      </c>
      <c r="K175" s="47">
        <f ca="1"/>
        <v>0</v>
      </c>
      <c r="L175" s="47">
        <f ca="1"/>
        <v>0</v>
      </c>
      <c r="M175" s="47">
        <f ca="1"/>
        <v>0</v>
      </c>
      <c r="N175" s="47">
        <f ca="1"/>
        <v>0</v>
      </c>
      <c r="O175" s="47">
        <f ca="1"/>
        <v>40</v>
      </c>
      <c r="P175" s="48">
        <f ca="1"/>
        <v>40</v>
      </c>
      <c r="Q175" s="49">
        <f ca="1"/>
        <v>40</v>
      </c>
      <c r="R175" s="48">
        <f ca="1"/>
        <v>0</v>
      </c>
      <c r="S175" s="48">
        <f ca="1"/>
        <v>0</v>
      </c>
      <c r="T175" s="48">
        <f ca="1"/>
        <v>0</v>
      </c>
      <c r="U175" s="48">
        <f ca="1"/>
        <v>0</v>
      </c>
      <c r="V175" s="48">
        <f ca="1"/>
        <v>20</v>
      </c>
      <c r="W175" s="48">
        <f ca="1"/>
        <v>0</v>
      </c>
      <c r="X175" s="48">
        <f ca="1"/>
        <v>0</v>
      </c>
      <c r="Y175" s="48">
        <f ca="1"/>
        <v>0</v>
      </c>
      <c r="Z175" s="48">
        <f ca="1"/>
        <v>0</v>
      </c>
      <c r="AA175" s="50">
        <f ca="1"/>
        <v>0</v>
      </c>
      <c r="AB175" s="14"/>
    </row>
    <row r="176" spans="1:28" s="10" customFormat="1" ht="15" hidden="1" customHeight="1" x14ac:dyDescent="0.45">
      <c r="A176" s="1803"/>
      <c r="B176" s="1776"/>
      <c r="C176" s="1266" t="s">
        <v>327</v>
      </c>
      <c r="D176" s="47">
        <f ca="1"/>
        <v>80</v>
      </c>
      <c r="E176" s="47">
        <f ca="1"/>
        <v>85</v>
      </c>
      <c r="F176" s="47">
        <f ca="1"/>
        <v>90</v>
      </c>
      <c r="G176" s="47">
        <f ca="1"/>
        <v>90</v>
      </c>
      <c r="H176" s="47">
        <f ca="1"/>
        <v>95</v>
      </c>
      <c r="I176" s="47">
        <f ca="1"/>
        <v>100</v>
      </c>
      <c r="J176" s="47">
        <f ca="1"/>
        <v>80</v>
      </c>
      <c r="K176" s="47">
        <f ca="1"/>
        <v>65</v>
      </c>
      <c r="L176" s="47">
        <f ca="1"/>
        <v>0</v>
      </c>
      <c r="M176" s="47">
        <f ca="1"/>
        <v>0</v>
      </c>
      <c r="N176" s="47">
        <f ca="1"/>
        <v>85</v>
      </c>
      <c r="O176" s="49">
        <f ca="1"/>
        <v>43.3</v>
      </c>
      <c r="P176" s="47">
        <f ca="1"/>
        <v>48.4</v>
      </c>
      <c r="Q176" s="49">
        <f ca="1"/>
        <v>53.6</v>
      </c>
      <c r="R176" s="49">
        <f ca="1"/>
        <v>45.4</v>
      </c>
      <c r="S176" s="49">
        <f ca="1"/>
        <v>45.4</v>
      </c>
      <c r="T176" s="49">
        <f ca="1"/>
        <v>0</v>
      </c>
      <c r="U176" s="49">
        <f ca="1"/>
        <v>49.5</v>
      </c>
      <c r="V176" s="49">
        <f ca="1"/>
        <v>0</v>
      </c>
      <c r="W176" s="49">
        <f ca="1"/>
        <v>0</v>
      </c>
      <c r="X176" s="48">
        <f ca="1"/>
        <v>0</v>
      </c>
      <c r="Y176" s="48">
        <f ca="1"/>
        <v>0</v>
      </c>
      <c r="Z176" s="48">
        <f ca="1"/>
        <v>0</v>
      </c>
      <c r="AA176" s="50">
        <f ca="1"/>
        <v>0</v>
      </c>
      <c r="AB176" s="99"/>
    </row>
    <row r="177" spans="1:28" s="10" customFormat="1" ht="15" hidden="1" customHeight="1" x14ac:dyDescent="0.45">
      <c r="A177" s="1803"/>
      <c r="B177" s="1777" t="s">
        <v>331</v>
      </c>
      <c r="C177" s="1235" t="s">
        <v>326</v>
      </c>
      <c r="D177" s="51">
        <f ca="1"/>
        <v>40</v>
      </c>
      <c r="E177" s="51">
        <f ca="1"/>
        <v>40</v>
      </c>
      <c r="F177" s="51">
        <f ca="1"/>
        <v>40</v>
      </c>
      <c r="G177" s="51">
        <f ca="1"/>
        <v>40</v>
      </c>
      <c r="H177" s="51">
        <f ca="1"/>
        <v>40</v>
      </c>
      <c r="I177" s="51">
        <f ca="1"/>
        <v>40</v>
      </c>
      <c r="J177" s="51">
        <f ca="1"/>
        <v>40</v>
      </c>
      <c r="K177" s="51">
        <f ca="1"/>
        <v>40</v>
      </c>
      <c r="L177" s="51">
        <f ca="1"/>
        <v>40</v>
      </c>
      <c r="M177" s="51">
        <f ca="1"/>
        <v>0</v>
      </c>
      <c r="N177" s="52">
        <f ca="1"/>
        <v>0</v>
      </c>
      <c r="O177" s="52">
        <f ca="1"/>
        <v>40</v>
      </c>
      <c r="P177" s="52">
        <f ca="1"/>
        <v>40</v>
      </c>
      <c r="Q177" s="53">
        <f ca="1"/>
        <v>40</v>
      </c>
      <c r="R177" s="52">
        <f ca="1"/>
        <v>30</v>
      </c>
      <c r="S177" s="52">
        <f ca="1"/>
        <v>30</v>
      </c>
      <c r="T177" s="52">
        <f ca="1"/>
        <v>0</v>
      </c>
      <c r="U177" s="52">
        <f ca="1"/>
        <v>30</v>
      </c>
      <c r="V177" s="52">
        <f ca="1"/>
        <v>30</v>
      </c>
      <c r="W177" s="52">
        <f ca="1"/>
        <v>0</v>
      </c>
      <c r="X177" s="52">
        <f ca="1"/>
        <v>0</v>
      </c>
      <c r="Y177" s="52">
        <f ca="1"/>
        <v>0</v>
      </c>
      <c r="Z177" s="52">
        <f ca="1"/>
        <v>0</v>
      </c>
      <c r="AA177" s="54">
        <f ca="1"/>
        <v>0</v>
      </c>
      <c r="AB177" s="14"/>
    </row>
    <row r="178" spans="1:28" s="10" customFormat="1" ht="15" hidden="1" customHeight="1" x14ac:dyDescent="0.45">
      <c r="A178" s="1803"/>
      <c r="B178" s="1774"/>
      <c r="C178" s="1265" t="s">
        <v>327</v>
      </c>
      <c r="D178" s="44">
        <f ca="1"/>
        <v>60</v>
      </c>
      <c r="E178" s="44">
        <f ca="1"/>
        <v>60</v>
      </c>
      <c r="F178" s="44">
        <f ca="1"/>
        <v>60</v>
      </c>
      <c r="G178" s="44">
        <f ca="1"/>
        <v>60</v>
      </c>
      <c r="H178" s="44">
        <f ca="1"/>
        <v>60</v>
      </c>
      <c r="I178" s="44">
        <f ca="1"/>
        <v>60</v>
      </c>
      <c r="J178" s="44">
        <f ca="1"/>
        <v>60</v>
      </c>
      <c r="K178" s="44">
        <f ca="1"/>
        <v>60</v>
      </c>
      <c r="L178" s="44">
        <f ca="1"/>
        <v>0</v>
      </c>
      <c r="M178" s="44">
        <f ca="1"/>
        <v>0</v>
      </c>
      <c r="N178" s="44">
        <f ca="1"/>
        <v>85</v>
      </c>
      <c r="O178" s="44">
        <f ca="1"/>
        <v>60</v>
      </c>
      <c r="P178" s="44">
        <f ca="1"/>
        <v>60</v>
      </c>
      <c r="Q178" s="44">
        <f ca="1"/>
        <v>60</v>
      </c>
      <c r="R178" s="44">
        <f ca="1"/>
        <v>60</v>
      </c>
      <c r="S178" s="44">
        <f ca="1"/>
        <v>60</v>
      </c>
      <c r="T178" s="44">
        <f ca="1"/>
        <v>45</v>
      </c>
      <c r="U178" s="44">
        <f ca="1"/>
        <v>60</v>
      </c>
      <c r="V178" s="44">
        <f ca="1"/>
        <v>0</v>
      </c>
      <c r="W178" s="44">
        <f ca="1"/>
        <v>0</v>
      </c>
      <c r="X178" s="45">
        <f ca="1"/>
        <v>0</v>
      </c>
      <c r="Y178" s="45">
        <f ca="1"/>
        <v>0</v>
      </c>
      <c r="Z178" s="45">
        <f ca="1"/>
        <v>0</v>
      </c>
      <c r="AA178" s="46">
        <f ca="1"/>
        <v>0</v>
      </c>
      <c r="AB178" s="14"/>
    </row>
    <row r="179" spans="1:28" s="10" customFormat="1" ht="15" hidden="1" customHeight="1" x14ac:dyDescent="0.45">
      <c r="A179" s="1803"/>
      <c r="B179" s="1775" t="s">
        <v>332</v>
      </c>
      <c r="C179" s="1266" t="s">
        <v>326</v>
      </c>
      <c r="D179" s="47">
        <f ca="1"/>
        <v>60</v>
      </c>
      <c r="E179" s="47">
        <f ca="1"/>
        <v>60</v>
      </c>
      <c r="F179" s="47">
        <f ca="1"/>
        <v>60</v>
      </c>
      <c r="G179" s="47">
        <f ca="1"/>
        <v>45</v>
      </c>
      <c r="H179" s="47">
        <f ca="1"/>
        <v>45</v>
      </c>
      <c r="I179" s="47">
        <f ca="1"/>
        <v>240</v>
      </c>
      <c r="J179" s="47">
        <f ca="1"/>
        <v>45</v>
      </c>
      <c r="K179" s="47">
        <f ca="1"/>
        <v>45</v>
      </c>
      <c r="L179" s="47">
        <f ca="1"/>
        <v>330</v>
      </c>
      <c r="M179" s="47">
        <f ca="1"/>
        <v>0</v>
      </c>
      <c r="N179" s="47">
        <f ca="1"/>
        <v>145</v>
      </c>
      <c r="O179" s="47">
        <f ca="1"/>
        <v>70</v>
      </c>
      <c r="P179" s="48">
        <f ca="1"/>
        <v>75</v>
      </c>
      <c r="Q179" s="49">
        <f ca="1"/>
        <v>95</v>
      </c>
      <c r="R179" s="48">
        <f ca="1"/>
        <v>50</v>
      </c>
      <c r="S179" s="48">
        <f ca="1"/>
        <v>50</v>
      </c>
      <c r="T179" s="48">
        <f ca="1"/>
        <v>120</v>
      </c>
      <c r="U179" s="48">
        <f ca="1"/>
        <v>65</v>
      </c>
      <c r="V179" s="48">
        <f ca="1"/>
        <v>210</v>
      </c>
      <c r="W179" s="48">
        <f ca="1"/>
        <v>0</v>
      </c>
      <c r="X179" s="48">
        <f ca="1"/>
        <v>0</v>
      </c>
      <c r="Y179" s="48">
        <f ca="1"/>
        <v>0</v>
      </c>
      <c r="Z179" s="48">
        <f ca="1"/>
        <v>0</v>
      </c>
      <c r="AA179" s="50">
        <f ca="1"/>
        <v>0</v>
      </c>
      <c r="AB179" s="14"/>
    </row>
    <row r="180" spans="1:28" s="10" customFormat="1" ht="15" hidden="1" customHeight="1" x14ac:dyDescent="0.45">
      <c r="A180" s="1803"/>
      <c r="B180" s="1776"/>
      <c r="C180" s="1266" t="s">
        <v>327</v>
      </c>
      <c r="D180" s="47">
        <f ca="1"/>
        <v>55</v>
      </c>
      <c r="E180" s="47">
        <f ca="1"/>
        <v>55</v>
      </c>
      <c r="F180" s="47">
        <f ca="1"/>
        <v>60</v>
      </c>
      <c r="G180" s="47">
        <f ca="1"/>
        <v>60</v>
      </c>
      <c r="H180" s="47">
        <f ca="1"/>
        <v>65</v>
      </c>
      <c r="I180" s="47">
        <f ca="1"/>
        <v>0</v>
      </c>
      <c r="J180" s="47">
        <f ca="1"/>
        <v>50</v>
      </c>
      <c r="K180" s="47">
        <f ca="1"/>
        <v>45</v>
      </c>
      <c r="L180" s="47">
        <f ca="1"/>
        <v>0</v>
      </c>
      <c r="M180" s="47">
        <f ca="1"/>
        <v>0</v>
      </c>
      <c r="N180" s="47">
        <f ca="1"/>
        <v>0</v>
      </c>
      <c r="O180" s="47">
        <f ca="1"/>
        <v>0</v>
      </c>
      <c r="P180" s="47">
        <f ca="1"/>
        <v>0</v>
      </c>
      <c r="Q180" s="49">
        <f ca="1"/>
        <v>0</v>
      </c>
      <c r="R180" s="49">
        <f ca="1"/>
        <v>0</v>
      </c>
      <c r="S180" s="49">
        <f ca="1"/>
        <v>0</v>
      </c>
      <c r="T180" s="49">
        <f ca="1"/>
        <v>0</v>
      </c>
      <c r="U180" s="49">
        <f ca="1"/>
        <v>0</v>
      </c>
      <c r="V180" s="49">
        <f ca="1"/>
        <v>0</v>
      </c>
      <c r="W180" s="49">
        <f ca="1"/>
        <v>0</v>
      </c>
      <c r="X180" s="48">
        <f ca="1"/>
        <v>0</v>
      </c>
      <c r="Y180" s="48">
        <f ca="1"/>
        <v>0</v>
      </c>
      <c r="Z180" s="48">
        <f ca="1"/>
        <v>0</v>
      </c>
      <c r="AA180" s="50">
        <f ca="1"/>
        <v>0</v>
      </c>
      <c r="AB180" s="14"/>
    </row>
    <row r="181" spans="1:28" s="10" customFormat="1" ht="15" hidden="1" customHeight="1" x14ac:dyDescent="0.45">
      <c r="A181" s="1803"/>
      <c r="B181" s="1777" t="s">
        <v>333</v>
      </c>
      <c r="C181" s="1265" t="s">
        <v>326</v>
      </c>
      <c r="D181" s="44">
        <f ca="1"/>
        <v>135</v>
      </c>
      <c r="E181" s="44">
        <f ca="1"/>
        <v>140</v>
      </c>
      <c r="F181" s="44">
        <f ca="1"/>
        <v>145</v>
      </c>
      <c r="G181" s="44">
        <f ca="1"/>
        <v>155</v>
      </c>
      <c r="H181" s="44">
        <f ca="1"/>
        <v>160</v>
      </c>
      <c r="I181" s="44">
        <f ca="1"/>
        <v>60</v>
      </c>
      <c r="J181" s="44">
        <f ca="1"/>
        <v>130</v>
      </c>
      <c r="K181" s="44">
        <f ca="1"/>
        <v>110</v>
      </c>
      <c r="L181" s="44">
        <f ca="1"/>
        <v>0</v>
      </c>
      <c r="M181" s="44">
        <f ca="1"/>
        <v>0</v>
      </c>
      <c r="N181" s="45">
        <f ca="1"/>
        <v>145</v>
      </c>
      <c r="O181" s="45">
        <f ca="1"/>
        <v>115</v>
      </c>
      <c r="P181" s="45">
        <f ca="1"/>
        <v>125</v>
      </c>
      <c r="Q181" s="55">
        <f ca="1"/>
        <v>160</v>
      </c>
      <c r="R181" s="45">
        <f ca="1"/>
        <v>80</v>
      </c>
      <c r="S181" s="45">
        <f ca="1"/>
        <v>80</v>
      </c>
      <c r="T181" s="45">
        <f ca="1"/>
        <v>60</v>
      </c>
      <c r="U181" s="45">
        <f ca="1"/>
        <v>105</v>
      </c>
      <c r="V181" s="45">
        <f ca="1"/>
        <v>0</v>
      </c>
      <c r="W181" s="45">
        <f ca="1"/>
        <v>0</v>
      </c>
      <c r="X181" s="45">
        <f ca="1"/>
        <v>0</v>
      </c>
      <c r="Y181" s="45">
        <f ca="1"/>
        <v>0</v>
      </c>
      <c r="Z181" s="45">
        <f ca="1"/>
        <v>0</v>
      </c>
      <c r="AA181" s="46">
        <f ca="1"/>
        <v>0</v>
      </c>
      <c r="AB181" s="14"/>
    </row>
    <row r="182" spans="1:28" s="10" customFormat="1" ht="15" hidden="1" customHeight="1" x14ac:dyDescent="0.45">
      <c r="A182" s="1803"/>
      <c r="B182" s="1778"/>
      <c r="C182" s="1267" t="s">
        <v>327</v>
      </c>
      <c r="D182" s="56">
        <f ca="1"/>
        <v>0</v>
      </c>
      <c r="E182" s="56">
        <f ca="1"/>
        <v>0</v>
      </c>
      <c r="F182" s="56">
        <f ca="1"/>
        <v>0</v>
      </c>
      <c r="G182" s="56">
        <f ca="1"/>
        <v>0</v>
      </c>
      <c r="H182" s="56">
        <f ca="1"/>
        <v>0</v>
      </c>
      <c r="I182" s="56">
        <f ca="1"/>
        <v>0</v>
      </c>
      <c r="J182" s="56">
        <f ca="1"/>
        <v>0</v>
      </c>
      <c r="K182" s="56">
        <f ca="1"/>
        <v>0</v>
      </c>
      <c r="L182" s="56">
        <f ca="1"/>
        <v>0</v>
      </c>
      <c r="M182" s="56">
        <f ca="1"/>
        <v>50</v>
      </c>
      <c r="N182" s="57">
        <f ca="1"/>
        <v>0</v>
      </c>
      <c r="O182" s="57">
        <f ca="1"/>
        <v>0</v>
      </c>
      <c r="P182" s="57">
        <f ca="1"/>
        <v>0</v>
      </c>
      <c r="Q182" s="58">
        <f ca="1"/>
        <v>0</v>
      </c>
      <c r="R182" s="57">
        <f ca="1"/>
        <v>0</v>
      </c>
      <c r="S182" s="57">
        <f ca="1"/>
        <v>0</v>
      </c>
      <c r="T182" s="57">
        <f ca="1"/>
        <v>0</v>
      </c>
      <c r="U182" s="57">
        <f ca="1"/>
        <v>0</v>
      </c>
      <c r="V182" s="57">
        <f ca="1"/>
        <v>0</v>
      </c>
      <c r="W182" s="57">
        <f ca="1"/>
        <v>0</v>
      </c>
      <c r="X182" s="57">
        <f ca="1"/>
        <v>0</v>
      </c>
      <c r="Y182" s="57">
        <f ca="1"/>
        <v>0</v>
      </c>
      <c r="Z182" s="57">
        <f ca="1"/>
        <v>0</v>
      </c>
      <c r="AA182" s="59">
        <f ca="1"/>
        <v>0</v>
      </c>
      <c r="AB182" s="14"/>
    </row>
    <row r="183" spans="1:28" s="10" customFormat="1" ht="15" hidden="1" customHeight="1" x14ac:dyDescent="0.45">
      <c r="A183" s="1803"/>
      <c r="B183" s="1808" t="s">
        <v>338</v>
      </c>
      <c r="C183" s="1809"/>
      <c r="D183" s="15">
        <f t="shared" ref="D183:AA183" ca="1" si="21">SUM(D$169:D$182)</f>
        <v>665</v>
      </c>
      <c r="E183" s="16">
        <f t="shared" ca="1" si="21"/>
        <v>675</v>
      </c>
      <c r="F183" s="16">
        <f t="shared" ca="1" si="21"/>
        <v>690</v>
      </c>
      <c r="G183" s="17">
        <f t="shared" ca="1" si="21"/>
        <v>685</v>
      </c>
      <c r="H183" s="17">
        <f t="shared" ca="1" si="21"/>
        <v>700</v>
      </c>
      <c r="I183" s="17">
        <f t="shared" ca="1" si="21"/>
        <v>735</v>
      </c>
      <c r="J183" s="17">
        <f t="shared" ca="1" si="21"/>
        <v>600</v>
      </c>
      <c r="K183" s="17">
        <f t="shared" ca="1" si="21"/>
        <v>520</v>
      </c>
      <c r="L183" s="17">
        <f t="shared" ca="1" si="21"/>
        <v>570</v>
      </c>
      <c r="M183" s="17">
        <f t="shared" ca="1" si="21"/>
        <v>50</v>
      </c>
      <c r="N183" s="17">
        <f t="shared" ca="1" si="21"/>
        <v>835</v>
      </c>
      <c r="O183" s="17">
        <f t="shared" ca="1" si="21"/>
        <v>563.29999999999995</v>
      </c>
      <c r="P183" s="17">
        <f t="shared" ca="1" si="21"/>
        <v>583.4</v>
      </c>
      <c r="Q183" s="16">
        <f t="shared" ca="1" si="21"/>
        <v>643.6</v>
      </c>
      <c r="R183" s="17">
        <f t="shared" ca="1" si="21"/>
        <v>410.4</v>
      </c>
      <c r="S183" s="17">
        <f t="shared" ca="1" si="21"/>
        <v>410.4</v>
      </c>
      <c r="T183" s="17">
        <f t="shared" ca="1" si="21"/>
        <v>315</v>
      </c>
      <c r="U183" s="17">
        <f t="shared" ca="1" si="21"/>
        <v>454.5</v>
      </c>
      <c r="V183" s="17">
        <f t="shared" ca="1" si="21"/>
        <v>409.5</v>
      </c>
      <c r="W183" s="17">
        <f t="shared" ca="1" si="21"/>
        <v>0</v>
      </c>
      <c r="X183" s="17">
        <f t="shared" ca="1" si="21"/>
        <v>0</v>
      </c>
      <c r="Y183" s="17">
        <f t="shared" ca="1" si="21"/>
        <v>0</v>
      </c>
      <c r="Z183" s="17">
        <f t="shared" ca="1" si="21"/>
        <v>0</v>
      </c>
      <c r="AA183" s="18">
        <f t="shared" ca="1" si="21"/>
        <v>0</v>
      </c>
      <c r="AB183" s="14"/>
    </row>
    <row r="184" spans="1:28" s="10" customFormat="1" ht="15" hidden="1" customHeight="1" x14ac:dyDescent="0.45">
      <c r="A184" s="1803"/>
      <c r="B184" s="1810" t="s">
        <v>339</v>
      </c>
      <c r="C184" s="1811"/>
      <c r="D184" s="60">
        <f ca="1">IFERROR(D183/athlete_starting_duration,0) - 1</f>
        <v>0.2314814814814814</v>
      </c>
      <c r="E184" s="19">
        <f ca="1">IFERROR(E183/D183,0) - 1</f>
        <v>1.5037593984962516E-2</v>
      </c>
      <c r="F184" s="19">
        <f ca="1">IFERROR(F183/E183,0) - 1</f>
        <v>2.2222222222222143E-2</v>
      </c>
      <c r="G184" s="20">
        <f t="shared" ref="G184:AA184" ca="1" si="22">IFERROR(G183/F183,0) - 1</f>
        <v>-7.2463768115942351E-3</v>
      </c>
      <c r="H184" s="20">
        <f t="shared" ca="1" si="22"/>
        <v>2.1897810218978186E-2</v>
      </c>
      <c r="I184" s="20">
        <f t="shared" ca="1" si="22"/>
        <v>5.0000000000000044E-2</v>
      </c>
      <c r="J184" s="20">
        <f t="shared" ca="1" si="22"/>
        <v>-0.18367346938775508</v>
      </c>
      <c r="K184" s="20">
        <f t="shared" ca="1" si="22"/>
        <v>-0.1333333333333333</v>
      </c>
      <c r="L184" s="20">
        <f t="shared" ca="1" si="22"/>
        <v>9.6153846153846256E-2</v>
      </c>
      <c r="M184" s="20">
        <f t="shared" ca="1" si="22"/>
        <v>-0.91228070175438591</v>
      </c>
      <c r="N184" s="20">
        <f t="shared" ca="1" si="22"/>
        <v>15.7</v>
      </c>
      <c r="O184" s="20">
        <f t="shared" ca="1" si="22"/>
        <v>-0.32538922155688632</v>
      </c>
      <c r="P184" s="20">
        <f t="shared" ca="1" si="22"/>
        <v>3.5682584768329528E-2</v>
      </c>
      <c r="Q184" s="19">
        <f t="shared" ca="1" si="22"/>
        <v>0.10318820706205023</v>
      </c>
      <c r="R184" s="20">
        <f t="shared" ca="1" si="22"/>
        <v>-0.36233685518955883</v>
      </c>
      <c r="S184" s="20">
        <f t="shared" ca="1" si="22"/>
        <v>0</v>
      </c>
      <c r="T184" s="20">
        <f t="shared" ca="1" si="22"/>
        <v>-0.23245614035087714</v>
      </c>
      <c r="U184" s="20">
        <f t="shared" ca="1" si="22"/>
        <v>0.44285714285714284</v>
      </c>
      <c r="V184" s="20">
        <f t="shared" ca="1" si="22"/>
        <v>-9.9009900990098987E-2</v>
      </c>
      <c r="W184" s="20">
        <f t="shared" ca="1" si="22"/>
        <v>-1</v>
      </c>
      <c r="X184" s="20">
        <f t="shared" ca="1" si="22"/>
        <v>-1</v>
      </c>
      <c r="Y184" s="20">
        <f t="shared" ca="1" si="22"/>
        <v>-1</v>
      </c>
      <c r="Z184" s="20">
        <f t="shared" ca="1" si="22"/>
        <v>-1</v>
      </c>
      <c r="AA184" s="21">
        <f t="shared" ca="1" si="22"/>
        <v>-1</v>
      </c>
      <c r="AB184" s="14"/>
    </row>
    <row r="185" spans="1:28" s="10" customFormat="1" ht="15" hidden="1" customHeight="1" x14ac:dyDescent="0.45">
      <c r="A185" s="1804"/>
      <c r="B185" s="1812" t="s">
        <v>340</v>
      </c>
      <c r="C185" s="1813"/>
      <c r="D185" s="22">
        <f t="array" ref="D185:AA185" ca="1">evaluation_duration_total-plan_duration</f>
        <v>125</v>
      </c>
      <c r="E185" s="23">
        <f ca="1"/>
        <v>110.82089552238801</v>
      </c>
      <c r="F185" s="23">
        <f ca="1"/>
        <v>102.32648528595212</v>
      </c>
      <c r="G185" s="24">
        <f ca="1"/>
        <v>74.631948592259732</v>
      </c>
      <c r="H185" s="24">
        <f ca="1"/>
        <v>67.834899806415706</v>
      </c>
      <c r="I185" s="24">
        <f ca="1"/>
        <v>82.014383475846898</v>
      </c>
      <c r="J185" s="24">
        <f ca="1"/>
        <v>81.18715630342092</v>
      </c>
      <c r="K185" s="24">
        <f ca="1"/>
        <v>79.009082857907799</v>
      </c>
      <c r="L185" s="24">
        <f ca="1"/>
        <v>129.0090828579078</v>
      </c>
      <c r="M185" s="24">
        <f ca="1"/>
        <v>-287.22834840277642</v>
      </c>
      <c r="N185" s="24">
        <f ca="1"/>
        <v>261.71180771528009</v>
      </c>
      <c r="O185" s="24">
        <f ca="1"/>
        <v>96.818707848272368</v>
      </c>
      <c r="P185" s="24">
        <f ca="1"/>
        <v>91.53380332232598</v>
      </c>
      <c r="Q185" s="23">
        <f ca="1"/>
        <v>4.1739443190238035</v>
      </c>
      <c r="R185" s="24">
        <f ca="1"/>
        <v>90.686972159511868</v>
      </c>
      <c r="S185" s="24">
        <f ca="1"/>
        <v>90.686972159511868</v>
      </c>
      <c r="T185" s="24">
        <f ca="1"/>
        <v>-111.28403712065079</v>
      </c>
      <c r="U185" s="24">
        <f ca="1"/>
        <v>28.215962879349206</v>
      </c>
      <c r="V185" s="24">
        <f ca="1"/>
        <v>-16.784037120650794</v>
      </c>
      <c r="W185" s="24">
        <f ca="1"/>
        <v>-426.28403712065079</v>
      </c>
      <c r="X185" s="24">
        <f ca="1"/>
        <v>-426.28403712065079</v>
      </c>
      <c r="Y185" s="24">
        <f ca="1"/>
        <v>-426.28403712065079</v>
      </c>
      <c r="Z185" s="24">
        <f ca="1"/>
        <v>-426.28403712065079</v>
      </c>
      <c r="AA185" s="25">
        <f ca="1"/>
        <v>-426.28403712065079</v>
      </c>
      <c r="AB185" s="14"/>
    </row>
    <row r="186" spans="1:28" s="10" customFormat="1" ht="15" hidden="1" customHeight="1" x14ac:dyDescent="0.45">
      <c r="A186" s="1802" t="s">
        <v>362</v>
      </c>
      <c r="B186" s="1773" t="s">
        <v>325</v>
      </c>
      <c r="C186" s="1268" t="s">
        <v>326</v>
      </c>
      <c r="D186" s="40">
        <f t="array" ref="D186:AA199" ca="1">IF(plan_session_allocation=0,0,
IF(plan_duration_primary="",0,IFERROR(plan_duration_primary*INDEX(sessions_load_primary,1,plan_session_allocation),0))
+IF(plan_duration_secondary="",0,IFERROR(plan_duration_secondary*INDEX(sessions_load_secondary,1,plan_session_allocation),0))
+IF(plan_duration_tertiary="",0,IFERROR(plan_duration_tertiary*INDEX(sessions_load_secondary,1,plan_session_allocation),0))
+IF(plan_duration_WU="",0,IFERROR(plan_duration_WU*load_WUWD,0))
+IF(plan_duration_WD="",0,IFERROR(plan_duration_WD*load_WUWD,0))
+IF(plan_duration_recoveries="",0,IFERROR(plan_duration_recoveries*load_recovery,0)))</f>
        <v>52.141504510283774</v>
      </c>
      <c r="E186" s="40">
        <f ca="1"/>
        <v>52.141504510283774</v>
      </c>
      <c r="F186" s="40">
        <f ca="1"/>
        <v>52.141504510283774</v>
      </c>
      <c r="G186" s="40">
        <f ca="1"/>
        <v>52.141504510283774</v>
      </c>
      <c r="H186" s="40">
        <f ca="1"/>
        <v>52.141504510283774</v>
      </c>
      <c r="I186" s="40">
        <f ca="1"/>
        <v>52.141504510283774</v>
      </c>
      <c r="J186" s="40">
        <f ca="1"/>
        <v>52.141504510283774</v>
      </c>
      <c r="K186" s="40">
        <f ca="1"/>
        <v>52.141504510283774</v>
      </c>
      <c r="L186" s="40">
        <f ca="1"/>
        <v>52.141504510283774</v>
      </c>
      <c r="M186" s="40">
        <f ca="1"/>
        <v>0</v>
      </c>
      <c r="N186" s="40">
        <f ca="1"/>
        <v>0</v>
      </c>
      <c r="O186" s="41">
        <f ca="1"/>
        <v>52.141504510283774</v>
      </c>
      <c r="P186" s="41">
        <f ca="1"/>
        <v>52.141504510283774</v>
      </c>
      <c r="Q186" s="42">
        <f ca="1"/>
        <v>52.141504510283774</v>
      </c>
      <c r="R186" s="41">
        <f ca="1"/>
        <v>39.106128382712832</v>
      </c>
      <c r="S186" s="41">
        <f ca="1"/>
        <v>39.106128382712832</v>
      </c>
      <c r="T186" s="41">
        <f ca="1"/>
        <v>39.106128382712832</v>
      </c>
      <c r="U186" s="41">
        <f ca="1"/>
        <v>39.106128382712832</v>
      </c>
      <c r="V186" s="41">
        <f ca="1"/>
        <v>0</v>
      </c>
      <c r="W186" s="41">
        <f ca="1"/>
        <v>0</v>
      </c>
      <c r="X186" s="41">
        <f ca="1"/>
        <v>0</v>
      </c>
      <c r="Y186" s="41">
        <f ca="1"/>
        <v>0</v>
      </c>
      <c r="Z186" s="41">
        <f ca="1"/>
        <v>0</v>
      </c>
      <c r="AA186" s="43">
        <f ca="1"/>
        <v>0</v>
      </c>
      <c r="AB186" s="14"/>
    </row>
    <row r="187" spans="1:28" s="10" customFormat="1" ht="15" hidden="1" customHeight="1" x14ac:dyDescent="0.45">
      <c r="A187" s="1803"/>
      <c r="B187" s="1774"/>
      <c r="C187" s="1265" t="s">
        <v>327</v>
      </c>
      <c r="D187" s="44">
        <f ca="1"/>
        <v>0</v>
      </c>
      <c r="E187" s="44">
        <f ca="1"/>
        <v>0</v>
      </c>
      <c r="F187" s="44">
        <f ca="1"/>
        <v>0</v>
      </c>
      <c r="G187" s="44">
        <f ca="1"/>
        <v>0</v>
      </c>
      <c r="H187" s="44">
        <f ca="1"/>
        <v>0</v>
      </c>
      <c r="I187" s="44">
        <f ca="1"/>
        <v>0</v>
      </c>
      <c r="J187" s="44">
        <f ca="1"/>
        <v>0</v>
      </c>
      <c r="K187" s="44">
        <f ca="1"/>
        <v>0</v>
      </c>
      <c r="L187" s="44">
        <f ca="1"/>
        <v>0</v>
      </c>
      <c r="M187" s="44">
        <f ca="1"/>
        <v>0</v>
      </c>
      <c r="N187" s="44">
        <f ca="1"/>
        <v>141.2561625103078</v>
      </c>
      <c r="O187" s="44">
        <f ca="1"/>
        <v>0</v>
      </c>
      <c r="P187" s="44">
        <f ca="1"/>
        <v>0</v>
      </c>
      <c r="Q187" s="44">
        <f ca="1"/>
        <v>0</v>
      </c>
      <c r="R187" s="44">
        <f ca="1"/>
        <v>0</v>
      </c>
      <c r="S187" s="44">
        <f ca="1"/>
        <v>0</v>
      </c>
      <c r="T187" s="44">
        <f ca="1"/>
        <v>0</v>
      </c>
      <c r="U187" s="44">
        <f ca="1"/>
        <v>0</v>
      </c>
      <c r="V187" s="44">
        <f ca="1"/>
        <v>0</v>
      </c>
      <c r="W187" s="44">
        <f ca="1"/>
        <v>0</v>
      </c>
      <c r="X187" s="45">
        <f ca="1"/>
        <v>0</v>
      </c>
      <c r="Y187" s="45">
        <f ca="1"/>
        <v>0</v>
      </c>
      <c r="Z187" s="45">
        <f ca="1"/>
        <v>0</v>
      </c>
      <c r="AA187" s="46">
        <f ca="1"/>
        <v>0</v>
      </c>
      <c r="AB187" s="14"/>
    </row>
    <row r="188" spans="1:28" s="10" customFormat="1" ht="15" hidden="1" customHeight="1" x14ac:dyDescent="0.45">
      <c r="A188" s="1803"/>
      <c r="B188" s="1775" t="s">
        <v>328</v>
      </c>
      <c r="C188" s="1266" t="s">
        <v>326</v>
      </c>
      <c r="D188" s="47">
        <f ca="1"/>
        <v>52.141504510283774</v>
      </c>
      <c r="E188" s="47">
        <f ca="1"/>
        <v>52.141504510283774</v>
      </c>
      <c r="F188" s="47">
        <f ca="1"/>
        <v>52.141504510283774</v>
      </c>
      <c r="G188" s="47">
        <f ca="1"/>
        <v>52.141504510283774</v>
      </c>
      <c r="H188" s="47">
        <f ca="1"/>
        <v>52.141504510283774</v>
      </c>
      <c r="I188" s="47">
        <f ca="1"/>
        <v>52.141504510283774</v>
      </c>
      <c r="J188" s="47">
        <f ca="1"/>
        <v>52.141504510283774</v>
      </c>
      <c r="K188" s="47">
        <f ca="1"/>
        <v>0</v>
      </c>
      <c r="L188" s="47">
        <f ca="1"/>
        <v>0</v>
      </c>
      <c r="M188" s="47">
        <f ca="1"/>
        <v>0</v>
      </c>
      <c r="N188" s="47">
        <f ca="1"/>
        <v>0</v>
      </c>
      <c r="O188" s="47">
        <f ca="1"/>
        <v>52.141504510283774</v>
      </c>
      <c r="P188" s="48">
        <f ca="1"/>
        <v>52.141504510283774</v>
      </c>
      <c r="Q188" s="49">
        <f ca="1"/>
        <v>52.141504510283774</v>
      </c>
      <c r="R188" s="48">
        <f ca="1"/>
        <v>0</v>
      </c>
      <c r="S188" s="48">
        <f ca="1"/>
        <v>0</v>
      </c>
      <c r="T188" s="48">
        <f ca="1"/>
        <v>0</v>
      </c>
      <c r="U188" s="48">
        <f ca="1"/>
        <v>0</v>
      </c>
      <c r="V188" s="48">
        <f ca="1"/>
        <v>0</v>
      </c>
      <c r="W188" s="48">
        <f ca="1"/>
        <v>0</v>
      </c>
      <c r="X188" s="48">
        <f ca="1"/>
        <v>0</v>
      </c>
      <c r="Y188" s="48">
        <f ca="1"/>
        <v>0</v>
      </c>
      <c r="Z188" s="48">
        <f ca="1"/>
        <v>0</v>
      </c>
      <c r="AA188" s="50">
        <f ca="1"/>
        <v>0</v>
      </c>
      <c r="AB188" s="14"/>
    </row>
    <row r="189" spans="1:28" s="10" customFormat="1" ht="15" hidden="1" customHeight="1" x14ac:dyDescent="0.45">
      <c r="A189" s="1803"/>
      <c r="B189" s="1776"/>
      <c r="C189" s="1266" t="s">
        <v>327</v>
      </c>
      <c r="D189" s="47">
        <f ca="1"/>
        <v>110.77323675581503</v>
      </c>
      <c r="E189" s="47">
        <f ca="1"/>
        <v>110.77323675581503</v>
      </c>
      <c r="F189" s="47">
        <f ca="1"/>
        <v>110.77323675581503</v>
      </c>
      <c r="G189" s="47">
        <f ca="1"/>
        <v>110.77323675581503</v>
      </c>
      <c r="H189" s="47">
        <f ca="1"/>
        <v>110.77323675581503</v>
      </c>
      <c r="I189" s="47">
        <f ca="1"/>
        <v>110.77323675581503</v>
      </c>
      <c r="J189" s="47">
        <f ca="1"/>
        <v>110.77323675581503</v>
      </c>
      <c r="K189" s="47">
        <f ca="1"/>
        <v>110.77323675581503</v>
      </c>
      <c r="L189" s="47">
        <f ca="1"/>
        <v>110.77323675581503</v>
      </c>
      <c r="M189" s="47">
        <f ca="1"/>
        <v>0</v>
      </c>
      <c r="N189" s="47">
        <f ca="1"/>
        <v>240.96639487052505</v>
      </c>
      <c r="O189" s="47">
        <f ca="1"/>
        <v>110.77323675581503</v>
      </c>
      <c r="P189" s="47">
        <f ca="1"/>
        <v>110.77323675581503</v>
      </c>
      <c r="Q189" s="49">
        <f ca="1"/>
        <v>110.77323675581503</v>
      </c>
      <c r="R189" s="49">
        <f ca="1"/>
        <v>110.77323675581503</v>
      </c>
      <c r="S189" s="49">
        <f ca="1"/>
        <v>110.77323675581503</v>
      </c>
      <c r="T189" s="49">
        <f ca="1"/>
        <v>0</v>
      </c>
      <c r="U189" s="49">
        <f ca="1"/>
        <v>110.77323675581503</v>
      </c>
      <c r="V189" s="49">
        <f ca="1"/>
        <v>97.524639791762624</v>
      </c>
      <c r="W189" s="49">
        <f ca="1"/>
        <v>0</v>
      </c>
      <c r="X189" s="48">
        <f ca="1"/>
        <v>0</v>
      </c>
      <c r="Y189" s="48">
        <f ca="1"/>
        <v>0</v>
      </c>
      <c r="Z189" s="48">
        <f ca="1"/>
        <v>0</v>
      </c>
      <c r="AA189" s="50">
        <f ca="1"/>
        <v>0</v>
      </c>
      <c r="AB189" s="14"/>
    </row>
    <row r="190" spans="1:28" s="10" customFormat="1" ht="15" hidden="1" customHeight="1" x14ac:dyDescent="0.45">
      <c r="A190" s="1803"/>
      <c r="B190" s="1777" t="s">
        <v>329</v>
      </c>
      <c r="C190" s="1235" t="s">
        <v>326</v>
      </c>
      <c r="D190" s="51">
        <f ca="1"/>
        <v>0</v>
      </c>
      <c r="E190" s="51">
        <f ca="1"/>
        <v>0</v>
      </c>
      <c r="F190" s="51">
        <f ca="1"/>
        <v>0</v>
      </c>
      <c r="G190" s="51">
        <f ca="1"/>
        <v>0</v>
      </c>
      <c r="H190" s="51">
        <f ca="1"/>
        <v>0</v>
      </c>
      <c r="I190" s="51">
        <f ca="1"/>
        <v>0</v>
      </c>
      <c r="J190" s="51">
        <f ca="1"/>
        <v>0</v>
      </c>
      <c r="K190" s="51">
        <f ca="1"/>
        <v>0</v>
      </c>
      <c r="L190" s="51">
        <f ca="1"/>
        <v>0</v>
      </c>
      <c r="M190" s="51">
        <f ca="1"/>
        <v>0</v>
      </c>
      <c r="N190" s="51">
        <f ca="1"/>
        <v>0</v>
      </c>
      <c r="O190" s="52">
        <f ca="1"/>
        <v>0</v>
      </c>
      <c r="P190" s="52">
        <f ca="1"/>
        <v>0</v>
      </c>
      <c r="Q190" s="53">
        <f ca="1"/>
        <v>0</v>
      </c>
      <c r="R190" s="52">
        <f ca="1"/>
        <v>0</v>
      </c>
      <c r="S190" s="52">
        <f ca="1"/>
        <v>0</v>
      </c>
      <c r="T190" s="52">
        <f ca="1"/>
        <v>0</v>
      </c>
      <c r="U190" s="52">
        <f ca="1"/>
        <v>0</v>
      </c>
      <c r="V190" s="52">
        <f ca="1"/>
        <v>0</v>
      </c>
      <c r="W190" s="52">
        <f ca="1"/>
        <v>0</v>
      </c>
      <c r="X190" s="52">
        <f ca="1"/>
        <v>0</v>
      </c>
      <c r="Y190" s="52">
        <f ca="1"/>
        <v>0</v>
      </c>
      <c r="Z190" s="52">
        <f ca="1"/>
        <v>0</v>
      </c>
      <c r="AA190" s="54">
        <f ca="1"/>
        <v>0</v>
      </c>
      <c r="AB190" s="14"/>
    </row>
    <row r="191" spans="1:28" s="10" customFormat="1" ht="15" hidden="1" customHeight="1" x14ac:dyDescent="0.45">
      <c r="A191" s="1803"/>
      <c r="B191" s="1774"/>
      <c r="C191" s="1265" t="s">
        <v>327</v>
      </c>
      <c r="D191" s="44">
        <f ca="1"/>
        <v>0</v>
      </c>
      <c r="E191" s="44">
        <f ca="1"/>
        <v>0</v>
      </c>
      <c r="F191" s="44">
        <f ca="1"/>
        <v>0</v>
      </c>
      <c r="G191" s="44">
        <f ca="1"/>
        <v>0</v>
      </c>
      <c r="H191" s="44">
        <f ca="1"/>
        <v>0</v>
      </c>
      <c r="I191" s="44">
        <f ca="1"/>
        <v>0</v>
      </c>
      <c r="J191" s="44">
        <f ca="1"/>
        <v>0</v>
      </c>
      <c r="K191" s="44">
        <f ca="1"/>
        <v>0</v>
      </c>
      <c r="L191" s="44">
        <f ca="1"/>
        <v>58.659192574069245</v>
      </c>
      <c r="M191" s="44">
        <f ca="1"/>
        <v>0</v>
      </c>
      <c r="N191" s="44">
        <f ca="1"/>
        <v>240.96639487052505</v>
      </c>
      <c r="O191" s="44">
        <f ca="1"/>
        <v>0</v>
      </c>
      <c r="P191" s="44">
        <f ca="1"/>
        <v>0</v>
      </c>
      <c r="Q191" s="44">
        <f ca="1"/>
        <v>0</v>
      </c>
      <c r="R191" s="44">
        <f ca="1"/>
        <v>0</v>
      </c>
      <c r="S191" s="44">
        <f ca="1"/>
        <v>0</v>
      </c>
      <c r="T191" s="44">
        <f ca="1"/>
        <v>0</v>
      </c>
      <c r="U191" s="44">
        <f ca="1"/>
        <v>0</v>
      </c>
      <c r="V191" s="44">
        <f ca="1"/>
        <v>142.46628556425392</v>
      </c>
      <c r="W191" s="44">
        <f ca="1"/>
        <v>0</v>
      </c>
      <c r="X191" s="45">
        <f ca="1"/>
        <v>0</v>
      </c>
      <c r="Y191" s="45">
        <f ca="1"/>
        <v>0</v>
      </c>
      <c r="Z191" s="45">
        <f ca="1"/>
        <v>0</v>
      </c>
      <c r="AA191" s="46">
        <f ca="1"/>
        <v>0</v>
      </c>
      <c r="AB191" s="14"/>
    </row>
    <row r="192" spans="1:28" s="10" customFormat="1" ht="15" hidden="1" customHeight="1" x14ac:dyDescent="0.45">
      <c r="A192" s="1803"/>
      <c r="B192" s="1775" t="s">
        <v>330</v>
      </c>
      <c r="C192" s="1266" t="s">
        <v>326</v>
      </c>
      <c r="D192" s="47">
        <f ca="1"/>
        <v>52.141504510283774</v>
      </c>
      <c r="E192" s="47">
        <f ca="1"/>
        <v>52.141504510283774</v>
      </c>
      <c r="F192" s="47">
        <f ca="1"/>
        <v>52.141504510283774</v>
      </c>
      <c r="G192" s="47">
        <f ca="1"/>
        <v>52.141504510283774</v>
      </c>
      <c r="H192" s="47">
        <f ca="1"/>
        <v>52.141504510283774</v>
      </c>
      <c r="I192" s="47">
        <f ca="1"/>
        <v>52.141504510283774</v>
      </c>
      <c r="J192" s="47">
        <f ca="1"/>
        <v>0</v>
      </c>
      <c r="K192" s="47">
        <f ca="1"/>
        <v>0</v>
      </c>
      <c r="L192" s="47">
        <f ca="1"/>
        <v>0</v>
      </c>
      <c r="M192" s="47">
        <f ca="1"/>
        <v>0</v>
      </c>
      <c r="N192" s="47">
        <f ca="1"/>
        <v>0</v>
      </c>
      <c r="O192" s="47">
        <f ca="1"/>
        <v>52.141504510283774</v>
      </c>
      <c r="P192" s="48">
        <f ca="1"/>
        <v>52.141504510283774</v>
      </c>
      <c r="Q192" s="49">
        <f ca="1"/>
        <v>52.141504510283774</v>
      </c>
      <c r="R192" s="48">
        <f ca="1"/>
        <v>0</v>
      </c>
      <c r="S192" s="48">
        <f ca="1"/>
        <v>0</v>
      </c>
      <c r="T192" s="48">
        <f ca="1"/>
        <v>0</v>
      </c>
      <c r="U192" s="48">
        <f ca="1"/>
        <v>0</v>
      </c>
      <c r="V192" s="48">
        <f ca="1"/>
        <v>26.070752255141887</v>
      </c>
      <c r="W192" s="48">
        <f ca="1"/>
        <v>0</v>
      </c>
      <c r="X192" s="48">
        <f ca="1"/>
        <v>0</v>
      </c>
      <c r="Y192" s="48">
        <f ca="1"/>
        <v>0</v>
      </c>
      <c r="Z192" s="48">
        <f ca="1"/>
        <v>0</v>
      </c>
      <c r="AA192" s="50">
        <f ca="1"/>
        <v>0</v>
      </c>
      <c r="AB192" s="14"/>
    </row>
    <row r="193" spans="1:28" s="10" customFormat="1" ht="15" hidden="1" customHeight="1" x14ac:dyDescent="0.45">
      <c r="A193" s="1803"/>
      <c r="B193" s="1776"/>
      <c r="C193" s="1266" t="s">
        <v>327</v>
      </c>
      <c r="D193" s="47">
        <f ca="1"/>
        <v>132.94697648028969</v>
      </c>
      <c r="E193" s="47">
        <f ca="1"/>
        <v>141.2561625103078</v>
      </c>
      <c r="F193" s="47">
        <f ca="1"/>
        <v>149.56534854032589</v>
      </c>
      <c r="G193" s="47">
        <f ca="1"/>
        <v>149.56534854032589</v>
      </c>
      <c r="H193" s="47">
        <f ca="1"/>
        <v>157.874534570344</v>
      </c>
      <c r="I193" s="47">
        <f ca="1"/>
        <v>166.18372060036211</v>
      </c>
      <c r="J193" s="47">
        <f ca="1"/>
        <v>132.94697648028969</v>
      </c>
      <c r="K193" s="47">
        <f ca="1"/>
        <v>108.01941839023537</v>
      </c>
      <c r="L193" s="47">
        <f ca="1"/>
        <v>0</v>
      </c>
      <c r="M193" s="47">
        <f ca="1"/>
        <v>0</v>
      </c>
      <c r="N193" s="47">
        <f ca="1"/>
        <v>141.2561625103078</v>
      </c>
      <c r="O193" s="49">
        <f ca="1"/>
        <v>72.606294025709445</v>
      </c>
      <c r="P193" s="47">
        <f ca="1"/>
        <v>87.137747813243664</v>
      </c>
      <c r="Q193" s="49">
        <f ca="1"/>
        <v>111.01995312704302</v>
      </c>
      <c r="R193" s="49">
        <f ca="1"/>
        <v>84.029326456482224</v>
      </c>
      <c r="S193" s="49">
        <f ca="1"/>
        <v>84.029326456482224</v>
      </c>
      <c r="T193" s="49">
        <f ca="1"/>
        <v>0</v>
      </c>
      <c r="U193" s="49">
        <f ca="1"/>
        <v>97.524639791762624</v>
      </c>
      <c r="V193" s="49">
        <f ca="1"/>
        <v>0</v>
      </c>
      <c r="W193" s="49">
        <f ca="1"/>
        <v>0</v>
      </c>
      <c r="X193" s="48">
        <f ca="1"/>
        <v>0</v>
      </c>
      <c r="Y193" s="48">
        <f ca="1"/>
        <v>0</v>
      </c>
      <c r="Z193" s="48">
        <f ca="1"/>
        <v>0</v>
      </c>
      <c r="AA193" s="50">
        <f ca="1"/>
        <v>0</v>
      </c>
      <c r="AB193" s="14"/>
    </row>
    <row r="194" spans="1:28" s="10" customFormat="1" ht="15" hidden="1" customHeight="1" x14ac:dyDescent="0.45">
      <c r="A194" s="1803"/>
      <c r="B194" s="1777" t="s">
        <v>331</v>
      </c>
      <c r="C194" s="1235" t="s">
        <v>326</v>
      </c>
      <c r="D194" s="51">
        <f ca="1"/>
        <v>52.141504510283774</v>
      </c>
      <c r="E194" s="51">
        <f ca="1"/>
        <v>52.141504510283774</v>
      </c>
      <c r="F194" s="51">
        <f ca="1"/>
        <v>52.141504510283774</v>
      </c>
      <c r="G194" s="51">
        <f ca="1"/>
        <v>52.141504510283774</v>
      </c>
      <c r="H194" s="51">
        <f ca="1"/>
        <v>52.141504510283774</v>
      </c>
      <c r="I194" s="51">
        <f ca="1"/>
        <v>52.141504510283774</v>
      </c>
      <c r="J194" s="51">
        <f ca="1"/>
        <v>52.141504510283774</v>
      </c>
      <c r="K194" s="51">
        <f ca="1"/>
        <v>52.141504510283774</v>
      </c>
      <c r="L194" s="51">
        <f ca="1"/>
        <v>49.922045068967208</v>
      </c>
      <c r="M194" s="51">
        <f ca="1"/>
        <v>0</v>
      </c>
      <c r="N194" s="51">
        <f ca="1"/>
        <v>0</v>
      </c>
      <c r="O194" s="52">
        <f ca="1"/>
        <v>52.141504510283774</v>
      </c>
      <c r="P194" s="52">
        <f ca="1"/>
        <v>52.141504510283774</v>
      </c>
      <c r="Q194" s="53">
        <f ca="1"/>
        <v>52.141504510283774</v>
      </c>
      <c r="R194" s="52">
        <f ca="1"/>
        <v>39.106128382712832</v>
      </c>
      <c r="S194" s="52">
        <f ca="1"/>
        <v>39.106128382712832</v>
      </c>
      <c r="T194" s="52">
        <f ca="1"/>
        <v>0</v>
      </c>
      <c r="U194" s="52">
        <f ca="1"/>
        <v>39.106128382712832</v>
      </c>
      <c r="V194" s="52">
        <f ca="1"/>
        <v>39.106128382712832</v>
      </c>
      <c r="W194" s="52">
        <f ca="1"/>
        <v>0</v>
      </c>
      <c r="X194" s="52">
        <f ca="1"/>
        <v>0</v>
      </c>
      <c r="Y194" s="52">
        <f ca="1"/>
        <v>0</v>
      </c>
      <c r="Z194" s="52">
        <f ca="1"/>
        <v>0</v>
      </c>
      <c r="AA194" s="54">
        <f ca="1"/>
        <v>0</v>
      </c>
      <c r="AB194" s="14"/>
    </row>
    <row r="195" spans="1:28" s="10" customFormat="1" ht="15" hidden="1" customHeight="1" x14ac:dyDescent="0.45">
      <c r="A195" s="1803"/>
      <c r="B195" s="1774"/>
      <c r="C195" s="1265" t="s">
        <v>327</v>
      </c>
      <c r="D195" s="44">
        <f ca="1"/>
        <v>0</v>
      </c>
      <c r="E195" s="44">
        <f ca="1"/>
        <v>0</v>
      </c>
      <c r="F195" s="44">
        <f ca="1"/>
        <v>0</v>
      </c>
      <c r="G195" s="44">
        <f ca="1"/>
        <v>0</v>
      </c>
      <c r="H195" s="44">
        <f ca="1"/>
        <v>0</v>
      </c>
      <c r="I195" s="44">
        <f ca="1"/>
        <v>0</v>
      </c>
      <c r="J195" s="44">
        <f ca="1"/>
        <v>0</v>
      </c>
      <c r="K195" s="44">
        <f ca="1"/>
        <v>0</v>
      </c>
      <c r="L195" s="44">
        <f ca="1"/>
        <v>0</v>
      </c>
      <c r="M195" s="44">
        <f ca="1"/>
        <v>0</v>
      </c>
      <c r="N195" s="44">
        <f ca="1"/>
        <v>141.2561625103078</v>
      </c>
      <c r="O195" s="44">
        <f ca="1"/>
        <v>0</v>
      </c>
      <c r="P195" s="44">
        <f ca="1"/>
        <v>0</v>
      </c>
      <c r="Q195" s="44">
        <f ca="1"/>
        <v>0</v>
      </c>
      <c r="R195" s="44">
        <f ca="1"/>
        <v>0</v>
      </c>
      <c r="S195" s="44">
        <f ca="1"/>
        <v>0</v>
      </c>
      <c r="T195" s="44">
        <f ca="1"/>
        <v>91.370533969355975</v>
      </c>
      <c r="U195" s="44">
        <f ca="1"/>
        <v>0</v>
      </c>
      <c r="V195" s="44">
        <f ca="1"/>
        <v>0</v>
      </c>
      <c r="W195" s="44">
        <f ca="1"/>
        <v>0</v>
      </c>
      <c r="X195" s="45">
        <f ca="1"/>
        <v>0</v>
      </c>
      <c r="Y195" s="45">
        <f ca="1"/>
        <v>0</v>
      </c>
      <c r="Z195" s="45">
        <f ca="1"/>
        <v>0</v>
      </c>
      <c r="AA195" s="46">
        <f ca="1"/>
        <v>0</v>
      </c>
      <c r="AB195" s="14"/>
    </row>
    <row r="196" spans="1:28" s="10" customFormat="1" ht="15" hidden="1" customHeight="1" x14ac:dyDescent="0.45">
      <c r="A196" s="1803"/>
      <c r="B196" s="1775" t="s">
        <v>332</v>
      </c>
      <c r="C196" s="1266" t="s">
        <v>326</v>
      </c>
      <c r="D196" s="47">
        <f ca="1"/>
        <v>80.939329747723065</v>
      </c>
      <c r="E196" s="47">
        <f ca="1"/>
        <v>80.939329747723065</v>
      </c>
      <c r="F196" s="47">
        <f ca="1"/>
        <v>80.939329747723065</v>
      </c>
      <c r="G196" s="47">
        <f ca="1"/>
        <v>65.397222963915851</v>
      </c>
      <c r="H196" s="47">
        <f ca="1"/>
        <v>65.397222963915851</v>
      </c>
      <c r="I196" s="47">
        <f ca="1"/>
        <v>398.84092944086905</v>
      </c>
      <c r="J196" s="47">
        <f ca="1"/>
        <v>65.397222963915851</v>
      </c>
      <c r="K196" s="47">
        <f ca="1"/>
        <v>65.397222963915851</v>
      </c>
      <c r="L196" s="47">
        <f ca="1"/>
        <v>783.81617969752529</v>
      </c>
      <c r="M196" s="47">
        <f ca="1"/>
        <v>0</v>
      </c>
      <c r="N196" s="47">
        <f ca="1"/>
        <v>240.96639487052505</v>
      </c>
      <c r="O196" s="47">
        <f ca="1"/>
        <v>116.32860442025347</v>
      </c>
      <c r="P196" s="48">
        <f ca="1"/>
        <v>124.63779045027158</v>
      </c>
      <c r="Q196" s="49">
        <f ca="1"/>
        <v>157.874534570344</v>
      </c>
      <c r="R196" s="48">
        <f ca="1"/>
        <v>83.091860300181054</v>
      </c>
      <c r="S196" s="48">
        <f ca="1"/>
        <v>83.091860300181054</v>
      </c>
      <c r="T196" s="48">
        <f ca="1"/>
        <v>294.30112670373012</v>
      </c>
      <c r="U196" s="48">
        <f ca="1"/>
        <v>108.01941839023537</v>
      </c>
      <c r="V196" s="48">
        <f ca="1"/>
        <v>503.10370156943486</v>
      </c>
      <c r="W196" s="48">
        <f ca="1"/>
        <v>0</v>
      </c>
      <c r="X196" s="48">
        <f ca="1"/>
        <v>0</v>
      </c>
      <c r="Y196" s="48">
        <f ca="1"/>
        <v>0</v>
      </c>
      <c r="Z196" s="48">
        <f ca="1"/>
        <v>0</v>
      </c>
      <c r="AA196" s="50">
        <f ca="1"/>
        <v>0</v>
      </c>
      <c r="AB196" s="14"/>
    </row>
    <row r="197" spans="1:28" s="10" customFormat="1" ht="15" hidden="1" customHeight="1" x14ac:dyDescent="0.45">
      <c r="A197" s="1803"/>
      <c r="B197" s="1776"/>
      <c r="C197" s="1266" t="s">
        <v>327</v>
      </c>
      <c r="D197" s="47">
        <f ca="1"/>
        <v>71.694568701640193</v>
      </c>
      <c r="E197" s="47">
        <f ca="1"/>
        <v>71.694568701640193</v>
      </c>
      <c r="F197" s="47">
        <f ca="1"/>
        <v>78.212256765425664</v>
      </c>
      <c r="G197" s="47">
        <f ca="1"/>
        <v>78.212256765425664</v>
      </c>
      <c r="H197" s="47">
        <f ca="1"/>
        <v>84.729944829211135</v>
      </c>
      <c r="I197" s="47">
        <f ca="1"/>
        <v>0</v>
      </c>
      <c r="J197" s="47">
        <f ca="1"/>
        <v>65.176880637854723</v>
      </c>
      <c r="K197" s="47">
        <f ca="1"/>
        <v>58.659192574069245</v>
      </c>
      <c r="L197" s="47">
        <f ca="1"/>
        <v>0</v>
      </c>
      <c r="M197" s="47">
        <f ca="1"/>
        <v>0</v>
      </c>
      <c r="N197" s="47">
        <f ca="1"/>
        <v>0</v>
      </c>
      <c r="O197" s="47">
        <f ca="1"/>
        <v>0</v>
      </c>
      <c r="P197" s="47">
        <f ca="1"/>
        <v>0</v>
      </c>
      <c r="Q197" s="49">
        <f ca="1"/>
        <v>0</v>
      </c>
      <c r="R197" s="49">
        <f ca="1"/>
        <v>0</v>
      </c>
      <c r="S197" s="49">
        <f ca="1"/>
        <v>0</v>
      </c>
      <c r="T197" s="49">
        <f ca="1"/>
        <v>0</v>
      </c>
      <c r="U197" s="49">
        <f ca="1"/>
        <v>0</v>
      </c>
      <c r="V197" s="49">
        <f ca="1"/>
        <v>0</v>
      </c>
      <c r="W197" s="49">
        <f ca="1"/>
        <v>0</v>
      </c>
      <c r="X197" s="48">
        <f ca="1"/>
        <v>0</v>
      </c>
      <c r="Y197" s="48">
        <f ca="1"/>
        <v>0</v>
      </c>
      <c r="Z197" s="48">
        <f ca="1"/>
        <v>0</v>
      </c>
      <c r="AA197" s="50">
        <f ca="1"/>
        <v>0</v>
      </c>
      <c r="AB197" s="14"/>
    </row>
    <row r="198" spans="1:28" s="10" customFormat="1" ht="15" hidden="1" customHeight="1" x14ac:dyDescent="0.45">
      <c r="A198" s="1803"/>
      <c r="B198" s="1777" t="s">
        <v>333</v>
      </c>
      <c r="C198" s="1265" t="s">
        <v>326</v>
      </c>
      <c r="D198" s="44">
        <f ca="1"/>
        <v>224.34802281048886</v>
      </c>
      <c r="E198" s="44">
        <f ca="1"/>
        <v>232.65720884050694</v>
      </c>
      <c r="F198" s="44">
        <f ca="1"/>
        <v>240.96639487052505</v>
      </c>
      <c r="G198" s="44">
        <f ca="1"/>
        <v>257.58476693056127</v>
      </c>
      <c r="H198" s="44">
        <f ca="1"/>
        <v>265.89395296057938</v>
      </c>
      <c r="I198" s="44">
        <f ca="1"/>
        <v>78.212256765425664</v>
      </c>
      <c r="J198" s="44">
        <f ca="1"/>
        <v>216.03883678047075</v>
      </c>
      <c r="K198" s="44">
        <f ca="1"/>
        <v>182.80209266039833</v>
      </c>
      <c r="L198" s="44">
        <f ca="1"/>
        <v>0</v>
      </c>
      <c r="M198" s="44">
        <f ca="1"/>
        <v>0</v>
      </c>
      <c r="N198" s="44">
        <f ca="1"/>
        <v>240.96639487052505</v>
      </c>
      <c r="O198" s="45">
        <f ca="1"/>
        <v>191.11127869041641</v>
      </c>
      <c r="P198" s="45">
        <f ca="1"/>
        <v>207.72965075045263</v>
      </c>
      <c r="Q198" s="55">
        <f ca="1"/>
        <v>265.89395296057938</v>
      </c>
      <c r="R198" s="45">
        <f ca="1"/>
        <v>132.94697648028969</v>
      </c>
      <c r="S198" s="45">
        <f ca="1"/>
        <v>132.94697648028969</v>
      </c>
      <c r="T198" s="45">
        <f ca="1"/>
        <v>139.69190286200978</v>
      </c>
      <c r="U198" s="45">
        <f ca="1"/>
        <v>174.49290663038022</v>
      </c>
      <c r="V198" s="45">
        <f ca="1"/>
        <v>0</v>
      </c>
      <c r="W198" s="45">
        <f ca="1"/>
        <v>0</v>
      </c>
      <c r="X198" s="45">
        <f ca="1"/>
        <v>0</v>
      </c>
      <c r="Y198" s="45">
        <f ca="1"/>
        <v>0</v>
      </c>
      <c r="Z198" s="45">
        <f ca="1"/>
        <v>0</v>
      </c>
      <c r="AA198" s="46">
        <f ca="1"/>
        <v>0</v>
      </c>
      <c r="AB198" s="14"/>
    </row>
    <row r="199" spans="1:28" s="10" customFormat="1" ht="15" hidden="1" customHeight="1" x14ac:dyDescent="0.45">
      <c r="A199" s="1803"/>
      <c r="B199" s="1778"/>
      <c r="C199" s="1267" t="s">
        <v>327</v>
      </c>
      <c r="D199" s="56">
        <f ca="1"/>
        <v>0</v>
      </c>
      <c r="E199" s="56">
        <f ca="1"/>
        <v>0</v>
      </c>
      <c r="F199" s="56">
        <f ca="1"/>
        <v>0</v>
      </c>
      <c r="G199" s="56">
        <f ca="1"/>
        <v>0</v>
      </c>
      <c r="H199" s="56">
        <f ca="1"/>
        <v>0</v>
      </c>
      <c r="I199" s="56">
        <f ca="1"/>
        <v>0</v>
      </c>
      <c r="J199" s="56">
        <f ca="1"/>
        <v>0</v>
      </c>
      <c r="K199" s="56">
        <f ca="1"/>
        <v>0</v>
      </c>
      <c r="L199" s="56">
        <f ca="1"/>
        <v>0</v>
      </c>
      <c r="M199" s="56">
        <f ca="1"/>
        <v>83.091860300181054</v>
      </c>
      <c r="N199" s="56">
        <f ca="1"/>
        <v>0</v>
      </c>
      <c r="O199" s="57">
        <f ca="1"/>
        <v>0</v>
      </c>
      <c r="P199" s="57">
        <f ca="1"/>
        <v>0</v>
      </c>
      <c r="Q199" s="58">
        <f ca="1"/>
        <v>0</v>
      </c>
      <c r="R199" s="57">
        <f ca="1"/>
        <v>0</v>
      </c>
      <c r="S199" s="57">
        <f ca="1"/>
        <v>0</v>
      </c>
      <c r="T199" s="57">
        <f ca="1"/>
        <v>0</v>
      </c>
      <c r="U199" s="57">
        <f ca="1"/>
        <v>0</v>
      </c>
      <c r="V199" s="57">
        <f ca="1"/>
        <v>0</v>
      </c>
      <c r="W199" s="57">
        <f ca="1"/>
        <v>0</v>
      </c>
      <c r="X199" s="57">
        <f ca="1"/>
        <v>0</v>
      </c>
      <c r="Y199" s="57">
        <f ca="1"/>
        <v>0</v>
      </c>
      <c r="Z199" s="57">
        <f ca="1"/>
        <v>0</v>
      </c>
      <c r="AA199" s="59">
        <f ca="1"/>
        <v>0</v>
      </c>
      <c r="AB199" s="14"/>
    </row>
    <row r="200" spans="1:28" s="10" customFormat="1" ht="15" hidden="1" customHeight="1" x14ac:dyDescent="0.45">
      <c r="A200" s="1803"/>
      <c r="B200" s="1808" t="s">
        <v>364</v>
      </c>
      <c r="C200" s="1809"/>
      <c r="D200" s="31">
        <f ca="1">SUM(D$186:D$199)</f>
        <v>829.26815253709185</v>
      </c>
      <c r="E200" s="32">
        <f t="array" aca="1" ref="E200" ca="1">SUM(E$186:E$199)</f>
        <v>845.88652459712807</v>
      </c>
      <c r="F200" s="32">
        <f t="shared" ref="F200:AA200" ca="1" si="23">SUM(F$186:F$199)</f>
        <v>869.02258472094979</v>
      </c>
      <c r="G200" s="33">
        <f t="shared" ca="1" si="23"/>
        <v>870.09884999717872</v>
      </c>
      <c r="H200" s="33">
        <f t="shared" ca="1" si="23"/>
        <v>893.23491012100044</v>
      </c>
      <c r="I200" s="33">
        <f t="shared" ca="1" si="23"/>
        <v>962.57616160360692</v>
      </c>
      <c r="J200" s="33">
        <f t="shared" ca="1" si="23"/>
        <v>746.75766714919746</v>
      </c>
      <c r="K200" s="33">
        <f t="shared" ca="1" si="23"/>
        <v>629.93417236500136</v>
      </c>
      <c r="L200" s="33">
        <f t="shared" ca="1" si="23"/>
        <v>1055.3121586066604</v>
      </c>
      <c r="M200" s="33">
        <f t="shared" ca="1" si="23"/>
        <v>83.091860300181054</v>
      </c>
      <c r="N200" s="33">
        <f t="shared" ca="1" si="23"/>
        <v>1387.6340670130239</v>
      </c>
      <c r="O200" s="33">
        <f t="shared" ca="1" si="23"/>
        <v>699.38543193332941</v>
      </c>
      <c r="P200" s="33">
        <f t="shared" ca="1" si="23"/>
        <v>738.84444381091794</v>
      </c>
      <c r="Q200" s="32">
        <f t="shared" ca="1" si="23"/>
        <v>854.12769545491642</v>
      </c>
      <c r="R200" s="33">
        <f t="shared" ca="1" si="23"/>
        <v>489.05365675819371</v>
      </c>
      <c r="S200" s="33">
        <f t="shared" ca="1" si="23"/>
        <v>489.05365675819371</v>
      </c>
      <c r="T200" s="33">
        <f t="shared" ca="1" si="23"/>
        <v>564.46969191780875</v>
      </c>
      <c r="U200" s="33">
        <f t="shared" ca="1" si="23"/>
        <v>569.02245833361894</v>
      </c>
      <c r="V200" s="33">
        <f t="shared" ca="1" si="23"/>
        <v>808.27150756330616</v>
      </c>
      <c r="W200" s="33">
        <f t="shared" ca="1" si="23"/>
        <v>0</v>
      </c>
      <c r="X200" s="33">
        <f t="shared" ca="1" si="23"/>
        <v>0</v>
      </c>
      <c r="Y200" s="33">
        <f t="shared" ca="1" si="23"/>
        <v>0</v>
      </c>
      <c r="Z200" s="33">
        <f t="shared" ca="1" si="23"/>
        <v>0</v>
      </c>
      <c r="AA200" s="34">
        <f t="shared" ca="1" si="23"/>
        <v>0</v>
      </c>
      <c r="AB200" s="14"/>
    </row>
    <row r="201" spans="1:28" s="10" customFormat="1" ht="15" hidden="1" customHeight="1" x14ac:dyDescent="0.45">
      <c r="A201" s="1803"/>
      <c r="B201" s="1811" t="s">
        <v>339</v>
      </c>
      <c r="C201" s="1844"/>
      <c r="D201" s="36">
        <f ca="1">D200/athlete_starting_load - 1</f>
        <v>-7.5913237223411145E-2</v>
      </c>
      <c r="E201" s="30">
        <f ca="1">IFERROR(E200/D200,0) - 1</f>
        <v>2.0039804988523091E-2</v>
      </c>
      <c r="F201" s="30">
        <f t="shared" ref="F201:AA201" ca="1" si="24">IFERROR(F200/E200,0) - 1</f>
        <v>2.7351257469009571E-2</v>
      </c>
      <c r="G201" s="26">
        <f t="shared" ca="1" si="24"/>
        <v>1.2384779120262479E-3</v>
      </c>
      <c r="H201" s="26">
        <f t="shared" ca="1" si="24"/>
        <v>2.6590151364866976E-2</v>
      </c>
      <c r="I201" s="26">
        <f t="shared" ca="1" si="24"/>
        <v>7.7629356731269361E-2</v>
      </c>
      <c r="J201" s="26">
        <f t="shared" ca="1" si="24"/>
        <v>-0.22420926578408706</v>
      </c>
      <c r="K201" s="26">
        <f ca="1">IFERROR(K200/J200,0) - 1</f>
        <v>-0.15644097131292733</v>
      </c>
      <c r="L201" s="26">
        <f t="shared" ca="1" si="24"/>
        <v>0.67527371097306221</v>
      </c>
      <c r="M201" s="26">
        <f t="shared" ca="1" si="24"/>
        <v>-0.92126323986460257</v>
      </c>
      <c r="N201" s="26">
        <f t="shared" ca="1" si="24"/>
        <v>15.700000000000003</v>
      </c>
      <c r="O201" s="26">
        <f t="shared" ca="1" si="24"/>
        <v>-0.49598712761585351</v>
      </c>
      <c r="P201" s="26">
        <f t="shared" ca="1" si="24"/>
        <v>5.6419550759744697E-2</v>
      </c>
      <c r="Q201" s="30">
        <f t="shared" ca="1" si="24"/>
        <v>0.15603183134107912</v>
      </c>
      <c r="R201" s="26">
        <f t="shared" ca="1" si="24"/>
        <v>-0.42742325373524015</v>
      </c>
      <c r="S201" s="26">
        <f t="shared" ca="1" si="24"/>
        <v>0</v>
      </c>
      <c r="T201" s="26">
        <f t="shared" ca="1" si="24"/>
        <v>0.15420809990365436</v>
      </c>
      <c r="U201" s="26">
        <f t="shared" ca="1" si="24"/>
        <v>8.0655639815523372E-3</v>
      </c>
      <c r="V201" s="26">
        <f t="shared" ca="1" si="24"/>
        <v>0.42045625040939072</v>
      </c>
      <c r="W201" s="26">
        <f t="shared" ca="1" si="24"/>
        <v>-1</v>
      </c>
      <c r="X201" s="26">
        <f t="shared" ca="1" si="24"/>
        <v>-1</v>
      </c>
      <c r="Y201" s="26">
        <f t="shared" ca="1" si="24"/>
        <v>-1</v>
      </c>
      <c r="Z201" s="26">
        <f t="shared" ca="1" si="24"/>
        <v>-1</v>
      </c>
      <c r="AA201" s="27">
        <f t="shared" ca="1" si="24"/>
        <v>-1</v>
      </c>
      <c r="AB201" s="14"/>
    </row>
    <row r="202" spans="1:28" s="10" customFormat="1" ht="15" hidden="1" customHeight="1" x14ac:dyDescent="0.45">
      <c r="A202" s="1803"/>
      <c r="B202" s="1811" t="s">
        <v>341</v>
      </c>
      <c r="C202" s="1844"/>
      <c r="D202" s="35">
        <f t="array" aca="1" ref="D202:AA202" ca="1">evaluation_load_total/MAX(evaluation_load_total)</f>
        <v>0.59761299628665621</v>
      </c>
      <c r="E202" s="26">
        <f ca="1"/>
        <v>0.60958904419084781</v>
      </c>
      <c r="F202" s="26">
        <f ca="1"/>
        <v>0.62626207108879905</v>
      </c>
      <c r="G202" s="26">
        <f ca="1"/>
        <v>0.62703768283098238</v>
      </c>
      <c r="H202" s="26">
        <f ca="1"/>
        <v>0.64371070972893374</v>
      </c>
      <c r="I202" s="26">
        <f ca="1"/>
        <v>0.69368155804621978</v>
      </c>
      <c r="J202" s="26">
        <f ca="1"/>
        <v>0.53815172522871524</v>
      </c>
      <c r="K202" s="26">
        <f ca="1"/>
        <v>0.45396274662020747</v>
      </c>
      <c r="L202" s="26">
        <f ca="1"/>
        <v>0.76051185517395892</v>
      </c>
      <c r="M202" s="26">
        <f ca="1"/>
        <v>5.988023952095807E-2</v>
      </c>
      <c r="N202" s="26">
        <f ca="1"/>
        <v>1</v>
      </c>
      <c r="O202" s="26">
        <f ca="1"/>
        <v>0.50401287238414649</v>
      </c>
      <c r="P202" s="26">
        <f ca="1"/>
        <v>0.53244905222118866</v>
      </c>
      <c r="Q202" s="26">
        <f ca="1"/>
        <v>0.6155280529350825</v>
      </c>
      <c r="R202" s="26">
        <f ca="1"/>
        <v>0.35243704978425239</v>
      </c>
      <c r="S202" s="26">
        <f ca="1"/>
        <v>0.35243704978425239</v>
      </c>
      <c r="T202" s="26">
        <f ca="1"/>
        <v>0.40678569756713157</v>
      </c>
      <c r="U202" s="26">
        <f ca="1"/>
        <v>0.41006665363763967</v>
      </c>
      <c r="V202" s="26">
        <f ca="1"/>
        <v>0.58248174124404795</v>
      </c>
      <c r="W202" s="26">
        <f ca="1"/>
        <v>0</v>
      </c>
      <c r="X202" s="26">
        <f ca="1"/>
        <v>0</v>
      </c>
      <c r="Y202" s="26">
        <f ca="1"/>
        <v>0</v>
      </c>
      <c r="Z202" s="26">
        <f ca="1"/>
        <v>0</v>
      </c>
      <c r="AA202" s="27">
        <f ca="1"/>
        <v>0</v>
      </c>
      <c r="AB202" s="14"/>
    </row>
    <row r="203" spans="1:28" s="10" customFormat="1" ht="15" hidden="1" customHeight="1" x14ac:dyDescent="0.45">
      <c r="A203" s="1803"/>
      <c r="B203" s="1811" t="s">
        <v>340</v>
      </c>
      <c r="C203" s="1844"/>
      <c r="D203" s="28">
        <f t="array" ref="D203:AA203" ca="1">IFERROR(evaluation_load_total-plan_load,0)</f>
        <v>-68.123938704863576</v>
      </c>
      <c r="E203" s="29">
        <f ca="1"/>
        <v>-91.687302073571686</v>
      </c>
      <c r="F203" s="29">
        <f ca="1"/>
        <v>-107.5951270137715</v>
      </c>
      <c r="G203" s="29">
        <f ca="1"/>
        <v>-144.23348718813486</v>
      </c>
      <c r="H203" s="29">
        <f ca="1"/>
        <v>-157.32057371770497</v>
      </c>
      <c r="I203" s="29">
        <f ca="1"/>
        <v>-122.57963092144371</v>
      </c>
      <c r="J203" s="29">
        <f ca="1"/>
        <v>-115.42481945831889</v>
      </c>
      <c r="K203" s="29">
        <f ca="1"/>
        <v>-102.92094125138749</v>
      </c>
      <c r="L203" s="29">
        <f ca="1"/>
        <v>322.45704499027158</v>
      </c>
      <c r="M203" s="29">
        <f ca="1"/>
        <v>-477.32675599470457</v>
      </c>
      <c r="N203" s="29">
        <f ca="1"/>
        <v>434.92241931171827</v>
      </c>
      <c r="O203" s="29">
        <f ca="1"/>
        <v>-75.83053526905644</v>
      </c>
      <c r="P203" s="29">
        <f ca="1"/>
        <v>-78.557102203535351</v>
      </c>
      <c r="Q203" s="29">
        <f ca="1"/>
        <v>-208.49431436387295</v>
      </c>
      <c r="R203" s="29">
        <f ca="1"/>
        <v>-42.257348151200972</v>
      </c>
      <c r="S203" s="29">
        <f ca="1"/>
        <v>-42.257348151200972</v>
      </c>
      <c r="T203" s="29">
        <f ca="1"/>
        <v>-143.94498129471742</v>
      </c>
      <c r="U203" s="29">
        <f ca="1"/>
        <v>-139.39221487890723</v>
      </c>
      <c r="V203" s="29">
        <f ca="1"/>
        <v>99.856834350779991</v>
      </c>
      <c r="W203" s="29">
        <f ca="1"/>
        <v>-708.41467321252617</v>
      </c>
      <c r="X203" s="29">
        <f ca="1"/>
        <v>-708.41467321252617</v>
      </c>
      <c r="Y203" s="29">
        <f ca="1"/>
        <v>-708.41467321252617</v>
      </c>
      <c r="Z203" s="29">
        <f ca="1"/>
        <v>-708.41467321252617</v>
      </c>
      <c r="AA203" s="63">
        <f ca="1"/>
        <v>-708.41467321252617</v>
      </c>
      <c r="AB203" s="14"/>
    </row>
    <row r="204" spans="1:28" s="10" customFormat="1" ht="15" hidden="1" customHeight="1" x14ac:dyDescent="0.45">
      <c r="A204" s="1803"/>
      <c r="B204" s="1810" t="s">
        <v>564</v>
      </c>
      <c r="C204" s="1811"/>
      <c r="D204" s="28">
        <f t="array" ref="D204:AA204" ca="1">IFERROR(COUNTIF(INDEX(plan_duration_all,,display_week),"filler1"),0)</f>
        <v>1</v>
      </c>
      <c r="E204" s="29">
        <f ca="1"/>
        <v>1</v>
      </c>
      <c r="F204" s="29">
        <f ca="1"/>
        <v>1</v>
      </c>
      <c r="G204" s="29">
        <f ca="1"/>
        <v>1</v>
      </c>
      <c r="H204" s="29">
        <f ca="1"/>
        <v>1</v>
      </c>
      <c r="I204" s="29">
        <f ca="1"/>
        <v>1</v>
      </c>
      <c r="J204" s="29">
        <f ca="1"/>
        <v>1</v>
      </c>
      <c r="K204" s="29">
        <f ca="1"/>
        <v>1</v>
      </c>
      <c r="L204" s="29">
        <f ca="1"/>
        <v>0</v>
      </c>
      <c r="M204" s="29">
        <f ca="1"/>
        <v>0</v>
      </c>
      <c r="N204" s="29">
        <f ca="1"/>
        <v>0</v>
      </c>
      <c r="O204" s="29">
        <f ca="1"/>
        <v>2</v>
      </c>
      <c r="P204" s="29">
        <f ca="1"/>
        <v>2</v>
      </c>
      <c r="Q204" s="29">
        <f ca="1"/>
        <v>2</v>
      </c>
      <c r="R204" s="29">
        <f ca="1"/>
        <v>1</v>
      </c>
      <c r="S204" s="29">
        <f ca="1"/>
        <v>1</v>
      </c>
      <c r="T204" s="29">
        <f ca="1"/>
        <v>2</v>
      </c>
      <c r="U204" s="29">
        <f ca="1"/>
        <v>1</v>
      </c>
      <c r="V204" s="29">
        <f ca="1"/>
        <v>0</v>
      </c>
      <c r="W204" s="29">
        <f ca="1"/>
        <v>0</v>
      </c>
      <c r="X204" s="29">
        <f ca="1"/>
        <v>0</v>
      </c>
      <c r="Y204" s="29">
        <f ca="1"/>
        <v>0</v>
      </c>
      <c r="Z204" s="29">
        <f ca="1"/>
        <v>0</v>
      </c>
      <c r="AA204" s="61">
        <f ca="1"/>
        <v>0</v>
      </c>
      <c r="AB204" s="14"/>
    </row>
    <row r="205" spans="1:28" s="10" customFormat="1" ht="15" hidden="1" customHeight="1" x14ac:dyDescent="0.45">
      <c r="A205" s="1803"/>
      <c r="B205" s="1843" t="s">
        <v>565</v>
      </c>
      <c r="C205" s="1811"/>
      <c r="D205" s="465">
        <f t="array" ref="D205:AA205" ca="1">IFERROR(COUNTIF(INDEX(plan_duration_all,,display_week),"filler2"),0)</f>
        <v>0</v>
      </c>
      <c r="E205" s="465">
        <f ca="1"/>
        <v>0</v>
      </c>
      <c r="F205" s="465">
        <f ca="1"/>
        <v>0</v>
      </c>
      <c r="G205" s="465">
        <f ca="1"/>
        <v>1</v>
      </c>
      <c r="H205" s="465">
        <f ca="1"/>
        <v>1</v>
      </c>
      <c r="I205" s="465">
        <f ca="1"/>
        <v>0</v>
      </c>
      <c r="J205" s="465">
        <f ca="1"/>
        <v>1</v>
      </c>
      <c r="K205" s="465">
        <f ca="1"/>
        <v>1</v>
      </c>
      <c r="L205" s="465">
        <f ca="1"/>
        <v>0</v>
      </c>
      <c r="M205" s="466">
        <f ca="1"/>
        <v>0</v>
      </c>
      <c r="N205" s="465">
        <f ca="1"/>
        <v>0</v>
      </c>
      <c r="O205" s="466">
        <f ca="1"/>
        <v>0</v>
      </c>
      <c r="P205" s="466">
        <f ca="1"/>
        <v>0</v>
      </c>
      <c r="Q205" s="466">
        <f ca="1"/>
        <v>0</v>
      </c>
      <c r="R205" s="466">
        <f ca="1"/>
        <v>0</v>
      </c>
      <c r="S205" s="466">
        <f ca="1"/>
        <v>0</v>
      </c>
      <c r="T205" s="466">
        <f ca="1"/>
        <v>0</v>
      </c>
      <c r="U205" s="466">
        <f ca="1"/>
        <v>0</v>
      </c>
      <c r="V205" s="466">
        <f ca="1"/>
        <v>0</v>
      </c>
      <c r="W205" s="466">
        <f ca="1"/>
        <v>0</v>
      </c>
      <c r="X205" s="466">
        <f ca="1"/>
        <v>0</v>
      </c>
      <c r="Y205" s="466">
        <f ca="1"/>
        <v>0</v>
      </c>
      <c r="Z205" s="466">
        <f ca="1"/>
        <v>0</v>
      </c>
      <c r="AA205" s="467">
        <f ca="1"/>
        <v>0</v>
      </c>
      <c r="AB205" s="14"/>
    </row>
    <row r="206" spans="1:28" s="10" customFormat="1" ht="15" hidden="1" customHeight="1" x14ac:dyDescent="0.45">
      <c r="A206" s="1803"/>
      <c r="B206" s="1843" t="s">
        <v>625</v>
      </c>
      <c r="C206" s="1811"/>
      <c r="D206" s="1195">
        <f t="array" aca="1" ref="D206:AA206" ca="1">evaluation_filler1_count + evaluation_filler2_count/2</f>
        <v>1</v>
      </c>
      <c r="E206" s="1195">
        <f ca="1"/>
        <v>1</v>
      </c>
      <c r="F206" s="1195">
        <f ca="1"/>
        <v>1</v>
      </c>
      <c r="G206" s="1195">
        <f ca="1"/>
        <v>1.5</v>
      </c>
      <c r="H206" s="1195">
        <f ca="1"/>
        <v>1.5</v>
      </c>
      <c r="I206" s="1195">
        <f ca="1"/>
        <v>1</v>
      </c>
      <c r="J206" s="1195">
        <f ca="1"/>
        <v>1.5</v>
      </c>
      <c r="K206" s="1195">
        <f ca="1"/>
        <v>1.5</v>
      </c>
      <c r="L206" s="1195">
        <f ca="1"/>
        <v>0</v>
      </c>
      <c r="M206" s="1196">
        <f ca="1"/>
        <v>0</v>
      </c>
      <c r="N206" s="1195">
        <f ca="1"/>
        <v>0</v>
      </c>
      <c r="O206" s="1196">
        <f ca="1"/>
        <v>2</v>
      </c>
      <c r="P206" s="1196">
        <f ca="1"/>
        <v>2</v>
      </c>
      <c r="Q206" s="1196">
        <f ca="1"/>
        <v>2</v>
      </c>
      <c r="R206" s="1196">
        <f ca="1"/>
        <v>1</v>
      </c>
      <c r="S206" s="1196">
        <f ca="1"/>
        <v>1</v>
      </c>
      <c r="T206" s="1196">
        <f ca="1"/>
        <v>2</v>
      </c>
      <c r="U206" s="1196">
        <f ca="1"/>
        <v>1</v>
      </c>
      <c r="V206" s="1196">
        <f ca="1"/>
        <v>0</v>
      </c>
      <c r="W206" s="1196">
        <f ca="1"/>
        <v>0</v>
      </c>
      <c r="X206" s="1196">
        <f ca="1"/>
        <v>0</v>
      </c>
      <c r="Y206" s="1196">
        <f ca="1"/>
        <v>0</v>
      </c>
      <c r="Z206" s="1196">
        <f ca="1"/>
        <v>0</v>
      </c>
      <c r="AA206" s="1197">
        <f ca="1"/>
        <v>0</v>
      </c>
      <c r="AB206" s="14"/>
    </row>
    <row r="207" spans="1:28" s="10" customFormat="1" ht="15" hidden="1" customHeight="1" x14ac:dyDescent="0.45">
      <c r="A207" s="1804"/>
      <c r="B207" s="1845" t="s">
        <v>386</v>
      </c>
      <c r="C207" s="1846"/>
      <c r="D207" s="465">
        <f t="array" aca="1" ref="D207:AA207" ca="1">IFERROR(IF(-evaluation_load_error/load_filler &lt; 0, 0, -evaluation_load_error/load_filler), 0)</f>
        <v>52.260815520908196</v>
      </c>
      <c r="E207" s="465">
        <f ca="1"/>
        <v>70.337289216875874</v>
      </c>
      <c r="F207" s="465">
        <f ca="1"/>
        <v>82.540868756520609</v>
      </c>
      <c r="G207" s="465">
        <f ca="1"/>
        <v>110.64773718578677</v>
      </c>
      <c r="H207" s="465">
        <f ca="1"/>
        <v>120.68740646843202</v>
      </c>
      <c r="I207" s="465">
        <f ca="1"/>
        <v>94.036128855673937</v>
      </c>
      <c r="J207" s="465">
        <f ca="1"/>
        <v>88.547363979920348</v>
      </c>
      <c r="K207" s="465">
        <f ca="1"/>
        <v>78.95509898920433</v>
      </c>
      <c r="L207" s="465">
        <f ca="1"/>
        <v>0</v>
      </c>
      <c r="M207" s="466">
        <f ca="1"/>
        <v>366.17796933769893</v>
      </c>
      <c r="N207" s="465">
        <f ca="1"/>
        <v>0</v>
      </c>
      <c r="O207" s="466">
        <f ca="1"/>
        <v>58.172878578216341</v>
      </c>
      <c r="P207" s="466">
        <f ca="1"/>
        <v>60.264545828777671</v>
      </c>
      <c r="Q207" s="466">
        <f ca="1"/>
        <v>159.94499301242985</v>
      </c>
      <c r="R207" s="466">
        <f ca="1"/>
        <v>32.417436779459734</v>
      </c>
      <c r="S207" s="466">
        <f ca="1"/>
        <v>32.417436779459734</v>
      </c>
      <c r="T207" s="466">
        <f ca="1"/>
        <v>110.42641185493788</v>
      </c>
      <c r="U207" s="466">
        <f ca="1"/>
        <v>106.93378811224379</v>
      </c>
      <c r="V207" s="466">
        <f ca="1"/>
        <v>0</v>
      </c>
      <c r="W207" s="466">
        <f ca="1"/>
        <v>543.45549087315408</v>
      </c>
      <c r="X207" s="466">
        <f ca="1"/>
        <v>543.45549087315408</v>
      </c>
      <c r="Y207" s="466">
        <f ca="1"/>
        <v>543.45549087315408</v>
      </c>
      <c r="Z207" s="466">
        <f ca="1"/>
        <v>543.45549087315408</v>
      </c>
      <c r="AA207" s="467">
        <f ca="1"/>
        <v>543.45549087315408</v>
      </c>
      <c r="AB207" s="14"/>
    </row>
    <row r="208" spans="1:28" s="10" customFormat="1" ht="15" hidden="1" customHeight="1" x14ac:dyDescent="0.45">
      <c r="A208" s="1805" t="s">
        <v>342</v>
      </c>
      <c r="B208" s="1773" t="s">
        <v>325</v>
      </c>
      <c r="C208" s="1268" t="s">
        <v>326</v>
      </c>
      <c r="D208" s="40">
        <f t="array" aca="1" ref="D208:AA221" ca="1">IFERROR(IF(plan_duration_primary="filler1",duration_filler1,
IF(plan_duration_primary="filler2",duration_filler2,
IF(plan_duration_secondary="filler1",duration_filler1,
IF(plan_duration_secondary="filler2",duration_filler2,
IF(plan_duration_tertiary="filler1",duration_filler1,
IF(plan_duration_tertiary="filler2",duration_filler2,0)))))),0)</f>
        <v>0</v>
      </c>
      <c r="E208" s="40">
        <f ca="1"/>
        <v>0</v>
      </c>
      <c r="F208" s="40">
        <f ca="1"/>
        <v>0</v>
      </c>
      <c r="G208" s="40">
        <f ca="1"/>
        <v>0</v>
      </c>
      <c r="H208" s="40">
        <f ca="1"/>
        <v>0</v>
      </c>
      <c r="I208" s="40">
        <f ca="1"/>
        <v>0</v>
      </c>
      <c r="J208" s="40">
        <f ca="1"/>
        <v>0</v>
      </c>
      <c r="K208" s="40">
        <f ca="1"/>
        <v>0</v>
      </c>
      <c r="L208" s="40">
        <f ca="1"/>
        <v>0</v>
      </c>
      <c r="M208" s="42">
        <f ca="1"/>
        <v>0</v>
      </c>
      <c r="N208" s="42">
        <f ca="1"/>
        <v>0</v>
      </c>
      <c r="O208" s="40">
        <f ca="1"/>
        <v>0</v>
      </c>
      <c r="P208" s="42">
        <f ca="1"/>
        <v>0</v>
      </c>
      <c r="Q208" s="42">
        <f ca="1"/>
        <v>0</v>
      </c>
      <c r="R208" s="42">
        <f ca="1"/>
        <v>0</v>
      </c>
      <c r="S208" s="42">
        <f ca="1"/>
        <v>0</v>
      </c>
      <c r="T208" s="42">
        <f ca="1"/>
        <v>0</v>
      </c>
      <c r="U208" s="42">
        <f ca="1"/>
        <v>0</v>
      </c>
      <c r="V208" s="42">
        <f ca="1"/>
        <v>0</v>
      </c>
      <c r="W208" s="42">
        <f ca="1"/>
        <v>0</v>
      </c>
      <c r="X208" s="42">
        <f ca="1"/>
        <v>0</v>
      </c>
      <c r="Y208" s="42">
        <f ca="1"/>
        <v>0</v>
      </c>
      <c r="Z208" s="42">
        <f ca="1"/>
        <v>0</v>
      </c>
      <c r="AA208" s="90">
        <f ca="1"/>
        <v>0</v>
      </c>
      <c r="AB208" s="14"/>
    </row>
    <row r="209" spans="1:28" s="10" customFormat="1" ht="15" hidden="1" customHeight="1" x14ac:dyDescent="0.45">
      <c r="A209" s="1806"/>
      <c r="B209" s="1774"/>
      <c r="C209" s="1265" t="s">
        <v>327</v>
      </c>
      <c r="D209" s="44">
        <f ca="1"/>
        <v>0</v>
      </c>
      <c r="E209" s="44">
        <f ca="1"/>
        <v>0</v>
      </c>
      <c r="F209" s="44">
        <f ca="1"/>
        <v>0</v>
      </c>
      <c r="G209" s="44">
        <f ca="1"/>
        <v>0</v>
      </c>
      <c r="H209" s="44">
        <f ca="1"/>
        <v>0</v>
      </c>
      <c r="I209" s="44">
        <f ca="1"/>
        <v>0</v>
      </c>
      <c r="J209" s="44">
        <f ca="1"/>
        <v>0</v>
      </c>
      <c r="K209" s="44">
        <f ca="1"/>
        <v>0</v>
      </c>
      <c r="L209" s="44">
        <f ca="1"/>
        <v>0</v>
      </c>
      <c r="M209" s="44">
        <f ca="1"/>
        <v>0</v>
      </c>
      <c r="N209" s="44">
        <f ca="1"/>
        <v>0</v>
      </c>
      <c r="O209" s="44">
        <f ca="1"/>
        <v>0</v>
      </c>
      <c r="P209" s="44">
        <f ca="1"/>
        <v>0</v>
      </c>
      <c r="Q209" s="44">
        <f ca="1"/>
        <v>0</v>
      </c>
      <c r="R209" s="44">
        <f ca="1"/>
        <v>0</v>
      </c>
      <c r="S209" s="44">
        <f ca="1"/>
        <v>0</v>
      </c>
      <c r="T209" s="44">
        <f ca="1"/>
        <v>0</v>
      </c>
      <c r="U209" s="44">
        <f ca="1"/>
        <v>0</v>
      </c>
      <c r="V209" s="44">
        <f ca="1"/>
        <v>0</v>
      </c>
      <c r="W209" s="44">
        <f ca="1"/>
        <v>0</v>
      </c>
      <c r="X209" s="55">
        <f ca="1"/>
        <v>0</v>
      </c>
      <c r="Y209" s="55">
        <f ca="1"/>
        <v>0</v>
      </c>
      <c r="Z209" s="55">
        <f ca="1"/>
        <v>0</v>
      </c>
      <c r="AA209" s="91">
        <f ca="1"/>
        <v>0</v>
      </c>
      <c r="AB209" s="99"/>
    </row>
    <row r="210" spans="1:28" s="10" customFormat="1" ht="15" hidden="1" customHeight="1" x14ac:dyDescent="0.45">
      <c r="A210" s="1806"/>
      <c r="B210" s="1775" t="s">
        <v>328</v>
      </c>
      <c r="C210" s="1266" t="s">
        <v>326</v>
      </c>
      <c r="D210" s="47">
        <f ca="1"/>
        <v>0</v>
      </c>
      <c r="E210" s="47">
        <f ca="1"/>
        <v>0</v>
      </c>
      <c r="F210" s="47">
        <f ca="1"/>
        <v>0</v>
      </c>
      <c r="G210" s="47">
        <f ca="1"/>
        <v>0</v>
      </c>
      <c r="H210" s="47">
        <f ca="1"/>
        <v>0</v>
      </c>
      <c r="I210" s="47">
        <f ca="1"/>
        <v>0</v>
      </c>
      <c r="J210" s="47">
        <f ca="1"/>
        <v>0</v>
      </c>
      <c r="K210" s="47">
        <f ca="1"/>
        <v>0</v>
      </c>
      <c r="L210" s="47">
        <f ca="1"/>
        <v>0</v>
      </c>
      <c r="M210" s="47">
        <f ca="1"/>
        <v>0</v>
      </c>
      <c r="N210" s="47">
        <f ca="1"/>
        <v>0</v>
      </c>
      <c r="O210" s="47">
        <f ca="1"/>
        <v>0</v>
      </c>
      <c r="P210" s="47">
        <f ca="1"/>
        <v>0</v>
      </c>
      <c r="Q210" s="49">
        <f ca="1"/>
        <v>0</v>
      </c>
      <c r="R210" s="49">
        <f ca="1"/>
        <v>0</v>
      </c>
      <c r="S210" s="49">
        <f ca="1"/>
        <v>0</v>
      </c>
      <c r="T210" s="49">
        <f ca="1"/>
        <v>0</v>
      </c>
      <c r="U210" s="49">
        <f ca="1"/>
        <v>0</v>
      </c>
      <c r="V210" s="49">
        <f ca="1"/>
        <v>0</v>
      </c>
      <c r="W210" s="49">
        <f ca="1"/>
        <v>0</v>
      </c>
      <c r="X210" s="49">
        <f ca="1"/>
        <v>0</v>
      </c>
      <c r="Y210" s="49">
        <f ca="1"/>
        <v>0</v>
      </c>
      <c r="Z210" s="49">
        <f ca="1"/>
        <v>0</v>
      </c>
      <c r="AA210" s="92">
        <f ca="1"/>
        <v>0</v>
      </c>
      <c r="AB210" s="14"/>
    </row>
    <row r="211" spans="1:28" s="10" customFormat="1" ht="15" hidden="1" customHeight="1" x14ac:dyDescent="0.45">
      <c r="A211" s="1806"/>
      <c r="B211" s="1776"/>
      <c r="C211" s="1266" t="s">
        <v>327</v>
      </c>
      <c r="D211" s="47">
        <f ca="1"/>
        <v>0</v>
      </c>
      <c r="E211" s="47">
        <f ca="1"/>
        <v>0</v>
      </c>
      <c r="F211" s="47">
        <f ca="1"/>
        <v>0</v>
      </c>
      <c r="G211" s="47">
        <f ca="1"/>
        <v>0</v>
      </c>
      <c r="H211" s="47">
        <f ca="1"/>
        <v>0</v>
      </c>
      <c r="I211" s="47">
        <f ca="1"/>
        <v>0</v>
      </c>
      <c r="J211" s="47">
        <f ca="1"/>
        <v>0</v>
      </c>
      <c r="K211" s="47">
        <f ca="1"/>
        <v>0</v>
      </c>
      <c r="L211" s="47">
        <f ca="1"/>
        <v>0</v>
      </c>
      <c r="M211" s="47">
        <f ca="1"/>
        <v>0</v>
      </c>
      <c r="N211" s="47">
        <f ca="1"/>
        <v>0</v>
      </c>
      <c r="O211" s="47">
        <f ca="1"/>
        <v>0</v>
      </c>
      <c r="P211" s="47">
        <f ca="1"/>
        <v>0</v>
      </c>
      <c r="Q211" s="49">
        <f ca="1"/>
        <v>0</v>
      </c>
      <c r="R211" s="49">
        <f ca="1"/>
        <v>0</v>
      </c>
      <c r="S211" s="49">
        <f ca="1"/>
        <v>0</v>
      </c>
      <c r="T211" s="49">
        <f ca="1"/>
        <v>55</v>
      </c>
      <c r="U211" s="49">
        <f ca="1"/>
        <v>0</v>
      </c>
      <c r="V211" s="49">
        <f ca="1"/>
        <v>0</v>
      </c>
      <c r="W211" s="49">
        <f ca="1"/>
        <v>0</v>
      </c>
      <c r="X211" s="49">
        <f ca="1"/>
        <v>0</v>
      </c>
      <c r="Y211" s="49">
        <f ca="1"/>
        <v>0</v>
      </c>
      <c r="Z211" s="49">
        <f ca="1"/>
        <v>0</v>
      </c>
      <c r="AA211" s="92">
        <f ca="1"/>
        <v>0</v>
      </c>
      <c r="AB211" s="14"/>
    </row>
    <row r="212" spans="1:28" s="10" customFormat="1" ht="15" hidden="1" customHeight="1" x14ac:dyDescent="0.45">
      <c r="A212" s="1806"/>
      <c r="B212" s="1777" t="s">
        <v>329</v>
      </c>
      <c r="C212" s="1235" t="s">
        <v>326</v>
      </c>
      <c r="D212" s="51">
        <f ca="1"/>
        <v>0</v>
      </c>
      <c r="E212" s="51">
        <f ca="1"/>
        <v>0</v>
      </c>
      <c r="F212" s="51">
        <f ca="1"/>
        <v>0</v>
      </c>
      <c r="G212" s="51">
        <f ca="1"/>
        <v>0</v>
      </c>
      <c r="H212" s="51">
        <f ca="1"/>
        <v>0</v>
      </c>
      <c r="I212" s="51">
        <f ca="1"/>
        <v>0</v>
      </c>
      <c r="J212" s="51">
        <f ca="1"/>
        <v>0</v>
      </c>
      <c r="K212" s="51">
        <f ca="1"/>
        <v>0</v>
      </c>
      <c r="L212" s="51">
        <f ca="1"/>
        <v>0</v>
      </c>
      <c r="M212" s="53">
        <f ca="1"/>
        <v>0</v>
      </c>
      <c r="N212" s="53">
        <f ca="1"/>
        <v>0</v>
      </c>
      <c r="O212" s="51">
        <f ca="1"/>
        <v>0</v>
      </c>
      <c r="P212" s="53">
        <f ca="1"/>
        <v>0</v>
      </c>
      <c r="Q212" s="53">
        <f ca="1"/>
        <v>0</v>
      </c>
      <c r="R212" s="53">
        <f ca="1"/>
        <v>0</v>
      </c>
      <c r="S212" s="53">
        <f ca="1"/>
        <v>0</v>
      </c>
      <c r="T212" s="53">
        <f ca="1"/>
        <v>0</v>
      </c>
      <c r="U212" s="53">
        <f ca="1"/>
        <v>0</v>
      </c>
      <c r="V212" s="53">
        <f ca="1"/>
        <v>0</v>
      </c>
      <c r="W212" s="53">
        <f ca="1"/>
        <v>0</v>
      </c>
      <c r="X212" s="53">
        <f ca="1"/>
        <v>0</v>
      </c>
      <c r="Y212" s="53">
        <f ca="1"/>
        <v>0</v>
      </c>
      <c r="Z212" s="53">
        <f ca="1"/>
        <v>0</v>
      </c>
      <c r="AA212" s="93">
        <f ca="1"/>
        <v>0</v>
      </c>
      <c r="AB212" s="14"/>
    </row>
    <row r="213" spans="1:28" s="10" customFormat="1" ht="15" hidden="1" customHeight="1" x14ac:dyDescent="0.45">
      <c r="A213" s="1806"/>
      <c r="B213" s="1774"/>
      <c r="C213" s="1265" t="s">
        <v>327</v>
      </c>
      <c r="D213" s="44">
        <f ca="1"/>
        <v>50</v>
      </c>
      <c r="E213" s="44">
        <f ca="1"/>
        <v>70</v>
      </c>
      <c r="F213" s="44">
        <f ca="1"/>
        <v>85</v>
      </c>
      <c r="G213" s="44">
        <f ca="1"/>
        <v>75</v>
      </c>
      <c r="H213" s="44">
        <f ca="1"/>
        <v>80</v>
      </c>
      <c r="I213" s="44">
        <f ca="1"/>
        <v>95</v>
      </c>
      <c r="J213" s="44">
        <f ca="1"/>
        <v>60</v>
      </c>
      <c r="K213" s="44">
        <f ca="1"/>
        <v>55</v>
      </c>
      <c r="L213" s="44">
        <f ca="1"/>
        <v>0</v>
      </c>
      <c r="M213" s="44">
        <f ca="1"/>
        <v>0</v>
      </c>
      <c r="N213" s="44">
        <f ca="1"/>
        <v>0</v>
      </c>
      <c r="O213" s="44">
        <f ca="1"/>
        <v>30</v>
      </c>
      <c r="P213" s="44">
        <f ca="1"/>
        <v>30</v>
      </c>
      <c r="Q213" s="44">
        <f ca="1"/>
        <v>80</v>
      </c>
      <c r="R213" s="44">
        <f ca="1"/>
        <v>30</v>
      </c>
      <c r="S213" s="44">
        <f ca="1"/>
        <v>30</v>
      </c>
      <c r="T213" s="44">
        <f ca="1"/>
        <v>55</v>
      </c>
      <c r="U213" s="44">
        <f ca="1"/>
        <v>105</v>
      </c>
      <c r="V213" s="44">
        <f ca="1"/>
        <v>0</v>
      </c>
      <c r="W213" s="44">
        <f ca="1"/>
        <v>0</v>
      </c>
      <c r="X213" s="55">
        <f ca="1"/>
        <v>0</v>
      </c>
      <c r="Y213" s="55">
        <f ca="1"/>
        <v>0</v>
      </c>
      <c r="Z213" s="55">
        <f ca="1"/>
        <v>0</v>
      </c>
      <c r="AA213" s="91">
        <f ca="1"/>
        <v>0</v>
      </c>
      <c r="AB213" s="14"/>
    </row>
    <row r="214" spans="1:28" s="10" customFormat="1" ht="15" hidden="1" customHeight="1" x14ac:dyDescent="0.45">
      <c r="A214" s="1806"/>
      <c r="B214" s="1775" t="s">
        <v>330</v>
      </c>
      <c r="C214" s="1266" t="s">
        <v>326</v>
      </c>
      <c r="D214" s="47">
        <f ca="1"/>
        <v>0</v>
      </c>
      <c r="E214" s="47">
        <f ca="1"/>
        <v>0</v>
      </c>
      <c r="F214" s="47">
        <f ca="1"/>
        <v>0</v>
      </c>
      <c r="G214" s="47">
        <f ca="1"/>
        <v>0</v>
      </c>
      <c r="H214" s="47">
        <f ca="1"/>
        <v>0</v>
      </c>
      <c r="I214" s="47">
        <f ca="1"/>
        <v>0</v>
      </c>
      <c r="J214" s="47">
        <f ca="1"/>
        <v>0</v>
      </c>
      <c r="K214" s="47">
        <f ca="1"/>
        <v>0</v>
      </c>
      <c r="L214" s="47">
        <f ca="1"/>
        <v>0</v>
      </c>
      <c r="M214" s="47">
        <f ca="1"/>
        <v>0</v>
      </c>
      <c r="N214" s="47">
        <f ca="1"/>
        <v>0</v>
      </c>
      <c r="O214" s="47">
        <f ca="1"/>
        <v>0</v>
      </c>
      <c r="P214" s="47">
        <f ca="1"/>
        <v>0</v>
      </c>
      <c r="Q214" s="49">
        <f ca="1"/>
        <v>0</v>
      </c>
      <c r="R214" s="49">
        <f ca="1"/>
        <v>0</v>
      </c>
      <c r="S214" s="49">
        <f ca="1"/>
        <v>0</v>
      </c>
      <c r="T214" s="49">
        <f ca="1"/>
        <v>0</v>
      </c>
      <c r="U214" s="49">
        <f ca="1"/>
        <v>0</v>
      </c>
      <c r="V214" s="49">
        <f ca="1"/>
        <v>0</v>
      </c>
      <c r="W214" s="49">
        <f ca="1"/>
        <v>0</v>
      </c>
      <c r="X214" s="49">
        <f ca="1"/>
        <v>0</v>
      </c>
      <c r="Y214" s="49">
        <f ca="1"/>
        <v>0</v>
      </c>
      <c r="Z214" s="49">
        <f ca="1"/>
        <v>0</v>
      </c>
      <c r="AA214" s="92">
        <f ca="1"/>
        <v>0</v>
      </c>
      <c r="AB214" s="14"/>
    </row>
    <row r="215" spans="1:28" s="10" customFormat="1" ht="15" hidden="1" customHeight="1" x14ac:dyDescent="0.45">
      <c r="A215" s="1806"/>
      <c r="B215" s="1776"/>
      <c r="C215" s="1266" t="s">
        <v>327</v>
      </c>
      <c r="D215" s="47">
        <f ca="1"/>
        <v>0</v>
      </c>
      <c r="E215" s="47">
        <f ca="1"/>
        <v>0</v>
      </c>
      <c r="F215" s="47">
        <f ca="1"/>
        <v>0</v>
      </c>
      <c r="G215" s="47">
        <f ca="1"/>
        <v>0</v>
      </c>
      <c r="H215" s="47">
        <f ca="1"/>
        <v>0</v>
      </c>
      <c r="I215" s="47">
        <f ca="1"/>
        <v>0</v>
      </c>
      <c r="J215" s="47">
        <f ca="1"/>
        <v>0</v>
      </c>
      <c r="K215" s="47">
        <f ca="1"/>
        <v>0</v>
      </c>
      <c r="L215" s="47">
        <f ca="1"/>
        <v>0</v>
      </c>
      <c r="M215" s="47">
        <f ca="1"/>
        <v>0</v>
      </c>
      <c r="N215" s="47">
        <f ca="1"/>
        <v>0</v>
      </c>
      <c r="O215" s="47">
        <f ca="1"/>
        <v>0</v>
      </c>
      <c r="P215" s="47">
        <f ca="1"/>
        <v>0</v>
      </c>
      <c r="Q215" s="49">
        <f ca="1"/>
        <v>0</v>
      </c>
      <c r="R215" s="49">
        <f ca="1"/>
        <v>0</v>
      </c>
      <c r="S215" s="49">
        <f ca="1"/>
        <v>0</v>
      </c>
      <c r="T215" s="49">
        <f ca="1"/>
        <v>0</v>
      </c>
      <c r="U215" s="49">
        <f ca="1"/>
        <v>0</v>
      </c>
      <c r="V215" s="49">
        <f ca="1"/>
        <v>0</v>
      </c>
      <c r="W215" s="49">
        <f ca="1"/>
        <v>0</v>
      </c>
      <c r="X215" s="49">
        <f ca="1"/>
        <v>0</v>
      </c>
      <c r="Y215" s="49">
        <f ca="1"/>
        <v>0</v>
      </c>
      <c r="Z215" s="49">
        <f ca="1"/>
        <v>0</v>
      </c>
      <c r="AA215" s="92">
        <f ca="1"/>
        <v>0</v>
      </c>
      <c r="AB215" s="14"/>
    </row>
    <row r="216" spans="1:28" s="10" customFormat="1" ht="15" hidden="1" customHeight="1" x14ac:dyDescent="0.45">
      <c r="A216" s="1806"/>
      <c r="B216" s="1777" t="s">
        <v>331</v>
      </c>
      <c r="C216" s="1235" t="s">
        <v>326</v>
      </c>
      <c r="D216" s="51">
        <f ca="1"/>
        <v>0</v>
      </c>
      <c r="E216" s="51">
        <f ca="1"/>
        <v>0</v>
      </c>
      <c r="F216" s="51">
        <f ca="1"/>
        <v>0</v>
      </c>
      <c r="G216" s="51">
        <f ca="1"/>
        <v>0</v>
      </c>
      <c r="H216" s="51">
        <f ca="1"/>
        <v>0</v>
      </c>
      <c r="I216" s="51">
        <f ca="1"/>
        <v>0</v>
      </c>
      <c r="J216" s="51">
        <f ca="1"/>
        <v>0</v>
      </c>
      <c r="K216" s="51">
        <f ca="1"/>
        <v>0</v>
      </c>
      <c r="L216" s="51">
        <f ca="1"/>
        <v>0</v>
      </c>
      <c r="M216" s="53">
        <f ca="1"/>
        <v>0</v>
      </c>
      <c r="N216" s="53">
        <f ca="1"/>
        <v>0</v>
      </c>
      <c r="O216" s="51">
        <f ca="1"/>
        <v>0</v>
      </c>
      <c r="P216" s="53">
        <f ca="1"/>
        <v>0</v>
      </c>
      <c r="Q216" s="53">
        <f ca="1"/>
        <v>0</v>
      </c>
      <c r="R216" s="53">
        <f ca="1"/>
        <v>0</v>
      </c>
      <c r="S216" s="53">
        <f ca="1"/>
        <v>0</v>
      </c>
      <c r="T216" s="53">
        <f ca="1"/>
        <v>0</v>
      </c>
      <c r="U216" s="53">
        <f ca="1"/>
        <v>0</v>
      </c>
      <c r="V216" s="53">
        <f ca="1"/>
        <v>0</v>
      </c>
      <c r="W216" s="53">
        <f ca="1"/>
        <v>0</v>
      </c>
      <c r="X216" s="53">
        <f ca="1"/>
        <v>0</v>
      </c>
      <c r="Y216" s="53">
        <f ca="1"/>
        <v>0</v>
      </c>
      <c r="Z216" s="53">
        <f ca="1"/>
        <v>0</v>
      </c>
      <c r="AA216" s="93">
        <f ca="1"/>
        <v>0</v>
      </c>
      <c r="AB216" s="14"/>
    </row>
    <row r="217" spans="1:28" s="10" customFormat="1" ht="15" hidden="1" customHeight="1" x14ac:dyDescent="0.45">
      <c r="A217" s="1806"/>
      <c r="B217" s="1774"/>
      <c r="C217" s="1265" t="s">
        <v>327</v>
      </c>
      <c r="D217" s="44">
        <f ca="1"/>
        <v>0</v>
      </c>
      <c r="E217" s="44">
        <f ca="1"/>
        <v>0</v>
      </c>
      <c r="F217" s="44">
        <f ca="1"/>
        <v>0</v>
      </c>
      <c r="G217" s="44">
        <f ca="1"/>
        <v>0</v>
      </c>
      <c r="H217" s="44">
        <f ca="1"/>
        <v>0</v>
      </c>
      <c r="I217" s="44">
        <f ca="1"/>
        <v>0</v>
      </c>
      <c r="J217" s="44">
        <f ca="1"/>
        <v>0</v>
      </c>
      <c r="K217" s="44">
        <f ca="1"/>
        <v>0</v>
      </c>
      <c r="L217" s="44">
        <f ca="1"/>
        <v>0</v>
      </c>
      <c r="M217" s="44">
        <f ca="1"/>
        <v>0</v>
      </c>
      <c r="N217" s="44">
        <f ca="1"/>
        <v>0</v>
      </c>
      <c r="O217" s="44">
        <f ca="1"/>
        <v>0</v>
      </c>
      <c r="P217" s="44">
        <f ca="1"/>
        <v>0</v>
      </c>
      <c r="Q217" s="44">
        <f ca="1"/>
        <v>0</v>
      </c>
      <c r="R217" s="44">
        <f ca="1"/>
        <v>0</v>
      </c>
      <c r="S217" s="44">
        <f ca="1"/>
        <v>0</v>
      </c>
      <c r="T217" s="44">
        <f ca="1"/>
        <v>0</v>
      </c>
      <c r="U217" s="44">
        <f ca="1"/>
        <v>0</v>
      </c>
      <c r="V217" s="44">
        <f ca="1"/>
        <v>0</v>
      </c>
      <c r="W217" s="44">
        <f ca="1"/>
        <v>0</v>
      </c>
      <c r="X217" s="55">
        <f ca="1"/>
        <v>0</v>
      </c>
      <c r="Y217" s="55">
        <f ca="1"/>
        <v>0</v>
      </c>
      <c r="Z217" s="55">
        <f ca="1"/>
        <v>0</v>
      </c>
      <c r="AA217" s="91">
        <f ca="1"/>
        <v>0</v>
      </c>
      <c r="AB217" s="14"/>
    </row>
    <row r="218" spans="1:28" s="10" customFormat="1" ht="15" hidden="1" customHeight="1" x14ac:dyDescent="0.45">
      <c r="A218" s="1806"/>
      <c r="B218" s="1775" t="s">
        <v>332</v>
      </c>
      <c r="C218" s="1266" t="s">
        <v>326</v>
      </c>
      <c r="D218" s="47">
        <f ca="1"/>
        <v>0</v>
      </c>
      <c r="E218" s="47">
        <f ca="1"/>
        <v>0</v>
      </c>
      <c r="F218" s="47">
        <f ca="1"/>
        <v>0</v>
      </c>
      <c r="G218" s="47">
        <f ca="1"/>
        <v>35</v>
      </c>
      <c r="H218" s="47">
        <f ca="1"/>
        <v>40</v>
      </c>
      <c r="I218" s="47">
        <f ca="1"/>
        <v>0</v>
      </c>
      <c r="J218" s="47">
        <f ca="1"/>
        <v>30</v>
      </c>
      <c r="K218" s="47">
        <f ca="1"/>
        <v>25</v>
      </c>
      <c r="L218" s="47">
        <f ca="1"/>
        <v>0</v>
      </c>
      <c r="M218" s="47">
        <f ca="1"/>
        <v>0</v>
      </c>
      <c r="N218" s="47">
        <f ca="1"/>
        <v>0</v>
      </c>
      <c r="O218" s="47">
        <f ca="1"/>
        <v>0</v>
      </c>
      <c r="P218" s="47">
        <f ca="1"/>
        <v>0</v>
      </c>
      <c r="Q218" s="49">
        <f ca="1"/>
        <v>0</v>
      </c>
      <c r="R218" s="49">
        <f ca="1"/>
        <v>0</v>
      </c>
      <c r="S218" s="49">
        <f ca="1"/>
        <v>0</v>
      </c>
      <c r="T218" s="49">
        <f ca="1"/>
        <v>0</v>
      </c>
      <c r="U218" s="49">
        <f ca="1"/>
        <v>0</v>
      </c>
      <c r="V218" s="49">
        <f ca="1"/>
        <v>0</v>
      </c>
      <c r="W218" s="49">
        <f ca="1"/>
        <v>0</v>
      </c>
      <c r="X218" s="49">
        <f ca="1"/>
        <v>0</v>
      </c>
      <c r="Y218" s="49">
        <f ca="1"/>
        <v>0</v>
      </c>
      <c r="Z218" s="49">
        <f ca="1"/>
        <v>0</v>
      </c>
      <c r="AA218" s="92">
        <f ca="1"/>
        <v>0</v>
      </c>
      <c r="AB218" s="14"/>
    </row>
    <row r="219" spans="1:28" s="10" customFormat="1" ht="15" hidden="1" customHeight="1" x14ac:dyDescent="0.45">
      <c r="A219" s="1806"/>
      <c r="B219" s="1776"/>
      <c r="C219" s="1266" t="s">
        <v>327</v>
      </c>
      <c r="D219" s="47">
        <f ca="1"/>
        <v>0</v>
      </c>
      <c r="E219" s="47">
        <f ca="1"/>
        <v>0</v>
      </c>
      <c r="F219" s="47">
        <f ca="1"/>
        <v>0</v>
      </c>
      <c r="G219" s="47">
        <f ca="1"/>
        <v>0</v>
      </c>
      <c r="H219" s="47">
        <f ca="1"/>
        <v>0</v>
      </c>
      <c r="I219" s="47">
        <f ca="1"/>
        <v>0</v>
      </c>
      <c r="J219" s="47">
        <f ca="1"/>
        <v>0</v>
      </c>
      <c r="K219" s="47">
        <f ca="1"/>
        <v>0</v>
      </c>
      <c r="L219" s="47">
        <f ca="1"/>
        <v>0</v>
      </c>
      <c r="M219" s="47">
        <f ca="1"/>
        <v>0</v>
      </c>
      <c r="N219" s="47">
        <f ca="1"/>
        <v>0</v>
      </c>
      <c r="O219" s="47">
        <f ca="1"/>
        <v>30</v>
      </c>
      <c r="P219" s="47">
        <f ca="1"/>
        <v>30</v>
      </c>
      <c r="Q219" s="49">
        <f ca="1"/>
        <v>80</v>
      </c>
      <c r="R219" s="49">
        <f ca="1"/>
        <v>0</v>
      </c>
      <c r="S219" s="49">
        <f ca="1"/>
        <v>0</v>
      </c>
      <c r="T219" s="49">
        <f ca="1"/>
        <v>0</v>
      </c>
      <c r="U219" s="49">
        <f ca="1"/>
        <v>0</v>
      </c>
      <c r="V219" s="49">
        <f ca="1"/>
        <v>0</v>
      </c>
      <c r="W219" s="49">
        <f ca="1"/>
        <v>0</v>
      </c>
      <c r="X219" s="49">
        <f ca="1"/>
        <v>0</v>
      </c>
      <c r="Y219" s="49">
        <f ca="1"/>
        <v>0</v>
      </c>
      <c r="Z219" s="49">
        <f ca="1"/>
        <v>0</v>
      </c>
      <c r="AA219" s="92">
        <f ca="1"/>
        <v>0</v>
      </c>
      <c r="AB219" s="14"/>
    </row>
    <row r="220" spans="1:28" s="10" customFormat="1" ht="15" hidden="1" customHeight="1" x14ac:dyDescent="0.45">
      <c r="A220" s="1806"/>
      <c r="B220" s="1777" t="s">
        <v>333</v>
      </c>
      <c r="C220" s="1265" t="s">
        <v>326</v>
      </c>
      <c r="D220" s="44">
        <f ca="1"/>
        <v>0</v>
      </c>
      <c r="E220" s="44">
        <f ca="1"/>
        <v>0</v>
      </c>
      <c r="F220" s="44">
        <f ca="1"/>
        <v>0</v>
      </c>
      <c r="G220" s="44">
        <f ca="1"/>
        <v>0</v>
      </c>
      <c r="H220" s="44">
        <f ca="1"/>
        <v>0</v>
      </c>
      <c r="I220" s="44">
        <f ca="1"/>
        <v>0</v>
      </c>
      <c r="J220" s="44">
        <f ca="1"/>
        <v>0</v>
      </c>
      <c r="K220" s="44">
        <f ca="1"/>
        <v>0</v>
      </c>
      <c r="L220" s="44">
        <f ca="1"/>
        <v>0</v>
      </c>
      <c r="M220" s="55">
        <f ca="1"/>
        <v>0</v>
      </c>
      <c r="N220" s="55">
        <f ca="1"/>
        <v>0</v>
      </c>
      <c r="O220" s="44">
        <f ca="1"/>
        <v>0</v>
      </c>
      <c r="P220" s="55">
        <f ca="1"/>
        <v>0</v>
      </c>
      <c r="Q220" s="55">
        <f ca="1"/>
        <v>0</v>
      </c>
      <c r="R220" s="55">
        <f ca="1"/>
        <v>0</v>
      </c>
      <c r="S220" s="55">
        <f ca="1"/>
        <v>0</v>
      </c>
      <c r="T220" s="55">
        <f ca="1"/>
        <v>0</v>
      </c>
      <c r="U220" s="55">
        <f ca="1"/>
        <v>0</v>
      </c>
      <c r="V220" s="55">
        <f ca="1"/>
        <v>0</v>
      </c>
      <c r="W220" s="55">
        <f ca="1"/>
        <v>0</v>
      </c>
      <c r="X220" s="55">
        <f ca="1"/>
        <v>0</v>
      </c>
      <c r="Y220" s="55">
        <f ca="1"/>
        <v>0</v>
      </c>
      <c r="Z220" s="55">
        <f ca="1"/>
        <v>0</v>
      </c>
      <c r="AA220" s="91">
        <f ca="1"/>
        <v>0</v>
      </c>
      <c r="AB220" s="14"/>
    </row>
    <row r="221" spans="1:28" s="10" customFormat="1" ht="15" hidden="1" customHeight="1" x14ac:dyDescent="0.45">
      <c r="A221" s="1807"/>
      <c r="B221" s="1778"/>
      <c r="C221" s="1267" t="s">
        <v>327</v>
      </c>
      <c r="D221" s="56">
        <f ca="1"/>
        <v>0</v>
      </c>
      <c r="E221" s="56">
        <f ca="1"/>
        <v>0</v>
      </c>
      <c r="F221" s="56">
        <f ca="1"/>
        <v>0</v>
      </c>
      <c r="G221" s="56">
        <f ca="1"/>
        <v>0</v>
      </c>
      <c r="H221" s="56">
        <f ca="1"/>
        <v>0</v>
      </c>
      <c r="I221" s="56">
        <f ca="1"/>
        <v>0</v>
      </c>
      <c r="J221" s="56">
        <f ca="1"/>
        <v>0</v>
      </c>
      <c r="K221" s="56">
        <f ca="1"/>
        <v>0</v>
      </c>
      <c r="L221" s="56">
        <f ca="1"/>
        <v>0</v>
      </c>
      <c r="M221" s="58">
        <f ca="1"/>
        <v>0</v>
      </c>
      <c r="N221" s="58">
        <f ca="1"/>
        <v>0</v>
      </c>
      <c r="O221" s="56">
        <f ca="1"/>
        <v>0</v>
      </c>
      <c r="P221" s="58">
        <f ca="1"/>
        <v>0</v>
      </c>
      <c r="Q221" s="58">
        <f ca="1"/>
        <v>0</v>
      </c>
      <c r="R221" s="58">
        <f ca="1"/>
        <v>0</v>
      </c>
      <c r="S221" s="58">
        <f ca="1"/>
        <v>0</v>
      </c>
      <c r="T221" s="58">
        <f ca="1"/>
        <v>0</v>
      </c>
      <c r="U221" s="58">
        <f ca="1"/>
        <v>0</v>
      </c>
      <c r="V221" s="58">
        <f ca="1"/>
        <v>0</v>
      </c>
      <c r="W221" s="58">
        <f ca="1"/>
        <v>0</v>
      </c>
      <c r="X221" s="58">
        <f ca="1"/>
        <v>0</v>
      </c>
      <c r="Y221" s="58">
        <f ca="1"/>
        <v>0</v>
      </c>
      <c r="Z221" s="58">
        <f ca="1"/>
        <v>0</v>
      </c>
      <c r="AA221" s="94">
        <f ca="1"/>
        <v>0</v>
      </c>
      <c r="AB221" s="14"/>
    </row>
    <row r="222" spans="1:28" s="10" customFormat="1" ht="15" hidden="1" customHeight="1" x14ac:dyDescent="0.45">
      <c r="A222" s="1785" t="s">
        <v>613</v>
      </c>
      <c r="B222" s="1773" t="s">
        <v>325</v>
      </c>
      <c r="C222" s="1268" t="s">
        <v>326</v>
      </c>
      <c r="D222" s="40">
        <f t="array" aca="1" ref="D222:AA235" ca="1">IF(IFERROR(FIND("filler",plan_duration_primary),0)&gt;0, final_adjusted_session_durations,plan_duration_primary)</f>
        <v>40</v>
      </c>
      <c r="E222" s="40">
        <f ca="1"/>
        <v>40</v>
      </c>
      <c r="F222" s="40">
        <f ca="1"/>
        <v>40</v>
      </c>
      <c r="G222" s="40">
        <f ca="1"/>
        <v>40</v>
      </c>
      <c r="H222" s="40">
        <f ca="1"/>
        <v>40</v>
      </c>
      <c r="I222" s="40">
        <f ca="1"/>
        <v>40</v>
      </c>
      <c r="J222" s="40">
        <f ca="1"/>
        <v>40</v>
      </c>
      <c r="K222" s="40">
        <f ca="1"/>
        <v>40</v>
      </c>
      <c r="L222" s="40">
        <f ca="1"/>
        <v>40</v>
      </c>
      <c r="M222" s="41">
        <f ca="1"/>
        <v>0</v>
      </c>
      <c r="N222" s="41">
        <f ca="1"/>
        <v>0</v>
      </c>
      <c r="O222" s="41">
        <f ca="1"/>
        <v>40</v>
      </c>
      <c r="P222" s="40">
        <f ca="1"/>
        <v>40</v>
      </c>
      <c r="Q222" s="42">
        <f ca="1"/>
        <v>40</v>
      </c>
      <c r="R222" s="41">
        <f ca="1"/>
        <v>30</v>
      </c>
      <c r="S222" s="41">
        <f ca="1"/>
        <v>30</v>
      </c>
      <c r="T222" s="41">
        <f ca="1"/>
        <v>30</v>
      </c>
      <c r="U222" s="41">
        <f ca="1"/>
        <v>30</v>
      </c>
      <c r="V222" s="41">
        <f ca="1"/>
        <v>0</v>
      </c>
      <c r="W222" s="41">
        <f ca="1"/>
        <v>0</v>
      </c>
      <c r="X222" s="41">
        <f ca="1"/>
        <v>0</v>
      </c>
      <c r="Y222" s="41">
        <f ca="1"/>
        <v>0</v>
      </c>
      <c r="Z222" s="41">
        <f ca="1"/>
        <v>0</v>
      </c>
      <c r="AA222" s="43">
        <f ca="1"/>
        <v>0</v>
      </c>
      <c r="AB222" s="14"/>
    </row>
    <row r="223" spans="1:28" s="10" customFormat="1" ht="15" hidden="1" customHeight="1" x14ac:dyDescent="0.45">
      <c r="A223" s="1786"/>
      <c r="B223" s="1774"/>
      <c r="C223" s="1265" t="s">
        <v>327</v>
      </c>
      <c r="D223" s="44">
        <f ca="1"/>
        <v>30</v>
      </c>
      <c r="E223" s="44">
        <f ca="1"/>
        <v>30</v>
      </c>
      <c r="F223" s="44">
        <f ca="1"/>
        <v>30</v>
      </c>
      <c r="G223" s="44">
        <f ca="1"/>
        <v>30</v>
      </c>
      <c r="H223" s="44">
        <f ca="1"/>
        <v>30</v>
      </c>
      <c r="I223" s="44">
        <f ca="1"/>
        <v>30</v>
      </c>
      <c r="J223" s="44">
        <f ca="1"/>
        <v>30</v>
      </c>
      <c r="K223" s="44">
        <f ca="1"/>
        <v>30</v>
      </c>
      <c r="L223" s="44">
        <f ca="1"/>
        <v>30</v>
      </c>
      <c r="M223" s="44">
        <f ca="1"/>
        <v>0</v>
      </c>
      <c r="N223" s="44">
        <f ca="1"/>
        <v>85</v>
      </c>
      <c r="O223" s="44">
        <f ca="1"/>
        <v>30</v>
      </c>
      <c r="P223" s="44">
        <f ca="1"/>
        <v>30</v>
      </c>
      <c r="Q223" s="44">
        <f ca="1"/>
        <v>30</v>
      </c>
      <c r="R223" s="44">
        <f ca="1"/>
        <v>30</v>
      </c>
      <c r="S223" s="44">
        <f ca="1"/>
        <v>30</v>
      </c>
      <c r="T223" s="44">
        <f ca="1"/>
        <v>30</v>
      </c>
      <c r="U223" s="44">
        <f ca="1"/>
        <v>30</v>
      </c>
      <c r="V223" s="44">
        <f ca="1"/>
        <v>0</v>
      </c>
      <c r="W223" s="44">
        <f ca="1"/>
        <v>0</v>
      </c>
      <c r="X223" s="45">
        <f ca="1"/>
        <v>0</v>
      </c>
      <c r="Y223" s="45">
        <f ca="1"/>
        <v>0</v>
      </c>
      <c r="Z223" s="45">
        <f ca="1"/>
        <v>0</v>
      </c>
      <c r="AA223" s="46">
        <f ca="1"/>
        <v>0</v>
      </c>
      <c r="AB223" s="14"/>
    </row>
    <row r="224" spans="1:28" s="10" customFormat="1" ht="15" hidden="1" customHeight="1" x14ac:dyDescent="0.45">
      <c r="A224" s="1786"/>
      <c r="B224" s="1775" t="s">
        <v>328</v>
      </c>
      <c r="C224" s="1266" t="s">
        <v>326</v>
      </c>
      <c r="D224" s="47">
        <f ca="1"/>
        <v>40</v>
      </c>
      <c r="E224" s="47">
        <f ca="1"/>
        <v>40</v>
      </c>
      <c r="F224" s="47">
        <f ca="1"/>
        <v>40</v>
      </c>
      <c r="G224" s="47">
        <f ca="1"/>
        <v>40</v>
      </c>
      <c r="H224" s="47">
        <f ca="1"/>
        <v>40</v>
      </c>
      <c r="I224" s="47">
        <f ca="1"/>
        <v>40</v>
      </c>
      <c r="J224" s="47">
        <f ca="1"/>
        <v>40</v>
      </c>
      <c r="K224" s="47">
        <f ca="1"/>
        <v>0</v>
      </c>
      <c r="L224" s="47">
        <f ca="1"/>
        <v>0</v>
      </c>
      <c r="M224" s="47">
        <f ca="1"/>
        <v>0</v>
      </c>
      <c r="N224" s="47">
        <f ca="1"/>
        <v>0</v>
      </c>
      <c r="O224" s="47">
        <f ca="1"/>
        <v>40</v>
      </c>
      <c r="P224" s="47">
        <f ca="1"/>
        <v>40</v>
      </c>
      <c r="Q224" s="47">
        <f ca="1"/>
        <v>40</v>
      </c>
      <c r="R224" s="48">
        <f ca="1"/>
        <v>0</v>
      </c>
      <c r="S224" s="48">
        <f ca="1"/>
        <v>0</v>
      </c>
      <c r="T224" s="48">
        <f ca="1"/>
        <v>0</v>
      </c>
      <c r="U224" s="48">
        <f ca="1"/>
        <v>0</v>
      </c>
      <c r="V224" s="48">
        <f ca="1"/>
        <v>0</v>
      </c>
      <c r="W224" s="48">
        <f ca="1"/>
        <v>0</v>
      </c>
      <c r="X224" s="48">
        <f ca="1"/>
        <v>0</v>
      </c>
      <c r="Y224" s="48">
        <f ca="1"/>
        <v>0</v>
      </c>
      <c r="Z224" s="48">
        <f ca="1"/>
        <v>0</v>
      </c>
      <c r="AA224" s="50">
        <f ca="1"/>
        <v>0</v>
      </c>
      <c r="AB224" s="14"/>
    </row>
    <row r="225" spans="1:28" s="10" customFormat="1" ht="15" hidden="1" customHeight="1" x14ac:dyDescent="0.45">
      <c r="A225" s="1786"/>
      <c r="B225" s="1776"/>
      <c r="C225" s="1266" t="s">
        <v>327</v>
      </c>
      <c r="D225" s="47">
        <f ca="1"/>
        <v>25</v>
      </c>
      <c r="E225" s="47">
        <f ca="1"/>
        <v>25</v>
      </c>
      <c r="F225" s="47">
        <f ca="1"/>
        <v>25</v>
      </c>
      <c r="G225" s="47">
        <f ca="1"/>
        <v>25</v>
      </c>
      <c r="H225" s="47">
        <f ca="1"/>
        <v>25</v>
      </c>
      <c r="I225" s="47">
        <f ca="1"/>
        <v>25</v>
      </c>
      <c r="J225" s="47">
        <f ca="1"/>
        <v>25</v>
      </c>
      <c r="K225" s="47">
        <f ca="1"/>
        <v>25</v>
      </c>
      <c r="L225" s="47">
        <f ca="1"/>
        <v>25</v>
      </c>
      <c r="M225" s="47">
        <f ca="1"/>
        <v>0</v>
      </c>
      <c r="N225" s="47">
        <f ca="1"/>
        <v>145</v>
      </c>
      <c r="O225" s="47">
        <f ca="1"/>
        <v>25</v>
      </c>
      <c r="P225" s="47">
        <f ca="1"/>
        <v>25</v>
      </c>
      <c r="Q225" s="47">
        <f ca="1"/>
        <v>25</v>
      </c>
      <c r="R225" s="49">
        <f ca="1"/>
        <v>25</v>
      </c>
      <c r="S225" s="49">
        <f ca="1"/>
        <v>25</v>
      </c>
      <c r="T225" s="49">
        <f ca="1"/>
        <v>55</v>
      </c>
      <c r="U225" s="49">
        <f ca="1"/>
        <v>25</v>
      </c>
      <c r="V225" s="49">
        <f ca="1"/>
        <v>15.5</v>
      </c>
      <c r="W225" s="49">
        <f ca="1"/>
        <v>0</v>
      </c>
      <c r="X225" s="48">
        <f ca="1"/>
        <v>0</v>
      </c>
      <c r="Y225" s="48">
        <f ca="1"/>
        <v>0</v>
      </c>
      <c r="Z225" s="48">
        <f ca="1"/>
        <v>0</v>
      </c>
      <c r="AA225" s="50">
        <f ca="1"/>
        <v>0</v>
      </c>
      <c r="AB225" s="14"/>
    </row>
    <row r="226" spans="1:28" s="10" customFormat="1" ht="15" hidden="1" customHeight="1" x14ac:dyDescent="0.45">
      <c r="A226" s="1786"/>
      <c r="B226" s="1777" t="s">
        <v>329</v>
      </c>
      <c r="C226" s="1235" t="s">
        <v>326</v>
      </c>
      <c r="D226" s="51">
        <f ca="1"/>
        <v>0</v>
      </c>
      <c r="E226" s="51">
        <f ca="1"/>
        <v>0</v>
      </c>
      <c r="F226" s="51">
        <f ca="1"/>
        <v>0</v>
      </c>
      <c r="G226" s="51">
        <f ca="1"/>
        <v>0</v>
      </c>
      <c r="H226" s="51">
        <f ca="1"/>
        <v>0</v>
      </c>
      <c r="I226" s="51">
        <f ca="1"/>
        <v>0</v>
      </c>
      <c r="J226" s="51">
        <f ca="1"/>
        <v>0</v>
      </c>
      <c r="K226" s="51">
        <f ca="1"/>
        <v>0</v>
      </c>
      <c r="L226" s="51">
        <f ca="1"/>
        <v>0</v>
      </c>
      <c r="M226" s="52">
        <f ca="1"/>
        <v>0</v>
      </c>
      <c r="N226" s="52">
        <f ca="1"/>
        <v>0</v>
      </c>
      <c r="O226" s="52">
        <f ca="1"/>
        <v>0</v>
      </c>
      <c r="P226" s="51">
        <f ca="1"/>
        <v>0</v>
      </c>
      <c r="Q226" s="53">
        <f ca="1"/>
        <v>0</v>
      </c>
      <c r="R226" s="52">
        <f ca="1"/>
        <v>0</v>
      </c>
      <c r="S226" s="52">
        <f ca="1"/>
        <v>0</v>
      </c>
      <c r="T226" s="52">
        <f ca="1"/>
        <v>0</v>
      </c>
      <c r="U226" s="52">
        <f ca="1"/>
        <v>0</v>
      </c>
      <c r="V226" s="52">
        <f ca="1"/>
        <v>0</v>
      </c>
      <c r="W226" s="52">
        <f ca="1"/>
        <v>0</v>
      </c>
      <c r="X226" s="52">
        <f ca="1"/>
        <v>0</v>
      </c>
      <c r="Y226" s="52">
        <f ca="1"/>
        <v>0</v>
      </c>
      <c r="Z226" s="52">
        <f ca="1"/>
        <v>0</v>
      </c>
      <c r="AA226" s="54">
        <f ca="1"/>
        <v>0</v>
      </c>
      <c r="AB226" s="14"/>
    </row>
    <row r="227" spans="1:28" s="10" customFormat="1" ht="15" hidden="1" customHeight="1" x14ac:dyDescent="0.45">
      <c r="A227" s="1786"/>
      <c r="B227" s="1774"/>
      <c r="C227" s="1265" t="s">
        <v>327</v>
      </c>
      <c r="D227" s="44">
        <f ca="1"/>
        <v>50</v>
      </c>
      <c r="E227" s="44">
        <f ca="1"/>
        <v>70</v>
      </c>
      <c r="F227" s="44">
        <f ca="1"/>
        <v>85</v>
      </c>
      <c r="G227" s="44">
        <f ca="1"/>
        <v>75</v>
      </c>
      <c r="H227" s="44">
        <f ca="1"/>
        <v>80</v>
      </c>
      <c r="I227" s="44">
        <f ca="1"/>
        <v>95</v>
      </c>
      <c r="J227" s="44">
        <f ca="1"/>
        <v>60</v>
      </c>
      <c r="K227" s="44">
        <f ca="1"/>
        <v>55</v>
      </c>
      <c r="L227" s="44">
        <f ca="1"/>
        <v>45</v>
      </c>
      <c r="M227" s="44">
        <f ca="1"/>
        <v>0</v>
      </c>
      <c r="N227" s="44">
        <f ca="1"/>
        <v>145</v>
      </c>
      <c r="O227" s="44">
        <f ca="1"/>
        <v>30</v>
      </c>
      <c r="P227" s="44">
        <f ca="1"/>
        <v>30</v>
      </c>
      <c r="Q227" s="44">
        <f ca="1"/>
        <v>80</v>
      </c>
      <c r="R227" s="44">
        <f ca="1"/>
        <v>30</v>
      </c>
      <c r="S227" s="44">
        <f ca="1"/>
        <v>30</v>
      </c>
      <c r="T227" s="44">
        <f ca="1"/>
        <v>55</v>
      </c>
      <c r="U227" s="44">
        <f ca="1"/>
        <v>105</v>
      </c>
      <c r="V227" s="44">
        <f ca="1"/>
        <v>40</v>
      </c>
      <c r="W227" s="44">
        <f ca="1"/>
        <v>0</v>
      </c>
      <c r="X227" s="45">
        <f ca="1"/>
        <v>0</v>
      </c>
      <c r="Y227" s="45">
        <f ca="1"/>
        <v>0</v>
      </c>
      <c r="Z227" s="45">
        <f ca="1"/>
        <v>0</v>
      </c>
      <c r="AA227" s="46">
        <f ca="1"/>
        <v>0</v>
      </c>
      <c r="AB227" s="14"/>
    </row>
    <row r="228" spans="1:28" s="10" customFormat="1" ht="15" hidden="1" customHeight="1" x14ac:dyDescent="0.45">
      <c r="A228" s="1786"/>
      <c r="B228" s="1775" t="s">
        <v>330</v>
      </c>
      <c r="C228" s="1266" t="s">
        <v>326</v>
      </c>
      <c r="D228" s="47">
        <f ca="1"/>
        <v>40</v>
      </c>
      <c r="E228" s="47">
        <f ca="1"/>
        <v>40</v>
      </c>
      <c r="F228" s="47">
        <f ca="1"/>
        <v>40</v>
      </c>
      <c r="G228" s="47">
        <f ca="1"/>
        <v>40</v>
      </c>
      <c r="H228" s="47">
        <f ca="1"/>
        <v>40</v>
      </c>
      <c r="I228" s="47">
        <f ca="1"/>
        <v>40</v>
      </c>
      <c r="J228" s="47">
        <f ca="1"/>
        <v>0</v>
      </c>
      <c r="K228" s="47">
        <f ca="1"/>
        <v>0</v>
      </c>
      <c r="L228" s="47">
        <f ca="1"/>
        <v>0</v>
      </c>
      <c r="M228" s="47">
        <f ca="1"/>
        <v>0</v>
      </c>
      <c r="N228" s="47">
        <f ca="1"/>
        <v>0</v>
      </c>
      <c r="O228" s="47">
        <f ca="1"/>
        <v>40</v>
      </c>
      <c r="P228" s="47">
        <f ca="1"/>
        <v>40</v>
      </c>
      <c r="Q228" s="47">
        <f ca="1"/>
        <v>40</v>
      </c>
      <c r="R228" s="48">
        <f ca="1"/>
        <v>0</v>
      </c>
      <c r="S228" s="48">
        <f ca="1"/>
        <v>0</v>
      </c>
      <c r="T228" s="48">
        <f ca="1"/>
        <v>0</v>
      </c>
      <c r="U228" s="48">
        <f ca="1"/>
        <v>0</v>
      </c>
      <c r="V228" s="48">
        <f ca="1"/>
        <v>20</v>
      </c>
      <c r="W228" s="48">
        <f ca="1"/>
        <v>0</v>
      </c>
      <c r="X228" s="48">
        <f ca="1"/>
        <v>0</v>
      </c>
      <c r="Y228" s="48">
        <f ca="1"/>
        <v>0</v>
      </c>
      <c r="Z228" s="48">
        <f ca="1"/>
        <v>0</v>
      </c>
      <c r="AA228" s="50">
        <f ca="1"/>
        <v>0</v>
      </c>
      <c r="AB228" s="14"/>
    </row>
    <row r="229" spans="1:28" s="10" customFormat="1" ht="15" hidden="1" customHeight="1" x14ac:dyDescent="0.45">
      <c r="A229" s="1786"/>
      <c r="B229" s="1776"/>
      <c r="C229" s="1266" t="s">
        <v>327</v>
      </c>
      <c r="D229" s="47">
        <f ca="1"/>
        <v>80</v>
      </c>
      <c r="E229" s="47">
        <f ca="1"/>
        <v>85</v>
      </c>
      <c r="F229" s="47">
        <f ca="1"/>
        <v>90</v>
      </c>
      <c r="G229" s="47">
        <f ca="1"/>
        <v>90</v>
      </c>
      <c r="H229" s="47">
        <f ca="1"/>
        <v>95</v>
      </c>
      <c r="I229" s="47">
        <f ca="1"/>
        <v>100</v>
      </c>
      <c r="J229" s="47">
        <f ca="1"/>
        <v>80</v>
      </c>
      <c r="K229" s="47">
        <f ca="1"/>
        <v>65</v>
      </c>
      <c r="L229" s="47">
        <f ca="1"/>
        <v>0</v>
      </c>
      <c r="M229" s="47">
        <f ca="1"/>
        <v>0</v>
      </c>
      <c r="N229" s="47">
        <f ca="1"/>
        <v>85</v>
      </c>
      <c r="O229" s="49">
        <f ca="1"/>
        <v>9.3000000000000007</v>
      </c>
      <c r="P229" s="47">
        <f ca="1"/>
        <v>12.4</v>
      </c>
      <c r="Q229" s="47">
        <f ca="1"/>
        <v>18.600000000000001</v>
      </c>
      <c r="R229" s="49">
        <f ca="1"/>
        <v>12.4</v>
      </c>
      <c r="S229" s="49">
        <f ca="1"/>
        <v>12.4</v>
      </c>
      <c r="T229" s="49">
        <f ca="1"/>
        <v>0</v>
      </c>
      <c r="U229" s="49">
        <f ca="1"/>
        <v>15.5</v>
      </c>
      <c r="V229" s="49">
        <f ca="1"/>
        <v>0</v>
      </c>
      <c r="W229" s="49">
        <f ca="1"/>
        <v>0</v>
      </c>
      <c r="X229" s="48">
        <f ca="1"/>
        <v>0</v>
      </c>
      <c r="Y229" s="48">
        <f ca="1"/>
        <v>0</v>
      </c>
      <c r="Z229" s="48">
        <f ca="1"/>
        <v>0</v>
      </c>
      <c r="AA229" s="50">
        <f ca="1"/>
        <v>0</v>
      </c>
      <c r="AB229" s="14"/>
    </row>
    <row r="230" spans="1:28" s="10" customFormat="1" ht="15" hidden="1" customHeight="1" x14ac:dyDescent="0.45">
      <c r="A230" s="1786"/>
      <c r="B230" s="1777" t="s">
        <v>331</v>
      </c>
      <c r="C230" s="1235" t="s">
        <v>326</v>
      </c>
      <c r="D230" s="51">
        <f ca="1"/>
        <v>40</v>
      </c>
      <c r="E230" s="51">
        <f ca="1"/>
        <v>40</v>
      </c>
      <c r="F230" s="51">
        <f ca="1"/>
        <v>40</v>
      </c>
      <c r="G230" s="51">
        <f ca="1"/>
        <v>40</v>
      </c>
      <c r="H230" s="51">
        <f ca="1"/>
        <v>40</v>
      </c>
      <c r="I230" s="51">
        <f ca="1"/>
        <v>40</v>
      </c>
      <c r="J230" s="51">
        <f ca="1"/>
        <v>40</v>
      </c>
      <c r="K230" s="51">
        <f ca="1"/>
        <v>40</v>
      </c>
      <c r="L230" s="51">
        <f ca="1"/>
        <v>20</v>
      </c>
      <c r="M230" s="52">
        <f ca="1"/>
        <v>0</v>
      </c>
      <c r="N230" s="52">
        <f ca="1"/>
        <v>0</v>
      </c>
      <c r="O230" s="52">
        <f ca="1"/>
        <v>40</v>
      </c>
      <c r="P230" s="51">
        <f ca="1"/>
        <v>40</v>
      </c>
      <c r="Q230" s="53">
        <f ca="1"/>
        <v>40</v>
      </c>
      <c r="R230" s="52">
        <f ca="1"/>
        <v>30</v>
      </c>
      <c r="S230" s="52">
        <f ca="1"/>
        <v>30</v>
      </c>
      <c r="T230" s="52">
        <f ca="1"/>
        <v>0</v>
      </c>
      <c r="U230" s="52">
        <f ca="1"/>
        <v>30</v>
      </c>
      <c r="V230" s="52">
        <f ca="1"/>
        <v>30</v>
      </c>
      <c r="W230" s="52">
        <f ca="1"/>
        <v>0</v>
      </c>
      <c r="X230" s="52">
        <f ca="1"/>
        <v>0</v>
      </c>
      <c r="Y230" s="52">
        <f ca="1"/>
        <v>0</v>
      </c>
      <c r="Z230" s="52">
        <f ca="1"/>
        <v>0</v>
      </c>
      <c r="AA230" s="54">
        <f ca="1"/>
        <v>0</v>
      </c>
      <c r="AB230" s="14"/>
    </row>
    <row r="231" spans="1:28" s="10" customFormat="1" ht="15" hidden="1" customHeight="1" x14ac:dyDescent="0.45">
      <c r="A231" s="1786"/>
      <c r="B231" s="1774"/>
      <c r="C231" s="1265" t="s">
        <v>327</v>
      </c>
      <c r="D231" s="44">
        <f ca="1"/>
        <v>30</v>
      </c>
      <c r="E231" s="44">
        <f ca="1"/>
        <v>30</v>
      </c>
      <c r="F231" s="44">
        <f ca="1"/>
        <v>30</v>
      </c>
      <c r="G231" s="44">
        <f ca="1"/>
        <v>30</v>
      </c>
      <c r="H231" s="44">
        <f ca="1"/>
        <v>30</v>
      </c>
      <c r="I231" s="44">
        <f ca="1"/>
        <v>30</v>
      </c>
      <c r="J231" s="44">
        <f ca="1"/>
        <v>30</v>
      </c>
      <c r="K231" s="44">
        <f ca="1"/>
        <v>30</v>
      </c>
      <c r="L231" s="44">
        <f ca="1"/>
        <v>0</v>
      </c>
      <c r="M231" s="44">
        <f ca="1"/>
        <v>0</v>
      </c>
      <c r="N231" s="44">
        <f ca="1"/>
        <v>85</v>
      </c>
      <c r="O231" s="44">
        <f ca="1"/>
        <v>30</v>
      </c>
      <c r="P231" s="44">
        <f ca="1"/>
        <v>30</v>
      </c>
      <c r="Q231" s="44">
        <f ca="1"/>
        <v>30</v>
      </c>
      <c r="R231" s="44">
        <f ca="1"/>
        <v>30</v>
      </c>
      <c r="S231" s="44">
        <f ca="1"/>
        <v>30</v>
      </c>
      <c r="T231" s="44">
        <f ca="1"/>
        <v>15</v>
      </c>
      <c r="U231" s="44">
        <f ca="1"/>
        <v>30</v>
      </c>
      <c r="V231" s="44">
        <f ca="1"/>
        <v>0</v>
      </c>
      <c r="W231" s="44">
        <f ca="1"/>
        <v>0</v>
      </c>
      <c r="X231" s="45">
        <f ca="1"/>
        <v>0</v>
      </c>
      <c r="Y231" s="45">
        <f ca="1"/>
        <v>0</v>
      </c>
      <c r="Z231" s="45">
        <f ca="1"/>
        <v>0</v>
      </c>
      <c r="AA231" s="46">
        <f ca="1"/>
        <v>0</v>
      </c>
      <c r="AB231" s="14"/>
    </row>
    <row r="232" spans="1:28" s="10" customFormat="1" ht="15" hidden="1" customHeight="1" x14ac:dyDescent="0.45">
      <c r="A232" s="1786"/>
      <c r="B232" s="1775" t="s">
        <v>332</v>
      </c>
      <c r="C232" s="1266" t="s">
        <v>326</v>
      </c>
      <c r="D232" s="47">
        <f ca="1"/>
        <v>30</v>
      </c>
      <c r="E232" s="47">
        <f ca="1"/>
        <v>30</v>
      </c>
      <c r="F232" s="47">
        <f ca="1"/>
        <v>30</v>
      </c>
      <c r="G232" s="47">
        <f ca="1"/>
        <v>30</v>
      </c>
      <c r="H232" s="47">
        <f ca="1"/>
        <v>30</v>
      </c>
      <c r="I232" s="47">
        <f ca="1"/>
        <v>240</v>
      </c>
      <c r="J232" s="47">
        <f ca="1"/>
        <v>30</v>
      </c>
      <c r="K232" s="47">
        <f ca="1"/>
        <v>30</v>
      </c>
      <c r="L232" s="47">
        <f ca="1"/>
        <v>300</v>
      </c>
      <c r="M232" s="47">
        <f ca="1"/>
        <v>0</v>
      </c>
      <c r="N232" s="47">
        <f ca="1"/>
        <v>145</v>
      </c>
      <c r="O232" s="47">
        <f ca="1"/>
        <v>70</v>
      </c>
      <c r="P232" s="47">
        <f ca="1"/>
        <v>75</v>
      </c>
      <c r="Q232" s="47">
        <f ca="1"/>
        <v>95</v>
      </c>
      <c r="R232" s="48">
        <f ca="1"/>
        <v>50</v>
      </c>
      <c r="S232" s="48">
        <f ca="1"/>
        <v>50</v>
      </c>
      <c r="T232" s="48">
        <f ca="1"/>
        <v>90</v>
      </c>
      <c r="U232" s="48">
        <f ca="1"/>
        <v>65</v>
      </c>
      <c r="V232" s="48">
        <f ca="1"/>
        <v>180</v>
      </c>
      <c r="W232" s="48">
        <f ca="1"/>
        <v>0</v>
      </c>
      <c r="X232" s="48">
        <f ca="1"/>
        <v>0</v>
      </c>
      <c r="Y232" s="48">
        <f ca="1"/>
        <v>0</v>
      </c>
      <c r="Z232" s="48">
        <f ca="1"/>
        <v>0</v>
      </c>
      <c r="AA232" s="50">
        <f ca="1"/>
        <v>0</v>
      </c>
      <c r="AB232" s="14"/>
    </row>
    <row r="233" spans="1:28" s="10" customFormat="1" ht="15" hidden="1" customHeight="1" x14ac:dyDescent="0.45">
      <c r="A233" s="1786"/>
      <c r="B233" s="1776"/>
      <c r="C233" s="1266" t="s">
        <v>327</v>
      </c>
      <c r="D233" s="47">
        <f ca="1"/>
        <v>55</v>
      </c>
      <c r="E233" s="47">
        <f ca="1"/>
        <v>55</v>
      </c>
      <c r="F233" s="47">
        <f ca="1"/>
        <v>60</v>
      </c>
      <c r="G233" s="47">
        <f ca="1"/>
        <v>60</v>
      </c>
      <c r="H233" s="47">
        <f ca="1"/>
        <v>65</v>
      </c>
      <c r="I233" s="47">
        <f ca="1"/>
        <v>0</v>
      </c>
      <c r="J233" s="47">
        <f ca="1"/>
        <v>50</v>
      </c>
      <c r="K233" s="47">
        <f ca="1"/>
        <v>45</v>
      </c>
      <c r="L233" s="47">
        <f ca="1"/>
        <v>0</v>
      </c>
      <c r="M233" s="47">
        <f ca="1"/>
        <v>0</v>
      </c>
      <c r="N233" s="47">
        <f ca="1"/>
        <v>0</v>
      </c>
      <c r="O233" s="47">
        <f ca="1"/>
        <v>30</v>
      </c>
      <c r="P233" s="47">
        <f ca="1"/>
        <v>30</v>
      </c>
      <c r="Q233" s="47">
        <f ca="1"/>
        <v>80</v>
      </c>
      <c r="R233" s="49">
        <f ca="1"/>
        <v>0</v>
      </c>
      <c r="S233" s="49">
        <f ca="1"/>
        <v>0</v>
      </c>
      <c r="T233" s="49">
        <f ca="1"/>
        <v>0</v>
      </c>
      <c r="U233" s="49">
        <f ca="1"/>
        <v>0</v>
      </c>
      <c r="V233" s="49">
        <f ca="1"/>
        <v>0</v>
      </c>
      <c r="W233" s="49">
        <f ca="1"/>
        <v>0</v>
      </c>
      <c r="X233" s="48">
        <f ca="1"/>
        <v>0</v>
      </c>
      <c r="Y233" s="48">
        <f ca="1"/>
        <v>0</v>
      </c>
      <c r="Z233" s="48">
        <f ca="1"/>
        <v>0</v>
      </c>
      <c r="AA233" s="50">
        <f ca="1"/>
        <v>0</v>
      </c>
      <c r="AB233" s="14"/>
    </row>
    <row r="234" spans="1:28" s="10" customFormat="1" ht="15" hidden="1" customHeight="1" x14ac:dyDescent="0.45">
      <c r="A234" s="1786"/>
      <c r="B234" s="1777" t="s">
        <v>333</v>
      </c>
      <c r="C234" s="1265" t="s">
        <v>326</v>
      </c>
      <c r="D234" s="44">
        <f ca="1"/>
        <v>135</v>
      </c>
      <c r="E234" s="44">
        <f ca="1"/>
        <v>140</v>
      </c>
      <c r="F234" s="44">
        <f ca="1"/>
        <v>145</v>
      </c>
      <c r="G234" s="44">
        <f ca="1"/>
        <v>155</v>
      </c>
      <c r="H234" s="44">
        <f ca="1"/>
        <v>160</v>
      </c>
      <c r="I234" s="44">
        <f ca="1"/>
        <v>60</v>
      </c>
      <c r="J234" s="44">
        <f ca="1"/>
        <v>130</v>
      </c>
      <c r="K234" s="44">
        <f ca="1"/>
        <v>110</v>
      </c>
      <c r="L234" s="44">
        <f ca="1"/>
        <v>0</v>
      </c>
      <c r="M234" s="45">
        <f ca="1"/>
        <v>0</v>
      </c>
      <c r="N234" s="45">
        <f ca="1"/>
        <v>145</v>
      </c>
      <c r="O234" s="45">
        <f ca="1"/>
        <v>115</v>
      </c>
      <c r="P234" s="44">
        <f ca="1"/>
        <v>125</v>
      </c>
      <c r="Q234" s="55">
        <f ca="1"/>
        <v>160</v>
      </c>
      <c r="R234" s="45">
        <f ca="1"/>
        <v>80</v>
      </c>
      <c r="S234" s="45">
        <f ca="1"/>
        <v>80</v>
      </c>
      <c r="T234" s="45">
        <f ca="1"/>
        <v>30</v>
      </c>
      <c r="U234" s="45">
        <f ca="1"/>
        <v>105</v>
      </c>
      <c r="V234" s="45">
        <f ca="1"/>
        <v>0</v>
      </c>
      <c r="W234" s="45">
        <f ca="1"/>
        <v>0</v>
      </c>
      <c r="X234" s="45">
        <f ca="1"/>
        <v>0</v>
      </c>
      <c r="Y234" s="45">
        <f ca="1"/>
        <v>0</v>
      </c>
      <c r="Z234" s="45">
        <f ca="1"/>
        <v>0</v>
      </c>
      <c r="AA234" s="46">
        <f ca="1"/>
        <v>0</v>
      </c>
      <c r="AB234" s="14"/>
    </row>
    <row r="235" spans="1:28" s="10" customFormat="1" ht="15" hidden="1" customHeight="1" x14ac:dyDescent="0.45">
      <c r="A235" s="1787"/>
      <c r="B235" s="1778"/>
      <c r="C235" s="1267" t="s">
        <v>327</v>
      </c>
      <c r="D235" s="56">
        <f ca="1"/>
        <v>0</v>
      </c>
      <c r="E235" s="56">
        <f ca="1"/>
        <v>0</v>
      </c>
      <c r="F235" s="56">
        <f ca="1"/>
        <v>0</v>
      </c>
      <c r="G235" s="56">
        <f ca="1"/>
        <v>0</v>
      </c>
      <c r="H235" s="56">
        <f ca="1"/>
        <v>0</v>
      </c>
      <c r="I235" s="56">
        <f ca="1"/>
        <v>0</v>
      </c>
      <c r="J235" s="56">
        <f ca="1"/>
        <v>0</v>
      </c>
      <c r="K235" s="56">
        <f ca="1"/>
        <v>0</v>
      </c>
      <c r="L235" s="56">
        <f ca="1"/>
        <v>0</v>
      </c>
      <c r="M235" s="57">
        <f ca="1"/>
        <v>50</v>
      </c>
      <c r="N235" s="57">
        <f ca="1"/>
        <v>0</v>
      </c>
      <c r="O235" s="57">
        <f ca="1"/>
        <v>0</v>
      </c>
      <c r="P235" s="56">
        <f ca="1"/>
        <v>0</v>
      </c>
      <c r="Q235" s="58">
        <f ca="1"/>
        <v>0</v>
      </c>
      <c r="R235" s="57">
        <f ca="1"/>
        <v>0</v>
      </c>
      <c r="S235" s="57">
        <f ca="1"/>
        <v>0</v>
      </c>
      <c r="T235" s="57">
        <f ca="1"/>
        <v>0</v>
      </c>
      <c r="U235" s="57">
        <f ca="1"/>
        <v>0</v>
      </c>
      <c r="V235" s="57">
        <f ca="1"/>
        <v>0</v>
      </c>
      <c r="W235" s="57">
        <f ca="1"/>
        <v>0</v>
      </c>
      <c r="X235" s="57">
        <f ca="1"/>
        <v>0</v>
      </c>
      <c r="Y235" s="57">
        <f ca="1"/>
        <v>0</v>
      </c>
      <c r="Z235" s="57">
        <f ca="1"/>
        <v>0</v>
      </c>
      <c r="AA235" s="59">
        <f ca="1"/>
        <v>0</v>
      </c>
      <c r="AB235" s="14"/>
    </row>
    <row r="236" spans="1:28" s="10" customFormat="1" ht="15" hidden="1" customHeight="1" x14ac:dyDescent="0.45">
      <c r="A236" s="1785" t="s">
        <v>612</v>
      </c>
      <c r="B236" s="1773" t="s">
        <v>325</v>
      </c>
      <c r="C236" s="1268" t="s">
        <v>326</v>
      </c>
      <c r="D236" s="40">
        <f t="array" aca="1" ref="D236:AA249" ca="1">IF(IFERROR(FIND("filler", plan_duration_secondary),0)&gt;0, final_adjusted_session_durations, plan_duration_secondary)</f>
        <v>0</v>
      </c>
      <c r="E236" s="40">
        <f ca="1"/>
        <v>0</v>
      </c>
      <c r="F236" s="40">
        <f ca="1"/>
        <v>0</v>
      </c>
      <c r="G236" s="40">
        <f ca="1"/>
        <v>0</v>
      </c>
      <c r="H236" s="40">
        <f ca="1"/>
        <v>0</v>
      </c>
      <c r="I236" s="40">
        <f ca="1"/>
        <v>0</v>
      </c>
      <c r="J236" s="40">
        <f ca="1"/>
        <v>0</v>
      </c>
      <c r="K236" s="40">
        <f ca="1"/>
        <v>0</v>
      </c>
      <c r="L236" s="40">
        <f ca="1"/>
        <v>0</v>
      </c>
      <c r="M236" s="41">
        <f ca="1"/>
        <v>0</v>
      </c>
      <c r="N236" s="41">
        <f ca="1"/>
        <v>0</v>
      </c>
      <c r="O236" s="41">
        <f ca="1"/>
        <v>0</v>
      </c>
      <c r="P236" s="40">
        <f ca="1"/>
        <v>0</v>
      </c>
      <c r="Q236" s="40">
        <f ca="1"/>
        <v>0</v>
      </c>
      <c r="R236" s="42">
        <f ca="1"/>
        <v>0</v>
      </c>
      <c r="S236" s="41">
        <f ca="1"/>
        <v>0</v>
      </c>
      <c r="T236" s="41">
        <f ca="1"/>
        <v>0</v>
      </c>
      <c r="U236" s="41">
        <f ca="1"/>
        <v>0</v>
      </c>
      <c r="V236" s="41">
        <f ca="1"/>
        <v>0</v>
      </c>
      <c r="W236" s="41">
        <f ca="1"/>
        <v>0</v>
      </c>
      <c r="X236" s="41">
        <f ca="1"/>
        <v>0</v>
      </c>
      <c r="Y236" s="41">
        <f ca="1"/>
        <v>0</v>
      </c>
      <c r="Z236" s="41">
        <f ca="1"/>
        <v>0</v>
      </c>
      <c r="AA236" s="43">
        <f ca="1"/>
        <v>0</v>
      </c>
      <c r="AB236" s="14"/>
    </row>
    <row r="237" spans="1:28" s="10" customFormat="1" ht="15" hidden="1" customHeight="1" x14ac:dyDescent="0.45">
      <c r="A237" s="1786"/>
      <c r="B237" s="1774"/>
      <c r="C237" s="1265" t="s">
        <v>327</v>
      </c>
      <c r="D237" s="44">
        <f ca="1"/>
        <v>30</v>
      </c>
      <c r="E237" s="44">
        <f ca="1"/>
        <v>30</v>
      </c>
      <c r="F237" s="44">
        <f ca="1"/>
        <v>30</v>
      </c>
      <c r="G237" s="44">
        <f ca="1"/>
        <v>30</v>
      </c>
      <c r="H237" s="44">
        <f ca="1"/>
        <v>30</v>
      </c>
      <c r="I237" s="44">
        <f ca="1"/>
        <v>30</v>
      </c>
      <c r="J237" s="44">
        <f ca="1"/>
        <v>30</v>
      </c>
      <c r="K237" s="44">
        <f ca="1"/>
        <v>30</v>
      </c>
      <c r="L237" s="44">
        <f ca="1"/>
        <v>30</v>
      </c>
      <c r="M237" s="44">
        <f ca="1"/>
        <v>0</v>
      </c>
      <c r="N237" s="44">
        <f ca="1"/>
        <v>0</v>
      </c>
      <c r="O237" s="44">
        <f ca="1"/>
        <v>30</v>
      </c>
      <c r="P237" s="44">
        <f ca="1"/>
        <v>30</v>
      </c>
      <c r="Q237" s="44">
        <f ca="1"/>
        <v>30</v>
      </c>
      <c r="R237" s="44">
        <f ca="1"/>
        <v>30</v>
      </c>
      <c r="S237" s="44">
        <f ca="1"/>
        <v>30</v>
      </c>
      <c r="T237" s="44">
        <f ca="1"/>
        <v>30</v>
      </c>
      <c r="U237" s="44">
        <f ca="1"/>
        <v>30</v>
      </c>
      <c r="V237" s="44">
        <f ca="1"/>
        <v>0</v>
      </c>
      <c r="W237" s="44">
        <f ca="1"/>
        <v>0</v>
      </c>
      <c r="X237" s="45">
        <f ca="1"/>
        <v>0</v>
      </c>
      <c r="Y237" s="45">
        <f ca="1"/>
        <v>0</v>
      </c>
      <c r="Z237" s="45">
        <f ca="1"/>
        <v>0</v>
      </c>
      <c r="AA237" s="46">
        <f ca="1"/>
        <v>0</v>
      </c>
      <c r="AB237" s="14"/>
    </row>
    <row r="238" spans="1:28" s="10" customFormat="1" ht="15" hidden="1" customHeight="1" x14ac:dyDescent="0.45">
      <c r="A238" s="1786"/>
      <c r="B238" s="1775" t="s">
        <v>328</v>
      </c>
      <c r="C238" s="1266" t="s">
        <v>326</v>
      </c>
      <c r="D238" s="47">
        <f ca="1"/>
        <v>0</v>
      </c>
      <c r="E238" s="47">
        <f ca="1"/>
        <v>0</v>
      </c>
      <c r="F238" s="47">
        <f ca="1"/>
        <v>0</v>
      </c>
      <c r="G238" s="47">
        <f ca="1"/>
        <v>0</v>
      </c>
      <c r="H238" s="47">
        <f ca="1"/>
        <v>0</v>
      </c>
      <c r="I238" s="47">
        <f ca="1"/>
        <v>0</v>
      </c>
      <c r="J238" s="47">
        <f ca="1"/>
        <v>0</v>
      </c>
      <c r="K238" s="47">
        <f ca="1"/>
        <v>0</v>
      </c>
      <c r="L238" s="47">
        <f ca="1"/>
        <v>0</v>
      </c>
      <c r="M238" s="47">
        <f ca="1"/>
        <v>0</v>
      </c>
      <c r="N238" s="47">
        <f ca="1"/>
        <v>0</v>
      </c>
      <c r="O238" s="47">
        <f ca="1"/>
        <v>0</v>
      </c>
      <c r="P238" s="47">
        <f ca="1"/>
        <v>0</v>
      </c>
      <c r="Q238" s="47">
        <f ca="1"/>
        <v>0</v>
      </c>
      <c r="R238" s="47">
        <f ca="1"/>
        <v>0</v>
      </c>
      <c r="S238" s="48">
        <f ca="1"/>
        <v>0</v>
      </c>
      <c r="T238" s="48">
        <f ca="1"/>
        <v>0</v>
      </c>
      <c r="U238" s="48">
        <f ca="1"/>
        <v>0</v>
      </c>
      <c r="V238" s="48">
        <f ca="1"/>
        <v>0</v>
      </c>
      <c r="W238" s="48">
        <f ca="1"/>
        <v>0</v>
      </c>
      <c r="X238" s="48">
        <f ca="1"/>
        <v>0</v>
      </c>
      <c r="Y238" s="48">
        <f ca="1"/>
        <v>0</v>
      </c>
      <c r="Z238" s="48">
        <f ca="1"/>
        <v>0</v>
      </c>
      <c r="AA238" s="50">
        <f ca="1"/>
        <v>0</v>
      </c>
      <c r="AB238" s="14"/>
    </row>
    <row r="239" spans="1:28" s="10" customFormat="1" ht="15" hidden="1" customHeight="1" x14ac:dyDescent="0.45">
      <c r="A239" s="1786"/>
      <c r="B239" s="1776"/>
      <c r="C239" s="1266" t="s">
        <v>327</v>
      </c>
      <c r="D239" s="47">
        <f ca="1"/>
        <v>0</v>
      </c>
      <c r="E239" s="47">
        <f ca="1"/>
        <v>0</v>
      </c>
      <c r="F239" s="47">
        <f ca="1"/>
        <v>0</v>
      </c>
      <c r="G239" s="47">
        <f ca="1"/>
        <v>0</v>
      </c>
      <c r="H239" s="47">
        <f ca="1"/>
        <v>0</v>
      </c>
      <c r="I239" s="47">
        <f ca="1"/>
        <v>0</v>
      </c>
      <c r="J239" s="47">
        <f ca="1"/>
        <v>0</v>
      </c>
      <c r="K239" s="47">
        <f ca="1"/>
        <v>0</v>
      </c>
      <c r="L239" s="47">
        <f ca="1"/>
        <v>0</v>
      </c>
      <c r="M239" s="47">
        <f ca="1"/>
        <v>0</v>
      </c>
      <c r="N239" s="47">
        <f ca="1"/>
        <v>0</v>
      </c>
      <c r="O239" s="47">
        <f ca="1"/>
        <v>0</v>
      </c>
      <c r="P239" s="47">
        <f ca="1"/>
        <v>0</v>
      </c>
      <c r="Q239" s="47">
        <f ca="1"/>
        <v>0</v>
      </c>
      <c r="R239" s="47">
        <f ca="1"/>
        <v>0</v>
      </c>
      <c r="S239" s="49">
        <f ca="1"/>
        <v>0</v>
      </c>
      <c r="T239" s="49">
        <f ca="1"/>
        <v>0</v>
      </c>
      <c r="U239" s="49">
        <f ca="1"/>
        <v>0</v>
      </c>
      <c r="V239" s="49">
        <f ca="1"/>
        <v>0</v>
      </c>
      <c r="W239" s="49">
        <f ca="1"/>
        <v>0</v>
      </c>
      <c r="X239" s="48">
        <f ca="1"/>
        <v>0</v>
      </c>
      <c r="Y239" s="48">
        <f ca="1"/>
        <v>0</v>
      </c>
      <c r="Z239" s="48">
        <f ca="1"/>
        <v>0</v>
      </c>
      <c r="AA239" s="50">
        <f ca="1"/>
        <v>0</v>
      </c>
      <c r="AB239" s="14"/>
    </row>
    <row r="240" spans="1:28" s="10" customFormat="1" ht="15" hidden="1" customHeight="1" x14ac:dyDescent="0.45">
      <c r="A240" s="1786"/>
      <c r="B240" s="1777" t="s">
        <v>329</v>
      </c>
      <c r="C240" s="1235" t="s">
        <v>326</v>
      </c>
      <c r="D240" s="51">
        <f ca="1"/>
        <v>0</v>
      </c>
      <c r="E240" s="51">
        <f ca="1"/>
        <v>0</v>
      </c>
      <c r="F240" s="51">
        <f ca="1"/>
        <v>0</v>
      </c>
      <c r="G240" s="51">
        <f ca="1"/>
        <v>0</v>
      </c>
      <c r="H240" s="51">
        <f ca="1"/>
        <v>0</v>
      </c>
      <c r="I240" s="51">
        <f ca="1"/>
        <v>0</v>
      </c>
      <c r="J240" s="51">
        <f ca="1"/>
        <v>0</v>
      </c>
      <c r="K240" s="51">
        <f ca="1"/>
        <v>0</v>
      </c>
      <c r="L240" s="51">
        <f ca="1"/>
        <v>0</v>
      </c>
      <c r="M240" s="52">
        <f ca="1"/>
        <v>0</v>
      </c>
      <c r="N240" s="52">
        <f ca="1"/>
        <v>0</v>
      </c>
      <c r="O240" s="52">
        <f ca="1"/>
        <v>0</v>
      </c>
      <c r="P240" s="51">
        <f ca="1"/>
        <v>0</v>
      </c>
      <c r="Q240" s="51">
        <f ca="1"/>
        <v>0</v>
      </c>
      <c r="R240" s="53">
        <f ca="1"/>
        <v>0</v>
      </c>
      <c r="S240" s="52">
        <f ca="1"/>
        <v>0</v>
      </c>
      <c r="T240" s="52">
        <f ca="1"/>
        <v>0</v>
      </c>
      <c r="U240" s="52">
        <f ca="1"/>
        <v>0</v>
      </c>
      <c r="V240" s="52">
        <f ca="1"/>
        <v>0</v>
      </c>
      <c r="W240" s="52">
        <f ca="1"/>
        <v>0</v>
      </c>
      <c r="X240" s="52">
        <f ca="1"/>
        <v>0</v>
      </c>
      <c r="Y240" s="52">
        <f ca="1"/>
        <v>0</v>
      </c>
      <c r="Z240" s="52">
        <f ca="1"/>
        <v>0</v>
      </c>
      <c r="AA240" s="54">
        <f ca="1"/>
        <v>0</v>
      </c>
      <c r="AB240" s="14"/>
    </row>
    <row r="241" spans="1:28" s="10" customFormat="1" ht="15" hidden="1" customHeight="1" x14ac:dyDescent="0.45">
      <c r="A241" s="1786"/>
      <c r="B241" s="1774"/>
      <c r="C241" s="1265" t="s">
        <v>327</v>
      </c>
      <c r="D241" s="44">
        <f ca="1"/>
        <v>0</v>
      </c>
      <c r="E241" s="44">
        <f ca="1"/>
        <v>0</v>
      </c>
      <c r="F241" s="44">
        <f ca="1"/>
        <v>0</v>
      </c>
      <c r="G241" s="44">
        <f ca="1"/>
        <v>0</v>
      </c>
      <c r="H241" s="44">
        <f ca="1"/>
        <v>0</v>
      </c>
      <c r="I241" s="44">
        <f ca="1"/>
        <v>0</v>
      </c>
      <c r="J241" s="44">
        <f ca="1"/>
        <v>0</v>
      </c>
      <c r="K241" s="44">
        <f ca="1"/>
        <v>0</v>
      </c>
      <c r="L241" s="44">
        <f ca="1"/>
        <v>0</v>
      </c>
      <c r="M241" s="44">
        <f ca="1"/>
        <v>0</v>
      </c>
      <c r="N241" s="44">
        <f ca="1"/>
        <v>0</v>
      </c>
      <c r="O241" s="44">
        <f ca="1"/>
        <v>0</v>
      </c>
      <c r="P241" s="44">
        <f ca="1"/>
        <v>0</v>
      </c>
      <c r="Q241" s="44">
        <f ca="1"/>
        <v>0</v>
      </c>
      <c r="R241" s="44">
        <f ca="1"/>
        <v>0</v>
      </c>
      <c r="S241" s="44">
        <f ca="1"/>
        <v>0</v>
      </c>
      <c r="T241" s="44">
        <f ca="1"/>
        <v>0</v>
      </c>
      <c r="U241" s="44">
        <f ca="1"/>
        <v>0</v>
      </c>
      <c r="V241" s="44">
        <f ca="1"/>
        <v>45</v>
      </c>
      <c r="W241" s="44">
        <f ca="1"/>
        <v>0</v>
      </c>
      <c r="X241" s="45">
        <f ca="1"/>
        <v>0</v>
      </c>
      <c r="Y241" s="45">
        <f ca="1"/>
        <v>0</v>
      </c>
      <c r="Z241" s="45">
        <f ca="1"/>
        <v>0</v>
      </c>
      <c r="AA241" s="46">
        <f ca="1"/>
        <v>0</v>
      </c>
      <c r="AB241" s="14"/>
    </row>
    <row r="242" spans="1:28" s="10" customFormat="1" ht="15" hidden="1" customHeight="1" x14ac:dyDescent="0.45">
      <c r="A242" s="1786"/>
      <c r="B242" s="1775" t="s">
        <v>330</v>
      </c>
      <c r="C242" s="1266" t="s">
        <v>326</v>
      </c>
      <c r="D242" s="47">
        <f ca="1"/>
        <v>0</v>
      </c>
      <c r="E242" s="47">
        <f ca="1"/>
        <v>0</v>
      </c>
      <c r="F242" s="47">
        <f ca="1"/>
        <v>0</v>
      </c>
      <c r="G242" s="47">
        <f ca="1"/>
        <v>0</v>
      </c>
      <c r="H242" s="47">
        <f ca="1"/>
        <v>0</v>
      </c>
      <c r="I242" s="47">
        <f ca="1"/>
        <v>0</v>
      </c>
      <c r="J242" s="47">
        <f ca="1"/>
        <v>0</v>
      </c>
      <c r="K242" s="47">
        <f ca="1"/>
        <v>0</v>
      </c>
      <c r="L242" s="47">
        <f ca="1"/>
        <v>0</v>
      </c>
      <c r="M242" s="47">
        <f ca="1"/>
        <v>0</v>
      </c>
      <c r="N242" s="47">
        <f ca="1"/>
        <v>0</v>
      </c>
      <c r="O242" s="47">
        <f ca="1"/>
        <v>0</v>
      </c>
      <c r="P242" s="47">
        <f ca="1"/>
        <v>0</v>
      </c>
      <c r="Q242" s="47">
        <f ca="1"/>
        <v>0</v>
      </c>
      <c r="R242" s="47">
        <f ca="1"/>
        <v>0</v>
      </c>
      <c r="S242" s="48">
        <f ca="1"/>
        <v>0</v>
      </c>
      <c r="T242" s="48">
        <f ca="1"/>
        <v>0</v>
      </c>
      <c r="U242" s="48">
        <f ca="1"/>
        <v>0</v>
      </c>
      <c r="V242" s="48">
        <f ca="1"/>
        <v>0</v>
      </c>
      <c r="W242" s="48">
        <f ca="1"/>
        <v>0</v>
      </c>
      <c r="X242" s="48">
        <f ca="1"/>
        <v>0</v>
      </c>
      <c r="Y242" s="48">
        <f ca="1"/>
        <v>0</v>
      </c>
      <c r="Z242" s="48">
        <f ca="1"/>
        <v>0</v>
      </c>
      <c r="AA242" s="50">
        <f ca="1"/>
        <v>0</v>
      </c>
      <c r="AB242" s="14"/>
    </row>
    <row r="243" spans="1:28" s="10" customFormat="1" ht="15" hidden="1" customHeight="1" x14ac:dyDescent="0.45">
      <c r="A243" s="1786"/>
      <c r="B243" s="1776"/>
      <c r="C243" s="1266" t="s">
        <v>327</v>
      </c>
      <c r="D243" s="47">
        <f ca="1"/>
        <v>0</v>
      </c>
      <c r="E243" s="47">
        <f ca="1"/>
        <v>0</v>
      </c>
      <c r="F243" s="47">
        <f ca="1"/>
        <v>0</v>
      </c>
      <c r="G243" s="47">
        <f ca="1"/>
        <v>0</v>
      </c>
      <c r="H243" s="47">
        <f ca="1"/>
        <v>0</v>
      </c>
      <c r="I243" s="47">
        <f ca="1"/>
        <v>0</v>
      </c>
      <c r="J243" s="47">
        <f ca="1"/>
        <v>0</v>
      </c>
      <c r="K243" s="47">
        <f ca="1"/>
        <v>0</v>
      </c>
      <c r="L243" s="47">
        <f ca="1"/>
        <v>0</v>
      </c>
      <c r="M243" s="47">
        <f ca="1"/>
        <v>0</v>
      </c>
      <c r="N243" s="47">
        <f ca="1"/>
        <v>0</v>
      </c>
      <c r="O243" s="49">
        <f ca="1"/>
        <v>0</v>
      </c>
      <c r="P243" s="47">
        <f ca="1"/>
        <v>0</v>
      </c>
      <c r="Q243" s="47">
        <f ca="1"/>
        <v>0</v>
      </c>
      <c r="R243" s="47">
        <f ca="1"/>
        <v>0</v>
      </c>
      <c r="S243" s="49">
        <f ca="1"/>
        <v>0</v>
      </c>
      <c r="T243" s="49">
        <f ca="1"/>
        <v>0</v>
      </c>
      <c r="U243" s="49">
        <f ca="1"/>
        <v>0</v>
      </c>
      <c r="V243" s="49">
        <f ca="1"/>
        <v>0</v>
      </c>
      <c r="W243" s="49">
        <f ca="1"/>
        <v>0</v>
      </c>
      <c r="X243" s="48">
        <f ca="1"/>
        <v>0</v>
      </c>
      <c r="Y243" s="48">
        <f ca="1"/>
        <v>0</v>
      </c>
      <c r="Z243" s="48">
        <f ca="1"/>
        <v>0</v>
      </c>
      <c r="AA243" s="50">
        <f ca="1"/>
        <v>0</v>
      </c>
      <c r="AB243" s="14"/>
    </row>
    <row r="244" spans="1:28" s="10" customFormat="1" ht="15" hidden="1" customHeight="1" x14ac:dyDescent="0.45">
      <c r="A244" s="1786"/>
      <c r="B244" s="1777" t="s">
        <v>331</v>
      </c>
      <c r="C244" s="1235" t="s">
        <v>326</v>
      </c>
      <c r="D244" s="51">
        <f ca="1"/>
        <v>0</v>
      </c>
      <c r="E244" s="51">
        <f ca="1"/>
        <v>0</v>
      </c>
      <c r="F244" s="51">
        <f ca="1"/>
        <v>0</v>
      </c>
      <c r="G244" s="51">
        <f ca="1"/>
        <v>0</v>
      </c>
      <c r="H244" s="51">
        <f ca="1"/>
        <v>0</v>
      </c>
      <c r="I244" s="51">
        <f ca="1"/>
        <v>0</v>
      </c>
      <c r="J244" s="51">
        <f ca="1"/>
        <v>0</v>
      </c>
      <c r="K244" s="51">
        <f ca="1"/>
        <v>0</v>
      </c>
      <c r="L244" s="51">
        <f ca="1"/>
        <v>5</v>
      </c>
      <c r="M244" s="52">
        <f ca="1"/>
        <v>0</v>
      </c>
      <c r="N244" s="52">
        <f ca="1"/>
        <v>0</v>
      </c>
      <c r="O244" s="52">
        <f ca="1"/>
        <v>0</v>
      </c>
      <c r="P244" s="51">
        <f ca="1"/>
        <v>0</v>
      </c>
      <c r="Q244" s="51">
        <f ca="1"/>
        <v>0</v>
      </c>
      <c r="R244" s="53">
        <f ca="1"/>
        <v>0</v>
      </c>
      <c r="S244" s="52">
        <f ca="1"/>
        <v>0</v>
      </c>
      <c r="T244" s="52">
        <f ca="1"/>
        <v>0</v>
      </c>
      <c r="U244" s="52">
        <f ca="1"/>
        <v>0</v>
      </c>
      <c r="V244" s="52">
        <f ca="1"/>
        <v>0</v>
      </c>
      <c r="W244" s="52">
        <f ca="1"/>
        <v>0</v>
      </c>
      <c r="X244" s="52">
        <f ca="1"/>
        <v>0</v>
      </c>
      <c r="Y244" s="52">
        <f ca="1"/>
        <v>0</v>
      </c>
      <c r="Z244" s="52">
        <f ca="1"/>
        <v>0</v>
      </c>
      <c r="AA244" s="54">
        <f ca="1"/>
        <v>0</v>
      </c>
      <c r="AB244" s="14"/>
    </row>
    <row r="245" spans="1:28" s="10" customFormat="1" ht="15" hidden="1" customHeight="1" x14ac:dyDescent="0.45">
      <c r="A245" s="1786"/>
      <c r="B245" s="1774"/>
      <c r="C245" s="1265" t="s">
        <v>327</v>
      </c>
      <c r="D245" s="44">
        <f ca="1"/>
        <v>30</v>
      </c>
      <c r="E245" s="44">
        <f ca="1"/>
        <v>30</v>
      </c>
      <c r="F245" s="44">
        <f ca="1"/>
        <v>30</v>
      </c>
      <c r="G245" s="44">
        <f ca="1"/>
        <v>30</v>
      </c>
      <c r="H245" s="44">
        <f ca="1"/>
        <v>30</v>
      </c>
      <c r="I245" s="44">
        <f ca="1"/>
        <v>30</v>
      </c>
      <c r="J245" s="44">
        <f ca="1"/>
        <v>30</v>
      </c>
      <c r="K245" s="44">
        <f ca="1"/>
        <v>30</v>
      </c>
      <c r="L245" s="44">
        <f ca="1"/>
        <v>0</v>
      </c>
      <c r="M245" s="44">
        <f ca="1"/>
        <v>0</v>
      </c>
      <c r="N245" s="44">
        <f ca="1"/>
        <v>0</v>
      </c>
      <c r="O245" s="44">
        <f ca="1"/>
        <v>30</v>
      </c>
      <c r="P245" s="44">
        <f ca="1"/>
        <v>30</v>
      </c>
      <c r="Q245" s="44">
        <f ca="1"/>
        <v>30</v>
      </c>
      <c r="R245" s="44">
        <f ca="1"/>
        <v>30</v>
      </c>
      <c r="S245" s="44">
        <f ca="1"/>
        <v>30</v>
      </c>
      <c r="T245" s="44">
        <f ca="1"/>
        <v>0</v>
      </c>
      <c r="U245" s="44">
        <f ca="1"/>
        <v>30</v>
      </c>
      <c r="V245" s="44">
        <f ca="1"/>
        <v>0</v>
      </c>
      <c r="W245" s="44">
        <f ca="1"/>
        <v>0</v>
      </c>
      <c r="X245" s="45">
        <f ca="1"/>
        <v>0</v>
      </c>
      <c r="Y245" s="45">
        <f ca="1"/>
        <v>0</v>
      </c>
      <c r="Z245" s="45">
        <f ca="1"/>
        <v>0</v>
      </c>
      <c r="AA245" s="46">
        <f ca="1"/>
        <v>0</v>
      </c>
      <c r="AB245" s="14"/>
    </row>
    <row r="246" spans="1:28" s="10" customFormat="1" ht="15" hidden="1" customHeight="1" x14ac:dyDescent="0.45">
      <c r="A246" s="1786"/>
      <c r="B246" s="1775" t="s">
        <v>332</v>
      </c>
      <c r="C246" s="1266" t="s">
        <v>326</v>
      </c>
      <c r="D246" s="47">
        <f ca="1"/>
        <v>0</v>
      </c>
      <c r="E246" s="47">
        <f ca="1"/>
        <v>0</v>
      </c>
      <c r="F246" s="47">
        <f ca="1"/>
        <v>0</v>
      </c>
      <c r="G246" s="47">
        <f ca="1"/>
        <v>35</v>
      </c>
      <c r="H246" s="47">
        <f ca="1"/>
        <v>40</v>
      </c>
      <c r="I246" s="47">
        <f ca="1"/>
        <v>0</v>
      </c>
      <c r="J246" s="47">
        <f ca="1"/>
        <v>30</v>
      </c>
      <c r="K246" s="47">
        <f ca="1"/>
        <v>25</v>
      </c>
      <c r="L246" s="47">
        <f ca="1"/>
        <v>0</v>
      </c>
      <c r="M246" s="47">
        <f ca="1"/>
        <v>0</v>
      </c>
      <c r="N246" s="47">
        <f ca="1"/>
        <v>0</v>
      </c>
      <c r="O246" s="47">
        <f ca="1"/>
        <v>0</v>
      </c>
      <c r="P246" s="47">
        <f ca="1"/>
        <v>0</v>
      </c>
      <c r="Q246" s="47">
        <f ca="1"/>
        <v>0</v>
      </c>
      <c r="R246" s="47">
        <f ca="1"/>
        <v>0</v>
      </c>
      <c r="S246" s="48">
        <f ca="1"/>
        <v>0</v>
      </c>
      <c r="T246" s="48">
        <f ca="1"/>
        <v>0</v>
      </c>
      <c r="U246" s="48">
        <f ca="1"/>
        <v>0</v>
      </c>
      <c r="V246" s="48">
        <f ca="1"/>
        <v>0</v>
      </c>
      <c r="W246" s="48">
        <f ca="1"/>
        <v>0</v>
      </c>
      <c r="X246" s="48">
        <f ca="1"/>
        <v>0</v>
      </c>
      <c r="Y246" s="48">
        <f ca="1"/>
        <v>0</v>
      </c>
      <c r="Z246" s="48">
        <f ca="1"/>
        <v>0</v>
      </c>
      <c r="AA246" s="50">
        <f ca="1"/>
        <v>0</v>
      </c>
      <c r="AB246" s="14"/>
    </row>
    <row r="247" spans="1:28" s="10" customFormat="1" ht="15" hidden="1" customHeight="1" x14ac:dyDescent="0.45">
      <c r="A247" s="1786"/>
      <c r="B247" s="1776"/>
      <c r="C247" s="1266" t="s">
        <v>327</v>
      </c>
      <c r="D247" s="47">
        <f ca="1"/>
        <v>0</v>
      </c>
      <c r="E247" s="47">
        <f ca="1"/>
        <v>0</v>
      </c>
      <c r="F247" s="47">
        <f ca="1"/>
        <v>0</v>
      </c>
      <c r="G247" s="47">
        <f ca="1"/>
        <v>0</v>
      </c>
      <c r="H247" s="47">
        <f ca="1"/>
        <v>0</v>
      </c>
      <c r="I247" s="47">
        <f ca="1"/>
        <v>0</v>
      </c>
      <c r="J247" s="47">
        <f ca="1"/>
        <v>0</v>
      </c>
      <c r="K247" s="47">
        <f ca="1"/>
        <v>0</v>
      </c>
      <c r="L247" s="47">
        <f ca="1"/>
        <v>0</v>
      </c>
      <c r="M247" s="47">
        <f ca="1"/>
        <v>0</v>
      </c>
      <c r="N247" s="47">
        <f ca="1"/>
        <v>0</v>
      </c>
      <c r="O247" s="47">
        <f ca="1"/>
        <v>0</v>
      </c>
      <c r="P247" s="47">
        <f ca="1"/>
        <v>0</v>
      </c>
      <c r="Q247" s="47">
        <f ca="1"/>
        <v>0</v>
      </c>
      <c r="R247" s="47">
        <f ca="1"/>
        <v>0</v>
      </c>
      <c r="S247" s="49">
        <f ca="1"/>
        <v>0</v>
      </c>
      <c r="T247" s="49">
        <f ca="1"/>
        <v>0</v>
      </c>
      <c r="U247" s="49">
        <f ca="1"/>
        <v>0</v>
      </c>
      <c r="V247" s="49">
        <f ca="1"/>
        <v>0</v>
      </c>
      <c r="W247" s="49">
        <f ca="1"/>
        <v>0</v>
      </c>
      <c r="X247" s="48">
        <f ca="1"/>
        <v>0</v>
      </c>
      <c r="Y247" s="48">
        <f ca="1"/>
        <v>0</v>
      </c>
      <c r="Z247" s="48">
        <f ca="1"/>
        <v>0</v>
      </c>
      <c r="AA247" s="50">
        <f ca="1"/>
        <v>0</v>
      </c>
      <c r="AB247" s="14"/>
    </row>
    <row r="248" spans="1:28" s="10" customFormat="1" ht="15" hidden="1" customHeight="1" x14ac:dyDescent="0.45">
      <c r="A248" s="1786"/>
      <c r="B248" s="1777" t="s">
        <v>333</v>
      </c>
      <c r="C248" s="1265" t="s">
        <v>326</v>
      </c>
      <c r="D248" s="44">
        <f ca="1"/>
        <v>0</v>
      </c>
      <c r="E248" s="44">
        <f ca="1"/>
        <v>0</v>
      </c>
      <c r="F248" s="44">
        <f ca="1"/>
        <v>0</v>
      </c>
      <c r="G248" s="44">
        <f ca="1"/>
        <v>0</v>
      </c>
      <c r="H248" s="44">
        <f ca="1"/>
        <v>0</v>
      </c>
      <c r="I248" s="44">
        <f ca="1"/>
        <v>0</v>
      </c>
      <c r="J248" s="44">
        <f ca="1"/>
        <v>0</v>
      </c>
      <c r="K248" s="44">
        <f ca="1"/>
        <v>0</v>
      </c>
      <c r="L248" s="44">
        <f ca="1"/>
        <v>0</v>
      </c>
      <c r="M248" s="45">
        <f ca="1"/>
        <v>0</v>
      </c>
      <c r="N248" s="45">
        <f ca="1"/>
        <v>0</v>
      </c>
      <c r="O248" s="45">
        <f ca="1"/>
        <v>0</v>
      </c>
      <c r="P248" s="44">
        <f ca="1"/>
        <v>0</v>
      </c>
      <c r="Q248" s="44">
        <f ca="1"/>
        <v>0</v>
      </c>
      <c r="R248" s="55">
        <f ca="1"/>
        <v>0</v>
      </c>
      <c r="S248" s="45">
        <f ca="1"/>
        <v>0</v>
      </c>
      <c r="T248" s="45">
        <f ca="1"/>
        <v>0</v>
      </c>
      <c r="U248" s="45">
        <f ca="1"/>
        <v>0</v>
      </c>
      <c r="V248" s="45">
        <f ca="1"/>
        <v>0</v>
      </c>
      <c r="W248" s="45">
        <f ca="1"/>
        <v>0</v>
      </c>
      <c r="X248" s="45">
        <f ca="1"/>
        <v>0</v>
      </c>
      <c r="Y248" s="45">
        <f ca="1"/>
        <v>0</v>
      </c>
      <c r="Z248" s="45">
        <f ca="1"/>
        <v>0</v>
      </c>
      <c r="AA248" s="46">
        <f ca="1"/>
        <v>0</v>
      </c>
      <c r="AB248" s="14"/>
    </row>
    <row r="249" spans="1:28" s="10" customFormat="1" ht="15" hidden="1" customHeight="1" x14ac:dyDescent="0.45">
      <c r="A249" s="1787"/>
      <c r="B249" s="1778"/>
      <c r="C249" s="1267" t="s">
        <v>327</v>
      </c>
      <c r="D249" s="56">
        <f ca="1"/>
        <v>0</v>
      </c>
      <c r="E249" s="56">
        <f ca="1"/>
        <v>0</v>
      </c>
      <c r="F249" s="56">
        <f ca="1"/>
        <v>0</v>
      </c>
      <c r="G249" s="56">
        <f ca="1"/>
        <v>0</v>
      </c>
      <c r="H249" s="56">
        <f ca="1"/>
        <v>0</v>
      </c>
      <c r="I249" s="56">
        <f ca="1"/>
        <v>0</v>
      </c>
      <c r="J249" s="56">
        <f ca="1"/>
        <v>0</v>
      </c>
      <c r="K249" s="56">
        <f ca="1"/>
        <v>0</v>
      </c>
      <c r="L249" s="56">
        <f ca="1"/>
        <v>0</v>
      </c>
      <c r="M249" s="57">
        <f ca="1"/>
        <v>0</v>
      </c>
      <c r="N249" s="57">
        <f ca="1"/>
        <v>0</v>
      </c>
      <c r="O249" s="57">
        <f ca="1"/>
        <v>0</v>
      </c>
      <c r="P249" s="56">
        <f ca="1"/>
        <v>0</v>
      </c>
      <c r="Q249" s="56">
        <f ca="1"/>
        <v>0</v>
      </c>
      <c r="R249" s="58">
        <f ca="1"/>
        <v>0</v>
      </c>
      <c r="S249" s="57">
        <f ca="1"/>
        <v>0</v>
      </c>
      <c r="T249" s="57">
        <f ca="1"/>
        <v>0</v>
      </c>
      <c r="U249" s="57">
        <f ca="1"/>
        <v>0</v>
      </c>
      <c r="V249" s="57">
        <f ca="1"/>
        <v>0</v>
      </c>
      <c r="W249" s="57">
        <f ca="1"/>
        <v>0</v>
      </c>
      <c r="X249" s="57">
        <f ca="1"/>
        <v>0</v>
      </c>
      <c r="Y249" s="57">
        <f ca="1"/>
        <v>0</v>
      </c>
      <c r="Z249" s="57">
        <f ca="1"/>
        <v>0</v>
      </c>
      <c r="AA249" s="59">
        <f ca="1"/>
        <v>0</v>
      </c>
      <c r="AB249" s="14"/>
    </row>
    <row r="250" spans="1:28" s="10" customFormat="1" ht="15" hidden="1" customHeight="1" x14ac:dyDescent="0.45">
      <c r="A250" s="1785" t="s">
        <v>614</v>
      </c>
      <c r="B250" s="1773" t="s">
        <v>325</v>
      </c>
      <c r="C250" s="1268" t="s">
        <v>326</v>
      </c>
      <c r="D250" s="40">
        <f t="array" aca="1" ref="D250:AA263" ca="1">IF(IFERROR(FIND("filler", plan_duration_tertiary),0)&gt;0, final_adjusted_session_durations, plan_duration_tertiary)</f>
        <v>0</v>
      </c>
      <c r="E250" s="40">
        <f ca="1"/>
        <v>0</v>
      </c>
      <c r="F250" s="40">
        <f ca="1"/>
        <v>0</v>
      </c>
      <c r="G250" s="40">
        <f ca="1"/>
        <v>0</v>
      </c>
      <c r="H250" s="40">
        <f ca="1"/>
        <v>0</v>
      </c>
      <c r="I250" s="40">
        <f ca="1"/>
        <v>0</v>
      </c>
      <c r="J250" s="40">
        <f ca="1"/>
        <v>0</v>
      </c>
      <c r="K250" s="40">
        <f ca="1"/>
        <v>0</v>
      </c>
      <c r="L250" s="40">
        <f ca="1"/>
        <v>0</v>
      </c>
      <c r="M250" s="41">
        <f ca="1"/>
        <v>0</v>
      </c>
      <c r="N250" s="41">
        <f ca="1"/>
        <v>0</v>
      </c>
      <c r="O250" s="41">
        <f ca="1"/>
        <v>0</v>
      </c>
      <c r="P250" s="41">
        <f ca="1"/>
        <v>0</v>
      </c>
      <c r="Q250" s="42">
        <f ca="1"/>
        <v>0</v>
      </c>
      <c r="R250" s="40">
        <f ca="1"/>
        <v>0</v>
      </c>
      <c r="S250" s="42">
        <f ca="1"/>
        <v>0</v>
      </c>
      <c r="T250" s="41">
        <f ca="1"/>
        <v>0</v>
      </c>
      <c r="U250" s="41">
        <f ca="1"/>
        <v>0</v>
      </c>
      <c r="V250" s="41">
        <f ca="1"/>
        <v>0</v>
      </c>
      <c r="W250" s="41">
        <f ca="1"/>
        <v>0</v>
      </c>
      <c r="X250" s="41">
        <f ca="1"/>
        <v>0</v>
      </c>
      <c r="Y250" s="41">
        <f ca="1"/>
        <v>0</v>
      </c>
      <c r="Z250" s="41">
        <f ca="1"/>
        <v>0</v>
      </c>
      <c r="AA250" s="43">
        <f ca="1"/>
        <v>0</v>
      </c>
      <c r="AB250" s="14"/>
    </row>
    <row r="251" spans="1:28" s="10" customFormat="1" ht="15" hidden="1" customHeight="1" x14ac:dyDescent="0.45">
      <c r="A251" s="1786"/>
      <c r="B251" s="1774"/>
      <c r="C251" s="1265" t="s">
        <v>327</v>
      </c>
      <c r="D251" s="44">
        <f ca="1"/>
        <v>0</v>
      </c>
      <c r="E251" s="44">
        <f ca="1"/>
        <v>0</v>
      </c>
      <c r="F251" s="44">
        <f ca="1"/>
        <v>0</v>
      </c>
      <c r="G251" s="44">
        <f ca="1"/>
        <v>0</v>
      </c>
      <c r="H251" s="44">
        <f ca="1"/>
        <v>0</v>
      </c>
      <c r="I251" s="44">
        <f ca="1"/>
        <v>0</v>
      </c>
      <c r="J251" s="44">
        <f ca="1"/>
        <v>0</v>
      </c>
      <c r="K251" s="44">
        <f ca="1"/>
        <v>0</v>
      </c>
      <c r="L251" s="44">
        <f ca="1"/>
        <v>0</v>
      </c>
      <c r="M251" s="44">
        <f ca="1"/>
        <v>0</v>
      </c>
      <c r="N251" s="44">
        <f ca="1"/>
        <v>0</v>
      </c>
      <c r="O251" s="44">
        <f ca="1"/>
        <v>0</v>
      </c>
      <c r="P251" s="44">
        <f ca="1"/>
        <v>0</v>
      </c>
      <c r="Q251" s="44">
        <f ca="1"/>
        <v>0</v>
      </c>
      <c r="R251" s="44">
        <f ca="1"/>
        <v>0</v>
      </c>
      <c r="S251" s="44">
        <f ca="1"/>
        <v>0</v>
      </c>
      <c r="T251" s="44">
        <f ca="1"/>
        <v>0</v>
      </c>
      <c r="U251" s="44">
        <f ca="1"/>
        <v>0</v>
      </c>
      <c r="V251" s="44">
        <f ca="1"/>
        <v>0</v>
      </c>
      <c r="W251" s="44">
        <f ca="1"/>
        <v>0</v>
      </c>
      <c r="X251" s="45">
        <f ca="1"/>
        <v>0</v>
      </c>
      <c r="Y251" s="45">
        <f ca="1"/>
        <v>0</v>
      </c>
      <c r="Z251" s="45">
        <f ca="1"/>
        <v>0</v>
      </c>
      <c r="AA251" s="46">
        <f ca="1"/>
        <v>0</v>
      </c>
      <c r="AB251" s="14"/>
    </row>
    <row r="252" spans="1:28" s="10" customFormat="1" ht="15" hidden="1" customHeight="1" x14ac:dyDescent="0.45">
      <c r="A252" s="1786"/>
      <c r="B252" s="1775" t="s">
        <v>328</v>
      </c>
      <c r="C252" s="1266" t="s">
        <v>326</v>
      </c>
      <c r="D252" s="47">
        <f ca="1"/>
        <v>0</v>
      </c>
      <c r="E252" s="47">
        <f ca="1"/>
        <v>0</v>
      </c>
      <c r="F252" s="47">
        <f ca="1"/>
        <v>0</v>
      </c>
      <c r="G252" s="47">
        <f ca="1"/>
        <v>0</v>
      </c>
      <c r="H252" s="47">
        <f ca="1"/>
        <v>0</v>
      </c>
      <c r="I252" s="47">
        <f ca="1"/>
        <v>0</v>
      </c>
      <c r="J252" s="47">
        <f ca="1"/>
        <v>0</v>
      </c>
      <c r="K252" s="47">
        <f ca="1"/>
        <v>0</v>
      </c>
      <c r="L252" s="47">
        <f ca="1"/>
        <v>0</v>
      </c>
      <c r="M252" s="47">
        <f ca="1"/>
        <v>0</v>
      </c>
      <c r="N252" s="47">
        <f ca="1"/>
        <v>0</v>
      </c>
      <c r="O252" s="47">
        <f ca="1"/>
        <v>0</v>
      </c>
      <c r="P252" s="48">
        <f ca="1"/>
        <v>0</v>
      </c>
      <c r="Q252" s="49">
        <f ca="1"/>
        <v>0</v>
      </c>
      <c r="R252" s="47">
        <f ca="1"/>
        <v>0</v>
      </c>
      <c r="S252" s="47">
        <f ca="1"/>
        <v>0</v>
      </c>
      <c r="T252" s="48">
        <f ca="1"/>
        <v>0</v>
      </c>
      <c r="U252" s="48">
        <f ca="1"/>
        <v>0</v>
      </c>
      <c r="V252" s="48">
        <f ca="1"/>
        <v>0</v>
      </c>
      <c r="W252" s="48">
        <f ca="1"/>
        <v>0</v>
      </c>
      <c r="X252" s="48">
        <f ca="1"/>
        <v>0</v>
      </c>
      <c r="Y252" s="48">
        <f ca="1"/>
        <v>0</v>
      </c>
      <c r="Z252" s="48">
        <f ca="1"/>
        <v>0</v>
      </c>
      <c r="AA252" s="50">
        <f ca="1"/>
        <v>0</v>
      </c>
      <c r="AB252" s="14"/>
    </row>
    <row r="253" spans="1:28" s="10" customFormat="1" ht="15" hidden="1" customHeight="1" x14ac:dyDescent="0.45">
      <c r="A253" s="1786"/>
      <c r="B253" s="1776"/>
      <c r="C253" s="1266" t="s">
        <v>327</v>
      </c>
      <c r="D253" s="47">
        <f ca="1"/>
        <v>0</v>
      </c>
      <c r="E253" s="47">
        <f ca="1"/>
        <v>0</v>
      </c>
      <c r="F253" s="47">
        <f ca="1"/>
        <v>0</v>
      </c>
      <c r="G253" s="47">
        <f ca="1"/>
        <v>0</v>
      </c>
      <c r="H253" s="47">
        <f ca="1"/>
        <v>0</v>
      </c>
      <c r="I253" s="47">
        <f ca="1"/>
        <v>0</v>
      </c>
      <c r="J253" s="47">
        <f ca="1"/>
        <v>0</v>
      </c>
      <c r="K253" s="47">
        <f ca="1"/>
        <v>0</v>
      </c>
      <c r="L253" s="47">
        <f ca="1"/>
        <v>0</v>
      </c>
      <c r="M253" s="47">
        <f ca="1"/>
        <v>0</v>
      </c>
      <c r="N253" s="47">
        <f ca="1"/>
        <v>0</v>
      </c>
      <c r="O253" s="47">
        <f ca="1"/>
        <v>0</v>
      </c>
      <c r="P253" s="47">
        <f ca="1"/>
        <v>0</v>
      </c>
      <c r="Q253" s="49">
        <f ca="1"/>
        <v>0</v>
      </c>
      <c r="R253" s="47">
        <f ca="1"/>
        <v>0</v>
      </c>
      <c r="S253" s="47">
        <f ca="1"/>
        <v>0</v>
      </c>
      <c r="T253" s="49">
        <f ca="1"/>
        <v>0</v>
      </c>
      <c r="U253" s="49">
        <f ca="1"/>
        <v>0</v>
      </c>
      <c r="V253" s="49">
        <f ca="1"/>
        <v>0</v>
      </c>
      <c r="W253" s="49">
        <f ca="1"/>
        <v>0</v>
      </c>
      <c r="X253" s="48">
        <f ca="1"/>
        <v>0</v>
      </c>
      <c r="Y253" s="48">
        <f ca="1"/>
        <v>0</v>
      </c>
      <c r="Z253" s="48">
        <f ca="1"/>
        <v>0</v>
      </c>
      <c r="AA253" s="50">
        <f ca="1"/>
        <v>0</v>
      </c>
      <c r="AB253" s="14"/>
    </row>
    <row r="254" spans="1:28" s="10" customFormat="1" ht="15" hidden="1" customHeight="1" x14ac:dyDescent="0.45">
      <c r="A254" s="1786"/>
      <c r="B254" s="1777" t="s">
        <v>329</v>
      </c>
      <c r="C254" s="1235" t="s">
        <v>326</v>
      </c>
      <c r="D254" s="51">
        <f ca="1"/>
        <v>0</v>
      </c>
      <c r="E254" s="51">
        <f ca="1"/>
        <v>0</v>
      </c>
      <c r="F254" s="51">
        <f ca="1"/>
        <v>0</v>
      </c>
      <c r="G254" s="51">
        <f ca="1"/>
        <v>0</v>
      </c>
      <c r="H254" s="51">
        <f ca="1"/>
        <v>0</v>
      </c>
      <c r="I254" s="51">
        <f ca="1"/>
        <v>0</v>
      </c>
      <c r="J254" s="51">
        <f ca="1"/>
        <v>0</v>
      </c>
      <c r="K254" s="51">
        <f ca="1"/>
        <v>0</v>
      </c>
      <c r="L254" s="51">
        <f ca="1"/>
        <v>0</v>
      </c>
      <c r="M254" s="52">
        <f ca="1"/>
        <v>0</v>
      </c>
      <c r="N254" s="52">
        <f ca="1"/>
        <v>0</v>
      </c>
      <c r="O254" s="52">
        <f ca="1"/>
        <v>0</v>
      </c>
      <c r="P254" s="52">
        <f ca="1"/>
        <v>0</v>
      </c>
      <c r="Q254" s="53">
        <f ca="1"/>
        <v>0</v>
      </c>
      <c r="R254" s="51">
        <f ca="1"/>
        <v>0</v>
      </c>
      <c r="S254" s="53">
        <f ca="1"/>
        <v>0</v>
      </c>
      <c r="T254" s="52">
        <f ca="1"/>
        <v>0</v>
      </c>
      <c r="U254" s="52">
        <f ca="1"/>
        <v>0</v>
      </c>
      <c r="V254" s="52">
        <f ca="1"/>
        <v>0</v>
      </c>
      <c r="W254" s="52">
        <f ca="1"/>
        <v>0</v>
      </c>
      <c r="X254" s="52">
        <f ca="1"/>
        <v>0</v>
      </c>
      <c r="Y254" s="52">
        <f ca="1"/>
        <v>0</v>
      </c>
      <c r="Z254" s="52">
        <f ca="1"/>
        <v>0</v>
      </c>
      <c r="AA254" s="54">
        <f ca="1"/>
        <v>0</v>
      </c>
      <c r="AB254" s="14"/>
    </row>
    <row r="255" spans="1:28" s="10" customFormat="1" ht="15" hidden="1" customHeight="1" x14ac:dyDescent="0.45">
      <c r="A255" s="1786"/>
      <c r="B255" s="1774"/>
      <c r="C255" s="1265" t="s">
        <v>327</v>
      </c>
      <c r="D255" s="44">
        <f ca="1"/>
        <v>0</v>
      </c>
      <c r="E255" s="44">
        <f ca="1"/>
        <v>0</v>
      </c>
      <c r="F255" s="44">
        <f ca="1"/>
        <v>0</v>
      </c>
      <c r="G255" s="44">
        <f ca="1"/>
        <v>0</v>
      </c>
      <c r="H255" s="44">
        <f ca="1"/>
        <v>0</v>
      </c>
      <c r="I255" s="44">
        <f ca="1"/>
        <v>0</v>
      </c>
      <c r="J255" s="44">
        <f ca="1"/>
        <v>0</v>
      </c>
      <c r="K255" s="44">
        <f ca="1"/>
        <v>0</v>
      </c>
      <c r="L255" s="44">
        <f ca="1"/>
        <v>0</v>
      </c>
      <c r="M255" s="44">
        <f ca="1"/>
        <v>0</v>
      </c>
      <c r="N255" s="44">
        <f ca="1"/>
        <v>0</v>
      </c>
      <c r="O255" s="44">
        <f ca="1"/>
        <v>0</v>
      </c>
      <c r="P255" s="44">
        <f ca="1"/>
        <v>0</v>
      </c>
      <c r="Q255" s="44">
        <f ca="1"/>
        <v>0</v>
      </c>
      <c r="R255" s="44">
        <f ca="1"/>
        <v>0</v>
      </c>
      <c r="S255" s="44">
        <f ca="1"/>
        <v>0</v>
      </c>
      <c r="T255" s="44">
        <f ca="1"/>
        <v>0</v>
      </c>
      <c r="U255" s="44">
        <f ca="1"/>
        <v>0</v>
      </c>
      <c r="V255" s="44">
        <f ca="1"/>
        <v>0</v>
      </c>
      <c r="W255" s="44">
        <f ca="1"/>
        <v>0</v>
      </c>
      <c r="X255" s="45">
        <f ca="1"/>
        <v>0</v>
      </c>
      <c r="Y255" s="45">
        <f ca="1"/>
        <v>0</v>
      </c>
      <c r="Z255" s="45">
        <f ca="1"/>
        <v>0</v>
      </c>
      <c r="AA255" s="46">
        <f ca="1"/>
        <v>0</v>
      </c>
      <c r="AB255" s="14"/>
    </row>
    <row r="256" spans="1:28" s="10" customFormat="1" ht="15" hidden="1" customHeight="1" x14ac:dyDescent="0.45">
      <c r="A256" s="1786"/>
      <c r="B256" s="1775" t="s">
        <v>330</v>
      </c>
      <c r="C256" s="1266" t="s">
        <v>326</v>
      </c>
      <c r="D256" s="47">
        <f ca="1"/>
        <v>0</v>
      </c>
      <c r="E256" s="47">
        <f ca="1"/>
        <v>0</v>
      </c>
      <c r="F256" s="47">
        <f ca="1"/>
        <v>0</v>
      </c>
      <c r="G256" s="47">
        <f ca="1"/>
        <v>0</v>
      </c>
      <c r="H256" s="47">
        <f ca="1"/>
        <v>0</v>
      </c>
      <c r="I256" s="47">
        <f ca="1"/>
        <v>0</v>
      </c>
      <c r="J256" s="47">
        <f ca="1"/>
        <v>0</v>
      </c>
      <c r="K256" s="47">
        <f ca="1"/>
        <v>0</v>
      </c>
      <c r="L256" s="47">
        <f ca="1"/>
        <v>0</v>
      </c>
      <c r="M256" s="47">
        <f ca="1"/>
        <v>0</v>
      </c>
      <c r="N256" s="47">
        <f ca="1"/>
        <v>0</v>
      </c>
      <c r="O256" s="47">
        <f ca="1"/>
        <v>0</v>
      </c>
      <c r="P256" s="48">
        <f ca="1"/>
        <v>0</v>
      </c>
      <c r="Q256" s="49">
        <f ca="1"/>
        <v>0</v>
      </c>
      <c r="R256" s="47">
        <f ca="1"/>
        <v>0</v>
      </c>
      <c r="S256" s="47">
        <f ca="1"/>
        <v>0</v>
      </c>
      <c r="T256" s="48">
        <f ca="1"/>
        <v>0</v>
      </c>
      <c r="U256" s="48">
        <f ca="1"/>
        <v>0</v>
      </c>
      <c r="V256" s="48">
        <f ca="1"/>
        <v>0</v>
      </c>
      <c r="W256" s="48">
        <f ca="1"/>
        <v>0</v>
      </c>
      <c r="X256" s="48">
        <f ca="1"/>
        <v>0</v>
      </c>
      <c r="Y256" s="48">
        <f ca="1"/>
        <v>0</v>
      </c>
      <c r="Z256" s="48">
        <f ca="1"/>
        <v>0</v>
      </c>
      <c r="AA256" s="50">
        <f ca="1"/>
        <v>0</v>
      </c>
      <c r="AB256" s="14"/>
    </row>
    <row r="257" spans="1:28" s="10" customFormat="1" ht="15" hidden="1" customHeight="1" x14ac:dyDescent="0.45">
      <c r="A257" s="1786"/>
      <c r="B257" s="1776"/>
      <c r="C257" s="1266" t="s">
        <v>327</v>
      </c>
      <c r="D257" s="47">
        <f ca="1"/>
        <v>0</v>
      </c>
      <c r="E257" s="47">
        <f ca="1"/>
        <v>0</v>
      </c>
      <c r="F257" s="47">
        <f ca="1"/>
        <v>0</v>
      </c>
      <c r="G257" s="47">
        <f ca="1"/>
        <v>0</v>
      </c>
      <c r="H257" s="47">
        <f ca="1"/>
        <v>0</v>
      </c>
      <c r="I257" s="47">
        <f ca="1"/>
        <v>0</v>
      </c>
      <c r="J257" s="47">
        <f ca="1"/>
        <v>0</v>
      </c>
      <c r="K257" s="47">
        <f ca="1"/>
        <v>0</v>
      </c>
      <c r="L257" s="47">
        <f ca="1"/>
        <v>0</v>
      </c>
      <c r="M257" s="47">
        <f ca="1"/>
        <v>0</v>
      </c>
      <c r="N257" s="47">
        <f ca="1"/>
        <v>0</v>
      </c>
      <c r="O257" s="49">
        <f ca="1"/>
        <v>0</v>
      </c>
      <c r="P257" s="47">
        <f ca="1"/>
        <v>0</v>
      </c>
      <c r="Q257" s="49">
        <f ca="1"/>
        <v>0</v>
      </c>
      <c r="R257" s="47">
        <f ca="1"/>
        <v>0</v>
      </c>
      <c r="S257" s="47">
        <f ca="1"/>
        <v>0</v>
      </c>
      <c r="T257" s="49">
        <f ca="1"/>
        <v>0</v>
      </c>
      <c r="U257" s="49">
        <f ca="1"/>
        <v>0</v>
      </c>
      <c r="V257" s="49">
        <f ca="1"/>
        <v>0</v>
      </c>
      <c r="W257" s="49">
        <f ca="1"/>
        <v>0</v>
      </c>
      <c r="X257" s="48">
        <f ca="1"/>
        <v>0</v>
      </c>
      <c r="Y257" s="48">
        <f ca="1"/>
        <v>0</v>
      </c>
      <c r="Z257" s="48">
        <f ca="1"/>
        <v>0</v>
      </c>
      <c r="AA257" s="50">
        <f ca="1"/>
        <v>0</v>
      </c>
      <c r="AB257" s="14"/>
    </row>
    <row r="258" spans="1:28" s="10" customFormat="1" ht="15" hidden="1" customHeight="1" x14ac:dyDescent="0.45">
      <c r="A258" s="1786"/>
      <c r="B258" s="1777" t="s">
        <v>331</v>
      </c>
      <c r="C258" s="1235" t="s">
        <v>326</v>
      </c>
      <c r="D258" s="51">
        <f ca="1"/>
        <v>0</v>
      </c>
      <c r="E258" s="51">
        <f ca="1"/>
        <v>0</v>
      </c>
      <c r="F258" s="51">
        <f ca="1"/>
        <v>0</v>
      </c>
      <c r="G258" s="51">
        <f ca="1"/>
        <v>0</v>
      </c>
      <c r="H258" s="51">
        <f ca="1"/>
        <v>0</v>
      </c>
      <c r="I258" s="51">
        <f ca="1"/>
        <v>0</v>
      </c>
      <c r="J258" s="51">
        <f ca="1"/>
        <v>0</v>
      </c>
      <c r="K258" s="51">
        <f ca="1"/>
        <v>0</v>
      </c>
      <c r="L258" s="51">
        <f ca="1"/>
        <v>0</v>
      </c>
      <c r="M258" s="52">
        <f ca="1"/>
        <v>0</v>
      </c>
      <c r="N258" s="52">
        <f ca="1"/>
        <v>0</v>
      </c>
      <c r="O258" s="52">
        <f ca="1"/>
        <v>0</v>
      </c>
      <c r="P258" s="52">
        <f ca="1"/>
        <v>0</v>
      </c>
      <c r="Q258" s="53">
        <f ca="1"/>
        <v>0</v>
      </c>
      <c r="R258" s="51">
        <f ca="1"/>
        <v>0</v>
      </c>
      <c r="S258" s="53">
        <f ca="1"/>
        <v>0</v>
      </c>
      <c r="T258" s="52">
        <f ca="1"/>
        <v>0</v>
      </c>
      <c r="U258" s="52">
        <f ca="1"/>
        <v>0</v>
      </c>
      <c r="V258" s="52">
        <f ca="1"/>
        <v>0</v>
      </c>
      <c r="W258" s="52">
        <f ca="1"/>
        <v>0</v>
      </c>
      <c r="X258" s="52">
        <f ca="1"/>
        <v>0</v>
      </c>
      <c r="Y258" s="52">
        <f ca="1"/>
        <v>0</v>
      </c>
      <c r="Z258" s="52">
        <f ca="1"/>
        <v>0</v>
      </c>
      <c r="AA258" s="54">
        <f ca="1"/>
        <v>0</v>
      </c>
      <c r="AB258" s="14"/>
    </row>
    <row r="259" spans="1:28" s="10" customFormat="1" ht="15" hidden="1" customHeight="1" x14ac:dyDescent="0.45">
      <c r="A259" s="1786"/>
      <c r="B259" s="1774"/>
      <c r="C259" s="1265" t="s">
        <v>327</v>
      </c>
      <c r="D259" s="44">
        <f ca="1"/>
        <v>0</v>
      </c>
      <c r="E259" s="44">
        <f ca="1"/>
        <v>0</v>
      </c>
      <c r="F259" s="44">
        <f ca="1"/>
        <v>0</v>
      </c>
      <c r="G259" s="44">
        <f ca="1"/>
        <v>0</v>
      </c>
      <c r="H259" s="44">
        <f ca="1"/>
        <v>0</v>
      </c>
      <c r="I259" s="44">
        <f ca="1"/>
        <v>0</v>
      </c>
      <c r="J259" s="44">
        <f ca="1"/>
        <v>0</v>
      </c>
      <c r="K259" s="44">
        <f ca="1"/>
        <v>0</v>
      </c>
      <c r="L259" s="44">
        <f ca="1"/>
        <v>0</v>
      </c>
      <c r="M259" s="44">
        <f ca="1"/>
        <v>0</v>
      </c>
      <c r="N259" s="44">
        <f ca="1"/>
        <v>0</v>
      </c>
      <c r="O259" s="44">
        <f ca="1"/>
        <v>0</v>
      </c>
      <c r="P259" s="44">
        <f ca="1"/>
        <v>0</v>
      </c>
      <c r="Q259" s="44">
        <f ca="1"/>
        <v>0</v>
      </c>
      <c r="R259" s="44">
        <f ca="1"/>
        <v>0</v>
      </c>
      <c r="S259" s="44">
        <f ca="1"/>
        <v>0</v>
      </c>
      <c r="T259" s="44">
        <f ca="1"/>
        <v>0</v>
      </c>
      <c r="U259" s="44">
        <f ca="1"/>
        <v>0</v>
      </c>
      <c r="V259" s="44">
        <f ca="1"/>
        <v>0</v>
      </c>
      <c r="W259" s="44">
        <f ca="1"/>
        <v>0</v>
      </c>
      <c r="X259" s="45">
        <f ca="1"/>
        <v>0</v>
      </c>
      <c r="Y259" s="45">
        <f ca="1"/>
        <v>0</v>
      </c>
      <c r="Z259" s="45">
        <f ca="1"/>
        <v>0</v>
      </c>
      <c r="AA259" s="46">
        <f ca="1"/>
        <v>0</v>
      </c>
      <c r="AB259" s="14"/>
    </row>
    <row r="260" spans="1:28" s="10" customFormat="1" ht="15" hidden="1" customHeight="1" x14ac:dyDescent="0.45">
      <c r="A260" s="1786"/>
      <c r="B260" s="1775" t="s">
        <v>332</v>
      </c>
      <c r="C260" s="1266" t="s">
        <v>326</v>
      </c>
      <c r="D260" s="47">
        <f ca="1"/>
        <v>0</v>
      </c>
      <c r="E260" s="47">
        <f ca="1"/>
        <v>0</v>
      </c>
      <c r="F260" s="47">
        <f ca="1"/>
        <v>0</v>
      </c>
      <c r="G260" s="47">
        <f ca="1"/>
        <v>0</v>
      </c>
      <c r="H260" s="47">
        <f ca="1"/>
        <v>0</v>
      </c>
      <c r="I260" s="47">
        <f ca="1"/>
        <v>0</v>
      </c>
      <c r="J260" s="47">
        <f ca="1"/>
        <v>0</v>
      </c>
      <c r="K260" s="47">
        <f ca="1"/>
        <v>0</v>
      </c>
      <c r="L260" s="47">
        <f ca="1"/>
        <v>0</v>
      </c>
      <c r="M260" s="47">
        <f ca="1"/>
        <v>0</v>
      </c>
      <c r="N260" s="47">
        <f ca="1"/>
        <v>0</v>
      </c>
      <c r="O260" s="47">
        <f ca="1"/>
        <v>0</v>
      </c>
      <c r="P260" s="48">
        <f ca="1"/>
        <v>0</v>
      </c>
      <c r="Q260" s="49">
        <f ca="1"/>
        <v>0</v>
      </c>
      <c r="R260" s="47">
        <f ca="1"/>
        <v>0</v>
      </c>
      <c r="S260" s="47">
        <f ca="1"/>
        <v>0</v>
      </c>
      <c r="T260" s="48">
        <f ca="1"/>
        <v>0</v>
      </c>
      <c r="U260" s="48">
        <f ca="1"/>
        <v>0</v>
      </c>
      <c r="V260" s="48">
        <f ca="1"/>
        <v>0</v>
      </c>
      <c r="W260" s="48">
        <f ca="1"/>
        <v>0</v>
      </c>
      <c r="X260" s="48">
        <f ca="1"/>
        <v>0</v>
      </c>
      <c r="Y260" s="48">
        <f ca="1"/>
        <v>0</v>
      </c>
      <c r="Z260" s="48">
        <f ca="1"/>
        <v>0</v>
      </c>
      <c r="AA260" s="50">
        <f ca="1"/>
        <v>0</v>
      </c>
      <c r="AB260" s="14"/>
    </row>
    <row r="261" spans="1:28" s="10" customFormat="1" ht="15" hidden="1" customHeight="1" x14ac:dyDescent="0.45">
      <c r="A261" s="1786"/>
      <c r="B261" s="1776"/>
      <c r="C261" s="1266" t="s">
        <v>327</v>
      </c>
      <c r="D261" s="47">
        <f ca="1"/>
        <v>0</v>
      </c>
      <c r="E261" s="47">
        <f ca="1"/>
        <v>0</v>
      </c>
      <c r="F261" s="47">
        <f ca="1"/>
        <v>0</v>
      </c>
      <c r="G261" s="47">
        <f ca="1"/>
        <v>0</v>
      </c>
      <c r="H261" s="47">
        <f ca="1"/>
        <v>0</v>
      </c>
      <c r="I261" s="47">
        <f ca="1"/>
        <v>0</v>
      </c>
      <c r="J261" s="47">
        <f ca="1"/>
        <v>0</v>
      </c>
      <c r="K261" s="47">
        <f ca="1"/>
        <v>0</v>
      </c>
      <c r="L261" s="47">
        <f ca="1"/>
        <v>0</v>
      </c>
      <c r="M261" s="47">
        <f ca="1"/>
        <v>0</v>
      </c>
      <c r="N261" s="47">
        <f ca="1"/>
        <v>0</v>
      </c>
      <c r="O261" s="47">
        <f ca="1"/>
        <v>0</v>
      </c>
      <c r="P261" s="47">
        <f ca="1"/>
        <v>0</v>
      </c>
      <c r="Q261" s="49">
        <f ca="1"/>
        <v>0</v>
      </c>
      <c r="R261" s="47">
        <f ca="1"/>
        <v>0</v>
      </c>
      <c r="S261" s="47">
        <f ca="1"/>
        <v>0</v>
      </c>
      <c r="T261" s="49">
        <f ca="1"/>
        <v>0</v>
      </c>
      <c r="U261" s="49">
        <f ca="1"/>
        <v>0</v>
      </c>
      <c r="V261" s="49">
        <f ca="1"/>
        <v>0</v>
      </c>
      <c r="W261" s="49">
        <f ca="1"/>
        <v>0</v>
      </c>
      <c r="X261" s="48">
        <f ca="1"/>
        <v>0</v>
      </c>
      <c r="Y261" s="48">
        <f ca="1"/>
        <v>0</v>
      </c>
      <c r="Z261" s="48">
        <f ca="1"/>
        <v>0</v>
      </c>
      <c r="AA261" s="50">
        <f ca="1"/>
        <v>0</v>
      </c>
      <c r="AB261" s="14"/>
    </row>
    <row r="262" spans="1:28" s="10" customFormat="1" ht="15" hidden="1" customHeight="1" x14ac:dyDescent="0.45">
      <c r="A262" s="1786"/>
      <c r="B262" s="1777" t="s">
        <v>333</v>
      </c>
      <c r="C262" s="1265" t="s">
        <v>326</v>
      </c>
      <c r="D262" s="44">
        <f ca="1"/>
        <v>0</v>
      </c>
      <c r="E262" s="44">
        <f ca="1"/>
        <v>0</v>
      </c>
      <c r="F262" s="44">
        <f ca="1"/>
        <v>0</v>
      </c>
      <c r="G262" s="44">
        <f ca="1"/>
        <v>0</v>
      </c>
      <c r="H262" s="44">
        <f ca="1"/>
        <v>0</v>
      </c>
      <c r="I262" s="44">
        <f ca="1"/>
        <v>0</v>
      </c>
      <c r="J262" s="44">
        <f ca="1"/>
        <v>0</v>
      </c>
      <c r="K262" s="44">
        <f ca="1"/>
        <v>0</v>
      </c>
      <c r="L262" s="44">
        <f ca="1"/>
        <v>0</v>
      </c>
      <c r="M262" s="45">
        <f ca="1"/>
        <v>0</v>
      </c>
      <c r="N262" s="45">
        <f ca="1"/>
        <v>0</v>
      </c>
      <c r="O262" s="45">
        <f ca="1"/>
        <v>0</v>
      </c>
      <c r="P262" s="45">
        <f ca="1"/>
        <v>0</v>
      </c>
      <c r="Q262" s="55">
        <f ca="1"/>
        <v>0</v>
      </c>
      <c r="R262" s="44">
        <f ca="1"/>
        <v>0</v>
      </c>
      <c r="S262" s="55">
        <f ca="1"/>
        <v>0</v>
      </c>
      <c r="T262" s="45">
        <f ca="1"/>
        <v>0</v>
      </c>
      <c r="U262" s="45">
        <f ca="1"/>
        <v>0</v>
      </c>
      <c r="V262" s="45">
        <f ca="1"/>
        <v>0</v>
      </c>
      <c r="W262" s="45">
        <f ca="1"/>
        <v>0</v>
      </c>
      <c r="X262" s="45">
        <f ca="1"/>
        <v>0</v>
      </c>
      <c r="Y262" s="45">
        <f ca="1"/>
        <v>0</v>
      </c>
      <c r="Z262" s="45">
        <f ca="1"/>
        <v>0</v>
      </c>
      <c r="AA262" s="46">
        <f ca="1"/>
        <v>0</v>
      </c>
      <c r="AB262" s="14"/>
    </row>
    <row r="263" spans="1:28" s="10" customFormat="1" ht="15" hidden="1" customHeight="1" x14ac:dyDescent="0.45">
      <c r="A263" s="1787"/>
      <c r="B263" s="1778"/>
      <c r="C263" s="1267" t="s">
        <v>327</v>
      </c>
      <c r="D263" s="56">
        <f ca="1"/>
        <v>0</v>
      </c>
      <c r="E263" s="56">
        <f ca="1"/>
        <v>0</v>
      </c>
      <c r="F263" s="56">
        <f ca="1"/>
        <v>0</v>
      </c>
      <c r="G263" s="56">
        <f ca="1"/>
        <v>0</v>
      </c>
      <c r="H263" s="56">
        <f ca="1"/>
        <v>0</v>
      </c>
      <c r="I263" s="56">
        <f ca="1"/>
        <v>0</v>
      </c>
      <c r="J263" s="56">
        <f ca="1"/>
        <v>0</v>
      </c>
      <c r="K263" s="56">
        <f ca="1"/>
        <v>0</v>
      </c>
      <c r="L263" s="56">
        <f ca="1"/>
        <v>0</v>
      </c>
      <c r="M263" s="57">
        <f ca="1"/>
        <v>0</v>
      </c>
      <c r="N263" s="57">
        <f ca="1"/>
        <v>0</v>
      </c>
      <c r="O263" s="57">
        <f ca="1"/>
        <v>0</v>
      </c>
      <c r="P263" s="57">
        <f ca="1"/>
        <v>0</v>
      </c>
      <c r="Q263" s="58">
        <f ca="1"/>
        <v>0</v>
      </c>
      <c r="R263" s="56">
        <f ca="1"/>
        <v>0</v>
      </c>
      <c r="S263" s="58">
        <f ca="1"/>
        <v>0</v>
      </c>
      <c r="T263" s="57">
        <f ca="1"/>
        <v>0</v>
      </c>
      <c r="U263" s="57">
        <f ca="1"/>
        <v>0</v>
      </c>
      <c r="V263" s="57">
        <f ca="1"/>
        <v>0</v>
      </c>
      <c r="W263" s="57">
        <f ca="1"/>
        <v>0</v>
      </c>
      <c r="X263" s="57">
        <f ca="1"/>
        <v>0</v>
      </c>
      <c r="Y263" s="57">
        <f ca="1"/>
        <v>0</v>
      </c>
      <c r="Z263" s="57">
        <f ca="1"/>
        <v>0</v>
      </c>
      <c r="AA263" s="59">
        <f ca="1"/>
        <v>0</v>
      </c>
      <c r="AB263" s="14"/>
    </row>
    <row r="264" spans="1:28" s="10" customFormat="1" ht="15" hidden="1" customHeight="1" x14ac:dyDescent="0.45">
      <c r="A264" s="1805" t="s">
        <v>343</v>
      </c>
      <c r="B264" s="1773" t="s">
        <v>325</v>
      </c>
      <c r="C264" s="1268" t="s">
        <v>326</v>
      </c>
      <c r="D264" s="40">
        <f t="array" ref="D264:AA277" ca="1">final_duration_primary + final_duration_secondary + final_duration_tertiary</f>
        <v>40</v>
      </c>
      <c r="E264" s="40">
        <f ca="1"/>
        <v>40</v>
      </c>
      <c r="F264" s="40">
        <f ca="1"/>
        <v>40</v>
      </c>
      <c r="G264" s="40">
        <f ca="1"/>
        <v>40</v>
      </c>
      <c r="H264" s="40">
        <f ca="1"/>
        <v>40</v>
      </c>
      <c r="I264" s="40">
        <f ca="1"/>
        <v>40</v>
      </c>
      <c r="J264" s="40">
        <f ca="1"/>
        <v>40</v>
      </c>
      <c r="K264" s="40">
        <f ca="1"/>
        <v>40</v>
      </c>
      <c r="L264" s="40">
        <f ca="1"/>
        <v>40</v>
      </c>
      <c r="M264" s="42">
        <f ca="1"/>
        <v>0</v>
      </c>
      <c r="N264" s="42">
        <f ca="1"/>
        <v>0</v>
      </c>
      <c r="O264" s="42">
        <f ca="1"/>
        <v>40</v>
      </c>
      <c r="P264" s="42">
        <f ca="1"/>
        <v>40</v>
      </c>
      <c r="Q264" s="42">
        <f ca="1"/>
        <v>40</v>
      </c>
      <c r="R264" s="42">
        <f ca="1"/>
        <v>30</v>
      </c>
      <c r="S264" s="40">
        <f ca="1"/>
        <v>30</v>
      </c>
      <c r="T264" s="42">
        <f ca="1"/>
        <v>30</v>
      </c>
      <c r="U264" s="42">
        <f ca="1"/>
        <v>30</v>
      </c>
      <c r="V264" s="42">
        <f ca="1"/>
        <v>0</v>
      </c>
      <c r="W264" s="42">
        <f ca="1"/>
        <v>0</v>
      </c>
      <c r="X264" s="42">
        <f ca="1"/>
        <v>0</v>
      </c>
      <c r="Y264" s="42">
        <f ca="1"/>
        <v>0</v>
      </c>
      <c r="Z264" s="42">
        <f ca="1"/>
        <v>0</v>
      </c>
      <c r="AA264" s="90">
        <f ca="1"/>
        <v>0</v>
      </c>
      <c r="AB264" s="14"/>
    </row>
    <row r="265" spans="1:28" s="10" customFormat="1" ht="15" hidden="1" customHeight="1" x14ac:dyDescent="0.45">
      <c r="A265" s="1806"/>
      <c r="B265" s="1774"/>
      <c r="C265" s="1265" t="s">
        <v>327</v>
      </c>
      <c r="D265" s="44">
        <f ca="1"/>
        <v>60</v>
      </c>
      <c r="E265" s="44">
        <f ca="1"/>
        <v>60</v>
      </c>
      <c r="F265" s="44">
        <f ca="1"/>
        <v>60</v>
      </c>
      <c r="G265" s="44">
        <f ca="1"/>
        <v>60</v>
      </c>
      <c r="H265" s="44">
        <f ca="1"/>
        <v>60</v>
      </c>
      <c r="I265" s="44">
        <f ca="1"/>
        <v>60</v>
      </c>
      <c r="J265" s="44">
        <f ca="1"/>
        <v>60</v>
      </c>
      <c r="K265" s="44">
        <f ca="1"/>
        <v>60</v>
      </c>
      <c r="L265" s="44">
        <f ca="1"/>
        <v>60</v>
      </c>
      <c r="M265" s="44">
        <f ca="1"/>
        <v>0</v>
      </c>
      <c r="N265" s="44">
        <f ca="1"/>
        <v>85</v>
      </c>
      <c r="O265" s="44">
        <f ca="1"/>
        <v>60</v>
      </c>
      <c r="P265" s="44">
        <f ca="1"/>
        <v>60</v>
      </c>
      <c r="Q265" s="44">
        <f ca="1"/>
        <v>60</v>
      </c>
      <c r="R265" s="44">
        <f ca="1"/>
        <v>60</v>
      </c>
      <c r="S265" s="44">
        <f ca="1"/>
        <v>60</v>
      </c>
      <c r="T265" s="44">
        <f ca="1"/>
        <v>60</v>
      </c>
      <c r="U265" s="44">
        <f ca="1"/>
        <v>60</v>
      </c>
      <c r="V265" s="44">
        <f ca="1"/>
        <v>0</v>
      </c>
      <c r="W265" s="44">
        <f ca="1"/>
        <v>0</v>
      </c>
      <c r="X265" s="55">
        <f ca="1"/>
        <v>0</v>
      </c>
      <c r="Y265" s="55">
        <f ca="1"/>
        <v>0</v>
      </c>
      <c r="Z265" s="55">
        <f ca="1"/>
        <v>0</v>
      </c>
      <c r="AA265" s="91">
        <f ca="1"/>
        <v>0</v>
      </c>
      <c r="AB265" s="14"/>
    </row>
    <row r="266" spans="1:28" s="10" customFormat="1" ht="15" hidden="1" customHeight="1" x14ac:dyDescent="0.45">
      <c r="A266" s="1806"/>
      <c r="B266" s="1775" t="s">
        <v>328</v>
      </c>
      <c r="C266" s="1266" t="s">
        <v>326</v>
      </c>
      <c r="D266" s="47">
        <f ca="1"/>
        <v>40</v>
      </c>
      <c r="E266" s="47">
        <f ca="1"/>
        <v>40</v>
      </c>
      <c r="F266" s="47">
        <f ca="1"/>
        <v>40</v>
      </c>
      <c r="G266" s="47">
        <f ca="1"/>
        <v>40</v>
      </c>
      <c r="H266" s="47">
        <f ca="1"/>
        <v>40</v>
      </c>
      <c r="I266" s="47">
        <f ca="1"/>
        <v>40</v>
      </c>
      <c r="J266" s="47">
        <f ca="1"/>
        <v>40</v>
      </c>
      <c r="K266" s="47">
        <f ca="1"/>
        <v>0</v>
      </c>
      <c r="L266" s="47">
        <f ca="1"/>
        <v>0</v>
      </c>
      <c r="M266" s="47">
        <f ca="1"/>
        <v>0</v>
      </c>
      <c r="N266" s="47">
        <f ca="1"/>
        <v>0</v>
      </c>
      <c r="O266" s="47">
        <f ca="1"/>
        <v>40</v>
      </c>
      <c r="P266" s="49">
        <f ca="1"/>
        <v>40</v>
      </c>
      <c r="Q266" s="49">
        <f ca="1"/>
        <v>40</v>
      </c>
      <c r="R266" s="49">
        <f ca="1"/>
        <v>0</v>
      </c>
      <c r="S266" s="47">
        <f ca="1"/>
        <v>0</v>
      </c>
      <c r="T266" s="47">
        <f ca="1"/>
        <v>0</v>
      </c>
      <c r="U266" s="49">
        <f ca="1"/>
        <v>0</v>
      </c>
      <c r="V266" s="49">
        <f ca="1"/>
        <v>0</v>
      </c>
      <c r="W266" s="49">
        <f ca="1"/>
        <v>0</v>
      </c>
      <c r="X266" s="49">
        <f ca="1"/>
        <v>0</v>
      </c>
      <c r="Y266" s="49">
        <f ca="1"/>
        <v>0</v>
      </c>
      <c r="Z266" s="49">
        <f ca="1"/>
        <v>0</v>
      </c>
      <c r="AA266" s="92">
        <f ca="1"/>
        <v>0</v>
      </c>
      <c r="AB266" s="14"/>
    </row>
    <row r="267" spans="1:28" s="10" customFormat="1" ht="15" hidden="1" customHeight="1" x14ac:dyDescent="0.45">
      <c r="A267" s="1806"/>
      <c r="B267" s="1776"/>
      <c r="C267" s="1266" t="s">
        <v>327</v>
      </c>
      <c r="D267" s="47">
        <f ca="1"/>
        <v>25</v>
      </c>
      <c r="E267" s="47">
        <f ca="1"/>
        <v>25</v>
      </c>
      <c r="F267" s="47">
        <f ca="1"/>
        <v>25</v>
      </c>
      <c r="G267" s="47">
        <f ca="1"/>
        <v>25</v>
      </c>
      <c r="H267" s="47">
        <f ca="1"/>
        <v>25</v>
      </c>
      <c r="I267" s="47">
        <f ca="1"/>
        <v>25</v>
      </c>
      <c r="J267" s="47">
        <f ca="1"/>
        <v>25</v>
      </c>
      <c r="K267" s="47">
        <f ca="1"/>
        <v>25</v>
      </c>
      <c r="L267" s="47">
        <f ca="1"/>
        <v>25</v>
      </c>
      <c r="M267" s="47">
        <f ca="1"/>
        <v>0</v>
      </c>
      <c r="N267" s="47">
        <f ca="1"/>
        <v>145</v>
      </c>
      <c r="O267" s="47">
        <f ca="1"/>
        <v>25</v>
      </c>
      <c r="P267" s="47">
        <f ca="1"/>
        <v>25</v>
      </c>
      <c r="Q267" s="49">
        <f ca="1"/>
        <v>25</v>
      </c>
      <c r="R267" s="49">
        <f ca="1"/>
        <v>25</v>
      </c>
      <c r="S267" s="47">
        <f ca="1"/>
        <v>25</v>
      </c>
      <c r="T267" s="47">
        <f ca="1"/>
        <v>55</v>
      </c>
      <c r="U267" s="49">
        <f ca="1"/>
        <v>25</v>
      </c>
      <c r="V267" s="49">
        <f ca="1"/>
        <v>15.5</v>
      </c>
      <c r="W267" s="49">
        <f ca="1"/>
        <v>0</v>
      </c>
      <c r="X267" s="49">
        <f ca="1"/>
        <v>0</v>
      </c>
      <c r="Y267" s="49">
        <f ca="1"/>
        <v>0</v>
      </c>
      <c r="Z267" s="49">
        <f ca="1"/>
        <v>0</v>
      </c>
      <c r="AA267" s="92">
        <f ca="1"/>
        <v>0</v>
      </c>
      <c r="AB267" s="14"/>
    </row>
    <row r="268" spans="1:28" s="10" customFormat="1" ht="15" hidden="1" customHeight="1" x14ac:dyDescent="0.45">
      <c r="A268" s="1806"/>
      <c r="B268" s="1777" t="s">
        <v>329</v>
      </c>
      <c r="C268" s="1235" t="s">
        <v>326</v>
      </c>
      <c r="D268" s="51">
        <f ca="1"/>
        <v>0</v>
      </c>
      <c r="E268" s="51">
        <f ca="1"/>
        <v>0</v>
      </c>
      <c r="F268" s="51">
        <f ca="1"/>
        <v>0</v>
      </c>
      <c r="G268" s="51">
        <f ca="1"/>
        <v>0</v>
      </c>
      <c r="H268" s="51">
        <f ca="1"/>
        <v>0</v>
      </c>
      <c r="I268" s="51">
        <f ca="1"/>
        <v>0</v>
      </c>
      <c r="J268" s="51">
        <f ca="1"/>
        <v>0</v>
      </c>
      <c r="K268" s="51">
        <f ca="1"/>
        <v>0</v>
      </c>
      <c r="L268" s="51">
        <f ca="1"/>
        <v>0</v>
      </c>
      <c r="M268" s="53">
        <f ca="1"/>
        <v>0</v>
      </c>
      <c r="N268" s="53">
        <f ca="1"/>
        <v>0</v>
      </c>
      <c r="O268" s="53">
        <f ca="1"/>
        <v>0</v>
      </c>
      <c r="P268" s="53">
        <f ca="1"/>
        <v>0</v>
      </c>
      <c r="Q268" s="53">
        <f ca="1"/>
        <v>0</v>
      </c>
      <c r="R268" s="53">
        <f ca="1"/>
        <v>0</v>
      </c>
      <c r="S268" s="51">
        <f ca="1"/>
        <v>0</v>
      </c>
      <c r="T268" s="53">
        <f ca="1"/>
        <v>0</v>
      </c>
      <c r="U268" s="53">
        <f ca="1"/>
        <v>0</v>
      </c>
      <c r="V268" s="53">
        <f ca="1"/>
        <v>0</v>
      </c>
      <c r="W268" s="53">
        <f ca="1"/>
        <v>0</v>
      </c>
      <c r="X268" s="53">
        <f ca="1"/>
        <v>0</v>
      </c>
      <c r="Y268" s="53">
        <f ca="1"/>
        <v>0</v>
      </c>
      <c r="Z268" s="53">
        <f ca="1"/>
        <v>0</v>
      </c>
      <c r="AA268" s="93">
        <f ca="1"/>
        <v>0</v>
      </c>
      <c r="AB268" s="14"/>
    </row>
    <row r="269" spans="1:28" s="10" customFormat="1" ht="15" hidden="1" customHeight="1" x14ac:dyDescent="0.45">
      <c r="A269" s="1806"/>
      <c r="B269" s="1774"/>
      <c r="C269" s="1265" t="s">
        <v>327</v>
      </c>
      <c r="D269" s="44">
        <f ca="1"/>
        <v>50</v>
      </c>
      <c r="E269" s="44">
        <f ca="1"/>
        <v>70</v>
      </c>
      <c r="F269" s="44">
        <f ca="1"/>
        <v>85</v>
      </c>
      <c r="G269" s="44">
        <f ca="1"/>
        <v>75</v>
      </c>
      <c r="H269" s="44">
        <f ca="1"/>
        <v>80</v>
      </c>
      <c r="I269" s="44">
        <f ca="1"/>
        <v>95</v>
      </c>
      <c r="J269" s="44">
        <f ca="1"/>
        <v>60</v>
      </c>
      <c r="K269" s="44">
        <f ca="1"/>
        <v>55</v>
      </c>
      <c r="L269" s="44">
        <f ca="1"/>
        <v>45</v>
      </c>
      <c r="M269" s="44">
        <f ca="1"/>
        <v>0</v>
      </c>
      <c r="N269" s="44">
        <f ca="1"/>
        <v>145</v>
      </c>
      <c r="O269" s="44">
        <f ca="1"/>
        <v>30</v>
      </c>
      <c r="P269" s="44">
        <f ca="1"/>
        <v>30</v>
      </c>
      <c r="Q269" s="44">
        <f ca="1"/>
        <v>80</v>
      </c>
      <c r="R269" s="44">
        <f ca="1"/>
        <v>30</v>
      </c>
      <c r="S269" s="44">
        <f ca="1"/>
        <v>30</v>
      </c>
      <c r="T269" s="44">
        <f ca="1"/>
        <v>55</v>
      </c>
      <c r="U269" s="44">
        <f ca="1"/>
        <v>105</v>
      </c>
      <c r="V269" s="44">
        <f ca="1"/>
        <v>85</v>
      </c>
      <c r="W269" s="44">
        <f ca="1"/>
        <v>0</v>
      </c>
      <c r="X269" s="55">
        <f ca="1"/>
        <v>0</v>
      </c>
      <c r="Y269" s="55">
        <f ca="1"/>
        <v>0</v>
      </c>
      <c r="Z269" s="55">
        <f ca="1"/>
        <v>0</v>
      </c>
      <c r="AA269" s="91">
        <f ca="1"/>
        <v>0</v>
      </c>
      <c r="AB269" s="14"/>
    </row>
    <row r="270" spans="1:28" s="10" customFormat="1" ht="15" hidden="1" customHeight="1" x14ac:dyDescent="0.45">
      <c r="A270" s="1806"/>
      <c r="B270" s="1775" t="s">
        <v>330</v>
      </c>
      <c r="C270" s="1266" t="s">
        <v>326</v>
      </c>
      <c r="D270" s="47">
        <f ca="1"/>
        <v>40</v>
      </c>
      <c r="E270" s="47">
        <f ca="1"/>
        <v>40</v>
      </c>
      <c r="F270" s="47">
        <f ca="1"/>
        <v>40</v>
      </c>
      <c r="G270" s="47">
        <f ca="1"/>
        <v>40</v>
      </c>
      <c r="H270" s="47">
        <f ca="1"/>
        <v>40</v>
      </c>
      <c r="I270" s="47">
        <f ca="1"/>
        <v>40</v>
      </c>
      <c r="J270" s="47">
        <f ca="1"/>
        <v>0</v>
      </c>
      <c r="K270" s="47">
        <f ca="1"/>
        <v>0</v>
      </c>
      <c r="L270" s="47">
        <f ca="1"/>
        <v>0</v>
      </c>
      <c r="M270" s="47">
        <f ca="1"/>
        <v>0</v>
      </c>
      <c r="N270" s="47">
        <f ca="1"/>
        <v>0</v>
      </c>
      <c r="O270" s="47">
        <f ca="1"/>
        <v>40</v>
      </c>
      <c r="P270" s="49">
        <f ca="1"/>
        <v>40</v>
      </c>
      <c r="Q270" s="49">
        <f ca="1"/>
        <v>40</v>
      </c>
      <c r="R270" s="49">
        <f ca="1"/>
        <v>0</v>
      </c>
      <c r="S270" s="47">
        <f ca="1"/>
        <v>0</v>
      </c>
      <c r="T270" s="47">
        <f ca="1"/>
        <v>0</v>
      </c>
      <c r="U270" s="49">
        <f ca="1"/>
        <v>0</v>
      </c>
      <c r="V270" s="49">
        <f ca="1"/>
        <v>20</v>
      </c>
      <c r="W270" s="49">
        <f ca="1"/>
        <v>0</v>
      </c>
      <c r="X270" s="49">
        <f ca="1"/>
        <v>0</v>
      </c>
      <c r="Y270" s="49">
        <f ca="1"/>
        <v>0</v>
      </c>
      <c r="Z270" s="49">
        <f ca="1"/>
        <v>0</v>
      </c>
      <c r="AA270" s="92">
        <f ca="1"/>
        <v>0</v>
      </c>
      <c r="AB270" s="14"/>
    </row>
    <row r="271" spans="1:28" s="10" customFormat="1" ht="15" hidden="1" customHeight="1" x14ac:dyDescent="0.45">
      <c r="A271" s="1806"/>
      <c r="B271" s="1776"/>
      <c r="C271" s="1266" t="s">
        <v>327</v>
      </c>
      <c r="D271" s="47">
        <f ca="1"/>
        <v>80</v>
      </c>
      <c r="E271" s="47">
        <f ca="1"/>
        <v>85</v>
      </c>
      <c r="F271" s="47">
        <f ca="1"/>
        <v>90</v>
      </c>
      <c r="G271" s="47">
        <f ca="1"/>
        <v>90</v>
      </c>
      <c r="H271" s="47">
        <f ca="1"/>
        <v>95</v>
      </c>
      <c r="I271" s="47">
        <f ca="1"/>
        <v>100</v>
      </c>
      <c r="J271" s="47">
        <f ca="1"/>
        <v>80</v>
      </c>
      <c r="K271" s="47">
        <f ca="1"/>
        <v>65</v>
      </c>
      <c r="L271" s="47">
        <f ca="1"/>
        <v>0</v>
      </c>
      <c r="M271" s="47">
        <f ca="1"/>
        <v>0</v>
      </c>
      <c r="N271" s="47">
        <f ca="1"/>
        <v>85</v>
      </c>
      <c r="O271" s="49">
        <f ca="1"/>
        <v>9.3000000000000007</v>
      </c>
      <c r="P271" s="47">
        <f ca="1"/>
        <v>12.4</v>
      </c>
      <c r="Q271" s="49">
        <f ca="1"/>
        <v>18.600000000000001</v>
      </c>
      <c r="R271" s="49">
        <f ca="1"/>
        <v>12.4</v>
      </c>
      <c r="S271" s="47">
        <f ca="1"/>
        <v>12.4</v>
      </c>
      <c r="T271" s="47">
        <f ca="1"/>
        <v>0</v>
      </c>
      <c r="U271" s="49">
        <f ca="1"/>
        <v>15.5</v>
      </c>
      <c r="V271" s="49">
        <f ca="1"/>
        <v>0</v>
      </c>
      <c r="W271" s="49">
        <f ca="1"/>
        <v>0</v>
      </c>
      <c r="X271" s="49">
        <f ca="1"/>
        <v>0</v>
      </c>
      <c r="Y271" s="49">
        <f ca="1"/>
        <v>0</v>
      </c>
      <c r="Z271" s="49">
        <f ca="1"/>
        <v>0</v>
      </c>
      <c r="AA271" s="92">
        <f ca="1"/>
        <v>0</v>
      </c>
      <c r="AB271" s="14"/>
    </row>
    <row r="272" spans="1:28" s="10" customFormat="1" ht="15" hidden="1" customHeight="1" x14ac:dyDescent="0.45">
      <c r="A272" s="1806"/>
      <c r="B272" s="1777" t="s">
        <v>331</v>
      </c>
      <c r="C272" s="1235" t="s">
        <v>326</v>
      </c>
      <c r="D272" s="51">
        <f ca="1"/>
        <v>40</v>
      </c>
      <c r="E272" s="51">
        <f ca="1"/>
        <v>40</v>
      </c>
      <c r="F272" s="51">
        <f ca="1"/>
        <v>40</v>
      </c>
      <c r="G272" s="51">
        <f ca="1"/>
        <v>40</v>
      </c>
      <c r="H272" s="51">
        <f ca="1"/>
        <v>40</v>
      </c>
      <c r="I272" s="51">
        <f ca="1"/>
        <v>40</v>
      </c>
      <c r="J272" s="51">
        <f ca="1"/>
        <v>40</v>
      </c>
      <c r="K272" s="51">
        <f ca="1"/>
        <v>40</v>
      </c>
      <c r="L272" s="51">
        <f ca="1"/>
        <v>25</v>
      </c>
      <c r="M272" s="53">
        <f ca="1"/>
        <v>0</v>
      </c>
      <c r="N272" s="53">
        <f ca="1"/>
        <v>0</v>
      </c>
      <c r="O272" s="53">
        <f ca="1"/>
        <v>40</v>
      </c>
      <c r="P272" s="53">
        <f ca="1"/>
        <v>40</v>
      </c>
      <c r="Q272" s="53">
        <f ca="1"/>
        <v>40</v>
      </c>
      <c r="R272" s="53">
        <f ca="1"/>
        <v>30</v>
      </c>
      <c r="S272" s="51">
        <f ca="1"/>
        <v>30</v>
      </c>
      <c r="T272" s="53">
        <f ca="1"/>
        <v>0</v>
      </c>
      <c r="U272" s="53">
        <f ca="1"/>
        <v>30</v>
      </c>
      <c r="V272" s="53">
        <f ca="1"/>
        <v>30</v>
      </c>
      <c r="W272" s="53">
        <f ca="1"/>
        <v>0</v>
      </c>
      <c r="X272" s="53">
        <f ca="1"/>
        <v>0</v>
      </c>
      <c r="Y272" s="53">
        <f ca="1"/>
        <v>0</v>
      </c>
      <c r="Z272" s="53">
        <f ca="1"/>
        <v>0</v>
      </c>
      <c r="AA272" s="93">
        <f ca="1"/>
        <v>0</v>
      </c>
      <c r="AB272" s="14"/>
    </row>
    <row r="273" spans="1:28" s="10" customFormat="1" ht="15" hidden="1" customHeight="1" x14ac:dyDescent="0.45">
      <c r="A273" s="1806"/>
      <c r="B273" s="1774"/>
      <c r="C273" s="1265" t="s">
        <v>327</v>
      </c>
      <c r="D273" s="44">
        <f ca="1"/>
        <v>60</v>
      </c>
      <c r="E273" s="44">
        <f ca="1"/>
        <v>60</v>
      </c>
      <c r="F273" s="44">
        <f ca="1"/>
        <v>60</v>
      </c>
      <c r="G273" s="44">
        <f ca="1"/>
        <v>60</v>
      </c>
      <c r="H273" s="44">
        <f ca="1"/>
        <v>60</v>
      </c>
      <c r="I273" s="44">
        <f ca="1"/>
        <v>60</v>
      </c>
      <c r="J273" s="44">
        <f ca="1"/>
        <v>60</v>
      </c>
      <c r="K273" s="44">
        <f ca="1"/>
        <v>60</v>
      </c>
      <c r="L273" s="44">
        <f ca="1"/>
        <v>0</v>
      </c>
      <c r="M273" s="44">
        <f ca="1"/>
        <v>0</v>
      </c>
      <c r="N273" s="44">
        <f ca="1"/>
        <v>85</v>
      </c>
      <c r="O273" s="44">
        <f ca="1"/>
        <v>60</v>
      </c>
      <c r="P273" s="44">
        <f ca="1"/>
        <v>60</v>
      </c>
      <c r="Q273" s="44">
        <f ca="1"/>
        <v>60</v>
      </c>
      <c r="R273" s="44">
        <f ca="1"/>
        <v>60</v>
      </c>
      <c r="S273" s="44">
        <f ca="1"/>
        <v>60</v>
      </c>
      <c r="T273" s="44">
        <f ca="1"/>
        <v>15</v>
      </c>
      <c r="U273" s="44">
        <f ca="1"/>
        <v>60</v>
      </c>
      <c r="V273" s="44">
        <f ca="1"/>
        <v>0</v>
      </c>
      <c r="W273" s="44">
        <f ca="1"/>
        <v>0</v>
      </c>
      <c r="X273" s="55">
        <f ca="1"/>
        <v>0</v>
      </c>
      <c r="Y273" s="55">
        <f ca="1"/>
        <v>0</v>
      </c>
      <c r="Z273" s="55">
        <f ca="1"/>
        <v>0</v>
      </c>
      <c r="AA273" s="91">
        <f ca="1"/>
        <v>0</v>
      </c>
      <c r="AB273" s="14"/>
    </row>
    <row r="274" spans="1:28" s="10" customFormat="1" ht="15" hidden="1" customHeight="1" x14ac:dyDescent="0.45">
      <c r="A274" s="1806"/>
      <c r="B274" s="1775" t="s">
        <v>332</v>
      </c>
      <c r="C274" s="1266" t="s">
        <v>326</v>
      </c>
      <c r="D274" s="47">
        <f ca="1"/>
        <v>30</v>
      </c>
      <c r="E274" s="47">
        <f ca="1"/>
        <v>30</v>
      </c>
      <c r="F274" s="47">
        <f ca="1"/>
        <v>30</v>
      </c>
      <c r="G274" s="47">
        <f ca="1"/>
        <v>65</v>
      </c>
      <c r="H274" s="47">
        <f ca="1"/>
        <v>70</v>
      </c>
      <c r="I274" s="47">
        <f ca="1"/>
        <v>240</v>
      </c>
      <c r="J274" s="47">
        <f ca="1"/>
        <v>60</v>
      </c>
      <c r="K274" s="47">
        <f ca="1"/>
        <v>55</v>
      </c>
      <c r="L274" s="47">
        <f ca="1"/>
        <v>300</v>
      </c>
      <c r="M274" s="47">
        <f ca="1"/>
        <v>0</v>
      </c>
      <c r="N274" s="47">
        <f ca="1"/>
        <v>145</v>
      </c>
      <c r="O274" s="47">
        <f ca="1"/>
        <v>70</v>
      </c>
      <c r="P274" s="49">
        <f ca="1"/>
        <v>75</v>
      </c>
      <c r="Q274" s="49">
        <f ca="1"/>
        <v>95</v>
      </c>
      <c r="R274" s="49">
        <f ca="1"/>
        <v>50</v>
      </c>
      <c r="S274" s="47">
        <f ca="1"/>
        <v>50</v>
      </c>
      <c r="T274" s="47">
        <f ca="1"/>
        <v>90</v>
      </c>
      <c r="U274" s="49">
        <f ca="1"/>
        <v>65</v>
      </c>
      <c r="V274" s="49">
        <f ca="1"/>
        <v>180</v>
      </c>
      <c r="W274" s="49">
        <f ca="1"/>
        <v>0</v>
      </c>
      <c r="X274" s="49">
        <f ca="1"/>
        <v>0</v>
      </c>
      <c r="Y274" s="49">
        <f ca="1"/>
        <v>0</v>
      </c>
      <c r="Z274" s="49">
        <f ca="1"/>
        <v>0</v>
      </c>
      <c r="AA274" s="92">
        <f ca="1"/>
        <v>0</v>
      </c>
      <c r="AB274" s="14"/>
    </row>
    <row r="275" spans="1:28" s="10" customFormat="1" ht="15" hidden="1" customHeight="1" x14ac:dyDescent="0.45">
      <c r="A275" s="1806"/>
      <c r="B275" s="1776"/>
      <c r="C275" s="1266" t="s">
        <v>327</v>
      </c>
      <c r="D275" s="47">
        <f ca="1"/>
        <v>55</v>
      </c>
      <c r="E275" s="47">
        <f ca="1"/>
        <v>55</v>
      </c>
      <c r="F275" s="47">
        <f ca="1"/>
        <v>60</v>
      </c>
      <c r="G275" s="47">
        <f ca="1"/>
        <v>60</v>
      </c>
      <c r="H275" s="47">
        <f ca="1"/>
        <v>65</v>
      </c>
      <c r="I275" s="47">
        <f ca="1"/>
        <v>0</v>
      </c>
      <c r="J275" s="47">
        <f ca="1"/>
        <v>50</v>
      </c>
      <c r="K275" s="47">
        <f ca="1"/>
        <v>45</v>
      </c>
      <c r="L275" s="47">
        <f ca="1"/>
        <v>0</v>
      </c>
      <c r="M275" s="47">
        <f ca="1"/>
        <v>0</v>
      </c>
      <c r="N275" s="47">
        <f ca="1"/>
        <v>0</v>
      </c>
      <c r="O275" s="47">
        <f ca="1"/>
        <v>30</v>
      </c>
      <c r="P275" s="47">
        <f ca="1"/>
        <v>30</v>
      </c>
      <c r="Q275" s="49">
        <f ca="1"/>
        <v>80</v>
      </c>
      <c r="R275" s="49">
        <f ca="1"/>
        <v>0</v>
      </c>
      <c r="S275" s="47">
        <f ca="1"/>
        <v>0</v>
      </c>
      <c r="T275" s="47">
        <f ca="1"/>
        <v>0</v>
      </c>
      <c r="U275" s="49">
        <f ca="1"/>
        <v>0</v>
      </c>
      <c r="V275" s="49">
        <f ca="1"/>
        <v>0</v>
      </c>
      <c r="W275" s="49">
        <f ca="1"/>
        <v>0</v>
      </c>
      <c r="X275" s="49">
        <f ca="1"/>
        <v>0</v>
      </c>
      <c r="Y275" s="49">
        <f ca="1"/>
        <v>0</v>
      </c>
      <c r="Z275" s="49">
        <f ca="1"/>
        <v>0</v>
      </c>
      <c r="AA275" s="92">
        <f ca="1"/>
        <v>0</v>
      </c>
      <c r="AB275" s="14"/>
    </row>
    <row r="276" spans="1:28" s="10" customFormat="1" ht="15" hidden="1" customHeight="1" x14ac:dyDescent="0.45">
      <c r="A276" s="1806"/>
      <c r="B276" s="1777" t="s">
        <v>333</v>
      </c>
      <c r="C276" s="1265" t="s">
        <v>326</v>
      </c>
      <c r="D276" s="44">
        <f ca="1"/>
        <v>135</v>
      </c>
      <c r="E276" s="44">
        <f ca="1"/>
        <v>140</v>
      </c>
      <c r="F276" s="44">
        <f ca="1"/>
        <v>145</v>
      </c>
      <c r="G276" s="44">
        <f ca="1"/>
        <v>155</v>
      </c>
      <c r="H276" s="44">
        <f ca="1"/>
        <v>160</v>
      </c>
      <c r="I276" s="44">
        <f ca="1"/>
        <v>60</v>
      </c>
      <c r="J276" s="44">
        <f ca="1"/>
        <v>130</v>
      </c>
      <c r="K276" s="44">
        <f ca="1"/>
        <v>110</v>
      </c>
      <c r="L276" s="44">
        <f ca="1"/>
        <v>0</v>
      </c>
      <c r="M276" s="55">
        <f ca="1"/>
        <v>0</v>
      </c>
      <c r="N276" s="55">
        <f ca="1"/>
        <v>145</v>
      </c>
      <c r="O276" s="55">
        <f ca="1"/>
        <v>115</v>
      </c>
      <c r="P276" s="55">
        <f ca="1"/>
        <v>125</v>
      </c>
      <c r="Q276" s="55">
        <f ca="1"/>
        <v>160</v>
      </c>
      <c r="R276" s="55">
        <f ca="1"/>
        <v>80</v>
      </c>
      <c r="S276" s="44">
        <f ca="1"/>
        <v>80</v>
      </c>
      <c r="T276" s="55">
        <f ca="1"/>
        <v>30</v>
      </c>
      <c r="U276" s="55">
        <f ca="1"/>
        <v>105</v>
      </c>
      <c r="V276" s="55">
        <f ca="1"/>
        <v>0</v>
      </c>
      <c r="W276" s="55">
        <f ca="1"/>
        <v>0</v>
      </c>
      <c r="X276" s="55">
        <f ca="1"/>
        <v>0</v>
      </c>
      <c r="Y276" s="55">
        <f ca="1"/>
        <v>0</v>
      </c>
      <c r="Z276" s="55">
        <f ca="1"/>
        <v>0</v>
      </c>
      <c r="AA276" s="91">
        <f ca="1"/>
        <v>0</v>
      </c>
      <c r="AB276" s="14"/>
    </row>
    <row r="277" spans="1:28" s="10" customFormat="1" ht="15" hidden="1" customHeight="1" x14ac:dyDescent="0.45">
      <c r="A277" s="1807"/>
      <c r="B277" s="1778"/>
      <c r="C277" s="1267" t="s">
        <v>327</v>
      </c>
      <c r="D277" s="56">
        <f ca="1"/>
        <v>0</v>
      </c>
      <c r="E277" s="56">
        <f ca="1"/>
        <v>0</v>
      </c>
      <c r="F277" s="56">
        <f ca="1"/>
        <v>0</v>
      </c>
      <c r="G277" s="56">
        <f ca="1"/>
        <v>0</v>
      </c>
      <c r="H277" s="56">
        <f ca="1"/>
        <v>0</v>
      </c>
      <c r="I277" s="56">
        <f ca="1"/>
        <v>0</v>
      </c>
      <c r="J277" s="56">
        <f ca="1"/>
        <v>0</v>
      </c>
      <c r="K277" s="56">
        <f ca="1"/>
        <v>0</v>
      </c>
      <c r="L277" s="56">
        <f ca="1"/>
        <v>0</v>
      </c>
      <c r="M277" s="58">
        <f ca="1"/>
        <v>50</v>
      </c>
      <c r="N277" s="58">
        <f ca="1"/>
        <v>0</v>
      </c>
      <c r="O277" s="58">
        <f ca="1"/>
        <v>0</v>
      </c>
      <c r="P277" s="58">
        <f ca="1"/>
        <v>0</v>
      </c>
      <c r="Q277" s="58">
        <f ca="1"/>
        <v>0</v>
      </c>
      <c r="R277" s="58">
        <f ca="1"/>
        <v>0</v>
      </c>
      <c r="S277" s="56">
        <f ca="1"/>
        <v>0</v>
      </c>
      <c r="T277" s="58">
        <f ca="1"/>
        <v>0</v>
      </c>
      <c r="U277" s="58">
        <f ca="1"/>
        <v>0</v>
      </c>
      <c r="V277" s="58">
        <f ca="1"/>
        <v>0</v>
      </c>
      <c r="W277" s="58">
        <f ca="1"/>
        <v>0</v>
      </c>
      <c r="X277" s="58">
        <f ca="1"/>
        <v>0</v>
      </c>
      <c r="Y277" s="58">
        <f ca="1"/>
        <v>0</v>
      </c>
      <c r="Z277" s="58">
        <f ca="1"/>
        <v>0</v>
      </c>
      <c r="AA277" s="94">
        <f ca="1"/>
        <v>0</v>
      </c>
      <c r="AB277" s="14"/>
    </row>
    <row r="278" spans="1:28" s="10" customFormat="1" ht="15" hidden="1" customHeight="1" x14ac:dyDescent="0.45">
      <c r="A278" s="1785" t="s">
        <v>664</v>
      </c>
      <c r="B278" s="1773" t="s">
        <v>325</v>
      </c>
      <c r="C278" s="1268" t="s">
        <v>326</v>
      </c>
      <c r="D278" s="40">
        <f t="array" ref="D278:AA291" ca="1">IF(display_week="",0, IF(plan_duration_primary&gt;0,plan_duration_WU, 0))</f>
        <v>0</v>
      </c>
      <c r="E278" s="40">
        <f ca="1"/>
        <v>0</v>
      </c>
      <c r="F278" s="40">
        <f ca="1"/>
        <v>0</v>
      </c>
      <c r="G278" s="40">
        <f ca="1"/>
        <v>0</v>
      </c>
      <c r="H278" s="40">
        <f ca="1"/>
        <v>0</v>
      </c>
      <c r="I278" s="40">
        <f ca="1"/>
        <v>0</v>
      </c>
      <c r="J278" s="40">
        <f ca="1"/>
        <v>0</v>
      </c>
      <c r="K278" s="40">
        <f ca="1"/>
        <v>0</v>
      </c>
      <c r="L278" s="40">
        <f ca="1"/>
        <v>0</v>
      </c>
      <c r="M278" s="42">
        <f ca="1"/>
        <v>0</v>
      </c>
      <c r="N278" s="42">
        <f ca="1"/>
        <v>0</v>
      </c>
      <c r="O278" s="42">
        <f ca="1"/>
        <v>0</v>
      </c>
      <c r="P278" s="42">
        <f ca="1"/>
        <v>0</v>
      </c>
      <c r="Q278" s="42">
        <f ca="1"/>
        <v>0</v>
      </c>
      <c r="R278" s="42">
        <f ca="1"/>
        <v>0</v>
      </c>
      <c r="S278" s="42">
        <f ca="1"/>
        <v>0</v>
      </c>
      <c r="T278" s="40">
        <f ca="1"/>
        <v>0</v>
      </c>
      <c r="U278" s="42">
        <f ca="1"/>
        <v>0</v>
      </c>
      <c r="V278" s="42">
        <f ca="1"/>
        <v>0</v>
      </c>
      <c r="W278" s="42">
        <f ca="1"/>
        <v>0</v>
      </c>
      <c r="X278" s="42">
        <f ca="1"/>
        <v>0</v>
      </c>
      <c r="Y278" s="42">
        <f ca="1"/>
        <v>0</v>
      </c>
      <c r="Z278" s="42">
        <f ca="1"/>
        <v>0</v>
      </c>
      <c r="AA278" s="90">
        <f ca="1"/>
        <v>0</v>
      </c>
      <c r="AB278" s="14"/>
    </row>
    <row r="279" spans="1:28" s="10" customFormat="1" ht="15" hidden="1" customHeight="1" x14ac:dyDescent="0.45">
      <c r="A279" s="1786"/>
      <c r="B279" s="1774"/>
      <c r="C279" s="1265" t="s">
        <v>327</v>
      </c>
      <c r="D279" s="44">
        <f ca="1"/>
        <v>0</v>
      </c>
      <c r="E279" s="44">
        <f ca="1"/>
        <v>0</v>
      </c>
      <c r="F279" s="44">
        <f ca="1"/>
        <v>0</v>
      </c>
      <c r="G279" s="44">
        <f ca="1"/>
        <v>0</v>
      </c>
      <c r="H279" s="44">
        <f ca="1"/>
        <v>0</v>
      </c>
      <c r="I279" s="44">
        <f ca="1"/>
        <v>0</v>
      </c>
      <c r="J279" s="44">
        <f ca="1"/>
        <v>0</v>
      </c>
      <c r="K279" s="44">
        <f ca="1"/>
        <v>0</v>
      </c>
      <c r="L279" s="44">
        <f ca="1"/>
        <v>0</v>
      </c>
      <c r="M279" s="44">
        <f ca="1"/>
        <v>0</v>
      </c>
      <c r="N279" s="44">
        <f ca="1"/>
        <v>0</v>
      </c>
      <c r="O279" s="44">
        <f ca="1"/>
        <v>0</v>
      </c>
      <c r="P279" s="44">
        <f ca="1"/>
        <v>0</v>
      </c>
      <c r="Q279" s="44">
        <f ca="1"/>
        <v>0</v>
      </c>
      <c r="R279" s="44">
        <f ca="1"/>
        <v>0</v>
      </c>
      <c r="S279" s="44">
        <f ca="1"/>
        <v>0</v>
      </c>
      <c r="T279" s="44">
        <f ca="1"/>
        <v>0</v>
      </c>
      <c r="U279" s="44">
        <f ca="1"/>
        <v>0</v>
      </c>
      <c r="V279" s="44">
        <f ca="1"/>
        <v>0</v>
      </c>
      <c r="W279" s="44">
        <f ca="1"/>
        <v>0</v>
      </c>
      <c r="X279" s="55">
        <f ca="1"/>
        <v>0</v>
      </c>
      <c r="Y279" s="55">
        <f ca="1"/>
        <v>0</v>
      </c>
      <c r="Z279" s="55">
        <f ca="1"/>
        <v>0</v>
      </c>
      <c r="AA279" s="91">
        <f ca="1"/>
        <v>0</v>
      </c>
      <c r="AB279" s="14"/>
    </row>
    <row r="280" spans="1:28" s="10" customFormat="1" ht="15" hidden="1" customHeight="1" x14ac:dyDescent="0.45">
      <c r="A280" s="1786"/>
      <c r="B280" s="1775" t="s">
        <v>328</v>
      </c>
      <c r="C280" s="1266" t="s">
        <v>326</v>
      </c>
      <c r="D280" s="47">
        <f ca="1"/>
        <v>0</v>
      </c>
      <c r="E280" s="47">
        <f ca="1"/>
        <v>0</v>
      </c>
      <c r="F280" s="47">
        <f ca="1"/>
        <v>0</v>
      </c>
      <c r="G280" s="47">
        <f ca="1"/>
        <v>0</v>
      </c>
      <c r="H280" s="47">
        <f ca="1"/>
        <v>0</v>
      </c>
      <c r="I280" s="47">
        <f ca="1"/>
        <v>0</v>
      </c>
      <c r="J280" s="47">
        <f ca="1"/>
        <v>0</v>
      </c>
      <c r="K280" s="47">
        <f ca="1"/>
        <v>0</v>
      </c>
      <c r="L280" s="47">
        <f ca="1"/>
        <v>0</v>
      </c>
      <c r="M280" s="47">
        <f ca="1"/>
        <v>0</v>
      </c>
      <c r="N280" s="47">
        <f ca="1"/>
        <v>0</v>
      </c>
      <c r="O280" s="47">
        <f ca="1"/>
        <v>0</v>
      </c>
      <c r="P280" s="49">
        <f ca="1"/>
        <v>0</v>
      </c>
      <c r="Q280" s="49">
        <f ca="1"/>
        <v>0</v>
      </c>
      <c r="R280" s="49">
        <f ca="1"/>
        <v>0</v>
      </c>
      <c r="S280" s="49">
        <f ca="1"/>
        <v>0</v>
      </c>
      <c r="T280" s="47">
        <f ca="1"/>
        <v>0</v>
      </c>
      <c r="U280" s="47">
        <f ca="1"/>
        <v>0</v>
      </c>
      <c r="V280" s="49">
        <f ca="1"/>
        <v>0</v>
      </c>
      <c r="W280" s="49">
        <f ca="1"/>
        <v>0</v>
      </c>
      <c r="X280" s="49">
        <f ca="1"/>
        <v>0</v>
      </c>
      <c r="Y280" s="49">
        <f ca="1"/>
        <v>0</v>
      </c>
      <c r="Z280" s="49">
        <f ca="1"/>
        <v>0</v>
      </c>
      <c r="AA280" s="92">
        <f ca="1"/>
        <v>0</v>
      </c>
      <c r="AB280" s="14"/>
    </row>
    <row r="281" spans="1:28" s="10" customFormat="1" ht="15" hidden="1" customHeight="1" x14ac:dyDescent="0.45">
      <c r="A281" s="1786"/>
      <c r="B281" s="1776"/>
      <c r="C281" s="1266" t="s">
        <v>327</v>
      </c>
      <c r="D281" s="47">
        <f ca="1"/>
        <v>15</v>
      </c>
      <c r="E281" s="47">
        <f ca="1"/>
        <v>15</v>
      </c>
      <c r="F281" s="47">
        <f ca="1"/>
        <v>15</v>
      </c>
      <c r="G281" s="47">
        <f ca="1"/>
        <v>15</v>
      </c>
      <c r="H281" s="47">
        <f ca="1"/>
        <v>15</v>
      </c>
      <c r="I281" s="47">
        <f ca="1"/>
        <v>15</v>
      </c>
      <c r="J281" s="47">
        <f ca="1"/>
        <v>15</v>
      </c>
      <c r="K281" s="47">
        <f ca="1"/>
        <v>15</v>
      </c>
      <c r="L281" s="47">
        <f ca="1"/>
        <v>15</v>
      </c>
      <c r="M281" s="47">
        <f ca="1"/>
        <v>0</v>
      </c>
      <c r="N281" s="47">
        <f ca="1"/>
        <v>0</v>
      </c>
      <c r="O281" s="47">
        <f ca="1"/>
        <v>15</v>
      </c>
      <c r="P281" s="47">
        <f ca="1"/>
        <v>15</v>
      </c>
      <c r="Q281" s="49">
        <f ca="1"/>
        <v>15</v>
      </c>
      <c r="R281" s="49">
        <f ca="1"/>
        <v>15</v>
      </c>
      <c r="S281" s="49">
        <f ca="1"/>
        <v>15</v>
      </c>
      <c r="T281" s="47">
        <f ca="1"/>
        <v>0</v>
      </c>
      <c r="U281" s="47">
        <f ca="1"/>
        <v>15</v>
      </c>
      <c r="V281" s="49">
        <f ca="1"/>
        <v>15</v>
      </c>
      <c r="W281" s="49">
        <f ca="1"/>
        <v>0</v>
      </c>
      <c r="X281" s="49">
        <f ca="1"/>
        <v>0</v>
      </c>
      <c r="Y281" s="49">
        <f ca="1"/>
        <v>0</v>
      </c>
      <c r="Z281" s="49">
        <f ca="1"/>
        <v>0</v>
      </c>
      <c r="AA281" s="92">
        <f ca="1"/>
        <v>0</v>
      </c>
      <c r="AB281" s="14"/>
    </row>
    <row r="282" spans="1:28" s="10" customFormat="1" ht="15" hidden="1" customHeight="1" x14ac:dyDescent="0.45">
      <c r="A282" s="1786"/>
      <c r="B282" s="1777" t="s">
        <v>329</v>
      </c>
      <c r="C282" s="1235" t="s">
        <v>326</v>
      </c>
      <c r="D282" s="51">
        <f ca="1"/>
        <v>0</v>
      </c>
      <c r="E282" s="51">
        <f ca="1"/>
        <v>0</v>
      </c>
      <c r="F282" s="51">
        <f ca="1"/>
        <v>0</v>
      </c>
      <c r="G282" s="51">
        <f ca="1"/>
        <v>0</v>
      </c>
      <c r="H282" s="51">
        <f ca="1"/>
        <v>0</v>
      </c>
      <c r="I282" s="51">
        <f ca="1"/>
        <v>0</v>
      </c>
      <c r="J282" s="51">
        <f ca="1"/>
        <v>0</v>
      </c>
      <c r="K282" s="51">
        <f ca="1"/>
        <v>0</v>
      </c>
      <c r="L282" s="51">
        <f ca="1"/>
        <v>0</v>
      </c>
      <c r="M282" s="53">
        <f ca="1"/>
        <v>0</v>
      </c>
      <c r="N282" s="53">
        <f ca="1"/>
        <v>0</v>
      </c>
      <c r="O282" s="53">
        <f ca="1"/>
        <v>0</v>
      </c>
      <c r="P282" s="53">
        <f ca="1"/>
        <v>0</v>
      </c>
      <c r="Q282" s="53">
        <f ca="1"/>
        <v>0</v>
      </c>
      <c r="R282" s="53">
        <f ca="1"/>
        <v>0</v>
      </c>
      <c r="S282" s="53">
        <f ca="1"/>
        <v>0</v>
      </c>
      <c r="T282" s="51">
        <f ca="1"/>
        <v>0</v>
      </c>
      <c r="U282" s="53">
        <f ca="1"/>
        <v>0</v>
      </c>
      <c r="V282" s="53">
        <f ca="1"/>
        <v>0</v>
      </c>
      <c r="W282" s="53">
        <f ca="1"/>
        <v>0</v>
      </c>
      <c r="X282" s="53">
        <f ca="1"/>
        <v>0</v>
      </c>
      <c r="Y282" s="53">
        <f ca="1"/>
        <v>0</v>
      </c>
      <c r="Z282" s="53">
        <f ca="1"/>
        <v>0</v>
      </c>
      <c r="AA282" s="93">
        <f ca="1"/>
        <v>0</v>
      </c>
      <c r="AB282" s="14"/>
    </row>
    <row r="283" spans="1:28" s="10" customFormat="1" ht="15" hidden="1" customHeight="1" x14ac:dyDescent="0.45">
      <c r="A283" s="1786"/>
      <c r="B283" s="1774"/>
      <c r="C283" s="1265" t="s">
        <v>327</v>
      </c>
      <c r="D283" s="44">
        <f ca="1"/>
        <v>0</v>
      </c>
      <c r="E283" s="44">
        <f ca="1"/>
        <v>0</v>
      </c>
      <c r="F283" s="44">
        <f ca="1"/>
        <v>0</v>
      </c>
      <c r="G283" s="44">
        <f ca="1"/>
        <v>0</v>
      </c>
      <c r="H283" s="44">
        <f ca="1"/>
        <v>0</v>
      </c>
      <c r="I283" s="44">
        <f ca="1"/>
        <v>0</v>
      </c>
      <c r="J283" s="44">
        <f ca="1"/>
        <v>0</v>
      </c>
      <c r="K283" s="44">
        <f ca="1"/>
        <v>0</v>
      </c>
      <c r="L283" s="44">
        <f ca="1"/>
        <v>0</v>
      </c>
      <c r="M283" s="44">
        <f ca="1"/>
        <v>0</v>
      </c>
      <c r="N283" s="44">
        <f ca="1"/>
        <v>0</v>
      </c>
      <c r="O283" s="44">
        <f ca="1"/>
        <v>0</v>
      </c>
      <c r="P283" s="44">
        <f ca="1"/>
        <v>0</v>
      </c>
      <c r="Q283" s="44">
        <f ca="1"/>
        <v>0</v>
      </c>
      <c r="R283" s="44">
        <f ca="1"/>
        <v>0</v>
      </c>
      <c r="S283" s="44">
        <f ca="1"/>
        <v>0</v>
      </c>
      <c r="T283" s="44">
        <f ca="1"/>
        <v>0</v>
      </c>
      <c r="U283" s="44">
        <f ca="1"/>
        <v>0</v>
      </c>
      <c r="V283" s="44">
        <f ca="1"/>
        <v>0</v>
      </c>
      <c r="W283" s="44">
        <f ca="1"/>
        <v>0</v>
      </c>
      <c r="X283" s="55">
        <f ca="1"/>
        <v>0</v>
      </c>
      <c r="Y283" s="55">
        <f ca="1"/>
        <v>0</v>
      </c>
      <c r="Z283" s="55">
        <f ca="1"/>
        <v>0</v>
      </c>
      <c r="AA283" s="91">
        <f ca="1"/>
        <v>0</v>
      </c>
      <c r="AB283" s="14"/>
    </row>
    <row r="284" spans="1:28" s="10" customFormat="1" ht="15" hidden="1" customHeight="1" x14ac:dyDescent="0.45">
      <c r="A284" s="1786"/>
      <c r="B284" s="1775" t="s">
        <v>330</v>
      </c>
      <c r="C284" s="1266" t="s">
        <v>326</v>
      </c>
      <c r="D284" s="47">
        <f ca="1"/>
        <v>0</v>
      </c>
      <c r="E284" s="47">
        <f ca="1"/>
        <v>0</v>
      </c>
      <c r="F284" s="47">
        <f ca="1"/>
        <v>0</v>
      </c>
      <c r="G284" s="47">
        <f ca="1"/>
        <v>0</v>
      </c>
      <c r="H284" s="47">
        <f ca="1"/>
        <v>0</v>
      </c>
      <c r="I284" s="47">
        <f ca="1"/>
        <v>0</v>
      </c>
      <c r="J284" s="47">
        <f ca="1"/>
        <v>0</v>
      </c>
      <c r="K284" s="47">
        <f ca="1"/>
        <v>0</v>
      </c>
      <c r="L284" s="47">
        <f ca="1"/>
        <v>0</v>
      </c>
      <c r="M284" s="47">
        <f ca="1"/>
        <v>0</v>
      </c>
      <c r="N284" s="47">
        <f ca="1"/>
        <v>0</v>
      </c>
      <c r="O284" s="47">
        <f ca="1"/>
        <v>0</v>
      </c>
      <c r="P284" s="49">
        <f ca="1"/>
        <v>0</v>
      </c>
      <c r="Q284" s="49">
        <f ca="1"/>
        <v>0</v>
      </c>
      <c r="R284" s="49">
        <f ca="1"/>
        <v>0</v>
      </c>
      <c r="S284" s="49">
        <f ca="1"/>
        <v>0</v>
      </c>
      <c r="T284" s="47">
        <f ca="1"/>
        <v>0</v>
      </c>
      <c r="U284" s="47">
        <f ca="1"/>
        <v>0</v>
      </c>
      <c r="V284" s="49">
        <f ca="1"/>
        <v>0</v>
      </c>
      <c r="W284" s="49">
        <f ca="1"/>
        <v>0</v>
      </c>
      <c r="X284" s="49">
        <f ca="1"/>
        <v>0</v>
      </c>
      <c r="Y284" s="49">
        <f ca="1"/>
        <v>0</v>
      </c>
      <c r="Z284" s="49">
        <f ca="1"/>
        <v>0</v>
      </c>
      <c r="AA284" s="92">
        <f ca="1"/>
        <v>0</v>
      </c>
      <c r="AB284" s="14"/>
    </row>
    <row r="285" spans="1:28" s="10" customFormat="1" ht="15" hidden="1" customHeight="1" x14ac:dyDescent="0.45">
      <c r="A285" s="1786"/>
      <c r="B285" s="1776"/>
      <c r="C285" s="1266" t="s">
        <v>327</v>
      </c>
      <c r="D285" s="47">
        <f ca="1"/>
        <v>0</v>
      </c>
      <c r="E285" s="47">
        <f ca="1"/>
        <v>0</v>
      </c>
      <c r="F285" s="47">
        <f ca="1"/>
        <v>0</v>
      </c>
      <c r="G285" s="47">
        <f ca="1"/>
        <v>0</v>
      </c>
      <c r="H285" s="47">
        <f ca="1"/>
        <v>0</v>
      </c>
      <c r="I285" s="47">
        <f ca="1"/>
        <v>0</v>
      </c>
      <c r="J285" s="47">
        <f ca="1"/>
        <v>0</v>
      </c>
      <c r="K285" s="47">
        <f ca="1"/>
        <v>0</v>
      </c>
      <c r="L285" s="47">
        <f ca="1"/>
        <v>0</v>
      </c>
      <c r="M285" s="47">
        <f ca="1"/>
        <v>0</v>
      </c>
      <c r="N285" s="47">
        <f ca="1"/>
        <v>0</v>
      </c>
      <c r="O285" s="49">
        <f ca="1"/>
        <v>15</v>
      </c>
      <c r="P285" s="47">
        <f ca="1"/>
        <v>15</v>
      </c>
      <c r="Q285" s="49">
        <f ca="1"/>
        <v>15</v>
      </c>
      <c r="R285" s="49">
        <f ca="1"/>
        <v>15</v>
      </c>
      <c r="S285" s="49">
        <f ca="1"/>
        <v>15</v>
      </c>
      <c r="T285" s="47">
        <f ca="1"/>
        <v>0</v>
      </c>
      <c r="U285" s="47">
        <f ca="1"/>
        <v>15</v>
      </c>
      <c r="V285" s="49">
        <f ca="1"/>
        <v>0</v>
      </c>
      <c r="W285" s="49">
        <f ca="1"/>
        <v>0</v>
      </c>
      <c r="X285" s="49">
        <f ca="1"/>
        <v>0</v>
      </c>
      <c r="Y285" s="49">
        <f ca="1"/>
        <v>0</v>
      </c>
      <c r="Z285" s="49">
        <f ca="1"/>
        <v>0</v>
      </c>
      <c r="AA285" s="92">
        <f ca="1"/>
        <v>0</v>
      </c>
      <c r="AB285" s="14"/>
    </row>
    <row r="286" spans="1:28" s="10" customFormat="1" ht="15" hidden="1" customHeight="1" x14ac:dyDescent="0.45">
      <c r="A286" s="1786"/>
      <c r="B286" s="1777" t="s">
        <v>331</v>
      </c>
      <c r="C286" s="1235" t="s">
        <v>326</v>
      </c>
      <c r="D286" s="51">
        <f ca="1"/>
        <v>0</v>
      </c>
      <c r="E286" s="51">
        <f ca="1"/>
        <v>0</v>
      </c>
      <c r="F286" s="51">
        <f ca="1"/>
        <v>0</v>
      </c>
      <c r="G286" s="51">
        <f ca="1"/>
        <v>0</v>
      </c>
      <c r="H286" s="51">
        <f ca="1"/>
        <v>0</v>
      </c>
      <c r="I286" s="51">
        <f ca="1"/>
        <v>0</v>
      </c>
      <c r="J286" s="51">
        <f ca="1"/>
        <v>0</v>
      </c>
      <c r="K286" s="51">
        <f ca="1"/>
        <v>0</v>
      </c>
      <c r="L286" s="51">
        <f ca="1"/>
        <v>0</v>
      </c>
      <c r="M286" s="53">
        <f ca="1"/>
        <v>0</v>
      </c>
      <c r="N286" s="53">
        <f ca="1"/>
        <v>0</v>
      </c>
      <c r="O286" s="53">
        <f ca="1"/>
        <v>0</v>
      </c>
      <c r="P286" s="53">
        <f ca="1"/>
        <v>0</v>
      </c>
      <c r="Q286" s="53">
        <f ca="1"/>
        <v>0</v>
      </c>
      <c r="R286" s="53">
        <f ca="1"/>
        <v>0</v>
      </c>
      <c r="S286" s="53">
        <f ca="1"/>
        <v>0</v>
      </c>
      <c r="T286" s="51">
        <f ca="1"/>
        <v>0</v>
      </c>
      <c r="U286" s="53">
        <f ca="1"/>
        <v>0</v>
      </c>
      <c r="V286" s="53">
        <f ca="1"/>
        <v>0</v>
      </c>
      <c r="W286" s="53">
        <f ca="1"/>
        <v>0</v>
      </c>
      <c r="X286" s="53">
        <f ca="1"/>
        <v>0</v>
      </c>
      <c r="Y286" s="53">
        <f ca="1"/>
        <v>0</v>
      </c>
      <c r="Z286" s="53">
        <f ca="1"/>
        <v>0</v>
      </c>
      <c r="AA286" s="93">
        <f ca="1"/>
        <v>0</v>
      </c>
      <c r="AB286" s="14"/>
    </row>
    <row r="287" spans="1:28" s="10" customFormat="1" ht="15" hidden="1" customHeight="1" x14ac:dyDescent="0.45">
      <c r="A287" s="1786"/>
      <c r="B287" s="1774"/>
      <c r="C287" s="1265" t="s">
        <v>327</v>
      </c>
      <c r="D287" s="44">
        <f ca="1"/>
        <v>0</v>
      </c>
      <c r="E287" s="44">
        <f ca="1"/>
        <v>0</v>
      </c>
      <c r="F287" s="44">
        <f ca="1"/>
        <v>0</v>
      </c>
      <c r="G287" s="44">
        <f ca="1"/>
        <v>0</v>
      </c>
      <c r="H287" s="44">
        <f ca="1"/>
        <v>0</v>
      </c>
      <c r="I287" s="44">
        <f ca="1"/>
        <v>0</v>
      </c>
      <c r="J287" s="44">
        <f ca="1"/>
        <v>0</v>
      </c>
      <c r="K287" s="44">
        <f ca="1"/>
        <v>0</v>
      </c>
      <c r="L287" s="44">
        <f ca="1"/>
        <v>0</v>
      </c>
      <c r="M287" s="44">
        <f ca="1"/>
        <v>0</v>
      </c>
      <c r="N287" s="44">
        <f ca="1"/>
        <v>0</v>
      </c>
      <c r="O287" s="44">
        <f ca="1"/>
        <v>0</v>
      </c>
      <c r="P287" s="44">
        <f ca="1"/>
        <v>0</v>
      </c>
      <c r="Q287" s="44">
        <f ca="1"/>
        <v>0</v>
      </c>
      <c r="R287" s="44">
        <f ca="1"/>
        <v>0</v>
      </c>
      <c r="S287" s="44">
        <f ca="1"/>
        <v>0</v>
      </c>
      <c r="T287" s="44">
        <f ca="1"/>
        <v>15</v>
      </c>
      <c r="U287" s="44">
        <f ca="1"/>
        <v>0</v>
      </c>
      <c r="V287" s="44">
        <f ca="1"/>
        <v>0</v>
      </c>
      <c r="W287" s="44">
        <f ca="1"/>
        <v>0</v>
      </c>
      <c r="X287" s="55">
        <f ca="1"/>
        <v>0</v>
      </c>
      <c r="Y287" s="55">
        <f ca="1"/>
        <v>0</v>
      </c>
      <c r="Z287" s="55">
        <f ca="1"/>
        <v>0</v>
      </c>
      <c r="AA287" s="91">
        <f ca="1"/>
        <v>0</v>
      </c>
      <c r="AB287" s="14"/>
    </row>
    <row r="288" spans="1:28" s="10" customFormat="1" ht="15" hidden="1" customHeight="1" x14ac:dyDescent="0.45">
      <c r="A288" s="1786"/>
      <c r="B288" s="1775" t="s">
        <v>332</v>
      </c>
      <c r="C288" s="1266" t="s">
        <v>326</v>
      </c>
      <c r="D288" s="47">
        <f ca="1"/>
        <v>15</v>
      </c>
      <c r="E288" s="47">
        <f ca="1"/>
        <v>15</v>
      </c>
      <c r="F288" s="47">
        <f ca="1"/>
        <v>15</v>
      </c>
      <c r="G288" s="47">
        <f ca="1"/>
        <v>15</v>
      </c>
      <c r="H288" s="47">
        <f ca="1"/>
        <v>15</v>
      </c>
      <c r="I288" s="47">
        <f ca="1"/>
        <v>0</v>
      </c>
      <c r="J288" s="47">
        <f ca="1"/>
        <v>15</v>
      </c>
      <c r="K288" s="47">
        <f ca="1"/>
        <v>15</v>
      </c>
      <c r="L288" s="47">
        <f ca="1"/>
        <v>15</v>
      </c>
      <c r="M288" s="47">
        <f ca="1"/>
        <v>0</v>
      </c>
      <c r="N288" s="47">
        <f ca="1"/>
        <v>0</v>
      </c>
      <c r="O288" s="47">
        <f ca="1"/>
        <v>0</v>
      </c>
      <c r="P288" s="49">
        <f ca="1"/>
        <v>0</v>
      </c>
      <c r="Q288" s="49">
        <f ca="1"/>
        <v>0</v>
      </c>
      <c r="R288" s="49">
        <f ca="1"/>
        <v>0</v>
      </c>
      <c r="S288" s="49">
        <f ca="1"/>
        <v>0</v>
      </c>
      <c r="T288" s="47">
        <f ca="1"/>
        <v>15</v>
      </c>
      <c r="U288" s="47">
        <f ca="1"/>
        <v>0</v>
      </c>
      <c r="V288" s="49">
        <f ca="1"/>
        <v>15</v>
      </c>
      <c r="W288" s="49">
        <f ca="1"/>
        <v>0</v>
      </c>
      <c r="X288" s="49">
        <f ca="1"/>
        <v>0</v>
      </c>
      <c r="Y288" s="49">
        <f ca="1"/>
        <v>0</v>
      </c>
      <c r="Z288" s="49">
        <f ca="1"/>
        <v>0</v>
      </c>
      <c r="AA288" s="92">
        <f ca="1"/>
        <v>0</v>
      </c>
      <c r="AB288" s="14"/>
    </row>
    <row r="289" spans="1:28" s="10" customFormat="1" ht="15" hidden="1" customHeight="1" x14ac:dyDescent="0.45">
      <c r="A289" s="1786"/>
      <c r="B289" s="1776"/>
      <c r="C289" s="1266" t="s">
        <v>327</v>
      </c>
      <c r="D289" s="47">
        <f ca="1"/>
        <v>0</v>
      </c>
      <c r="E289" s="47">
        <f ca="1"/>
        <v>0</v>
      </c>
      <c r="F289" s="47">
        <f ca="1"/>
        <v>0</v>
      </c>
      <c r="G289" s="47">
        <f ca="1"/>
        <v>0</v>
      </c>
      <c r="H289" s="47">
        <f ca="1"/>
        <v>0</v>
      </c>
      <c r="I289" s="47">
        <f ca="1"/>
        <v>0</v>
      </c>
      <c r="J289" s="47">
        <f ca="1"/>
        <v>0</v>
      </c>
      <c r="K289" s="47">
        <f ca="1"/>
        <v>0</v>
      </c>
      <c r="L289" s="47">
        <f ca="1"/>
        <v>0</v>
      </c>
      <c r="M289" s="47">
        <f ca="1"/>
        <v>0</v>
      </c>
      <c r="N289" s="47">
        <f ca="1"/>
        <v>0</v>
      </c>
      <c r="O289" s="47">
        <f ca="1"/>
        <v>0</v>
      </c>
      <c r="P289" s="47">
        <f ca="1"/>
        <v>0</v>
      </c>
      <c r="Q289" s="49">
        <f ca="1"/>
        <v>0</v>
      </c>
      <c r="R289" s="49">
        <f ca="1"/>
        <v>0</v>
      </c>
      <c r="S289" s="49">
        <f ca="1"/>
        <v>0</v>
      </c>
      <c r="T289" s="47">
        <f ca="1"/>
        <v>0</v>
      </c>
      <c r="U289" s="47">
        <f ca="1"/>
        <v>0</v>
      </c>
      <c r="V289" s="49">
        <f ca="1"/>
        <v>0</v>
      </c>
      <c r="W289" s="49">
        <f ca="1"/>
        <v>0</v>
      </c>
      <c r="X289" s="49">
        <f ca="1"/>
        <v>0</v>
      </c>
      <c r="Y289" s="49">
        <f ca="1"/>
        <v>0</v>
      </c>
      <c r="Z289" s="49">
        <f ca="1"/>
        <v>0</v>
      </c>
      <c r="AA289" s="92">
        <f ca="1"/>
        <v>0</v>
      </c>
      <c r="AB289" s="14"/>
    </row>
    <row r="290" spans="1:28" s="10" customFormat="1" ht="15" hidden="1" customHeight="1" x14ac:dyDescent="0.45">
      <c r="A290" s="1786"/>
      <c r="B290" s="1777" t="s">
        <v>333</v>
      </c>
      <c r="C290" s="1265" t="s">
        <v>326</v>
      </c>
      <c r="D290" s="44">
        <f ca="1"/>
        <v>0</v>
      </c>
      <c r="E290" s="44">
        <f ca="1"/>
        <v>0</v>
      </c>
      <c r="F290" s="44">
        <f ca="1"/>
        <v>0</v>
      </c>
      <c r="G290" s="44">
        <f ca="1"/>
        <v>0</v>
      </c>
      <c r="H290" s="44">
        <f ca="1"/>
        <v>0</v>
      </c>
      <c r="I290" s="44">
        <f ca="1"/>
        <v>0</v>
      </c>
      <c r="J290" s="44">
        <f ca="1"/>
        <v>0</v>
      </c>
      <c r="K290" s="44">
        <f ca="1"/>
        <v>0</v>
      </c>
      <c r="L290" s="44">
        <f ca="1"/>
        <v>0</v>
      </c>
      <c r="M290" s="55">
        <f ca="1"/>
        <v>0</v>
      </c>
      <c r="N290" s="55">
        <f ca="1"/>
        <v>0</v>
      </c>
      <c r="O290" s="55">
        <f ca="1"/>
        <v>0</v>
      </c>
      <c r="P290" s="55">
        <f ca="1"/>
        <v>0</v>
      </c>
      <c r="Q290" s="55">
        <f ca="1"/>
        <v>0</v>
      </c>
      <c r="R290" s="55">
        <f ca="1"/>
        <v>0</v>
      </c>
      <c r="S290" s="55">
        <f ca="1"/>
        <v>0</v>
      </c>
      <c r="T290" s="44">
        <f ca="1"/>
        <v>15</v>
      </c>
      <c r="U290" s="55">
        <f ca="1"/>
        <v>0</v>
      </c>
      <c r="V290" s="55">
        <f ca="1"/>
        <v>0</v>
      </c>
      <c r="W290" s="55">
        <f ca="1"/>
        <v>0</v>
      </c>
      <c r="X290" s="55">
        <f ca="1"/>
        <v>0</v>
      </c>
      <c r="Y290" s="55">
        <f ca="1"/>
        <v>0</v>
      </c>
      <c r="Z290" s="55">
        <f ca="1"/>
        <v>0</v>
      </c>
      <c r="AA290" s="91">
        <f ca="1"/>
        <v>0</v>
      </c>
      <c r="AB290" s="14"/>
    </row>
    <row r="291" spans="1:28" s="10" customFormat="1" ht="15" hidden="1" customHeight="1" x14ac:dyDescent="0.45">
      <c r="A291" s="1787"/>
      <c r="B291" s="1778"/>
      <c r="C291" s="1267" t="s">
        <v>327</v>
      </c>
      <c r="D291" s="56">
        <f ca="1"/>
        <v>0</v>
      </c>
      <c r="E291" s="56">
        <f ca="1"/>
        <v>0</v>
      </c>
      <c r="F291" s="56">
        <f ca="1"/>
        <v>0</v>
      </c>
      <c r="G291" s="56">
        <f ca="1"/>
        <v>0</v>
      </c>
      <c r="H291" s="56">
        <f ca="1"/>
        <v>0</v>
      </c>
      <c r="I291" s="56">
        <f ca="1"/>
        <v>0</v>
      </c>
      <c r="J291" s="56">
        <f ca="1"/>
        <v>0</v>
      </c>
      <c r="K291" s="56">
        <f ca="1"/>
        <v>0</v>
      </c>
      <c r="L291" s="56">
        <f ca="1"/>
        <v>0</v>
      </c>
      <c r="M291" s="58">
        <f ca="1"/>
        <v>0</v>
      </c>
      <c r="N291" s="58">
        <f ca="1"/>
        <v>0</v>
      </c>
      <c r="O291" s="58">
        <f ca="1"/>
        <v>0</v>
      </c>
      <c r="P291" s="58">
        <f ca="1"/>
        <v>0</v>
      </c>
      <c r="Q291" s="58">
        <f ca="1"/>
        <v>0</v>
      </c>
      <c r="R291" s="58">
        <f ca="1"/>
        <v>0</v>
      </c>
      <c r="S291" s="58">
        <f ca="1"/>
        <v>0</v>
      </c>
      <c r="T291" s="56">
        <f ca="1"/>
        <v>0</v>
      </c>
      <c r="U291" s="58">
        <f ca="1"/>
        <v>0</v>
      </c>
      <c r="V291" s="58">
        <f ca="1"/>
        <v>0</v>
      </c>
      <c r="W291" s="58">
        <f ca="1"/>
        <v>0</v>
      </c>
      <c r="X291" s="58">
        <f ca="1"/>
        <v>0</v>
      </c>
      <c r="Y291" s="58">
        <f ca="1"/>
        <v>0</v>
      </c>
      <c r="Z291" s="58">
        <f ca="1"/>
        <v>0</v>
      </c>
      <c r="AA291" s="94">
        <f ca="1"/>
        <v>0</v>
      </c>
      <c r="AB291" s="14"/>
    </row>
    <row r="292" spans="1:28" s="10" customFormat="1" ht="15" hidden="1" customHeight="1" x14ac:dyDescent="0.45">
      <c r="A292" s="1785" t="s">
        <v>665</v>
      </c>
      <c r="B292" s="1773" t="s">
        <v>325</v>
      </c>
      <c r="C292" s="1268" t="s">
        <v>326</v>
      </c>
      <c r="D292" s="40">
        <f t="array" aca="1" ref="D292:AA305" ca="1">IF(display_week="",0,
IF(final_adjusted_session_durations=0,
IF(IFERROR(FIND("filler",plan_duration_tertiary),0)&gt;0,
IF(INDEX(sessions_WUWD_secondary,,plan_session_allocation)="Yes",athlete_WUWD_duration,plan_duration_WD),
IF(IFERROR(FIND("filler",plan_duration_secondary),0)&gt;0,
IF(INDEX(sessions_WUWD_primary,,plan_session_allocation)="Yes",athlete_WUWD_duration,plan_duration_WD),
plan_duration_WD)),plan_duration_WD))</f>
        <v>0</v>
      </c>
      <c r="E292" s="40">
        <f ca="1"/>
        <v>0</v>
      </c>
      <c r="F292" s="40">
        <f ca="1"/>
        <v>0</v>
      </c>
      <c r="G292" s="40">
        <f ca="1"/>
        <v>0</v>
      </c>
      <c r="H292" s="40">
        <f ca="1"/>
        <v>0</v>
      </c>
      <c r="I292" s="40">
        <f ca="1"/>
        <v>0</v>
      </c>
      <c r="J292" s="40">
        <f ca="1"/>
        <v>0</v>
      </c>
      <c r="K292" s="40">
        <f ca="1"/>
        <v>0</v>
      </c>
      <c r="L292" s="40">
        <f ca="1"/>
        <v>0</v>
      </c>
      <c r="M292" s="42">
        <f ca="1"/>
        <v>0</v>
      </c>
      <c r="N292" s="42">
        <f ca="1"/>
        <v>0</v>
      </c>
      <c r="O292" s="42">
        <f ca="1"/>
        <v>0</v>
      </c>
      <c r="P292" s="42">
        <f ca="1"/>
        <v>0</v>
      </c>
      <c r="Q292" s="42">
        <f ca="1"/>
        <v>0</v>
      </c>
      <c r="R292" s="42">
        <f ca="1"/>
        <v>0</v>
      </c>
      <c r="S292" s="42">
        <f ca="1"/>
        <v>0</v>
      </c>
      <c r="T292" s="42">
        <f ca="1"/>
        <v>0</v>
      </c>
      <c r="U292" s="40">
        <f ca="1"/>
        <v>0</v>
      </c>
      <c r="V292" s="42">
        <f ca="1"/>
        <v>0</v>
      </c>
      <c r="W292" s="42">
        <f ca="1"/>
        <v>0</v>
      </c>
      <c r="X292" s="42">
        <f ca="1"/>
        <v>0</v>
      </c>
      <c r="Y292" s="42">
        <f ca="1"/>
        <v>0</v>
      </c>
      <c r="Z292" s="42">
        <f ca="1"/>
        <v>0</v>
      </c>
      <c r="AA292" s="90">
        <f ca="1"/>
        <v>0</v>
      </c>
      <c r="AB292" s="14"/>
    </row>
    <row r="293" spans="1:28" s="10" customFormat="1" ht="15" hidden="1" customHeight="1" x14ac:dyDescent="0.45">
      <c r="A293" s="1786"/>
      <c r="B293" s="1774"/>
      <c r="C293" s="1265" t="s">
        <v>327</v>
      </c>
      <c r="D293" s="44">
        <f ca="1"/>
        <v>0</v>
      </c>
      <c r="E293" s="44">
        <f ca="1"/>
        <v>0</v>
      </c>
      <c r="F293" s="44">
        <f ca="1"/>
        <v>0</v>
      </c>
      <c r="G293" s="44">
        <f ca="1"/>
        <v>0</v>
      </c>
      <c r="H293" s="44">
        <f ca="1"/>
        <v>0</v>
      </c>
      <c r="I293" s="44">
        <f ca="1"/>
        <v>0</v>
      </c>
      <c r="J293" s="44">
        <f ca="1"/>
        <v>0</v>
      </c>
      <c r="K293" s="44">
        <f ca="1"/>
        <v>0</v>
      </c>
      <c r="L293" s="44">
        <f ca="1"/>
        <v>0</v>
      </c>
      <c r="M293" s="44">
        <f ca="1"/>
        <v>0</v>
      </c>
      <c r="N293" s="44">
        <f ca="1"/>
        <v>0</v>
      </c>
      <c r="O293" s="44">
        <f ca="1"/>
        <v>0</v>
      </c>
      <c r="P293" s="44">
        <f ca="1"/>
        <v>0</v>
      </c>
      <c r="Q293" s="44">
        <f ca="1"/>
        <v>0</v>
      </c>
      <c r="R293" s="44">
        <f ca="1"/>
        <v>0</v>
      </c>
      <c r="S293" s="44">
        <f ca="1"/>
        <v>0</v>
      </c>
      <c r="T293" s="44">
        <f ca="1"/>
        <v>0</v>
      </c>
      <c r="U293" s="44">
        <f ca="1"/>
        <v>0</v>
      </c>
      <c r="V293" s="44">
        <f ca="1"/>
        <v>0</v>
      </c>
      <c r="W293" s="44">
        <f ca="1"/>
        <v>0</v>
      </c>
      <c r="X293" s="55">
        <f ca="1"/>
        <v>0</v>
      </c>
      <c r="Y293" s="55">
        <f ca="1"/>
        <v>0</v>
      </c>
      <c r="Z293" s="55">
        <f ca="1"/>
        <v>0</v>
      </c>
      <c r="AA293" s="91">
        <f ca="1"/>
        <v>0</v>
      </c>
      <c r="AB293" s="14"/>
    </row>
    <row r="294" spans="1:28" s="10" customFormat="1" ht="15" hidden="1" customHeight="1" x14ac:dyDescent="0.45">
      <c r="A294" s="1786"/>
      <c r="B294" s="1775" t="s">
        <v>328</v>
      </c>
      <c r="C294" s="1266" t="s">
        <v>326</v>
      </c>
      <c r="D294" s="47">
        <f ca="1"/>
        <v>0</v>
      </c>
      <c r="E294" s="47">
        <f ca="1"/>
        <v>0</v>
      </c>
      <c r="F294" s="47">
        <f ca="1"/>
        <v>0</v>
      </c>
      <c r="G294" s="47">
        <f ca="1"/>
        <v>0</v>
      </c>
      <c r="H294" s="47">
        <f ca="1"/>
        <v>0</v>
      </c>
      <c r="I294" s="47">
        <f ca="1"/>
        <v>0</v>
      </c>
      <c r="J294" s="47">
        <f ca="1"/>
        <v>0</v>
      </c>
      <c r="K294" s="47">
        <f ca="1"/>
        <v>0</v>
      </c>
      <c r="L294" s="47">
        <f ca="1"/>
        <v>0</v>
      </c>
      <c r="M294" s="47">
        <f ca="1"/>
        <v>0</v>
      </c>
      <c r="N294" s="47">
        <f ca="1"/>
        <v>0</v>
      </c>
      <c r="O294" s="47">
        <f ca="1"/>
        <v>0</v>
      </c>
      <c r="P294" s="49">
        <f ca="1"/>
        <v>0</v>
      </c>
      <c r="Q294" s="49">
        <f ca="1"/>
        <v>0</v>
      </c>
      <c r="R294" s="49">
        <f ca="1"/>
        <v>0</v>
      </c>
      <c r="S294" s="49">
        <f ca="1"/>
        <v>0</v>
      </c>
      <c r="T294" s="49">
        <f ca="1"/>
        <v>0</v>
      </c>
      <c r="U294" s="47">
        <f ca="1"/>
        <v>0</v>
      </c>
      <c r="V294" s="47">
        <f ca="1"/>
        <v>0</v>
      </c>
      <c r="W294" s="49">
        <f ca="1"/>
        <v>0</v>
      </c>
      <c r="X294" s="49">
        <f ca="1"/>
        <v>0</v>
      </c>
      <c r="Y294" s="49">
        <f ca="1"/>
        <v>0</v>
      </c>
      <c r="Z294" s="49">
        <f ca="1"/>
        <v>0</v>
      </c>
      <c r="AA294" s="92">
        <f ca="1"/>
        <v>0</v>
      </c>
      <c r="AB294" s="14"/>
    </row>
    <row r="295" spans="1:28" s="10" customFormat="1" ht="15" hidden="1" customHeight="1" x14ac:dyDescent="0.45">
      <c r="A295" s="1786"/>
      <c r="B295" s="1776"/>
      <c r="C295" s="1266" t="s">
        <v>327</v>
      </c>
      <c r="D295" s="47">
        <f ca="1"/>
        <v>15</v>
      </c>
      <c r="E295" s="47">
        <f ca="1"/>
        <v>15</v>
      </c>
      <c r="F295" s="47">
        <f ca="1"/>
        <v>15</v>
      </c>
      <c r="G295" s="47">
        <f ca="1"/>
        <v>15</v>
      </c>
      <c r="H295" s="47">
        <f ca="1"/>
        <v>15</v>
      </c>
      <c r="I295" s="47">
        <f ca="1"/>
        <v>15</v>
      </c>
      <c r="J295" s="47">
        <f ca="1"/>
        <v>15</v>
      </c>
      <c r="K295" s="47">
        <f ca="1"/>
        <v>15</v>
      </c>
      <c r="L295" s="47">
        <f ca="1"/>
        <v>15</v>
      </c>
      <c r="M295" s="47">
        <f ca="1"/>
        <v>0</v>
      </c>
      <c r="N295" s="47">
        <f ca="1"/>
        <v>0</v>
      </c>
      <c r="O295" s="47">
        <f ca="1"/>
        <v>15</v>
      </c>
      <c r="P295" s="47">
        <f ca="1"/>
        <v>15</v>
      </c>
      <c r="Q295" s="49">
        <f ca="1"/>
        <v>15</v>
      </c>
      <c r="R295" s="49">
        <f ca="1"/>
        <v>15</v>
      </c>
      <c r="S295" s="49">
        <f ca="1"/>
        <v>15</v>
      </c>
      <c r="T295" s="49">
        <f ca="1"/>
        <v>0</v>
      </c>
      <c r="U295" s="47">
        <f ca="1"/>
        <v>15</v>
      </c>
      <c r="V295" s="47">
        <f ca="1"/>
        <v>15</v>
      </c>
      <c r="W295" s="49">
        <f ca="1"/>
        <v>0</v>
      </c>
      <c r="X295" s="49">
        <f ca="1"/>
        <v>0</v>
      </c>
      <c r="Y295" s="49">
        <f ca="1"/>
        <v>0</v>
      </c>
      <c r="Z295" s="49">
        <f ca="1"/>
        <v>0</v>
      </c>
      <c r="AA295" s="92">
        <f ca="1"/>
        <v>0</v>
      </c>
      <c r="AB295" s="14"/>
    </row>
    <row r="296" spans="1:28" s="10" customFormat="1" ht="15" hidden="1" customHeight="1" x14ac:dyDescent="0.45">
      <c r="A296" s="1786"/>
      <c r="B296" s="1777" t="s">
        <v>329</v>
      </c>
      <c r="C296" s="1235" t="s">
        <v>326</v>
      </c>
      <c r="D296" s="51">
        <f ca="1"/>
        <v>0</v>
      </c>
      <c r="E296" s="51">
        <f ca="1"/>
        <v>0</v>
      </c>
      <c r="F296" s="51">
        <f ca="1"/>
        <v>0</v>
      </c>
      <c r="G296" s="51">
        <f ca="1"/>
        <v>0</v>
      </c>
      <c r="H296" s="51">
        <f ca="1"/>
        <v>0</v>
      </c>
      <c r="I296" s="51">
        <f ca="1"/>
        <v>0</v>
      </c>
      <c r="J296" s="51">
        <f ca="1"/>
        <v>0</v>
      </c>
      <c r="K296" s="51">
        <f ca="1"/>
        <v>0</v>
      </c>
      <c r="L296" s="51">
        <f ca="1"/>
        <v>0</v>
      </c>
      <c r="M296" s="53">
        <f ca="1"/>
        <v>0</v>
      </c>
      <c r="N296" s="53">
        <f ca="1"/>
        <v>0</v>
      </c>
      <c r="O296" s="53">
        <f ca="1"/>
        <v>0</v>
      </c>
      <c r="P296" s="53">
        <f ca="1"/>
        <v>0</v>
      </c>
      <c r="Q296" s="53">
        <f ca="1"/>
        <v>0</v>
      </c>
      <c r="R296" s="53">
        <f ca="1"/>
        <v>0</v>
      </c>
      <c r="S296" s="53">
        <f ca="1"/>
        <v>0</v>
      </c>
      <c r="T296" s="53">
        <f ca="1"/>
        <v>0</v>
      </c>
      <c r="U296" s="51">
        <f ca="1"/>
        <v>0</v>
      </c>
      <c r="V296" s="53">
        <f ca="1"/>
        <v>0</v>
      </c>
      <c r="W296" s="53">
        <f ca="1"/>
        <v>0</v>
      </c>
      <c r="X296" s="53">
        <f ca="1"/>
        <v>0</v>
      </c>
      <c r="Y296" s="53">
        <f ca="1"/>
        <v>0</v>
      </c>
      <c r="Z296" s="53">
        <f ca="1"/>
        <v>0</v>
      </c>
      <c r="AA296" s="93">
        <f ca="1"/>
        <v>0</v>
      </c>
      <c r="AB296" s="14"/>
    </row>
    <row r="297" spans="1:28" s="10" customFormat="1" ht="15" hidden="1" customHeight="1" x14ac:dyDescent="0.45">
      <c r="A297" s="1786"/>
      <c r="B297" s="1774"/>
      <c r="C297" s="1265" t="s">
        <v>327</v>
      </c>
      <c r="D297" s="44">
        <f ca="1"/>
        <v>0</v>
      </c>
      <c r="E297" s="44">
        <f ca="1"/>
        <v>0</v>
      </c>
      <c r="F297" s="44">
        <f ca="1"/>
        <v>0</v>
      </c>
      <c r="G297" s="44">
        <f ca="1"/>
        <v>0</v>
      </c>
      <c r="H297" s="44">
        <f ca="1"/>
        <v>0</v>
      </c>
      <c r="I297" s="44">
        <f ca="1"/>
        <v>0</v>
      </c>
      <c r="J297" s="44">
        <f ca="1"/>
        <v>0</v>
      </c>
      <c r="K297" s="44">
        <f ca="1"/>
        <v>0</v>
      </c>
      <c r="L297" s="44">
        <f ca="1"/>
        <v>0</v>
      </c>
      <c r="M297" s="44">
        <f ca="1"/>
        <v>0</v>
      </c>
      <c r="N297" s="44">
        <f ca="1"/>
        <v>0</v>
      </c>
      <c r="O297" s="44">
        <f ca="1"/>
        <v>0</v>
      </c>
      <c r="P297" s="44">
        <f ca="1"/>
        <v>0</v>
      </c>
      <c r="Q297" s="44">
        <f ca="1"/>
        <v>0</v>
      </c>
      <c r="R297" s="44">
        <f ca="1"/>
        <v>0</v>
      </c>
      <c r="S297" s="44">
        <f ca="1"/>
        <v>0</v>
      </c>
      <c r="T297" s="44">
        <f ca="1"/>
        <v>0</v>
      </c>
      <c r="U297" s="44">
        <f ca="1"/>
        <v>0</v>
      </c>
      <c r="V297" s="44">
        <f ca="1"/>
        <v>15</v>
      </c>
      <c r="W297" s="44">
        <f ca="1"/>
        <v>0</v>
      </c>
      <c r="X297" s="55">
        <f ca="1"/>
        <v>0</v>
      </c>
      <c r="Y297" s="55">
        <f ca="1"/>
        <v>0</v>
      </c>
      <c r="Z297" s="55">
        <f ca="1"/>
        <v>0</v>
      </c>
      <c r="AA297" s="91">
        <f ca="1"/>
        <v>0</v>
      </c>
      <c r="AB297" s="14"/>
    </row>
    <row r="298" spans="1:28" s="10" customFormat="1" ht="15" hidden="1" customHeight="1" x14ac:dyDescent="0.45">
      <c r="A298" s="1786"/>
      <c r="B298" s="1775" t="s">
        <v>330</v>
      </c>
      <c r="C298" s="1266" t="s">
        <v>326</v>
      </c>
      <c r="D298" s="47">
        <f ca="1"/>
        <v>0</v>
      </c>
      <c r="E298" s="47">
        <f ca="1"/>
        <v>0</v>
      </c>
      <c r="F298" s="47">
        <f ca="1"/>
        <v>0</v>
      </c>
      <c r="G298" s="47">
        <f ca="1"/>
        <v>0</v>
      </c>
      <c r="H298" s="47">
        <f ca="1"/>
        <v>0</v>
      </c>
      <c r="I298" s="47">
        <f ca="1"/>
        <v>0</v>
      </c>
      <c r="J298" s="47">
        <f ca="1"/>
        <v>0</v>
      </c>
      <c r="K298" s="47">
        <f ca="1"/>
        <v>0</v>
      </c>
      <c r="L298" s="47">
        <f ca="1"/>
        <v>0</v>
      </c>
      <c r="M298" s="47">
        <f ca="1"/>
        <v>0</v>
      </c>
      <c r="N298" s="47">
        <f ca="1"/>
        <v>0</v>
      </c>
      <c r="O298" s="47">
        <f ca="1"/>
        <v>0</v>
      </c>
      <c r="P298" s="49">
        <f ca="1"/>
        <v>0</v>
      </c>
      <c r="Q298" s="49">
        <f ca="1"/>
        <v>0</v>
      </c>
      <c r="R298" s="49">
        <f ca="1"/>
        <v>0</v>
      </c>
      <c r="S298" s="49">
        <f ca="1"/>
        <v>0</v>
      </c>
      <c r="T298" s="49">
        <f ca="1"/>
        <v>0</v>
      </c>
      <c r="U298" s="47">
        <f ca="1"/>
        <v>0</v>
      </c>
      <c r="V298" s="47">
        <f ca="1"/>
        <v>0</v>
      </c>
      <c r="W298" s="49">
        <f ca="1"/>
        <v>0</v>
      </c>
      <c r="X298" s="49">
        <f ca="1"/>
        <v>0</v>
      </c>
      <c r="Y298" s="49">
        <f ca="1"/>
        <v>0</v>
      </c>
      <c r="Z298" s="49">
        <f ca="1"/>
        <v>0</v>
      </c>
      <c r="AA298" s="92">
        <f ca="1"/>
        <v>0</v>
      </c>
      <c r="AB298" s="14"/>
    </row>
    <row r="299" spans="1:28" s="10" customFormat="1" ht="15" hidden="1" customHeight="1" x14ac:dyDescent="0.45">
      <c r="A299" s="1786"/>
      <c r="B299" s="1776"/>
      <c r="C299" s="1266" t="s">
        <v>327</v>
      </c>
      <c r="D299" s="47">
        <f ca="1"/>
        <v>0</v>
      </c>
      <c r="E299" s="47">
        <f ca="1"/>
        <v>0</v>
      </c>
      <c r="F299" s="47">
        <f ca="1"/>
        <v>0</v>
      </c>
      <c r="G299" s="47">
        <f ca="1"/>
        <v>0</v>
      </c>
      <c r="H299" s="47">
        <f ca="1"/>
        <v>0</v>
      </c>
      <c r="I299" s="47">
        <f ca="1"/>
        <v>0</v>
      </c>
      <c r="J299" s="47">
        <f ca="1"/>
        <v>0</v>
      </c>
      <c r="K299" s="47">
        <f ca="1"/>
        <v>0</v>
      </c>
      <c r="L299" s="47">
        <f ca="1"/>
        <v>0</v>
      </c>
      <c r="M299" s="47">
        <f ca="1"/>
        <v>0</v>
      </c>
      <c r="N299" s="47">
        <f ca="1"/>
        <v>0</v>
      </c>
      <c r="O299" s="49">
        <f ca="1"/>
        <v>15</v>
      </c>
      <c r="P299" s="47">
        <f ca="1"/>
        <v>15</v>
      </c>
      <c r="Q299" s="49">
        <f ca="1"/>
        <v>15</v>
      </c>
      <c r="R299" s="49">
        <f ca="1"/>
        <v>15</v>
      </c>
      <c r="S299" s="49">
        <f ca="1"/>
        <v>15</v>
      </c>
      <c r="T299" s="49">
        <f ca="1"/>
        <v>0</v>
      </c>
      <c r="U299" s="47">
        <f ca="1"/>
        <v>15</v>
      </c>
      <c r="V299" s="47">
        <f ca="1"/>
        <v>0</v>
      </c>
      <c r="W299" s="49">
        <f ca="1"/>
        <v>0</v>
      </c>
      <c r="X299" s="49">
        <f ca="1"/>
        <v>0</v>
      </c>
      <c r="Y299" s="49">
        <f ca="1"/>
        <v>0</v>
      </c>
      <c r="Z299" s="49">
        <f ca="1"/>
        <v>0</v>
      </c>
      <c r="AA299" s="92">
        <f ca="1"/>
        <v>0</v>
      </c>
      <c r="AB299" s="14"/>
    </row>
    <row r="300" spans="1:28" s="10" customFormat="1" ht="15" hidden="1" customHeight="1" x14ac:dyDescent="0.45">
      <c r="A300" s="1786"/>
      <c r="B300" s="1777" t="s">
        <v>331</v>
      </c>
      <c r="C300" s="1235" t="s">
        <v>326</v>
      </c>
      <c r="D300" s="51">
        <f ca="1"/>
        <v>0</v>
      </c>
      <c r="E300" s="51">
        <f ca="1"/>
        <v>0</v>
      </c>
      <c r="F300" s="51">
        <f ca="1"/>
        <v>0</v>
      </c>
      <c r="G300" s="51">
        <f ca="1"/>
        <v>0</v>
      </c>
      <c r="H300" s="51">
        <f ca="1"/>
        <v>0</v>
      </c>
      <c r="I300" s="51">
        <f ca="1"/>
        <v>0</v>
      </c>
      <c r="J300" s="51">
        <f ca="1"/>
        <v>0</v>
      </c>
      <c r="K300" s="51">
        <f ca="1"/>
        <v>0</v>
      </c>
      <c r="L300" s="51">
        <f ca="1"/>
        <v>15</v>
      </c>
      <c r="M300" s="53">
        <f ca="1"/>
        <v>0</v>
      </c>
      <c r="N300" s="53">
        <f ca="1"/>
        <v>0</v>
      </c>
      <c r="O300" s="53">
        <f ca="1"/>
        <v>0</v>
      </c>
      <c r="P300" s="53">
        <f ca="1"/>
        <v>0</v>
      </c>
      <c r="Q300" s="53">
        <f ca="1"/>
        <v>0</v>
      </c>
      <c r="R300" s="53">
        <f ca="1"/>
        <v>0</v>
      </c>
      <c r="S300" s="53">
        <f ca="1"/>
        <v>0</v>
      </c>
      <c r="T300" s="53">
        <f ca="1"/>
        <v>0</v>
      </c>
      <c r="U300" s="51">
        <f ca="1"/>
        <v>0</v>
      </c>
      <c r="V300" s="53">
        <f ca="1"/>
        <v>0</v>
      </c>
      <c r="W300" s="53">
        <f ca="1"/>
        <v>0</v>
      </c>
      <c r="X300" s="53">
        <f ca="1"/>
        <v>0</v>
      </c>
      <c r="Y300" s="53">
        <f ca="1"/>
        <v>0</v>
      </c>
      <c r="Z300" s="53">
        <f ca="1"/>
        <v>0</v>
      </c>
      <c r="AA300" s="93">
        <f ca="1"/>
        <v>0</v>
      </c>
      <c r="AB300" s="14"/>
    </row>
    <row r="301" spans="1:28" s="10" customFormat="1" ht="15" hidden="1" customHeight="1" x14ac:dyDescent="0.45">
      <c r="A301" s="1786"/>
      <c r="B301" s="1774"/>
      <c r="C301" s="1265" t="s">
        <v>327</v>
      </c>
      <c r="D301" s="44">
        <f ca="1"/>
        <v>0</v>
      </c>
      <c r="E301" s="44">
        <f ca="1"/>
        <v>0</v>
      </c>
      <c r="F301" s="44">
        <f ca="1"/>
        <v>0</v>
      </c>
      <c r="G301" s="44">
        <f ca="1"/>
        <v>0</v>
      </c>
      <c r="H301" s="44">
        <f ca="1"/>
        <v>0</v>
      </c>
      <c r="I301" s="44">
        <f ca="1"/>
        <v>0</v>
      </c>
      <c r="J301" s="44">
        <f ca="1"/>
        <v>0</v>
      </c>
      <c r="K301" s="44">
        <f ca="1"/>
        <v>0</v>
      </c>
      <c r="L301" s="44">
        <f ca="1"/>
        <v>0</v>
      </c>
      <c r="M301" s="44">
        <f ca="1"/>
        <v>0</v>
      </c>
      <c r="N301" s="44">
        <f ca="1"/>
        <v>0</v>
      </c>
      <c r="O301" s="44">
        <f ca="1"/>
        <v>0</v>
      </c>
      <c r="P301" s="44">
        <f ca="1"/>
        <v>0</v>
      </c>
      <c r="Q301" s="44">
        <f ca="1"/>
        <v>0</v>
      </c>
      <c r="R301" s="44">
        <f ca="1"/>
        <v>0</v>
      </c>
      <c r="S301" s="44">
        <f ca="1"/>
        <v>0</v>
      </c>
      <c r="T301" s="44">
        <f ca="1"/>
        <v>15</v>
      </c>
      <c r="U301" s="44">
        <f ca="1"/>
        <v>0</v>
      </c>
      <c r="V301" s="44">
        <f ca="1"/>
        <v>0</v>
      </c>
      <c r="W301" s="44">
        <f ca="1"/>
        <v>0</v>
      </c>
      <c r="X301" s="55">
        <f ca="1"/>
        <v>0</v>
      </c>
      <c r="Y301" s="55">
        <f ca="1"/>
        <v>0</v>
      </c>
      <c r="Z301" s="55">
        <f ca="1"/>
        <v>0</v>
      </c>
      <c r="AA301" s="91">
        <f ca="1"/>
        <v>0</v>
      </c>
      <c r="AB301" s="14"/>
    </row>
    <row r="302" spans="1:28" s="10" customFormat="1" ht="15" hidden="1" customHeight="1" x14ac:dyDescent="0.45">
      <c r="A302" s="1786"/>
      <c r="B302" s="1775" t="s">
        <v>332</v>
      </c>
      <c r="C302" s="1266" t="s">
        <v>326</v>
      </c>
      <c r="D302" s="47">
        <f ca="1"/>
        <v>15</v>
      </c>
      <c r="E302" s="47">
        <f ca="1"/>
        <v>15</v>
      </c>
      <c r="F302" s="47">
        <f ca="1"/>
        <v>15</v>
      </c>
      <c r="G302" s="47">
        <f ca="1"/>
        <v>0</v>
      </c>
      <c r="H302" s="47">
        <f ca="1"/>
        <v>0</v>
      </c>
      <c r="I302" s="47">
        <f ca="1"/>
        <v>0</v>
      </c>
      <c r="J302" s="47">
        <f ca="1"/>
        <v>0</v>
      </c>
      <c r="K302" s="47">
        <f ca="1"/>
        <v>0</v>
      </c>
      <c r="L302" s="47">
        <f ca="1"/>
        <v>15</v>
      </c>
      <c r="M302" s="47">
        <f ca="1"/>
        <v>0</v>
      </c>
      <c r="N302" s="47">
        <f ca="1"/>
        <v>0</v>
      </c>
      <c r="O302" s="47">
        <f ca="1"/>
        <v>0</v>
      </c>
      <c r="P302" s="49">
        <f ca="1"/>
        <v>0</v>
      </c>
      <c r="Q302" s="49">
        <f ca="1"/>
        <v>0</v>
      </c>
      <c r="R302" s="49">
        <f ca="1"/>
        <v>0</v>
      </c>
      <c r="S302" s="49">
        <f ca="1"/>
        <v>0</v>
      </c>
      <c r="T302" s="49">
        <f ca="1"/>
        <v>15</v>
      </c>
      <c r="U302" s="47">
        <f ca="1"/>
        <v>0</v>
      </c>
      <c r="V302" s="47">
        <f ca="1"/>
        <v>15</v>
      </c>
      <c r="W302" s="49">
        <f ca="1"/>
        <v>0</v>
      </c>
      <c r="X302" s="49">
        <f ca="1"/>
        <v>0</v>
      </c>
      <c r="Y302" s="49">
        <f ca="1"/>
        <v>0</v>
      </c>
      <c r="Z302" s="49">
        <f ca="1"/>
        <v>0</v>
      </c>
      <c r="AA302" s="92">
        <f ca="1"/>
        <v>0</v>
      </c>
      <c r="AB302" s="14"/>
    </row>
    <row r="303" spans="1:28" s="10" customFormat="1" ht="15" hidden="1" customHeight="1" x14ac:dyDescent="0.45">
      <c r="A303" s="1786"/>
      <c r="B303" s="1776"/>
      <c r="C303" s="1266" t="s">
        <v>327</v>
      </c>
      <c r="D303" s="47">
        <f ca="1"/>
        <v>0</v>
      </c>
      <c r="E303" s="47">
        <f ca="1"/>
        <v>0</v>
      </c>
      <c r="F303" s="47">
        <f ca="1"/>
        <v>0</v>
      </c>
      <c r="G303" s="47">
        <f ca="1"/>
        <v>0</v>
      </c>
      <c r="H303" s="47">
        <f ca="1"/>
        <v>0</v>
      </c>
      <c r="I303" s="47">
        <f ca="1"/>
        <v>0</v>
      </c>
      <c r="J303" s="47">
        <f ca="1"/>
        <v>0</v>
      </c>
      <c r="K303" s="47">
        <f ca="1"/>
        <v>0</v>
      </c>
      <c r="L303" s="47">
        <f ca="1"/>
        <v>0</v>
      </c>
      <c r="M303" s="47">
        <f ca="1"/>
        <v>0</v>
      </c>
      <c r="N303" s="47">
        <f ca="1"/>
        <v>0</v>
      </c>
      <c r="O303" s="47">
        <f ca="1"/>
        <v>0</v>
      </c>
      <c r="P303" s="47">
        <f ca="1"/>
        <v>0</v>
      </c>
      <c r="Q303" s="49">
        <f ca="1"/>
        <v>0</v>
      </c>
      <c r="R303" s="49">
        <f ca="1"/>
        <v>0</v>
      </c>
      <c r="S303" s="49">
        <f ca="1"/>
        <v>0</v>
      </c>
      <c r="T303" s="49">
        <f ca="1"/>
        <v>0</v>
      </c>
      <c r="U303" s="47">
        <f ca="1"/>
        <v>0</v>
      </c>
      <c r="V303" s="47">
        <f ca="1"/>
        <v>0</v>
      </c>
      <c r="W303" s="49">
        <f ca="1"/>
        <v>0</v>
      </c>
      <c r="X303" s="49">
        <f ca="1"/>
        <v>0</v>
      </c>
      <c r="Y303" s="49">
        <f ca="1"/>
        <v>0</v>
      </c>
      <c r="Z303" s="49">
        <f ca="1"/>
        <v>0</v>
      </c>
      <c r="AA303" s="92">
        <f ca="1"/>
        <v>0</v>
      </c>
      <c r="AB303" s="14"/>
    </row>
    <row r="304" spans="1:28" s="10" customFormat="1" ht="15" hidden="1" customHeight="1" x14ac:dyDescent="0.45">
      <c r="A304" s="1786"/>
      <c r="B304" s="1777" t="s">
        <v>333</v>
      </c>
      <c r="C304" s="1265" t="s">
        <v>326</v>
      </c>
      <c r="D304" s="44">
        <f ca="1"/>
        <v>0</v>
      </c>
      <c r="E304" s="44">
        <f ca="1"/>
        <v>0</v>
      </c>
      <c r="F304" s="44">
        <f ca="1"/>
        <v>0</v>
      </c>
      <c r="G304" s="44">
        <f ca="1"/>
        <v>0</v>
      </c>
      <c r="H304" s="44">
        <f ca="1"/>
        <v>0</v>
      </c>
      <c r="I304" s="44">
        <f ca="1"/>
        <v>0</v>
      </c>
      <c r="J304" s="44">
        <f ca="1"/>
        <v>0</v>
      </c>
      <c r="K304" s="44">
        <f ca="1"/>
        <v>0</v>
      </c>
      <c r="L304" s="44">
        <f ca="1"/>
        <v>0</v>
      </c>
      <c r="M304" s="55">
        <f ca="1"/>
        <v>0</v>
      </c>
      <c r="N304" s="55">
        <f ca="1"/>
        <v>0</v>
      </c>
      <c r="O304" s="55">
        <f ca="1"/>
        <v>0</v>
      </c>
      <c r="P304" s="55">
        <f ca="1"/>
        <v>0</v>
      </c>
      <c r="Q304" s="55">
        <f ca="1"/>
        <v>0</v>
      </c>
      <c r="R304" s="55">
        <f ca="1"/>
        <v>0</v>
      </c>
      <c r="S304" s="55">
        <f ca="1"/>
        <v>0</v>
      </c>
      <c r="T304" s="55">
        <f ca="1"/>
        <v>15</v>
      </c>
      <c r="U304" s="44">
        <f ca="1"/>
        <v>0</v>
      </c>
      <c r="V304" s="55">
        <f ca="1"/>
        <v>0</v>
      </c>
      <c r="W304" s="55">
        <f ca="1"/>
        <v>0</v>
      </c>
      <c r="X304" s="55">
        <f ca="1"/>
        <v>0</v>
      </c>
      <c r="Y304" s="55">
        <f ca="1"/>
        <v>0</v>
      </c>
      <c r="Z304" s="55">
        <f ca="1"/>
        <v>0</v>
      </c>
      <c r="AA304" s="91">
        <f ca="1"/>
        <v>0</v>
      </c>
      <c r="AB304" s="14"/>
    </row>
    <row r="305" spans="1:28" s="10" customFormat="1" ht="15" hidden="1" customHeight="1" x14ac:dyDescent="0.45">
      <c r="A305" s="1787"/>
      <c r="B305" s="1778"/>
      <c r="C305" s="1267" t="s">
        <v>327</v>
      </c>
      <c r="D305" s="56">
        <f ca="1"/>
        <v>0</v>
      </c>
      <c r="E305" s="56">
        <f ca="1"/>
        <v>0</v>
      </c>
      <c r="F305" s="56">
        <f ca="1"/>
        <v>0</v>
      </c>
      <c r="G305" s="56">
        <f ca="1"/>
        <v>0</v>
      </c>
      <c r="H305" s="56">
        <f ca="1"/>
        <v>0</v>
      </c>
      <c r="I305" s="56">
        <f ca="1"/>
        <v>0</v>
      </c>
      <c r="J305" s="56">
        <f ca="1"/>
        <v>0</v>
      </c>
      <c r="K305" s="56">
        <f ca="1"/>
        <v>0</v>
      </c>
      <c r="L305" s="56">
        <f ca="1"/>
        <v>0</v>
      </c>
      <c r="M305" s="58">
        <f ca="1"/>
        <v>0</v>
      </c>
      <c r="N305" s="58">
        <f ca="1"/>
        <v>0</v>
      </c>
      <c r="O305" s="58">
        <f ca="1"/>
        <v>0</v>
      </c>
      <c r="P305" s="58">
        <f ca="1"/>
        <v>0</v>
      </c>
      <c r="Q305" s="58">
        <f ca="1"/>
        <v>0</v>
      </c>
      <c r="R305" s="58">
        <f ca="1"/>
        <v>0</v>
      </c>
      <c r="S305" s="58">
        <f ca="1"/>
        <v>0</v>
      </c>
      <c r="T305" s="58">
        <f ca="1"/>
        <v>0</v>
      </c>
      <c r="U305" s="56">
        <f ca="1"/>
        <v>0</v>
      </c>
      <c r="V305" s="58">
        <f ca="1"/>
        <v>0</v>
      </c>
      <c r="W305" s="58">
        <f ca="1"/>
        <v>0</v>
      </c>
      <c r="X305" s="58">
        <f ca="1"/>
        <v>0</v>
      </c>
      <c r="Y305" s="58">
        <f ca="1"/>
        <v>0</v>
      </c>
      <c r="Z305" s="58">
        <f ca="1"/>
        <v>0</v>
      </c>
      <c r="AA305" s="94">
        <f ca="1"/>
        <v>0</v>
      </c>
      <c r="AB305" s="14"/>
    </row>
    <row r="306" spans="1:28" s="10" customFormat="1" ht="15" hidden="1" customHeight="1" x14ac:dyDescent="0.45">
      <c r="A306" s="1805" t="s">
        <v>344</v>
      </c>
      <c r="B306" s="1773" t="s">
        <v>325</v>
      </c>
      <c r="C306" s="1268" t="s">
        <v>326</v>
      </c>
      <c r="D306" s="40">
        <f t="array" aca="1" ref="D306:AA319" ca="1">final_duration_effort+plan_duration_WU+plan_duration_WD+plan_duration_recoveries</f>
        <v>40</v>
      </c>
      <c r="E306" s="40">
        <f ca="1"/>
        <v>40</v>
      </c>
      <c r="F306" s="40">
        <f ca="1"/>
        <v>40</v>
      </c>
      <c r="G306" s="40">
        <f ca="1"/>
        <v>40</v>
      </c>
      <c r="H306" s="40">
        <f ca="1"/>
        <v>40</v>
      </c>
      <c r="I306" s="40">
        <f ca="1"/>
        <v>40</v>
      </c>
      <c r="J306" s="40">
        <f ca="1"/>
        <v>40</v>
      </c>
      <c r="K306" s="40">
        <f ca="1"/>
        <v>40</v>
      </c>
      <c r="L306" s="40">
        <f ca="1"/>
        <v>40</v>
      </c>
      <c r="M306" s="42">
        <f ca="1"/>
        <v>0</v>
      </c>
      <c r="N306" s="42">
        <f ca="1"/>
        <v>0</v>
      </c>
      <c r="O306" s="42">
        <f ca="1"/>
        <v>40</v>
      </c>
      <c r="P306" s="42">
        <f ca="1"/>
        <v>40</v>
      </c>
      <c r="Q306" s="42">
        <f ca="1"/>
        <v>40</v>
      </c>
      <c r="R306" s="42">
        <f ca="1"/>
        <v>30</v>
      </c>
      <c r="S306" s="42">
        <f ca="1"/>
        <v>30</v>
      </c>
      <c r="T306" s="42">
        <f ca="1"/>
        <v>30</v>
      </c>
      <c r="U306" s="42">
        <f ca="1"/>
        <v>30</v>
      </c>
      <c r="V306" s="40">
        <f ca="1"/>
        <v>0</v>
      </c>
      <c r="W306" s="42">
        <f ca="1"/>
        <v>0</v>
      </c>
      <c r="X306" s="42">
        <f ca="1"/>
        <v>0</v>
      </c>
      <c r="Y306" s="42">
        <f ca="1"/>
        <v>0</v>
      </c>
      <c r="Z306" s="42">
        <f ca="1"/>
        <v>0</v>
      </c>
      <c r="AA306" s="90">
        <f ca="1"/>
        <v>0</v>
      </c>
      <c r="AB306" s="14"/>
    </row>
    <row r="307" spans="1:28" s="10" customFormat="1" ht="15" hidden="1" customHeight="1" x14ac:dyDescent="0.45">
      <c r="A307" s="1806"/>
      <c r="B307" s="1774"/>
      <c r="C307" s="1265" t="s">
        <v>327</v>
      </c>
      <c r="D307" s="44">
        <f ca="1"/>
        <v>60</v>
      </c>
      <c r="E307" s="44">
        <f ca="1"/>
        <v>60</v>
      </c>
      <c r="F307" s="44">
        <f ca="1"/>
        <v>60</v>
      </c>
      <c r="G307" s="44">
        <f ca="1"/>
        <v>60</v>
      </c>
      <c r="H307" s="44">
        <f ca="1"/>
        <v>60</v>
      </c>
      <c r="I307" s="44">
        <f ca="1"/>
        <v>60</v>
      </c>
      <c r="J307" s="44">
        <f ca="1"/>
        <v>60</v>
      </c>
      <c r="K307" s="44">
        <f ca="1"/>
        <v>60</v>
      </c>
      <c r="L307" s="44">
        <f ca="1"/>
        <v>60</v>
      </c>
      <c r="M307" s="44">
        <f ca="1"/>
        <v>0</v>
      </c>
      <c r="N307" s="44">
        <f ca="1"/>
        <v>85</v>
      </c>
      <c r="O307" s="44">
        <f ca="1"/>
        <v>60</v>
      </c>
      <c r="P307" s="44">
        <f ca="1"/>
        <v>60</v>
      </c>
      <c r="Q307" s="44">
        <f ca="1"/>
        <v>60</v>
      </c>
      <c r="R307" s="44">
        <f ca="1"/>
        <v>60</v>
      </c>
      <c r="S307" s="44">
        <f ca="1"/>
        <v>60</v>
      </c>
      <c r="T307" s="44">
        <f ca="1"/>
        <v>60</v>
      </c>
      <c r="U307" s="44">
        <f ca="1"/>
        <v>60</v>
      </c>
      <c r="V307" s="44">
        <f ca="1"/>
        <v>0</v>
      </c>
      <c r="W307" s="44">
        <f ca="1"/>
        <v>0</v>
      </c>
      <c r="X307" s="55">
        <f ca="1"/>
        <v>0</v>
      </c>
      <c r="Y307" s="55">
        <f ca="1"/>
        <v>0</v>
      </c>
      <c r="Z307" s="55">
        <f ca="1"/>
        <v>0</v>
      </c>
      <c r="AA307" s="91">
        <f ca="1"/>
        <v>0</v>
      </c>
      <c r="AB307" s="14"/>
    </row>
    <row r="308" spans="1:28" s="10" customFormat="1" ht="15" hidden="1" customHeight="1" x14ac:dyDescent="0.45">
      <c r="A308" s="1806"/>
      <c r="B308" s="1775" t="s">
        <v>328</v>
      </c>
      <c r="C308" s="1266" t="s">
        <v>326</v>
      </c>
      <c r="D308" s="47">
        <f ca="1"/>
        <v>40</v>
      </c>
      <c r="E308" s="47">
        <f ca="1"/>
        <v>40</v>
      </c>
      <c r="F308" s="47">
        <f ca="1"/>
        <v>40</v>
      </c>
      <c r="G308" s="47">
        <f ca="1"/>
        <v>40</v>
      </c>
      <c r="H308" s="47">
        <f ca="1"/>
        <v>40</v>
      </c>
      <c r="I308" s="47">
        <f ca="1"/>
        <v>40</v>
      </c>
      <c r="J308" s="47">
        <f ca="1"/>
        <v>40</v>
      </c>
      <c r="K308" s="47">
        <f ca="1"/>
        <v>0</v>
      </c>
      <c r="L308" s="47">
        <f ca="1"/>
        <v>0</v>
      </c>
      <c r="M308" s="47">
        <f ca="1"/>
        <v>0</v>
      </c>
      <c r="N308" s="47">
        <f ca="1"/>
        <v>0</v>
      </c>
      <c r="O308" s="47">
        <f ca="1"/>
        <v>40</v>
      </c>
      <c r="P308" s="49">
        <f ca="1"/>
        <v>40</v>
      </c>
      <c r="Q308" s="49">
        <f ca="1"/>
        <v>40</v>
      </c>
      <c r="R308" s="49">
        <f ca="1"/>
        <v>0</v>
      </c>
      <c r="S308" s="49">
        <f ca="1"/>
        <v>0</v>
      </c>
      <c r="T308" s="49">
        <f ca="1"/>
        <v>0</v>
      </c>
      <c r="U308" s="49">
        <f ca="1"/>
        <v>0</v>
      </c>
      <c r="V308" s="47">
        <f ca="1"/>
        <v>0</v>
      </c>
      <c r="W308" s="47">
        <f ca="1"/>
        <v>0</v>
      </c>
      <c r="X308" s="49">
        <f ca="1"/>
        <v>0</v>
      </c>
      <c r="Y308" s="49">
        <f ca="1"/>
        <v>0</v>
      </c>
      <c r="Z308" s="49">
        <f ca="1"/>
        <v>0</v>
      </c>
      <c r="AA308" s="92">
        <f ca="1"/>
        <v>0</v>
      </c>
      <c r="AB308" s="14"/>
    </row>
    <row r="309" spans="1:28" s="10" customFormat="1" ht="15" hidden="1" customHeight="1" x14ac:dyDescent="0.45">
      <c r="A309" s="1806"/>
      <c r="B309" s="1776"/>
      <c r="C309" s="1266" t="s">
        <v>327</v>
      </c>
      <c r="D309" s="47">
        <f ca="1"/>
        <v>55</v>
      </c>
      <c r="E309" s="47">
        <f ca="1"/>
        <v>55</v>
      </c>
      <c r="F309" s="47">
        <f ca="1"/>
        <v>55</v>
      </c>
      <c r="G309" s="47">
        <f ca="1"/>
        <v>55</v>
      </c>
      <c r="H309" s="47">
        <f ca="1"/>
        <v>55</v>
      </c>
      <c r="I309" s="47">
        <f ca="1"/>
        <v>55</v>
      </c>
      <c r="J309" s="47">
        <f ca="1"/>
        <v>55</v>
      </c>
      <c r="K309" s="47">
        <f ca="1"/>
        <v>55</v>
      </c>
      <c r="L309" s="47">
        <f ca="1"/>
        <v>55</v>
      </c>
      <c r="M309" s="47">
        <f ca="1"/>
        <v>0</v>
      </c>
      <c r="N309" s="47">
        <f ca="1"/>
        <v>145</v>
      </c>
      <c r="O309" s="47">
        <f ca="1"/>
        <v>55</v>
      </c>
      <c r="P309" s="47">
        <f ca="1"/>
        <v>55</v>
      </c>
      <c r="Q309" s="49">
        <f ca="1"/>
        <v>55</v>
      </c>
      <c r="R309" s="49">
        <f ca="1"/>
        <v>55</v>
      </c>
      <c r="S309" s="49">
        <f ca="1"/>
        <v>55</v>
      </c>
      <c r="T309" s="49">
        <f ca="1"/>
        <v>55</v>
      </c>
      <c r="U309" s="49">
        <f ca="1"/>
        <v>55</v>
      </c>
      <c r="V309" s="47">
        <f ca="1"/>
        <v>49.5</v>
      </c>
      <c r="W309" s="47">
        <f ca="1"/>
        <v>0</v>
      </c>
      <c r="X309" s="49">
        <f ca="1"/>
        <v>0</v>
      </c>
      <c r="Y309" s="49">
        <f ca="1"/>
        <v>0</v>
      </c>
      <c r="Z309" s="49">
        <f ca="1"/>
        <v>0</v>
      </c>
      <c r="AA309" s="92">
        <f ca="1"/>
        <v>0</v>
      </c>
      <c r="AB309" s="14"/>
    </row>
    <row r="310" spans="1:28" s="10" customFormat="1" ht="15" hidden="1" customHeight="1" x14ac:dyDescent="0.45">
      <c r="A310" s="1806"/>
      <c r="B310" s="1777" t="s">
        <v>329</v>
      </c>
      <c r="C310" s="1235" t="s">
        <v>326</v>
      </c>
      <c r="D310" s="51">
        <f ca="1"/>
        <v>0</v>
      </c>
      <c r="E310" s="51">
        <f ca="1"/>
        <v>0</v>
      </c>
      <c r="F310" s="51">
        <f ca="1"/>
        <v>0</v>
      </c>
      <c r="G310" s="51">
        <f ca="1"/>
        <v>0</v>
      </c>
      <c r="H310" s="51">
        <f ca="1"/>
        <v>0</v>
      </c>
      <c r="I310" s="51">
        <f ca="1"/>
        <v>0</v>
      </c>
      <c r="J310" s="51">
        <f ca="1"/>
        <v>0</v>
      </c>
      <c r="K310" s="51">
        <f ca="1"/>
        <v>0</v>
      </c>
      <c r="L310" s="51">
        <f ca="1"/>
        <v>0</v>
      </c>
      <c r="M310" s="53">
        <f ca="1"/>
        <v>0</v>
      </c>
      <c r="N310" s="53">
        <f ca="1"/>
        <v>0</v>
      </c>
      <c r="O310" s="53">
        <f ca="1"/>
        <v>0</v>
      </c>
      <c r="P310" s="53">
        <f ca="1"/>
        <v>0</v>
      </c>
      <c r="Q310" s="53">
        <f ca="1"/>
        <v>0</v>
      </c>
      <c r="R310" s="53">
        <f ca="1"/>
        <v>0</v>
      </c>
      <c r="S310" s="53">
        <f ca="1"/>
        <v>0</v>
      </c>
      <c r="T310" s="53">
        <f ca="1"/>
        <v>0</v>
      </c>
      <c r="U310" s="53">
        <f ca="1"/>
        <v>0</v>
      </c>
      <c r="V310" s="51">
        <f ca="1"/>
        <v>0</v>
      </c>
      <c r="W310" s="53">
        <f ca="1"/>
        <v>0</v>
      </c>
      <c r="X310" s="53">
        <f ca="1"/>
        <v>0</v>
      </c>
      <c r="Y310" s="53">
        <f ca="1"/>
        <v>0</v>
      </c>
      <c r="Z310" s="53">
        <f ca="1"/>
        <v>0</v>
      </c>
      <c r="AA310" s="93">
        <f ca="1"/>
        <v>0</v>
      </c>
      <c r="AB310" s="14"/>
    </row>
    <row r="311" spans="1:28" s="10" customFormat="1" ht="15" hidden="1" customHeight="1" x14ac:dyDescent="0.45">
      <c r="A311" s="1806"/>
      <c r="B311" s="1774"/>
      <c r="C311" s="1265" t="s">
        <v>327</v>
      </c>
      <c r="D311" s="44">
        <f ca="1"/>
        <v>50</v>
      </c>
      <c r="E311" s="44">
        <f ca="1"/>
        <v>70</v>
      </c>
      <c r="F311" s="44">
        <f ca="1"/>
        <v>85</v>
      </c>
      <c r="G311" s="44">
        <f ca="1"/>
        <v>75</v>
      </c>
      <c r="H311" s="44">
        <f ca="1"/>
        <v>80</v>
      </c>
      <c r="I311" s="44">
        <f ca="1"/>
        <v>95</v>
      </c>
      <c r="J311" s="44">
        <f ca="1"/>
        <v>60</v>
      </c>
      <c r="K311" s="44">
        <f ca="1"/>
        <v>55</v>
      </c>
      <c r="L311" s="44">
        <f ca="1"/>
        <v>45</v>
      </c>
      <c r="M311" s="44">
        <f ca="1"/>
        <v>0</v>
      </c>
      <c r="N311" s="44">
        <f ca="1"/>
        <v>145</v>
      </c>
      <c r="O311" s="44">
        <f ca="1"/>
        <v>30</v>
      </c>
      <c r="P311" s="44">
        <f ca="1"/>
        <v>30</v>
      </c>
      <c r="Q311" s="44">
        <f ca="1"/>
        <v>80</v>
      </c>
      <c r="R311" s="44">
        <f ca="1"/>
        <v>30</v>
      </c>
      <c r="S311" s="44">
        <f ca="1"/>
        <v>30</v>
      </c>
      <c r="T311" s="44">
        <f ca="1"/>
        <v>55</v>
      </c>
      <c r="U311" s="44">
        <f ca="1"/>
        <v>105</v>
      </c>
      <c r="V311" s="44">
        <f ca="1"/>
        <v>100</v>
      </c>
      <c r="W311" s="44">
        <f ca="1"/>
        <v>0</v>
      </c>
      <c r="X311" s="55">
        <f ca="1"/>
        <v>0</v>
      </c>
      <c r="Y311" s="55">
        <f ca="1"/>
        <v>0</v>
      </c>
      <c r="Z311" s="55">
        <f ca="1"/>
        <v>0</v>
      </c>
      <c r="AA311" s="91">
        <f ca="1"/>
        <v>0</v>
      </c>
      <c r="AB311" s="14"/>
    </row>
    <row r="312" spans="1:28" s="10" customFormat="1" ht="15" hidden="1" customHeight="1" x14ac:dyDescent="0.45">
      <c r="A312" s="1806"/>
      <c r="B312" s="1775" t="s">
        <v>330</v>
      </c>
      <c r="C312" s="1266" t="s">
        <v>326</v>
      </c>
      <c r="D312" s="47">
        <f ca="1"/>
        <v>40</v>
      </c>
      <c r="E312" s="47">
        <f ca="1"/>
        <v>40</v>
      </c>
      <c r="F312" s="47">
        <f ca="1"/>
        <v>40</v>
      </c>
      <c r="G312" s="47">
        <f ca="1"/>
        <v>40</v>
      </c>
      <c r="H312" s="47">
        <f ca="1"/>
        <v>40</v>
      </c>
      <c r="I312" s="47">
        <f ca="1"/>
        <v>40</v>
      </c>
      <c r="J312" s="47">
        <f ca="1"/>
        <v>0</v>
      </c>
      <c r="K312" s="47">
        <f ca="1"/>
        <v>0</v>
      </c>
      <c r="L312" s="47">
        <f ca="1"/>
        <v>0</v>
      </c>
      <c r="M312" s="47">
        <f ca="1"/>
        <v>0</v>
      </c>
      <c r="N312" s="47">
        <f ca="1"/>
        <v>0</v>
      </c>
      <c r="O312" s="47">
        <f ca="1"/>
        <v>40</v>
      </c>
      <c r="P312" s="49">
        <f ca="1"/>
        <v>40</v>
      </c>
      <c r="Q312" s="49">
        <f ca="1"/>
        <v>40</v>
      </c>
      <c r="R312" s="49">
        <f ca="1"/>
        <v>0</v>
      </c>
      <c r="S312" s="49">
        <f ca="1"/>
        <v>0</v>
      </c>
      <c r="T312" s="49">
        <f ca="1"/>
        <v>0</v>
      </c>
      <c r="U312" s="49">
        <f ca="1"/>
        <v>0</v>
      </c>
      <c r="V312" s="47">
        <f ca="1"/>
        <v>20</v>
      </c>
      <c r="W312" s="47">
        <f ca="1"/>
        <v>0</v>
      </c>
      <c r="X312" s="49">
        <f ca="1"/>
        <v>0</v>
      </c>
      <c r="Y312" s="49">
        <f ca="1"/>
        <v>0</v>
      </c>
      <c r="Z312" s="49">
        <f ca="1"/>
        <v>0</v>
      </c>
      <c r="AA312" s="92">
        <f ca="1"/>
        <v>0</v>
      </c>
      <c r="AB312" s="14"/>
    </row>
    <row r="313" spans="1:28" s="10" customFormat="1" ht="15" hidden="1" customHeight="1" x14ac:dyDescent="0.45">
      <c r="A313" s="1806"/>
      <c r="B313" s="1776"/>
      <c r="C313" s="1266" t="s">
        <v>327</v>
      </c>
      <c r="D313" s="47">
        <f ca="1"/>
        <v>80</v>
      </c>
      <c r="E313" s="47">
        <f ca="1"/>
        <v>85</v>
      </c>
      <c r="F313" s="47">
        <f ca="1"/>
        <v>90</v>
      </c>
      <c r="G313" s="47">
        <f ca="1"/>
        <v>90</v>
      </c>
      <c r="H313" s="47">
        <f ca="1"/>
        <v>95</v>
      </c>
      <c r="I313" s="47">
        <f ca="1"/>
        <v>100</v>
      </c>
      <c r="J313" s="47">
        <f ca="1"/>
        <v>80</v>
      </c>
      <c r="K313" s="47">
        <f ca="1"/>
        <v>65</v>
      </c>
      <c r="L313" s="47">
        <f ca="1"/>
        <v>0</v>
      </c>
      <c r="M313" s="47">
        <f ca="1"/>
        <v>0</v>
      </c>
      <c r="N313" s="47">
        <f ca="1"/>
        <v>85</v>
      </c>
      <c r="O313" s="49">
        <f ca="1"/>
        <v>43.3</v>
      </c>
      <c r="P313" s="47">
        <f ca="1"/>
        <v>48.4</v>
      </c>
      <c r="Q313" s="49">
        <f ca="1"/>
        <v>53.6</v>
      </c>
      <c r="R313" s="49">
        <f ca="1"/>
        <v>45.4</v>
      </c>
      <c r="S313" s="49">
        <f ca="1"/>
        <v>45.4</v>
      </c>
      <c r="T313" s="49">
        <f ca="1"/>
        <v>0</v>
      </c>
      <c r="U313" s="49">
        <f ca="1"/>
        <v>49.5</v>
      </c>
      <c r="V313" s="47">
        <f ca="1"/>
        <v>0</v>
      </c>
      <c r="W313" s="47">
        <f ca="1"/>
        <v>0</v>
      </c>
      <c r="X313" s="49">
        <f ca="1"/>
        <v>0</v>
      </c>
      <c r="Y313" s="49">
        <f ca="1"/>
        <v>0</v>
      </c>
      <c r="Z313" s="49">
        <f ca="1"/>
        <v>0</v>
      </c>
      <c r="AA313" s="92">
        <f ca="1"/>
        <v>0</v>
      </c>
      <c r="AB313" s="14"/>
    </row>
    <row r="314" spans="1:28" s="10" customFormat="1" ht="15" hidden="1" customHeight="1" x14ac:dyDescent="0.45">
      <c r="A314" s="1806"/>
      <c r="B314" s="1777" t="s">
        <v>331</v>
      </c>
      <c r="C314" s="1235" t="s">
        <v>326</v>
      </c>
      <c r="D314" s="51">
        <f ca="1"/>
        <v>40</v>
      </c>
      <c r="E314" s="51">
        <f ca="1"/>
        <v>40</v>
      </c>
      <c r="F314" s="51">
        <f ca="1"/>
        <v>40</v>
      </c>
      <c r="G314" s="51">
        <f ca="1"/>
        <v>40</v>
      </c>
      <c r="H314" s="51">
        <f ca="1"/>
        <v>40</v>
      </c>
      <c r="I314" s="51">
        <f ca="1"/>
        <v>40</v>
      </c>
      <c r="J314" s="51">
        <f ca="1"/>
        <v>40</v>
      </c>
      <c r="K314" s="51">
        <f ca="1"/>
        <v>40</v>
      </c>
      <c r="L314" s="51">
        <f ca="1"/>
        <v>40</v>
      </c>
      <c r="M314" s="53">
        <f ca="1"/>
        <v>0</v>
      </c>
      <c r="N314" s="53">
        <f ca="1"/>
        <v>0</v>
      </c>
      <c r="O314" s="53">
        <f ca="1"/>
        <v>40</v>
      </c>
      <c r="P314" s="53">
        <f ca="1"/>
        <v>40</v>
      </c>
      <c r="Q314" s="53">
        <f ca="1"/>
        <v>40</v>
      </c>
      <c r="R314" s="53">
        <f ca="1"/>
        <v>30</v>
      </c>
      <c r="S314" s="53">
        <f ca="1"/>
        <v>30</v>
      </c>
      <c r="T314" s="53">
        <f ca="1"/>
        <v>0</v>
      </c>
      <c r="U314" s="53">
        <f ca="1"/>
        <v>30</v>
      </c>
      <c r="V314" s="51">
        <f ca="1"/>
        <v>30</v>
      </c>
      <c r="W314" s="53">
        <f ca="1"/>
        <v>0</v>
      </c>
      <c r="X314" s="53">
        <f ca="1"/>
        <v>0</v>
      </c>
      <c r="Y314" s="53">
        <f ca="1"/>
        <v>0</v>
      </c>
      <c r="Z314" s="53">
        <f ca="1"/>
        <v>0</v>
      </c>
      <c r="AA314" s="93">
        <f ca="1"/>
        <v>0</v>
      </c>
      <c r="AB314" s="14"/>
    </row>
    <row r="315" spans="1:28" s="10" customFormat="1" ht="15" hidden="1" customHeight="1" x14ac:dyDescent="0.45">
      <c r="A315" s="1806"/>
      <c r="B315" s="1774"/>
      <c r="C315" s="1265" t="s">
        <v>327</v>
      </c>
      <c r="D315" s="44">
        <f ca="1"/>
        <v>60</v>
      </c>
      <c r="E315" s="44">
        <f ca="1"/>
        <v>60</v>
      </c>
      <c r="F315" s="44">
        <f ca="1"/>
        <v>60</v>
      </c>
      <c r="G315" s="44">
        <f ca="1"/>
        <v>60</v>
      </c>
      <c r="H315" s="44">
        <f ca="1"/>
        <v>60</v>
      </c>
      <c r="I315" s="44">
        <f ca="1"/>
        <v>60</v>
      </c>
      <c r="J315" s="44">
        <f ca="1"/>
        <v>60</v>
      </c>
      <c r="K315" s="44">
        <f ca="1"/>
        <v>60</v>
      </c>
      <c r="L315" s="44">
        <f ca="1"/>
        <v>0</v>
      </c>
      <c r="M315" s="44">
        <f ca="1"/>
        <v>0</v>
      </c>
      <c r="N315" s="44">
        <f ca="1"/>
        <v>85</v>
      </c>
      <c r="O315" s="44">
        <f ca="1"/>
        <v>60</v>
      </c>
      <c r="P315" s="44">
        <f ca="1"/>
        <v>60</v>
      </c>
      <c r="Q315" s="44">
        <f ca="1"/>
        <v>60</v>
      </c>
      <c r="R315" s="44">
        <f ca="1"/>
        <v>60</v>
      </c>
      <c r="S315" s="44">
        <f ca="1"/>
        <v>60</v>
      </c>
      <c r="T315" s="44">
        <f ca="1"/>
        <v>45</v>
      </c>
      <c r="U315" s="44">
        <f ca="1"/>
        <v>60</v>
      </c>
      <c r="V315" s="44">
        <f ca="1"/>
        <v>0</v>
      </c>
      <c r="W315" s="44">
        <f ca="1"/>
        <v>0</v>
      </c>
      <c r="X315" s="55">
        <f ca="1"/>
        <v>0</v>
      </c>
      <c r="Y315" s="55">
        <f ca="1"/>
        <v>0</v>
      </c>
      <c r="Z315" s="55">
        <f ca="1"/>
        <v>0</v>
      </c>
      <c r="AA315" s="91">
        <f ca="1"/>
        <v>0</v>
      </c>
      <c r="AB315" s="14"/>
    </row>
    <row r="316" spans="1:28" s="10" customFormat="1" ht="15" hidden="1" customHeight="1" x14ac:dyDescent="0.45">
      <c r="A316" s="1806"/>
      <c r="B316" s="1775" t="s">
        <v>332</v>
      </c>
      <c r="C316" s="1266" t="s">
        <v>326</v>
      </c>
      <c r="D316" s="47">
        <f ca="1"/>
        <v>60</v>
      </c>
      <c r="E316" s="47">
        <f ca="1"/>
        <v>60</v>
      </c>
      <c r="F316" s="47">
        <f ca="1"/>
        <v>60</v>
      </c>
      <c r="G316" s="47">
        <f ca="1"/>
        <v>80</v>
      </c>
      <c r="H316" s="47">
        <f ca="1"/>
        <v>85</v>
      </c>
      <c r="I316" s="47">
        <f ca="1"/>
        <v>240</v>
      </c>
      <c r="J316" s="47">
        <f ca="1"/>
        <v>75</v>
      </c>
      <c r="K316" s="47">
        <f ca="1"/>
        <v>70</v>
      </c>
      <c r="L316" s="47">
        <f ca="1"/>
        <v>330</v>
      </c>
      <c r="M316" s="47">
        <f ca="1"/>
        <v>0</v>
      </c>
      <c r="N316" s="47">
        <f ca="1"/>
        <v>145</v>
      </c>
      <c r="O316" s="47">
        <f ca="1"/>
        <v>70</v>
      </c>
      <c r="P316" s="49">
        <f ca="1"/>
        <v>75</v>
      </c>
      <c r="Q316" s="49">
        <f ca="1"/>
        <v>95</v>
      </c>
      <c r="R316" s="49">
        <f ca="1"/>
        <v>50</v>
      </c>
      <c r="S316" s="49">
        <f ca="1"/>
        <v>50</v>
      </c>
      <c r="T316" s="49">
        <f ca="1"/>
        <v>120</v>
      </c>
      <c r="U316" s="49">
        <f ca="1"/>
        <v>65</v>
      </c>
      <c r="V316" s="47">
        <f ca="1"/>
        <v>210</v>
      </c>
      <c r="W316" s="47">
        <f ca="1"/>
        <v>0</v>
      </c>
      <c r="X316" s="49">
        <f ca="1"/>
        <v>0</v>
      </c>
      <c r="Y316" s="49">
        <f ca="1"/>
        <v>0</v>
      </c>
      <c r="Z316" s="49">
        <f ca="1"/>
        <v>0</v>
      </c>
      <c r="AA316" s="92">
        <f ca="1"/>
        <v>0</v>
      </c>
      <c r="AB316" s="14"/>
    </row>
    <row r="317" spans="1:28" s="10" customFormat="1" ht="15" hidden="1" customHeight="1" x14ac:dyDescent="0.45">
      <c r="A317" s="1806"/>
      <c r="B317" s="1776"/>
      <c r="C317" s="1266" t="s">
        <v>327</v>
      </c>
      <c r="D317" s="47">
        <f ca="1"/>
        <v>55</v>
      </c>
      <c r="E317" s="47">
        <f ca="1"/>
        <v>55</v>
      </c>
      <c r="F317" s="47">
        <f ca="1"/>
        <v>60</v>
      </c>
      <c r="G317" s="47">
        <f ca="1"/>
        <v>60</v>
      </c>
      <c r="H317" s="47">
        <f ca="1"/>
        <v>65</v>
      </c>
      <c r="I317" s="47">
        <f ca="1"/>
        <v>0</v>
      </c>
      <c r="J317" s="47">
        <f ca="1"/>
        <v>50</v>
      </c>
      <c r="K317" s="47">
        <f ca="1"/>
        <v>45</v>
      </c>
      <c r="L317" s="47">
        <f ca="1"/>
        <v>0</v>
      </c>
      <c r="M317" s="47">
        <f ca="1"/>
        <v>0</v>
      </c>
      <c r="N317" s="47">
        <f ca="1"/>
        <v>0</v>
      </c>
      <c r="O317" s="47">
        <f ca="1"/>
        <v>30</v>
      </c>
      <c r="P317" s="47">
        <f ca="1"/>
        <v>30</v>
      </c>
      <c r="Q317" s="49">
        <f ca="1"/>
        <v>80</v>
      </c>
      <c r="R317" s="49">
        <f ca="1"/>
        <v>0</v>
      </c>
      <c r="S317" s="49">
        <f ca="1"/>
        <v>0</v>
      </c>
      <c r="T317" s="49">
        <f ca="1"/>
        <v>0</v>
      </c>
      <c r="U317" s="49">
        <f ca="1"/>
        <v>0</v>
      </c>
      <c r="V317" s="47">
        <f ca="1"/>
        <v>0</v>
      </c>
      <c r="W317" s="47">
        <f ca="1"/>
        <v>0</v>
      </c>
      <c r="X317" s="49">
        <f ca="1"/>
        <v>0</v>
      </c>
      <c r="Y317" s="49">
        <f ca="1"/>
        <v>0</v>
      </c>
      <c r="Z317" s="49">
        <f ca="1"/>
        <v>0</v>
      </c>
      <c r="AA317" s="92">
        <f ca="1"/>
        <v>0</v>
      </c>
      <c r="AB317" s="14"/>
    </row>
    <row r="318" spans="1:28" s="10" customFormat="1" ht="15" hidden="1" customHeight="1" x14ac:dyDescent="0.45">
      <c r="A318" s="1806"/>
      <c r="B318" s="1777" t="s">
        <v>333</v>
      </c>
      <c r="C318" s="1265" t="s">
        <v>326</v>
      </c>
      <c r="D318" s="44">
        <f ca="1"/>
        <v>135</v>
      </c>
      <c r="E318" s="44">
        <f ca="1"/>
        <v>140</v>
      </c>
      <c r="F318" s="44">
        <f ca="1"/>
        <v>145</v>
      </c>
      <c r="G318" s="44">
        <f ca="1"/>
        <v>155</v>
      </c>
      <c r="H318" s="44">
        <f ca="1"/>
        <v>160</v>
      </c>
      <c r="I318" s="44">
        <f ca="1"/>
        <v>60</v>
      </c>
      <c r="J318" s="44">
        <f ca="1"/>
        <v>130</v>
      </c>
      <c r="K318" s="44">
        <f ca="1"/>
        <v>110</v>
      </c>
      <c r="L318" s="44">
        <f ca="1"/>
        <v>0</v>
      </c>
      <c r="M318" s="55">
        <f ca="1"/>
        <v>0</v>
      </c>
      <c r="N318" s="55">
        <f ca="1"/>
        <v>145</v>
      </c>
      <c r="O318" s="55">
        <f ca="1"/>
        <v>115</v>
      </c>
      <c r="P318" s="55">
        <f ca="1"/>
        <v>125</v>
      </c>
      <c r="Q318" s="55">
        <f ca="1"/>
        <v>160</v>
      </c>
      <c r="R318" s="55">
        <f ca="1"/>
        <v>80</v>
      </c>
      <c r="S318" s="55">
        <f ca="1"/>
        <v>80</v>
      </c>
      <c r="T318" s="55">
        <f ca="1"/>
        <v>60</v>
      </c>
      <c r="U318" s="55">
        <f ca="1"/>
        <v>105</v>
      </c>
      <c r="V318" s="44">
        <f ca="1"/>
        <v>0</v>
      </c>
      <c r="W318" s="55">
        <f ca="1"/>
        <v>0</v>
      </c>
      <c r="X318" s="55">
        <f ca="1"/>
        <v>0</v>
      </c>
      <c r="Y318" s="55">
        <f ca="1"/>
        <v>0</v>
      </c>
      <c r="Z318" s="55">
        <f ca="1"/>
        <v>0</v>
      </c>
      <c r="AA318" s="91">
        <f ca="1"/>
        <v>0</v>
      </c>
      <c r="AB318" s="14"/>
    </row>
    <row r="319" spans="1:28" s="10" customFormat="1" ht="15" hidden="1" customHeight="1" x14ac:dyDescent="0.45">
      <c r="A319" s="1806"/>
      <c r="B319" s="1778"/>
      <c r="C319" s="1267" t="s">
        <v>327</v>
      </c>
      <c r="D319" s="56">
        <f ca="1"/>
        <v>0</v>
      </c>
      <c r="E319" s="56">
        <f ca="1"/>
        <v>0</v>
      </c>
      <c r="F319" s="56">
        <f ca="1"/>
        <v>0</v>
      </c>
      <c r="G319" s="56">
        <f ca="1"/>
        <v>0</v>
      </c>
      <c r="H319" s="56">
        <f ca="1"/>
        <v>0</v>
      </c>
      <c r="I319" s="56">
        <f ca="1"/>
        <v>0</v>
      </c>
      <c r="J319" s="56">
        <f ca="1"/>
        <v>0</v>
      </c>
      <c r="K319" s="56">
        <f ca="1"/>
        <v>0</v>
      </c>
      <c r="L319" s="56">
        <f ca="1"/>
        <v>0</v>
      </c>
      <c r="M319" s="58">
        <f ca="1"/>
        <v>50</v>
      </c>
      <c r="N319" s="58">
        <f ca="1"/>
        <v>0</v>
      </c>
      <c r="O319" s="58">
        <f ca="1"/>
        <v>0</v>
      </c>
      <c r="P319" s="58">
        <f ca="1"/>
        <v>0</v>
      </c>
      <c r="Q319" s="58">
        <f ca="1"/>
        <v>0</v>
      </c>
      <c r="R319" s="58">
        <f ca="1"/>
        <v>0</v>
      </c>
      <c r="S319" s="58">
        <f ca="1"/>
        <v>0</v>
      </c>
      <c r="T319" s="58">
        <f ca="1"/>
        <v>0</v>
      </c>
      <c r="U319" s="58">
        <f ca="1"/>
        <v>0</v>
      </c>
      <c r="V319" s="56">
        <f ca="1"/>
        <v>0</v>
      </c>
      <c r="W319" s="58">
        <f ca="1"/>
        <v>0</v>
      </c>
      <c r="X319" s="58">
        <f ca="1"/>
        <v>0</v>
      </c>
      <c r="Y319" s="58">
        <f ca="1"/>
        <v>0</v>
      </c>
      <c r="Z319" s="58">
        <f ca="1"/>
        <v>0</v>
      </c>
      <c r="AA319" s="94">
        <f ca="1"/>
        <v>0</v>
      </c>
      <c r="AB319" s="14"/>
    </row>
    <row r="320" spans="1:28" s="10" customFormat="1" ht="15" hidden="1" customHeight="1" x14ac:dyDescent="0.45">
      <c r="A320" s="1806"/>
      <c r="B320" s="1837" t="s">
        <v>631</v>
      </c>
      <c r="C320" s="1838"/>
      <c r="D320" s="103">
        <f ca="1">SUM(D208:D221)</f>
        <v>50</v>
      </c>
      <c r="E320" s="102">
        <f t="shared" ref="E320:AA320" ca="1" si="25">SUM(E208:E221)</f>
        <v>70</v>
      </c>
      <c r="F320" s="102">
        <f t="shared" ca="1" si="25"/>
        <v>85</v>
      </c>
      <c r="G320" s="102">
        <f t="shared" ca="1" si="25"/>
        <v>110</v>
      </c>
      <c r="H320" s="102">
        <f t="shared" ca="1" si="25"/>
        <v>120</v>
      </c>
      <c r="I320" s="102">
        <f t="shared" ca="1" si="25"/>
        <v>95</v>
      </c>
      <c r="J320" s="102">
        <f t="shared" ca="1" si="25"/>
        <v>90</v>
      </c>
      <c r="K320" s="102">
        <f t="shared" ca="1" si="25"/>
        <v>80</v>
      </c>
      <c r="L320" s="102">
        <f t="shared" ca="1" si="25"/>
        <v>0</v>
      </c>
      <c r="M320" s="102">
        <f t="shared" ca="1" si="25"/>
        <v>0</v>
      </c>
      <c r="N320" s="103">
        <f t="shared" ca="1" si="25"/>
        <v>0</v>
      </c>
      <c r="O320" s="102">
        <f t="shared" ca="1" si="25"/>
        <v>60</v>
      </c>
      <c r="P320" s="102">
        <f t="shared" ca="1" si="25"/>
        <v>60</v>
      </c>
      <c r="Q320" s="102">
        <f t="shared" ca="1" si="25"/>
        <v>160</v>
      </c>
      <c r="R320" s="102">
        <f t="shared" ca="1" si="25"/>
        <v>30</v>
      </c>
      <c r="S320" s="102">
        <f t="shared" ca="1" si="25"/>
        <v>30</v>
      </c>
      <c r="T320" s="102">
        <f t="shared" ca="1" si="25"/>
        <v>110</v>
      </c>
      <c r="U320" s="102">
        <f t="shared" ca="1" si="25"/>
        <v>105</v>
      </c>
      <c r="V320" s="102">
        <f t="shared" ca="1" si="25"/>
        <v>0</v>
      </c>
      <c r="W320" s="102">
        <f t="shared" ca="1" si="25"/>
        <v>0</v>
      </c>
      <c r="X320" s="102">
        <f t="shared" ca="1" si="25"/>
        <v>0</v>
      </c>
      <c r="Y320" s="102">
        <f t="shared" ca="1" si="25"/>
        <v>0</v>
      </c>
      <c r="Z320" s="102">
        <f t="shared" ca="1" si="25"/>
        <v>0</v>
      </c>
      <c r="AA320" s="104">
        <f t="shared" ca="1" si="25"/>
        <v>0</v>
      </c>
      <c r="AB320" s="14"/>
    </row>
    <row r="321" spans="1:28" s="10" customFormat="1" ht="15" hidden="1" customHeight="1" x14ac:dyDescent="0.45">
      <c r="A321" s="1806"/>
      <c r="B321" s="1841" t="s">
        <v>345</v>
      </c>
      <c r="C321" s="1842"/>
      <c r="D321" s="116">
        <f t="array" aca="1" ref="D321:AA321" ca="1">evaluation_duration_total+final_duration_filler</f>
        <v>715</v>
      </c>
      <c r="E321" s="117">
        <f ca="1"/>
        <v>745</v>
      </c>
      <c r="F321" s="117">
        <f ca="1"/>
        <v>775</v>
      </c>
      <c r="G321" s="117">
        <f ca="1"/>
        <v>795</v>
      </c>
      <c r="H321" s="117">
        <f ca="1"/>
        <v>820</v>
      </c>
      <c r="I321" s="117">
        <f ca="1"/>
        <v>830</v>
      </c>
      <c r="J321" s="117">
        <f ca="1"/>
        <v>690</v>
      </c>
      <c r="K321" s="117">
        <f ca="1"/>
        <v>600</v>
      </c>
      <c r="L321" s="117">
        <f ca="1"/>
        <v>570</v>
      </c>
      <c r="M321" s="117">
        <f ca="1"/>
        <v>50</v>
      </c>
      <c r="N321" s="116">
        <f ca="1"/>
        <v>835</v>
      </c>
      <c r="O321" s="117">
        <f ca="1"/>
        <v>623.29999999999995</v>
      </c>
      <c r="P321" s="117">
        <f ca="1"/>
        <v>643.4</v>
      </c>
      <c r="Q321" s="117">
        <f ca="1"/>
        <v>803.6</v>
      </c>
      <c r="R321" s="117">
        <f ca="1"/>
        <v>440.4</v>
      </c>
      <c r="S321" s="117">
        <f ca="1"/>
        <v>440.4</v>
      </c>
      <c r="T321" s="117">
        <f ca="1"/>
        <v>425</v>
      </c>
      <c r="U321" s="117">
        <f ca="1"/>
        <v>559.5</v>
      </c>
      <c r="V321" s="117">
        <f ca="1"/>
        <v>409.5</v>
      </c>
      <c r="W321" s="117">
        <f ca="1"/>
        <v>0</v>
      </c>
      <c r="X321" s="117">
        <f ca="1"/>
        <v>0</v>
      </c>
      <c r="Y321" s="117">
        <f ca="1"/>
        <v>0</v>
      </c>
      <c r="Z321" s="117">
        <f ca="1"/>
        <v>0</v>
      </c>
      <c r="AA321" s="118">
        <f ca="1"/>
        <v>0</v>
      </c>
      <c r="AB321" s="14"/>
    </row>
    <row r="322" spans="1:28" s="10" customFormat="1" ht="15" hidden="1" customHeight="1" x14ac:dyDescent="0.45">
      <c r="A322" s="1806"/>
      <c r="B322" s="1835" t="s">
        <v>346</v>
      </c>
      <c r="C322" s="1836"/>
      <c r="D322" s="105">
        <f ca="1">D321/athlete_starting_duration - 1</f>
        <v>0.32407407407407418</v>
      </c>
      <c r="E322" s="101">
        <f ca="1">IFERROR(E321/D321,0) - 1</f>
        <v>4.195804195804187E-2</v>
      </c>
      <c r="F322" s="101">
        <f t="shared" ref="F322:AA322" ca="1" si="26">IFERROR(F321/E321,0) - 1</f>
        <v>4.0268456375838868E-2</v>
      </c>
      <c r="G322" s="106">
        <f t="shared" ca="1" si="26"/>
        <v>2.5806451612903292E-2</v>
      </c>
      <c r="H322" s="106">
        <f t="shared" ca="1" si="26"/>
        <v>3.1446540880503138E-2</v>
      </c>
      <c r="I322" s="106">
        <f t="shared" ca="1" si="26"/>
        <v>1.2195121951219523E-2</v>
      </c>
      <c r="J322" s="106">
        <f t="shared" ca="1" si="26"/>
        <v>-0.16867469879518071</v>
      </c>
      <c r="K322" s="106">
        <f t="shared" ca="1" si="26"/>
        <v>-0.13043478260869568</v>
      </c>
      <c r="L322" s="106">
        <f t="shared" ca="1" si="26"/>
        <v>-5.0000000000000044E-2</v>
      </c>
      <c r="M322" s="106">
        <f t="shared" ca="1" si="26"/>
        <v>-0.91228070175438591</v>
      </c>
      <c r="N322" s="107">
        <f t="shared" ca="1" si="26"/>
        <v>15.7</v>
      </c>
      <c r="O322" s="106">
        <f t="shared" ca="1" si="26"/>
        <v>-0.25353293413173661</v>
      </c>
      <c r="P322" s="106">
        <f t="shared" ca="1" si="26"/>
        <v>3.224771378148561E-2</v>
      </c>
      <c r="Q322" s="101">
        <f t="shared" ca="1" si="26"/>
        <v>0.24898974199564816</v>
      </c>
      <c r="R322" s="106">
        <f t="shared" ca="1" si="26"/>
        <v>-0.45196615231458437</v>
      </c>
      <c r="S322" s="106">
        <f t="shared" ca="1" si="26"/>
        <v>0</v>
      </c>
      <c r="T322" s="106">
        <f t="shared" ca="1" si="26"/>
        <v>-3.4968210717529424E-2</v>
      </c>
      <c r="U322" s="106">
        <f t="shared" ca="1" si="26"/>
        <v>0.31647058823529406</v>
      </c>
      <c r="V322" s="106">
        <f t="shared" ca="1" si="26"/>
        <v>-0.26809651474530827</v>
      </c>
      <c r="W322" s="106">
        <f t="shared" ca="1" si="26"/>
        <v>-1</v>
      </c>
      <c r="X322" s="106">
        <f t="shared" ca="1" si="26"/>
        <v>-1</v>
      </c>
      <c r="Y322" s="106">
        <f t="shared" ca="1" si="26"/>
        <v>-1</v>
      </c>
      <c r="Z322" s="106">
        <f t="shared" ca="1" si="26"/>
        <v>-1</v>
      </c>
      <c r="AA322" s="108">
        <f t="shared" ca="1" si="26"/>
        <v>-1</v>
      </c>
      <c r="AB322" s="14"/>
    </row>
    <row r="323" spans="1:28" s="10" customFormat="1" ht="15" hidden="1" customHeight="1" x14ac:dyDescent="0.45">
      <c r="A323" s="1806"/>
      <c r="B323" s="1835" t="s">
        <v>320</v>
      </c>
      <c r="C323" s="1836"/>
      <c r="D323" s="109">
        <f t="array" aca="1" ref="D323:AA323" ca="1">final_duration_total/MAX(final_duration_total)</f>
        <v>0.85628742514970058</v>
      </c>
      <c r="E323" s="101">
        <f ca="1"/>
        <v>0.89221556886227549</v>
      </c>
      <c r="F323" s="101">
        <f ca="1"/>
        <v>0.92814371257485029</v>
      </c>
      <c r="G323" s="106">
        <f ca="1"/>
        <v>0.95209580838323349</v>
      </c>
      <c r="H323" s="106">
        <f ca="1"/>
        <v>0.98203592814371254</v>
      </c>
      <c r="I323" s="106">
        <f ca="1"/>
        <v>0.99401197604790414</v>
      </c>
      <c r="J323" s="106">
        <f ca="1"/>
        <v>0.82634730538922152</v>
      </c>
      <c r="K323" s="106">
        <f ca="1"/>
        <v>0.71856287425149701</v>
      </c>
      <c r="L323" s="106">
        <f ca="1"/>
        <v>0.68263473053892221</v>
      </c>
      <c r="M323" s="106">
        <f ca="1"/>
        <v>5.9880239520958084E-2</v>
      </c>
      <c r="N323" s="107">
        <f ca="1"/>
        <v>1</v>
      </c>
      <c r="O323" s="106">
        <f ca="1"/>
        <v>0.74646706586826339</v>
      </c>
      <c r="P323" s="106">
        <f ca="1"/>
        <v>0.77053892215568864</v>
      </c>
      <c r="Q323" s="101">
        <f ca="1"/>
        <v>0.96239520958083835</v>
      </c>
      <c r="R323" s="106">
        <f ca="1"/>
        <v>0.52742514970059873</v>
      </c>
      <c r="S323" s="106">
        <f ca="1"/>
        <v>0.52742514970059873</v>
      </c>
      <c r="T323" s="106">
        <f ca="1"/>
        <v>0.50898203592814373</v>
      </c>
      <c r="U323" s="106">
        <f ca="1"/>
        <v>0.67005988023952101</v>
      </c>
      <c r="V323" s="106">
        <f ca="1"/>
        <v>0.49041916167664673</v>
      </c>
      <c r="W323" s="106">
        <f ca="1"/>
        <v>0</v>
      </c>
      <c r="X323" s="106">
        <f ca="1"/>
        <v>0</v>
      </c>
      <c r="Y323" s="106">
        <f ca="1"/>
        <v>0</v>
      </c>
      <c r="Z323" s="106">
        <f ca="1"/>
        <v>0</v>
      </c>
      <c r="AA323" s="110">
        <f ca="1"/>
        <v>0</v>
      </c>
      <c r="AB323" s="14"/>
    </row>
    <row r="324" spans="1:28" s="10" customFormat="1" ht="15" hidden="1" customHeight="1" x14ac:dyDescent="0.45">
      <c r="A324" s="1807"/>
      <c r="B324" s="1839" t="s">
        <v>347</v>
      </c>
      <c r="C324" s="1840"/>
      <c r="D324" s="111">
        <f t="array" ref="D324:AA324" ca="1">final_duration_total-plan_duration</f>
        <v>175</v>
      </c>
      <c r="E324" s="112">
        <f ca="1"/>
        <v>180.82089552238801</v>
      </c>
      <c r="F324" s="112">
        <f ca="1"/>
        <v>187.32648528595212</v>
      </c>
      <c r="G324" s="113">
        <f ca="1"/>
        <v>184.63194859225973</v>
      </c>
      <c r="H324" s="113">
        <f ca="1"/>
        <v>187.83489980641571</v>
      </c>
      <c r="I324" s="113">
        <f ca="1"/>
        <v>177.0143834758469</v>
      </c>
      <c r="J324" s="113">
        <f ca="1"/>
        <v>171.18715630342092</v>
      </c>
      <c r="K324" s="113">
        <f ca="1"/>
        <v>159.0090828579078</v>
      </c>
      <c r="L324" s="113">
        <f ca="1"/>
        <v>129.0090828579078</v>
      </c>
      <c r="M324" s="113">
        <f ca="1"/>
        <v>-287.22834840277642</v>
      </c>
      <c r="N324" s="114">
        <f ca="1"/>
        <v>261.71180771528009</v>
      </c>
      <c r="O324" s="113">
        <f ca="1"/>
        <v>156.81870784827237</v>
      </c>
      <c r="P324" s="113">
        <f ca="1"/>
        <v>151.53380332232598</v>
      </c>
      <c r="Q324" s="112">
        <f ca="1"/>
        <v>164.1739443190238</v>
      </c>
      <c r="R324" s="113">
        <f ca="1"/>
        <v>120.68697215951187</v>
      </c>
      <c r="S324" s="113">
        <f ca="1"/>
        <v>120.68697215951187</v>
      </c>
      <c r="T324" s="113">
        <f ca="1"/>
        <v>-1.2840371206507939</v>
      </c>
      <c r="U324" s="113">
        <f ca="1"/>
        <v>133.21596287934921</v>
      </c>
      <c r="V324" s="113">
        <f ca="1"/>
        <v>-16.784037120650794</v>
      </c>
      <c r="W324" s="113">
        <f ca="1"/>
        <v>-426.28403712065079</v>
      </c>
      <c r="X324" s="113">
        <f ca="1"/>
        <v>-426.28403712065079</v>
      </c>
      <c r="Y324" s="113">
        <f ca="1"/>
        <v>-426.28403712065079</v>
      </c>
      <c r="Z324" s="113">
        <f ca="1"/>
        <v>-426.28403712065079</v>
      </c>
      <c r="AA324" s="115">
        <f ca="1"/>
        <v>-426.28403712065079</v>
      </c>
      <c r="AB324" s="14"/>
    </row>
    <row r="325" spans="1:28" s="10" customFormat="1" ht="15" hidden="1" customHeight="1" x14ac:dyDescent="0.45">
      <c r="A325" s="1806" t="s">
        <v>368</v>
      </c>
      <c r="B325" s="1773" t="s">
        <v>325</v>
      </c>
      <c r="C325" s="1268" t="s">
        <v>326</v>
      </c>
      <c r="D325" s="40">
        <f t="array" ref="D325:AA338" ca="1">evaluation_load+final_adjusted_session_durations*load_filler</f>
        <v>52.141504510283774</v>
      </c>
      <c r="E325" s="40">
        <f ca="1"/>
        <v>52.141504510283774</v>
      </c>
      <c r="F325" s="40">
        <f ca="1"/>
        <v>52.141504510283774</v>
      </c>
      <c r="G325" s="40">
        <f ca="1"/>
        <v>52.141504510283774</v>
      </c>
      <c r="H325" s="40">
        <f ca="1"/>
        <v>52.141504510283774</v>
      </c>
      <c r="I325" s="40">
        <f ca="1"/>
        <v>52.141504510283774</v>
      </c>
      <c r="J325" s="40">
        <f ca="1"/>
        <v>52.141504510283774</v>
      </c>
      <c r="K325" s="40">
        <f ca="1"/>
        <v>52.141504510283774</v>
      </c>
      <c r="L325" s="40">
        <f ca="1"/>
        <v>52.141504510283774</v>
      </c>
      <c r="M325" s="42">
        <f ca="1"/>
        <v>0</v>
      </c>
      <c r="N325" s="42">
        <f ca="1"/>
        <v>0</v>
      </c>
      <c r="O325" s="42">
        <f ca="1"/>
        <v>52.141504510283774</v>
      </c>
      <c r="P325" s="42">
        <f ca="1"/>
        <v>52.141504510283774</v>
      </c>
      <c r="Q325" s="42">
        <f ca="1"/>
        <v>52.141504510283774</v>
      </c>
      <c r="R325" s="42">
        <f ca="1"/>
        <v>39.106128382712832</v>
      </c>
      <c r="S325" s="42">
        <f ca="1"/>
        <v>39.106128382712832</v>
      </c>
      <c r="T325" s="42">
        <f ca="1"/>
        <v>39.106128382712832</v>
      </c>
      <c r="U325" s="42">
        <f ca="1"/>
        <v>39.106128382712832</v>
      </c>
      <c r="V325" s="42">
        <f ca="1"/>
        <v>0</v>
      </c>
      <c r="W325" s="42">
        <f ca="1"/>
        <v>0</v>
      </c>
      <c r="X325" s="42">
        <f ca="1"/>
        <v>0</v>
      </c>
      <c r="Y325" s="42">
        <f ca="1"/>
        <v>0</v>
      </c>
      <c r="Z325" s="42">
        <f ca="1"/>
        <v>0</v>
      </c>
      <c r="AA325" s="90">
        <f ca="1"/>
        <v>0</v>
      </c>
      <c r="AB325" s="14"/>
    </row>
    <row r="326" spans="1:28" s="10" customFormat="1" ht="15" hidden="1" customHeight="1" x14ac:dyDescent="0.45">
      <c r="A326" s="1806"/>
      <c r="B326" s="1774"/>
      <c r="C326" s="1265" t="s">
        <v>327</v>
      </c>
      <c r="D326" s="44">
        <f ca="1"/>
        <v>0</v>
      </c>
      <c r="E326" s="44">
        <f ca="1"/>
        <v>0</v>
      </c>
      <c r="F326" s="44">
        <f ca="1"/>
        <v>0</v>
      </c>
      <c r="G326" s="44">
        <f ca="1"/>
        <v>0</v>
      </c>
      <c r="H326" s="44">
        <f ca="1"/>
        <v>0</v>
      </c>
      <c r="I326" s="44">
        <f ca="1"/>
        <v>0</v>
      </c>
      <c r="J326" s="44">
        <f ca="1"/>
        <v>0</v>
      </c>
      <c r="K326" s="44">
        <f ca="1"/>
        <v>0</v>
      </c>
      <c r="L326" s="44">
        <f ca="1"/>
        <v>0</v>
      </c>
      <c r="M326" s="44">
        <f ca="1"/>
        <v>0</v>
      </c>
      <c r="N326" s="44">
        <f ca="1"/>
        <v>141.2561625103078</v>
      </c>
      <c r="O326" s="44">
        <f ca="1"/>
        <v>0</v>
      </c>
      <c r="P326" s="44">
        <f ca="1"/>
        <v>0</v>
      </c>
      <c r="Q326" s="44">
        <f ca="1"/>
        <v>0</v>
      </c>
      <c r="R326" s="44">
        <f ca="1"/>
        <v>0</v>
      </c>
      <c r="S326" s="44">
        <f ca="1"/>
        <v>0</v>
      </c>
      <c r="T326" s="44">
        <f ca="1"/>
        <v>0</v>
      </c>
      <c r="U326" s="44">
        <f ca="1"/>
        <v>0</v>
      </c>
      <c r="V326" s="44">
        <f ca="1"/>
        <v>0</v>
      </c>
      <c r="W326" s="44">
        <f ca="1"/>
        <v>0</v>
      </c>
      <c r="X326" s="44">
        <f ca="1"/>
        <v>0</v>
      </c>
      <c r="Y326" s="55">
        <f ca="1"/>
        <v>0</v>
      </c>
      <c r="Z326" s="55">
        <f ca="1"/>
        <v>0</v>
      </c>
      <c r="AA326" s="91">
        <f ca="1"/>
        <v>0</v>
      </c>
      <c r="AB326" s="14"/>
    </row>
    <row r="327" spans="1:28" s="10" customFormat="1" ht="15" hidden="1" customHeight="1" x14ac:dyDescent="0.45">
      <c r="A327" s="1806"/>
      <c r="B327" s="1775" t="s">
        <v>328</v>
      </c>
      <c r="C327" s="1266" t="s">
        <v>326</v>
      </c>
      <c r="D327" s="47">
        <f ca="1"/>
        <v>52.141504510283774</v>
      </c>
      <c r="E327" s="47">
        <f ca="1"/>
        <v>52.141504510283774</v>
      </c>
      <c r="F327" s="47">
        <f ca="1"/>
        <v>52.141504510283774</v>
      </c>
      <c r="G327" s="47">
        <f ca="1"/>
        <v>52.141504510283774</v>
      </c>
      <c r="H327" s="47">
        <f ca="1"/>
        <v>52.141504510283774</v>
      </c>
      <c r="I327" s="47">
        <f ca="1"/>
        <v>52.141504510283774</v>
      </c>
      <c r="J327" s="47">
        <f ca="1"/>
        <v>52.141504510283774</v>
      </c>
      <c r="K327" s="47">
        <f ca="1"/>
        <v>0</v>
      </c>
      <c r="L327" s="47">
        <f ca="1"/>
        <v>0</v>
      </c>
      <c r="M327" s="47">
        <f ca="1"/>
        <v>0</v>
      </c>
      <c r="N327" s="47">
        <f ca="1"/>
        <v>0</v>
      </c>
      <c r="O327" s="47">
        <f ca="1"/>
        <v>52.141504510283774</v>
      </c>
      <c r="P327" s="49">
        <f ca="1"/>
        <v>52.141504510283774</v>
      </c>
      <c r="Q327" s="49">
        <f ca="1"/>
        <v>52.141504510283774</v>
      </c>
      <c r="R327" s="49">
        <f ca="1"/>
        <v>0</v>
      </c>
      <c r="S327" s="49">
        <f ca="1"/>
        <v>0</v>
      </c>
      <c r="T327" s="49">
        <f ca="1"/>
        <v>0</v>
      </c>
      <c r="U327" s="49">
        <f ca="1"/>
        <v>0</v>
      </c>
      <c r="V327" s="49">
        <f ca="1"/>
        <v>0</v>
      </c>
      <c r="W327" s="49">
        <f ca="1"/>
        <v>0</v>
      </c>
      <c r="X327" s="49">
        <f ca="1"/>
        <v>0</v>
      </c>
      <c r="Y327" s="49">
        <f ca="1"/>
        <v>0</v>
      </c>
      <c r="Z327" s="49">
        <f ca="1"/>
        <v>0</v>
      </c>
      <c r="AA327" s="92">
        <f ca="1"/>
        <v>0</v>
      </c>
      <c r="AB327" s="14"/>
    </row>
    <row r="328" spans="1:28" s="10" customFormat="1" ht="15" hidden="1" customHeight="1" x14ac:dyDescent="0.45">
      <c r="A328" s="1806"/>
      <c r="B328" s="1776"/>
      <c r="C328" s="1266" t="s">
        <v>327</v>
      </c>
      <c r="D328" s="47">
        <f ca="1"/>
        <v>110.77323675581503</v>
      </c>
      <c r="E328" s="47">
        <f ca="1"/>
        <v>110.77323675581503</v>
      </c>
      <c r="F328" s="47">
        <f ca="1"/>
        <v>110.77323675581503</v>
      </c>
      <c r="G328" s="47">
        <f ca="1"/>
        <v>110.77323675581503</v>
      </c>
      <c r="H328" s="47">
        <f ca="1"/>
        <v>110.77323675581503</v>
      </c>
      <c r="I328" s="47">
        <f ca="1"/>
        <v>110.77323675581503</v>
      </c>
      <c r="J328" s="47">
        <f ca="1"/>
        <v>110.77323675581503</v>
      </c>
      <c r="K328" s="47">
        <f ca="1"/>
        <v>110.77323675581503</v>
      </c>
      <c r="L328" s="47">
        <f ca="1"/>
        <v>110.77323675581503</v>
      </c>
      <c r="M328" s="47">
        <f ca="1"/>
        <v>0</v>
      </c>
      <c r="N328" s="47">
        <f ca="1"/>
        <v>240.96639487052505</v>
      </c>
      <c r="O328" s="47">
        <f ca="1"/>
        <v>110.77323675581503</v>
      </c>
      <c r="P328" s="47">
        <f ca="1"/>
        <v>110.77323675581503</v>
      </c>
      <c r="Q328" s="49">
        <f ca="1"/>
        <v>110.77323675581503</v>
      </c>
      <c r="R328" s="49">
        <f ca="1"/>
        <v>110.77323675581503</v>
      </c>
      <c r="S328" s="49">
        <f ca="1"/>
        <v>110.77323675581503</v>
      </c>
      <c r="T328" s="49">
        <f ca="1"/>
        <v>71.694568701640193</v>
      </c>
      <c r="U328" s="49">
        <f ca="1"/>
        <v>110.77323675581503</v>
      </c>
      <c r="V328" s="49">
        <f ca="1"/>
        <v>97.524639791762624</v>
      </c>
      <c r="W328" s="49">
        <f ca="1"/>
        <v>0</v>
      </c>
      <c r="X328" s="49">
        <f ca="1"/>
        <v>0</v>
      </c>
      <c r="Y328" s="49">
        <f ca="1"/>
        <v>0</v>
      </c>
      <c r="Z328" s="49">
        <f ca="1"/>
        <v>0</v>
      </c>
      <c r="AA328" s="92">
        <f ca="1"/>
        <v>0</v>
      </c>
      <c r="AB328" s="14"/>
    </row>
    <row r="329" spans="1:28" s="10" customFormat="1" ht="15" hidden="1" customHeight="1" x14ac:dyDescent="0.45">
      <c r="A329" s="1806"/>
      <c r="B329" s="1777" t="s">
        <v>329</v>
      </c>
      <c r="C329" s="1235" t="s">
        <v>326</v>
      </c>
      <c r="D329" s="51">
        <f ca="1"/>
        <v>0</v>
      </c>
      <c r="E329" s="51">
        <f ca="1"/>
        <v>0</v>
      </c>
      <c r="F329" s="51">
        <f ca="1"/>
        <v>0</v>
      </c>
      <c r="G329" s="51">
        <f ca="1"/>
        <v>0</v>
      </c>
      <c r="H329" s="51">
        <f ca="1"/>
        <v>0</v>
      </c>
      <c r="I329" s="51">
        <f ca="1"/>
        <v>0</v>
      </c>
      <c r="J329" s="51">
        <f ca="1"/>
        <v>0</v>
      </c>
      <c r="K329" s="51">
        <f ca="1"/>
        <v>0</v>
      </c>
      <c r="L329" s="51">
        <f ca="1"/>
        <v>0</v>
      </c>
      <c r="M329" s="53">
        <f ca="1"/>
        <v>0</v>
      </c>
      <c r="N329" s="53">
        <f ca="1"/>
        <v>0</v>
      </c>
      <c r="O329" s="53">
        <f ca="1"/>
        <v>0</v>
      </c>
      <c r="P329" s="53">
        <f ca="1"/>
        <v>0</v>
      </c>
      <c r="Q329" s="53">
        <f ca="1"/>
        <v>0</v>
      </c>
      <c r="R329" s="53">
        <f ca="1"/>
        <v>0</v>
      </c>
      <c r="S329" s="53">
        <f ca="1"/>
        <v>0</v>
      </c>
      <c r="T329" s="53">
        <f ca="1"/>
        <v>0</v>
      </c>
      <c r="U329" s="53">
        <f ca="1"/>
        <v>0</v>
      </c>
      <c r="V329" s="53">
        <f ca="1"/>
        <v>0</v>
      </c>
      <c r="W329" s="53">
        <f ca="1"/>
        <v>0</v>
      </c>
      <c r="X329" s="53">
        <f ca="1"/>
        <v>0</v>
      </c>
      <c r="Y329" s="53">
        <f ca="1"/>
        <v>0</v>
      </c>
      <c r="Z329" s="53">
        <f ca="1"/>
        <v>0</v>
      </c>
      <c r="AA329" s="93">
        <f ca="1"/>
        <v>0</v>
      </c>
      <c r="AB329" s="14"/>
    </row>
    <row r="330" spans="1:28" s="10" customFormat="1" ht="15" hidden="1" customHeight="1" x14ac:dyDescent="0.45">
      <c r="A330" s="1806"/>
      <c r="B330" s="1774"/>
      <c r="C330" s="1265" t="s">
        <v>327</v>
      </c>
      <c r="D330" s="44">
        <f ca="1"/>
        <v>65.176880637854723</v>
      </c>
      <c r="E330" s="44">
        <f ca="1"/>
        <v>91.247632892996606</v>
      </c>
      <c r="F330" s="44">
        <f ca="1"/>
        <v>110.80069708435302</v>
      </c>
      <c r="G330" s="44">
        <f ca="1"/>
        <v>97.765320956782077</v>
      </c>
      <c r="H330" s="44">
        <f ca="1"/>
        <v>104.28300902056755</v>
      </c>
      <c r="I330" s="44">
        <f ca="1"/>
        <v>123.83607321192396</v>
      </c>
      <c r="J330" s="44">
        <f ca="1"/>
        <v>78.212256765425664</v>
      </c>
      <c r="K330" s="44">
        <f ca="1"/>
        <v>71.694568701640193</v>
      </c>
      <c r="L330" s="44">
        <f ca="1"/>
        <v>58.659192574069245</v>
      </c>
      <c r="M330" s="44">
        <f ca="1"/>
        <v>0</v>
      </c>
      <c r="N330" s="44">
        <f ca="1"/>
        <v>240.96639487052505</v>
      </c>
      <c r="O330" s="44">
        <f ca="1"/>
        <v>39.106128382712832</v>
      </c>
      <c r="P330" s="44">
        <f ca="1"/>
        <v>39.106128382712832</v>
      </c>
      <c r="Q330" s="44">
        <f ca="1"/>
        <v>104.28300902056755</v>
      </c>
      <c r="R330" s="44">
        <f ca="1"/>
        <v>39.106128382712832</v>
      </c>
      <c r="S330" s="44">
        <f ca="1"/>
        <v>39.106128382712832</v>
      </c>
      <c r="T330" s="44">
        <f ca="1"/>
        <v>71.694568701640193</v>
      </c>
      <c r="U330" s="44">
        <f ca="1"/>
        <v>136.87144933949492</v>
      </c>
      <c r="V330" s="44">
        <f ca="1"/>
        <v>142.46628556425392</v>
      </c>
      <c r="W330" s="44">
        <f ca="1"/>
        <v>0</v>
      </c>
      <c r="X330" s="44">
        <f ca="1"/>
        <v>0</v>
      </c>
      <c r="Y330" s="55">
        <f ca="1"/>
        <v>0</v>
      </c>
      <c r="Z330" s="55">
        <f ca="1"/>
        <v>0</v>
      </c>
      <c r="AA330" s="91">
        <f ca="1"/>
        <v>0</v>
      </c>
      <c r="AB330" s="14"/>
    </row>
    <row r="331" spans="1:28" s="10" customFormat="1" ht="15" hidden="1" customHeight="1" x14ac:dyDescent="0.45">
      <c r="A331" s="1806"/>
      <c r="B331" s="1775" t="s">
        <v>330</v>
      </c>
      <c r="C331" s="1266" t="s">
        <v>326</v>
      </c>
      <c r="D331" s="47">
        <f ca="1"/>
        <v>52.141504510283774</v>
      </c>
      <c r="E331" s="47">
        <f ca="1"/>
        <v>52.141504510283774</v>
      </c>
      <c r="F331" s="47">
        <f ca="1"/>
        <v>52.141504510283774</v>
      </c>
      <c r="G331" s="47">
        <f ca="1"/>
        <v>52.141504510283774</v>
      </c>
      <c r="H331" s="47">
        <f ca="1"/>
        <v>52.141504510283774</v>
      </c>
      <c r="I331" s="47">
        <f ca="1"/>
        <v>52.141504510283774</v>
      </c>
      <c r="J331" s="47">
        <f ca="1"/>
        <v>0</v>
      </c>
      <c r="K331" s="47">
        <f ca="1"/>
        <v>0</v>
      </c>
      <c r="L331" s="47">
        <f ca="1"/>
        <v>0</v>
      </c>
      <c r="M331" s="47">
        <f ca="1"/>
        <v>0</v>
      </c>
      <c r="N331" s="47">
        <f ca="1"/>
        <v>0</v>
      </c>
      <c r="O331" s="47">
        <f ca="1"/>
        <v>52.141504510283774</v>
      </c>
      <c r="P331" s="49">
        <f ca="1"/>
        <v>52.141504510283774</v>
      </c>
      <c r="Q331" s="49">
        <f ca="1"/>
        <v>52.141504510283774</v>
      </c>
      <c r="R331" s="49">
        <f ca="1"/>
        <v>0</v>
      </c>
      <c r="S331" s="49">
        <f ca="1"/>
        <v>0</v>
      </c>
      <c r="T331" s="49">
        <f ca="1"/>
        <v>0</v>
      </c>
      <c r="U331" s="49">
        <f ca="1"/>
        <v>0</v>
      </c>
      <c r="V331" s="49">
        <f ca="1"/>
        <v>26.070752255141887</v>
      </c>
      <c r="W331" s="49">
        <f ca="1"/>
        <v>0</v>
      </c>
      <c r="X331" s="49">
        <f ca="1"/>
        <v>0</v>
      </c>
      <c r="Y331" s="49">
        <f ca="1"/>
        <v>0</v>
      </c>
      <c r="Z331" s="49">
        <f ca="1"/>
        <v>0</v>
      </c>
      <c r="AA331" s="92">
        <f ca="1"/>
        <v>0</v>
      </c>
      <c r="AB331" s="14"/>
    </row>
    <row r="332" spans="1:28" s="10" customFormat="1" ht="15" hidden="1" customHeight="1" x14ac:dyDescent="0.45">
      <c r="A332" s="1806"/>
      <c r="B332" s="1776"/>
      <c r="C332" s="1266" t="s">
        <v>327</v>
      </c>
      <c r="D332" s="47">
        <f ca="1"/>
        <v>132.94697648028969</v>
      </c>
      <c r="E332" s="47">
        <f ca="1"/>
        <v>141.2561625103078</v>
      </c>
      <c r="F332" s="47">
        <f ca="1"/>
        <v>149.56534854032589</v>
      </c>
      <c r="G332" s="47">
        <f ca="1"/>
        <v>149.56534854032589</v>
      </c>
      <c r="H332" s="47">
        <f ca="1"/>
        <v>157.874534570344</v>
      </c>
      <c r="I332" s="47">
        <f ca="1"/>
        <v>166.18372060036211</v>
      </c>
      <c r="J332" s="47">
        <f ca="1"/>
        <v>132.94697648028969</v>
      </c>
      <c r="K332" s="47">
        <f ca="1"/>
        <v>108.01941839023537</v>
      </c>
      <c r="L332" s="47">
        <f ca="1"/>
        <v>0</v>
      </c>
      <c r="M332" s="47">
        <f ca="1"/>
        <v>0</v>
      </c>
      <c r="N332" s="47">
        <f ca="1"/>
        <v>141.2561625103078</v>
      </c>
      <c r="O332" s="49">
        <f ca="1"/>
        <v>72.606294025709445</v>
      </c>
      <c r="P332" s="47">
        <f ca="1"/>
        <v>87.137747813243664</v>
      </c>
      <c r="Q332" s="49">
        <f ca="1"/>
        <v>111.01995312704302</v>
      </c>
      <c r="R332" s="49">
        <f ca="1"/>
        <v>84.029326456482224</v>
      </c>
      <c r="S332" s="49">
        <f ca="1"/>
        <v>84.029326456482224</v>
      </c>
      <c r="T332" s="49">
        <f ca="1"/>
        <v>0</v>
      </c>
      <c r="U332" s="49">
        <f ca="1"/>
        <v>97.524639791762624</v>
      </c>
      <c r="V332" s="49">
        <f ca="1"/>
        <v>0</v>
      </c>
      <c r="W332" s="49">
        <f ca="1"/>
        <v>0</v>
      </c>
      <c r="X332" s="49">
        <f ca="1"/>
        <v>0</v>
      </c>
      <c r="Y332" s="49">
        <f ca="1"/>
        <v>0</v>
      </c>
      <c r="Z332" s="49">
        <f ca="1"/>
        <v>0</v>
      </c>
      <c r="AA332" s="92">
        <f ca="1"/>
        <v>0</v>
      </c>
      <c r="AB332" s="14"/>
    </row>
    <row r="333" spans="1:28" s="10" customFormat="1" ht="15" hidden="1" customHeight="1" x14ac:dyDescent="0.45">
      <c r="A333" s="1806"/>
      <c r="B333" s="1777" t="s">
        <v>331</v>
      </c>
      <c r="C333" s="1235" t="s">
        <v>326</v>
      </c>
      <c r="D333" s="51">
        <f ca="1"/>
        <v>52.141504510283774</v>
      </c>
      <c r="E333" s="51">
        <f ca="1"/>
        <v>52.141504510283774</v>
      </c>
      <c r="F333" s="51">
        <f ca="1"/>
        <v>52.141504510283774</v>
      </c>
      <c r="G333" s="51">
        <f ca="1"/>
        <v>52.141504510283774</v>
      </c>
      <c r="H333" s="51">
        <f ca="1"/>
        <v>52.141504510283774</v>
      </c>
      <c r="I333" s="51">
        <f ca="1"/>
        <v>52.141504510283774</v>
      </c>
      <c r="J333" s="51">
        <f ca="1"/>
        <v>52.141504510283774</v>
      </c>
      <c r="K333" s="51">
        <f ca="1"/>
        <v>52.141504510283774</v>
      </c>
      <c r="L333" s="51">
        <f ca="1"/>
        <v>49.922045068967208</v>
      </c>
      <c r="M333" s="53">
        <f ca="1"/>
        <v>0</v>
      </c>
      <c r="N333" s="53">
        <f ca="1"/>
        <v>0</v>
      </c>
      <c r="O333" s="53">
        <f ca="1"/>
        <v>52.141504510283774</v>
      </c>
      <c r="P333" s="53">
        <f ca="1"/>
        <v>52.141504510283774</v>
      </c>
      <c r="Q333" s="53">
        <f ca="1"/>
        <v>52.141504510283774</v>
      </c>
      <c r="R333" s="53">
        <f ca="1"/>
        <v>39.106128382712832</v>
      </c>
      <c r="S333" s="53">
        <f ca="1"/>
        <v>39.106128382712832</v>
      </c>
      <c r="T333" s="53">
        <f ca="1"/>
        <v>0</v>
      </c>
      <c r="U333" s="53">
        <f ca="1"/>
        <v>39.106128382712832</v>
      </c>
      <c r="V333" s="53">
        <f ca="1"/>
        <v>39.106128382712832</v>
      </c>
      <c r="W333" s="53">
        <f ca="1"/>
        <v>0</v>
      </c>
      <c r="X333" s="53">
        <f ca="1"/>
        <v>0</v>
      </c>
      <c r="Y333" s="53">
        <f ca="1"/>
        <v>0</v>
      </c>
      <c r="Z333" s="53">
        <f ca="1"/>
        <v>0</v>
      </c>
      <c r="AA333" s="93">
        <f ca="1"/>
        <v>0</v>
      </c>
      <c r="AB333" s="14"/>
    </row>
    <row r="334" spans="1:28" s="10" customFormat="1" ht="15" hidden="1" customHeight="1" x14ac:dyDescent="0.45">
      <c r="A334" s="1806"/>
      <c r="B334" s="1774"/>
      <c r="C334" s="1265" t="s">
        <v>327</v>
      </c>
      <c r="D334" s="44">
        <f ca="1"/>
        <v>0</v>
      </c>
      <c r="E334" s="44">
        <f ca="1"/>
        <v>0</v>
      </c>
      <c r="F334" s="44">
        <f ca="1"/>
        <v>0</v>
      </c>
      <c r="G334" s="44">
        <f ca="1"/>
        <v>0</v>
      </c>
      <c r="H334" s="44">
        <f ca="1"/>
        <v>0</v>
      </c>
      <c r="I334" s="44">
        <f ca="1"/>
        <v>0</v>
      </c>
      <c r="J334" s="44">
        <f ca="1"/>
        <v>0</v>
      </c>
      <c r="K334" s="44">
        <f ca="1"/>
        <v>0</v>
      </c>
      <c r="L334" s="44">
        <f ca="1"/>
        <v>0</v>
      </c>
      <c r="M334" s="44">
        <f ca="1"/>
        <v>0</v>
      </c>
      <c r="N334" s="44">
        <f ca="1"/>
        <v>141.2561625103078</v>
      </c>
      <c r="O334" s="44">
        <f ca="1"/>
        <v>0</v>
      </c>
      <c r="P334" s="44">
        <f ca="1"/>
        <v>0</v>
      </c>
      <c r="Q334" s="44">
        <f ca="1"/>
        <v>0</v>
      </c>
      <c r="R334" s="44">
        <f ca="1"/>
        <v>0</v>
      </c>
      <c r="S334" s="44">
        <f ca="1"/>
        <v>0</v>
      </c>
      <c r="T334" s="44">
        <f ca="1"/>
        <v>91.370533969355975</v>
      </c>
      <c r="U334" s="44">
        <f ca="1"/>
        <v>0</v>
      </c>
      <c r="V334" s="44">
        <f ca="1"/>
        <v>0</v>
      </c>
      <c r="W334" s="44">
        <f ca="1"/>
        <v>0</v>
      </c>
      <c r="X334" s="44">
        <f ca="1"/>
        <v>0</v>
      </c>
      <c r="Y334" s="55">
        <f ca="1"/>
        <v>0</v>
      </c>
      <c r="Z334" s="55">
        <f ca="1"/>
        <v>0</v>
      </c>
      <c r="AA334" s="91">
        <f ca="1"/>
        <v>0</v>
      </c>
      <c r="AB334" s="14"/>
    </row>
    <row r="335" spans="1:28" s="10" customFormat="1" ht="15" hidden="1" customHeight="1" x14ac:dyDescent="0.45">
      <c r="A335" s="1806"/>
      <c r="B335" s="1775" t="s">
        <v>332</v>
      </c>
      <c r="C335" s="1266" t="s">
        <v>326</v>
      </c>
      <c r="D335" s="47">
        <f ca="1"/>
        <v>80.939329747723065</v>
      </c>
      <c r="E335" s="47">
        <f ca="1"/>
        <v>80.939329747723065</v>
      </c>
      <c r="F335" s="47">
        <f ca="1"/>
        <v>80.939329747723065</v>
      </c>
      <c r="G335" s="47">
        <f ca="1"/>
        <v>111.02103941041415</v>
      </c>
      <c r="H335" s="47">
        <f ca="1"/>
        <v>117.53872747419962</v>
      </c>
      <c r="I335" s="47">
        <f ca="1"/>
        <v>398.84092944086905</v>
      </c>
      <c r="J335" s="47">
        <f ca="1"/>
        <v>104.50335134662868</v>
      </c>
      <c r="K335" s="47">
        <f ca="1"/>
        <v>97.985663282843205</v>
      </c>
      <c r="L335" s="47">
        <f ca="1"/>
        <v>783.81617969752529</v>
      </c>
      <c r="M335" s="47">
        <f ca="1"/>
        <v>0</v>
      </c>
      <c r="N335" s="47">
        <f ca="1"/>
        <v>240.96639487052505</v>
      </c>
      <c r="O335" s="47">
        <f ca="1"/>
        <v>116.32860442025347</v>
      </c>
      <c r="P335" s="49">
        <f ca="1"/>
        <v>124.63779045027158</v>
      </c>
      <c r="Q335" s="49">
        <f ca="1"/>
        <v>157.874534570344</v>
      </c>
      <c r="R335" s="49">
        <f ca="1"/>
        <v>83.091860300181054</v>
      </c>
      <c r="S335" s="49">
        <f ca="1"/>
        <v>83.091860300181054</v>
      </c>
      <c r="T335" s="49">
        <f ca="1"/>
        <v>294.30112670373012</v>
      </c>
      <c r="U335" s="49">
        <f ca="1"/>
        <v>108.01941839023537</v>
      </c>
      <c r="V335" s="49">
        <f ca="1"/>
        <v>503.10370156943486</v>
      </c>
      <c r="W335" s="49">
        <f ca="1"/>
        <v>0</v>
      </c>
      <c r="X335" s="49">
        <f ca="1"/>
        <v>0</v>
      </c>
      <c r="Y335" s="49">
        <f ca="1"/>
        <v>0</v>
      </c>
      <c r="Z335" s="49">
        <f ca="1"/>
        <v>0</v>
      </c>
      <c r="AA335" s="92">
        <f ca="1"/>
        <v>0</v>
      </c>
      <c r="AB335" s="14"/>
    </row>
    <row r="336" spans="1:28" s="10" customFormat="1" ht="15" hidden="1" customHeight="1" x14ac:dyDescent="0.45">
      <c r="A336" s="1806"/>
      <c r="B336" s="1776"/>
      <c r="C336" s="1266" t="s">
        <v>327</v>
      </c>
      <c r="D336" s="47">
        <f ca="1"/>
        <v>71.694568701640193</v>
      </c>
      <c r="E336" s="47">
        <f ca="1"/>
        <v>71.694568701640193</v>
      </c>
      <c r="F336" s="47">
        <f ca="1"/>
        <v>78.212256765425664</v>
      </c>
      <c r="G336" s="47">
        <f ca="1"/>
        <v>78.212256765425664</v>
      </c>
      <c r="H336" s="47">
        <f ca="1"/>
        <v>84.729944829211135</v>
      </c>
      <c r="I336" s="47">
        <f ca="1"/>
        <v>0</v>
      </c>
      <c r="J336" s="47">
        <f ca="1"/>
        <v>65.176880637854723</v>
      </c>
      <c r="K336" s="47">
        <f ca="1"/>
        <v>58.659192574069245</v>
      </c>
      <c r="L336" s="47">
        <f ca="1"/>
        <v>0</v>
      </c>
      <c r="M336" s="47">
        <f ca="1"/>
        <v>0</v>
      </c>
      <c r="N336" s="47">
        <f ca="1"/>
        <v>0</v>
      </c>
      <c r="O336" s="47">
        <f ca="1"/>
        <v>39.106128382712832</v>
      </c>
      <c r="P336" s="47">
        <f ca="1"/>
        <v>39.106128382712832</v>
      </c>
      <c r="Q336" s="49">
        <f ca="1"/>
        <v>104.28300902056755</v>
      </c>
      <c r="R336" s="49">
        <f ca="1"/>
        <v>0</v>
      </c>
      <c r="S336" s="49">
        <f ca="1"/>
        <v>0</v>
      </c>
      <c r="T336" s="49">
        <f ca="1"/>
        <v>0</v>
      </c>
      <c r="U336" s="49">
        <f ca="1"/>
        <v>0</v>
      </c>
      <c r="V336" s="49">
        <f ca="1"/>
        <v>0</v>
      </c>
      <c r="W336" s="49">
        <f ca="1"/>
        <v>0</v>
      </c>
      <c r="X336" s="49">
        <f ca="1"/>
        <v>0</v>
      </c>
      <c r="Y336" s="49">
        <f ca="1"/>
        <v>0</v>
      </c>
      <c r="Z336" s="49">
        <f ca="1"/>
        <v>0</v>
      </c>
      <c r="AA336" s="92">
        <f ca="1"/>
        <v>0</v>
      </c>
      <c r="AB336" s="14"/>
    </row>
    <row r="337" spans="1:28" s="10" customFormat="1" ht="15" hidden="1" customHeight="1" x14ac:dyDescent="0.45">
      <c r="A337" s="1806"/>
      <c r="B337" s="1777" t="s">
        <v>333</v>
      </c>
      <c r="C337" s="1265" t="s">
        <v>326</v>
      </c>
      <c r="D337" s="44">
        <f ca="1"/>
        <v>224.34802281048886</v>
      </c>
      <c r="E337" s="44">
        <f ca="1"/>
        <v>232.65720884050694</v>
      </c>
      <c r="F337" s="44">
        <f ca="1"/>
        <v>240.96639487052505</v>
      </c>
      <c r="G337" s="44">
        <f ca="1"/>
        <v>257.58476693056127</v>
      </c>
      <c r="H337" s="44">
        <f ca="1"/>
        <v>265.89395296057938</v>
      </c>
      <c r="I337" s="44">
        <f ca="1"/>
        <v>78.212256765425664</v>
      </c>
      <c r="J337" s="44">
        <f ca="1"/>
        <v>216.03883678047075</v>
      </c>
      <c r="K337" s="44">
        <f ca="1"/>
        <v>182.80209266039833</v>
      </c>
      <c r="L337" s="44">
        <f ca="1"/>
        <v>0</v>
      </c>
      <c r="M337" s="55">
        <f ca="1"/>
        <v>0</v>
      </c>
      <c r="N337" s="55">
        <f ca="1"/>
        <v>240.96639487052505</v>
      </c>
      <c r="O337" s="55">
        <f ca="1"/>
        <v>191.11127869041641</v>
      </c>
      <c r="P337" s="55">
        <f ca="1"/>
        <v>207.72965075045263</v>
      </c>
      <c r="Q337" s="55">
        <f ca="1"/>
        <v>265.89395296057938</v>
      </c>
      <c r="R337" s="55">
        <f ca="1"/>
        <v>132.94697648028969</v>
      </c>
      <c r="S337" s="55">
        <f ca="1"/>
        <v>132.94697648028969</v>
      </c>
      <c r="T337" s="55">
        <f ca="1"/>
        <v>139.69190286200978</v>
      </c>
      <c r="U337" s="55">
        <f ca="1"/>
        <v>174.49290663038022</v>
      </c>
      <c r="V337" s="55">
        <f ca="1"/>
        <v>0</v>
      </c>
      <c r="W337" s="55">
        <f ca="1"/>
        <v>0</v>
      </c>
      <c r="X337" s="55">
        <f ca="1"/>
        <v>0</v>
      </c>
      <c r="Y337" s="55">
        <f ca="1"/>
        <v>0</v>
      </c>
      <c r="Z337" s="55">
        <f ca="1"/>
        <v>0</v>
      </c>
      <c r="AA337" s="91">
        <f ca="1"/>
        <v>0</v>
      </c>
      <c r="AB337" s="14"/>
    </row>
    <row r="338" spans="1:28" s="10" customFormat="1" ht="15" hidden="1" customHeight="1" x14ac:dyDescent="0.45">
      <c r="A338" s="1806"/>
      <c r="B338" s="1778"/>
      <c r="C338" s="1267" t="s">
        <v>327</v>
      </c>
      <c r="D338" s="56">
        <f ca="1"/>
        <v>0</v>
      </c>
      <c r="E338" s="56">
        <f ca="1"/>
        <v>0</v>
      </c>
      <c r="F338" s="56">
        <f ca="1"/>
        <v>0</v>
      </c>
      <c r="G338" s="56">
        <f ca="1"/>
        <v>0</v>
      </c>
      <c r="H338" s="56">
        <f ca="1"/>
        <v>0</v>
      </c>
      <c r="I338" s="56">
        <f ca="1"/>
        <v>0</v>
      </c>
      <c r="J338" s="56">
        <f ca="1"/>
        <v>0</v>
      </c>
      <c r="K338" s="56">
        <f ca="1"/>
        <v>0</v>
      </c>
      <c r="L338" s="56">
        <f ca="1"/>
        <v>0</v>
      </c>
      <c r="M338" s="58">
        <f ca="1"/>
        <v>83.091860300181054</v>
      </c>
      <c r="N338" s="58">
        <f ca="1"/>
        <v>0</v>
      </c>
      <c r="O338" s="58">
        <f ca="1"/>
        <v>0</v>
      </c>
      <c r="P338" s="58">
        <f ca="1"/>
        <v>0</v>
      </c>
      <c r="Q338" s="58">
        <f ca="1"/>
        <v>0</v>
      </c>
      <c r="R338" s="58">
        <f ca="1"/>
        <v>0</v>
      </c>
      <c r="S338" s="58">
        <f ca="1"/>
        <v>0</v>
      </c>
      <c r="T338" s="58">
        <f ca="1"/>
        <v>0</v>
      </c>
      <c r="U338" s="58">
        <f ca="1"/>
        <v>0</v>
      </c>
      <c r="V338" s="58">
        <f ca="1"/>
        <v>0</v>
      </c>
      <c r="W338" s="58">
        <f ca="1"/>
        <v>0</v>
      </c>
      <c r="X338" s="58">
        <f ca="1"/>
        <v>0</v>
      </c>
      <c r="Y338" s="58">
        <f ca="1"/>
        <v>0</v>
      </c>
      <c r="Z338" s="58">
        <f ca="1"/>
        <v>0</v>
      </c>
      <c r="AA338" s="94">
        <f ca="1"/>
        <v>0</v>
      </c>
      <c r="AB338" s="14"/>
    </row>
    <row r="339" spans="1:28" s="10" customFormat="1" ht="15" hidden="1" customHeight="1" x14ac:dyDescent="0.45">
      <c r="A339" s="1806"/>
      <c r="B339" s="1847" t="s">
        <v>364</v>
      </c>
      <c r="C339" s="1848"/>
      <c r="D339" s="116">
        <f t="array" aca="1" ref="D339:AA339" ca="1">evaluation_load_total+final_duration_filler*load_filler</f>
        <v>894.44503317494662</v>
      </c>
      <c r="E339" s="117">
        <f ca="1"/>
        <v>937.13415749012472</v>
      </c>
      <c r="F339" s="117">
        <f ca="1"/>
        <v>979.82328180530283</v>
      </c>
      <c r="G339" s="117">
        <f ca="1"/>
        <v>1013.4879874004591</v>
      </c>
      <c r="H339" s="117">
        <f ca="1"/>
        <v>1049.6594236518517</v>
      </c>
      <c r="I339" s="117">
        <f ca="1"/>
        <v>1086.4122348155308</v>
      </c>
      <c r="J339" s="117">
        <f ca="1"/>
        <v>864.07605229733599</v>
      </c>
      <c r="K339" s="117">
        <f ca="1"/>
        <v>734.21718138556889</v>
      </c>
      <c r="L339" s="117">
        <f ca="1"/>
        <v>1055.3121586066604</v>
      </c>
      <c r="M339" s="117">
        <f ca="1"/>
        <v>83.091860300181054</v>
      </c>
      <c r="N339" s="116">
        <f ca="1"/>
        <v>1387.6340670130239</v>
      </c>
      <c r="O339" s="117">
        <f ca="1"/>
        <v>777.59768869875506</v>
      </c>
      <c r="P339" s="117">
        <f ca="1"/>
        <v>817.05670057634359</v>
      </c>
      <c r="Q339" s="117">
        <f ca="1"/>
        <v>1062.6937134960515</v>
      </c>
      <c r="R339" s="117">
        <f ca="1"/>
        <v>528.15978514090659</v>
      </c>
      <c r="S339" s="117">
        <f ca="1"/>
        <v>528.15978514090659</v>
      </c>
      <c r="T339" s="117">
        <f ca="1"/>
        <v>707.85882932108916</v>
      </c>
      <c r="U339" s="117">
        <f ca="1"/>
        <v>705.89390767311386</v>
      </c>
      <c r="V339" s="117">
        <f ca="1"/>
        <v>808.27150756330616</v>
      </c>
      <c r="W339" s="117">
        <f ca="1"/>
        <v>0</v>
      </c>
      <c r="X339" s="117">
        <f ca="1"/>
        <v>0</v>
      </c>
      <c r="Y339" s="117">
        <f ca="1"/>
        <v>0</v>
      </c>
      <c r="Z339" s="117">
        <f ca="1"/>
        <v>0</v>
      </c>
      <c r="AA339" s="118">
        <f ca="1"/>
        <v>0</v>
      </c>
      <c r="AB339" s="14"/>
    </row>
    <row r="340" spans="1:28" s="10" customFormat="1" ht="15" hidden="1" customHeight="1" x14ac:dyDescent="0.45">
      <c r="A340" s="1806"/>
      <c r="B340" s="1836" t="s">
        <v>363</v>
      </c>
      <c r="C340" s="1849"/>
      <c r="D340" s="105">
        <f t="array" aca="1" ref="D340" ca="1">D339/athlete_starting_load-1</f>
        <v>-3.2840250050902853E-3</v>
      </c>
      <c r="E340" s="101">
        <f ca="1">IFERROR(E339/D339,0) - 1</f>
        <v>4.7726939869795704E-2</v>
      </c>
      <c r="F340" s="101">
        <f t="shared" ref="F340:AA340" ca="1" si="27">IFERROR(F339/E339,0) - 1</f>
        <v>4.5552842113353309E-2</v>
      </c>
      <c r="G340" s="106">
        <f t="shared" ca="1" si="27"/>
        <v>3.4357935987324062E-2</v>
      </c>
      <c r="H340" s="106">
        <f t="shared" ca="1" si="27"/>
        <v>3.5690049315898031E-2</v>
      </c>
      <c r="I340" s="106">
        <f t="shared" ca="1" si="27"/>
        <v>3.5014034395854932E-2</v>
      </c>
      <c r="J340" s="106">
        <f t="shared" ca="1" si="27"/>
        <v>-0.20465176605448188</v>
      </c>
      <c r="K340" s="106">
        <f t="shared" ca="1" si="27"/>
        <v>-0.15028639037791724</v>
      </c>
      <c r="L340" s="106">
        <f t="shared" ca="1" si="27"/>
        <v>0.43732969666433186</v>
      </c>
      <c r="M340" s="106">
        <f t="shared" ca="1" si="27"/>
        <v>-0.92126323986460257</v>
      </c>
      <c r="N340" s="107">
        <f t="shared" ca="1" si="27"/>
        <v>15.700000000000003</v>
      </c>
      <c r="O340" s="106">
        <f ca="1">IFERROR(O339/N339,0) - 1</f>
        <v>-0.4396233796907375</v>
      </c>
      <c r="P340" s="106">
        <f t="shared" ca="1" si="27"/>
        <v>5.0744764871433645E-2</v>
      </c>
      <c r="Q340" s="101">
        <f t="shared" ca="1" si="27"/>
        <v>0.30063643410113161</v>
      </c>
      <c r="R340" s="106">
        <f t="shared" ca="1" si="27"/>
        <v>-0.50299905002414502</v>
      </c>
      <c r="S340" s="106">
        <f t="shared" ca="1" si="27"/>
        <v>0</v>
      </c>
      <c r="T340" s="106">
        <f t="shared" ca="1" si="27"/>
        <v>0.34023613541921049</v>
      </c>
      <c r="U340" s="106">
        <f t="shared" ca="1" si="27"/>
        <v>-2.7758665521766535E-3</v>
      </c>
      <c r="V340" s="106">
        <f t="shared" ca="1" si="27"/>
        <v>0.14503255911028701</v>
      </c>
      <c r="W340" s="106">
        <f t="shared" ca="1" si="27"/>
        <v>-1</v>
      </c>
      <c r="X340" s="106">
        <f t="shared" ca="1" si="27"/>
        <v>-1</v>
      </c>
      <c r="Y340" s="106">
        <f t="shared" ca="1" si="27"/>
        <v>-1</v>
      </c>
      <c r="Z340" s="106">
        <f t="shared" ca="1" si="27"/>
        <v>-1</v>
      </c>
      <c r="AA340" s="108">
        <f t="shared" ca="1" si="27"/>
        <v>-1</v>
      </c>
      <c r="AB340" s="14"/>
    </row>
    <row r="341" spans="1:28" s="10" customFormat="1" ht="15" hidden="1" customHeight="1" x14ac:dyDescent="0.45">
      <c r="A341" s="1806"/>
      <c r="B341" s="1836" t="s">
        <v>365</v>
      </c>
      <c r="C341" s="1849"/>
      <c r="D341" s="105">
        <f t="array" aca="1" ref="D341:AA341" ca="1">final_load_total/MAX(final_load_total)</f>
        <v>0.64458278622425291</v>
      </c>
      <c r="E341" s="101">
        <f ca="1"/>
        <v>0.67534675010348322</v>
      </c>
      <c r="F341" s="101">
        <f ca="1"/>
        <v>0.70611071398271352</v>
      </c>
      <c r="G341" s="106">
        <f ca="1"/>
        <v>0.7303712206936952</v>
      </c>
      <c r="H341" s="106">
        <f ca="1"/>
        <v>0.75643820557916586</v>
      </c>
      <c r="I341" s="106">
        <f ca="1"/>
        <v>0.78292415892765344</v>
      </c>
      <c r="J341" s="106">
        <f ca="1"/>
        <v>0.62269734711638935</v>
      </c>
      <c r="K341" s="106">
        <f ca="1"/>
        <v>0.52911441052036212</v>
      </c>
      <c r="L341" s="106">
        <f ca="1"/>
        <v>0.76051185517395892</v>
      </c>
      <c r="M341" s="106">
        <f ca="1"/>
        <v>5.988023952095807E-2</v>
      </c>
      <c r="N341" s="107">
        <f ca="1"/>
        <v>1</v>
      </c>
      <c r="O341" s="106">
        <f ca="1"/>
        <v>0.5603766203092625</v>
      </c>
      <c r="P341" s="106">
        <f ca="1"/>
        <v>0.58881280014630466</v>
      </c>
      <c r="Q341" s="101">
        <f ca="1"/>
        <v>0.76583138073539192</v>
      </c>
      <c r="R341" s="106">
        <f ca="1"/>
        <v>0.38061892374681044</v>
      </c>
      <c r="S341" s="106">
        <f ca="1"/>
        <v>0.38061892374681044</v>
      </c>
      <c r="T341" s="106">
        <f ca="1"/>
        <v>0.51011923542984439</v>
      </c>
      <c r="U341" s="106">
        <f ca="1"/>
        <v>0.50870321250659278</v>
      </c>
      <c r="V341" s="106">
        <f ca="1"/>
        <v>0.58248174124404795</v>
      </c>
      <c r="W341" s="106">
        <f ca="1"/>
        <v>0</v>
      </c>
      <c r="X341" s="106">
        <f ca="1"/>
        <v>0</v>
      </c>
      <c r="Y341" s="106">
        <f ca="1"/>
        <v>0</v>
      </c>
      <c r="Z341" s="106">
        <f ca="1"/>
        <v>0</v>
      </c>
      <c r="AA341" s="110">
        <f ca="1"/>
        <v>0</v>
      </c>
      <c r="AB341" s="14"/>
    </row>
    <row r="342" spans="1:28" s="10" customFormat="1" ht="15" hidden="1" customHeight="1" x14ac:dyDescent="0.45">
      <c r="A342" s="1807"/>
      <c r="B342" s="1850" t="s">
        <v>366</v>
      </c>
      <c r="C342" s="1851"/>
      <c r="D342" s="119">
        <f t="array" aca="1" ref="D342:AA342" ca="1">IFERROR(final_load_total-plan_load,0)</f>
        <v>-2.9470580670088111</v>
      </c>
      <c r="E342" s="120">
        <f ca="1"/>
        <v>-0.4396691805750379</v>
      </c>
      <c r="F342" s="120">
        <f ca="1"/>
        <v>3.2055700705815298</v>
      </c>
      <c r="G342" s="120">
        <f ca="1"/>
        <v>-0.8443497848544439</v>
      </c>
      <c r="H342" s="120">
        <f ca="1"/>
        <v>-0.89606018685367417</v>
      </c>
      <c r="I342" s="120">
        <f ca="1"/>
        <v>1.2564422904802086</v>
      </c>
      <c r="J342" s="120">
        <f ca="1"/>
        <v>1.8935656898196385</v>
      </c>
      <c r="K342" s="120">
        <f ca="1"/>
        <v>1.3620677691800438</v>
      </c>
      <c r="L342" s="120">
        <f ca="1"/>
        <v>322.45704499027158</v>
      </c>
      <c r="M342" s="120">
        <f ca="1"/>
        <v>-477.32675599470457</v>
      </c>
      <c r="N342" s="119">
        <f ca="1"/>
        <v>434.92241931171827</v>
      </c>
      <c r="O342" s="120">
        <f ca="1"/>
        <v>2.3817214963692095</v>
      </c>
      <c r="P342" s="120">
        <f ca="1"/>
        <v>-0.34484543810970081</v>
      </c>
      <c r="Q342" s="120">
        <f ca="1"/>
        <v>7.1703677262121346E-2</v>
      </c>
      <c r="R342" s="120">
        <f ca="1"/>
        <v>-3.1512197684880903</v>
      </c>
      <c r="S342" s="120">
        <f ca="1"/>
        <v>-3.1512197684880903</v>
      </c>
      <c r="T342" s="120">
        <f ca="1"/>
        <v>-0.55584389143700719</v>
      </c>
      <c r="U342" s="120">
        <f ca="1"/>
        <v>-2.5207655394123094</v>
      </c>
      <c r="V342" s="120">
        <f ca="1"/>
        <v>99.856834350779991</v>
      </c>
      <c r="W342" s="120">
        <f ca="1"/>
        <v>-708.41467321252617</v>
      </c>
      <c r="X342" s="120">
        <f ca="1"/>
        <v>-708.41467321252617</v>
      </c>
      <c r="Y342" s="120">
        <f ca="1"/>
        <v>-708.41467321252617</v>
      </c>
      <c r="Z342" s="120">
        <f ca="1"/>
        <v>-708.41467321252617</v>
      </c>
      <c r="AA342" s="121">
        <f ca="1"/>
        <v>-708.41467321252617</v>
      </c>
      <c r="AB342" s="14"/>
    </row>
    <row r="343" spans="1:28" s="10" customFormat="1" ht="15" hidden="1" customHeight="1" x14ac:dyDescent="0.45">
      <c r="A343" s="1770" t="s">
        <v>702</v>
      </c>
      <c r="B343" s="1773" t="s">
        <v>325</v>
      </c>
      <c r="C343" s="1416" t="s">
        <v>326</v>
      </c>
      <c r="D343" s="51" t="str">
        <f t="array" ref="D343:AA356" ca="1">IF(plan_intervals_counter="","",
CONCATENATE(
IFERROR(VLOOKUP(plan_duration_primary,
INDIRECT(INDEX(sessions_intervals_code_primary,plan_session_allocation)),2,TRUE),""),
IFERROR(VLOOKUP(plan_duration_secondary,
INDIRECT(INDEX(sessions_intervals_code_secondary,plan_session_allocation)),2,TRUE),""),
IFERROR(VLOOKUP(plan_duration_tertiary,
INDIRECT(INDEX(sessions_intervals_code_tertiary,plan_session_allocation)),2,TRUE),"")
))</f>
        <v/>
      </c>
      <c r="E343" s="51" t="str">
        <f ca="1"/>
        <v/>
      </c>
      <c r="F343" s="51" t="str">
        <f ca="1"/>
        <v/>
      </c>
      <c r="G343" s="51" t="str">
        <f ca="1"/>
        <v/>
      </c>
      <c r="H343" s="51" t="str">
        <f ca="1"/>
        <v/>
      </c>
      <c r="I343" s="51" t="str">
        <f ca="1"/>
        <v/>
      </c>
      <c r="J343" s="51" t="str">
        <f ca="1"/>
        <v/>
      </c>
      <c r="K343" s="51" t="str">
        <f ca="1"/>
        <v/>
      </c>
      <c r="L343" s="51" t="str">
        <f ca="1"/>
        <v/>
      </c>
      <c r="M343" s="52" t="str">
        <f ca="1"/>
        <v/>
      </c>
      <c r="N343" s="52" t="str">
        <f ca="1"/>
        <v/>
      </c>
      <c r="O343" s="52" t="str">
        <f ca="1"/>
        <v/>
      </c>
      <c r="P343" s="52" t="str">
        <f ca="1"/>
        <v/>
      </c>
      <c r="Q343" s="53" t="str">
        <f ca="1"/>
        <v/>
      </c>
      <c r="R343" s="52" t="str">
        <f ca="1"/>
        <v/>
      </c>
      <c r="S343" s="52" t="str">
        <f ca="1"/>
        <v/>
      </c>
      <c r="T343" s="52" t="str">
        <f ca="1"/>
        <v/>
      </c>
      <c r="U343" s="52" t="str">
        <f ca="1"/>
        <v/>
      </c>
      <c r="V343" s="52" t="str">
        <f ca="1"/>
        <v/>
      </c>
      <c r="W343" s="52" t="str">
        <f ca="1"/>
        <v/>
      </c>
      <c r="X343" s="52" t="str">
        <f ca="1"/>
        <v/>
      </c>
      <c r="Y343" s="52" t="str">
        <f ca="1"/>
        <v/>
      </c>
      <c r="Z343" s="52" t="str">
        <f ca="1"/>
        <v/>
      </c>
      <c r="AA343" s="54" t="str">
        <f ca="1"/>
        <v/>
      </c>
      <c r="AB343" s="14"/>
    </row>
    <row r="344" spans="1:28" s="10" customFormat="1" ht="15" hidden="1" customHeight="1" x14ac:dyDescent="0.45">
      <c r="A344" s="1771"/>
      <c r="B344" s="1774"/>
      <c r="C344" s="1265" t="s">
        <v>327</v>
      </c>
      <c r="D344" s="44" t="str">
        <f ca="1"/>
        <v/>
      </c>
      <c r="E344" s="44" t="str">
        <f ca="1"/>
        <v/>
      </c>
      <c r="F344" s="44" t="str">
        <f ca="1"/>
        <v/>
      </c>
      <c r="G344" s="44" t="str">
        <f ca="1"/>
        <v/>
      </c>
      <c r="H344" s="44" t="str">
        <f ca="1"/>
        <v/>
      </c>
      <c r="I344" s="44" t="str">
        <f ca="1"/>
        <v/>
      </c>
      <c r="J344" s="44" t="str">
        <f ca="1"/>
        <v/>
      </c>
      <c r="K344" s="44" t="str">
        <f ca="1"/>
        <v/>
      </c>
      <c r="L344" s="44" t="str">
        <f ca="1"/>
        <v/>
      </c>
      <c r="M344" s="44" t="str">
        <f ca="1"/>
        <v/>
      </c>
      <c r="N344" s="44" t="str">
        <f ca="1"/>
        <v/>
      </c>
      <c r="O344" s="44" t="str">
        <f ca="1"/>
        <v/>
      </c>
      <c r="P344" s="44" t="str">
        <f ca="1"/>
        <v/>
      </c>
      <c r="Q344" s="44" t="str">
        <f ca="1"/>
        <v/>
      </c>
      <c r="R344" s="44" t="str">
        <f ca="1"/>
        <v/>
      </c>
      <c r="S344" s="44" t="str">
        <f ca="1"/>
        <v/>
      </c>
      <c r="T344" s="44" t="str">
        <f ca="1"/>
        <v/>
      </c>
      <c r="U344" s="44" t="str">
        <f ca="1"/>
        <v/>
      </c>
      <c r="V344" s="44" t="str">
        <f ca="1"/>
        <v/>
      </c>
      <c r="W344" s="44" t="str">
        <f ca="1"/>
        <v/>
      </c>
      <c r="X344" s="45" t="str">
        <f ca="1"/>
        <v/>
      </c>
      <c r="Y344" s="45" t="str">
        <f ca="1"/>
        <v/>
      </c>
      <c r="Z344" s="45" t="str">
        <f ca="1"/>
        <v/>
      </c>
      <c r="AA344" s="46" t="str">
        <f ca="1"/>
        <v/>
      </c>
      <c r="AB344" s="14"/>
    </row>
    <row r="345" spans="1:28" s="10" customFormat="1" ht="15" hidden="1" customHeight="1" x14ac:dyDescent="0.45">
      <c r="A345" s="1771"/>
      <c r="B345" s="1775" t="s">
        <v>328</v>
      </c>
      <c r="C345" s="1266" t="s">
        <v>326</v>
      </c>
      <c r="D345" s="47" t="str">
        <f ca="1"/>
        <v/>
      </c>
      <c r="E345" s="47" t="str">
        <f ca="1"/>
        <v/>
      </c>
      <c r="F345" s="47" t="str">
        <f ca="1"/>
        <v/>
      </c>
      <c r="G345" s="47" t="str">
        <f ca="1"/>
        <v/>
      </c>
      <c r="H345" s="47" t="str">
        <f ca="1"/>
        <v/>
      </c>
      <c r="I345" s="47" t="str">
        <f ca="1"/>
        <v/>
      </c>
      <c r="J345" s="47" t="str">
        <f ca="1"/>
        <v/>
      </c>
      <c r="K345" s="47" t="str">
        <f ca="1"/>
        <v/>
      </c>
      <c r="L345" s="47" t="str">
        <f ca="1"/>
        <v/>
      </c>
      <c r="M345" s="47" t="str">
        <f ca="1"/>
        <v/>
      </c>
      <c r="N345" s="47" t="str">
        <f ca="1"/>
        <v/>
      </c>
      <c r="O345" s="47" t="str">
        <f ca="1"/>
        <v/>
      </c>
      <c r="P345" s="48" t="str">
        <f ca="1"/>
        <v/>
      </c>
      <c r="Q345" s="49" t="str">
        <f ca="1"/>
        <v/>
      </c>
      <c r="R345" s="48" t="str">
        <f ca="1"/>
        <v/>
      </c>
      <c r="S345" s="48" t="str">
        <f ca="1"/>
        <v/>
      </c>
      <c r="T345" s="48" t="str">
        <f ca="1"/>
        <v/>
      </c>
      <c r="U345" s="48" t="str">
        <f ca="1"/>
        <v/>
      </c>
      <c r="V345" s="48" t="str">
        <f ca="1"/>
        <v/>
      </c>
      <c r="W345" s="48" t="str">
        <f ca="1"/>
        <v/>
      </c>
      <c r="X345" s="48" t="str">
        <f ca="1"/>
        <v/>
      </c>
      <c r="Y345" s="48" t="str">
        <f ca="1"/>
        <v/>
      </c>
      <c r="Z345" s="48" t="str">
        <f ca="1"/>
        <v/>
      </c>
      <c r="AA345" s="50" t="str">
        <f ca="1"/>
        <v/>
      </c>
      <c r="AB345" s="14"/>
    </row>
    <row r="346" spans="1:28" s="10" customFormat="1" ht="15" hidden="1" customHeight="1" x14ac:dyDescent="0.45">
      <c r="A346" s="1771"/>
      <c r="B346" s="1776"/>
      <c r="C346" s="1266" t="s">
        <v>327</v>
      </c>
      <c r="D346" s="47" t="str">
        <f ca="1"/>
        <v/>
      </c>
      <c r="E346" s="47" t="str">
        <f ca="1"/>
        <v/>
      </c>
      <c r="F346" s="47" t="str">
        <f ca="1"/>
        <v/>
      </c>
      <c r="G346" s="47" t="str">
        <f ca="1"/>
        <v/>
      </c>
      <c r="H346" s="47" t="str">
        <f ca="1"/>
        <v/>
      </c>
      <c r="I346" s="47" t="str">
        <f ca="1"/>
        <v/>
      </c>
      <c r="J346" s="47" t="str">
        <f ca="1"/>
        <v/>
      </c>
      <c r="K346" s="47" t="str">
        <f ca="1"/>
        <v/>
      </c>
      <c r="L346" s="47" t="str">
        <f ca="1"/>
        <v/>
      </c>
      <c r="M346" s="47" t="str">
        <f ca="1"/>
        <v/>
      </c>
      <c r="N346" s="47" t="str">
        <f ca="1"/>
        <v/>
      </c>
      <c r="O346" s="47" t="str">
        <f ca="1"/>
        <v/>
      </c>
      <c r="P346" s="47" t="str">
        <f ca="1"/>
        <v/>
      </c>
      <c r="Q346" s="49" t="str">
        <f ca="1"/>
        <v/>
      </c>
      <c r="R346" s="49" t="str">
        <f ca="1"/>
        <v/>
      </c>
      <c r="S346" s="49" t="str">
        <f ca="1"/>
        <v/>
      </c>
      <c r="T346" s="49" t="str">
        <f ca="1"/>
        <v/>
      </c>
      <c r="U346" s="49" t="str">
        <f ca="1"/>
        <v/>
      </c>
      <c r="V346" s="49" t="str">
        <f ca="1"/>
        <v>1km x4</v>
      </c>
      <c r="W346" s="49" t="str">
        <f ca="1"/>
        <v/>
      </c>
      <c r="X346" s="48" t="str">
        <f ca="1"/>
        <v/>
      </c>
      <c r="Y346" s="48" t="str">
        <f ca="1"/>
        <v/>
      </c>
      <c r="Z346" s="48" t="str">
        <f ca="1"/>
        <v/>
      </c>
      <c r="AA346" s="50" t="str">
        <f ca="1"/>
        <v/>
      </c>
      <c r="AB346" s="14"/>
    </row>
    <row r="347" spans="1:28" s="10" customFormat="1" ht="15" hidden="1" customHeight="1" x14ac:dyDescent="0.45">
      <c r="A347" s="1771"/>
      <c r="B347" s="1777" t="s">
        <v>329</v>
      </c>
      <c r="C347" s="1416" t="s">
        <v>326</v>
      </c>
      <c r="D347" s="51" t="str">
        <f ca="1"/>
        <v/>
      </c>
      <c r="E347" s="51" t="str">
        <f ca="1"/>
        <v/>
      </c>
      <c r="F347" s="51" t="str">
        <f ca="1"/>
        <v/>
      </c>
      <c r="G347" s="51" t="str">
        <f ca="1"/>
        <v/>
      </c>
      <c r="H347" s="51" t="str">
        <f ca="1"/>
        <v/>
      </c>
      <c r="I347" s="51" t="str">
        <f ca="1"/>
        <v/>
      </c>
      <c r="J347" s="51" t="str">
        <f ca="1"/>
        <v/>
      </c>
      <c r="K347" s="51" t="str">
        <f ca="1"/>
        <v/>
      </c>
      <c r="L347" s="51" t="str">
        <f ca="1"/>
        <v/>
      </c>
      <c r="M347" s="52" t="str">
        <f ca="1"/>
        <v/>
      </c>
      <c r="N347" s="52" t="str">
        <f ca="1"/>
        <v/>
      </c>
      <c r="O347" s="52" t="str">
        <f ca="1"/>
        <v/>
      </c>
      <c r="P347" s="52" t="str">
        <f ca="1"/>
        <v/>
      </c>
      <c r="Q347" s="53" t="str">
        <f ca="1"/>
        <v/>
      </c>
      <c r="R347" s="52" t="str">
        <f ca="1"/>
        <v/>
      </c>
      <c r="S347" s="52" t="str">
        <f ca="1"/>
        <v/>
      </c>
      <c r="T347" s="52" t="str">
        <f ca="1"/>
        <v/>
      </c>
      <c r="U347" s="52" t="str">
        <f ca="1"/>
        <v/>
      </c>
      <c r="V347" s="52" t="str">
        <f ca="1"/>
        <v/>
      </c>
      <c r="W347" s="52" t="str">
        <f ca="1"/>
        <v/>
      </c>
      <c r="X347" s="52" t="str">
        <f ca="1"/>
        <v/>
      </c>
      <c r="Y347" s="52" t="str">
        <f ca="1"/>
        <v/>
      </c>
      <c r="Z347" s="52" t="str">
        <f ca="1"/>
        <v/>
      </c>
      <c r="AA347" s="54" t="str">
        <f ca="1"/>
        <v/>
      </c>
      <c r="AB347" s="14"/>
    </row>
    <row r="348" spans="1:28" s="10" customFormat="1" ht="15" hidden="1" customHeight="1" x14ac:dyDescent="0.45">
      <c r="A348" s="1771"/>
      <c r="B348" s="1774"/>
      <c r="C348" s="1265" t="s">
        <v>327</v>
      </c>
      <c r="D348" s="44" t="str">
        <f ca="1"/>
        <v/>
      </c>
      <c r="E348" s="44" t="str">
        <f ca="1"/>
        <v/>
      </c>
      <c r="F348" s="44" t="str">
        <f ca="1"/>
        <v/>
      </c>
      <c r="G348" s="44" t="str">
        <f ca="1"/>
        <v/>
      </c>
      <c r="H348" s="44" t="str">
        <f ca="1"/>
        <v/>
      </c>
      <c r="I348" s="44" t="str">
        <f ca="1"/>
        <v/>
      </c>
      <c r="J348" s="44" t="str">
        <f ca="1"/>
        <v/>
      </c>
      <c r="K348" s="44" t="str">
        <f ca="1"/>
        <v/>
      </c>
      <c r="L348" s="44" t="str">
        <f ca="1"/>
        <v/>
      </c>
      <c r="M348" s="44" t="str">
        <f ca="1"/>
        <v/>
      </c>
      <c r="N348" s="44" t="str">
        <f ca="1"/>
        <v/>
      </c>
      <c r="O348" s="44" t="str">
        <f ca="1"/>
        <v/>
      </c>
      <c r="P348" s="44" t="str">
        <f ca="1"/>
        <v/>
      </c>
      <c r="Q348" s="44" t="str">
        <f ca="1"/>
        <v/>
      </c>
      <c r="R348" s="44" t="str">
        <f ca="1"/>
        <v/>
      </c>
      <c r="S348" s="44" t="str">
        <f ca="1"/>
        <v/>
      </c>
      <c r="T348" s="44" t="str">
        <f ca="1"/>
        <v/>
      </c>
      <c r="U348" s="44" t="str">
        <f ca="1"/>
        <v/>
      </c>
      <c r="V348" s="44" t="str">
        <f ca="1"/>
        <v/>
      </c>
      <c r="W348" s="44" t="str">
        <f ca="1"/>
        <v/>
      </c>
      <c r="X348" s="45" t="str">
        <f ca="1"/>
        <v/>
      </c>
      <c r="Y348" s="45" t="str">
        <f ca="1"/>
        <v/>
      </c>
      <c r="Z348" s="45" t="str">
        <f ca="1"/>
        <v/>
      </c>
      <c r="AA348" s="46" t="str">
        <f ca="1"/>
        <v/>
      </c>
      <c r="AB348" s="14"/>
    </row>
    <row r="349" spans="1:28" s="10" customFormat="1" ht="15" hidden="1" customHeight="1" x14ac:dyDescent="0.45">
      <c r="A349" s="1771"/>
      <c r="B349" s="1775" t="s">
        <v>330</v>
      </c>
      <c r="C349" s="1266" t="s">
        <v>326</v>
      </c>
      <c r="D349" s="47" t="str">
        <f ca="1"/>
        <v/>
      </c>
      <c r="E349" s="47" t="str">
        <f ca="1"/>
        <v/>
      </c>
      <c r="F349" s="47" t="str">
        <f ca="1"/>
        <v/>
      </c>
      <c r="G349" s="47" t="str">
        <f ca="1"/>
        <v/>
      </c>
      <c r="H349" s="47" t="str">
        <f ca="1"/>
        <v/>
      </c>
      <c r="I349" s="47" t="str">
        <f ca="1"/>
        <v/>
      </c>
      <c r="J349" s="47" t="str">
        <f ca="1"/>
        <v/>
      </c>
      <c r="K349" s="47" t="str">
        <f ca="1"/>
        <v/>
      </c>
      <c r="L349" s="47" t="str">
        <f ca="1"/>
        <v/>
      </c>
      <c r="M349" s="47" t="str">
        <f ca="1"/>
        <v/>
      </c>
      <c r="N349" s="47" t="str">
        <f ca="1"/>
        <v/>
      </c>
      <c r="O349" s="47" t="str">
        <f ca="1"/>
        <v/>
      </c>
      <c r="P349" s="48" t="str">
        <f ca="1"/>
        <v/>
      </c>
      <c r="Q349" s="49" t="str">
        <f ca="1"/>
        <v/>
      </c>
      <c r="R349" s="48" t="str">
        <f ca="1"/>
        <v/>
      </c>
      <c r="S349" s="48" t="str">
        <f ca="1"/>
        <v/>
      </c>
      <c r="T349" s="48" t="str">
        <f ca="1"/>
        <v/>
      </c>
      <c r="U349" s="48" t="str">
        <f ca="1"/>
        <v/>
      </c>
      <c r="V349" s="48" t="str">
        <f ca="1"/>
        <v/>
      </c>
      <c r="W349" s="48" t="str">
        <f ca="1"/>
        <v/>
      </c>
      <c r="X349" s="48" t="str">
        <f ca="1"/>
        <v/>
      </c>
      <c r="Y349" s="48" t="str">
        <f ca="1"/>
        <v/>
      </c>
      <c r="Z349" s="48" t="str">
        <f ca="1"/>
        <v/>
      </c>
      <c r="AA349" s="50" t="str">
        <f ca="1"/>
        <v/>
      </c>
      <c r="AB349" s="14"/>
    </row>
    <row r="350" spans="1:28" s="10" customFormat="1" ht="15" hidden="1" customHeight="1" x14ac:dyDescent="0.45">
      <c r="A350" s="1771"/>
      <c r="B350" s="1776"/>
      <c r="C350" s="1266" t="s">
        <v>327</v>
      </c>
      <c r="D350" s="47" t="str">
        <f ca="1"/>
        <v/>
      </c>
      <c r="E350" s="47" t="str">
        <f ca="1"/>
        <v/>
      </c>
      <c r="F350" s="47" t="str">
        <f ca="1"/>
        <v/>
      </c>
      <c r="G350" s="47" t="str">
        <f ca="1"/>
        <v/>
      </c>
      <c r="H350" s="47" t="str">
        <f ca="1"/>
        <v/>
      </c>
      <c r="I350" s="47" t="str">
        <f ca="1"/>
        <v/>
      </c>
      <c r="J350" s="47" t="str">
        <f ca="1"/>
        <v/>
      </c>
      <c r="K350" s="47" t="str">
        <f ca="1"/>
        <v/>
      </c>
      <c r="L350" s="47" t="str">
        <f ca="1"/>
        <v/>
      </c>
      <c r="M350" s="47" t="str">
        <f ca="1"/>
        <v/>
      </c>
      <c r="N350" s="47" t="str">
        <f ca="1"/>
        <v/>
      </c>
      <c r="O350" s="49" t="str">
        <f ca="1"/>
        <v>1km x3</v>
      </c>
      <c r="P350" s="47" t="str">
        <f ca="1"/>
        <v>1km x4</v>
      </c>
      <c r="Q350" s="49" t="str">
        <f ca="1"/>
        <v>1km x5</v>
      </c>
      <c r="R350" s="49" t="str">
        <f ca="1"/>
        <v>1km x4</v>
      </c>
      <c r="S350" s="49" t="str">
        <f ca="1"/>
        <v>1km x4</v>
      </c>
      <c r="T350" s="49" t="str">
        <f ca="1"/>
        <v/>
      </c>
      <c r="U350" s="49" t="str">
        <f ca="1"/>
        <v>1km x4</v>
      </c>
      <c r="V350" s="49" t="str">
        <f ca="1"/>
        <v/>
      </c>
      <c r="W350" s="49" t="str">
        <f ca="1"/>
        <v/>
      </c>
      <c r="X350" s="48" t="str">
        <f ca="1"/>
        <v/>
      </c>
      <c r="Y350" s="48" t="str">
        <f ca="1"/>
        <v/>
      </c>
      <c r="Z350" s="48" t="str">
        <f ca="1"/>
        <v/>
      </c>
      <c r="AA350" s="50" t="str">
        <f ca="1"/>
        <v/>
      </c>
      <c r="AB350" s="14"/>
    </row>
    <row r="351" spans="1:28" s="10" customFormat="1" ht="15" hidden="1" customHeight="1" x14ac:dyDescent="0.45">
      <c r="A351" s="1771"/>
      <c r="B351" s="1777" t="s">
        <v>331</v>
      </c>
      <c r="C351" s="1416" t="s">
        <v>326</v>
      </c>
      <c r="D351" s="51" t="str">
        <f ca="1"/>
        <v/>
      </c>
      <c r="E351" s="51" t="str">
        <f ca="1"/>
        <v/>
      </c>
      <c r="F351" s="51" t="str">
        <f ca="1"/>
        <v/>
      </c>
      <c r="G351" s="51" t="str">
        <f ca="1"/>
        <v/>
      </c>
      <c r="H351" s="51" t="str">
        <f ca="1"/>
        <v/>
      </c>
      <c r="I351" s="51" t="str">
        <f ca="1"/>
        <v/>
      </c>
      <c r="J351" s="51" t="str">
        <f ca="1"/>
        <v/>
      </c>
      <c r="K351" s="51" t="str">
        <f ca="1"/>
        <v/>
      </c>
      <c r="L351" s="51" t="str">
        <f ca="1"/>
        <v/>
      </c>
      <c r="M351" s="52" t="str">
        <f ca="1"/>
        <v/>
      </c>
      <c r="N351" s="52" t="str">
        <f ca="1"/>
        <v/>
      </c>
      <c r="O351" s="52" t="str">
        <f ca="1"/>
        <v/>
      </c>
      <c r="P351" s="52" t="str">
        <f ca="1"/>
        <v/>
      </c>
      <c r="Q351" s="53" t="str">
        <f ca="1"/>
        <v/>
      </c>
      <c r="R351" s="52" t="str">
        <f ca="1"/>
        <v/>
      </c>
      <c r="S351" s="52" t="str">
        <f ca="1"/>
        <v/>
      </c>
      <c r="T351" s="52" t="str">
        <f ca="1"/>
        <v/>
      </c>
      <c r="U351" s="52" t="str">
        <f ca="1"/>
        <v/>
      </c>
      <c r="V351" s="52" t="str">
        <f ca="1"/>
        <v/>
      </c>
      <c r="W351" s="52" t="str">
        <f ca="1"/>
        <v/>
      </c>
      <c r="X351" s="52" t="str">
        <f ca="1"/>
        <v/>
      </c>
      <c r="Y351" s="52" t="str">
        <f ca="1"/>
        <v/>
      </c>
      <c r="Z351" s="52" t="str">
        <f ca="1"/>
        <v/>
      </c>
      <c r="AA351" s="54" t="str">
        <f ca="1"/>
        <v/>
      </c>
      <c r="AB351" s="14"/>
    </row>
    <row r="352" spans="1:28" s="10" customFormat="1" ht="15" hidden="1" customHeight="1" x14ac:dyDescent="0.45">
      <c r="A352" s="1771"/>
      <c r="B352" s="1774"/>
      <c r="C352" s="1265" t="s">
        <v>327</v>
      </c>
      <c r="D352" s="44" t="str">
        <f ca="1"/>
        <v/>
      </c>
      <c r="E352" s="44" t="str">
        <f ca="1"/>
        <v/>
      </c>
      <c r="F352" s="44" t="str">
        <f ca="1"/>
        <v/>
      </c>
      <c r="G352" s="44" t="str">
        <f ca="1"/>
        <v/>
      </c>
      <c r="H352" s="44" t="str">
        <f ca="1"/>
        <v/>
      </c>
      <c r="I352" s="44" t="str">
        <f ca="1"/>
        <v/>
      </c>
      <c r="J352" s="44" t="str">
        <f ca="1"/>
        <v/>
      </c>
      <c r="K352" s="44" t="str">
        <f ca="1"/>
        <v/>
      </c>
      <c r="L352" s="44" t="str">
        <f ca="1"/>
        <v/>
      </c>
      <c r="M352" s="44" t="str">
        <f ca="1"/>
        <v/>
      </c>
      <c r="N352" s="44" t="str">
        <f ca="1"/>
        <v/>
      </c>
      <c r="O352" s="44" t="str">
        <f ca="1"/>
        <v/>
      </c>
      <c r="P352" s="44" t="str">
        <f ca="1"/>
        <v/>
      </c>
      <c r="Q352" s="44" t="str">
        <f ca="1"/>
        <v/>
      </c>
      <c r="R352" s="44" t="str">
        <f ca="1"/>
        <v/>
      </c>
      <c r="S352" s="44" t="str">
        <f ca="1"/>
        <v/>
      </c>
      <c r="T352" s="44" t="str">
        <f ca="1"/>
        <v/>
      </c>
      <c r="U352" s="44" t="str">
        <f ca="1"/>
        <v/>
      </c>
      <c r="V352" s="44" t="str">
        <f ca="1"/>
        <v/>
      </c>
      <c r="W352" s="44" t="str">
        <f ca="1"/>
        <v/>
      </c>
      <c r="X352" s="45" t="str">
        <f ca="1"/>
        <v/>
      </c>
      <c r="Y352" s="45" t="str">
        <f ca="1"/>
        <v/>
      </c>
      <c r="Z352" s="45" t="str">
        <f ca="1"/>
        <v/>
      </c>
      <c r="AA352" s="46" t="str">
        <f ca="1"/>
        <v/>
      </c>
      <c r="AB352" s="14"/>
    </row>
    <row r="353" spans="1:28" s="10" customFormat="1" ht="15" hidden="1" customHeight="1" x14ac:dyDescent="0.45">
      <c r="A353" s="1771"/>
      <c r="B353" s="1775" t="s">
        <v>332</v>
      </c>
      <c r="C353" s="1266" t="s">
        <v>326</v>
      </c>
      <c r="D353" s="47" t="str">
        <f ca="1"/>
        <v/>
      </c>
      <c r="E353" s="47" t="str">
        <f ca="1"/>
        <v/>
      </c>
      <c r="F353" s="47" t="str">
        <f ca="1"/>
        <v/>
      </c>
      <c r="G353" s="47" t="str">
        <f ca="1"/>
        <v/>
      </c>
      <c r="H353" s="47" t="str">
        <f ca="1"/>
        <v/>
      </c>
      <c r="I353" s="47" t="str">
        <f ca="1"/>
        <v/>
      </c>
      <c r="J353" s="47" t="str">
        <f ca="1"/>
        <v/>
      </c>
      <c r="K353" s="47" t="str">
        <f ca="1"/>
        <v/>
      </c>
      <c r="L353" s="47" t="str">
        <f ca="1"/>
        <v/>
      </c>
      <c r="M353" s="47" t="str">
        <f ca="1"/>
        <v/>
      </c>
      <c r="N353" s="47" t="str">
        <f ca="1"/>
        <v/>
      </c>
      <c r="O353" s="47" t="str">
        <f ca="1"/>
        <v/>
      </c>
      <c r="P353" s="48" t="str">
        <f ca="1"/>
        <v/>
      </c>
      <c r="Q353" s="49" t="str">
        <f ca="1"/>
        <v/>
      </c>
      <c r="R353" s="48" t="str">
        <f ca="1"/>
        <v/>
      </c>
      <c r="S353" s="48" t="str">
        <f ca="1"/>
        <v/>
      </c>
      <c r="T353" s="48" t="str">
        <f ca="1"/>
        <v/>
      </c>
      <c r="U353" s="48" t="str">
        <f ca="1"/>
        <v/>
      </c>
      <c r="V353" s="48" t="str">
        <f ca="1"/>
        <v/>
      </c>
      <c r="W353" s="48" t="str">
        <f ca="1"/>
        <v/>
      </c>
      <c r="X353" s="48" t="str">
        <f ca="1"/>
        <v/>
      </c>
      <c r="Y353" s="48" t="str">
        <f ca="1"/>
        <v/>
      </c>
      <c r="Z353" s="48" t="str">
        <f ca="1"/>
        <v/>
      </c>
      <c r="AA353" s="50" t="str">
        <f ca="1"/>
        <v/>
      </c>
      <c r="AB353" s="14"/>
    </row>
    <row r="354" spans="1:28" s="10" customFormat="1" ht="15" hidden="1" customHeight="1" x14ac:dyDescent="0.45">
      <c r="A354" s="1771"/>
      <c r="B354" s="1776"/>
      <c r="C354" s="1266" t="s">
        <v>327</v>
      </c>
      <c r="D354" s="47" t="str">
        <f ca="1"/>
        <v/>
      </c>
      <c r="E354" s="47" t="str">
        <f ca="1"/>
        <v/>
      </c>
      <c r="F354" s="47" t="str">
        <f ca="1"/>
        <v/>
      </c>
      <c r="G354" s="47" t="str">
        <f ca="1"/>
        <v/>
      </c>
      <c r="H354" s="47" t="str">
        <f ca="1"/>
        <v/>
      </c>
      <c r="I354" s="47" t="str">
        <f ca="1"/>
        <v/>
      </c>
      <c r="J354" s="47" t="str">
        <f ca="1"/>
        <v/>
      </c>
      <c r="K354" s="47" t="str">
        <f ca="1"/>
        <v/>
      </c>
      <c r="L354" s="47" t="str">
        <f ca="1"/>
        <v/>
      </c>
      <c r="M354" s="47" t="str">
        <f ca="1"/>
        <v/>
      </c>
      <c r="N354" s="47" t="str">
        <f ca="1"/>
        <v/>
      </c>
      <c r="O354" s="47" t="str">
        <f ca="1"/>
        <v/>
      </c>
      <c r="P354" s="47" t="str">
        <f ca="1"/>
        <v/>
      </c>
      <c r="Q354" s="49" t="str">
        <f ca="1"/>
        <v/>
      </c>
      <c r="R354" s="49" t="str">
        <f ca="1"/>
        <v/>
      </c>
      <c r="S354" s="49" t="str">
        <f ca="1"/>
        <v/>
      </c>
      <c r="T354" s="49" t="str">
        <f ca="1"/>
        <v/>
      </c>
      <c r="U354" s="49" t="str">
        <f ca="1"/>
        <v/>
      </c>
      <c r="V354" s="49" t="str">
        <f ca="1"/>
        <v/>
      </c>
      <c r="W354" s="49" t="str">
        <f ca="1"/>
        <v/>
      </c>
      <c r="X354" s="48" t="str">
        <f ca="1"/>
        <v/>
      </c>
      <c r="Y354" s="48" t="str">
        <f ca="1"/>
        <v/>
      </c>
      <c r="Z354" s="48" t="str">
        <f ca="1"/>
        <v/>
      </c>
      <c r="AA354" s="50" t="str">
        <f ca="1"/>
        <v/>
      </c>
      <c r="AB354" s="14"/>
    </row>
    <row r="355" spans="1:28" s="10" customFormat="1" ht="15" hidden="1" customHeight="1" x14ac:dyDescent="0.45">
      <c r="A355" s="1771"/>
      <c r="B355" s="1777" t="s">
        <v>333</v>
      </c>
      <c r="C355" s="1265" t="s">
        <v>326</v>
      </c>
      <c r="D355" s="44" t="str">
        <f ca="1"/>
        <v/>
      </c>
      <c r="E355" s="44" t="str">
        <f ca="1"/>
        <v/>
      </c>
      <c r="F355" s="44" t="str">
        <f ca="1"/>
        <v/>
      </c>
      <c r="G355" s="44" t="str">
        <f ca="1"/>
        <v/>
      </c>
      <c r="H355" s="44" t="str">
        <f ca="1"/>
        <v/>
      </c>
      <c r="I355" s="44" t="str">
        <f ca="1"/>
        <v/>
      </c>
      <c r="J355" s="44" t="str">
        <f ca="1"/>
        <v/>
      </c>
      <c r="K355" s="44" t="str">
        <f ca="1"/>
        <v/>
      </c>
      <c r="L355" s="44" t="str">
        <f ca="1"/>
        <v/>
      </c>
      <c r="M355" s="45" t="str">
        <f ca="1"/>
        <v/>
      </c>
      <c r="N355" s="45" t="str">
        <f ca="1"/>
        <v/>
      </c>
      <c r="O355" s="45" t="str">
        <f ca="1"/>
        <v/>
      </c>
      <c r="P355" s="45" t="str">
        <f ca="1"/>
        <v/>
      </c>
      <c r="Q355" s="55" t="str">
        <f ca="1"/>
        <v/>
      </c>
      <c r="R355" s="45" t="str">
        <f ca="1"/>
        <v/>
      </c>
      <c r="S355" s="45" t="str">
        <f ca="1"/>
        <v/>
      </c>
      <c r="T355" s="45" t="str">
        <f ca="1"/>
        <v/>
      </c>
      <c r="U355" s="45" t="str">
        <f ca="1"/>
        <v/>
      </c>
      <c r="V355" s="45" t="str">
        <f ca="1"/>
        <v/>
      </c>
      <c r="W355" s="45" t="str">
        <f ca="1"/>
        <v/>
      </c>
      <c r="X355" s="45" t="str">
        <f ca="1"/>
        <v/>
      </c>
      <c r="Y355" s="45" t="str">
        <f ca="1"/>
        <v/>
      </c>
      <c r="Z355" s="45" t="str">
        <f ca="1"/>
        <v/>
      </c>
      <c r="AA355" s="46" t="str">
        <f ca="1"/>
        <v/>
      </c>
      <c r="AB355" s="14"/>
    </row>
    <row r="356" spans="1:28" s="10" customFormat="1" ht="15" hidden="1" customHeight="1" x14ac:dyDescent="0.45">
      <c r="A356" s="1772"/>
      <c r="B356" s="1778"/>
      <c r="C356" s="1267" t="s">
        <v>327</v>
      </c>
      <c r="D356" s="56" t="str">
        <f ca="1"/>
        <v/>
      </c>
      <c r="E356" s="56" t="str">
        <f ca="1"/>
        <v/>
      </c>
      <c r="F356" s="56" t="str">
        <f ca="1"/>
        <v/>
      </c>
      <c r="G356" s="56" t="str">
        <f ca="1"/>
        <v/>
      </c>
      <c r="H356" s="56" t="str">
        <f ca="1"/>
        <v/>
      </c>
      <c r="I356" s="56" t="str">
        <f ca="1"/>
        <v/>
      </c>
      <c r="J356" s="56" t="str">
        <f ca="1"/>
        <v/>
      </c>
      <c r="K356" s="56" t="str">
        <f ca="1"/>
        <v/>
      </c>
      <c r="L356" s="56" t="str">
        <f ca="1"/>
        <v/>
      </c>
      <c r="M356" s="57" t="str">
        <f ca="1"/>
        <v/>
      </c>
      <c r="N356" s="57" t="str">
        <f ca="1"/>
        <v/>
      </c>
      <c r="O356" s="57" t="str">
        <f ca="1"/>
        <v/>
      </c>
      <c r="P356" s="57" t="str">
        <f ca="1"/>
        <v/>
      </c>
      <c r="Q356" s="58" t="str">
        <f ca="1"/>
        <v/>
      </c>
      <c r="R356" s="57" t="str">
        <f ca="1"/>
        <v/>
      </c>
      <c r="S356" s="57" t="str">
        <f ca="1"/>
        <v/>
      </c>
      <c r="T356" s="57" t="str">
        <f ca="1"/>
        <v/>
      </c>
      <c r="U356" s="57" t="str">
        <f ca="1"/>
        <v/>
      </c>
      <c r="V356" s="57" t="str">
        <f ca="1"/>
        <v/>
      </c>
      <c r="W356" s="57" t="str">
        <f ca="1"/>
        <v/>
      </c>
      <c r="X356" s="57" t="str">
        <f ca="1"/>
        <v/>
      </c>
      <c r="Y356" s="57" t="str">
        <f ca="1"/>
        <v/>
      </c>
      <c r="Z356" s="57" t="str">
        <f ca="1"/>
        <v/>
      </c>
      <c r="AA356" s="59" t="str">
        <f ca="1"/>
        <v/>
      </c>
      <c r="AB356" s="14"/>
    </row>
    <row r="357" spans="1:28" s="10" customFormat="1" ht="15" hidden="1" customHeight="1" x14ac:dyDescent="0.45">
      <c r="A357" s="1770" t="s">
        <v>706</v>
      </c>
      <c r="B357" s="1773" t="s">
        <v>325</v>
      </c>
      <c r="C357" s="1416" t="s">
        <v>326</v>
      </c>
      <c r="D357" s="51" t="str">
        <f t="array" ref="D357:AA370" ca="1">IF(plan_intervals_counter="","",
CONCATENATE(
IFERROR(VLOOKUP(duration_intervals,
INDIRECT(INDEX(sessions_intervals_code_primary,plan_session_allocation)),8,TRUE),""),
IFERROR(VLOOKUP(duration_intervals,
INDIRECT(INDEX(sessions_intervals_code_secondary,plan_session_allocation)),8,TRUE),""),
IFERROR(VLOOKUP(duration_intervals,
INDIRECT(INDEX(sessions_intervals_code_tertiary,plan_session_allocation)),8,TRUE),"")
))</f>
        <v/>
      </c>
      <c r="E357" s="51" t="str">
        <f ca="1"/>
        <v/>
      </c>
      <c r="F357" s="51" t="str">
        <f ca="1"/>
        <v/>
      </c>
      <c r="G357" s="51" t="str">
        <f ca="1"/>
        <v/>
      </c>
      <c r="H357" s="51" t="str">
        <f ca="1"/>
        <v/>
      </c>
      <c r="I357" s="51" t="str">
        <f ca="1"/>
        <v/>
      </c>
      <c r="J357" s="51" t="str">
        <f ca="1"/>
        <v/>
      </c>
      <c r="K357" s="51" t="str">
        <f ca="1"/>
        <v/>
      </c>
      <c r="L357" s="51" t="str">
        <f ca="1"/>
        <v/>
      </c>
      <c r="M357" s="52" t="str">
        <f ca="1"/>
        <v/>
      </c>
      <c r="N357" s="52" t="str">
        <f ca="1"/>
        <v/>
      </c>
      <c r="O357" s="52" t="str">
        <f ca="1"/>
        <v/>
      </c>
      <c r="P357" s="52" t="str">
        <f ca="1"/>
        <v/>
      </c>
      <c r="Q357" s="53" t="str">
        <f ca="1"/>
        <v/>
      </c>
      <c r="R357" s="52" t="str">
        <f ca="1"/>
        <v/>
      </c>
      <c r="S357" s="52" t="str">
        <f ca="1"/>
        <v/>
      </c>
      <c r="T357" s="52" t="str">
        <f ca="1"/>
        <v/>
      </c>
      <c r="U357" s="52" t="str">
        <f ca="1"/>
        <v/>
      </c>
      <c r="V357" s="52" t="str">
        <f ca="1"/>
        <v/>
      </c>
      <c r="W357" s="52" t="str">
        <f ca="1"/>
        <v/>
      </c>
      <c r="X357" s="52" t="str">
        <f ca="1"/>
        <v/>
      </c>
      <c r="Y357" s="52" t="str">
        <f ca="1"/>
        <v/>
      </c>
      <c r="Z357" s="52" t="str">
        <f ca="1"/>
        <v/>
      </c>
      <c r="AA357" s="54" t="str">
        <f ca="1"/>
        <v/>
      </c>
      <c r="AB357" s="14"/>
    </row>
    <row r="358" spans="1:28" s="10" customFormat="1" ht="15" hidden="1" customHeight="1" x14ac:dyDescent="0.45">
      <c r="A358" s="1771"/>
      <c r="B358" s="1774"/>
      <c r="C358" s="1265" t="s">
        <v>327</v>
      </c>
      <c r="D358" s="44" t="str">
        <f ca="1"/>
        <v/>
      </c>
      <c r="E358" s="44" t="str">
        <f ca="1"/>
        <v/>
      </c>
      <c r="F358" s="44" t="str">
        <f ca="1"/>
        <v/>
      </c>
      <c r="G358" s="44" t="str">
        <f ca="1"/>
        <v/>
      </c>
      <c r="H358" s="44" t="str">
        <f ca="1"/>
        <v/>
      </c>
      <c r="I358" s="44" t="str">
        <f ca="1"/>
        <v/>
      </c>
      <c r="J358" s="44" t="str">
        <f ca="1"/>
        <v/>
      </c>
      <c r="K358" s="44" t="str">
        <f ca="1"/>
        <v/>
      </c>
      <c r="L358" s="44" t="str">
        <f ca="1"/>
        <v/>
      </c>
      <c r="M358" s="44" t="str">
        <f ca="1"/>
        <v/>
      </c>
      <c r="N358" s="44" t="str">
        <f ca="1"/>
        <v/>
      </c>
      <c r="O358" s="44" t="str">
        <f ca="1"/>
        <v/>
      </c>
      <c r="P358" s="44" t="str">
        <f ca="1"/>
        <v/>
      </c>
      <c r="Q358" s="44" t="str">
        <f ca="1"/>
        <v/>
      </c>
      <c r="R358" s="44" t="str">
        <f ca="1"/>
        <v/>
      </c>
      <c r="S358" s="44" t="str">
        <f ca="1"/>
        <v/>
      </c>
      <c r="T358" s="44" t="str">
        <f ca="1"/>
        <v/>
      </c>
      <c r="U358" s="44" t="str">
        <f ca="1"/>
        <v/>
      </c>
      <c r="V358" s="44" t="str">
        <f ca="1"/>
        <v/>
      </c>
      <c r="W358" s="44" t="str">
        <f ca="1"/>
        <v/>
      </c>
      <c r="X358" s="45" t="str">
        <f ca="1"/>
        <v/>
      </c>
      <c r="Y358" s="45" t="str">
        <f ca="1"/>
        <v/>
      </c>
      <c r="Z358" s="45" t="str">
        <f ca="1"/>
        <v/>
      </c>
      <c r="AA358" s="46" t="str">
        <f ca="1"/>
        <v/>
      </c>
      <c r="AB358" s="14"/>
    </row>
    <row r="359" spans="1:28" s="10" customFormat="1" ht="15" hidden="1" customHeight="1" x14ac:dyDescent="0.45">
      <c r="A359" s="1771"/>
      <c r="B359" s="1775" t="s">
        <v>328</v>
      </c>
      <c r="C359" s="1266" t="s">
        <v>326</v>
      </c>
      <c r="D359" s="47" t="str">
        <f ca="1"/>
        <v/>
      </c>
      <c r="E359" s="47" t="str">
        <f ca="1"/>
        <v/>
      </c>
      <c r="F359" s="47" t="str">
        <f ca="1"/>
        <v/>
      </c>
      <c r="G359" s="47" t="str">
        <f ca="1"/>
        <v/>
      </c>
      <c r="H359" s="47" t="str">
        <f ca="1"/>
        <v/>
      </c>
      <c r="I359" s="47" t="str">
        <f ca="1"/>
        <v/>
      </c>
      <c r="J359" s="47" t="str">
        <f ca="1"/>
        <v/>
      </c>
      <c r="K359" s="47" t="str">
        <f ca="1"/>
        <v/>
      </c>
      <c r="L359" s="47" t="str">
        <f ca="1"/>
        <v/>
      </c>
      <c r="M359" s="47" t="str">
        <f ca="1"/>
        <v/>
      </c>
      <c r="N359" s="47" t="str">
        <f ca="1"/>
        <v/>
      </c>
      <c r="O359" s="47" t="str">
        <f ca="1"/>
        <v/>
      </c>
      <c r="P359" s="48" t="str">
        <f ca="1"/>
        <v/>
      </c>
      <c r="Q359" s="49" t="str">
        <f ca="1"/>
        <v/>
      </c>
      <c r="R359" s="48" t="str">
        <f ca="1"/>
        <v/>
      </c>
      <c r="S359" s="48" t="str">
        <f ca="1"/>
        <v/>
      </c>
      <c r="T359" s="48" t="str">
        <f ca="1"/>
        <v/>
      </c>
      <c r="U359" s="48" t="str">
        <f ca="1"/>
        <v/>
      </c>
      <c r="V359" s="48" t="str">
        <f ca="1"/>
        <v/>
      </c>
      <c r="W359" s="48" t="str">
        <f ca="1"/>
        <v/>
      </c>
      <c r="X359" s="48" t="str">
        <f ca="1"/>
        <v/>
      </c>
      <c r="Y359" s="48" t="str">
        <f ca="1"/>
        <v/>
      </c>
      <c r="Z359" s="48" t="str">
        <f ca="1"/>
        <v/>
      </c>
      <c r="AA359" s="50" t="str">
        <f ca="1"/>
        <v/>
      </c>
      <c r="AB359" s="14"/>
    </row>
    <row r="360" spans="1:28" s="10" customFormat="1" ht="15" hidden="1" customHeight="1" x14ac:dyDescent="0.45">
      <c r="A360" s="1771"/>
      <c r="B360" s="1776"/>
      <c r="C360" s="1266" t="s">
        <v>327</v>
      </c>
      <c r="D360" s="47" t="str">
        <f ca="1"/>
        <v/>
      </c>
      <c r="E360" s="47" t="str">
        <f ca="1"/>
        <v/>
      </c>
      <c r="F360" s="47" t="str">
        <f ca="1"/>
        <v/>
      </c>
      <c r="G360" s="47" t="str">
        <f ca="1"/>
        <v/>
      </c>
      <c r="H360" s="47" t="str">
        <f ca="1"/>
        <v/>
      </c>
      <c r="I360" s="47" t="str">
        <f ca="1"/>
        <v/>
      </c>
      <c r="J360" s="47" t="str">
        <f ca="1"/>
        <v/>
      </c>
      <c r="K360" s="47" t="str">
        <f ca="1"/>
        <v/>
      </c>
      <c r="L360" s="47" t="str">
        <f ca="1"/>
        <v/>
      </c>
      <c r="M360" s="47" t="str">
        <f ca="1"/>
        <v/>
      </c>
      <c r="N360" s="47" t="str">
        <f ca="1"/>
        <v/>
      </c>
      <c r="O360" s="47" t="str">
        <f ca="1"/>
        <v/>
      </c>
      <c r="P360" s="47" t="str">
        <f ca="1"/>
        <v/>
      </c>
      <c r="Q360" s="49" t="str">
        <f ca="1"/>
        <v/>
      </c>
      <c r="R360" s="49" t="str">
        <f ca="1"/>
        <v/>
      </c>
      <c r="S360" s="49" t="str">
        <f ca="1"/>
        <v/>
      </c>
      <c r="T360" s="49" t="str">
        <f ca="1"/>
        <v/>
      </c>
      <c r="U360" s="49" t="str">
        <f ca="1"/>
        <v/>
      </c>
      <c r="V360" s="49" t="str">
        <f ca="1"/>
        <v>Efforts of: 1km x5
And recoveries of: 1 minutes</v>
      </c>
      <c r="W360" s="49" t="str">
        <f ca="1"/>
        <v/>
      </c>
      <c r="X360" s="48" t="str">
        <f ca="1"/>
        <v/>
      </c>
      <c r="Y360" s="48" t="str">
        <f ca="1"/>
        <v/>
      </c>
      <c r="Z360" s="48" t="str">
        <f ca="1"/>
        <v/>
      </c>
      <c r="AA360" s="50" t="str">
        <f ca="1"/>
        <v/>
      </c>
      <c r="AB360" s="14"/>
    </row>
    <row r="361" spans="1:28" s="10" customFormat="1" ht="15" hidden="1" customHeight="1" x14ac:dyDescent="0.45">
      <c r="A361" s="1771"/>
      <c r="B361" s="1777" t="s">
        <v>329</v>
      </c>
      <c r="C361" s="1416" t="s">
        <v>326</v>
      </c>
      <c r="D361" s="51" t="str">
        <f ca="1"/>
        <v/>
      </c>
      <c r="E361" s="51" t="str">
        <f ca="1"/>
        <v/>
      </c>
      <c r="F361" s="51" t="str">
        <f ca="1"/>
        <v/>
      </c>
      <c r="G361" s="51" t="str">
        <f ca="1"/>
        <v/>
      </c>
      <c r="H361" s="51" t="str">
        <f ca="1"/>
        <v/>
      </c>
      <c r="I361" s="51" t="str">
        <f ca="1"/>
        <v/>
      </c>
      <c r="J361" s="51" t="str">
        <f ca="1"/>
        <v/>
      </c>
      <c r="K361" s="51" t="str">
        <f ca="1"/>
        <v/>
      </c>
      <c r="L361" s="51" t="str">
        <f ca="1"/>
        <v/>
      </c>
      <c r="M361" s="52" t="str">
        <f ca="1"/>
        <v/>
      </c>
      <c r="N361" s="52" t="str">
        <f ca="1"/>
        <v/>
      </c>
      <c r="O361" s="52" t="str">
        <f ca="1"/>
        <v/>
      </c>
      <c r="P361" s="52" t="str">
        <f ca="1"/>
        <v/>
      </c>
      <c r="Q361" s="53" t="str">
        <f ca="1"/>
        <v/>
      </c>
      <c r="R361" s="52" t="str">
        <f ca="1"/>
        <v/>
      </c>
      <c r="S361" s="52" t="str">
        <f ca="1"/>
        <v/>
      </c>
      <c r="T361" s="52" t="str">
        <f ca="1"/>
        <v/>
      </c>
      <c r="U361" s="52" t="str">
        <f ca="1"/>
        <v/>
      </c>
      <c r="V361" s="52" t="str">
        <f ca="1"/>
        <v/>
      </c>
      <c r="W361" s="52" t="str">
        <f ca="1"/>
        <v/>
      </c>
      <c r="X361" s="52" t="str">
        <f ca="1"/>
        <v/>
      </c>
      <c r="Y361" s="52" t="str">
        <f ca="1"/>
        <v/>
      </c>
      <c r="Z361" s="52" t="str">
        <f ca="1"/>
        <v/>
      </c>
      <c r="AA361" s="54" t="str">
        <f ca="1"/>
        <v/>
      </c>
      <c r="AB361" s="14"/>
    </row>
    <row r="362" spans="1:28" s="10" customFormat="1" ht="15" hidden="1" customHeight="1" x14ac:dyDescent="0.45">
      <c r="A362" s="1771"/>
      <c r="B362" s="1774"/>
      <c r="C362" s="1265" t="s">
        <v>327</v>
      </c>
      <c r="D362" s="44" t="str">
        <f ca="1"/>
        <v/>
      </c>
      <c r="E362" s="44" t="str">
        <f ca="1"/>
        <v/>
      </c>
      <c r="F362" s="44" t="str">
        <f ca="1"/>
        <v/>
      </c>
      <c r="G362" s="44" t="str">
        <f ca="1"/>
        <v/>
      </c>
      <c r="H362" s="44" t="str">
        <f ca="1"/>
        <v/>
      </c>
      <c r="I362" s="44" t="str">
        <f ca="1"/>
        <v/>
      </c>
      <c r="J362" s="44" t="str">
        <f ca="1"/>
        <v/>
      </c>
      <c r="K362" s="44" t="str">
        <f ca="1"/>
        <v/>
      </c>
      <c r="L362" s="44" t="str">
        <f ca="1"/>
        <v/>
      </c>
      <c r="M362" s="44" t="str">
        <f ca="1"/>
        <v/>
      </c>
      <c r="N362" s="44" t="str">
        <f ca="1"/>
        <v/>
      </c>
      <c r="O362" s="44" t="str">
        <f ca="1"/>
        <v/>
      </c>
      <c r="P362" s="44" t="str">
        <f ca="1"/>
        <v/>
      </c>
      <c r="Q362" s="44" t="str">
        <f ca="1"/>
        <v/>
      </c>
      <c r="R362" s="44" t="str">
        <f ca="1"/>
        <v/>
      </c>
      <c r="S362" s="44" t="str">
        <f ca="1"/>
        <v/>
      </c>
      <c r="T362" s="44" t="str">
        <f ca="1"/>
        <v/>
      </c>
      <c r="U362" s="44" t="str">
        <f ca="1"/>
        <v/>
      </c>
      <c r="V362" s="44" t="str">
        <f ca="1"/>
        <v/>
      </c>
      <c r="W362" s="44" t="str">
        <f ca="1"/>
        <v/>
      </c>
      <c r="X362" s="45" t="str">
        <f ca="1"/>
        <v/>
      </c>
      <c r="Y362" s="45" t="str">
        <f ca="1"/>
        <v/>
      </c>
      <c r="Z362" s="45" t="str">
        <f ca="1"/>
        <v/>
      </c>
      <c r="AA362" s="46" t="str">
        <f ca="1"/>
        <v/>
      </c>
      <c r="AB362" s="14"/>
    </row>
    <row r="363" spans="1:28" s="10" customFormat="1" ht="15" hidden="1" customHeight="1" x14ac:dyDescent="0.45">
      <c r="A363" s="1771"/>
      <c r="B363" s="1775" t="s">
        <v>330</v>
      </c>
      <c r="C363" s="1266" t="s">
        <v>326</v>
      </c>
      <c r="D363" s="47" t="str">
        <f ca="1"/>
        <v/>
      </c>
      <c r="E363" s="47" t="str">
        <f ca="1"/>
        <v/>
      </c>
      <c r="F363" s="47" t="str">
        <f ca="1"/>
        <v/>
      </c>
      <c r="G363" s="47" t="str">
        <f ca="1"/>
        <v/>
      </c>
      <c r="H363" s="47" t="str">
        <f ca="1"/>
        <v/>
      </c>
      <c r="I363" s="47" t="str">
        <f ca="1"/>
        <v/>
      </c>
      <c r="J363" s="47" t="str">
        <f ca="1"/>
        <v/>
      </c>
      <c r="K363" s="47" t="str">
        <f ca="1"/>
        <v/>
      </c>
      <c r="L363" s="47" t="str">
        <f ca="1"/>
        <v/>
      </c>
      <c r="M363" s="47" t="str">
        <f ca="1"/>
        <v/>
      </c>
      <c r="N363" s="47" t="str">
        <f ca="1"/>
        <v/>
      </c>
      <c r="O363" s="47" t="str">
        <f ca="1"/>
        <v/>
      </c>
      <c r="P363" s="48" t="str">
        <f ca="1"/>
        <v/>
      </c>
      <c r="Q363" s="49" t="str">
        <f ca="1"/>
        <v/>
      </c>
      <c r="R363" s="48" t="str">
        <f ca="1"/>
        <v/>
      </c>
      <c r="S363" s="48" t="str">
        <f ca="1"/>
        <v/>
      </c>
      <c r="T363" s="48" t="str">
        <f ca="1"/>
        <v/>
      </c>
      <c r="U363" s="48" t="str">
        <f ca="1"/>
        <v/>
      </c>
      <c r="V363" s="48" t="str">
        <f ca="1"/>
        <v/>
      </c>
      <c r="W363" s="48" t="str">
        <f ca="1"/>
        <v/>
      </c>
      <c r="X363" s="48" t="str">
        <f ca="1"/>
        <v/>
      </c>
      <c r="Y363" s="48" t="str">
        <f ca="1"/>
        <v/>
      </c>
      <c r="Z363" s="48" t="str">
        <f ca="1"/>
        <v/>
      </c>
      <c r="AA363" s="50" t="str">
        <f ca="1"/>
        <v/>
      </c>
      <c r="AB363" s="14"/>
    </row>
    <row r="364" spans="1:28" s="10" customFormat="1" ht="15" hidden="1" customHeight="1" x14ac:dyDescent="0.45">
      <c r="A364" s="1771"/>
      <c r="B364" s="1776"/>
      <c r="C364" s="1266" t="s">
        <v>327</v>
      </c>
      <c r="D364" s="47" t="str">
        <f ca="1"/>
        <v/>
      </c>
      <c r="E364" s="47" t="str">
        <f ca="1"/>
        <v/>
      </c>
      <c r="F364" s="47" t="str">
        <f ca="1"/>
        <v/>
      </c>
      <c r="G364" s="47" t="str">
        <f ca="1"/>
        <v/>
      </c>
      <c r="H364" s="47" t="str">
        <f ca="1"/>
        <v/>
      </c>
      <c r="I364" s="47" t="str">
        <f ca="1"/>
        <v/>
      </c>
      <c r="J364" s="47" t="str">
        <f ca="1"/>
        <v/>
      </c>
      <c r="K364" s="47" t="str">
        <f ca="1"/>
        <v/>
      </c>
      <c r="L364" s="47" t="str">
        <f ca="1"/>
        <v/>
      </c>
      <c r="M364" s="47" t="str">
        <f ca="1"/>
        <v/>
      </c>
      <c r="N364" s="47" t="str">
        <f ca="1"/>
        <v/>
      </c>
      <c r="O364" s="49" t="str">
        <f ca="1"/>
        <v>Efforts of: 1km x3
And recoveries of: 2 minutes</v>
      </c>
      <c r="P364" s="47" t="str">
        <f ca="1"/>
        <v>Efforts of: 1km x4
And recoveries of: 2 minutes</v>
      </c>
      <c r="Q364" s="49" t="str">
        <f ca="1"/>
        <v>Efforts of: 1km x6
And recoveries of: 1 minutes</v>
      </c>
      <c r="R364" s="49" t="str">
        <f ca="1"/>
        <v>Efforts of: 1km x4
And recoveries of: 1 minutes</v>
      </c>
      <c r="S364" s="49" t="str">
        <f ca="1"/>
        <v>Efforts of: 1km x4
And recoveries of: 1 minutes</v>
      </c>
      <c r="T364" s="49" t="str">
        <f ca="1"/>
        <v/>
      </c>
      <c r="U364" s="49" t="str">
        <f ca="1"/>
        <v>Efforts of: 1km x5
And recoveries of: 1 minutes</v>
      </c>
      <c r="V364" s="49" t="str">
        <f ca="1"/>
        <v/>
      </c>
      <c r="W364" s="49" t="str">
        <f ca="1"/>
        <v/>
      </c>
      <c r="X364" s="48" t="str">
        <f ca="1"/>
        <v/>
      </c>
      <c r="Y364" s="48" t="str">
        <f ca="1"/>
        <v/>
      </c>
      <c r="Z364" s="48" t="str">
        <f ca="1"/>
        <v/>
      </c>
      <c r="AA364" s="50" t="str">
        <f ca="1"/>
        <v/>
      </c>
      <c r="AB364" s="14"/>
    </row>
    <row r="365" spans="1:28" s="10" customFormat="1" ht="15" hidden="1" customHeight="1" x14ac:dyDescent="0.45">
      <c r="A365" s="1771"/>
      <c r="B365" s="1777" t="s">
        <v>331</v>
      </c>
      <c r="C365" s="1416" t="s">
        <v>326</v>
      </c>
      <c r="D365" s="51" t="str">
        <f ca="1"/>
        <v/>
      </c>
      <c r="E365" s="51" t="str">
        <f ca="1"/>
        <v/>
      </c>
      <c r="F365" s="51" t="str">
        <f ca="1"/>
        <v/>
      </c>
      <c r="G365" s="51" t="str">
        <f ca="1"/>
        <v/>
      </c>
      <c r="H365" s="51" t="str">
        <f ca="1"/>
        <v/>
      </c>
      <c r="I365" s="51" t="str">
        <f ca="1"/>
        <v/>
      </c>
      <c r="J365" s="51" t="str">
        <f ca="1"/>
        <v/>
      </c>
      <c r="K365" s="51" t="str">
        <f ca="1"/>
        <v/>
      </c>
      <c r="L365" s="51" t="str">
        <f ca="1"/>
        <v/>
      </c>
      <c r="M365" s="52" t="str">
        <f ca="1"/>
        <v/>
      </c>
      <c r="N365" s="52" t="str">
        <f ca="1"/>
        <v/>
      </c>
      <c r="O365" s="52" t="str">
        <f ca="1"/>
        <v/>
      </c>
      <c r="P365" s="52" t="str">
        <f ca="1"/>
        <v/>
      </c>
      <c r="Q365" s="53" t="str">
        <f ca="1"/>
        <v/>
      </c>
      <c r="R365" s="52" t="str">
        <f ca="1"/>
        <v/>
      </c>
      <c r="S365" s="52" t="str">
        <f ca="1"/>
        <v/>
      </c>
      <c r="T365" s="52" t="str">
        <f ca="1"/>
        <v/>
      </c>
      <c r="U365" s="52" t="str">
        <f ca="1"/>
        <v/>
      </c>
      <c r="V365" s="52" t="str">
        <f ca="1"/>
        <v/>
      </c>
      <c r="W365" s="52" t="str">
        <f ca="1"/>
        <v/>
      </c>
      <c r="X365" s="52" t="str">
        <f ca="1"/>
        <v/>
      </c>
      <c r="Y365" s="52" t="str">
        <f ca="1"/>
        <v/>
      </c>
      <c r="Z365" s="52" t="str">
        <f ca="1"/>
        <v/>
      </c>
      <c r="AA365" s="54" t="str">
        <f ca="1"/>
        <v/>
      </c>
      <c r="AB365" s="14"/>
    </row>
    <row r="366" spans="1:28" s="10" customFormat="1" ht="15" hidden="1" customHeight="1" x14ac:dyDescent="0.45">
      <c r="A366" s="1771"/>
      <c r="B366" s="1774"/>
      <c r="C366" s="1265" t="s">
        <v>327</v>
      </c>
      <c r="D366" s="44" t="str">
        <f ca="1"/>
        <v/>
      </c>
      <c r="E366" s="44" t="str">
        <f ca="1"/>
        <v/>
      </c>
      <c r="F366" s="44" t="str">
        <f ca="1"/>
        <v/>
      </c>
      <c r="G366" s="44" t="str">
        <f ca="1"/>
        <v/>
      </c>
      <c r="H366" s="44" t="str">
        <f ca="1"/>
        <v/>
      </c>
      <c r="I366" s="44" t="str">
        <f ca="1"/>
        <v/>
      </c>
      <c r="J366" s="44" t="str">
        <f ca="1"/>
        <v/>
      </c>
      <c r="K366" s="44" t="str">
        <f ca="1"/>
        <v/>
      </c>
      <c r="L366" s="44" t="str">
        <f ca="1"/>
        <v/>
      </c>
      <c r="M366" s="44" t="str">
        <f ca="1"/>
        <v/>
      </c>
      <c r="N366" s="44" t="str">
        <f ca="1"/>
        <v/>
      </c>
      <c r="O366" s="44" t="str">
        <f ca="1"/>
        <v/>
      </c>
      <c r="P366" s="44" t="str">
        <f ca="1"/>
        <v/>
      </c>
      <c r="Q366" s="44" t="str">
        <f ca="1"/>
        <v/>
      </c>
      <c r="R366" s="44" t="str">
        <f ca="1"/>
        <v/>
      </c>
      <c r="S366" s="44" t="str">
        <f ca="1"/>
        <v/>
      </c>
      <c r="T366" s="44" t="str">
        <f ca="1"/>
        <v/>
      </c>
      <c r="U366" s="44" t="str">
        <f ca="1"/>
        <v/>
      </c>
      <c r="V366" s="44" t="str">
        <f ca="1"/>
        <v/>
      </c>
      <c r="W366" s="44" t="str">
        <f ca="1"/>
        <v/>
      </c>
      <c r="X366" s="45" t="str">
        <f ca="1"/>
        <v/>
      </c>
      <c r="Y366" s="45" t="str">
        <f ca="1"/>
        <v/>
      </c>
      <c r="Z366" s="45" t="str">
        <f ca="1"/>
        <v/>
      </c>
      <c r="AA366" s="46" t="str">
        <f ca="1"/>
        <v/>
      </c>
      <c r="AB366" s="14"/>
    </row>
    <row r="367" spans="1:28" s="10" customFormat="1" ht="15" hidden="1" customHeight="1" x14ac:dyDescent="0.45">
      <c r="A367" s="1771"/>
      <c r="B367" s="1775" t="s">
        <v>332</v>
      </c>
      <c r="C367" s="1266" t="s">
        <v>326</v>
      </c>
      <c r="D367" s="47" t="str">
        <f ca="1"/>
        <v/>
      </c>
      <c r="E367" s="47" t="str">
        <f ca="1"/>
        <v/>
      </c>
      <c r="F367" s="47" t="str">
        <f ca="1"/>
        <v/>
      </c>
      <c r="G367" s="47" t="str">
        <f ca="1"/>
        <v/>
      </c>
      <c r="H367" s="47" t="str">
        <f ca="1"/>
        <v/>
      </c>
      <c r="I367" s="47" t="str">
        <f ca="1"/>
        <v/>
      </c>
      <c r="J367" s="47" t="str">
        <f ca="1"/>
        <v/>
      </c>
      <c r="K367" s="47" t="str">
        <f ca="1"/>
        <v/>
      </c>
      <c r="L367" s="47" t="str">
        <f ca="1"/>
        <v/>
      </c>
      <c r="M367" s="47" t="str">
        <f ca="1"/>
        <v/>
      </c>
      <c r="N367" s="47" t="str">
        <f ca="1"/>
        <v/>
      </c>
      <c r="O367" s="47" t="str">
        <f ca="1"/>
        <v/>
      </c>
      <c r="P367" s="48" t="str">
        <f ca="1"/>
        <v/>
      </c>
      <c r="Q367" s="49" t="str">
        <f ca="1"/>
        <v/>
      </c>
      <c r="R367" s="48" t="str">
        <f ca="1"/>
        <v/>
      </c>
      <c r="S367" s="48" t="str">
        <f ca="1"/>
        <v/>
      </c>
      <c r="T367" s="48" t="str">
        <f ca="1"/>
        <v/>
      </c>
      <c r="U367" s="48" t="str">
        <f ca="1"/>
        <v/>
      </c>
      <c r="V367" s="48" t="str">
        <f ca="1"/>
        <v/>
      </c>
      <c r="W367" s="48" t="str">
        <f ca="1"/>
        <v/>
      </c>
      <c r="X367" s="48" t="str">
        <f ca="1"/>
        <v/>
      </c>
      <c r="Y367" s="48" t="str">
        <f ca="1"/>
        <v/>
      </c>
      <c r="Z367" s="48" t="str">
        <f ca="1"/>
        <v/>
      </c>
      <c r="AA367" s="50" t="str">
        <f ca="1"/>
        <v/>
      </c>
      <c r="AB367" s="14"/>
    </row>
    <row r="368" spans="1:28" s="10" customFormat="1" ht="15" hidden="1" customHeight="1" x14ac:dyDescent="0.45">
      <c r="A368" s="1771"/>
      <c r="B368" s="1776"/>
      <c r="C368" s="1266" t="s">
        <v>327</v>
      </c>
      <c r="D368" s="47" t="str">
        <f ca="1"/>
        <v/>
      </c>
      <c r="E368" s="47" t="str">
        <f ca="1"/>
        <v/>
      </c>
      <c r="F368" s="47" t="str">
        <f ca="1"/>
        <v/>
      </c>
      <c r="G368" s="47" t="str">
        <f ca="1"/>
        <v/>
      </c>
      <c r="H368" s="47" t="str">
        <f ca="1"/>
        <v/>
      </c>
      <c r="I368" s="47" t="str">
        <f ca="1"/>
        <v/>
      </c>
      <c r="J368" s="47" t="str">
        <f ca="1"/>
        <v/>
      </c>
      <c r="K368" s="47" t="str">
        <f ca="1"/>
        <v/>
      </c>
      <c r="L368" s="47" t="str">
        <f ca="1"/>
        <v/>
      </c>
      <c r="M368" s="47" t="str">
        <f ca="1"/>
        <v/>
      </c>
      <c r="N368" s="47" t="str">
        <f ca="1"/>
        <v/>
      </c>
      <c r="O368" s="47" t="str">
        <f ca="1"/>
        <v/>
      </c>
      <c r="P368" s="47" t="str">
        <f ca="1"/>
        <v/>
      </c>
      <c r="Q368" s="49" t="str">
        <f ca="1"/>
        <v/>
      </c>
      <c r="R368" s="49" t="str">
        <f ca="1"/>
        <v/>
      </c>
      <c r="S368" s="49" t="str">
        <f ca="1"/>
        <v/>
      </c>
      <c r="T368" s="49" t="str">
        <f ca="1"/>
        <v/>
      </c>
      <c r="U368" s="49" t="str">
        <f ca="1"/>
        <v/>
      </c>
      <c r="V368" s="49" t="str">
        <f ca="1"/>
        <v/>
      </c>
      <c r="W368" s="49" t="str">
        <f ca="1"/>
        <v/>
      </c>
      <c r="X368" s="48" t="str">
        <f ca="1"/>
        <v/>
      </c>
      <c r="Y368" s="48" t="str">
        <f ca="1"/>
        <v/>
      </c>
      <c r="Z368" s="48" t="str">
        <f ca="1"/>
        <v/>
      </c>
      <c r="AA368" s="50" t="str">
        <f ca="1"/>
        <v/>
      </c>
      <c r="AB368" s="14"/>
    </row>
    <row r="369" spans="1:28" s="10" customFormat="1" ht="15" hidden="1" customHeight="1" x14ac:dyDescent="0.45">
      <c r="A369" s="1771"/>
      <c r="B369" s="1777" t="s">
        <v>333</v>
      </c>
      <c r="C369" s="1265" t="s">
        <v>326</v>
      </c>
      <c r="D369" s="44" t="str">
        <f ca="1"/>
        <v/>
      </c>
      <c r="E369" s="44" t="str">
        <f ca="1"/>
        <v/>
      </c>
      <c r="F369" s="44" t="str">
        <f ca="1"/>
        <v/>
      </c>
      <c r="G369" s="44" t="str">
        <f ca="1"/>
        <v/>
      </c>
      <c r="H369" s="44" t="str">
        <f ca="1"/>
        <v/>
      </c>
      <c r="I369" s="44" t="str">
        <f ca="1"/>
        <v/>
      </c>
      <c r="J369" s="44" t="str">
        <f ca="1"/>
        <v/>
      </c>
      <c r="K369" s="44" t="str">
        <f ca="1"/>
        <v/>
      </c>
      <c r="L369" s="44" t="str">
        <f ca="1"/>
        <v/>
      </c>
      <c r="M369" s="45" t="str">
        <f ca="1"/>
        <v/>
      </c>
      <c r="N369" s="45" t="str">
        <f ca="1"/>
        <v/>
      </c>
      <c r="O369" s="45" t="str">
        <f ca="1"/>
        <v/>
      </c>
      <c r="P369" s="45" t="str">
        <f ca="1"/>
        <v/>
      </c>
      <c r="Q369" s="55" t="str">
        <f ca="1"/>
        <v/>
      </c>
      <c r="R369" s="45" t="str">
        <f ca="1"/>
        <v/>
      </c>
      <c r="S369" s="45" t="str">
        <f ca="1"/>
        <v/>
      </c>
      <c r="T369" s="45" t="str">
        <f ca="1"/>
        <v/>
      </c>
      <c r="U369" s="45" t="str">
        <f ca="1"/>
        <v/>
      </c>
      <c r="V369" s="45" t="str">
        <f ca="1"/>
        <v/>
      </c>
      <c r="W369" s="45" t="str">
        <f ca="1"/>
        <v/>
      </c>
      <c r="X369" s="45" t="str">
        <f ca="1"/>
        <v/>
      </c>
      <c r="Y369" s="45" t="str">
        <f ca="1"/>
        <v/>
      </c>
      <c r="Z369" s="45" t="str">
        <f ca="1"/>
        <v/>
      </c>
      <c r="AA369" s="46" t="str">
        <f ca="1"/>
        <v/>
      </c>
      <c r="AB369" s="14"/>
    </row>
    <row r="370" spans="1:28" s="10" customFormat="1" ht="15" hidden="1" customHeight="1" x14ac:dyDescent="0.45">
      <c r="A370" s="1772"/>
      <c r="B370" s="1778"/>
      <c r="C370" s="1267" t="s">
        <v>327</v>
      </c>
      <c r="D370" s="56" t="str">
        <f ca="1"/>
        <v/>
      </c>
      <c r="E370" s="56" t="str">
        <f ca="1"/>
        <v/>
      </c>
      <c r="F370" s="56" t="str">
        <f ca="1"/>
        <v/>
      </c>
      <c r="G370" s="56" t="str">
        <f ca="1"/>
        <v/>
      </c>
      <c r="H370" s="56" t="str">
        <f ca="1"/>
        <v/>
      </c>
      <c r="I370" s="56" t="str">
        <f ca="1"/>
        <v/>
      </c>
      <c r="J370" s="56" t="str">
        <f ca="1"/>
        <v/>
      </c>
      <c r="K370" s="56" t="str">
        <f ca="1"/>
        <v/>
      </c>
      <c r="L370" s="56" t="str">
        <f ca="1"/>
        <v/>
      </c>
      <c r="M370" s="57" t="str">
        <f ca="1"/>
        <v/>
      </c>
      <c r="N370" s="57" t="str">
        <f ca="1"/>
        <v/>
      </c>
      <c r="O370" s="57" t="str">
        <f ca="1"/>
        <v/>
      </c>
      <c r="P370" s="57" t="str">
        <f ca="1"/>
        <v/>
      </c>
      <c r="Q370" s="58" t="str">
        <f ca="1"/>
        <v/>
      </c>
      <c r="R370" s="57" t="str">
        <f ca="1"/>
        <v/>
      </c>
      <c r="S370" s="57" t="str">
        <f ca="1"/>
        <v/>
      </c>
      <c r="T370" s="57" t="str">
        <f ca="1"/>
        <v/>
      </c>
      <c r="U370" s="57" t="str">
        <f ca="1"/>
        <v/>
      </c>
      <c r="V370" s="57" t="str">
        <f ca="1"/>
        <v/>
      </c>
      <c r="W370" s="57" t="str">
        <f ca="1"/>
        <v/>
      </c>
      <c r="X370" s="57" t="str">
        <f ca="1"/>
        <v/>
      </c>
      <c r="Y370" s="57" t="str">
        <f ca="1"/>
        <v/>
      </c>
      <c r="Z370" s="57" t="str">
        <f ca="1"/>
        <v/>
      </c>
      <c r="AA370" s="59" t="str">
        <f ca="1"/>
        <v/>
      </c>
      <c r="AB370" s="14"/>
    </row>
    <row r="371" spans="1:28" s="10" customFormat="1" ht="15" hidden="1" customHeight="1" x14ac:dyDescent="0.45">
      <c r="A371" s="1770" t="s">
        <v>759</v>
      </c>
      <c r="B371" s="1773" t="s">
        <v>325</v>
      </c>
      <c r="C371" s="1500" t="s">
        <v>326</v>
      </c>
      <c r="D371" s="51" t="str">
        <f t="array" ref="D371:AA384">IF(athlete_nutrition="Off","",
IF(INDEX(sessions_nutrition,,plan_session_allocation)="","",
CONCATENATE(INDEX(sessions_symbol_nutrition,,plan_session_allocation)," ",INDEX(sessions_summary_nutrition,,plan_session_allocation))))</f>
        <v/>
      </c>
      <c r="E371" s="51" t="str">
        <v/>
      </c>
      <c r="F371" s="51" t="str">
        <v/>
      </c>
      <c r="G371" s="51" t="str">
        <v/>
      </c>
      <c r="H371" s="51" t="str">
        <v/>
      </c>
      <c r="I371" s="51" t="str">
        <v/>
      </c>
      <c r="J371" s="51" t="str">
        <v/>
      </c>
      <c r="K371" s="51" t="str">
        <v/>
      </c>
      <c r="L371" s="51" t="str">
        <v/>
      </c>
      <c r="M371" s="52" t="str">
        <v/>
      </c>
      <c r="N371" s="52" t="str">
        <v/>
      </c>
      <c r="O371" s="52" t="str">
        <v/>
      </c>
      <c r="P371" s="52" t="str">
        <v/>
      </c>
      <c r="Q371" s="53" t="str">
        <v/>
      </c>
      <c r="R371" s="52" t="str">
        <v/>
      </c>
      <c r="S371" s="52" t="str">
        <v/>
      </c>
      <c r="T371" s="52" t="str">
        <v/>
      </c>
      <c r="U371" s="52" t="str">
        <v/>
      </c>
      <c r="V371" s="52" t="str">
        <v/>
      </c>
      <c r="W371" s="52" t="str">
        <v/>
      </c>
      <c r="X371" s="52" t="str">
        <v/>
      </c>
      <c r="Y371" s="52" t="str">
        <v/>
      </c>
      <c r="Z371" s="52" t="str">
        <v/>
      </c>
      <c r="AA371" s="54" t="str">
        <v/>
      </c>
      <c r="AB371" s="14"/>
    </row>
    <row r="372" spans="1:28" s="10" customFormat="1" ht="15" hidden="1" customHeight="1" x14ac:dyDescent="0.45">
      <c r="A372" s="1771"/>
      <c r="B372" s="1774"/>
      <c r="C372" s="1265" t="s">
        <v>327</v>
      </c>
      <c r="D372" s="44" t="str">
        <v/>
      </c>
      <c r="E372" s="44" t="str">
        <v/>
      </c>
      <c r="F372" s="44" t="str">
        <v/>
      </c>
      <c r="G372" s="44" t="str">
        <v/>
      </c>
      <c r="H372" s="44" t="str">
        <v/>
      </c>
      <c r="I372" s="44" t="str">
        <v/>
      </c>
      <c r="J372" s="44" t="str">
        <v/>
      </c>
      <c r="K372" s="44" t="str">
        <v/>
      </c>
      <c r="L372" s="44" t="str">
        <v/>
      </c>
      <c r="M372" s="44" t="str">
        <v/>
      </c>
      <c r="N372" s="44" t="str">
        <v/>
      </c>
      <c r="O372" s="44" t="str">
        <v/>
      </c>
      <c r="P372" s="44" t="str">
        <v/>
      </c>
      <c r="Q372" s="44" t="str">
        <v/>
      </c>
      <c r="R372" s="44" t="str">
        <v/>
      </c>
      <c r="S372" s="44" t="str">
        <v/>
      </c>
      <c r="T372" s="44" t="str">
        <v/>
      </c>
      <c r="U372" s="44" t="str">
        <v/>
      </c>
      <c r="V372" s="44" t="str">
        <v/>
      </c>
      <c r="W372" s="44" t="str">
        <v/>
      </c>
      <c r="X372" s="45" t="str">
        <v/>
      </c>
      <c r="Y372" s="45" t="str">
        <v/>
      </c>
      <c r="Z372" s="45" t="str">
        <v/>
      </c>
      <c r="AA372" s="46" t="str">
        <v/>
      </c>
      <c r="AB372" s="14"/>
    </row>
    <row r="373" spans="1:28" s="10" customFormat="1" ht="15" hidden="1" customHeight="1" x14ac:dyDescent="0.45">
      <c r="A373" s="1771"/>
      <c r="B373" s="1775" t="s">
        <v>328</v>
      </c>
      <c r="C373" s="1266" t="s">
        <v>326</v>
      </c>
      <c r="D373" s="47" t="str">
        <v/>
      </c>
      <c r="E373" s="47" t="str">
        <v/>
      </c>
      <c r="F373" s="47" t="str">
        <v/>
      </c>
      <c r="G373" s="47" t="str">
        <v/>
      </c>
      <c r="H373" s="47" t="str">
        <v/>
      </c>
      <c r="I373" s="47" t="str">
        <v/>
      </c>
      <c r="J373" s="47" t="str">
        <v/>
      </c>
      <c r="K373" s="47" t="str">
        <v/>
      </c>
      <c r="L373" s="47" t="str">
        <v/>
      </c>
      <c r="M373" s="47" t="str">
        <v/>
      </c>
      <c r="N373" s="47" t="str">
        <v/>
      </c>
      <c r="O373" s="47" t="str">
        <v/>
      </c>
      <c r="P373" s="48" t="str">
        <v/>
      </c>
      <c r="Q373" s="49" t="str">
        <v/>
      </c>
      <c r="R373" s="48" t="str">
        <v/>
      </c>
      <c r="S373" s="48" t="str">
        <v/>
      </c>
      <c r="T373" s="48" t="str">
        <v/>
      </c>
      <c r="U373" s="48" t="str">
        <v/>
      </c>
      <c r="V373" s="48" t="str">
        <v/>
      </c>
      <c r="W373" s="48" t="str">
        <v/>
      </c>
      <c r="X373" s="48" t="str">
        <v/>
      </c>
      <c r="Y373" s="48" t="str">
        <v/>
      </c>
      <c r="Z373" s="48" t="str">
        <v/>
      </c>
      <c r="AA373" s="50" t="str">
        <v/>
      </c>
      <c r="AB373" s="14"/>
    </row>
    <row r="374" spans="1:28" s="10" customFormat="1" ht="15" hidden="1" customHeight="1" x14ac:dyDescent="0.45">
      <c r="A374" s="1771"/>
      <c r="B374" s="1776"/>
      <c r="C374" s="1266" t="s">
        <v>327</v>
      </c>
      <c r="D374" s="47" t="str">
        <v/>
      </c>
      <c r="E374" s="47" t="str">
        <v/>
      </c>
      <c r="F374" s="47" t="str">
        <v/>
      </c>
      <c r="G374" s="47" t="str">
        <v/>
      </c>
      <c r="H374" s="47" t="str">
        <v/>
      </c>
      <c r="I374" s="47" t="str">
        <v/>
      </c>
      <c r="J374" s="47" t="str">
        <v/>
      </c>
      <c r="K374" s="47" t="str">
        <v/>
      </c>
      <c r="L374" s="47" t="str">
        <v/>
      </c>
      <c r="M374" s="47" t="str">
        <v/>
      </c>
      <c r="N374" s="47" t="str">
        <v/>
      </c>
      <c r="O374" s="47" t="str">
        <v/>
      </c>
      <c r="P374" s="47" t="str">
        <v/>
      </c>
      <c r="Q374" s="49" t="str">
        <v/>
      </c>
      <c r="R374" s="49" t="str">
        <v/>
      </c>
      <c r="S374" s="49" t="str">
        <v/>
      </c>
      <c r="T374" s="49" t="str">
        <v/>
      </c>
      <c r="U374" s="49" t="str">
        <v/>
      </c>
      <c r="V374" s="49" t="str">
        <v/>
      </c>
      <c r="W374" s="49" t="str">
        <v/>
      </c>
      <c r="X374" s="48" t="str">
        <v/>
      </c>
      <c r="Y374" s="48" t="str">
        <v/>
      </c>
      <c r="Z374" s="48" t="str">
        <v/>
      </c>
      <c r="AA374" s="50" t="str">
        <v/>
      </c>
      <c r="AB374" s="14"/>
    </row>
    <row r="375" spans="1:28" s="10" customFormat="1" ht="15" hidden="1" customHeight="1" x14ac:dyDescent="0.45">
      <c r="A375" s="1771"/>
      <c r="B375" s="1777" t="s">
        <v>329</v>
      </c>
      <c r="C375" s="1500" t="s">
        <v>326</v>
      </c>
      <c r="D375" s="51" t="str">
        <v/>
      </c>
      <c r="E375" s="51" t="str">
        <v/>
      </c>
      <c r="F375" s="51" t="str">
        <v/>
      </c>
      <c r="G375" s="51" t="str">
        <v/>
      </c>
      <c r="H375" s="51" t="str">
        <v/>
      </c>
      <c r="I375" s="51" t="str">
        <v/>
      </c>
      <c r="J375" s="51" t="str">
        <v/>
      </c>
      <c r="K375" s="51" t="str">
        <v/>
      </c>
      <c r="L375" s="51" t="str">
        <v/>
      </c>
      <c r="M375" s="52" t="str">
        <v/>
      </c>
      <c r="N375" s="52" t="str">
        <v/>
      </c>
      <c r="O375" s="52" t="str">
        <v/>
      </c>
      <c r="P375" s="52" t="str">
        <v/>
      </c>
      <c r="Q375" s="53" t="str">
        <v/>
      </c>
      <c r="R375" s="52" t="str">
        <v/>
      </c>
      <c r="S375" s="52" t="str">
        <v/>
      </c>
      <c r="T375" s="52" t="str">
        <v/>
      </c>
      <c r="U375" s="52" t="str">
        <v/>
      </c>
      <c r="V375" s="52" t="str">
        <v/>
      </c>
      <c r="W375" s="52" t="str">
        <v/>
      </c>
      <c r="X375" s="52" t="str">
        <v/>
      </c>
      <c r="Y375" s="52" t="str">
        <v/>
      </c>
      <c r="Z375" s="52" t="str">
        <v/>
      </c>
      <c r="AA375" s="54" t="str">
        <v/>
      </c>
      <c r="AB375" s="14"/>
    </row>
    <row r="376" spans="1:28" s="10" customFormat="1" ht="15" hidden="1" customHeight="1" x14ac:dyDescent="0.45">
      <c r="A376" s="1771"/>
      <c r="B376" s="1774"/>
      <c r="C376" s="1265" t="s">
        <v>327</v>
      </c>
      <c r="D376" s="44" t="str">
        <v/>
      </c>
      <c r="E376" s="44" t="str">
        <v/>
      </c>
      <c r="F376" s="44" t="str">
        <v/>
      </c>
      <c r="G376" s="44" t="str">
        <v/>
      </c>
      <c r="H376" s="44" t="str">
        <v/>
      </c>
      <c r="I376" s="44" t="str">
        <v/>
      </c>
      <c r="J376" s="44" t="str">
        <v/>
      </c>
      <c r="K376" s="44" t="str">
        <v/>
      </c>
      <c r="L376" s="44" t="str">
        <v/>
      </c>
      <c r="M376" s="44" t="str">
        <v/>
      </c>
      <c r="N376" s="44" t="str">
        <v/>
      </c>
      <c r="O376" s="44" t="str">
        <v/>
      </c>
      <c r="P376" s="44" t="str">
        <v/>
      </c>
      <c r="Q376" s="44" t="str">
        <v/>
      </c>
      <c r="R376" s="44" t="str">
        <v/>
      </c>
      <c r="S376" s="44" t="str">
        <v/>
      </c>
      <c r="T376" s="44" t="str">
        <v/>
      </c>
      <c r="U376" s="44" t="str">
        <v/>
      </c>
      <c r="V376" s="44" t="str">
        <v/>
      </c>
      <c r="W376" s="44" t="str">
        <v/>
      </c>
      <c r="X376" s="45" t="str">
        <v/>
      </c>
      <c r="Y376" s="45" t="str">
        <v/>
      </c>
      <c r="Z376" s="45" t="str">
        <v/>
      </c>
      <c r="AA376" s="46" t="str">
        <v/>
      </c>
      <c r="AB376" s="14"/>
    </row>
    <row r="377" spans="1:28" s="10" customFormat="1" ht="15" hidden="1" customHeight="1" x14ac:dyDescent="0.45">
      <c r="A377" s="1771"/>
      <c r="B377" s="1775" t="s">
        <v>330</v>
      </c>
      <c r="C377" s="1266" t="s">
        <v>326</v>
      </c>
      <c r="D377" s="47" t="str">
        <v/>
      </c>
      <c r="E377" s="47" t="str">
        <v/>
      </c>
      <c r="F377" s="47" t="str">
        <v/>
      </c>
      <c r="G377" s="47" t="str">
        <v/>
      </c>
      <c r="H377" s="47" t="str">
        <v/>
      </c>
      <c r="I377" s="47" t="str">
        <v/>
      </c>
      <c r="J377" s="47" t="str">
        <v/>
      </c>
      <c r="K377" s="47" t="str">
        <v/>
      </c>
      <c r="L377" s="47" t="str">
        <v/>
      </c>
      <c r="M377" s="47" t="str">
        <v/>
      </c>
      <c r="N377" s="47" t="str">
        <v/>
      </c>
      <c r="O377" s="47" t="str">
        <v/>
      </c>
      <c r="P377" s="48" t="str">
        <v/>
      </c>
      <c r="Q377" s="49" t="str">
        <v/>
      </c>
      <c r="R377" s="48" t="str">
        <v/>
      </c>
      <c r="S377" s="48" t="str">
        <v/>
      </c>
      <c r="T377" s="48" t="str">
        <v/>
      </c>
      <c r="U377" s="48" t="str">
        <v/>
      </c>
      <c r="V377" s="48" t="str">
        <v/>
      </c>
      <c r="W377" s="48" t="str">
        <v/>
      </c>
      <c r="X377" s="48" t="str">
        <v/>
      </c>
      <c r="Y377" s="48" t="str">
        <v/>
      </c>
      <c r="Z377" s="48" t="str">
        <v/>
      </c>
      <c r="AA377" s="50" t="str">
        <v/>
      </c>
      <c r="AB377" s="14"/>
    </row>
    <row r="378" spans="1:28" s="10" customFormat="1" ht="15" hidden="1" customHeight="1" x14ac:dyDescent="0.45">
      <c r="A378" s="1771"/>
      <c r="B378" s="1776"/>
      <c r="C378" s="1266" t="s">
        <v>327</v>
      </c>
      <c r="D378" s="47" t="str">
        <v/>
      </c>
      <c r="E378" s="47" t="str">
        <v/>
      </c>
      <c r="F378" s="47" t="str">
        <v/>
      </c>
      <c r="G378" s="47" t="str">
        <v/>
      </c>
      <c r="H378" s="47" t="str">
        <v/>
      </c>
      <c r="I378" s="47" t="str">
        <v/>
      </c>
      <c r="J378" s="47" t="str">
        <v/>
      </c>
      <c r="K378" s="47" t="str">
        <v/>
      </c>
      <c r="L378" s="47" t="str">
        <v/>
      </c>
      <c r="M378" s="47" t="str">
        <v/>
      </c>
      <c r="N378" s="47" t="str">
        <v/>
      </c>
      <c r="O378" s="49" t="str">
        <v/>
      </c>
      <c r="P378" s="47" t="str">
        <v/>
      </c>
      <c r="Q378" s="49" t="str">
        <v/>
      </c>
      <c r="R378" s="49" t="str">
        <v/>
      </c>
      <c r="S378" s="49" t="str">
        <v/>
      </c>
      <c r="T378" s="49" t="str">
        <v/>
      </c>
      <c r="U378" s="49" t="str">
        <v/>
      </c>
      <c r="V378" s="49" t="str">
        <v/>
      </c>
      <c r="W378" s="49" t="str">
        <v/>
      </c>
      <c r="X378" s="48" t="str">
        <v/>
      </c>
      <c r="Y378" s="48" t="str">
        <v/>
      </c>
      <c r="Z378" s="48" t="str">
        <v/>
      </c>
      <c r="AA378" s="50" t="str">
        <v/>
      </c>
      <c r="AB378" s="14"/>
    </row>
    <row r="379" spans="1:28" s="10" customFormat="1" ht="15" hidden="1" customHeight="1" x14ac:dyDescent="0.45">
      <c r="A379" s="1771"/>
      <c r="B379" s="1777" t="s">
        <v>331</v>
      </c>
      <c r="C379" s="1500" t="s">
        <v>326</v>
      </c>
      <c r="D379" s="51" t="str">
        <v/>
      </c>
      <c r="E379" s="51" t="str">
        <v/>
      </c>
      <c r="F379" s="51" t="str">
        <v/>
      </c>
      <c r="G379" s="51" t="str">
        <v/>
      </c>
      <c r="H379" s="51" t="str">
        <v/>
      </c>
      <c r="I379" s="51" t="str">
        <v/>
      </c>
      <c r="J379" s="51" t="str">
        <v/>
      </c>
      <c r="K379" s="51" t="str">
        <v/>
      </c>
      <c r="L379" s="51" t="str">
        <v/>
      </c>
      <c r="M379" s="52" t="str">
        <v/>
      </c>
      <c r="N379" s="52" t="str">
        <v/>
      </c>
      <c r="O379" s="52" t="str">
        <v/>
      </c>
      <c r="P379" s="52" t="str">
        <v/>
      </c>
      <c r="Q379" s="53" t="str">
        <v/>
      </c>
      <c r="R379" s="52" t="str">
        <v/>
      </c>
      <c r="S379" s="52" t="str">
        <v/>
      </c>
      <c r="T379" s="52" t="str">
        <v/>
      </c>
      <c r="U379" s="52" t="str">
        <v/>
      </c>
      <c r="V379" s="52" t="str">
        <v/>
      </c>
      <c r="W379" s="52" t="str">
        <v/>
      </c>
      <c r="X379" s="52" t="str">
        <v/>
      </c>
      <c r="Y379" s="52" t="str">
        <v/>
      </c>
      <c r="Z379" s="52" t="str">
        <v/>
      </c>
      <c r="AA379" s="54" t="str">
        <v/>
      </c>
      <c r="AB379" s="14"/>
    </row>
    <row r="380" spans="1:28" s="10" customFormat="1" ht="15" hidden="1" customHeight="1" x14ac:dyDescent="0.45">
      <c r="A380" s="1771"/>
      <c r="B380" s="1774"/>
      <c r="C380" s="1265" t="s">
        <v>327</v>
      </c>
      <c r="D380" s="44" t="str">
        <v/>
      </c>
      <c r="E380" s="44" t="str">
        <v/>
      </c>
      <c r="F380" s="44" t="str">
        <v/>
      </c>
      <c r="G380" s="44" t="str">
        <v/>
      </c>
      <c r="H380" s="44" t="str">
        <v/>
      </c>
      <c r="I380" s="44" t="str">
        <v/>
      </c>
      <c r="J380" s="44" t="str">
        <v/>
      </c>
      <c r="K380" s="44" t="str">
        <v/>
      </c>
      <c r="L380" s="44" t="str">
        <v/>
      </c>
      <c r="M380" s="44" t="str">
        <v/>
      </c>
      <c r="N380" s="44" t="str">
        <v/>
      </c>
      <c r="O380" s="44" t="str">
        <v/>
      </c>
      <c r="P380" s="44" t="str">
        <v/>
      </c>
      <c r="Q380" s="44" t="str">
        <v/>
      </c>
      <c r="R380" s="44" t="str">
        <v/>
      </c>
      <c r="S380" s="44" t="str">
        <v/>
      </c>
      <c r="T380" s="44" t="str">
        <v/>
      </c>
      <c r="U380" s="44" t="str">
        <v/>
      </c>
      <c r="V380" s="44" t="str">
        <v/>
      </c>
      <c r="W380" s="44" t="str">
        <v/>
      </c>
      <c r="X380" s="45" t="str">
        <v/>
      </c>
      <c r="Y380" s="45" t="str">
        <v/>
      </c>
      <c r="Z380" s="45" t="str">
        <v/>
      </c>
      <c r="AA380" s="46" t="str">
        <v/>
      </c>
      <c r="AB380" s="14"/>
    </row>
    <row r="381" spans="1:28" s="10" customFormat="1" ht="15" hidden="1" customHeight="1" x14ac:dyDescent="0.45">
      <c r="A381" s="1771"/>
      <c r="B381" s="1775" t="s">
        <v>332</v>
      </c>
      <c r="C381" s="1266" t="s">
        <v>326</v>
      </c>
      <c r="D381" s="47" t="str">
        <v/>
      </c>
      <c r="E381" s="47" t="str">
        <v/>
      </c>
      <c r="F381" s="47" t="str">
        <v/>
      </c>
      <c r="G381" s="47" t="str">
        <v/>
      </c>
      <c r="H381" s="47" t="str">
        <v/>
      </c>
      <c r="I381" s="47" t="str">
        <v/>
      </c>
      <c r="J381" s="47" t="str">
        <v/>
      </c>
      <c r="K381" s="47" t="str">
        <v/>
      </c>
      <c r="L381" s="47" t="str">
        <v/>
      </c>
      <c r="M381" s="47" t="str">
        <v/>
      </c>
      <c r="N381" s="47" t="str">
        <v/>
      </c>
      <c r="O381" s="47" t="str">
        <v/>
      </c>
      <c r="P381" s="48" t="str">
        <v/>
      </c>
      <c r="Q381" s="49" t="str">
        <v/>
      </c>
      <c r="R381" s="48" t="str">
        <v/>
      </c>
      <c r="S381" s="48" t="str">
        <v/>
      </c>
      <c r="T381" s="48" t="str">
        <v/>
      </c>
      <c r="U381" s="48" t="str">
        <v/>
      </c>
      <c r="V381" s="48" t="str">
        <v/>
      </c>
      <c r="W381" s="48" t="str">
        <v/>
      </c>
      <c r="X381" s="48" t="str">
        <v/>
      </c>
      <c r="Y381" s="48" t="str">
        <v/>
      </c>
      <c r="Z381" s="48" t="str">
        <v/>
      </c>
      <c r="AA381" s="50" t="str">
        <v/>
      </c>
      <c r="AB381" s="14"/>
    </row>
    <row r="382" spans="1:28" s="10" customFormat="1" ht="15" hidden="1" customHeight="1" x14ac:dyDescent="0.45">
      <c r="A382" s="1771"/>
      <c r="B382" s="1776"/>
      <c r="C382" s="1266" t="s">
        <v>327</v>
      </c>
      <c r="D382" s="47" t="str">
        <v/>
      </c>
      <c r="E382" s="47" t="str">
        <v/>
      </c>
      <c r="F382" s="47" t="str">
        <v/>
      </c>
      <c r="G382" s="47" t="str">
        <v/>
      </c>
      <c r="H382" s="47" t="str">
        <v/>
      </c>
      <c r="I382" s="47" t="str">
        <v/>
      </c>
      <c r="J382" s="47" t="str">
        <v/>
      </c>
      <c r="K382" s="47" t="str">
        <v/>
      </c>
      <c r="L382" s="47" t="str">
        <v/>
      </c>
      <c r="M382" s="47" t="str">
        <v/>
      </c>
      <c r="N382" s="47" t="str">
        <v/>
      </c>
      <c r="O382" s="47" t="str">
        <v/>
      </c>
      <c r="P382" s="47" t="str">
        <v/>
      </c>
      <c r="Q382" s="49" t="str">
        <v/>
      </c>
      <c r="R382" s="49" t="str">
        <v/>
      </c>
      <c r="S382" s="49" t="str">
        <v/>
      </c>
      <c r="T382" s="49" t="str">
        <v/>
      </c>
      <c r="U382" s="49" t="str">
        <v/>
      </c>
      <c r="V382" s="49" t="str">
        <v/>
      </c>
      <c r="W382" s="49" t="str">
        <v/>
      </c>
      <c r="X382" s="48" t="str">
        <v/>
      </c>
      <c r="Y382" s="48" t="str">
        <v/>
      </c>
      <c r="Z382" s="48" t="str">
        <v/>
      </c>
      <c r="AA382" s="50" t="str">
        <v/>
      </c>
      <c r="AB382" s="14"/>
    </row>
    <row r="383" spans="1:28" s="10" customFormat="1" ht="15" hidden="1" customHeight="1" x14ac:dyDescent="0.45">
      <c r="A383" s="1771"/>
      <c r="B383" s="1777" t="s">
        <v>333</v>
      </c>
      <c r="C383" s="1265" t="s">
        <v>326</v>
      </c>
      <c r="D383" s="44" t="str">
        <v/>
      </c>
      <c r="E383" s="44" t="str">
        <v/>
      </c>
      <c r="F383" s="44" t="str">
        <v/>
      </c>
      <c r="G383" s="44" t="str">
        <v/>
      </c>
      <c r="H383" s="44" t="str">
        <v/>
      </c>
      <c r="I383" s="44" t="str">
        <v/>
      </c>
      <c r="J383" s="44" t="str">
        <v/>
      </c>
      <c r="K383" s="44" t="str">
        <v/>
      </c>
      <c r="L383" s="44" t="str">
        <v/>
      </c>
      <c r="M383" s="45" t="str">
        <v/>
      </c>
      <c r="N383" s="45" t="str">
        <v/>
      </c>
      <c r="O383" s="45" t="str">
        <v/>
      </c>
      <c r="P383" s="45" t="str">
        <v/>
      </c>
      <c r="Q383" s="55" t="str">
        <v/>
      </c>
      <c r="R383" s="45" t="str">
        <v/>
      </c>
      <c r="S383" s="45" t="str">
        <v/>
      </c>
      <c r="T383" s="45" t="str">
        <v/>
      </c>
      <c r="U383" s="45" t="str">
        <v/>
      </c>
      <c r="V383" s="45" t="str">
        <v/>
      </c>
      <c r="W383" s="45" t="str">
        <v/>
      </c>
      <c r="X383" s="45" t="str">
        <v/>
      </c>
      <c r="Y383" s="45" t="str">
        <v/>
      </c>
      <c r="Z383" s="45" t="str">
        <v/>
      </c>
      <c r="AA383" s="46" t="str">
        <v/>
      </c>
      <c r="AB383" s="14"/>
    </row>
    <row r="384" spans="1:28" s="10" customFormat="1" ht="15" hidden="1" customHeight="1" x14ac:dyDescent="0.45">
      <c r="A384" s="1772"/>
      <c r="B384" s="1778"/>
      <c r="C384" s="1267" t="s">
        <v>327</v>
      </c>
      <c r="D384" s="56" t="str">
        <v/>
      </c>
      <c r="E384" s="56" t="str">
        <v/>
      </c>
      <c r="F384" s="56" t="str">
        <v/>
      </c>
      <c r="G384" s="56" t="str">
        <v/>
      </c>
      <c r="H384" s="56" t="str">
        <v/>
      </c>
      <c r="I384" s="56" t="str">
        <v/>
      </c>
      <c r="J384" s="56" t="str">
        <v/>
      </c>
      <c r="K384" s="56" t="str">
        <v/>
      </c>
      <c r="L384" s="56" t="str">
        <v/>
      </c>
      <c r="M384" s="57" t="str">
        <v/>
      </c>
      <c r="N384" s="57" t="str">
        <v/>
      </c>
      <c r="O384" s="57" t="str">
        <v/>
      </c>
      <c r="P384" s="57" t="str">
        <v/>
      </c>
      <c r="Q384" s="58" t="str">
        <v/>
      </c>
      <c r="R384" s="57" t="str">
        <v/>
      </c>
      <c r="S384" s="57" t="str">
        <v/>
      </c>
      <c r="T384" s="57" t="str">
        <v/>
      </c>
      <c r="U384" s="57" t="str">
        <v/>
      </c>
      <c r="V384" s="57" t="str">
        <v/>
      </c>
      <c r="W384" s="57" t="str">
        <v/>
      </c>
      <c r="X384" s="57" t="str">
        <v/>
      </c>
      <c r="Y384" s="57" t="str">
        <v/>
      </c>
      <c r="Z384" s="57" t="str">
        <v/>
      </c>
      <c r="AA384" s="59" t="str">
        <v/>
      </c>
      <c r="AB384" s="14"/>
    </row>
    <row r="385" spans="1:28" s="10" customFormat="1" ht="15" hidden="1" customHeight="1" x14ac:dyDescent="0.45">
      <c r="A385" s="1770" t="s">
        <v>758</v>
      </c>
      <c r="B385" s="1773" t="s">
        <v>325</v>
      </c>
      <c r="C385" s="1428" t="s">
        <v>326</v>
      </c>
      <c r="D385" s="51" t="str">
        <f t="array" ref="D385:AA398">IF(athlete_nutrition="Off", "",
IF(INDEX(sessions_nutrition,, plan_session_allocation)="","",
CONCATENATE(
IF(quantity_pre="", "", CONCATENATE( "Session Fuelling: ", MROUND(quantity_during * final_duration_session / 60, 5), "gms of carbs @ ", quantity_during, "gms/hr. 
")),
IF(quantity_post="", "", CONCATENATE( "Session Fluids: ", MROUND(600 * final_duration_session / 60, 5), "mL of Nuun @ 600mL/hr."))
)))</f>
        <v/>
      </c>
      <c r="E385" s="51" t="str">
        <v/>
      </c>
      <c r="F385" s="51" t="str">
        <v/>
      </c>
      <c r="G385" s="51" t="str">
        <v/>
      </c>
      <c r="H385" s="51" t="str">
        <v/>
      </c>
      <c r="I385" s="51" t="str">
        <v/>
      </c>
      <c r="J385" s="51" t="str">
        <v/>
      </c>
      <c r="K385" s="51" t="str">
        <v/>
      </c>
      <c r="L385" s="51" t="str">
        <v/>
      </c>
      <c r="M385" s="52" t="str">
        <v/>
      </c>
      <c r="N385" s="52" t="str">
        <v/>
      </c>
      <c r="O385" s="52" t="str">
        <v/>
      </c>
      <c r="P385" s="52" t="str">
        <v/>
      </c>
      <c r="Q385" s="53" t="str">
        <v/>
      </c>
      <c r="R385" s="52" t="str">
        <v/>
      </c>
      <c r="S385" s="52" t="str">
        <v/>
      </c>
      <c r="T385" s="52" t="str">
        <v/>
      </c>
      <c r="U385" s="52" t="str">
        <v/>
      </c>
      <c r="V385" s="52" t="str">
        <v/>
      </c>
      <c r="W385" s="52" t="str">
        <v/>
      </c>
      <c r="X385" s="52" t="str">
        <v/>
      </c>
      <c r="Y385" s="52" t="str">
        <v/>
      </c>
      <c r="Z385" s="52" t="str">
        <v/>
      </c>
      <c r="AA385" s="54" t="str">
        <v/>
      </c>
      <c r="AB385" s="14"/>
    </row>
    <row r="386" spans="1:28" s="10" customFormat="1" ht="15" hidden="1" customHeight="1" x14ac:dyDescent="0.45">
      <c r="A386" s="1771"/>
      <c r="B386" s="1774"/>
      <c r="C386" s="1265" t="s">
        <v>327</v>
      </c>
      <c r="D386" s="44" t="str">
        <v/>
      </c>
      <c r="E386" s="44" t="str">
        <v/>
      </c>
      <c r="F386" s="44" t="str">
        <v/>
      </c>
      <c r="G386" s="44" t="str">
        <v/>
      </c>
      <c r="H386" s="44" t="str">
        <v/>
      </c>
      <c r="I386" s="44" t="str">
        <v/>
      </c>
      <c r="J386" s="44" t="str">
        <v/>
      </c>
      <c r="K386" s="44" t="str">
        <v/>
      </c>
      <c r="L386" s="44" t="str">
        <v/>
      </c>
      <c r="M386" s="44" t="str">
        <v/>
      </c>
      <c r="N386" s="44" t="str">
        <v/>
      </c>
      <c r="O386" s="44" t="str">
        <v/>
      </c>
      <c r="P386" s="44" t="str">
        <v/>
      </c>
      <c r="Q386" s="44" t="str">
        <v/>
      </c>
      <c r="R386" s="44" t="str">
        <v/>
      </c>
      <c r="S386" s="44" t="str">
        <v/>
      </c>
      <c r="T386" s="44" t="str">
        <v/>
      </c>
      <c r="U386" s="44" t="str">
        <v/>
      </c>
      <c r="V386" s="44" t="str">
        <v/>
      </c>
      <c r="W386" s="44" t="str">
        <v/>
      </c>
      <c r="X386" s="45" t="str">
        <v/>
      </c>
      <c r="Y386" s="45" t="str">
        <v/>
      </c>
      <c r="Z386" s="45" t="str">
        <v/>
      </c>
      <c r="AA386" s="46" t="str">
        <v/>
      </c>
      <c r="AB386" s="14"/>
    </row>
    <row r="387" spans="1:28" s="10" customFormat="1" ht="15" hidden="1" customHeight="1" x14ac:dyDescent="0.45">
      <c r="A387" s="1771"/>
      <c r="B387" s="1775" t="s">
        <v>328</v>
      </c>
      <c r="C387" s="1266" t="s">
        <v>326</v>
      </c>
      <c r="D387" s="47" t="str">
        <v/>
      </c>
      <c r="E387" s="47" t="str">
        <v/>
      </c>
      <c r="F387" s="47" t="str">
        <v/>
      </c>
      <c r="G387" s="47" t="str">
        <v/>
      </c>
      <c r="H387" s="47" t="str">
        <v/>
      </c>
      <c r="I387" s="47" t="str">
        <v/>
      </c>
      <c r="J387" s="47" t="str">
        <v/>
      </c>
      <c r="K387" s="47" t="str">
        <v/>
      </c>
      <c r="L387" s="47" t="str">
        <v/>
      </c>
      <c r="M387" s="47" t="str">
        <v/>
      </c>
      <c r="N387" s="47" t="str">
        <v/>
      </c>
      <c r="O387" s="47" t="str">
        <v/>
      </c>
      <c r="P387" s="48" t="str">
        <v/>
      </c>
      <c r="Q387" s="49" t="str">
        <v/>
      </c>
      <c r="R387" s="48" t="str">
        <v/>
      </c>
      <c r="S387" s="48" t="str">
        <v/>
      </c>
      <c r="T387" s="48" t="str">
        <v/>
      </c>
      <c r="U387" s="48" t="str">
        <v/>
      </c>
      <c r="V387" s="48" t="str">
        <v/>
      </c>
      <c r="W387" s="48" t="str">
        <v/>
      </c>
      <c r="X387" s="48" t="str">
        <v/>
      </c>
      <c r="Y387" s="48" t="str">
        <v/>
      </c>
      <c r="Z387" s="48" t="str">
        <v/>
      </c>
      <c r="AA387" s="50" t="str">
        <v/>
      </c>
      <c r="AB387" s="14"/>
    </row>
    <row r="388" spans="1:28" s="10" customFormat="1" ht="15" hidden="1" customHeight="1" x14ac:dyDescent="0.45">
      <c r="A388" s="1771"/>
      <c r="B388" s="1776"/>
      <c r="C388" s="1266" t="s">
        <v>327</v>
      </c>
      <c r="D388" s="47" t="str">
        <v/>
      </c>
      <c r="E388" s="47" t="str">
        <v/>
      </c>
      <c r="F388" s="47" t="str">
        <v/>
      </c>
      <c r="G388" s="47" t="str">
        <v/>
      </c>
      <c r="H388" s="47" t="str">
        <v/>
      </c>
      <c r="I388" s="47" t="str">
        <v/>
      </c>
      <c r="J388" s="47" t="str">
        <v/>
      </c>
      <c r="K388" s="47" t="str">
        <v/>
      </c>
      <c r="L388" s="47" t="str">
        <v/>
      </c>
      <c r="M388" s="47" t="str">
        <v/>
      </c>
      <c r="N388" s="47" t="str">
        <v/>
      </c>
      <c r="O388" s="47" t="str">
        <v/>
      </c>
      <c r="P388" s="47" t="str">
        <v/>
      </c>
      <c r="Q388" s="49" t="str">
        <v/>
      </c>
      <c r="R388" s="49" t="str">
        <v/>
      </c>
      <c r="S388" s="49" t="str">
        <v/>
      </c>
      <c r="T388" s="49" t="str">
        <v/>
      </c>
      <c r="U388" s="49" t="str">
        <v/>
      </c>
      <c r="V388" s="49" t="str">
        <v/>
      </c>
      <c r="W388" s="49" t="str">
        <v/>
      </c>
      <c r="X388" s="48" t="str">
        <v/>
      </c>
      <c r="Y388" s="48" t="str">
        <v/>
      </c>
      <c r="Z388" s="48" t="str">
        <v/>
      </c>
      <c r="AA388" s="50" t="str">
        <v/>
      </c>
      <c r="AB388" s="14"/>
    </row>
    <row r="389" spans="1:28" s="10" customFormat="1" ht="15" hidden="1" customHeight="1" x14ac:dyDescent="0.45">
      <c r="A389" s="1771"/>
      <c r="B389" s="1777" t="s">
        <v>329</v>
      </c>
      <c r="C389" s="1428" t="s">
        <v>326</v>
      </c>
      <c r="D389" s="51" t="str">
        <v/>
      </c>
      <c r="E389" s="51" t="str">
        <v/>
      </c>
      <c r="F389" s="51" t="str">
        <v/>
      </c>
      <c r="G389" s="51" t="str">
        <v/>
      </c>
      <c r="H389" s="51" t="str">
        <v/>
      </c>
      <c r="I389" s="51" t="str">
        <v/>
      </c>
      <c r="J389" s="51" t="str">
        <v/>
      </c>
      <c r="K389" s="51" t="str">
        <v/>
      </c>
      <c r="L389" s="51" t="str">
        <v/>
      </c>
      <c r="M389" s="52" t="str">
        <v/>
      </c>
      <c r="N389" s="52" t="str">
        <v/>
      </c>
      <c r="O389" s="52" t="str">
        <v/>
      </c>
      <c r="P389" s="52" t="str">
        <v/>
      </c>
      <c r="Q389" s="53" t="str">
        <v/>
      </c>
      <c r="R389" s="52" t="str">
        <v/>
      </c>
      <c r="S389" s="52" t="str">
        <v/>
      </c>
      <c r="T389" s="52" t="str">
        <v/>
      </c>
      <c r="U389" s="52" t="str">
        <v/>
      </c>
      <c r="V389" s="52" t="str">
        <v/>
      </c>
      <c r="W389" s="52" t="str">
        <v/>
      </c>
      <c r="X389" s="52" t="str">
        <v/>
      </c>
      <c r="Y389" s="52" t="str">
        <v/>
      </c>
      <c r="Z389" s="52" t="str">
        <v/>
      </c>
      <c r="AA389" s="54" t="str">
        <v/>
      </c>
      <c r="AB389" s="14"/>
    </row>
    <row r="390" spans="1:28" s="10" customFormat="1" ht="15" hidden="1" customHeight="1" x14ac:dyDescent="0.45">
      <c r="A390" s="1771"/>
      <c r="B390" s="1774"/>
      <c r="C390" s="1265" t="s">
        <v>327</v>
      </c>
      <c r="D390" s="44" t="str">
        <v/>
      </c>
      <c r="E390" s="44" t="str">
        <v/>
      </c>
      <c r="F390" s="44" t="str">
        <v/>
      </c>
      <c r="G390" s="44" t="str">
        <v/>
      </c>
      <c r="H390" s="44" t="str">
        <v/>
      </c>
      <c r="I390" s="44" t="str">
        <v/>
      </c>
      <c r="J390" s="44" t="str">
        <v/>
      </c>
      <c r="K390" s="44" t="str">
        <v/>
      </c>
      <c r="L390" s="44" t="str">
        <v/>
      </c>
      <c r="M390" s="44" t="str">
        <v/>
      </c>
      <c r="N390" s="44" t="str">
        <v/>
      </c>
      <c r="O390" s="44" t="str">
        <v/>
      </c>
      <c r="P390" s="44" t="str">
        <v/>
      </c>
      <c r="Q390" s="44" t="str">
        <v/>
      </c>
      <c r="R390" s="44" t="str">
        <v/>
      </c>
      <c r="S390" s="44" t="str">
        <v/>
      </c>
      <c r="T390" s="44" t="str">
        <v/>
      </c>
      <c r="U390" s="44" t="str">
        <v/>
      </c>
      <c r="V390" s="44" t="str">
        <v/>
      </c>
      <c r="W390" s="44" t="str">
        <v/>
      </c>
      <c r="X390" s="45" t="str">
        <v/>
      </c>
      <c r="Y390" s="45" t="str">
        <v/>
      </c>
      <c r="Z390" s="45" t="str">
        <v/>
      </c>
      <c r="AA390" s="46" t="str">
        <v/>
      </c>
      <c r="AB390" s="14"/>
    </row>
    <row r="391" spans="1:28" s="10" customFormat="1" ht="15" hidden="1" customHeight="1" x14ac:dyDescent="0.45">
      <c r="A391" s="1771"/>
      <c r="B391" s="1775" t="s">
        <v>330</v>
      </c>
      <c r="C391" s="1266" t="s">
        <v>326</v>
      </c>
      <c r="D391" s="47" t="str">
        <v/>
      </c>
      <c r="E391" s="47" t="str">
        <v/>
      </c>
      <c r="F391" s="47" t="str">
        <v/>
      </c>
      <c r="G391" s="47" t="str">
        <v/>
      </c>
      <c r="H391" s="47" t="str">
        <v/>
      </c>
      <c r="I391" s="47" t="str">
        <v/>
      </c>
      <c r="J391" s="47" t="str">
        <v/>
      </c>
      <c r="K391" s="47" t="str">
        <v/>
      </c>
      <c r="L391" s="47" t="str">
        <v/>
      </c>
      <c r="M391" s="47" t="str">
        <v/>
      </c>
      <c r="N391" s="47" t="str">
        <v/>
      </c>
      <c r="O391" s="47" t="str">
        <v/>
      </c>
      <c r="P391" s="48" t="str">
        <v/>
      </c>
      <c r="Q391" s="49" t="str">
        <v/>
      </c>
      <c r="R391" s="48" t="str">
        <v/>
      </c>
      <c r="S391" s="48" t="str">
        <v/>
      </c>
      <c r="T391" s="48" t="str">
        <v/>
      </c>
      <c r="U391" s="48" t="str">
        <v/>
      </c>
      <c r="V391" s="48" t="str">
        <v/>
      </c>
      <c r="W391" s="48" t="str">
        <v/>
      </c>
      <c r="X391" s="48" t="str">
        <v/>
      </c>
      <c r="Y391" s="48" t="str">
        <v/>
      </c>
      <c r="Z391" s="48" t="str">
        <v/>
      </c>
      <c r="AA391" s="50" t="str">
        <v/>
      </c>
      <c r="AB391" s="14"/>
    </row>
    <row r="392" spans="1:28" s="10" customFormat="1" ht="15" hidden="1" customHeight="1" x14ac:dyDescent="0.45">
      <c r="A392" s="1771"/>
      <c r="B392" s="1776"/>
      <c r="C392" s="1266" t="s">
        <v>327</v>
      </c>
      <c r="D392" s="47" t="str">
        <v/>
      </c>
      <c r="E392" s="47" t="str">
        <v/>
      </c>
      <c r="F392" s="47" t="str">
        <v/>
      </c>
      <c r="G392" s="47" t="str">
        <v/>
      </c>
      <c r="H392" s="47" t="str">
        <v/>
      </c>
      <c r="I392" s="47" t="str">
        <v/>
      </c>
      <c r="J392" s="47" t="str">
        <v/>
      </c>
      <c r="K392" s="47" t="str">
        <v/>
      </c>
      <c r="L392" s="47" t="str">
        <v/>
      </c>
      <c r="M392" s="47" t="str">
        <v/>
      </c>
      <c r="N392" s="47" t="str">
        <v/>
      </c>
      <c r="O392" s="49" t="str">
        <v/>
      </c>
      <c r="P392" s="47" t="str">
        <v/>
      </c>
      <c r="Q392" s="49" t="str">
        <v/>
      </c>
      <c r="R392" s="49" t="str">
        <v/>
      </c>
      <c r="S392" s="49" t="str">
        <v/>
      </c>
      <c r="T392" s="49" t="str">
        <v/>
      </c>
      <c r="U392" s="49" t="str">
        <v/>
      </c>
      <c r="V392" s="49" t="str">
        <v/>
      </c>
      <c r="W392" s="49" t="str">
        <v/>
      </c>
      <c r="X392" s="48" t="str">
        <v/>
      </c>
      <c r="Y392" s="48" t="str">
        <v/>
      </c>
      <c r="Z392" s="48" t="str">
        <v/>
      </c>
      <c r="AA392" s="50" t="str">
        <v/>
      </c>
      <c r="AB392" s="14"/>
    </row>
    <row r="393" spans="1:28" s="10" customFormat="1" ht="15" hidden="1" customHeight="1" x14ac:dyDescent="0.45">
      <c r="A393" s="1771"/>
      <c r="B393" s="1777" t="s">
        <v>331</v>
      </c>
      <c r="C393" s="1428" t="s">
        <v>326</v>
      </c>
      <c r="D393" s="51" t="str">
        <v/>
      </c>
      <c r="E393" s="51" t="str">
        <v/>
      </c>
      <c r="F393" s="51" t="str">
        <v/>
      </c>
      <c r="G393" s="51" t="str">
        <v/>
      </c>
      <c r="H393" s="51" t="str">
        <v/>
      </c>
      <c r="I393" s="51" t="str">
        <v/>
      </c>
      <c r="J393" s="51" t="str">
        <v/>
      </c>
      <c r="K393" s="51" t="str">
        <v/>
      </c>
      <c r="L393" s="51" t="str">
        <v/>
      </c>
      <c r="M393" s="52" t="str">
        <v/>
      </c>
      <c r="N393" s="52" t="str">
        <v/>
      </c>
      <c r="O393" s="52" t="str">
        <v/>
      </c>
      <c r="P393" s="52" t="str">
        <v/>
      </c>
      <c r="Q393" s="53" t="str">
        <v/>
      </c>
      <c r="R393" s="52" t="str">
        <v/>
      </c>
      <c r="S393" s="52" t="str">
        <v/>
      </c>
      <c r="T393" s="52" t="str">
        <v/>
      </c>
      <c r="U393" s="52" t="str">
        <v/>
      </c>
      <c r="V393" s="52" t="str">
        <v/>
      </c>
      <c r="W393" s="52" t="str">
        <v/>
      </c>
      <c r="X393" s="52" t="str">
        <v/>
      </c>
      <c r="Y393" s="52" t="str">
        <v/>
      </c>
      <c r="Z393" s="52" t="str">
        <v/>
      </c>
      <c r="AA393" s="54" t="str">
        <v/>
      </c>
      <c r="AB393" s="14"/>
    </row>
    <row r="394" spans="1:28" s="10" customFormat="1" ht="15" hidden="1" customHeight="1" x14ac:dyDescent="0.45">
      <c r="A394" s="1771"/>
      <c r="B394" s="1774"/>
      <c r="C394" s="1265" t="s">
        <v>327</v>
      </c>
      <c r="D394" s="44" t="str">
        <v/>
      </c>
      <c r="E394" s="44" t="str">
        <v/>
      </c>
      <c r="F394" s="44" t="str">
        <v/>
      </c>
      <c r="G394" s="44" t="str">
        <v/>
      </c>
      <c r="H394" s="44" t="str">
        <v/>
      </c>
      <c r="I394" s="44" t="str">
        <v/>
      </c>
      <c r="J394" s="44" t="str">
        <v/>
      </c>
      <c r="K394" s="44" t="str">
        <v/>
      </c>
      <c r="L394" s="44" t="str">
        <v/>
      </c>
      <c r="M394" s="44" t="str">
        <v/>
      </c>
      <c r="N394" s="44" t="str">
        <v/>
      </c>
      <c r="O394" s="44" t="str">
        <v/>
      </c>
      <c r="P394" s="44" t="str">
        <v/>
      </c>
      <c r="Q394" s="44" t="str">
        <v/>
      </c>
      <c r="R394" s="44" t="str">
        <v/>
      </c>
      <c r="S394" s="44" t="str">
        <v/>
      </c>
      <c r="T394" s="44" t="str">
        <v/>
      </c>
      <c r="U394" s="44" t="str">
        <v/>
      </c>
      <c r="V394" s="44" t="str">
        <v/>
      </c>
      <c r="W394" s="44" t="str">
        <v/>
      </c>
      <c r="X394" s="45" t="str">
        <v/>
      </c>
      <c r="Y394" s="45" t="str">
        <v/>
      </c>
      <c r="Z394" s="45" t="str">
        <v/>
      </c>
      <c r="AA394" s="46" t="str">
        <v/>
      </c>
      <c r="AB394" s="14"/>
    </row>
    <row r="395" spans="1:28" s="10" customFormat="1" ht="15" hidden="1" customHeight="1" x14ac:dyDescent="0.45">
      <c r="A395" s="1771"/>
      <c r="B395" s="1775" t="s">
        <v>332</v>
      </c>
      <c r="C395" s="1266" t="s">
        <v>326</v>
      </c>
      <c r="D395" s="47" t="str">
        <v/>
      </c>
      <c r="E395" s="47" t="str">
        <v/>
      </c>
      <c r="F395" s="47" t="str">
        <v/>
      </c>
      <c r="G395" s="47" t="str">
        <v/>
      </c>
      <c r="H395" s="47" t="str">
        <v/>
      </c>
      <c r="I395" s="47" t="str">
        <v/>
      </c>
      <c r="J395" s="47" t="str">
        <v/>
      </c>
      <c r="K395" s="47" t="str">
        <v/>
      </c>
      <c r="L395" s="47" t="str">
        <v/>
      </c>
      <c r="M395" s="47" t="str">
        <v/>
      </c>
      <c r="N395" s="47" t="str">
        <v/>
      </c>
      <c r="O395" s="47" t="str">
        <v/>
      </c>
      <c r="P395" s="48" t="str">
        <v/>
      </c>
      <c r="Q395" s="49" t="str">
        <v/>
      </c>
      <c r="R395" s="48" t="str">
        <v/>
      </c>
      <c r="S395" s="48" t="str">
        <v/>
      </c>
      <c r="T395" s="48" t="str">
        <v/>
      </c>
      <c r="U395" s="48" t="str">
        <v/>
      </c>
      <c r="V395" s="48" t="str">
        <v/>
      </c>
      <c r="W395" s="48" t="str">
        <v/>
      </c>
      <c r="X395" s="48" t="str">
        <v/>
      </c>
      <c r="Y395" s="48" t="str">
        <v/>
      </c>
      <c r="Z395" s="48" t="str">
        <v/>
      </c>
      <c r="AA395" s="50" t="str">
        <v/>
      </c>
      <c r="AB395" s="14"/>
    </row>
    <row r="396" spans="1:28" s="10" customFormat="1" ht="15" hidden="1" customHeight="1" x14ac:dyDescent="0.45">
      <c r="A396" s="1771"/>
      <c r="B396" s="1776"/>
      <c r="C396" s="1266" t="s">
        <v>327</v>
      </c>
      <c r="D396" s="47" t="str">
        <v/>
      </c>
      <c r="E396" s="47" t="str">
        <v/>
      </c>
      <c r="F396" s="47" t="str">
        <v/>
      </c>
      <c r="G396" s="47" t="str">
        <v/>
      </c>
      <c r="H396" s="47" t="str">
        <v/>
      </c>
      <c r="I396" s="47" t="str">
        <v/>
      </c>
      <c r="J396" s="47" t="str">
        <v/>
      </c>
      <c r="K396" s="47" t="str">
        <v/>
      </c>
      <c r="L396" s="47" t="str">
        <v/>
      </c>
      <c r="M396" s="47" t="str">
        <v/>
      </c>
      <c r="N396" s="47" t="str">
        <v/>
      </c>
      <c r="O396" s="47" t="str">
        <v/>
      </c>
      <c r="P396" s="47" t="str">
        <v/>
      </c>
      <c r="Q396" s="49" t="str">
        <v/>
      </c>
      <c r="R396" s="49" t="str">
        <v/>
      </c>
      <c r="S396" s="49" t="str">
        <v/>
      </c>
      <c r="T396" s="49" t="str">
        <v/>
      </c>
      <c r="U396" s="49" t="str">
        <v/>
      </c>
      <c r="V396" s="49" t="str">
        <v/>
      </c>
      <c r="W396" s="49" t="str">
        <v/>
      </c>
      <c r="X396" s="48" t="str">
        <v/>
      </c>
      <c r="Y396" s="48" t="str">
        <v/>
      </c>
      <c r="Z396" s="48" t="str">
        <v/>
      </c>
      <c r="AA396" s="50" t="str">
        <v/>
      </c>
      <c r="AB396" s="14"/>
    </row>
    <row r="397" spans="1:28" s="10" customFormat="1" ht="15" hidden="1" customHeight="1" x14ac:dyDescent="0.45">
      <c r="A397" s="1771"/>
      <c r="B397" s="1777" t="s">
        <v>333</v>
      </c>
      <c r="C397" s="1265" t="s">
        <v>326</v>
      </c>
      <c r="D397" s="44" t="str">
        <v/>
      </c>
      <c r="E397" s="44" t="str">
        <v/>
      </c>
      <c r="F397" s="44" t="str">
        <v/>
      </c>
      <c r="G397" s="44" t="str">
        <v/>
      </c>
      <c r="H397" s="44" t="str">
        <v/>
      </c>
      <c r="I397" s="44" t="str">
        <v/>
      </c>
      <c r="J397" s="44" t="str">
        <v/>
      </c>
      <c r="K397" s="44" t="str">
        <v/>
      </c>
      <c r="L397" s="44" t="str">
        <v/>
      </c>
      <c r="M397" s="45" t="str">
        <v/>
      </c>
      <c r="N397" s="45" t="str">
        <v/>
      </c>
      <c r="O397" s="45" t="str">
        <v/>
      </c>
      <c r="P397" s="45" t="str">
        <v/>
      </c>
      <c r="Q397" s="55" t="str">
        <v/>
      </c>
      <c r="R397" s="45" t="str">
        <v/>
      </c>
      <c r="S397" s="45" t="str">
        <v/>
      </c>
      <c r="T397" s="45" t="str">
        <v/>
      </c>
      <c r="U397" s="45" t="str">
        <v/>
      </c>
      <c r="V397" s="45" t="str">
        <v/>
      </c>
      <c r="W397" s="45" t="str">
        <v/>
      </c>
      <c r="X397" s="45" t="str">
        <v/>
      </c>
      <c r="Y397" s="45" t="str">
        <v/>
      </c>
      <c r="Z397" s="45" t="str">
        <v/>
      </c>
      <c r="AA397" s="46" t="str">
        <v/>
      </c>
      <c r="AB397" s="14"/>
    </row>
    <row r="398" spans="1:28" s="10" customFormat="1" ht="15" hidden="1" customHeight="1" x14ac:dyDescent="0.45">
      <c r="A398" s="1772"/>
      <c r="B398" s="1778"/>
      <c r="C398" s="1267" t="s">
        <v>327</v>
      </c>
      <c r="D398" s="56" t="str">
        <v/>
      </c>
      <c r="E398" s="56" t="str">
        <v/>
      </c>
      <c r="F398" s="56" t="str">
        <v/>
      </c>
      <c r="G398" s="56" t="str">
        <v/>
      </c>
      <c r="H398" s="56" t="str">
        <v/>
      </c>
      <c r="I398" s="56" t="str">
        <v/>
      </c>
      <c r="J398" s="56" t="str">
        <v/>
      </c>
      <c r="K398" s="56" t="str">
        <v/>
      </c>
      <c r="L398" s="56" t="str">
        <v/>
      </c>
      <c r="M398" s="57" t="str">
        <v/>
      </c>
      <c r="N398" s="57" t="str">
        <v/>
      </c>
      <c r="O398" s="57" t="str">
        <v/>
      </c>
      <c r="P398" s="57" t="str">
        <v/>
      </c>
      <c r="Q398" s="58" t="str">
        <v/>
      </c>
      <c r="R398" s="57" t="str">
        <v/>
      </c>
      <c r="S398" s="57" t="str">
        <v/>
      </c>
      <c r="T398" s="57" t="str">
        <v/>
      </c>
      <c r="U398" s="57" t="str">
        <v/>
      </c>
      <c r="V398" s="57" t="str">
        <v/>
      </c>
      <c r="W398" s="57" t="str">
        <v/>
      </c>
      <c r="X398" s="57" t="str">
        <v/>
      </c>
      <c r="Y398" s="57" t="str">
        <v/>
      </c>
      <c r="Z398" s="57" t="str">
        <v/>
      </c>
      <c r="AA398" s="59" t="str">
        <v/>
      </c>
      <c r="AB398" s="14"/>
    </row>
    <row r="399" spans="1:28" s="85" customFormat="1" hidden="1" x14ac:dyDescent="0.45">
      <c r="A399" s="1788" t="s">
        <v>663</v>
      </c>
      <c r="B399" s="1791" t="s">
        <v>349</v>
      </c>
      <c r="C399" s="1792"/>
      <c r="D399" s="65">
        <f t="array" aca="1" ref="D399:AA399" ca="1">IF(final_load_progression_relative=0,"",final_load_progression_relative)</f>
        <v>0.64458278622425291</v>
      </c>
      <c r="E399" s="64">
        <f ca="1"/>
        <v>0.67534675010348322</v>
      </c>
      <c r="F399" s="64">
        <f ca="1"/>
        <v>0.70611071398271352</v>
      </c>
      <c r="G399" s="64">
        <f ca="1"/>
        <v>0.7303712206936952</v>
      </c>
      <c r="H399" s="64">
        <f ca="1"/>
        <v>0.75643820557916586</v>
      </c>
      <c r="I399" s="64">
        <f ca="1"/>
        <v>0.78292415892765344</v>
      </c>
      <c r="J399" s="64">
        <f ca="1"/>
        <v>0.62269734711638935</v>
      </c>
      <c r="K399" s="64">
        <f ca="1"/>
        <v>0.52911441052036212</v>
      </c>
      <c r="L399" s="64">
        <f ca="1"/>
        <v>0.76051185517395892</v>
      </c>
      <c r="M399" s="64">
        <f ca="1"/>
        <v>5.988023952095807E-2</v>
      </c>
      <c r="N399" s="65">
        <f ca="1"/>
        <v>1</v>
      </c>
      <c r="O399" s="64">
        <f ca="1"/>
        <v>0.5603766203092625</v>
      </c>
      <c r="P399" s="64">
        <f ca="1"/>
        <v>0.58881280014630466</v>
      </c>
      <c r="Q399" s="64">
        <f ca="1"/>
        <v>0.76583138073539192</v>
      </c>
      <c r="R399" s="64">
        <f ca="1"/>
        <v>0.38061892374681044</v>
      </c>
      <c r="S399" s="64">
        <f ca="1"/>
        <v>0.38061892374681044</v>
      </c>
      <c r="T399" s="64">
        <f ca="1"/>
        <v>0.51011923542984439</v>
      </c>
      <c r="U399" s="64">
        <f ca="1"/>
        <v>0.50870321250659278</v>
      </c>
      <c r="V399" s="64">
        <f ca="1"/>
        <v>0.58248174124404795</v>
      </c>
      <c r="W399" s="64" t="str">
        <f ca="1"/>
        <v/>
      </c>
      <c r="X399" s="64" t="str">
        <f ca="1"/>
        <v/>
      </c>
      <c r="Y399" s="64" t="str">
        <f ca="1"/>
        <v/>
      </c>
      <c r="Z399" s="64" t="str">
        <f ca="1"/>
        <v/>
      </c>
      <c r="AA399" s="66" t="str">
        <f ca="1"/>
        <v/>
      </c>
      <c r="AB399" s="84"/>
    </row>
    <row r="400" spans="1:28" s="85" customFormat="1" hidden="1" x14ac:dyDescent="0.45">
      <c r="A400" s="1789"/>
      <c r="B400" s="1800" t="s">
        <v>350</v>
      </c>
      <c r="C400" s="1801"/>
      <c r="D400" s="1252">
        <f t="array" aca="1" ref="D400:AA400" ca="1">IF(final_duration_total=0,"",final_duration_total/60/24)</f>
        <v>0.49652777777777773</v>
      </c>
      <c r="E400" s="450">
        <f ca="1"/>
        <v>0.51736111111111105</v>
      </c>
      <c r="F400" s="450">
        <f ca="1"/>
        <v>0.53819444444444442</v>
      </c>
      <c r="G400" s="450">
        <f ca="1"/>
        <v>0.55208333333333337</v>
      </c>
      <c r="H400" s="450">
        <f ca="1"/>
        <v>0.56944444444444442</v>
      </c>
      <c r="I400" s="450">
        <f ca="1"/>
        <v>0.57638888888888895</v>
      </c>
      <c r="J400" s="450">
        <f ca="1"/>
        <v>0.47916666666666669</v>
      </c>
      <c r="K400" s="450">
        <f ca="1"/>
        <v>0.41666666666666669</v>
      </c>
      <c r="L400" s="450">
        <f ca="1"/>
        <v>0.39583333333333331</v>
      </c>
      <c r="M400" s="450">
        <f ca="1"/>
        <v>3.4722222222222224E-2</v>
      </c>
      <c r="N400" s="450">
        <f ca="1"/>
        <v>0.57986111111111105</v>
      </c>
      <c r="O400" s="450">
        <f ca="1"/>
        <v>0.43284722222222216</v>
      </c>
      <c r="P400" s="450">
        <f ca="1"/>
        <v>0.44680555555555551</v>
      </c>
      <c r="Q400" s="450">
        <f ca="1"/>
        <v>0.55805555555555564</v>
      </c>
      <c r="R400" s="450">
        <f ca="1"/>
        <v>0.30583333333333335</v>
      </c>
      <c r="S400" s="450">
        <f ca="1"/>
        <v>0.30583333333333335</v>
      </c>
      <c r="T400" s="450">
        <f ca="1"/>
        <v>0.2951388888888889</v>
      </c>
      <c r="U400" s="450">
        <f ca="1"/>
        <v>0.38854166666666662</v>
      </c>
      <c r="V400" s="450">
        <f ca="1"/>
        <v>0.28437499999999999</v>
      </c>
      <c r="W400" s="450" t="str">
        <f ca="1"/>
        <v/>
      </c>
      <c r="X400" s="450" t="str">
        <f ca="1"/>
        <v/>
      </c>
      <c r="Y400" s="450" t="str">
        <f ca="1"/>
        <v/>
      </c>
      <c r="Z400" s="450" t="str">
        <f ca="1"/>
        <v/>
      </c>
      <c r="AA400" s="451" t="str">
        <f ca="1"/>
        <v/>
      </c>
      <c r="AB400" s="84"/>
    </row>
    <row r="401" spans="1:28" s="87" customFormat="1" ht="85.5" hidden="1" x14ac:dyDescent="0.45">
      <c r="A401" s="1789"/>
      <c r="B401" s="1793" t="s">
        <v>325</v>
      </c>
      <c r="C401" s="1533" t="s">
        <v>326</v>
      </c>
      <c r="D401" s="1269" t="str">
        <f t="array" ref="D401:AA414" ca="1">IF(final_duration_session&gt;0, CONCATENATE(IF(final_duration_secondary=0, "", "1. "),
INDEX(sessions_summary_primary,, plan_session_allocation), IF(final_duration_secondary=0, "", "
2. "),
IF(final_duration_secondary=0, "", INDEX(sessions_summary_secondary,, plan_session_allocation)), IF(final_duration_tertiary=0, "", "
3. "),
IF(final_duration_tertiary=0, "", INDEX(sessions_summary_tertiary,, plan_session_allocation)), IF(display_nutrition_description="", "", CONCATENATE("
", display_nutrition_summary))),"")</f>
        <v>🚲 Easy ride: duration_primary minutes</v>
      </c>
      <c r="E401" s="1274" t="str">
        <f ca="1"/>
        <v>🚲 Easy ride: duration_primary minutes</v>
      </c>
      <c r="F401" s="1274" t="str">
        <f ca="1"/>
        <v>🚲 Easy ride: duration_primary minutes</v>
      </c>
      <c r="G401" s="1274" t="str">
        <f ca="1"/>
        <v>🚲 Easy ride: duration_primary minutes</v>
      </c>
      <c r="H401" s="1274" t="str">
        <f ca="1"/>
        <v>🚲 Easy ride: duration_primary minutes</v>
      </c>
      <c r="I401" s="1274" t="str">
        <f ca="1"/>
        <v>🚲 Easy ride: duration_primary minutes</v>
      </c>
      <c r="J401" s="1274" t="str">
        <f ca="1"/>
        <v>🚲 Easy ride: duration_primary minutes</v>
      </c>
      <c r="K401" s="1274" t="str">
        <f ca="1"/>
        <v>🚲 Easy ride: duration_primary minutes</v>
      </c>
      <c r="L401" s="1274" t="str">
        <f ca="1"/>
        <v>🚲 Easy ride: duration_primary minutes</v>
      </c>
      <c r="M401" s="1274" t="str">
        <f ca="1"/>
        <v/>
      </c>
      <c r="N401" s="1274" t="str">
        <f ca="1"/>
        <v/>
      </c>
      <c r="O401" s="1274" t="str">
        <f ca="1"/>
        <v>🚲 Easy ride: duration_primary minutes</v>
      </c>
      <c r="P401" s="1274" t="str">
        <f ca="1"/>
        <v>🚲 Easy ride: duration_primary minutes</v>
      </c>
      <c r="Q401" s="1274" t="str">
        <f ca="1"/>
        <v>🚲 Easy ride: duration_primary minutes</v>
      </c>
      <c r="R401" s="1274" t="str">
        <f ca="1"/>
        <v>🚲 Easy ride: duration_primary minutes</v>
      </c>
      <c r="S401" s="1274" t="str">
        <f ca="1"/>
        <v>🚲 Easy ride: duration_primary minutes</v>
      </c>
      <c r="T401" s="1274" t="str">
        <f ca="1"/>
        <v>🚲 Easy ride: duration_primary minutes</v>
      </c>
      <c r="U401" s="1274" t="str">
        <f ca="1"/>
        <v>🚲 Easy ride: duration_primary minutes</v>
      </c>
      <c r="V401" s="1274" t="str">
        <f ca="1"/>
        <v/>
      </c>
      <c r="W401" s="1274" t="str">
        <f ca="1"/>
        <v/>
      </c>
      <c r="X401" s="1274" t="str">
        <f ca="1"/>
        <v/>
      </c>
      <c r="Y401" s="1274" t="str">
        <f ca="1"/>
        <v/>
      </c>
      <c r="Z401" s="1274" t="str">
        <f ca="1"/>
        <v/>
      </c>
      <c r="AA401" s="1277" t="str">
        <f ca="1"/>
        <v/>
      </c>
      <c r="AB401" s="86"/>
    </row>
    <row r="402" spans="1:28" s="87" customFormat="1" ht="43.15" hidden="1" thickBot="1" x14ac:dyDescent="0.5">
      <c r="A402" s="1789"/>
      <c r="B402" s="1794"/>
      <c r="C402" s="519" t="s">
        <v>327</v>
      </c>
      <c r="D402" s="1270" t="str">
        <f ca="1"/>
        <v>1. 💪 Strength and conditioning
2. 💪 Maintenance</v>
      </c>
      <c r="E402" s="1275" t="str">
        <f ca="1"/>
        <v>1. 💪 Strength and conditioning
2. 💪 Maintenance</v>
      </c>
      <c r="F402" s="1275" t="str">
        <f ca="1"/>
        <v>1. 💪 Strength and conditioning
2. 💪 Maintenance</v>
      </c>
      <c r="G402" s="1275" t="str">
        <f ca="1"/>
        <v>1. 💪 Strength and conditioning
2. 💪 Maintenance</v>
      </c>
      <c r="H402" s="1275" t="str">
        <f ca="1"/>
        <v>1. 💪 Strength and conditioning
2. 💪 Maintenance</v>
      </c>
      <c r="I402" s="1275" t="str">
        <f ca="1"/>
        <v>1. 💪 Strength and conditioning
2. 💪 Maintenance</v>
      </c>
      <c r="J402" s="1275" t="str">
        <f ca="1"/>
        <v>1. 💪 Strength and conditioning
2. 💪 Maintenance</v>
      </c>
      <c r="K402" s="1275" t="str">
        <f ca="1"/>
        <v>1. 💪 Strength and conditioning
2. 💪 Maintenance</v>
      </c>
      <c r="L402" s="1275" t="str">
        <f ca="1"/>
        <v>1. 💪 Strength and conditioning
2. 💪 Maintenance</v>
      </c>
      <c r="M402" s="1275" t="str">
        <f ca="1"/>
        <v/>
      </c>
      <c r="N402" s="1275" t="str">
        <f ca="1"/>
        <v>🏃 Steady hilly trail run: duration_primary minutes</v>
      </c>
      <c r="O402" s="1275" t="str">
        <f ca="1"/>
        <v>1. 💪 Strength and conditioning
2. 💪 Maintenance</v>
      </c>
      <c r="P402" s="1275" t="str">
        <f ca="1"/>
        <v>1. 💪 Strength and conditioning
2. 💪 Maintenance</v>
      </c>
      <c r="Q402" s="1275" t="str">
        <f ca="1"/>
        <v>1. 💪 Strength and conditioning
2. 💪 Maintenance</v>
      </c>
      <c r="R402" s="1275" t="str">
        <f ca="1"/>
        <v>1. 💪 Strength and conditioning
2. 💪 Maintenance</v>
      </c>
      <c r="S402" s="1275" t="str">
        <f ca="1"/>
        <v>1. 💪 Strength and conditioning
2. 💪 Maintenance</v>
      </c>
      <c r="T402" s="1275" t="str">
        <f ca="1"/>
        <v>1. 💪 Strength and conditioning
2. 💪 Maintenance</v>
      </c>
      <c r="U402" s="1275" t="str">
        <f ca="1"/>
        <v>1. 💪 Strength and conditioning
2. 💪 Maintenance</v>
      </c>
      <c r="V402" s="1275" t="str">
        <f ca="1"/>
        <v/>
      </c>
      <c r="W402" s="1275" t="str">
        <f ca="1"/>
        <v/>
      </c>
      <c r="X402" s="1275" t="str">
        <f ca="1"/>
        <v/>
      </c>
      <c r="Y402" s="1275" t="str">
        <f ca="1"/>
        <v/>
      </c>
      <c r="Z402" s="1275" t="str">
        <f ca="1"/>
        <v/>
      </c>
      <c r="AA402" s="1278" t="str">
        <f ca="1"/>
        <v/>
      </c>
      <c r="AB402" s="86"/>
    </row>
    <row r="403" spans="1:28" s="87" customFormat="1" ht="43.15" hidden="1" thickTop="1" x14ac:dyDescent="0.45">
      <c r="A403" s="1789"/>
      <c r="B403" s="1795" t="s">
        <v>328</v>
      </c>
      <c r="C403" s="1534" t="s">
        <v>326</v>
      </c>
      <c r="D403" s="1270" t="str">
        <f ca="1"/>
        <v>🚲 Easy ride: duration_primary minutes</v>
      </c>
      <c r="E403" s="1275" t="str">
        <f ca="1"/>
        <v>🚲 Easy ride: duration_primary minutes</v>
      </c>
      <c r="F403" s="1275" t="str">
        <f ca="1"/>
        <v>🚲 Easy ride: duration_primary minutes</v>
      </c>
      <c r="G403" s="1275" t="str">
        <f ca="1"/>
        <v>🚲 Easy ride: duration_primary minutes</v>
      </c>
      <c r="H403" s="1275" t="str">
        <f ca="1"/>
        <v>🚲 Easy ride: duration_primary minutes</v>
      </c>
      <c r="I403" s="1275" t="str">
        <f ca="1"/>
        <v>🚲 Easy ride: duration_primary minutes</v>
      </c>
      <c r="J403" s="1275" t="str">
        <f ca="1"/>
        <v>🚲 Easy ride: duration_primary minutes</v>
      </c>
      <c r="K403" s="1275" t="str">
        <f ca="1"/>
        <v/>
      </c>
      <c r="L403" s="1275" t="str">
        <f ca="1"/>
        <v/>
      </c>
      <c r="M403" s="1275" t="str">
        <f ca="1"/>
        <v/>
      </c>
      <c r="N403" s="1275" t="str">
        <f ca="1"/>
        <v/>
      </c>
      <c r="O403" s="1275" t="str">
        <f ca="1"/>
        <v>🚲 Easy ride: duration_primary minutes</v>
      </c>
      <c r="P403" s="1275" t="str">
        <f ca="1"/>
        <v>🚲 Easy ride: duration_primary minutes</v>
      </c>
      <c r="Q403" s="1275" t="str">
        <f ca="1"/>
        <v>🚲 Easy ride: duration_primary minutes</v>
      </c>
      <c r="R403" s="1275" t="str">
        <f ca="1"/>
        <v/>
      </c>
      <c r="S403" s="1275" t="str">
        <f ca="1"/>
        <v/>
      </c>
      <c r="T403" s="1275" t="str">
        <f ca="1"/>
        <v/>
      </c>
      <c r="U403" s="1275" t="str">
        <f ca="1"/>
        <v/>
      </c>
      <c r="V403" s="1275" t="str">
        <f ca="1"/>
        <v/>
      </c>
      <c r="W403" s="1275" t="str">
        <f ca="1"/>
        <v/>
      </c>
      <c r="X403" s="1275" t="str">
        <f ca="1"/>
        <v/>
      </c>
      <c r="Y403" s="1275" t="str">
        <f ca="1"/>
        <v/>
      </c>
      <c r="Z403" s="1275" t="str">
        <f ca="1"/>
        <v/>
      </c>
      <c r="AA403" s="1278" t="str">
        <f ca="1"/>
        <v/>
      </c>
      <c r="AB403" s="86"/>
    </row>
    <row r="404" spans="1:28" s="87" customFormat="1" ht="42.75" hidden="1" x14ac:dyDescent="0.45">
      <c r="A404" s="1789"/>
      <c r="B404" s="1796"/>
      <c r="C404" s="1535" t="s">
        <v>327</v>
      </c>
      <c r="D404" s="1270" t="str">
        <f ca="1"/>
        <v>🏃 Hilly tempo hilly trail run: duration_primary minutes + WU/WD</v>
      </c>
      <c r="E404" s="1275" t="str">
        <f ca="1"/>
        <v>🏃 Hilly tempo hilly trail run: duration_primary minutes + WU/WD</v>
      </c>
      <c r="F404" s="1275" t="str">
        <f ca="1"/>
        <v>🏃 Hilly tempo hilly trail run: duration_primary minutes + WU/WD</v>
      </c>
      <c r="G404" s="1275" t="str">
        <f ca="1"/>
        <v>🏃 Hilly tempo hilly trail run: duration_primary minutes + WU/WD</v>
      </c>
      <c r="H404" s="1275" t="str">
        <f ca="1"/>
        <v>🏃 Hilly tempo hilly trail run: duration_primary minutes + WU/WD</v>
      </c>
      <c r="I404" s="1275" t="str">
        <f ca="1"/>
        <v>🏃 Hilly tempo hilly trail run: duration_primary minutes + WU/WD</v>
      </c>
      <c r="J404" s="1275" t="str">
        <f ca="1"/>
        <v>🏃 Hilly tempo hilly trail run: duration_primary minutes + WU/WD</v>
      </c>
      <c r="K404" s="1275" t="str">
        <f ca="1"/>
        <v>🏃 Tempo road run: duration_primary minutes + WU/WD</v>
      </c>
      <c r="L404" s="1275" t="str">
        <f ca="1"/>
        <v>🏃 Tempo road run: duration_primary minutes + WU/WD</v>
      </c>
      <c r="M404" s="1275" t="str">
        <f ca="1"/>
        <v/>
      </c>
      <c r="N404" s="1275" t="str">
        <f ca="1"/>
        <v>🏃 Long hilly trail run: duration_primary minutes</v>
      </c>
      <c r="O404" s="1275" t="str">
        <f ca="1"/>
        <v>🏃 Hilly tempo hilly trail run: duration_primary minutes + WU/WD</v>
      </c>
      <c r="P404" s="1275" t="str">
        <f ca="1"/>
        <v>🏃 Hilly tempo hilly trail run: duration_primary minutes + WU/WD</v>
      </c>
      <c r="Q404" s="1275" t="str">
        <f ca="1"/>
        <v>🏃 Hilly tempo hilly trail run: duration_primary minutes + WU/WD</v>
      </c>
      <c r="R404" s="1275" t="str">
        <f ca="1"/>
        <v>🏃 Hilly tempo hilly trail run: duration_primary minutes + WU/WD</v>
      </c>
      <c r="S404" s="1275" t="str">
        <f ca="1"/>
        <v>🏃 Hilly tempo hilly trail run: duration_primary minutes + WU/WD</v>
      </c>
      <c r="T404" s="1275" t="str">
        <f ca="1"/>
        <v>🏃 Easy run: duration_primary minutes</v>
      </c>
      <c r="U404" s="1275" t="str">
        <f ca="1"/>
        <v>🏃 Hilly tempo hilly trail run: duration_primary minutes + WU/WD</v>
      </c>
      <c r="V404" s="1275" t="str">
        <f ca="1"/>
        <v>🏃 Intervals: II + WU/WD</v>
      </c>
      <c r="W404" s="1275" t="str">
        <f ca="1"/>
        <v/>
      </c>
      <c r="X404" s="1275" t="str">
        <f ca="1"/>
        <v/>
      </c>
      <c r="Y404" s="1275" t="str">
        <f ca="1"/>
        <v/>
      </c>
      <c r="Z404" s="1275" t="str">
        <f ca="1"/>
        <v/>
      </c>
      <c r="AA404" s="1278" t="str">
        <f ca="1"/>
        <v/>
      </c>
      <c r="AB404" s="86"/>
    </row>
    <row r="405" spans="1:28" s="87" customFormat="1" hidden="1" x14ac:dyDescent="0.45">
      <c r="A405" s="1789"/>
      <c r="B405" s="1797" t="s">
        <v>329</v>
      </c>
      <c r="C405" s="1536" t="s">
        <v>326</v>
      </c>
      <c r="D405" s="1270" t="str">
        <f ca="1"/>
        <v/>
      </c>
      <c r="E405" s="1275" t="str">
        <f ca="1"/>
        <v/>
      </c>
      <c r="F405" s="1275" t="str">
        <f ca="1"/>
        <v/>
      </c>
      <c r="G405" s="1275" t="str">
        <f ca="1"/>
        <v/>
      </c>
      <c r="H405" s="1275" t="str">
        <f ca="1"/>
        <v/>
      </c>
      <c r="I405" s="1275" t="str">
        <f ca="1"/>
        <v/>
      </c>
      <c r="J405" s="1275" t="str">
        <f ca="1"/>
        <v/>
      </c>
      <c r="K405" s="1275" t="str">
        <f ca="1"/>
        <v/>
      </c>
      <c r="L405" s="1275" t="str">
        <f ca="1"/>
        <v/>
      </c>
      <c r="M405" s="1275" t="str">
        <f ca="1"/>
        <v/>
      </c>
      <c r="N405" s="1275" t="str">
        <f ca="1"/>
        <v/>
      </c>
      <c r="O405" s="1275" t="str">
        <f ca="1"/>
        <v/>
      </c>
      <c r="P405" s="1275" t="str">
        <f ca="1"/>
        <v/>
      </c>
      <c r="Q405" s="1275" t="str">
        <f ca="1"/>
        <v/>
      </c>
      <c r="R405" s="1275" t="str">
        <f ca="1"/>
        <v/>
      </c>
      <c r="S405" s="1275" t="str">
        <f ca="1"/>
        <v/>
      </c>
      <c r="T405" s="1275" t="str">
        <f ca="1"/>
        <v/>
      </c>
      <c r="U405" s="1275" t="str">
        <f ca="1"/>
        <v/>
      </c>
      <c r="V405" s="1275" t="str">
        <f ca="1"/>
        <v/>
      </c>
      <c r="W405" s="1275" t="str">
        <f ca="1"/>
        <v/>
      </c>
      <c r="X405" s="1275" t="str">
        <f ca="1"/>
        <v/>
      </c>
      <c r="Y405" s="1275" t="str">
        <f ca="1"/>
        <v/>
      </c>
      <c r="Z405" s="1275" t="str">
        <f ca="1"/>
        <v/>
      </c>
      <c r="AA405" s="1278" t="str">
        <f ca="1"/>
        <v/>
      </c>
      <c r="AB405" s="86"/>
    </row>
    <row r="406" spans="1:28" s="87" customFormat="1" ht="85.9" hidden="1" thickBot="1" x14ac:dyDescent="0.5">
      <c r="A406" s="1789"/>
      <c r="B406" s="1794"/>
      <c r="C406" s="519" t="s">
        <v>327</v>
      </c>
      <c r="D406" s="1270" t="str">
        <f ca="1"/>
        <v>🚲 Easy road ride: duration_primary minutes</v>
      </c>
      <c r="E406" s="1275" t="str">
        <f ca="1"/>
        <v>🚲 Easy road ride: duration_primary minutes</v>
      </c>
      <c r="F406" s="1275" t="str">
        <f ca="1"/>
        <v>🚲 Easy road ride: duration_primary minutes</v>
      </c>
      <c r="G406" s="1275" t="str">
        <f ca="1"/>
        <v>🚲 Easy road ride: duration_primary minutes</v>
      </c>
      <c r="H406" s="1275" t="str">
        <f ca="1"/>
        <v>🚲 Easy road ride: duration_primary minutes</v>
      </c>
      <c r="I406" s="1275" t="str">
        <f ca="1"/>
        <v>🚲 Easy road ride: duration_primary minutes</v>
      </c>
      <c r="J406" s="1275" t="str">
        <f ca="1"/>
        <v>🚲 Easy road ride: duration_primary minutes</v>
      </c>
      <c r="K406" s="1275" t="str">
        <f ca="1"/>
        <v>🚲 Easy road ride: duration_primary minutes</v>
      </c>
      <c r="L406" s="1275" t="str">
        <f ca="1"/>
        <v>🚲 Easy road ride: duration_primary minutes</v>
      </c>
      <c r="M406" s="1275" t="str">
        <f ca="1"/>
        <v/>
      </c>
      <c r="N406" s="1275" t="str">
        <f ca="1"/>
        <v>🏃 Long hilly trail run: duration_primary minutes</v>
      </c>
      <c r="O406" s="1275" t="str">
        <f ca="1"/>
        <v>🚲 Easy road ride: duration_primary minutes</v>
      </c>
      <c r="P406" s="1275" t="str">
        <f ca="1"/>
        <v>🚲 Easy road ride: duration_primary minutes</v>
      </c>
      <c r="Q406" s="1275" t="str">
        <f ca="1"/>
        <v>🚲 Easy road ride: duration_primary minutes</v>
      </c>
      <c r="R406" s="1275" t="str">
        <f ca="1"/>
        <v>🚲 Easy road ride: duration_primary minutes</v>
      </c>
      <c r="S406" s="1275" t="str">
        <f ca="1"/>
        <v>🚲 Easy road ride: duration_primary minutes</v>
      </c>
      <c r="T406" s="1275" t="str">
        <f ca="1"/>
        <v>🏃 Easy run: duration_primary minutes</v>
      </c>
      <c r="U406" s="1275" t="str">
        <f ca="1"/>
        <v>🚲 Easy road ride: duration_primary minutes</v>
      </c>
      <c r="V406" s="1275" t="str">
        <f ca="1"/>
        <v>1. 🏃 Easy road run: duration_primary minutes
2. 🏃 duration_secondary stride outs</v>
      </c>
      <c r="W406" s="1275" t="str">
        <f ca="1"/>
        <v/>
      </c>
      <c r="X406" s="1275" t="str">
        <f ca="1"/>
        <v/>
      </c>
      <c r="Y406" s="1275" t="str">
        <f ca="1"/>
        <v/>
      </c>
      <c r="Z406" s="1275" t="str">
        <f ca="1"/>
        <v/>
      </c>
      <c r="AA406" s="1278" t="str">
        <f ca="1"/>
        <v/>
      </c>
      <c r="AB406" s="86"/>
    </row>
    <row r="407" spans="1:28" s="87" customFormat="1" ht="43.15" hidden="1" thickTop="1" x14ac:dyDescent="0.45">
      <c r="A407" s="1789"/>
      <c r="B407" s="1795" t="s">
        <v>330</v>
      </c>
      <c r="C407" s="1534" t="s">
        <v>326</v>
      </c>
      <c r="D407" s="1270" t="str">
        <f ca="1"/>
        <v>🚲 Easy ride: duration_primary minutes</v>
      </c>
      <c r="E407" s="1275" t="str">
        <f ca="1"/>
        <v>🚲 Easy ride: duration_primary minutes</v>
      </c>
      <c r="F407" s="1275" t="str">
        <f ca="1"/>
        <v>🚲 Easy ride: duration_primary minutes</v>
      </c>
      <c r="G407" s="1275" t="str">
        <f ca="1"/>
        <v>🚲 Easy ride: duration_primary minutes</v>
      </c>
      <c r="H407" s="1275" t="str">
        <f ca="1"/>
        <v>🚲 Easy ride: duration_primary minutes</v>
      </c>
      <c r="I407" s="1275" t="str">
        <f ca="1"/>
        <v>🚲 Easy ride: duration_primary minutes</v>
      </c>
      <c r="J407" s="1275" t="str">
        <f ca="1"/>
        <v/>
      </c>
      <c r="K407" s="1275" t="str">
        <f ca="1"/>
        <v/>
      </c>
      <c r="L407" s="1275" t="str">
        <f ca="1"/>
        <v/>
      </c>
      <c r="M407" s="1275" t="str">
        <f ca="1"/>
        <v/>
      </c>
      <c r="N407" s="1275" t="str">
        <f ca="1"/>
        <v/>
      </c>
      <c r="O407" s="1275" t="str">
        <f ca="1"/>
        <v>🚲 Easy ride: duration_primary minutes</v>
      </c>
      <c r="P407" s="1275" t="str">
        <f ca="1"/>
        <v>🚲 Easy ride: duration_primary minutes</v>
      </c>
      <c r="Q407" s="1275" t="str">
        <f ca="1"/>
        <v>🚲 Easy ride: duration_primary minutes</v>
      </c>
      <c r="R407" s="1275" t="str">
        <f ca="1"/>
        <v/>
      </c>
      <c r="S407" s="1275" t="str">
        <f ca="1"/>
        <v/>
      </c>
      <c r="T407" s="1275" t="str">
        <f ca="1"/>
        <v/>
      </c>
      <c r="U407" s="1275" t="str">
        <f ca="1"/>
        <v/>
      </c>
      <c r="V407" s="1275" t="str">
        <f ca="1"/>
        <v>🏃 Easy road run: duration_primary minutes</v>
      </c>
      <c r="W407" s="1275" t="str">
        <f ca="1"/>
        <v/>
      </c>
      <c r="X407" s="1275" t="str">
        <f ca="1"/>
        <v/>
      </c>
      <c r="Y407" s="1275" t="str">
        <f ca="1"/>
        <v/>
      </c>
      <c r="Z407" s="1275" t="str">
        <f ca="1"/>
        <v/>
      </c>
      <c r="AA407" s="1278" t="str">
        <f ca="1"/>
        <v/>
      </c>
      <c r="AB407" s="86"/>
    </row>
    <row r="408" spans="1:28" s="87" customFormat="1" ht="42.75" hidden="1" x14ac:dyDescent="0.45">
      <c r="A408" s="1789"/>
      <c r="B408" s="1796"/>
      <c r="C408" s="1233" t="s">
        <v>327</v>
      </c>
      <c r="D408" s="1270" t="str">
        <f ca="1"/>
        <v>🏃 Steady hilly trail run: duration_primary minutes</v>
      </c>
      <c r="E408" s="1275" t="str">
        <f ca="1"/>
        <v>🏃 Steady hilly trail run: duration_primary minutes</v>
      </c>
      <c r="F408" s="1275" t="str">
        <f ca="1"/>
        <v>🏃 Steady hilly trail run: duration_primary minutes</v>
      </c>
      <c r="G408" s="1275" t="str">
        <f ca="1"/>
        <v>🏃 Steady hilly trail run: duration_primary minutes</v>
      </c>
      <c r="H408" s="1275" t="str">
        <f ca="1"/>
        <v>🏃 Steady hilly trail run: duration_primary minutes</v>
      </c>
      <c r="I408" s="1275" t="str">
        <f ca="1"/>
        <v>🏃 Steady hilly trail run: duration_primary minutes</v>
      </c>
      <c r="J408" s="1275" t="str">
        <f ca="1"/>
        <v>🏃 Steady hilly trail run: duration_primary minutes</v>
      </c>
      <c r="K408" s="1275" t="str">
        <f ca="1"/>
        <v>🏃 Steady hilly trail run: duration_primary minutes</v>
      </c>
      <c r="L408" s="1275" t="str">
        <f ca="1"/>
        <v/>
      </c>
      <c r="M408" s="1275" t="str">
        <f ca="1"/>
        <v/>
      </c>
      <c r="N408" s="1275" t="str">
        <f ca="1"/>
        <v>🏃 Steady hilly trail run: duration_primary minutes</v>
      </c>
      <c r="O408" s="1275" t="str">
        <f ca="1"/>
        <v>🏃 Intervals: II + WU/WD</v>
      </c>
      <c r="P408" s="1275" t="str">
        <f ca="1"/>
        <v>🏃 Intervals: II + WU/WD</v>
      </c>
      <c r="Q408" s="1275" t="str">
        <f ca="1"/>
        <v>🏃 Intervals: II + WU/WD</v>
      </c>
      <c r="R408" s="1275" t="str">
        <f ca="1"/>
        <v>🏃 Intervals: II + WU/WD</v>
      </c>
      <c r="S408" s="1275" t="str">
        <f ca="1"/>
        <v>🏃 Intervals: II + WU/WD</v>
      </c>
      <c r="T408" s="1275" t="str">
        <f ca="1"/>
        <v/>
      </c>
      <c r="U408" s="1275" t="str">
        <f ca="1"/>
        <v>🏃 Intervals: II + WU/WD</v>
      </c>
      <c r="V408" s="1275" t="str">
        <f ca="1"/>
        <v/>
      </c>
      <c r="W408" s="1275" t="str">
        <f ca="1"/>
        <v/>
      </c>
      <c r="X408" s="1275" t="str">
        <f ca="1"/>
        <v/>
      </c>
      <c r="Y408" s="1275" t="str">
        <f ca="1"/>
        <v/>
      </c>
      <c r="Z408" s="1275" t="str">
        <f ca="1"/>
        <v/>
      </c>
      <c r="AA408" s="1278" t="str">
        <f ca="1"/>
        <v/>
      </c>
      <c r="AB408" s="86"/>
    </row>
    <row r="409" spans="1:28" s="87" customFormat="1" ht="85.5" hidden="1" x14ac:dyDescent="0.45">
      <c r="A409" s="1789"/>
      <c r="B409" s="1797" t="s">
        <v>331</v>
      </c>
      <c r="C409" s="1536" t="s">
        <v>326</v>
      </c>
      <c r="D409" s="1270" t="str">
        <f ca="1"/>
        <v>🚲 Easy ride: duration_primary minutes</v>
      </c>
      <c r="E409" s="1275" t="str">
        <f ca="1"/>
        <v>🚲 Easy ride: duration_primary minutes</v>
      </c>
      <c r="F409" s="1275" t="str">
        <f ca="1"/>
        <v>🚲 Easy ride: duration_primary minutes</v>
      </c>
      <c r="G409" s="1275" t="str">
        <f ca="1"/>
        <v>🚲 Easy ride: duration_primary minutes</v>
      </c>
      <c r="H409" s="1275" t="str">
        <f ca="1"/>
        <v>🚲 Easy ride: duration_primary minutes</v>
      </c>
      <c r="I409" s="1275" t="str">
        <f ca="1"/>
        <v>🚲 Easy ride: duration_primary minutes</v>
      </c>
      <c r="J409" s="1275" t="str">
        <f ca="1"/>
        <v>🚲 Easy ride: duration_primary minutes</v>
      </c>
      <c r="K409" s="1275" t="str">
        <f ca="1"/>
        <v>🚲 Easy ride: duration_primary minutes</v>
      </c>
      <c r="L409" s="1275" t="str">
        <f ca="1"/>
        <v>1. 🏃 Easy road run: duration_primary minutes
2. 🏃 duration_secondary stride outs</v>
      </c>
      <c r="M409" s="1275" t="str">
        <f ca="1"/>
        <v/>
      </c>
      <c r="N409" s="1275" t="str">
        <f ca="1"/>
        <v/>
      </c>
      <c r="O409" s="1275" t="str">
        <f ca="1"/>
        <v>🚲 Easy ride: duration_primary minutes</v>
      </c>
      <c r="P409" s="1275" t="str">
        <f ca="1"/>
        <v>🚲 Easy ride: duration_primary minutes</v>
      </c>
      <c r="Q409" s="1275" t="str">
        <f ca="1"/>
        <v>🚲 Easy ride: duration_primary minutes</v>
      </c>
      <c r="R409" s="1275" t="str">
        <f ca="1"/>
        <v>🚲 Easy ride: duration_primary minutes</v>
      </c>
      <c r="S409" s="1275" t="str">
        <f ca="1"/>
        <v>🚲 Easy ride: duration_primary minutes</v>
      </c>
      <c r="T409" s="1275" t="str">
        <f ca="1"/>
        <v/>
      </c>
      <c r="U409" s="1275" t="str">
        <f ca="1"/>
        <v>🚲 Easy ride: duration_primary minutes</v>
      </c>
      <c r="V409" s="1275" t="str">
        <f ca="1"/>
        <v>🏃 Easy road run: duration_primary minutes</v>
      </c>
      <c r="W409" s="1275" t="str">
        <f ca="1"/>
        <v/>
      </c>
      <c r="X409" s="1275" t="str">
        <f ca="1"/>
        <v/>
      </c>
      <c r="Y409" s="1275" t="str">
        <f ca="1"/>
        <v/>
      </c>
      <c r="Z409" s="1275" t="str">
        <f ca="1"/>
        <v/>
      </c>
      <c r="AA409" s="1278" t="str">
        <f ca="1"/>
        <v/>
      </c>
      <c r="AB409" s="86"/>
    </row>
    <row r="410" spans="1:28" s="87" customFormat="1" ht="43.15" hidden="1" thickBot="1" x14ac:dyDescent="0.5">
      <c r="A410" s="1789"/>
      <c r="B410" s="1794"/>
      <c r="C410" s="519" t="s">
        <v>327</v>
      </c>
      <c r="D410" s="1270" t="str">
        <f ca="1"/>
        <v>1. 💪 Strength and conditioning
2. 💪 Maintenance</v>
      </c>
      <c r="E410" s="1275" t="str">
        <f ca="1"/>
        <v>1. 💪 Strength and conditioning
2. 💪 Maintenance</v>
      </c>
      <c r="F410" s="1275" t="str">
        <f ca="1"/>
        <v>1. 💪 Strength and conditioning
2. 💪 Maintenance</v>
      </c>
      <c r="G410" s="1275" t="str">
        <f ca="1"/>
        <v>1. 💪 Strength and conditioning
2. 💪 Maintenance</v>
      </c>
      <c r="H410" s="1275" t="str">
        <f ca="1"/>
        <v>1. 💪 Strength and conditioning
2. 💪 Maintenance</v>
      </c>
      <c r="I410" s="1275" t="str">
        <f ca="1"/>
        <v>1. 💪 Strength and conditioning
2. 💪 Maintenance</v>
      </c>
      <c r="J410" s="1275" t="str">
        <f ca="1"/>
        <v>1. 💪 Strength and conditioning
2. 💪 Maintenance</v>
      </c>
      <c r="K410" s="1275" t="str">
        <f ca="1"/>
        <v>1. 💪 Strength and conditioning
2. 💪 Maintenance</v>
      </c>
      <c r="L410" s="1275" t="str">
        <f ca="1"/>
        <v/>
      </c>
      <c r="M410" s="1275" t="str">
        <f ca="1"/>
        <v/>
      </c>
      <c r="N410" s="1275" t="str">
        <f ca="1"/>
        <v>🏃 Steady hilly trail run: duration_primary minutes</v>
      </c>
      <c r="O410" s="1275" t="str">
        <f ca="1"/>
        <v>1. 💪 Strength and conditioning
2. 💪 Maintenance</v>
      </c>
      <c r="P410" s="1275" t="str">
        <f ca="1"/>
        <v>1. 💪 Strength and conditioning
2. 💪 Maintenance</v>
      </c>
      <c r="Q410" s="1275" t="str">
        <f ca="1"/>
        <v>1. 💪 Strength and conditioning
2. 💪 Maintenance</v>
      </c>
      <c r="R410" s="1275" t="str">
        <f ca="1"/>
        <v>1. 💪 Strength and conditioning
2. 💪 Maintenance</v>
      </c>
      <c r="S410" s="1275" t="str">
        <f ca="1"/>
        <v>1. 💪 Strength and conditioning
2. 💪 Maintenance</v>
      </c>
      <c r="T410" s="1275" t="str">
        <f ca="1"/>
        <v>🏃 Race: duration_primary minutes + WU/WD</v>
      </c>
      <c r="U410" s="1275" t="str">
        <f ca="1"/>
        <v>1. 💪 Strength and conditioning
2. 💪 Maintenance</v>
      </c>
      <c r="V410" s="1275" t="str">
        <f ca="1"/>
        <v/>
      </c>
      <c r="W410" s="1275" t="str">
        <f ca="1"/>
        <v/>
      </c>
      <c r="X410" s="1275" t="str">
        <f ca="1"/>
        <v/>
      </c>
      <c r="Y410" s="1275" t="str">
        <f ca="1"/>
        <v/>
      </c>
      <c r="Z410" s="1275" t="str">
        <f ca="1"/>
        <v/>
      </c>
      <c r="AA410" s="1278" t="str">
        <f ca="1"/>
        <v/>
      </c>
      <c r="AB410" s="86"/>
    </row>
    <row r="411" spans="1:28" s="87" customFormat="1" ht="57.4" hidden="1" thickTop="1" x14ac:dyDescent="0.45">
      <c r="A411" s="1789"/>
      <c r="B411" s="1795" t="s">
        <v>332</v>
      </c>
      <c r="C411" s="1534" t="s">
        <v>326</v>
      </c>
      <c r="D411" s="1270" t="str">
        <f ca="1"/>
        <v>🏃 Drills + WU/WD</v>
      </c>
      <c r="E411" s="1275" t="str">
        <f ca="1"/>
        <v>🏃 Drills + WU/WD</v>
      </c>
      <c r="F411" s="1275" t="str">
        <f ca="1"/>
        <v>🏃 Drills + WU/WD</v>
      </c>
      <c r="G411" s="1275" t="str">
        <f ca="1"/>
        <v>1. 🏃 Drills + WU/WD
2. 🏃 Easy run: duration_secondary minutes</v>
      </c>
      <c r="H411" s="1275" t="str">
        <f ca="1"/>
        <v>1. 🏃 Drills + WU/WD
2. 🏃 Easy run: duration_secondary minutes</v>
      </c>
      <c r="I411" s="1275" t="str">
        <f ca="1"/>
        <v>🏃 Long hilly trail run: duration_primary minutes</v>
      </c>
      <c r="J411" s="1275" t="str">
        <f ca="1"/>
        <v>1. 🏃 Drills + WU/WD
2. 🏃 Easy run: duration_secondary minutes</v>
      </c>
      <c r="K411" s="1275" t="str">
        <f ca="1"/>
        <v>1. 🏃 Drills + WU/WD
2. 🏃 Easy run: duration_secondary minutes</v>
      </c>
      <c r="L411" s="1275" t="str">
        <f ca="1"/>
        <v>🏃 Race: duration_primary minutes + WU/WD</v>
      </c>
      <c r="M411" s="1275" t="str">
        <f ca="1"/>
        <v/>
      </c>
      <c r="N411" s="1275" t="str">
        <f ca="1"/>
        <v>🏃 Long hilly trail run: duration_primary minutes</v>
      </c>
      <c r="O411" s="1275" t="str">
        <f ca="1"/>
        <v>🏃 Steady hilly trail run: duration_primary minutes</v>
      </c>
      <c r="P411" s="1275" t="str">
        <f ca="1"/>
        <v>🏃 Steady hilly trail run: duration_primary minutes</v>
      </c>
      <c r="Q411" s="1275" t="str">
        <f ca="1"/>
        <v>🏃 Steady hilly trail run: duration_primary minutes</v>
      </c>
      <c r="R411" s="1275" t="str">
        <f ca="1"/>
        <v>🏃 Steady hilly trail run: duration_primary minutes</v>
      </c>
      <c r="S411" s="1275" t="str">
        <f ca="1"/>
        <v>🏃 Steady hilly trail run: duration_primary minutes</v>
      </c>
      <c r="T411" s="1275" t="str">
        <f ca="1"/>
        <v>🏃 Race: duration_primary minutes + WU/WD</v>
      </c>
      <c r="U411" s="1275" t="str">
        <f ca="1"/>
        <v>🏃 Steady hilly trail run: duration_primary minutes</v>
      </c>
      <c r="V411" s="1275" t="str">
        <f ca="1"/>
        <v>🏃 Race: duration_primary minutes + WU/WD</v>
      </c>
      <c r="W411" s="1275" t="str">
        <f ca="1"/>
        <v/>
      </c>
      <c r="X411" s="1275" t="str">
        <f ca="1"/>
        <v/>
      </c>
      <c r="Y411" s="1275" t="str">
        <f ca="1"/>
        <v/>
      </c>
      <c r="Z411" s="1275" t="str">
        <f ca="1"/>
        <v/>
      </c>
      <c r="AA411" s="1278" t="str">
        <f ca="1"/>
        <v/>
      </c>
      <c r="AB411" s="86"/>
    </row>
    <row r="412" spans="1:28" s="87" customFormat="1" ht="42.75" hidden="1" x14ac:dyDescent="0.45">
      <c r="A412" s="1789"/>
      <c r="B412" s="1796"/>
      <c r="C412" s="1233" t="s">
        <v>327</v>
      </c>
      <c r="D412" s="1270" t="str">
        <f ca="1"/>
        <v>🏃 Easy run: duration_primary minutes</v>
      </c>
      <c r="E412" s="1275" t="str">
        <f ca="1"/>
        <v>🏃 Easy run: duration_primary minutes</v>
      </c>
      <c r="F412" s="1275" t="str">
        <f ca="1"/>
        <v>🏃 Easy run: duration_primary minutes</v>
      </c>
      <c r="G412" s="1275" t="str">
        <f ca="1"/>
        <v>🏃 Easy run: duration_primary minutes</v>
      </c>
      <c r="H412" s="1275" t="str">
        <f ca="1"/>
        <v>🏃 Easy run: duration_primary minutes</v>
      </c>
      <c r="I412" s="1275" t="str">
        <f ca="1"/>
        <v/>
      </c>
      <c r="J412" s="1275" t="str">
        <f ca="1"/>
        <v>🏃 Easy run: duration_primary minutes</v>
      </c>
      <c r="K412" s="1275" t="str">
        <f ca="1"/>
        <v>🏃 Easy run: duration_primary minutes</v>
      </c>
      <c r="L412" s="1275" t="str">
        <f ca="1"/>
        <v/>
      </c>
      <c r="M412" s="1275" t="str">
        <f ca="1"/>
        <v/>
      </c>
      <c r="N412" s="1275" t="str">
        <f ca="1"/>
        <v/>
      </c>
      <c r="O412" s="1275" t="str">
        <f ca="1"/>
        <v>🚲 Easy road ride: duration_primary minutes</v>
      </c>
      <c r="P412" s="1275" t="str">
        <f ca="1"/>
        <v>🚲 Easy road ride: duration_primary minutes</v>
      </c>
      <c r="Q412" s="1275" t="str">
        <f ca="1"/>
        <v>🚲 Easy road ride: duration_primary minutes</v>
      </c>
      <c r="R412" s="1275" t="str">
        <f ca="1"/>
        <v/>
      </c>
      <c r="S412" s="1275" t="str">
        <f ca="1"/>
        <v/>
      </c>
      <c r="T412" s="1275" t="str">
        <f ca="1"/>
        <v/>
      </c>
      <c r="U412" s="1275" t="str">
        <f ca="1"/>
        <v/>
      </c>
      <c r="V412" s="1275" t="str">
        <f ca="1"/>
        <v/>
      </c>
      <c r="W412" s="1275" t="str">
        <f ca="1"/>
        <v/>
      </c>
      <c r="X412" s="1275" t="str">
        <f ca="1"/>
        <v/>
      </c>
      <c r="Y412" s="1275" t="str">
        <f ca="1"/>
        <v/>
      </c>
      <c r="Z412" s="1275" t="str">
        <f ca="1"/>
        <v/>
      </c>
      <c r="AA412" s="1278" t="str">
        <f ca="1"/>
        <v/>
      </c>
      <c r="AB412" s="86"/>
    </row>
    <row r="413" spans="1:28" s="87" customFormat="1" ht="42.75" hidden="1" x14ac:dyDescent="0.45">
      <c r="A413" s="1789"/>
      <c r="B413" s="1798" t="s">
        <v>333</v>
      </c>
      <c r="C413" s="1536" t="s">
        <v>326</v>
      </c>
      <c r="D413" s="1270" t="str">
        <f ca="1"/>
        <v>🚲 Long ride: duration_primary minutes</v>
      </c>
      <c r="E413" s="1275" t="str">
        <f ca="1"/>
        <v>🚲 Long ride: duration_primary minutes</v>
      </c>
      <c r="F413" s="1275" t="str">
        <f ca="1"/>
        <v>🚲 Long ride: duration_primary minutes</v>
      </c>
      <c r="G413" s="1275" t="str">
        <f ca="1"/>
        <v>🏃 Long hilly trail run: duration_primary minutes</v>
      </c>
      <c r="H413" s="1275" t="str">
        <f ca="1"/>
        <v>🏃 Long hilly trail run: duration_primary minutes</v>
      </c>
      <c r="I413" s="1275" t="str">
        <f ca="1"/>
        <v>🏃 Easy road run: duration_primary minutes</v>
      </c>
      <c r="J413" s="1275" t="str">
        <f ca="1"/>
        <v>🏃 Long hilly trail run: duration_primary minutes</v>
      </c>
      <c r="K413" s="1275" t="str">
        <f ca="1"/>
        <v>🏃 Long hilly trail run: duration_primary minutes</v>
      </c>
      <c r="L413" s="1275" t="str">
        <f ca="1"/>
        <v/>
      </c>
      <c r="M413" s="1275" t="str">
        <f ca="1"/>
        <v/>
      </c>
      <c r="N413" s="1275" t="str">
        <f ca="1"/>
        <v>🏃 Long hilly trail run: duration_primary minutes</v>
      </c>
      <c r="O413" s="1275" t="str">
        <f ca="1"/>
        <v>🏃 Long hilly trail run: duration_primary minutes</v>
      </c>
      <c r="P413" s="1275" t="str">
        <f ca="1"/>
        <v>🏃 Long hilly trail run: duration_primary minutes</v>
      </c>
      <c r="Q413" s="1275" t="str">
        <f ca="1"/>
        <v>🏃 Long hilly trail run: duration_primary minutes</v>
      </c>
      <c r="R413" s="1275" t="str">
        <f ca="1"/>
        <v>🏃 Long hilly trail run: duration_primary minutes</v>
      </c>
      <c r="S413" s="1275" t="str">
        <f ca="1"/>
        <v>🏃 Long hilly trail run: duration_primary minutes</v>
      </c>
      <c r="T413" s="1275" t="str">
        <f ca="1"/>
        <v>🏃 Race: duration_primary minutes + WU/WD</v>
      </c>
      <c r="U413" s="1275" t="str">
        <f ca="1"/>
        <v>🏃 Long hilly trail run: duration_primary minutes</v>
      </c>
      <c r="V413" s="1275" t="str">
        <f ca="1"/>
        <v/>
      </c>
      <c r="W413" s="1275" t="str">
        <f ca="1"/>
        <v/>
      </c>
      <c r="X413" s="1275" t="str">
        <f ca="1"/>
        <v/>
      </c>
      <c r="Y413" s="1275" t="str">
        <f ca="1"/>
        <v/>
      </c>
      <c r="Z413" s="1275" t="str">
        <f ca="1"/>
        <v/>
      </c>
      <c r="AA413" s="1278" t="str">
        <f ca="1"/>
        <v/>
      </c>
      <c r="AB413" s="86"/>
    </row>
    <row r="414" spans="1:28" s="89" customFormat="1" ht="42.75" hidden="1" x14ac:dyDescent="0.45">
      <c r="A414" s="1790"/>
      <c r="B414" s="1799"/>
      <c r="C414" s="1234" t="s">
        <v>327</v>
      </c>
      <c r="D414" s="1273" t="str">
        <f ca="1"/>
        <v/>
      </c>
      <c r="E414" s="1276" t="str">
        <f ca="1"/>
        <v/>
      </c>
      <c r="F414" s="1276" t="str">
        <f ca="1"/>
        <v/>
      </c>
      <c r="G414" s="1276" t="str">
        <f ca="1"/>
        <v/>
      </c>
      <c r="H414" s="1276" t="str">
        <f ca="1"/>
        <v/>
      </c>
      <c r="I414" s="1276" t="str">
        <f ca="1"/>
        <v/>
      </c>
      <c r="J414" s="1276" t="str">
        <f ca="1"/>
        <v/>
      </c>
      <c r="K414" s="1276" t="str">
        <f ca="1"/>
        <v/>
      </c>
      <c r="L414" s="1276" t="str">
        <f ca="1"/>
        <v/>
      </c>
      <c r="M414" s="1276" t="str">
        <f ca="1"/>
        <v>🏃 Steady hilly trail run: duration_primary minutes</v>
      </c>
      <c r="N414" s="1276" t="str">
        <f ca="1"/>
        <v/>
      </c>
      <c r="O414" s="1276" t="str">
        <f ca="1"/>
        <v/>
      </c>
      <c r="P414" s="1276" t="str">
        <f ca="1"/>
        <v/>
      </c>
      <c r="Q414" s="1276" t="str">
        <f ca="1"/>
        <v/>
      </c>
      <c r="R414" s="1276" t="str">
        <f ca="1"/>
        <v/>
      </c>
      <c r="S414" s="1276" t="str">
        <f ca="1"/>
        <v/>
      </c>
      <c r="T414" s="1276" t="str">
        <f ca="1"/>
        <v/>
      </c>
      <c r="U414" s="1276" t="str">
        <f ca="1"/>
        <v/>
      </c>
      <c r="V414" s="1276" t="str">
        <f ca="1"/>
        <v/>
      </c>
      <c r="W414" s="1276" t="str">
        <f ca="1"/>
        <v/>
      </c>
      <c r="X414" s="1276" t="str">
        <f ca="1"/>
        <v/>
      </c>
      <c r="Y414" s="1276" t="str">
        <f ca="1"/>
        <v/>
      </c>
      <c r="Z414" s="1276" t="str">
        <f ca="1"/>
        <v/>
      </c>
      <c r="AA414" s="1279" t="str">
        <f ca="1"/>
        <v/>
      </c>
      <c r="AB414" s="88"/>
    </row>
    <row r="415" spans="1:28" hidden="1" x14ac:dyDescent="0.45">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row>
    <row r="416" spans="1:28"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47gTZLSDkeb2XLgKBYmUkkmWjvs+jC41G68xG41q5VTxK9BrcKEYfbWhYrIyRqLDq741kDNpCudmMPS8avvGgQ==" saltValue="ft+1DUoULejAhzWeIyOj0Q==" spinCount="100000" sheet="1" objects="1" scenarios="1" selectLockedCells="1" selectUnlockedCells="1"/>
  <mergeCells count="244">
    <mergeCell ref="A371:A384"/>
    <mergeCell ref="B371:B372"/>
    <mergeCell ref="B373:B374"/>
    <mergeCell ref="B375:B376"/>
    <mergeCell ref="B377:B378"/>
    <mergeCell ref="B379:B380"/>
    <mergeCell ref="B381:B382"/>
    <mergeCell ref="B383:B384"/>
    <mergeCell ref="B210:B211"/>
    <mergeCell ref="B212:B213"/>
    <mergeCell ref="B214:B215"/>
    <mergeCell ref="B216:B217"/>
    <mergeCell ref="B335:B336"/>
    <mergeCell ref="B337:B338"/>
    <mergeCell ref="A325:A342"/>
    <mergeCell ref="B339:C339"/>
    <mergeCell ref="B340:C340"/>
    <mergeCell ref="A306:A324"/>
    <mergeCell ref="B342:C342"/>
    <mergeCell ref="B341:C341"/>
    <mergeCell ref="A264:A277"/>
    <mergeCell ref="B327:B328"/>
    <mergeCell ref="B329:B330"/>
    <mergeCell ref="B331:B332"/>
    <mergeCell ref="B248:B249"/>
    <mergeCell ref="B13:C13"/>
    <mergeCell ref="B8:C8"/>
    <mergeCell ref="B10:C10"/>
    <mergeCell ref="B205:C205"/>
    <mergeCell ref="B206:C206"/>
    <mergeCell ref="B201:C201"/>
    <mergeCell ref="B202:C202"/>
    <mergeCell ref="B186:B187"/>
    <mergeCell ref="B188:B189"/>
    <mergeCell ref="B190:B191"/>
    <mergeCell ref="B192:B193"/>
    <mergeCell ref="B194:B195"/>
    <mergeCell ref="B203:C203"/>
    <mergeCell ref="B53:B54"/>
    <mergeCell ref="B55:B56"/>
    <mergeCell ref="B207:C207"/>
    <mergeCell ref="B93:B94"/>
    <mergeCell ref="B95:B96"/>
    <mergeCell ref="B97:B98"/>
    <mergeCell ref="B333:B334"/>
    <mergeCell ref="B322:C322"/>
    <mergeCell ref="B320:C320"/>
    <mergeCell ref="B264:B265"/>
    <mergeCell ref="B266:B267"/>
    <mergeCell ref="B268:B269"/>
    <mergeCell ref="B270:B271"/>
    <mergeCell ref="B272:B273"/>
    <mergeCell ref="B274:B275"/>
    <mergeCell ref="B276:B277"/>
    <mergeCell ref="B325:B326"/>
    <mergeCell ref="B324:C324"/>
    <mergeCell ref="B306:B307"/>
    <mergeCell ref="B308:B309"/>
    <mergeCell ref="B310:B311"/>
    <mergeCell ref="B316:B317"/>
    <mergeCell ref="B290:B291"/>
    <mergeCell ref="B318:B319"/>
    <mergeCell ref="B323:C323"/>
    <mergeCell ref="B321:C321"/>
    <mergeCell ref="B312:B313"/>
    <mergeCell ref="B314:B315"/>
    <mergeCell ref="B304:B305"/>
    <mergeCell ref="A127:A140"/>
    <mergeCell ref="B127:B128"/>
    <mergeCell ref="B129:B130"/>
    <mergeCell ref="B131:B132"/>
    <mergeCell ref="B133:B134"/>
    <mergeCell ref="B135:B136"/>
    <mergeCell ref="B137:B138"/>
    <mergeCell ref="B139:B140"/>
    <mergeCell ref="A155:A168"/>
    <mergeCell ref="B155:B156"/>
    <mergeCell ref="B157:B158"/>
    <mergeCell ref="B159:B160"/>
    <mergeCell ref="B161:B162"/>
    <mergeCell ref="B163:B164"/>
    <mergeCell ref="B165:B166"/>
    <mergeCell ref="B167:B168"/>
    <mergeCell ref="A141:A154"/>
    <mergeCell ref="B141:B142"/>
    <mergeCell ref="B143:B144"/>
    <mergeCell ref="B145:B146"/>
    <mergeCell ref="B147:B148"/>
    <mergeCell ref="B149:B150"/>
    <mergeCell ref="B151:B152"/>
    <mergeCell ref="B153:B154"/>
    <mergeCell ref="A99:A112"/>
    <mergeCell ref="B99:B100"/>
    <mergeCell ref="B101:B102"/>
    <mergeCell ref="B103:B104"/>
    <mergeCell ref="B105:B106"/>
    <mergeCell ref="B107:B108"/>
    <mergeCell ref="B109:B110"/>
    <mergeCell ref="B111:B112"/>
    <mergeCell ref="A113:A126"/>
    <mergeCell ref="B113:B114"/>
    <mergeCell ref="B115:B116"/>
    <mergeCell ref="B117:B118"/>
    <mergeCell ref="B119:B120"/>
    <mergeCell ref="B121:B122"/>
    <mergeCell ref="B123:B124"/>
    <mergeCell ref="B125:B126"/>
    <mergeCell ref="A43:A56"/>
    <mergeCell ref="B43:B44"/>
    <mergeCell ref="B45:B46"/>
    <mergeCell ref="B47:B48"/>
    <mergeCell ref="B49:B50"/>
    <mergeCell ref="B51:B52"/>
    <mergeCell ref="A1:C1"/>
    <mergeCell ref="B5:C5"/>
    <mergeCell ref="A4:C4"/>
    <mergeCell ref="B15:C15"/>
    <mergeCell ref="B16:C16"/>
    <mergeCell ref="B18:C18"/>
    <mergeCell ref="B11:C11"/>
    <mergeCell ref="B14:C14"/>
    <mergeCell ref="B17:C17"/>
    <mergeCell ref="A5:A36"/>
    <mergeCell ref="B19:B36"/>
    <mergeCell ref="B12:C12"/>
    <mergeCell ref="B9:C9"/>
    <mergeCell ref="A2:C2"/>
    <mergeCell ref="A3:C3"/>
    <mergeCell ref="B6:C6"/>
    <mergeCell ref="B7:C7"/>
    <mergeCell ref="A57:A70"/>
    <mergeCell ref="B57:B58"/>
    <mergeCell ref="B59:B60"/>
    <mergeCell ref="B61:B62"/>
    <mergeCell ref="B63:B64"/>
    <mergeCell ref="B65:B66"/>
    <mergeCell ref="B67:B68"/>
    <mergeCell ref="B69:B70"/>
    <mergeCell ref="A169:A185"/>
    <mergeCell ref="B169:B170"/>
    <mergeCell ref="B171:B172"/>
    <mergeCell ref="B173:B174"/>
    <mergeCell ref="B175:B176"/>
    <mergeCell ref="B177:B178"/>
    <mergeCell ref="B179:B180"/>
    <mergeCell ref="B181:B182"/>
    <mergeCell ref="B183:C183"/>
    <mergeCell ref="B184:C184"/>
    <mergeCell ref="B185:C185"/>
    <mergeCell ref="A85:A98"/>
    <mergeCell ref="B85:B86"/>
    <mergeCell ref="B87:B88"/>
    <mergeCell ref="B89:B90"/>
    <mergeCell ref="B91:B92"/>
    <mergeCell ref="A186:A207"/>
    <mergeCell ref="A222:A235"/>
    <mergeCell ref="B222:B223"/>
    <mergeCell ref="B224:B225"/>
    <mergeCell ref="B226:B227"/>
    <mergeCell ref="B228:B229"/>
    <mergeCell ref="B230:B231"/>
    <mergeCell ref="B232:B233"/>
    <mergeCell ref="B234:B235"/>
    <mergeCell ref="A208:A221"/>
    <mergeCell ref="B220:B221"/>
    <mergeCell ref="B208:B209"/>
    <mergeCell ref="B196:B197"/>
    <mergeCell ref="B198:B199"/>
    <mergeCell ref="B200:C200"/>
    <mergeCell ref="B204:C204"/>
    <mergeCell ref="B218:B219"/>
    <mergeCell ref="A236:A249"/>
    <mergeCell ref="B236:B237"/>
    <mergeCell ref="B238:B239"/>
    <mergeCell ref="B240:B241"/>
    <mergeCell ref="B242:B243"/>
    <mergeCell ref="B244:B245"/>
    <mergeCell ref="B246:B247"/>
    <mergeCell ref="A399:A414"/>
    <mergeCell ref="B399:C399"/>
    <mergeCell ref="B401:B402"/>
    <mergeCell ref="B403:B404"/>
    <mergeCell ref="B405:B406"/>
    <mergeCell ref="B407:B408"/>
    <mergeCell ref="B409:B410"/>
    <mergeCell ref="B411:B412"/>
    <mergeCell ref="B413:B414"/>
    <mergeCell ref="B400:C400"/>
    <mergeCell ref="A292:A305"/>
    <mergeCell ref="B292:B293"/>
    <mergeCell ref="B294:B295"/>
    <mergeCell ref="B296:B297"/>
    <mergeCell ref="B298:B299"/>
    <mergeCell ref="B300:B301"/>
    <mergeCell ref="B302:B303"/>
    <mergeCell ref="A250:A263"/>
    <mergeCell ref="B250:B251"/>
    <mergeCell ref="B252:B253"/>
    <mergeCell ref="B254:B255"/>
    <mergeCell ref="B256:B257"/>
    <mergeCell ref="B258:B259"/>
    <mergeCell ref="B260:B261"/>
    <mergeCell ref="B262:B263"/>
    <mergeCell ref="A278:A291"/>
    <mergeCell ref="B278:B279"/>
    <mergeCell ref="B280:B281"/>
    <mergeCell ref="B282:B283"/>
    <mergeCell ref="B284:B285"/>
    <mergeCell ref="B286:B287"/>
    <mergeCell ref="B288:B289"/>
    <mergeCell ref="B367:B368"/>
    <mergeCell ref="B369:B370"/>
    <mergeCell ref="A343:A356"/>
    <mergeCell ref="B343:B344"/>
    <mergeCell ref="B345:B346"/>
    <mergeCell ref="B347:B348"/>
    <mergeCell ref="B349:B350"/>
    <mergeCell ref="B351:B352"/>
    <mergeCell ref="B353:B354"/>
    <mergeCell ref="B355:B356"/>
    <mergeCell ref="A385:A398"/>
    <mergeCell ref="B385:B386"/>
    <mergeCell ref="B387:B388"/>
    <mergeCell ref="B389:B390"/>
    <mergeCell ref="B391:B392"/>
    <mergeCell ref="B393:B394"/>
    <mergeCell ref="B395:B396"/>
    <mergeCell ref="B397:B398"/>
    <mergeCell ref="B37:B39"/>
    <mergeCell ref="B40:B42"/>
    <mergeCell ref="A71:A84"/>
    <mergeCell ref="B71:B72"/>
    <mergeCell ref="B73:B74"/>
    <mergeCell ref="B75:B76"/>
    <mergeCell ref="B77:B78"/>
    <mergeCell ref="B79:B80"/>
    <mergeCell ref="B81:B82"/>
    <mergeCell ref="B83:B84"/>
    <mergeCell ref="A357:A370"/>
    <mergeCell ref="B357:B358"/>
    <mergeCell ref="B359:B360"/>
    <mergeCell ref="B361:B362"/>
    <mergeCell ref="B363:B364"/>
    <mergeCell ref="B365:B366"/>
  </mergeCells>
  <conditionalFormatting sqref="D324:AA324">
    <cfRule type="cellIs" dxfId="133" priority="275" operator="notBetween">
      <formula>-30</formula>
      <formula>30</formula>
    </cfRule>
  </conditionalFormatting>
  <conditionalFormatting sqref="D4:AA4">
    <cfRule type="containsText" dxfId="132" priority="263" operator="containsText" text="Race">
      <formula>NOT(ISERROR(SEARCH("Race",D4)))</formula>
    </cfRule>
    <cfRule type="containsText" dxfId="131" priority="266" operator="containsText" text="Taper">
      <formula>NOT(ISERROR(SEARCH("Taper",D4)))</formula>
    </cfRule>
    <cfRule type="containsText" dxfId="130" priority="267" operator="containsText" text="Speed">
      <formula>NOT(ISERROR(SEARCH("Speed",D4)))</formula>
    </cfRule>
    <cfRule type="containsText" dxfId="129" priority="268" operator="containsText" text="Strength">
      <formula>NOT(ISERROR(SEARCH("Strength",D4)))</formula>
    </cfRule>
    <cfRule type="containsText" dxfId="128" priority="269" operator="containsText" text="Base">
      <formula>NOT(ISERROR(SEARCH("Base",D4)))</formula>
    </cfRule>
    <cfRule type="containsText" dxfId="127" priority="270" operator="containsText" text="Balance">
      <formula>NOT(ISERROR(SEARCH("Balance",D4)))</formula>
    </cfRule>
    <cfRule type="containsText" dxfId="126" priority="271" operator="containsText" text="Progression">
      <formula>NOT(ISERROR(SEARCH("Progression",D4)))</formula>
    </cfRule>
    <cfRule type="containsText" dxfId="125" priority="272" operator="containsText" text="Endurance">
      <formula>NOT(ISERROR(SEARCH("Endurance",D4)))</formula>
    </cfRule>
    <cfRule type="containsText" dxfId="124" priority="273" operator="containsText" text="Maintain">
      <formula>NOT(ISERROR(SEARCH("Maintain",D4)))</formula>
    </cfRule>
    <cfRule type="containsText" dxfId="123" priority="274" operator="containsText" text="Recovery">
      <formula>NOT(ISERROR(SEARCH("Recovery",D4)))</formula>
    </cfRule>
  </conditionalFormatting>
  <conditionalFormatting sqref="D1:AA4">
    <cfRule type="expression" dxfId="122" priority="1">
      <formula>(D$1 &gt;TODAY())</formula>
    </cfRule>
    <cfRule type="expression" dxfId="121" priority="262">
      <formula xml:space="preserve"> (D$1 &gt; (TODAY()-7))</formula>
    </cfRule>
    <cfRule type="containsText" dxfId="120" priority="265" operator="containsText" text="Overload">
      <formula>NOT(ISERROR(SEARCH("Overload",D1)))</formula>
    </cfRule>
  </conditionalFormatting>
  <conditionalFormatting sqref="B401:B414">
    <cfRule type="expression" dxfId="119" priority="2">
      <formula>$B401 = TEXT(TODAY(),"DDDD")</formula>
    </cfRule>
  </conditionalFormatting>
  <conditionalFormatting sqref="D401:AA414">
    <cfRule type="containsText" dxfId="118" priority="357" operator="containsText" text="Race">
      <formula>NOT(ISERROR(SEARCH("Race",D401)))</formula>
    </cfRule>
  </conditionalFormatting>
  <conditionalFormatting sqref="D401:AA414">
    <cfRule type="containsText" dxfId="117" priority="358" operator="containsText" text="Reps">
      <formula>NOT(ISERROR(SEARCH("Reps",D401)))</formula>
    </cfRule>
  </conditionalFormatting>
  <conditionalFormatting sqref="D401:AA414">
    <cfRule type="containsText" dxfId="116" priority="359" operator="containsText" text="Intervals">
      <formula>NOT(ISERROR(SEARCH("Intervals",D401)))</formula>
    </cfRule>
  </conditionalFormatting>
  <conditionalFormatting sqref="D401:AA414">
    <cfRule type="containsText" dxfId="115" priority="360" operator="containsText" text="Long">
      <formula>NOT(ISERROR(SEARCH("Long",D401)))</formula>
    </cfRule>
  </conditionalFormatting>
  <conditionalFormatting sqref="D401:AA414">
    <cfRule type="containsText" dxfId="114" priority="361" operator="containsText" text="Hilly">
      <formula>NOT(ISERROR(SEARCH("Hilly",D401)))</formula>
    </cfRule>
  </conditionalFormatting>
  <conditionalFormatting sqref="D401:AA414">
    <cfRule type="containsText" dxfId="113" priority="362" operator="containsText" text="Fartlek">
      <formula>NOT(ISERROR(SEARCH("Fartlek",D401)))</formula>
    </cfRule>
  </conditionalFormatting>
  <conditionalFormatting sqref="D401:AA414">
    <cfRule type="containsText" dxfId="112" priority="363" operator="containsText" text="Tempo">
      <formula>NOT(ISERROR(SEARCH("Tempo",D401)))</formula>
    </cfRule>
  </conditionalFormatting>
  <conditionalFormatting sqref="D401:AA414">
    <cfRule type="containsText" dxfId="111" priority="364" operator="containsText" text="Subthreshold">
      <formula>NOT(ISERROR(SEARCH("Subthreshold",D401)))</formula>
    </cfRule>
  </conditionalFormatting>
  <conditionalFormatting sqref="D401:AA414">
    <cfRule type="containsText" dxfId="110" priority="365" operator="containsText" text="Steady">
      <formula>NOT(ISERROR(SEARCH("Steady",D401)))</formula>
    </cfRule>
  </conditionalFormatting>
  <conditionalFormatting sqref="D401:AA414">
    <cfRule type="containsText" dxfId="109" priority="366" operator="containsText" text="Drills">
      <formula>NOT(ISERROR(SEARCH("Drills",D401)))</formula>
    </cfRule>
  </conditionalFormatting>
  <conditionalFormatting sqref="D401:AA414">
    <cfRule type="containsText" dxfId="108" priority="367" operator="containsText" text="Strength">
      <formula>NOT(ISERROR(SEARCH("Strength",D401)))</formula>
    </cfRule>
  </conditionalFormatting>
  <conditionalFormatting sqref="D401:AA414">
    <cfRule type="containsText" dxfId="107" priority="368" operator="containsText" text="Maintenance">
      <formula>NOT(ISERROR(SEARCH("Maintenance",D401)))</formula>
    </cfRule>
  </conditionalFormatting>
  <conditionalFormatting sqref="D401:AA414">
    <cfRule type="containsText" dxfId="106" priority="369" operator="containsText" text="Easy">
      <formula>NOT(ISERROR(SEARCH("Easy",D401)))</formula>
    </cfRule>
  </conditionalFormatting>
  <conditionalFormatting sqref="D401:AA414">
    <cfRule type="containsText" dxfId="105" priority="370" operator="containsText" text="Alternative">
      <formula>NOT(ISERROR(SEARCH("Alternative",D401)))</formula>
    </cfRule>
  </conditionalFormatting>
  <conditionalFormatting sqref="D401:AA414">
    <cfRule type="containsText" dxfId="104" priority="371" operator="containsText" text="Recovery">
      <formula>NOT(ISERROR(SEARCH("Recovery",D401)))</formula>
    </cfRule>
  </conditionalFormatting>
  <conditionalFormatting sqref="D401:AA414">
    <cfRule type="containsText" dxfId="103" priority="372" operator="containsText" text="Rest">
      <formula>NOT(ISERROR(SEARCH("Rest",D401)))</formula>
    </cfRule>
  </conditionalFormatting>
  <conditionalFormatting sqref="D342:AA342">
    <cfRule type="cellIs" dxfId="102" priority="279" operator="notBetween">
      <formula>-30</formula>
      <formula>30</formula>
    </cfRule>
  </conditionalFormatting>
  <hyperlinks>
    <hyperlink ref="D43:AA56" location="Plans!A1" display="Plans!A1" xr:uid="{00000000-0004-0000-0B00-000000000000}"/>
    <hyperlink ref="D401" location="'Program Full'!$D$5:$G$30" display="'Program Full'!$D$5:$G$30" xr:uid="{00000000-0004-0000-0B00-000001000000}"/>
    <hyperlink ref="D402" location="'Program Full'!$D$32:$G$57" display="'Program Full'!$D$32:$G$57" xr:uid="{00000000-0004-0000-0B00-000002000000}"/>
    <hyperlink ref="D403" location="'Program Full'!$I$5:$L$30" display="'Program Full'!$I$5:$L$30" xr:uid="{00000000-0004-0000-0B00-000003000000}"/>
    <hyperlink ref="D404" location="'Program Full'!$I$32:$L$57" display="'Program Full'!$I$32:$L$57" xr:uid="{00000000-0004-0000-0B00-000004000000}"/>
    <hyperlink ref="D405" location="'Program Full'!$N$5:$Q$30" display="'Program Full'!$N$5:$Q$30" xr:uid="{00000000-0004-0000-0B00-000005000000}"/>
    <hyperlink ref="D406" location="'Program Full'!$N$32:$Q$57" display="'Program Full'!$N$32:$Q$57" xr:uid="{00000000-0004-0000-0B00-000006000000}"/>
    <hyperlink ref="D407" location="'Program Full'!$S$5:$V$30" display="'Program Full'!$S$5:$V$30" xr:uid="{00000000-0004-0000-0B00-000007000000}"/>
    <hyperlink ref="D408" location="'Program Full'!$S$32:$V$57" display="'Program Full'!$S$32:$V$57" xr:uid="{00000000-0004-0000-0B00-000008000000}"/>
    <hyperlink ref="D409" location="'Program Full'!$X$5:$AA$30" display="'Program Full'!$X$5:$AA$30" xr:uid="{00000000-0004-0000-0B00-000009000000}"/>
    <hyperlink ref="D410" location="'Program Full'!$X$32:$AA$57" display="'Program Full'!$X$32:$AA$57" xr:uid="{00000000-0004-0000-0B00-00000A000000}"/>
    <hyperlink ref="D411" location="'Program Full'!$AC$5:$AF$30" display="'Program Full'!$AC$5:$AF$30" xr:uid="{00000000-0004-0000-0B00-00000B000000}"/>
    <hyperlink ref="D412" location="'Program Full'!$AC$32:$AF$57" display="'Program Full'!$AC$32:$AF$57" xr:uid="{00000000-0004-0000-0B00-00000C000000}"/>
    <hyperlink ref="D413" location="'Program Full'!$AH$5:$AK$30" display="'Program Full'!$AH$5:$AK$30" xr:uid="{00000000-0004-0000-0B00-00000D000000}"/>
    <hyperlink ref="D414" location="'Program Full'!$AH$32:$AK$57" display="'Program Full'!$AH$32:$AK$57" xr:uid="{00000000-0004-0000-0B00-00000E000000}"/>
    <hyperlink ref="E401" location="'Program Full'!$D$61:$G$86" display="'Program Full'!$D$61:$G$86" xr:uid="{00000000-0004-0000-0B00-00000F000000}"/>
    <hyperlink ref="E402" location="'Program Full'!$D$88:$G$113" display="'Program Full'!$D$88:$G$113" xr:uid="{00000000-0004-0000-0B00-000010000000}"/>
    <hyperlink ref="E403" location="'Program Full'!$I$61:$L$86" display="'Program Full'!$I$61:$L$86" xr:uid="{00000000-0004-0000-0B00-000011000000}"/>
    <hyperlink ref="E404" location="'Program Full'!$I$88:$L$113" display="'Program Full'!$I$88:$L$113" xr:uid="{00000000-0004-0000-0B00-000012000000}"/>
    <hyperlink ref="E405" location="'Program Full'!$N$61:$Q$86" display="'Program Full'!$N$61:$Q$86" xr:uid="{00000000-0004-0000-0B00-000013000000}"/>
    <hyperlink ref="E406" location="'Program Full'!$N$88:$Q$113" display="'Program Full'!$N$88:$Q$113" xr:uid="{00000000-0004-0000-0B00-000014000000}"/>
    <hyperlink ref="E407" location="'Program Full'!$S$61:$V$86" display="'Program Full'!$S$61:$V$86" xr:uid="{00000000-0004-0000-0B00-000015000000}"/>
    <hyperlink ref="E408" location="'Program Full'!$S$88:$V$113" display="'Program Full'!$S$88:$V$113" xr:uid="{00000000-0004-0000-0B00-000016000000}"/>
    <hyperlink ref="E409" location="'Program Full'!$X$61:$AA$86" display="'Program Full'!$X$61:$AA$86" xr:uid="{00000000-0004-0000-0B00-000017000000}"/>
    <hyperlink ref="E410" location="'Program Full'!$X$88:$AA$113" display="'Program Full'!$X$88:$AA$113" xr:uid="{00000000-0004-0000-0B00-000018000000}"/>
    <hyperlink ref="E411" location="'Program Full'!$AC$61:$AF$86" display="'Program Full'!$AC$61:$AF$86" xr:uid="{00000000-0004-0000-0B00-000019000000}"/>
    <hyperlink ref="E412" location="'Program Full'!$AC$88:$AF$113" display="'Program Full'!$AC$88:$AF$113" xr:uid="{00000000-0004-0000-0B00-00001A000000}"/>
    <hyperlink ref="E413" location="'Program Full'!$AH$61:$AK$86" display="'Program Full'!$AH$61:$AK$86" xr:uid="{00000000-0004-0000-0B00-00001B000000}"/>
    <hyperlink ref="E414" location="'Program Full'!$AH$88:$AK$113" display="'Program Full'!$AH$88:$AK$113" xr:uid="{00000000-0004-0000-0B00-00001C000000}"/>
    <hyperlink ref="F401" location="'Program Full'!$D$117:$G$142" display="'Program Full'!$D$117:$G$142" xr:uid="{00000000-0004-0000-0B00-00001D000000}"/>
    <hyperlink ref="F402" location="'Program Full'!$D$144:$G$169" display="'Program Full'!$D$144:$G$169" xr:uid="{00000000-0004-0000-0B00-00001E000000}"/>
    <hyperlink ref="F403" location="'Program Full'!$I$117:$L$142" display="'Program Full'!$I$117:$L$142" xr:uid="{00000000-0004-0000-0B00-00001F000000}"/>
    <hyperlink ref="F404" location="'Program Full'!$I$144:$L$169" display="'Program Full'!$I$144:$L$169" xr:uid="{00000000-0004-0000-0B00-000020000000}"/>
    <hyperlink ref="F405" location="'Program Full'!$N$117:$Q$142" display="'Program Full'!$N$117:$Q$142" xr:uid="{00000000-0004-0000-0B00-000021000000}"/>
    <hyperlink ref="F406" location="'Program Full'!$N$144:$Q$169" display="'Program Full'!$N$144:$Q$169" xr:uid="{00000000-0004-0000-0B00-000022000000}"/>
    <hyperlink ref="F407" location="'Program Full'!$S$117:$V$142" display="'Program Full'!$S$117:$V$142" xr:uid="{00000000-0004-0000-0B00-000023000000}"/>
    <hyperlink ref="F408" location="'Program Full'!$S$144:$V$169" display="'Program Full'!$S$144:$V$169" xr:uid="{00000000-0004-0000-0B00-000024000000}"/>
    <hyperlink ref="F409" location="'Program Full'!$X$117:$AA$142" display="'Program Full'!$X$117:$AA$142" xr:uid="{00000000-0004-0000-0B00-000025000000}"/>
    <hyperlink ref="F410" location="'Program Full'!$X$144:$AA$169" display="'Program Full'!$X$144:$AA$169" xr:uid="{00000000-0004-0000-0B00-000026000000}"/>
    <hyperlink ref="F411" location="'Program Full'!$AC$117:$AF$142" display="'Program Full'!$AC$117:$AF$142" xr:uid="{00000000-0004-0000-0B00-000027000000}"/>
    <hyperlink ref="F412" location="'Program Full'!$AC$144:$AF$169" display="'Program Full'!$AC$144:$AF$169" xr:uid="{00000000-0004-0000-0B00-000028000000}"/>
    <hyperlink ref="F413" location="'Program Full'!$AH$117:$AK$142" display="'Program Full'!$AH$117:$AK$142" xr:uid="{00000000-0004-0000-0B00-000029000000}"/>
    <hyperlink ref="F414" location="'Program Full'!$AH$144:$AK$169" display="'Program Full'!$AH$144:$AK$169" xr:uid="{00000000-0004-0000-0B00-00002A000000}"/>
    <hyperlink ref="G401" location="'Program Full'!$D$173:$G$198" display="'Program Full'!$D$173:$G$198" xr:uid="{00000000-0004-0000-0B00-00002B000000}"/>
    <hyperlink ref="G402" location="'Program Full'!$D$200:$G$225" display="'Program Full'!$D$200:$G$225" xr:uid="{00000000-0004-0000-0B00-00002C000000}"/>
    <hyperlink ref="G403" location="'Program Full'!$I$173:$L$198" display="'Program Full'!$I$173:$L$198" xr:uid="{00000000-0004-0000-0B00-00002D000000}"/>
    <hyperlink ref="G404" location="'Program Full'!$I$200:$L$225" display="'Program Full'!$I$200:$L$225" xr:uid="{00000000-0004-0000-0B00-00002E000000}"/>
    <hyperlink ref="G405" location="'Program Full'!$N$173:$Q$198" display="'Program Full'!$N$173:$Q$198" xr:uid="{00000000-0004-0000-0B00-00002F000000}"/>
    <hyperlink ref="G406" location="'Program Full'!$N$200:$Q$225" display="'Program Full'!$N$200:$Q$225" xr:uid="{00000000-0004-0000-0B00-000030000000}"/>
    <hyperlink ref="G407" location="'Program Full'!$S$173:$V$198" display="'Program Full'!$S$173:$V$198" xr:uid="{00000000-0004-0000-0B00-000031000000}"/>
    <hyperlink ref="G408" location="'Program Full'!$S$200:$V$225" display="'Program Full'!$S$200:$V$225" xr:uid="{00000000-0004-0000-0B00-000032000000}"/>
    <hyperlink ref="G409" location="'Program Full'!$X$173:$AA$198" display="'Program Full'!$X$173:$AA$198" xr:uid="{00000000-0004-0000-0B00-000033000000}"/>
    <hyperlink ref="G410" location="'Program Full'!$X$200:$AA$225" display="'Program Full'!$X$200:$AA$225" xr:uid="{00000000-0004-0000-0B00-000034000000}"/>
    <hyperlink ref="G411" location="'Program Full'!$AC$173:$AF$198" display="'Program Full'!$AC$173:$AF$198" xr:uid="{00000000-0004-0000-0B00-000035000000}"/>
    <hyperlink ref="G412" location="'Program Full'!$AC$200:$AF$225" display="'Program Full'!$AC$200:$AF$225" xr:uid="{00000000-0004-0000-0B00-000036000000}"/>
    <hyperlink ref="G413" location="'Program Full'!$AH$173:$AK$198" display="'Program Full'!$AH$173:$AK$198" xr:uid="{00000000-0004-0000-0B00-000037000000}"/>
    <hyperlink ref="G414" location="'Program Full'!$AH$200:$AK$225" display="'Program Full'!$AH$200:$AK$225" xr:uid="{00000000-0004-0000-0B00-000038000000}"/>
    <hyperlink ref="H401" location="'Program Full'!$D$229:$G$254" display="'Program Full'!$D$229:$G$254" xr:uid="{00000000-0004-0000-0B00-000039000000}"/>
    <hyperlink ref="H402" location="'Program Full'!$D$256:$G$281" display="'Program Full'!$D$256:$G$281" xr:uid="{00000000-0004-0000-0B00-00003A000000}"/>
    <hyperlink ref="H403" location="'Program Full'!$I$229:$L$254" display="'Program Full'!$I$229:$L$254" xr:uid="{00000000-0004-0000-0B00-00003B000000}"/>
    <hyperlink ref="H404" location="'Program Full'!$I$256:$L$281" display="'Program Full'!$I$256:$L$281" xr:uid="{00000000-0004-0000-0B00-00003C000000}"/>
    <hyperlink ref="H405" location="'Program Full'!$N$229:$Q$254" display="'Program Full'!$N$229:$Q$254" xr:uid="{00000000-0004-0000-0B00-00003D000000}"/>
    <hyperlink ref="H406" location="'Program Full'!$N$256:$Q$281" display="'Program Full'!$N$256:$Q$281" xr:uid="{00000000-0004-0000-0B00-00003E000000}"/>
    <hyperlink ref="H407" location="'Program Full'!$S$229:$V$254" display="'Program Full'!$S$229:$V$254" xr:uid="{00000000-0004-0000-0B00-00003F000000}"/>
    <hyperlink ref="H408" location="'Program Full'!$S$256:$V$281" display="'Program Full'!$S$256:$V$281" xr:uid="{00000000-0004-0000-0B00-000040000000}"/>
    <hyperlink ref="H409" location="'Program Full'!$X$229:$AA$254" display="'Program Full'!$X$229:$AA$254" xr:uid="{00000000-0004-0000-0B00-000041000000}"/>
    <hyperlink ref="H410" location="'Program Full'!$X$256:$AA$281" display="'Program Full'!$X$256:$AA$281" xr:uid="{00000000-0004-0000-0B00-000042000000}"/>
    <hyperlink ref="H411" location="'Program Full'!$AC$229:$AF$254" display="'Program Full'!$AC$229:$AF$254" xr:uid="{00000000-0004-0000-0B00-000043000000}"/>
    <hyperlink ref="H412" location="'Program Full'!$AC$256:$AF$281" display="'Program Full'!$AC$256:$AF$281" xr:uid="{00000000-0004-0000-0B00-000044000000}"/>
    <hyperlink ref="H413" location="'Program Full'!$AH$229:$AK$254" display="'Program Full'!$AH$229:$AK$254" xr:uid="{00000000-0004-0000-0B00-000045000000}"/>
    <hyperlink ref="H414" location="'Program Full'!$AH$256:$AK$281" display="'Program Full'!$AH$256:$AK$281" xr:uid="{00000000-0004-0000-0B00-000046000000}"/>
    <hyperlink ref="I401" location="'Program Full'!$D$285:$G$310" display="'Program Full'!$D$285:$G$310" xr:uid="{00000000-0004-0000-0B00-000047000000}"/>
    <hyperlink ref="I402" location="'Program Full'!$D$312:$G$337" display="'Program Full'!$D$312:$G$337" xr:uid="{00000000-0004-0000-0B00-000048000000}"/>
    <hyperlink ref="I403" location="'Program Full'!$I$285:$L$310" display="'Program Full'!$I$285:$L$310" xr:uid="{00000000-0004-0000-0B00-000049000000}"/>
    <hyperlink ref="I404" location="'Program Full'!$I$312:$L$337" display="'Program Full'!$I$312:$L$337" xr:uid="{00000000-0004-0000-0B00-00004A000000}"/>
    <hyperlink ref="I405" location="'Program Full'!$N$285:$Q$310" display="'Program Full'!$N$285:$Q$310" xr:uid="{00000000-0004-0000-0B00-00004B000000}"/>
    <hyperlink ref="I406" location="'Program Full'!$N$312:$Q$337" display="'Program Full'!$N$312:$Q$337" xr:uid="{00000000-0004-0000-0B00-00004C000000}"/>
    <hyperlink ref="I407" location="'Program Full'!$S$285:$V$310" display="'Program Full'!$S$285:$V$310" xr:uid="{00000000-0004-0000-0B00-00004D000000}"/>
    <hyperlink ref="I408" location="'Program Full'!$S$312:$V$337" display="'Program Full'!$S$312:$V$337" xr:uid="{00000000-0004-0000-0B00-00004E000000}"/>
    <hyperlink ref="I409" location="'Program Full'!$X$285:$AA$310" display="'Program Full'!$X$285:$AA$310" xr:uid="{00000000-0004-0000-0B00-00004F000000}"/>
    <hyperlink ref="I410" location="'Program Full'!$X$312:$AA$337" display="'Program Full'!$X$312:$AA$337" xr:uid="{00000000-0004-0000-0B00-000050000000}"/>
    <hyperlink ref="I411" location="'Program Full'!$AC$285:$AF$310" display="'Program Full'!$AC$285:$AF$310" xr:uid="{00000000-0004-0000-0B00-000051000000}"/>
    <hyperlink ref="I412" location="'Program Full'!$AC$312:$AF$337" display="'Program Full'!$AC$312:$AF$337" xr:uid="{00000000-0004-0000-0B00-000052000000}"/>
    <hyperlink ref="I413" location="'Program Full'!$AH$285:$AK$310" display="'Program Full'!$AH$285:$AK$310" xr:uid="{00000000-0004-0000-0B00-000053000000}"/>
    <hyperlink ref="I414" location="'Program Full'!$AH$312:$AK$337" display="'Program Full'!$AH$312:$AK$337" xr:uid="{00000000-0004-0000-0B00-000054000000}"/>
    <hyperlink ref="J401" location="'Program Full'!$D$341:$G$366" display="'Program Full'!$D$341:$G$366" xr:uid="{00000000-0004-0000-0B00-000055000000}"/>
    <hyperlink ref="J402" location="'Program Full'!$D$368:$G$393" display="'Program Full'!$D$368:$G$393" xr:uid="{00000000-0004-0000-0B00-000056000000}"/>
    <hyperlink ref="J403" location="'Program Full'!$I$341:$L$366" display="'Program Full'!$I$341:$L$366" xr:uid="{00000000-0004-0000-0B00-000057000000}"/>
    <hyperlink ref="J404" location="'Program Full'!$I$368:$L$393" display="'Program Full'!$I$368:$L$393" xr:uid="{00000000-0004-0000-0B00-000058000000}"/>
    <hyperlink ref="J405" location="'Program Full'!$N$341:$Q$366" display="'Program Full'!$N$341:$Q$366" xr:uid="{00000000-0004-0000-0B00-000059000000}"/>
    <hyperlink ref="J406" location="'Program Full'!$N$368:$Q$393" display="'Program Full'!$N$368:$Q$393" xr:uid="{00000000-0004-0000-0B00-00005A000000}"/>
    <hyperlink ref="J407" location="'Program Full'!$S$341:$V$366" display="'Program Full'!$S$341:$V$366" xr:uid="{00000000-0004-0000-0B00-00005B000000}"/>
    <hyperlink ref="J408" location="'Program Full'!$S$368:$V$393" display="'Program Full'!$S$368:$V$393" xr:uid="{00000000-0004-0000-0B00-00005C000000}"/>
    <hyperlink ref="J409" location="'Program Full'!$X$341:$AA$366" display="'Program Full'!$X$341:$AA$366" xr:uid="{00000000-0004-0000-0B00-00005D000000}"/>
    <hyperlink ref="J410" location="'Program Full'!$X$368:$AA$393" display="'Program Full'!$X$368:$AA$393" xr:uid="{00000000-0004-0000-0B00-00005E000000}"/>
    <hyperlink ref="J411" location="'Program Full'!$AC$341:$AF$366" display="'Program Full'!$AC$341:$AF$366" xr:uid="{00000000-0004-0000-0B00-00005F000000}"/>
    <hyperlink ref="J412" location="'Program Full'!$AC$368:$AF$393" display="'Program Full'!$AC$368:$AF$393" xr:uid="{00000000-0004-0000-0B00-000060000000}"/>
    <hyperlink ref="J413" location="'Program Full'!$AH$341:$AK$366" display="'Program Full'!$AH$341:$AK$366" xr:uid="{00000000-0004-0000-0B00-000061000000}"/>
    <hyperlink ref="J414" location="'Program Full'!$AH$368:$AK$393" display="'Program Full'!$AH$368:$AK$393" xr:uid="{00000000-0004-0000-0B00-000062000000}"/>
    <hyperlink ref="K401" location="'Program Full'!$D$397:$G$422" display="'Program Full'!$D$397:$G$422" xr:uid="{00000000-0004-0000-0B00-000063000000}"/>
    <hyperlink ref="K402" location="'Program Full'!$D$424:$G$449" display="'Program Full'!$D$424:$G$449" xr:uid="{00000000-0004-0000-0B00-000064000000}"/>
    <hyperlink ref="K403" location="'Program Full'!$I$397:$L$422" display="'Program Full'!$I$397:$L$422" xr:uid="{00000000-0004-0000-0B00-000065000000}"/>
    <hyperlink ref="K404" location="'Program Full'!$I$424:$L$449" display="'Program Full'!$I$424:$L$449" xr:uid="{00000000-0004-0000-0B00-000066000000}"/>
    <hyperlink ref="K405" location="'Program Full'!$N$397:$Q$422" display="'Program Full'!$N$397:$Q$422" xr:uid="{00000000-0004-0000-0B00-000067000000}"/>
    <hyperlink ref="K406" location="'Program Full'!$N$424:$Q$449" display="'Program Full'!$N$424:$Q$449" xr:uid="{00000000-0004-0000-0B00-000068000000}"/>
    <hyperlink ref="K407" location="'Program Full'!$S$397:$V$422" display="'Program Full'!$S$397:$V$422" xr:uid="{00000000-0004-0000-0B00-000069000000}"/>
    <hyperlink ref="K408" location="'Program Full'!$S$424:$V$449" display="'Program Full'!$S$424:$V$449" xr:uid="{00000000-0004-0000-0B00-00006A000000}"/>
    <hyperlink ref="K409" location="'Program Full'!$X$397:$AA$422" display="'Program Full'!$X$397:$AA$422" xr:uid="{00000000-0004-0000-0B00-00006B000000}"/>
    <hyperlink ref="K410" location="'Program Full'!$X$424:$AA$449" display="'Program Full'!$X$424:$AA$449" xr:uid="{00000000-0004-0000-0B00-00006C000000}"/>
    <hyperlink ref="K411" location="'Program Full'!$AC$397:$AF$422" display="'Program Full'!$AC$397:$AF$422" xr:uid="{00000000-0004-0000-0B00-00006D000000}"/>
    <hyperlink ref="K412" location="'Program Full'!$AC$424:$AF$449" display="'Program Full'!$AC$424:$AF$449" xr:uid="{00000000-0004-0000-0B00-00006E000000}"/>
    <hyperlink ref="K413" location="'Program Full'!$AH$397:$AK$422" display="'Program Full'!$AH$397:$AK$422" xr:uid="{00000000-0004-0000-0B00-00006F000000}"/>
    <hyperlink ref="K414" location="'Program Full'!$AH$424:$AK$449" display="'Program Full'!$AH$424:$AK$449" xr:uid="{00000000-0004-0000-0B00-000070000000}"/>
    <hyperlink ref="L401" location="'Program Full'!$D$453:$G$478" display="'Program Full'!$D$453:$G$478" xr:uid="{00000000-0004-0000-0B00-000071000000}"/>
    <hyperlink ref="L402" location="'Program Full'!$D$480:$G$505" display="'Program Full'!$D$480:$G$505" xr:uid="{00000000-0004-0000-0B00-000072000000}"/>
    <hyperlink ref="L403" location="'Program Full'!$I$453:$L$478" display="'Program Full'!$I$453:$L$478" xr:uid="{00000000-0004-0000-0B00-000073000000}"/>
    <hyperlink ref="L404" location="'Program Full'!$I$480:$L$505" display="'Program Full'!$I$480:$L$505" xr:uid="{00000000-0004-0000-0B00-000074000000}"/>
    <hyperlink ref="L405" location="'Program Full'!$N$453:$Q$478" display="'Program Full'!$N$453:$Q$478" xr:uid="{00000000-0004-0000-0B00-000075000000}"/>
    <hyperlink ref="L406" location="'Program Full'!$N$480:$Q$505" display="'Program Full'!$N$480:$Q$505" xr:uid="{00000000-0004-0000-0B00-000076000000}"/>
    <hyperlink ref="L407" location="'Program Full'!$S$453:$V$478" display="'Program Full'!$S$453:$V$478" xr:uid="{00000000-0004-0000-0B00-000077000000}"/>
    <hyperlink ref="L408" location="'Program Full'!$S$480:$V$505" display="'Program Full'!$S$480:$V$505" xr:uid="{00000000-0004-0000-0B00-000078000000}"/>
    <hyperlink ref="L409" location="'Program Full'!$X$453:$AA$478" display="'Program Full'!$X$453:$AA$478" xr:uid="{00000000-0004-0000-0B00-000079000000}"/>
    <hyperlink ref="L410" location="'Program Full'!$X$480:$AA$505" display="'Program Full'!$X$480:$AA$505" xr:uid="{00000000-0004-0000-0B00-00007A000000}"/>
    <hyperlink ref="L411" location="'Program Full'!$AC$453:$AF$478" display="'Program Full'!$AC$453:$AF$478" xr:uid="{00000000-0004-0000-0B00-00007B000000}"/>
    <hyperlink ref="L412" location="'Program Full'!$AC$480:$AF$505" display="'Program Full'!$AC$480:$AF$505" xr:uid="{00000000-0004-0000-0B00-00007C000000}"/>
    <hyperlink ref="L413" location="'Program Full'!$AH$453:$AK$478" display="'Program Full'!$AH$453:$AK$478" xr:uid="{00000000-0004-0000-0B00-00007D000000}"/>
    <hyperlink ref="L414" location="'Program Full'!$AH$480:$AK$505" display="'Program Full'!$AH$480:$AK$505" xr:uid="{00000000-0004-0000-0B00-00007E000000}"/>
    <hyperlink ref="M401" location="'Program Full'!$D$509:$G$534" display="'Program Full'!$D$509:$G$534" xr:uid="{00000000-0004-0000-0B00-00007F000000}"/>
    <hyperlink ref="M402" location="'Program Full'!$D$536:$G$561" display="'Program Full'!$D$536:$G$561" xr:uid="{00000000-0004-0000-0B00-000080000000}"/>
    <hyperlink ref="M403" location="'Program Full'!$I$509:$L$534" display="'Program Full'!$I$509:$L$534" xr:uid="{00000000-0004-0000-0B00-000081000000}"/>
    <hyperlink ref="M404" location="'Program Full'!$I$536:$L$561" display="'Program Full'!$I$536:$L$561" xr:uid="{00000000-0004-0000-0B00-000082000000}"/>
    <hyperlink ref="M405" location="'Program Full'!$N$509:$Q$534" display="'Program Full'!$N$509:$Q$534" xr:uid="{00000000-0004-0000-0B00-000083000000}"/>
    <hyperlink ref="M406" location="'Program Full'!$N$536:$Q$561" display="'Program Full'!$N$536:$Q$561" xr:uid="{00000000-0004-0000-0B00-000084000000}"/>
    <hyperlink ref="M407" location="'Program Full'!$S$509:$V$534" display="'Program Full'!$S$509:$V$534" xr:uid="{00000000-0004-0000-0B00-000085000000}"/>
    <hyperlink ref="M408" location="'Program Full'!$S$536:$V$561" display="'Program Full'!$S$536:$V$561" xr:uid="{00000000-0004-0000-0B00-000086000000}"/>
    <hyperlink ref="M409" location="'Program Full'!$X$509:$AA$534" display="'Program Full'!$X$509:$AA$534" xr:uid="{00000000-0004-0000-0B00-000087000000}"/>
    <hyperlink ref="M410" location="'Program Full'!$X$536:$AA$561" display="'Program Full'!$X$536:$AA$561" xr:uid="{00000000-0004-0000-0B00-000088000000}"/>
    <hyperlink ref="M411" location="'Program Full'!$AC$509:$AF$534" display="'Program Full'!$AC$509:$AF$534" xr:uid="{00000000-0004-0000-0B00-000089000000}"/>
    <hyperlink ref="M412" location="'Program Full'!$AC$536:$AF$561" display="'Program Full'!$AC$536:$AF$561" xr:uid="{00000000-0004-0000-0B00-00008A000000}"/>
    <hyperlink ref="M413" location="'Program Full'!$AH$509:$AK$534" display="'Program Full'!$AH$509:$AK$534" xr:uid="{00000000-0004-0000-0B00-00008B000000}"/>
    <hyperlink ref="M414" location="'Program Full'!$AH$536:$AK$561" display="'Program Full'!$AH$536:$AK$561" xr:uid="{00000000-0004-0000-0B00-00008C000000}"/>
    <hyperlink ref="N401" location="'Program Full'!$D$565:$G$590" display="'Program Full'!$D$565:$G$590" xr:uid="{00000000-0004-0000-0B00-00008D000000}"/>
    <hyperlink ref="N402" location="'Program Full'!$D$592:$G$617" display="'Program Full'!$D$592:$G$617" xr:uid="{00000000-0004-0000-0B00-00008E000000}"/>
    <hyperlink ref="N403" location="'Program Full'!$I$565:$L$590" display="'Program Full'!$I$565:$L$590" xr:uid="{00000000-0004-0000-0B00-00008F000000}"/>
    <hyperlink ref="N404" location="'Program Full'!$I$592:$L$617" display="'Program Full'!$I$592:$L$617" xr:uid="{00000000-0004-0000-0B00-000090000000}"/>
    <hyperlink ref="N405" location="'Program Full'!$N$565:$Q$590" display="'Program Full'!$N$565:$Q$590" xr:uid="{00000000-0004-0000-0B00-000091000000}"/>
    <hyperlink ref="N406" location="'Program Full'!$N$592:$Q$617" display="'Program Full'!$N$592:$Q$617" xr:uid="{00000000-0004-0000-0B00-000092000000}"/>
    <hyperlink ref="N407" location="'Program Full'!$S$565:$V$590" display="'Program Full'!$S$565:$V$590" xr:uid="{00000000-0004-0000-0B00-000093000000}"/>
    <hyperlink ref="N408" location="'Program Full'!$S$592:$V$617" display="'Program Full'!$S$592:$V$617" xr:uid="{00000000-0004-0000-0B00-000094000000}"/>
    <hyperlink ref="N409" location="'Program Full'!$X$565:$AA$590" display="'Program Full'!$X$565:$AA$590" xr:uid="{00000000-0004-0000-0B00-000095000000}"/>
    <hyperlink ref="N410" location="'Program Full'!$X$592:$AA$617" display="'Program Full'!$X$592:$AA$617" xr:uid="{00000000-0004-0000-0B00-000096000000}"/>
    <hyperlink ref="N411" location="'Program Full'!$AC$565:$AF$590" display="'Program Full'!$AC$565:$AF$590" xr:uid="{00000000-0004-0000-0B00-000097000000}"/>
    <hyperlink ref="N412" location="'Program Full'!$AC$592:$AF$617" display="'Program Full'!$AC$592:$AF$617" xr:uid="{00000000-0004-0000-0B00-000098000000}"/>
    <hyperlink ref="N413" location="'Program Full'!$AH$565:$AK$590" display="'Program Full'!$AH$565:$AK$590" xr:uid="{00000000-0004-0000-0B00-000099000000}"/>
    <hyperlink ref="N414" location="'Program Full'!$AH$592:$AK$617" display="'Program Full'!$AH$592:$AK$617" xr:uid="{00000000-0004-0000-0B00-00009A000000}"/>
    <hyperlink ref="O401" location="'Program Full'!$D$621:$G$646" display="'Program Full'!$D$621:$G$646" xr:uid="{00000000-0004-0000-0B00-00009B000000}"/>
    <hyperlink ref="O402" location="'Program Full'!$D$648:$G$673" display="'Program Full'!$D$648:$G$673" xr:uid="{00000000-0004-0000-0B00-00009C000000}"/>
    <hyperlink ref="O403" location="'Program Full'!$I$621:$L$646" display="'Program Full'!$I$621:$L$646" xr:uid="{00000000-0004-0000-0B00-00009D000000}"/>
    <hyperlink ref="O404" location="'Program Full'!$I$648:$L$673" display="'Program Full'!$I$648:$L$673" xr:uid="{00000000-0004-0000-0B00-00009E000000}"/>
    <hyperlink ref="O405" location="'Program Full'!$N$621:$Q$646" display="'Program Full'!$N$621:$Q$646" xr:uid="{00000000-0004-0000-0B00-00009F000000}"/>
    <hyperlink ref="O406" location="'Program Full'!$N$648:$Q$673" display="'Program Full'!$N$648:$Q$673" xr:uid="{00000000-0004-0000-0B00-0000A0000000}"/>
    <hyperlink ref="O407" location="'Program Full'!$S$621:$V$646" display="'Program Full'!$S$621:$V$646" xr:uid="{00000000-0004-0000-0B00-0000A1000000}"/>
    <hyperlink ref="O408" location="'Program Full'!$S$648:$V$673" display="'Program Full'!$S$648:$V$673" xr:uid="{00000000-0004-0000-0B00-0000A2000000}"/>
    <hyperlink ref="O409" location="'Program Full'!$X$621:$AA$646" display="'Program Full'!$X$621:$AA$646" xr:uid="{00000000-0004-0000-0B00-0000A3000000}"/>
    <hyperlink ref="O410" location="'Program Full'!$X$648:$AA$673" display="'Program Full'!$X$648:$AA$673" xr:uid="{00000000-0004-0000-0B00-0000A4000000}"/>
    <hyperlink ref="O411" location="'Program Full'!$AC$621:$AF$646" display="'Program Full'!$AC$621:$AF$646" xr:uid="{00000000-0004-0000-0B00-0000A5000000}"/>
    <hyperlink ref="O412" location="'Program Full'!$AC$648:$AF$673" display="'Program Full'!$AC$648:$AF$673" xr:uid="{00000000-0004-0000-0B00-0000A6000000}"/>
    <hyperlink ref="O413" location="'Program Full'!$AH$621:$AK$646" display="'Program Full'!$AH$621:$AK$646" xr:uid="{00000000-0004-0000-0B00-0000A7000000}"/>
    <hyperlink ref="O414" location="'Program Full'!$AH$648:$AK$673" display="'Program Full'!$AH$648:$AK$673" xr:uid="{00000000-0004-0000-0B00-0000A8000000}"/>
    <hyperlink ref="P401" location="'Program Full'!$D$677:$G$702" display="'Program Full'!$D$677:$G$702" xr:uid="{00000000-0004-0000-0B00-0000A9000000}"/>
    <hyperlink ref="P402" location="'Program Full'!$D$704:$G$729" display="'Program Full'!$D$704:$G$729" xr:uid="{00000000-0004-0000-0B00-0000AA000000}"/>
    <hyperlink ref="P403" location="'Program Full'!$I$677:$L$702" display="'Program Full'!$I$677:$L$702" xr:uid="{00000000-0004-0000-0B00-0000AB000000}"/>
    <hyperlink ref="P404" location="'Program Full'!$I$704:$L$729" display="'Program Full'!$I$704:$L$729" xr:uid="{00000000-0004-0000-0B00-0000AC000000}"/>
    <hyperlink ref="P405" location="'Program Full'!$N$677:$Q$702" display="'Program Full'!$N$677:$Q$702" xr:uid="{00000000-0004-0000-0B00-0000AD000000}"/>
    <hyperlink ref="P406" location="'Program Full'!$N$704:$Q$729" display="'Program Full'!$N$704:$Q$729" xr:uid="{00000000-0004-0000-0B00-0000AE000000}"/>
    <hyperlink ref="P407" location="'Program Full'!$S$677:$V$702" display="'Program Full'!$S$677:$V$702" xr:uid="{00000000-0004-0000-0B00-0000AF000000}"/>
    <hyperlink ref="P408" location="'Program Full'!$S$704:$V$729" display="'Program Full'!$S$704:$V$729" xr:uid="{00000000-0004-0000-0B00-0000B0000000}"/>
    <hyperlink ref="P409" location="'Program Full'!$X$677:$AA$702" display="'Program Full'!$X$677:$AA$702" xr:uid="{00000000-0004-0000-0B00-0000B1000000}"/>
    <hyperlink ref="P410" location="'Program Full'!$X$704:$AA$729" display="'Program Full'!$X$704:$AA$729" xr:uid="{00000000-0004-0000-0B00-0000B2000000}"/>
    <hyperlink ref="P411" location="'Program Full'!$AC$677:$AF$702" display="'Program Full'!$AC$677:$AF$702" xr:uid="{00000000-0004-0000-0B00-0000B3000000}"/>
    <hyperlink ref="P412" location="'Program Full'!$AC$704:$AF$729" display="'Program Full'!$AC$704:$AF$729" xr:uid="{00000000-0004-0000-0B00-0000B4000000}"/>
    <hyperlink ref="P413" location="'Program Full'!$AH$677:$AK$702" display="'Program Full'!$AH$677:$AK$702" xr:uid="{00000000-0004-0000-0B00-0000B5000000}"/>
    <hyperlink ref="P414" location="'Program Full'!$AH$704:$AK$729" display="'Program Full'!$AH$704:$AK$729" xr:uid="{00000000-0004-0000-0B00-0000B6000000}"/>
    <hyperlink ref="Q401" location="'Program Full'!$D$733:$G$758" display="'Program Full'!$D$733:$G$758" xr:uid="{00000000-0004-0000-0B00-0000B7000000}"/>
    <hyperlink ref="Q402" location="'Program Full'!$D$760:$G$785" display="'Program Full'!$D$760:$G$785" xr:uid="{00000000-0004-0000-0B00-0000B8000000}"/>
    <hyperlink ref="Q403" location="'Program Full'!$I$733:$L$758" display="'Program Full'!$I$733:$L$758" xr:uid="{00000000-0004-0000-0B00-0000B9000000}"/>
    <hyperlink ref="Q404" location="'Program Full'!$I$760:$L$785" display="'Program Full'!$I$760:$L$785" xr:uid="{00000000-0004-0000-0B00-0000BA000000}"/>
    <hyperlink ref="Q405" location="'Program Full'!$N$733:$Q$758" display="'Program Full'!$N$733:$Q$758" xr:uid="{00000000-0004-0000-0B00-0000BB000000}"/>
    <hyperlink ref="Q406" location="'Program Full'!$N$760:$Q$785" display="'Program Full'!$N$760:$Q$785" xr:uid="{00000000-0004-0000-0B00-0000BC000000}"/>
    <hyperlink ref="Q407" location="'Program Full'!$S$733:$V$758" display="'Program Full'!$S$733:$V$758" xr:uid="{00000000-0004-0000-0B00-0000BD000000}"/>
    <hyperlink ref="Q408" location="'Program Full'!$S$760:$V$785" display="'Program Full'!$S$760:$V$785" xr:uid="{00000000-0004-0000-0B00-0000BE000000}"/>
    <hyperlink ref="Q409" location="'Program Full'!$X$733:$AA$758" display="'Program Full'!$X$733:$AA$758" xr:uid="{00000000-0004-0000-0B00-0000BF000000}"/>
    <hyperlink ref="Q410" location="'Program Full'!$X$760:$AA$785" display="'Program Full'!$X$760:$AA$785" xr:uid="{00000000-0004-0000-0B00-0000C0000000}"/>
    <hyperlink ref="Q411" location="'Program Full'!$AC$733:$AF$758" display="'Program Full'!$AC$733:$AF$758" xr:uid="{00000000-0004-0000-0B00-0000C1000000}"/>
    <hyperlink ref="Q412" location="'Program Full'!$AC$760:$AF$785" display="'Program Full'!$AC$760:$AF$785" xr:uid="{00000000-0004-0000-0B00-0000C2000000}"/>
    <hyperlink ref="Q413" location="'Program Full'!$AH$733:$AK$758" display="'Program Full'!$AH$733:$AK$758" xr:uid="{00000000-0004-0000-0B00-0000C3000000}"/>
    <hyperlink ref="Q414" location="'Program Full'!$AH$760:$AK$785" display="'Program Full'!$AH$760:$AK$785" xr:uid="{00000000-0004-0000-0B00-0000C4000000}"/>
    <hyperlink ref="R401" location="'Program Full'!$D$789:$G$814" display="'Program Full'!$D$789:$G$814" xr:uid="{00000000-0004-0000-0B00-0000C5000000}"/>
    <hyperlink ref="R402" location="'Program Full'!$D$816:$G$841" display="'Program Full'!$D$816:$G$841" xr:uid="{00000000-0004-0000-0B00-0000C6000000}"/>
    <hyperlink ref="R403" location="'Program Full'!$I$789:$L$814" display="'Program Full'!$I$789:$L$814" xr:uid="{00000000-0004-0000-0B00-0000C7000000}"/>
    <hyperlink ref="R404" location="'Program Full'!$I$816:$L$841" display="'Program Full'!$I$816:$L$841" xr:uid="{00000000-0004-0000-0B00-0000C8000000}"/>
    <hyperlink ref="R405" location="'Program Full'!$N$789:$Q$814" display="'Program Full'!$N$789:$Q$814" xr:uid="{00000000-0004-0000-0B00-0000C9000000}"/>
    <hyperlink ref="R406" location="'Program Full'!$N$816:$Q$841" display="'Program Full'!$N$816:$Q$841" xr:uid="{00000000-0004-0000-0B00-0000CA000000}"/>
    <hyperlink ref="R407" location="'Program Full'!$S$789:$V$814" display="'Program Full'!$S$789:$V$814" xr:uid="{00000000-0004-0000-0B00-0000CB000000}"/>
    <hyperlink ref="R408" location="'Program Full'!$S$816:$V$841" display="'Program Full'!$S$816:$V$841" xr:uid="{00000000-0004-0000-0B00-0000CC000000}"/>
    <hyperlink ref="R409" location="'Program Full'!$X$789:$AA$814" display="'Program Full'!$X$789:$AA$814" xr:uid="{00000000-0004-0000-0B00-0000CD000000}"/>
    <hyperlink ref="R410" location="'Program Full'!$X$816:$AA$841" display="'Program Full'!$X$816:$AA$841" xr:uid="{00000000-0004-0000-0B00-0000CE000000}"/>
    <hyperlink ref="R411" location="'Program Full'!$AC$789:$AF$814" display="'Program Full'!$AC$789:$AF$814" xr:uid="{00000000-0004-0000-0B00-0000CF000000}"/>
    <hyperlink ref="R412" location="'Program Full'!$AC$816:$AF$841" display="'Program Full'!$AC$816:$AF$841" xr:uid="{00000000-0004-0000-0B00-0000D0000000}"/>
    <hyperlink ref="R413" location="'Program Full'!$AH$789:$AK$814" display="'Program Full'!$AH$789:$AK$814" xr:uid="{00000000-0004-0000-0B00-0000D1000000}"/>
    <hyperlink ref="R414" location="'Program Full'!$AH$816:$AK$841" display="'Program Full'!$AH$816:$AK$841" xr:uid="{00000000-0004-0000-0B00-0000D2000000}"/>
    <hyperlink ref="S401" location="'Program Full'!$D$845:$G$870" display="'Program Full'!$D$845:$G$870" xr:uid="{00000000-0004-0000-0B00-0000D3000000}"/>
    <hyperlink ref="S402" location="'Program Full'!$D$872:$G$897" display="'Program Full'!$D$872:$G$897" xr:uid="{00000000-0004-0000-0B00-0000D4000000}"/>
    <hyperlink ref="S403" location="'Program Full'!$I$845:$L$870" display="'Program Full'!$I$845:$L$870" xr:uid="{00000000-0004-0000-0B00-0000D5000000}"/>
    <hyperlink ref="S404" location="'Program Full'!$I$872:$L$897" display="'Program Full'!$I$872:$L$897" xr:uid="{00000000-0004-0000-0B00-0000D6000000}"/>
    <hyperlink ref="S405" location="'Program Full'!$N$845:$Q$870" display="'Program Full'!$N$845:$Q$870" xr:uid="{00000000-0004-0000-0B00-0000D7000000}"/>
    <hyperlink ref="S406" location="'Program Full'!$N$872:$Q$897" display="'Program Full'!$N$872:$Q$897" xr:uid="{00000000-0004-0000-0B00-0000D8000000}"/>
    <hyperlink ref="S407" location="'Program Full'!$S$845:$V$870" display="'Program Full'!$S$845:$V$870" xr:uid="{00000000-0004-0000-0B00-0000D9000000}"/>
    <hyperlink ref="S408" location="'Program Full'!$S$872:$V$897" display="'Program Full'!$S$872:$V$897" xr:uid="{00000000-0004-0000-0B00-0000DA000000}"/>
    <hyperlink ref="S409" location="'Program Full'!$X$845:$AA$870" display="'Program Full'!$X$845:$AA$870" xr:uid="{00000000-0004-0000-0B00-0000DB000000}"/>
    <hyperlink ref="S410" location="'Program Full'!$X$872:$AA$897" display="'Program Full'!$X$872:$AA$897" xr:uid="{00000000-0004-0000-0B00-0000DC000000}"/>
    <hyperlink ref="S411" location="'Program Full'!$AC$845:$AF$870" display="'Program Full'!$AC$845:$AF$870" xr:uid="{00000000-0004-0000-0B00-0000DD000000}"/>
    <hyperlink ref="S412" location="'Program Full'!$AC$872:$AF$897" display="'Program Full'!$AC$872:$AF$897" xr:uid="{00000000-0004-0000-0B00-0000DE000000}"/>
    <hyperlink ref="S413" location="'Program Full'!$AH$845:$AK$870" display="'Program Full'!$AH$845:$AK$870" xr:uid="{00000000-0004-0000-0B00-0000DF000000}"/>
    <hyperlink ref="S414" location="'Program Full'!$AH$872:$AK$897" display="'Program Full'!$AH$872:$AK$897" xr:uid="{00000000-0004-0000-0B00-0000E0000000}"/>
    <hyperlink ref="T401" location="'Program Full'!$D$901:$G$926" display="'Program Full'!$D$901:$G$926" xr:uid="{00000000-0004-0000-0B00-0000E1000000}"/>
    <hyperlink ref="T402" location="'Program Full'!$D$928:$G$953" display="'Program Full'!$D$928:$G$953" xr:uid="{00000000-0004-0000-0B00-0000E2000000}"/>
    <hyperlink ref="T403" location="'Program Full'!$I$901:$L$926" display="'Program Full'!$I$901:$L$926" xr:uid="{00000000-0004-0000-0B00-0000E3000000}"/>
    <hyperlink ref="T404" location="'Program Full'!$I$928:$L$953" display="'Program Full'!$I$928:$L$953" xr:uid="{00000000-0004-0000-0B00-0000E4000000}"/>
    <hyperlink ref="T405" location="'Program Full'!$N$901:$Q$926" display="'Program Full'!$N$901:$Q$926" xr:uid="{00000000-0004-0000-0B00-0000E5000000}"/>
    <hyperlink ref="T406" location="'Program Full'!$N$928:$Q$953" display="'Program Full'!$N$928:$Q$953" xr:uid="{00000000-0004-0000-0B00-0000E6000000}"/>
    <hyperlink ref="T407" location="'Program Full'!$S$901:$V$926" display="'Program Full'!$S$901:$V$926" xr:uid="{00000000-0004-0000-0B00-0000E7000000}"/>
    <hyperlink ref="T408" location="'Program Full'!$S$928:$V$953" display="'Program Full'!$S$928:$V$953" xr:uid="{00000000-0004-0000-0B00-0000E8000000}"/>
    <hyperlink ref="T409" location="'Program Full'!$X$901:$AA$926" display="'Program Full'!$X$901:$AA$926" xr:uid="{00000000-0004-0000-0B00-0000E9000000}"/>
    <hyperlink ref="T410" location="'Program Full'!$X$928:$AA$953" display="'Program Full'!$X$928:$AA$953" xr:uid="{00000000-0004-0000-0B00-0000EA000000}"/>
    <hyperlink ref="T411" location="'Program Full'!$AC$901:$AF$926" display="'Program Full'!$AC$901:$AF$926" xr:uid="{00000000-0004-0000-0B00-0000EB000000}"/>
    <hyperlink ref="T412" location="'Program Full'!$AC$928:$AF$953" display="'Program Full'!$AC$928:$AF$953" xr:uid="{00000000-0004-0000-0B00-0000EC000000}"/>
    <hyperlink ref="T413" location="'Program Full'!$AH$901:$AK$926" display="'Program Full'!$AH$901:$AK$926" xr:uid="{00000000-0004-0000-0B00-0000ED000000}"/>
    <hyperlink ref="T414" location="'Program Full'!$AH$928:$AK$953" display="'Program Full'!$AH$928:$AK$953" xr:uid="{00000000-0004-0000-0B00-0000EE000000}"/>
    <hyperlink ref="U401" location="'Program Full'!$D$957:$G$982" display="'Program Full'!$D$957:$G$982" xr:uid="{00000000-0004-0000-0B00-0000EF000000}"/>
    <hyperlink ref="U402" location="'Program Full'!$D$984:$G$1009" display="'Program Full'!$D$984:$G$1009" xr:uid="{00000000-0004-0000-0B00-0000F0000000}"/>
    <hyperlink ref="U403" location="'Program Full'!$I$957:$L$982" display="'Program Full'!$I$957:$L$982" xr:uid="{00000000-0004-0000-0B00-0000F1000000}"/>
    <hyperlink ref="U404" location="'Program Full'!$I$984:$L$1009" display="'Program Full'!$I$984:$L$1009" xr:uid="{00000000-0004-0000-0B00-0000F2000000}"/>
    <hyperlink ref="U405" location="'Program Full'!$N$957:$Q$982" display="'Program Full'!$N$957:$Q$982" xr:uid="{00000000-0004-0000-0B00-0000F3000000}"/>
    <hyperlink ref="U406" location="'Program Full'!$N$984:$Q$1009" display="'Program Full'!$N$984:$Q$1009" xr:uid="{00000000-0004-0000-0B00-0000F4000000}"/>
    <hyperlink ref="U407" location="'Program Full'!$S$957:$V$982" display="'Program Full'!$S$957:$V$982" xr:uid="{00000000-0004-0000-0B00-0000F5000000}"/>
    <hyperlink ref="U408" location="'Program Full'!$S$984:$V$1009" display="'Program Full'!$S$984:$V$1009" xr:uid="{00000000-0004-0000-0B00-0000F6000000}"/>
    <hyperlink ref="U409" location="'Program Full'!$X$957:$AA$982" display="'Program Full'!$X$957:$AA$982" xr:uid="{00000000-0004-0000-0B00-0000F7000000}"/>
    <hyperlink ref="U410" location="'Program Full'!$X$984:$AA$1009" display="'Program Full'!$X$984:$AA$1009" xr:uid="{00000000-0004-0000-0B00-0000F8000000}"/>
    <hyperlink ref="U411" location="'Program Full'!$AC$957:$AF$982" display="'Program Full'!$AC$957:$AF$982" xr:uid="{00000000-0004-0000-0B00-0000F9000000}"/>
    <hyperlink ref="U412" location="'Program Full'!$AC$984:$AF$1009" display="'Program Full'!$AC$984:$AF$1009" xr:uid="{00000000-0004-0000-0B00-0000FA000000}"/>
    <hyperlink ref="U413" location="'Program Full'!$AH$957:$AK$982" display="'Program Full'!$AH$957:$AK$982" xr:uid="{00000000-0004-0000-0B00-0000FB000000}"/>
    <hyperlink ref="U414" location="'Program Full'!$AH$984:$AK$1009" display="'Program Full'!$AH$984:$AK$1009" xr:uid="{00000000-0004-0000-0B00-0000FC000000}"/>
    <hyperlink ref="V401" location="'Program Full'!$D$1013:$G$1038" display="'Program Full'!$D$1013:$G$1038" xr:uid="{00000000-0004-0000-0B00-0000FD000000}"/>
    <hyperlink ref="V402" location="'Program Full'!$D$1040:$G$1065" display="'Program Full'!$D$1040:$G$1065" xr:uid="{00000000-0004-0000-0B00-0000FE000000}"/>
    <hyperlink ref="V403" location="'Program Full'!$I$1013:$L$1038" display="'Program Full'!$I$1013:$L$1038" xr:uid="{00000000-0004-0000-0B00-0000FF000000}"/>
    <hyperlink ref="V404" location="'Program Full'!$I$1040:$L$1065" display="'Program Full'!$I$1040:$L$1065" xr:uid="{00000000-0004-0000-0B00-000000010000}"/>
    <hyperlink ref="V405" location="'Program Full'!$N$1013:$Q$1038" display="'Program Full'!$N$1013:$Q$1038" xr:uid="{00000000-0004-0000-0B00-000001010000}"/>
    <hyperlink ref="V406" location="'Program Full'!$N$1040:$Q$1065" display="'Program Full'!$N$1040:$Q$1065" xr:uid="{00000000-0004-0000-0B00-000002010000}"/>
    <hyperlink ref="V407" location="'Program Full'!$S$1013:$V$1038" display="'Program Full'!$S$1013:$V$1038" xr:uid="{00000000-0004-0000-0B00-000003010000}"/>
    <hyperlink ref="V408" location="'Program Full'!$S$1040:$V$1065" display="'Program Full'!$S$1040:$V$1065" xr:uid="{00000000-0004-0000-0B00-000004010000}"/>
    <hyperlink ref="V409" location="'Program Full'!$X$1013:$AA$1038" display="'Program Full'!$X$1013:$AA$1038" xr:uid="{00000000-0004-0000-0B00-000005010000}"/>
    <hyperlink ref="V410" location="'Program Full'!$X$1040:$AA$1065" display="'Program Full'!$X$1040:$AA$1065" xr:uid="{00000000-0004-0000-0B00-000006010000}"/>
    <hyperlink ref="V411" location="'Program Full'!$AC$1013:$AF$1038" display="'Program Full'!$AC$1013:$AF$1038" xr:uid="{00000000-0004-0000-0B00-000007010000}"/>
    <hyperlink ref="V412" location="'Program Full'!$AC$1040:$AF$1065" display="'Program Full'!$AC$1040:$AF$1065" xr:uid="{00000000-0004-0000-0B00-000008010000}"/>
    <hyperlink ref="V413" location="'Program Full'!$AH$1013:$AK$1038" display="'Program Full'!$AH$1013:$AK$1038" xr:uid="{00000000-0004-0000-0B00-000009010000}"/>
    <hyperlink ref="V414" location="'Program Full'!$AH$1040:$AK$1065" display="'Program Full'!$AH$1040:$AK$1065" xr:uid="{00000000-0004-0000-0B00-00000A010000}"/>
    <hyperlink ref="W401" location="'Program Full'!$D$1069:$G$1094" display="'Program Full'!$D$1069:$G$1094" xr:uid="{00000000-0004-0000-0B00-00000B010000}"/>
    <hyperlink ref="W402" location="'Program Full'!$D$1096:$G$1121" display="'Program Full'!$D$1096:$G$1121" xr:uid="{00000000-0004-0000-0B00-00000C010000}"/>
    <hyperlink ref="W403" location="'Program Full'!$I$1069:$L$1094" display="'Program Full'!$I$1069:$L$1094" xr:uid="{00000000-0004-0000-0B00-00000D010000}"/>
    <hyperlink ref="W404" location="'Program Full'!$I$1096:$L$1121" display="'Program Full'!$I$1096:$L$1121" xr:uid="{00000000-0004-0000-0B00-00000E010000}"/>
    <hyperlink ref="W405" location="'Program Full'!$N$1069:$Q$1094" display="'Program Full'!$N$1069:$Q$1094" xr:uid="{00000000-0004-0000-0B00-00000F010000}"/>
    <hyperlink ref="W406" location="'Program Full'!$N$1096:$Q$1121" display="'Program Full'!$N$1096:$Q$1121" xr:uid="{00000000-0004-0000-0B00-000010010000}"/>
    <hyperlink ref="W407" location="'Program Full'!$S$1069:$V$1094" display="'Program Full'!$S$1069:$V$1094" xr:uid="{00000000-0004-0000-0B00-000011010000}"/>
    <hyperlink ref="W408" location="'Program Full'!$S$1096:$V$1121" display="'Program Full'!$S$1096:$V$1121" xr:uid="{00000000-0004-0000-0B00-000012010000}"/>
    <hyperlink ref="W409" location="'Program Full'!$X$1069:$AA$1094" display="'Program Full'!$X$1069:$AA$1094" xr:uid="{00000000-0004-0000-0B00-000013010000}"/>
    <hyperlink ref="W410" location="'Program Full'!$X$1096:$AA$1121" display="'Program Full'!$X$1096:$AA$1121" xr:uid="{00000000-0004-0000-0B00-000014010000}"/>
    <hyperlink ref="W411" location="'Program Full'!$AC$1069:$AF$1094" display="'Program Full'!$AC$1069:$AF$1094" xr:uid="{00000000-0004-0000-0B00-000015010000}"/>
    <hyperlink ref="W412" location="'Program Full'!$AC$1096:$AF$1121" display="'Program Full'!$AC$1096:$AF$1121" xr:uid="{00000000-0004-0000-0B00-000016010000}"/>
    <hyperlink ref="W413" location="'Program Full'!$AH$1069:$AK$1094" display="'Program Full'!$AH$1069:$AK$1094" xr:uid="{00000000-0004-0000-0B00-000017010000}"/>
    <hyperlink ref="W414" location="'Program Full'!$AH$1096:$AK$1121" display="'Program Full'!$AH$1096:$AK$1121" xr:uid="{00000000-0004-0000-0B00-000018010000}"/>
    <hyperlink ref="X401" location="'Program Full'!$D$1125:$G$1150" display="'Program Full'!$D$1125:$G$1150" xr:uid="{00000000-0004-0000-0B00-000019010000}"/>
    <hyperlink ref="X402" location="'Program Full'!$D$1152:$G$1177" display="'Program Full'!$D$1152:$G$1177" xr:uid="{00000000-0004-0000-0B00-00001A010000}"/>
    <hyperlink ref="X403" location="'Program Full'!$I$1125:$L$1150" display="'Program Full'!$I$1125:$L$1150" xr:uid="{00000000-0004-0000-0B00-00001B010000}"/>
    <hyperlink ref="X404" location="'Program Full'!$I$1152:$L$1177" display="'Program Full'!$I$1152:$L$1177" xr:uid="{00000000-0004-0000-0B00-00001C010000}"/>
    <hyperlink ref="X405" location="'Program Full'!$N$1125:$Q$1150" display="'Program Full'!$N$1125:$Q$1150" xr:uid="{00000000-0004-0000-0B00-00001D010000}"/>
    <hyperlink ref="X406" location="'Program Full'!$N$1152:$Q$1177" display="'Program Full'!$N$1152:$Q$1177" xr:uid="{00000000-0004-0000-0B00-00001E010000}"/>
    <hyperlink ref="X407" location="'Program Full'!$S$1125:$V$1150" display="'Program Full'!$S$1125:$V$1150" xr:uid="{00000000-0004-0000-0B00-00001F010000}"/>
    <hyperlink ref="X408" location="'Program Full'!$S$1152:$V$1177" display="'Program Full'!$S$1152:$V$1177" xr:uid="{00000000-0004-0000-0B00-000020010000}"/>
    <hyperlink ref="X409" location="'Program Full'!$X$1125:$AA$1150" display="'Program Full'!$X$1125:$AA$1150" xr:uid="{00000000-0004-0000-0B00-000021010000}"/>
    <hyperlink ref="X410" location="'Program Full'!$X$1152:$AA$1177" display="'Program Full'!$X$1152:$AA$1177" xr:uid="{00000000-0004-0000-0B00-000022010000}"/>
    <hyperlink ref="X411" location="'Program Full'!$AC$1125:$AF$1150" display="'Program Full'!$AC$1125:$AF$1150" xr:uid="{00000000-0004-0000-0B00-000023010000}"/>
    <hyperlink ref="X412" location="'Program Full'!$AC$1152:$AF$1177" display="'Program Full'!$AC$1152:$AF$1177" xr:uid="{00000000-0004-0000-0B00-000024010000}"/>
    <hyperlink ref="X413" location="'Program Full'!$AH$1125:$AK$1150" display="'Program Full'!$AH$1125:$AK$1150" xr:uid="{00000000-0004-0000-0B00-000025010000}"/>
    <hyperlink ref="X414" location="'Program Full'!$AH$1152:$AK$1177" display="'Program Full'!$AH$1152:$AK$1177" xr:uid="{00000000-0004-0000-0B00-000026010000}"/>
    <hyperlink ref="Y401" location="'Program Full'!$D$1181:$G$1206" display="'Program Full'!$D$1181:$G$1206" xr:uid="{00000000-0004-0000-0B00-000027010000}"/>
    <hyperlink ref="Y402" location="'Program Full'!$D$1208:$G$1233" display="'Program Full'!$D$1208:$G$1233" xr:uid="{00000000-0004-0000-0B00-000028010000}"/>
    <hyperlink ref="Y403" location="'Program Full'!$I$1181:$L$1206" display="'Program Full'!$I$1181:$L$1206" xr:uid="{00000000-0004-0000-0B00-000029010000}"/>
    <hyperlink ref="Y404" location="'Program Full'!$I$1208:$L$1233" display="'Program Full'!$I$1208:$L$1233" xr:uid="{00000000-0004-0000-0B00-00002A010000}"/>
    <hyperlink ref="Y405" location="'Program Full'!$N$1181:$Q$1206" display="'Program Full'!$N$1181:$Q$1206" xr:uid="{00000000-0004-0000-0B00-00002B010000}"/>
    <hyperlink ref="Y406" location="'Program Full'!$N$1208:$Q$1233" display="'Program Full'!$N$1208:$Q$1233" xr:uid="{00000000-0004-0000-0B00-00002C010000}"/>
    <hyperlink ref="Y407" location="'Program Full'!$S$1181:$V$1206" display="'Program Full'!$S$1181:$V$1206" xr:uid="{00000000-0004-0000-0B00-00002D010000}"/>
    <hyperlink ref="Y408" location="'Program Full'!$S$1208:$V$1233" display="'Program Full'!$S$1208:$V$1233" xr:uid="{00000000-0004-0000-0B00-00002E010000}"/>
    <hyperlink ref="Y409" location="'Program Full'!$X$1181:$AA$1206" display="'Program Full'!$X$1181:$AA$1206" xr:uid="{00000000-0004-0000-0B00-00002F010000}"/>
    <hyperlink ref="Y410" location="'Program Full'!$X$1208:$AA$1233" display="'Program Full'!$X$1208:$AA$1233" xr:uid="{00000000-0004-0000-0B00-000030010000}"/>
    <hyperlink ref="Y411" location="'Program Full'!$AC$1181:$AF$1206" display="'Program Full'!$AC$1181:$AF$1206" xr:uid="{00000000-0004-0000-0B00-000031010000}"/>
    <hyperlink ref="Y412" location="'Program Full'!$AC$1208:$AF$1233" display="'Program Full'!$AC$1208:$AF$1233" xr:uid="{00000000-0004-0000-0B00-000032010000}"/>
    <hyperlink ref="Y413" location="'Program Full'!$AH$1181:$AK$1206" display="'Program Full'!$AH$1181:$AK$1206" xr:uid="{00000000-0004-0000-0B00-000033010000}"/>
    <hyperlink ref="Y414" location="'Program Full'!$AH$1208:$AK$1233" display="'Program Full'!$AH$1208:$AK$1233" xr:uid="{00000000-0004-0000-0B00-000034010000}"/>
    <hyperlink ref="Z401" location="'Program Full'!$D$1237:$G$1262" display="'Program Full'!$D$1237:$G$1262" xr:uid="{00000000-0004-0000-0B00-000035010000}"/>
    <hyperlink ref="Z402" location="'Program Full'!$D$1264:$G$1289" display="'Program Full'!$D$1264:$G$1289" xr:uid="{00000000-0004-0000-0B00-000036010000}"/>
    <hyperlink ref="Z403" location="'Program Full'!$I$1237:$L$1262" display="'Program Full'!$I$1237:$L$1262" xr:uid="{00000000-0004-0000-0B00-000037010000}"/>
    <hyperlink ref="Z404" location="'Program Full'!$I$1264:$L$1289" display="'Program Full'!$I$1264:$L$1289" xr:uid="{00000000-0004-0000-0B00-000038010000}"/>
    <hyperlink ref="Z405" location="'Program Full'!$N$1237:$Q$1262" display="'Program Full'!$N$1237:$Q$1262" xr:uid="{00000000-0004-0000-0B00-000039010000}"/>
    <hyperlink ref="Z406" location="'Program Full'!$N$1264:$Q$1289" display="'Program Full'!$N$1264:$Q$1289" xr:uid="{00000000-0004-0000-0B00-00003A010000}"/>
    <hyperlink ref="Z407" location="'Program Full'!$S$1237:$V$1262" display="'Program Full'!$S$1237:$V$1262" xr:uid="{00000000-0004-0000-0B00-00003B010000}"/>
    <hyperlink ref="Z408" location="'Program Full'!$S$1264:$V$1289" display="'Program Full'!$S$1264:$V$1289" xr:uid="{00000000-0004-0000-0B00-00003C010000}"/>
    <hyperlink ref="Z409" location="'Program Full'!$X$1237:$AA$1262" display="'Program Full'!$X$1237:$AA$1262" xr:uid="{00000000-0004-0000-0B00-00003D010000}"/>
    <hyperlink ref="Z410" location="'Program Full'!$X$1264:$AA$1289" display="'Program Full'!$X$1264:$AA$1289" xr:uid="{00000000-0004-0000-0B00-00003E010000}"/>
    <hyperlink ref="Z411" location="'Program Full'!$AC$1237:$AF$1262" display="'Program Full'!$AC$1237:$AF$1262" xr:uid="{00000000-0004-0000-0B00-00003F010000}"/>
    <hyperlink ref="Z412" location="'Program Full'!$AC$1264:$AF$1289" display="'Program Full'!$AC$1264:$AF$1289" xr:uid="{00000000-0004-0000-0B00-000040010000}"/>
    <hyperlink ref="Z413" location="'Program Full'!$AH$1237:$AK$1262" display="'Program Full'!$AH$1237:$AK$1262" xr:uid="{00000000-0004-0000-0B00-000041010000}"/>
    <hyperlink ref="Z414" location="'Program Full'!$AH$1264:$AK$1289" display="'Program Full'!$AH$1264:$AK$1289" xr:uid="{00000000-0004-0000-0B00-000042010000}"/>
    <hyperlink ref="AA401" location="'Program Full'!$D$1293:$G$1318" display="'Program Full'!$D$1293:$G$1318" xr:uid="{00000000-0004-0000-0B00-000043010000}"/>
    <hyperlink ref="AA402" location="'Program Full'!$D$1320:$G$1345" display="'Program Full'!$D$1320:$G$1345" xr:uid="{00000000-0004-0000-0B00-000044010000}"/>
    <hyperlink ref="AA403" location="'Program Full'!$I$1293:$L$1318" display="'Program Full'!$I$1293:$L$1318" xr:uid="{00000000-0004-0000-0B00-000045010000}"/>
    <hyperlink ref="AA404" location="'Program Full'!$I$1320:$L$1345" display="'Program Full'!$I$1320:$L$1345" xr:uid="{00000000-0004-0000-0B00-000046010000}"/>
    <hyperlink ref="AA405" location="'Program Full'!$N$1293:$Q$1318" display="'Program Full'!$N$1293:$Q$1318" xr:uid="{00000000-0004-0000-0B00-000047010000}"/>
    <hyperlink ref="AA406" location="'Program Full'!$N$1320:$Q$1345" display="'Program Full'!$N$1320:$Q$1345" xr:uid="{00000000-0004-0000-0B00-000048010000}"/>
    <hyperlink ref="AA407" location="'Program Full'!$S$1293:$V$1318" display="'Program Full'!$S$1293:$V$1318" xr:uid="{00000000-0004-0000-0B00-000049010000}"/>
    <hyperlink ref="AA408" location="'Program Full'!$S$1320:$V$1345" display="'Program Full'!$S$1320:$V$1345" xr:uid="{00000000-0004-0000-0B00-00004A010000}"/>
    <hyperlink ref="AA409" location="'Program Full'!$X$1293:$AA$1318" display="'Program Full'!$X$1293:$AA$1318" xr:uid="{00000000-0004-0000-0B00-00004B010000}"/>
    <hyperlink ref="AA410" location="'Program Full'!$X$1320:$AA$1345" display="'Program Full'!$X$1320:$AA$1345" xr:uid="{00000000-0004-0000-0B00-00004C010000}"/>
    <hyperlink ref="AA411" location="'Program Full'!$AC$1293:$AF$1318" display="'Program Full'!$AC$1293:$AF$1318" xr:uid="{00000000-0004-0000-0B00-00004D010000}"/>
    <hyperlink ref="AA412" location="'Program Full'!$AC$1320:$AF$1345" display="'Program Full'!$AC$1320:$AF$1345" xr:uid="{00000000-0004-0000-0B00-00004E010000}"/>
    <hyperlink ref="AA413" location="'Program Full'!$AH$1293:$AK$1318" display="'Program Full'!$AH$1293:$AK$1318" xr:uid="{00000000-0004-0000-0B00-00004F010000}"/>
    <hyperlink ref="AA414" location="'Program Full'!$AH$1320:$AK$1345" display="'Program Full'!$AH$1320:$AK$1345" xr:uid="{00000000-0004-0000-0B00-000050010000}"/>
  </hyperlink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theme="7" tint="0.59999389629810485"/>
  </sheetPr>
  <dimension ref="A1:AB2000"/>
  <sheetViews>
    <sheetView showGridLines="0" showRowColHeaders="0" topLeftCell="A2001" zoomScale="70" zoomScaleNormal="70" workbookViewId="0">
      <selection activeCell="H50" sqref="H50"/>
    </sheetView>
  </sheetViews>
  <sheetFormatPr defaultRowHeight="14.25" x14ac:dyDescent="0.45"/>
  <cols>
    <col min="1" max="1" width="7.1328125" customWidth="1"/>
    <col min="2" max="2" width="17.86328125" bestFit="1" customWidth="1"/>
    <col min="3" max="3" width="16" customWidth="1"/>
    <col min="4" max="27" width="20.73046875" customWidth="1"/>
  </cols>
  <sheetData>
    <row r="1" spans="1:28" ht="15" hidden="1" customHeight="1" x14ac:dyDescent="0.45">
      <c r="A1" s="1852" t="s">
        <v>317</v>
      </c>
      <c r="B1" s="1853"/>
      <c r="C1" s="1853"/>
      <c r="D1" s="570">
        <f t="array" aca="1" ref="D1:AA1" ca="1">display_week_beginning</f>
        <v>43374</v>
      </c>
      <c r="E1" s="569">
        <f ca="1"/>
        <v>43381</v>
      </c>
      <c r="F1" s="569">
        <f ca="1"/>
        <v>43388</v>
      </c>
      <c r="G1" s="570">
        <f ca="1"/>
        <v>43395</v>
      </c>
      <c r="H1" s="570">
        <f ca="1"/>
        <v>43402</v>
      </c>
      <c r="I1" s="570">
        <f ca="1"/>
        <v>43409</v>
      </c>
      <c r="J1" s="570">
        <f ca="1"/>
        <v>43416</v>
      </c>
      <c r="K1" s="570">
        <f ca="1"/>
        <v>43423</v>
      </c>
      <c r="L1" s="570">
        <f ca="1"/>
        <v>43430</v>
      </c>
      <c r="M1" s="570">
        <f ca="1"/>
        <v>43437</v>
      </c>
      <c r="N1" s="570">
        <f ca="1"/>
        <v>43444</v>
      </c>
      <c r="O1" s="570">
        <f ca="1"/>
        <v>43451</v>
      </c>
      <c r="P1" s="570">
        <f ca="1"/>
        <v>43458</v>
      </c>
      <c r="Q1" s="570">
        <f ca="1"/>
        <v>43465</v>
      </c>
      <c r="R1" s="570">
        <f ca="1"/>
        <v>43472</v>
      </c>
      <c r="S1" s="570">
        <f ca="1"/>
        <v>43479</v>
      </c>
      <c r="T1" s="570">
        <f ca="1"/>
        <v>43486</v>
      </c>
      <c r="U1" s="570">
        <f ca="1"/>
        <v>43493</v>
      </c>
      <c r="V1" s="570">
        <f ca="1"/>
        <v>43500</v>
      </c>
      <c r="W1" s="570" t="str">
        <f ca="1"/>
        <v/>
      </c>
      <c r="X1" s="570" t="str">
        <f ca="1"/>
        <v/>
      </c>
      <c r="Y1" s="570" t="str">
        <f ca="1"/>
        <v/>
      </c>
      <c r="Z1" s="570" t="str">
        <f ca="1"/>
        <v/>
      </c>
      <c r="AA1" s="571" t="str">
        <f ca="1"/>
        <v/>
      </c>
    </row>
    <row r="2" spans="1:28" hidden="1" x14ac:dyDescent="0.45">
      <c r="A2" s="1854" t="s">
        <v>318</v>
      </c>
      <c r="B2" s="1855"/>
      <c r="C2" s="1855"/>
      <c r="D2" s="38">
        <f t="array" aca="1" ref="D2:AA2" ca="1">display_week</f>
        <v>1</v>
      </c>
      <c r="E2" s="38">
        <f ca="1"/>
        <v>2</v>
      </c>
      <c r="F2" s="37">
        <f ca="1"/>
        <v>3</v>
      </c>
      <c r="G2" s="37">
        <f ca="1"/>
        <v>4</v>
      </c>
      <c r="H2" s="37">
        <f ca="1"/>
        <v>5</v>
      </c>
      <c r="I2" s="37">
        <f ca="1"/>
        <v>6</v>
      </c>
      <c r="J2" s="37">
        <f ca="1"/>
        <v>7</v>
      </c>
      <c r="K2" s="37">
        <f ca="1"/>
        <v>8</v>
      </c>
      <c r="L2" s="37">
        <f ca="1"/>
        <v>9</v>
      </c>
      <c r="M2" s="37">
        <f ca="1"/>
        <v>10</v>
      </c>
      <c r="N2" s="37">
        <f ca="1"/>
        <v>11</v>
      </c>
      <c r="O2" s="37">
        <f ca="1"/>
        <v>12</v>
      </c>
      <c r="P2" s="37">
        <f ca="1"/>
        <v>13</v>
      </c>
      <c r="Q2" s="38">
        <f ca="1"/>
        <v>14</v>
      </c>
      <c r="R2" s="37">
        <f ca="1"/>
        <v>15</v>
      </c>
      <c r="S2" s="37">
        <f ca="1"/>
        <v>16</v>
      </c>
      <c r="T2" s="37">
        <f ca="1"/>
        <v>17</v>
      </c>
      <c r="U2" s="37">
        <f ca="1"/>
        <v>18</v>
      </c>
      <c r="V2" s="37">
        <f ca="1"/>
        <v>19</v>
      </c>
      <c r="W2" s="37" t="str">
        <f ca="1"/>
        <v/>
      </c>
      <c r="X2" s="37" t="str">
        <f ca="1"/>
        <v/>
      </c>
      <c r="Y2" s="37" t="str">
        <f ca="1"/>
        <v/>
      </c>
      <c r="Z2" s="37" t="str">
        <f ca="1"/>
        <v/>
      </c>
      <c r="AA2" s="572" t="str">
        <f ca="1"/>
        <v/>
      </c>
    </row>
    <row r="3" spans="1:28" hidden="1" x14ac:dyDescent="0.45">
      <c r="A3" s="1854" t="s">
        <v>319</v>
      </c>
      <c r="B3" s="1855"/>
      <c r="C3" s="1855"/>
      <c r="D3" s="38">
        <f t="array" aca="1" ref="D3:AA3" ca="1">display_weeks_to_goal</f>
        <v>18</v>
      </c>
      <c r="E3" s="38">
        <f ca="1"/>
        <v>17</v>
      </c>
      <c r="F3" s="37">
        <f ca="1"/>
        <v>16</v>
      </c>
      <c r="G3" s="37">
        <f ca="1"/>
        <v>15</v>
      </c>
      <c r="H3" s="37">
        <f ca="1"/>
        <v>14</v>
      </c>
      <c r="I3" s="37">
        <f ca="1"/>
        <v>13</v>
      </c>
      <c r="J3" s="37">
        <f ca="1"/>
        <v>12</v>
      </c>
      <c r="K3" s="37">
        <f ca="1"/>
        <v>11</v>
      </c>
      <c r="L3" s="37">
        <f ca="1"/>
        <v>10</v>
      </c>
      <c r="M3" s="37">
        <f ca="1"/>
        <v>9</v>
      </c>
      <c r="N3" s="37">
        <f ca="1"/>
        <v>8</v>
      </c>
      <c r="O3" s="37">
        <f ca="1"/>
        <v>7</v>
      </c>
      <c r="P3" s="37">
        <f ca="1"/>
        <v>6</v>
      </c>
      <c r="Q3" s="37">
        <f ca="1"/>
        <v>5</v>
      </c>
      <c r="R3" s="37">
        <f ca="1"/>
        <v>4</v>
      </c>
      <c r="S3" s="37">
        <f ca="1"/>
        <v>3</v>
      </c>
      <c r="T3" s="37">
        <f ca="1"/>
        <v>2</v>
      </c>
      <c r="U3" s="37">
        <f ca="1"/>
        <v>1</v>
      </c>
      <c r="V3" s="37">
        <f ca="1"/>
        <v>0</v>
      </c>
      <c r="W3" s="37" t="str">
        <f ca="1"/>
        <v/>
      </c>
      <c r="X3" s="37" t="str">
        <f ca="1"/>
        <v/>
      </c>
      <c r="Y3" s="37" t="str">
        <f ca="1"/>
        <v/>
      </c>
      <c r="Z3" s="37" t="str">
        <f ca="1"/>
        <v/>
      </c>
      <c r="AA3" s="572" t="str">
        <f ca="1"/>
        <v/>
      </c>
    </row>
    <row r="4" spans="1:28" hidden="1" x14ac:dyDescent="0.45">
      <c r="A4" s="1856" t="s">
        <v>453</v>
      </c>
      <c r="B4" s="1800"/>
      <c r="C4" s="1857"/>
      <c r="D4" s="566" t="str">
        <f t="array" ref="D4:AA4" ca="1">IF(display_strategy=0,"",display_strategy)</f>
        <v>Conservative Balance</v>
      </c>
      <c r="E4" s="565" t="str">
        <f ca="1"/>
        <v>Conservative Balance</v>
      </c>
      <c r="F4" s="565" t="str">
        <f ca="1"/>
        <v>Conservative Balance</v>
      </c>
      <c r="G4" s="565" t="str">
        <f ca="1"/>
        <v>Conservative Balance</v>
      </c>
      <c r="H4" s="565" t="str">
        <f ca="1"/>
        <v>Conservative Balance</v>
      </c>
      <c r="I4" s="565" t="str">
        <f ca="1"/>
        <v>Conservative Balance</v>
      </c>
      <c r="J4" s="565" t="str">
        <f ca="1"/>
        <v>Taper</v>
      </c>
      <c r="K4" s="565" t="str">
        <f ca="1"/>
        <v>Taper</v>
      </c>
      <c r="L4" s="566" t="str">
        <f ca="1"/>
        <v>Maintain</v>
      </c>
      <c r="M4" s="566" t="str">
        <f ca="1"/>
        <v>Recover</v>
      </c>
      <c r="N4" s="566" t="str">
        <f ca="1"/>
        <v>Overload</v>
      </c>
      <c r="O4" s="566" t="str">
        <f ca="1"/>
        <v>Conservative Balance</v>
      </c>
      <c r="P4" s="566" t="str">
        <f ca="1"/>
        <v>Conservative Balance</v>
      </c>
      <c r="Q4" s="566" t="str">
        <f ca="1"/>
        <v>Overload</v>
      </c>
      <c r="R4" s="566" t="str">
        <f ca="1"/>
        <v>Recover</v>
      </c>
      <c r="S4" s="566" t="str">
        <f ca="1"/>
        <v>Recover</v>
      </c>
      <c r="T4" s="566" t="str">
        <f ca="1"/>
        <v>Maintain</v>
      </c>
      <c r="U4" s="566" t="str">
        <f ca="1"/>
        <v>Maintain</v>
      </c>
      <c r="V4" s="566" t="str">
        <f ca="1"/>
        <v>Race</v>
      </c>
      <c r="W4" s="566" t="str">
        <f ca="1"/>
        <v/>
      </c>
      <c r="X4" s="566" t="str">
        <f ca="1"/>
        <v/>
      </c>
      <c r="Y4" s="566" t="str">
        <f ca="1"/>
        <v/>
      </c>
      <c r="Z4" s="566" t="str">
        <f ca="1"/>
        <v/>
      </c>
      <c r="AA4" s="573" t="str">
        <f ca="1"/>
        <v/>
      </c>
    </row>
    <row r="5" spans="1:28" ht="15" hidden="1" customHeight="1" x14ac:dyDescent="0.45">
      <c r="A5" s="602"/>
      <c r="B5" s="1791" t="s">
        <v>349</v>
      </c>
      <c r="C5" s="1791"/>
      <c r="D5" s="64">
        <f t="array" aca="1" ref="D5:AA5" ca="1">display_difficulty</f>
        <v>0.64458278622425291</v>
      </c>
      <c r="E5" s="64">
        <f ca="1"/>
        <v>0.67534675010348322</v>
      </c>
      <c r="F5" s="64">
        <f ca="1"/>
        <v>0.70611071398271352</v>
      </c>
      <c r="G5" s="64">
        <f ca="1"/>
        <v>0.7303712206936952</v>
      </c>
      <c r="H5" s="64">
        <f ca="1"/>
        <v>0.75643820557916586</v>
      </c>
      <c r="I5" s="64">
        <f ca="1"/>
        <v>0.78292415892765344</v>
      </c>
      <c r="J5" s="64">
        <f ca="1"/>
        <v>0.62269734711638935</v>
      </c>
      <c r="K5" s="64">
        <f ca="1"/>
        <v>0.52911441052036212</v>
      </c>
      <c r="L5" s="64">
        <f ca="1"/>
        <v>0.76051185517395892</v>
      </c>
      <c r="M5" s="64">
        <f ca="1"/>
        <v>5.988023952095807E-2</v>
      </c>
      <c r="N5" s="65">
        <f ca="1"/>
        <v>1</v>
      </c>
      <c r="O5" s="64">
        <f ca="1"/>
        <v>0.5603766203092625</v>
      </c>
      <c r="P5" s="64">
        <f ca="1"/>
        <v>0.58881280014630466</v>
      </c>
      <c r="Q5" s="64">
        <f ca="1"/>
        <v>0.76583138073539192</v>
      </c>
      <c r="R5" s="64">
        <f ca="1"/>
        <v>0.38061892374681044</v>
      </c>
      <c r="S5" s="64">
        <f ca="1"/>
        <v>0.38061892374681044</v>
      </c>
      <c r="T5" s="64">
        <f ca="1"/>
        <v>0.51011923542984439</v>
      </c>
      <c r="U5" s="64">
        <f ca="1"/>
        <v>0.50870321250659278</v>
      </c>
      <c r="V5" s="64">
        <f ca="1"/>
        <v>0.58248174124404795</v>
      </c>
      <c r="W5" s="64" t="str">
        <f ca="1"/>
        <v/>
      </c>
      <c r="X5" s="64" t="str">
        <f ca="1"/>
        <v/>
      </c>
      <c r="Y5" s="64" t="str">
        <f ca="1"/>
        <v/>
      </c>
      <c r="Z5" s="64" t="str">
        <f ca="1"/>
        <v/>
      </c>
      <c r="AA5" s="574" t="str">
        <f ca="1"/>
        <v/>
      </c>
    </row>
    <row r="6" spans="1:28" hidden="1" x14ac:dyDescent="0.45">
      <c r="A6" s="603"/>
      <c r="B6" s="1800" t="s">
        <v>350</v>
      </c>
      <c r="C6" s="1800"/>
      <c r="D6" s="450">
        <f t="array" aca="1" ref="D6:AA6" ca="1">display_duration</f>
        <v>0.49652777777777773</v>
      </c>
      <c r="E6" s="450">
        <f ca="1"/>
        <v>0.51736111111111105</v>
      </c>
      <c r="F6" s="450">
        <f ca="1"/>
        <v>0.53819444444444442</v>
      </c>
      <c r="G6" s="450">
        <f ca="1"/>
        <v>0.55208333333333337</v>
      </c>
      <c r="H6" s="450">
        <f ca="1"/>
        <v>0.56944444444444442</v>
      </c>
      <c r="I6" s="450">
        <f ca="1"/>
        <v>0.57638888888888895</v>
      </c>
      <c r="J6" s="450">
        <f ca="1"/>
        <v>0.47916666666666669</v>
      </c>
      <c r="K6" s="450">
        <f ca="1"/>
        <v>0.41666666666666669</v>
      </c>
      <c r="L6" s="450">
        <f ca="1"/>
        <v>0.39583333333333331</v>
      </c>
      <c r="M6" s="450">
        <f ca="1"/>
        <v>3.4722222222222224E-2</v>
      </c>
      <c r="N6" s="450">
        <f ca="1"/>
        <v>0.57986111111111105</v>
      </c>
      <c r="O6" s="450">
        <f ca="1"/>
        <v>0.43284722222222216</v>
      </c>
      <c r="P6" s="450">
        <f ca="1"/>
        <v>0.44680555555555551</v>
      </c>
      <c r="Q6" s="450">
        <f ca="1"/>
        <v>0.55805555555555564</v>
      </c>
      <c r="R6" s="450">
        <f ca="1"/>
        <v>0.30583333333333335</v>
      </c>
      <c r="S6" s="450">
        <f ca="1"/>
        <v>0.30583333333333335</v>
      </c>
      <c r="T6" s="450">
        <f ca="1"/>
        <v>0.2951388888888889</v>
      </c>
      <c r="U6" s="450">
        <f ca="1"/>
        <v>0.38854166666666662</v>
      </c>
      <c r="V6" s="450">
        <f ca="1"/>
        <v>0.28437499999999999</v>
      </c>
      <c r="W6" s="450" t="str">
        <f ca="1"/>
        <v/>
      </c>
      <c r="X6" s="450" t="str">
        <f ca="1"/>
        <v/>
      </c>
      <c r="Y6" s="450" t="str">
        <f ca="1"/>
        <v/>
      </c>
      <c r="Z6" s="450" t="str">
        <f ca="1"/>
        <v/>
      </c>
      <c r="AA6" s="575" t="str">
        <f ca="1"/>
        <v/>
      </c>
    </row>
    <row r="7" spans="1:28" s="10" customFormat="1" ht="15" hidden="1" customHeight="1" x14ac:dyDescent="0.45">
      <c r="A7" s="1865" t="s">
        <v>670</v>
      </c>
      <c r="B7" s="1779" t="s">
        <v>404</v>
      </c>
      <c r="C7" s="39" t="s">
        <v>399</v>
      </c>
      <c r="D7" s="51">
        <f t="array" ref="D7:AA48" ca="1">IF(display_week="",0,
INDEX(final_duration_WU,TRUNC((ROW(display_summary_trainingtilt)-6+2)/3),display_week))</f>
        <v>0</v>
      </c>
      <c r="E7" s="51">
        <f ca="1"/>
        <v>0</v>
      </c>
      <c r="F7" s="51">
        <f ca="1"/>
        <v>0</v>
      </c>
      <c r="G7" s="51">
        <f ca="1"/>
        <v>0</v>
      </c>
      <c r="H7" s="51">
        <f ca="1"/>
        <v>0</v>
      </c>
      <c r="I7" s="51">
        <f ca="1"/>
        <v>0</v>
      </c>
      <c r="J7" s="51">
        <f ca="1"/>
        <v>0</v>
      </c>
      <c r="K7" s="51">
        <f ca="1"/>
        <v>0</v>
      </c>
      <c r="L7" s="51">
        <f ca="1"/>
        <v>0</v>
      </c>
      <c r="M7" s="53">
        <f ca="1"/>
        <v>0</v>
      </c>
      <c r="N7" s="53">
        <f ca="1"/>
        <v>0</v>
      </c>
      <c r="O7" s="53">
        <f ca="1"/>
        <v>0</v>
      </c>
      <c r="P7" s="53">
        <f ca="1"/>
        <v>0</v>
      </c>
      <c r="Q7" s="53">
        <f ca="1"/>
        <v>0</v>
      </c>
      <c r="R7" s="53">
        <f ca="1"/>
        <v>0</v>
      </c>
      <c r="S7" s="53">
        <f ca="1"/>
        <v>0</v>
      </c>
      <c r="T7" s="53">
        <f ca="1"/>
        <v>0</v>
      </c>
      <c r="U7" s="53">
        <f ca="1"/>
        <v>0</v>
      </c>
      <c r="V7" s="53">
        <f ca="1"/>
        <v>0</v>
      </c>
      <c r="W7" s="53">
        <f ca="1"/>
        <v>0</v>
      </c>
      <c r="X7" s="53">
        <f ca="1"/>
        <v>0</v>
      </c>
      <c r="Y7" s="53">
        <f ca="1"/>
        <v>0</v>
      </c>
      <c r="Z7" s="53">
        <f ca="1"/>
        <v>0</v>
      </c>
      <c r="AA7" s="1316">
        <f ca="1"/>
        <v>0</v>
      </c>
      <c r="AB7" s="14"/>
    </row>
    <row r="8" spans="1:28" s="10" customFormat="1" ht="15" hidden="1" customHeight="1" x14ac:dyDescent="0.45">
      <c r="A8" s="1858"/>
      <c r="B8" s="1780"/>
      <c r="C8" s="8" t="s">
        <v>401</v>
      </c>
      <c r="D8" s="44">
        <f ca="1"/>
        <v>0</v>
      </c>
      <c r="E8" s="44">
        <f ca="1"/>
        <v>0</v>
      </c>
      <c r="F8" s="44">
        <f ca="1"/>
        <v>0</v>
      </c>
      <c r="G8" s="44">
        <f ca="1"/>
        <v>0</v>
      </c>
      <c r="H8" s="44">
        <f ca="1"/>
        <v>0</v>
      </c>
      <c r="I8" s="44">
        <f ca="1"/>
        <v>0</v>
      </c>
      <c r="J8" s="44">
        <f ca="1"/>
        <v>0</v>
      </c>
      <c r="K8" s="44">
        <f ca="1"/>
        <v>0</v>
      </c>
      <c r="L8" s="44">
        <f ca="1"/>
        <v>0</v>
      </c>
      <c r="M8" s="44">
        <f ca="1"/>
        <v>0</v>
      </c>
      <c r="N8" s="44">
        <f ca="1"/>
        <v>0</v>
      </c>
      <c r="O8" s="44">
        <f ca="1"/>
        <v>0</v>
      </c>
      <c r="P8" s="44">
        <f ca="1"/>
        <v>0</v>
      </c>
      <c r="Q8" s="44">
        <f ca="1"/>
        <v>0</v>
      </c>
      <c r="R8" s="44">
        <f ca="1"/>
        <v>0</v>
      </c>
      <c r="S8" s="44">
        <f ca="1"/>
        <v>0</v>
      </c>
      <c r="T8" s="44">
        <f ca="1"/>
        <v>0</v>
      </c>
      <c r="U8" s="44">
        <f ca="1"/>
        <v>0</v>
      </c>
      <c r="V8" s="44">
        <f ca="1"/>
        <v>0</v>
      </c>
      <c r="W8" s="44">
        <f ca="1"/>
        <v>0</v>
      </c>
      <c r="X8" s="55">
        <f ca="1"/>
        <v>0</v>
      </c>
      <c r="Y8" s="55">
        <f ca="1"/>
        <v>0</v>
      </c>
      <c r="Z8" s="55">
        <f ca="1"/>
        <v>0</v>
      </c>
      <c r="AA8" s="1314">
        <f ca="1"/>
        <v>0</v>
      </c>
      <c r="AB8" s="14"/>
    </row>
    <row r="9" spans="1:28" s="10" customFormat="1" ht="15" hidden="1" customHeight="1" x14ac:dyDescent="0.45">
      <c r="A9" s="1858"/>
      <c r="B9" s="1780"/>
      <c r="C9" s="8" t="s">
        <v>400</v>
      </c>
      <c r="D9" s="44">
        <f ca="1"/>
        <v>0</v>
      </c>
      <c r="E9" s="44">
        <f ca="1"/>
        <v>0</v>
      </c>
      <c r="F9" s="44">
        <f ca="1"/>
        <v>0</v>
      </c>
      <c r="G9" s="44">
        <f ca="1"/>
        <v>0</v>
      </c>
      <c r="H9" s="44">
        <f ca="1"/>
        <v>0</v>
      </c>
      <c r="I9" s="44">
        <f ca="1"/>
        <v>0</v>
      </c>
      <c r="J9" s="44">
        <f ca="1"/>
        <v>0</v>
      </c>
      <c r="K9" s="44">
        <f ca="1"/>
        <v>0</v>
      </c>
      <c r="L9" s="44">
        <f ca="1"/>
        <v>0</v>
      </c>
      <c r="M9" s="44">
        <f ca="1"/>
        <v>0</v>
      </c>
      <c r="N9" s="44">
        <f ca="1"/>
        <v>0</v>
      </c>
      <c r="O9" s="44">
        <f ca="1"/>
        <v>0</v>
      </c>
      <c r="P9" s="55">
        <f ca="1"/>
        <v>0</v>
      </c>
      <c r="Q9" s="55">
        <f ca="1"/>
        <v>0</v>
      </c>
      <c r="R9" s="55">
        <f ca="1"/>
        <v>0</v>
      </c>
      <c r="S9" s="55">
        <f ca="1"/>
        <v>0</v>
      </c>
      <c r="T9" s="55">
        <f ca="1"/>
        <v>0</v>
      </c>
      <c r="U9" s="55">
        <f ca="1"/>
        <v>0</v>
      </c>
      <c r="V9" s="55">
        <f ca="1"/>
        <v>0</v>
      </c>
      <c r="W9" s="55">
        <f ca="1"/>
        <v>0</v>
      </c>
      <c r="X9" s="55">
        <f ca="1"/>
        <v>0</v>
      </c>
      <c r="Y9" s="55">
        <f ca="1"/>
        <v>0</v>
      </c>
      <c r="Z9" s="55">
        <f ca="1"/>
        <v>0</v>
      </c>
      <c r="AA9" s="1314">
        <f ca="1"/>
        <v>0</v>
      </c>
      <c r="AB9" s="14"/>
    </row>
    <row r="10" spans="1:28" s="10" customFormat="1" ht="15" hidden="1" customHeight="1" x14ac:dyDescent="0.45">
      <c r="A10" s="1858"/>
      <c r="B10" s="1860" t="s">
        <v>412</v>
      </c>
      <c r="C10" s="598" t="s">
        <v>399</v>
      </c>
      <c r="D10" s="47">
        <f ca="1"/>
        <v>0</v>
      </c>
      <c r="E10" s="47">
        <f ca="1"/>
        <v>0</v>
      </c>
      <c r="F10" s="47">
        <f ca="1"/>
        <v>0</v>
      </c>
      <c r="G10" s="47">
        <f ca="1"/>
        <v>0</v>
      </c>
      <c r="H10" s="47">
        <f ca="1"/>
        <v>0</v>
      </c>
      <c r="I10" s="47">
        <f ca="1"/>
        <v>0</v>
      </c>
      <c r="J10" s="47">
        <f ca="1"/>
        <v>0</v>
      </c>
      <c r="K10" s="47">
        <f ca="1"/>
        <v>0</v>
      </c>
      <c r="L10" s="47">
        <f ca="1"/>
        <v>0</v>
      </c>
      <c r="M10" s="47">
        <f ca="1"/>
        <v>0</v>
      </c>
      <c r="N10" s="47">
        <f ca="1"/>
        <v>0</v>
      </c>
      <c r="O10" s="47">
        <f ca="1"/>
        <v>0</v>
      </c>
      <c r="P10" s="47">
        <f ca="1"/>
        <v>0</v>
      </c>
      <c r="Q10" s="49">
        <f ca="1"/>
        <v>0</v>
      </c>
      <c r="R10" s="49">
        <f ca="1"/>
        <v>0</v>
      </c>
      <c r="S10" s="49">
        <f ca="1"/>
        <v>0</v>
      </c>
      <c r="T10" s="49">
        <f ca="1"/>
        <v>0</v>
      </c>
      <c r="U10" s="49">
        <f ca="1"/>
        <v>0</v>
      </c>
      <c r="V10" s="49">
        <f ca="1"/>
        <v>0</v>
      </c>
      <c r="W10" s="49">
        <f ca="1"/>
        <v>0</v>
      </c>
      <c r="X10" s="49">
        <f ca="1"/>
        <v>0</v>
      </c>
      <c r="Y10" s="49">
        <f ca="1"/>
        <v>0</v>
      </c>
      <c r="Z10" s="49">
        <f ca="1"/>
        <v>0</v>
      </c>
      <c r="AA10" s="1315">
        <f ca="1"/>
        <v>0</v>
      </c>
      <c r="AB10" s="14"/>
    </row>
    <row r="11" spans="1:28" s="10" customFormat="1" ht="15" hidden="1" customHeight="1" x14ac:dyDescent="0.45">
      <c r="A11" s="1858"/>
      <c r="B11" s="1860"/>
      <c r="C11" s="7" t="s">
        <v>401</v>
      </c>
      <c r="D11" s="596">
        <f ca="1"/>
        <v>0</v>
      </c>
      <c r="E11" s="596">
        <f ca="1"/>
        <v>0</v>
      </c>
      <c r="F11" s="596">
        <f ca="1"/>
        <v>0</v>
      </c>
      <c r="G11" s="596">
        <f ca="1"/>
        <v>0</v>
      </c>
      <c r="H11" s="596">
        <f ca="1"/>
        <v>0</v>
      </c>
      <c r="I11" s="596">
        <f ca="1"/>
        <v>0</v>
      </c>
      <c r="J11" s="596">
        <f ca="1"/>
        <v>0</v>
      </c>
      <c r="K11" s="596">
        <f ca="1"/>
        <v>0</v>
      </c>
      <c r="L11" s="596">
        <f ca="1"/>
        <v>0</v>
      </c>
      <c r="M11" s="597">
        <f ca="1"/>
        <v>0</v>
      </c>
      <c r="N11" s="597">
        <f ca="1"/>
        <v>0</v>
      </c>
      <c r="O11" s="597">
        <f ca="1"/>
        <v>0</v>
      </c>
      <c r="P11" s="597">
        <f ca="1"/>
        <v>0</v>
      </c>
      <c r="Q11" s="597">
        <f ca="1"/>
        <v>0</v>
      </c>
      <c r="R11" s="597">
        <f ca="1"/>
        <v>0</v>
      </c>
      <c r="S11" s="597">
        <f ca="1"/>
        <v>0</v>
      </c>
      <c r="T11" s="597">
        <f ca="1"/>
        <v>0</v>
      </c>
      <c r="U11" s="597">
        <f ca="1"/>
        <v>0</v>
      </c>
      <c r="V11" s="597">
        <f ca="1"/>
        <v>0</v>
      </c>
      <c r="W11" s="597">
        <f ca="1"/>
        <v>0</v>
      </c>
      <c r="X11" s="597">
        <f ca="1"/>
        <v>0</v>
      </c>
      <c r="Y11" s="597">
        <f ca="1"/>
        <v>0</v>
      </c>
      <c r="Z11" s="597">
        <f ca="1"/>
        <v>0</v>
      </c>
      <c r="AA11" s="1317">
        <f ca="1"/>
        <v>0</v>
      </c>
      <c r="AB11" s="14"/>
    </row>
    <row r="12" spans="1:28" s="10" customFormat="1" ht="15" hidden="1" customHeight="1" x14ac:dyDescent="0.45">
      <c r="A12" s="1858"/>
      <c r="B12" s="1861"/>
      <c r="C12" s="7" t="s">
        <v>400</v>
      </c>
      <c r="D12" s="47">
        <f ca="1"/>
        <v>0</v>
      </c>
      <c r="E12" s="47">
        <f ca="1"/>
        <v>0</v>
      </c>
      <c r="F12" s="47">
        <f ca="1"/>
        <v>0</v>
      </c>
      <c r="G12" s="47">
        <f ca="1"/>
        <v>0</v>
      </c>
      <c r="H12" s="47">
        <f ca="1"/>
        <v>0</v>
      </c>
      <c r="I12" s="47">
        <f ca="1"/>
        <v>0</v>
      </c>
      <c r="J12" s="47">
        <f ca="1"/>
        <v>0</v>
      </c>
      <c r="K12" s="47">
        <f ca="1"/>
        <v>0</v>
      </c>
      <c r="L12" s="47">
        <f ca="1"/>
        <v>0</v>
      </c>
      <c r="M12" s="47">
        <f ca="1"/>
        <v>0</v>
      </c>
      <c r="N12" s="47">
        <f ca="1"/>
        <v>0</v>
      </c>
      <c r="O12" s="47">
        <f ca="1"/>
        <v>0</v>
      </c>
      <c r="P12" s="47">
        <f ca="1"/>
        <v>0</v>
      </c>
      <c r="Q12" s="47">
        <f ca="1"/>
        <v>0</v>
      </c>
      <c r="R12" s="47">
        <f ca="1"/>
        <v>0</v>
      </c>
      <c r="S12" s="47">
        <f ca="1"/>
        <v>0</v>
      </c>
      <c r="T12" s="47">
        <f ca="1"/>
        <v>0</v>
      </c>
      <c r="U12" s="47">
        <f ca="1"/>
        <v>0</v>
      </c>
      <c r="V12" s="47">
        <f ca="1"/>
        <v>0</v>
      </c>
      <c r="W12" s="47">
        <f ca="1"/>
        <v>0</v>
      </c>
      <c r="X12" s="49">
        <f ca="1"/>
        <v>0</v>
      </c>
      <c r="Y12" s="49">
        <f ca="1"/>
        <v>0</v>
      </c>
      <c r="Z12" s="49">
        <f ca="1"/>
        <v>0</v>
      </c>
      <c r="AA12" s="1315">
        <f ca="1"/>
        <v>0</v>
      </c>
      <c r="AB12" s="14"/>
    </row>
    <row r="13" spans="1:28" s="10" customFormat="1" ht="15" hidden="1" customHeight="1" x14ac:dyDescent="0.45">
      <c r="A13" s="1858"/>
      <c r="B13" s="1780" t="s">
        <v>405</v>
      </c>
      <c r="C13" s="39" t="s">
        <v>399</v>
      </c>
      <c r="D13" s="51">
        <f ca="1"/>
        <v>0</v>
      </c>
      <c r="E13" s="51">
        <f ca="1"/>
        <v>0</v>
      </c>
      <c r="F13" s="51">
        <f ca="1"/>
        <v>0</v>
      </c>
      <c r="G13" s="51">
        <f ca="1"/>
        <v>0</v>
      </c>
      <c r="H13" s="51">
        <f ca="1"/>
        <v>0</v>
      </c>
      <c r="I13" s="51">
        <f ca="1"/>
        <v>0</v>
      </c>
      <c r="J13" s="51">
        <f ca="1"/>
        <v>0</v>
      </c>
      <c r="K13" s="51">
        <f ca="1"/>
        <v>0</v>
      </c>
      <c r="L13" s="51">
        <f ca="1"/>
        <v>0</v>
      </c>
      <c r="M13" s="53">
        <f ca="1"/>
        <v>0</v>
      </c>
      <c r="N13" s="53">
        <f ca="1"/>
        <v>0</v>
      </c>
      <c r="O13" s="53">
        <f ca="1"/>
        <v>0</v>
      </c>
      <c r="P13" s="53">
        <f ca="1"/>
        <v>0</v>
      </c>
      <c r="Q13" s="53">
        <f ca="1"/>
        <v>0</v>
      </c>
      <c r="R13" s="53">
        <f ca="1"/>
        <v>0</v>
      </c>
      <c r="S13" s="53">
        <f ca="1"/>
        <v>0</v>
      </c>
      <c r="T13" s="53">
        <f ca="1"/>
        <v>0</v>
      </c>
      <c r="U13" s="53">
        <f ca="1"/>
        <v>0</v>
      </c>
      <c r="V13" s="53">
        <f ca="1"/>
        <v>0</v>
      </c>
      <c r="W13" s="53">
        <f ca="1"/>
        <v>0</v>
      </c>
      <c r="X13" s="53">
        <f ca="1"/>
        <v>0</v>
      </c>
      <c r="Y13" s="53">
        <f ca="1"/>
        <v>0</v>
      </c>
      <c r="Z13" s="53">
        <f ca="1"/>
        <v>0</v>
      </c>
      <c r="AA13" s="1316">
        <f ca="1"/>
        <v>0</v>
      </c>
      <c r="AB13" s="14"/>
    </row>
    <row r="14" spans="1:28" s="10" customFormat="1" ht="15" hidden="1" customHeight="1" x14ac:dyDescent="0.45">
      <c r="A14" s="1858"/>
      <c r="B14" s="1780"/>
      <c r="C14" s="8" t="s">
        <v>401</v>
      </c>
      <c r="D14" s="44">
        <f ca="1"/>
        <v>0</v>
      </c>
      <c r="E14" s="44">
        <f ca="1"/>
        <v>0</v>
      </c>
      <c r="F14" s="44">
        <f ca="1"/>
        <v>0</v>
      </c>
      <c r="G14" s="44">
        <f ca="1"/>
        <v>0</v>
      </c>
      <c r="H14" s="44">
        <f ca="1"/>
        <v>0</v>
      </c>
      <c r="I14" s="44">
        <f ca="1"/>
        <v>0</v>
      </c>
      <c r="J14" s="44">
        <f ca="1"/>
        <v>0</v>
      </c>
      <c r="K14" s="44">
        <f ca="1"/>
        <v>0</v>
      </c>
      <c r="L14" s="44">
        <f ca="1"/>
        <v>0</v>
      </c>
      <c r="M14" s="44">
        <f ca="1"/>
        <v>0</v>
      </c>
      <c r="N14" s="44">
        <f ca="1"/>
        <v>0</v>
      </c>
      <c r="O14" s="44">
        <f ca="1"/>
        <v>0</v>
      </c>
      <c r="P14" s="44">
        <f ca="1"/>
        <v>0</v>
      </c>
      <c r="Q14" s="44">
        <f ca="1"/>
        <v>0</v>
      </c>
      <c r="R14" s="44">
        <f ca="1"/>
        <v>0</v>
      </c>
      <c r="S14" s="44">
        <f ca="1"/>
        <v>0</v>
      </c>
      <c r="T14" s="44">
        <f ca="1"/>
        <v>0</v>
      </c>
      <c r="U14" s="44">
        <f ca="1"/>
        <v>0</v>
      </c>
      <c r="V14" s="44">
        <f ca="1"/>
        <v>0</v>
      </c>
      <c r="W14" s="44">
        <f ca="1"/>
        <v>0</v>
      </c>
      <c r="X14" s="55">
        <f ca="1"/>
        <v>0</v>
      </c>
      <c r="Y14" s="55">
        <f ca="1"/>
        <v>0</v>
      </c>
      <c r="Z14" s="55">
        <f ca="1"/>
        <v>0</v>
      </c>
      <c r="AA14" s="1314">
        <f ca="1"/>
        <v>0</v>
      </c>
      <c r="AB14" s="14"/>
    </row>
    <row r="15" spans="1:28" s="10" customFormat="1" ht="15" hidden="1" customHeight="1" x14ac:dyDescent="0.45">
      <c r="A15" s="1858"/>
      <c r="B15" s="1780"/>
      <c r="C15" s="8" t="s">
        <v>400</v>
      </c>
      <c r="D15" s="44">
        <f ca="1"/>
        <v>0</v>
      </c>
      <c r="E15" s="44">
        <f ca="1"/>
        <v>0</v>
      </c>
      <c r="F15" s="44">
        <f ca="1"/>
        <v>0</v>
      </c>
      <c r="G15" s="44">
        <f ca="1"/>
        <v>0</v>
      </c>
      <c r="H15" s="44">
        <f ca="1"/>
        <v>0</v>
      </c>
      <c r="I15" s="44">
        <f ca="1"/>
        <v>0</v>
      </c>
      <c r="J15" s="44">
        <f ca="1"/>
        <v>0</v>
      </c>
      <c r="K15" s="44">
        <f ca="1"/>
        <v>0</v>
      </c>
      <c r="L15" s="44">
        <f ca="1"/>
        <v>0</v>
      </c>
      <c r="M15" s="44">
        <f ca="1"/>
        <v>0</v>
      </c>
      <c r="N15" s="44">
        <f ca="1"/>
        <v>0</v>
      </c>
      <c r="O15" s="44">
        <f ca="1"/>
        <v>0</v>
      </c>
      <c r="P15" s="55">
        <f ca="1"/>
        <v>0</v>
      </c>
      <c r="Q15" s="55">
        <f ca="1"/>
        <v>0</v>
      </c>
      <c r="R15" s="55">
        <f ca="1"/>
        <v>0</v>
      </c>
      <c r="S15" s="55">
        <f ca="1"/>
        <v>0</v>
      </c>
      <c r="T15" s="55">
        <f ca="1"/>
        <v>0</v>
      </c>
      <c r="U15" s="55">
        <f ca="1"/>
        <v>0</v>
      </c>
      <c r="V15" s="55">
        <f ca="1"/>
        <v>0</v>
      </c>
      <c r="W15" s="55">
        <f ca="1"/>
        <v>0</v>
      </c>
      <c r="X15" s="55">
        <f ca="1"/>
        <v>0</v>
      </c>
      <c r="Y15" s="55">
        <f ca="1"/>
        <v>0</v>
      </c>
      <c r="Z15" s="55">
        <f ca="1"/>
        <v>0</v>
      </c>
      <c r="AA15" s="1314">
        <f ca="1"/>
        <v>0</v>
      </c>
      <c r="AB15" s="14"/>
    </row>
    <row r="16" spans="1:28" s="10" customFormat="1" ht="15" hidden="1" customHeight="1" x14ac:dyDescent="0.45">
      <c r="A16" s="1858"/>
      <c r="B16" s="1860" t="s">
        <v>406</v>
      </c>
      <c r="C16" s="598" t="s">
        <v>399</v>
      </c>
      <c r="D16" s="47">
        <f ca="1"/>
        <v>15</v>
      </c>
      <c r="E16" s="47">
        <f ca="1"/>
        <v>15</v>
      </c>
      <c r="F16" s="47">
        <f ca="1"/>
        <v>15</v>
      </c>
      <c r="G16" s="47">
        <f ca="1"/>
        <v>15</v>
      </c>
      <c r="H16" s="47">
        <f ca="1"/>
        <v>15</v>
      </c>
      <c r="I16" s="47">
        <f ca="1"/>
        <v>15</v>
      </c>
      <c r="J16" s="47">
        <f ca="1"/>
        <v>15</v>
      </c>
      <c r="K16" s="47">
        <f ca="1"/>
        <v>15</v>
      </c>
      <c r="L16" s="47">
        <f ca="1"/>
        <v>15</v>
      </c>
      <c r="M16" s="47">
        <f ca="1"/>
        <v>0</v>
      </c>
      <c r="N16" s="47">
        <f ca="1"/>
        <v>0</v>
      </c>
      <c r="O16" s="47">
        <f ca="1"/>
        <v>15</v>
      </c>
      <c r="P16" s="47">
        <f ca="1"/>
        <v>15</v>
      </c>
      <c r="Q16" s="49">
        <f ca="1"/>
        <v>15</v>
      </c>
      <c r="R16" s="49">
        <f ca="1"/>
        <v>15</v>
      </c>
      <c r="S16" s="49">
        <f ca="1"/>
        <v>15</v>
      </c>
      <c r="T16" s="49">
        <f ca="1"/>
        <v>0</v>
      </c>
      <c r="U16" s="49">
        <f ca="1"/>
        <v>15</v>
      </c>
      <c r="V16" s="49">
        <f ca="1"/>
        <v>15</v>
      </c>
      <c r="W16" s="49">
        <f ca="1"/>
        <v>0</v>
      </c>
      <c r="X16" s="49">
        <f ca="1"/>
        <v>0</v>
      </c>
      <c r="Y16" s="49">
        <f ca="1"/>
        <v>0</v>
      </c>
      <c r="Z16" s="49">
        <f ca="1"/>
        <v>0</v>
      </c>
      <c r="AA16" s="1315">
        <f ca="1"/>
        <v>0</v>
      </c>
      <c r="AB16" s="14"/>
    </row>
    <row r="17" spans="1:28" s="10" customFormat="1" ht="15" hidden="1" customHeight="1" x14ac:dyDescent="0.45">
      <c r="A17" s="1858"/>
      <c r="B17" s="1860"/>
      <c r="C17" s="7" t="s">
        <v>401</v>
      </c>
      <c r="D17" s="596">
        <f ca="1"/>
        <v>15</v>
      </c>
      <c r="E17" s="596">
        <f ca="1"/>
        <v>15</v>
      </c>
      <c r="F17" s="596">
        <f ca="1"/>
        <v>15</v>
      </c>
      <c r="G17" s="596">
        <f ca="1"/>
        <v>15</v>
      </c>
      <c r="H17" s="596">
        <f ca="1"/>
        <v>15</v>
      </c>
      <c r="I17" s="596">
        <f ca="1"/>
        <v>15</v>
      </c>
      <c r="J17" s="596">
        <f ca="1"/>
        <v>15</v>
      </c>
      <c r="K17" s="596">
        <f ca="1"/>
        <v>15</v>
      </c>
      <c r="L17" s="596">
        <f ca="1"/>
        <v>15</v>
      </c>
      <c r="M17" s="597">
        <f ca="1"/>
        <v>0</v>
      </c>
      <c r="N17" s="597">
        <f ca="1"/>
        <v>0</v>
      </c>
      <c r="O17" s="597">
        <f ca="1"/>
        <v>15</v>
      </c>
      <c r="P17" s="597">
        <f ca="1"/>
        <v>15</v>
      </c>
      <c r="Q17" s="597">
        <f ca="1"/>
        <v>15</v>
      </c>
      <c r="R17" s="597">
        <f ca="1"/>
        <v>15</v>
      </c>
      <c r="S17" s="597">
        <f ca="1"/>
        <v>15</v>
      </c>
      <c r="T17" s="597">
        <f ca="1"/>
        <v>0</v>
      </c>
      <c r="U17" s="597">
        <f ca="1"/>
        <v>15</v>
      </c>
      <c r="V17" s="597">
        <f ca="1"/>
        <v>15</v>
      </c>
      <c r="W17" s="597">
        <f ca="1"/>
        <v>0</v>
      </c>
      <c r="X17" s="597">
        <f ca="1"/>
        <v>0</v>
      </c>
      <c r="Y17" s="597">
        <f ca="1"/>
        <v>0</v>
      </c>
      <c r="Z17" s="597">
        <f ca="1"/>
        <v>0</v>
      </c>
      <c r="AA17" s="1317">
        <f ca="1"/>
        <v>0</v>
      </c>
      <c r="AB17" s="14"/>
    </row>
    <row r="18" spans="1:28" s="10" customFormat="1" ht="15" hidden="1" customHeight="1" x14ac:dyDescent="0.45">
      <c r="A18" s="1858"/>
      <c r="B18" s="1861"/>
      <c r="C18" s="7" t="s">
        <v>400</v>
      </c>
      <c r="D18" s="47">
        <f ca="1"/>
        <v>15</v>
      </c>
      <c r="E18" s="47">
        <f ca="1"/>
        <v>15</v>
      </c>
      <c r="F18" s="47">
        <f ca="1"/>
        <v>15</v>
      </c>
      <c r="G18" s="47">
        <f ca="1"/>
        <v>15</v>
      </c>
      <c r="H18" s="47">
        <f ca="1"/>
        <v>15</v>
      </c>
      <c r="I18" s="47">
        <f ca="1"/>
        <v>15</v>
      </c>
      <c r="J18" s="47">
        <f ca="1"/>
        <v>15</v>
      </c>
      <c r="K18" s="47">
        <f ca="1"/>
        <v>15</v>
      </c>
      <c r="L18" s="47">
        <f ca="1"/>
        <v>15</v>
      </c>
      <c r="M18" s="47">
        <f ca="1"/>
        <v>0</v>
      </c>
      <c r="N18" s="47">
        <f ca="1"/>
        <v>0</v>
      </c>
      <c r="O18" s="47">
        <f ca="1"/>
        <v>15</v>
      </c>
      <c r="P18" s="47">
        <f ca="1"/>
        <v>15</v>
      </c>
      <c r="Q18" s="47">
        <f ca="1"/>
        <v>15</v>
      </c>
      <c r="R18" s="47">
        <f ca="1"/>
        <v>15</v>
      </c>
      <c r="S18" s="47">
        <f ca="1"/>
        <v>15</v>
      </c>
      <c r="T18" s="47">
        <f ca="1"/>
        <v>0</v>
      </c>
      <c r="U18" s="47">
        <f ca="1"/>
        <v>15</v>
      </c>
      <c r="V18" s="47">
        <f ca="1"/>
        <v>15</v>
      </c>
      <c r="W18" s="47">
        <f ca="1"/>
        <v>0</v>
      </c>
      <c r="X18" s="49">
        <f ca="1"/>
        <v>0</v>
      </c>
      <c r="Y18" s="49">
        <f ca="1"/>
        <v>0</v>
      </c>
      <c r="Z18" s="49">
        <f ca="1"/>
        <v>0</v>
      </c>
      <c r="AA18" s="1315">
        <f ca="1"/>
        <v>0</v>
      </c>
      <c r="AB18" s="14"/>
    </row>
    <row r="19" spans="1:28" s="10" customFormat="1" ht="15" hidden="1" customHeight="1" x14ac:dyDescent="0.45">
      <c r="A19" s="1858"/>
      <c r="B19" s="1780" t="s">
        <v>407</v>
      </c>
      <c r="C19" s="39" t="s">
        <v>399</v>
      </c>
      <c r="D19" s="51">
        <f ca="1"/>
        <v>0</v>
      </c>
      <c r="E19" s="51">
        <f ca="1"/>
        <v>0</v>
      </c>
      <c r="F19" s="51">
        <f ca="1"/>
        <v>0</v>
      </c>
      <c r="G19" s="51">
        <f ca="1"/>
        <v>0</v>
      </c>
      <c r="H19" s="51">
        <f ca="1"/>
        <v>0</v>
      </c>
      <c r="I19" s="51">
        <f ca="1"/>
        <v>0</v>
      </c>
      <c r="J19" s="51">
        <f ca="1"/>
        <v>0</v>
      </c>
      <c r="K19" s="51">
        <f ca="1"/>
        <v>0</v>
      </c>
      <c r="L19" s="51">
        <f ca="1"/>
        <v>0</v>
      </c>
      <c r="M19" s="53">
        <f ca="1"/>
        <v>0</v>
      </c>
      <c r="N19" s="53">
        <f ca="1"/>
        <v>0</v>
      </c>
      <c r="O19" s="53">
        <f ca="1"/>
        <v>0</v>
      </c>
      <c r="P19" s="53">
        <f ca="1"/>
        <v>0</v>
      </c>
      <c r="Q19" s="53">
        <f ca="1"/>
        <v>0</v>
      </c>
      <c r="R19" s="53">
        <f ca="1"/>
        <v>0</v>
      </c>
      <c r="S19" s="53">
        <f ca="1"/>
        <v>0</v>
      </c>
      <c r="T19" s="53">
        <f ca="1"/>
        <v>0</v>
      </c>
      <c r="U19" s="53">
        <f ca="1"/>
        <v>0</v>
      </c>
      <c r="V19" s="53">
        <f ca="1"/>
        <v>0</v>
      </c>
      <c r="W19" s="53">
        <f ca="1"/>
        <v>0</v>
      </c>
      <c r="X19" s="53">
        <f ca="1"/>
        <v>0</v>
      </c>
      <c r="Y19" s="53">
        <f ca="1"/>
        <v>0</v>
      </c>
      <c r="Z19" s="53">
        <f ca="1"/>
        <v>0</v>
      </c>
      <c r="AA19" s="1316">
        <f ca="1"/>
        <v>0</v>
      </c>
      <c r="AB19" s="14"/>
    </row>
    <row r="20" spans="1:28" s="10" customFormat="1" ht="15" hidden="1" customHeight="1" x14ac:dyDescent="0.45">
      <c r="A20" s="1858"/>
      <c r="B20" s="1780"/>
      <c r="C20" s="8" t="s">
        <v>401</v>
      </c>
      <c r="D20" s="44">
        <f ca="1"/>
        <v>0</v>
      </c>
      <c r="E20" s="44">
        <f ca="1"/>
        <v>0</v>
      </c>
      <c r="F20" s="44">
        <f ca="1"/>
        <v>0</v>
      </c>
      <c r="G20" s="44">
        <f ca="1"/>
        <v>0</v>
      </c>
      <c r="H20" s="44">
        <f ca="1"/>
        <v>0</v>
      </c>
      <c r="I20" s="44">
        <f ca="1"/>
        <v>0</v>
      </c>
      <c r="J20" s="44">
        <f ca="1"/>
        <v>0</v>
      </c>
      <c r="K20" s="44">
        <f ca="1"/>
        <v>0</v>
      </c>
      <c r="L20" s="44">
        <f ca="1"/>
        <v>0</v>
      </c>
      <c r="M20" s="44">
        <f ca="1"/>
        <v>0</v>
      </c>
      <c r="N20" s="44">
        <f ca="1"/>
        <v>0</v>
      </c>
      <c r="O20" s="44">
        <f ca="1"/>
        <v>0</v>
      </c>
      <c r="P20" s="44">
        <f ca="1"/>
        <v>0</v>
      </c>
      <c r="Q20" s="44">
        <f ca="1"/>
        <v>0</v>
      </c>
      <c r="R20" s="44">
        <f ca="1"/>
        <v>0</v>
      </c>
      <c r="S20" s="44">
        <f ca="1"/>
        <v>0</v>
      </c>
      <c r="T20" s="44">
        <f ca="1"/>
        <v>0</v>
      </c>
      <c r="U20" s="44">
        <f ca="1"/>
        <v>0</v>
      </c>
      <c r="V20" s="44">
        <f ca="1"/>
        <v>0</v>
      </c>
      <c r="W20" s="44">
        <f ca="1"/>
        <v>0</v>
      </c>
      <c r="X20" s="55">
        <f ca="1"/>
        <v>0</v>
      </c>
      <c r="Y20" s="55">
        <f ca="1"/>
        <v>0</v>
      </c>
      <c r="Z20" s="55">
        <f ca="1"/>
        <v>0</v>
      </c>
      <c r="AA20" s="1314">
        <f ca="1"/>
        <v>0</v>
      </c>
      <c r="AB20" s="14"/>
    </row>
    <row r="21" spans="1:28" s="10" customFormat="1" ht="15" hidden="1" customHeight="1" x14ac:dyDescent="0.45">
      <c r="A21" s="1858"/>
      <c r="B21" s="1862"/>
      <c r="C21" s="8" t="s">
        <v>400</v>
      </c>
      <c r="D21" s="44">
        <f ca="1"/>
        <v>0</v>
      </c>
      <c r="E21" s="44">
        <f ca="1"/>
        <v>0</v>
      </c>
      <c r="F21" s="44">
        <f ca="1"/>
        <v>0</v>
      </c>
      <c r="G21" s="44">
        <f ca="1"/>
        <v>0</v>
      </c>
      <c r="H21" s="44">
        <f ca="1"/>
        <v>0</v>
      </c>
      <c r="I21" s="44">
        <f ca="1"/>
        <v>0</v>
      </c>
      <c r="J21" s="44">
        <f ca="1"/>
        <v>0</v>
      </c>
      <c r="K21" s="44">
        <f ca="1"/>
        <v>0</v>
      </c>
      <c r="L21" s="44">
        <f ca="1"/>
        <v>0</v>
      </c>
      <c r="M21" s="44">
        <f ca="1"/>
        <v>0</v>
      </c>
      <c r="N21" s="44">
        <f ca="1"/>
        <v>0</v>
      </c>
      <c r="O21" s="44">
        <f ca="1"/>
        <v>0</v>
      </c>
      <c r="P21" s="55">
        <f ca="1"/>
        <v>0</v>
      </c>
      <c r="Q21" s="55">
        <f ca="1"/>
        <v>0</v>
      </c>
      <c r="R21" s="55">
        <f ca="1"/>
        <v>0</v>
      </c>
      <c r="S21" s="55">
        <f ca="1"/>
        <v>0</v>
      </c>
      <c r="T21" s="55">
        <f ca="1"/>
        <v>0</v>
      </c>
      <c r="U21" s="55">
        <f ca="1"/>
        <v>0</v>
      </c>
      <c r="V21" s="55">
        <f ca="1"/>
        <v>0</v>
      </c>
      <c r="W21" s="55">
        <f ca="1"/>
        <v>0</v>
      </c>
      <c r="X21" s="55">
        <f ca="1"/>
        <v>0</v>
      </c>
      <c r="Y21" s="55">
        <f ca="1"/>
        <v>0</v>
      </c>
      <c r="Z21" s="55">
        <f ca="1"/>
        <v>0</v>
      </c>
      <c r="AA21" s="1314">
        <f ca="1"/>
        <v>0</v>
      </c>
      <c r="AB21" s="14"/>
    </row>
    <row r="22" spans="1:28" s="10" customFormat="1" ht="15" hidden="1" customHeight="1" x14ac:dyDescent="0.45">
      <c r="A22" s="1858"/>
      <c r="B22" s="1860" t="s">
        <v>413</v>
      </c>
      <c r="C22" s="598" t="s">
        <v>399</v>
      </c>
      <c r="D22" s="47">
        <f ca="1"/>
        <v>0</v>
      </c>
      <c r="E22" s="47">
        <f ca="1"/>
        <v>0</v>
      </c>
      <c r="F22" s="47">
        <f ca="1"/>
        <v>0</v>
      </c>
      <c r="G22" s="47">
        <f ca="1"/>
        <v>0</v>
      </c>
      <c r="H22" s="47">
        <f ca="1"/>
        <v>0</v>
      </c>
      <c r="I22" s="47">
        <f ca="1"/>
        <v>0</v>
      </c>
      <c r="J22" s="47">
        <f ca="1"/>
        <v>0</v>
      </c>
      <c r="K22" s="47">
        <f ca="1"/>
        <v>0</v>
      </c>
      <c r="L22" s="47">
        <f ca="1"/>
        <v>0</v>
      </c>
      <c r="M22" s="47">
        <f ca="1"/>
        <v>0</v>
      </c>
      <c r="N22" s="47">
        <f ca="1"/>
        <v>0</v>
      </c>
      <c r="O22" s="47">
        <f ca="1"/>
        <v>0</v>
      </c>
      <c r="P22" s="47">
        <f ca="1"/>
        <v>0</v>
      </c>
      <c r="Q22" s="49">
        <f ca="1"/>
        <v>0</v>
      </c>
      <c r="R22" s="49">
        <f ca="1"/>
        <v>0</v>
      </c>
      <c r="S22" s="49">
        <f ca="1"/>
        <v>0</v>
      </c>
      <c r="T22" s="49">
        <f ca="1"/>
        <v>0</v>
      </c>
      <c r="U22" s="49">
        <f ca="1"/>
        <v>0</v>
      </c>
      <c r="V22" s="49">
        <f ca="1"/>
        <v>0</v>
      </c>
      <c r="W22" s="49">
        <f ca="1"/>
        <v>0</v>
      </c>
      <c r="X22" s="49">
        <f ca="1"/>
        <v>0</v>
      </c>
      <c r="Y22" s="49">
        <f ca="1"/>
        <v>0</v>
      </c>
      <c r="Z22" s="49">
        <f ca="1"/>
        <v>0</v>
      </c>
      <c r="AA22" s="1315">
        <f ca="1"/>
        <v>0</v>
      </c>
      <c r="AB22" s="14"/>
    </row>
    <row r="23" spans="1:28" s="10" customFormat="1" ht="15" hidden="1" customHeight="1" x14ac:dyDescent="0.45">
      <c r="A23" s="1858"/>
      <c r="B23" s="1860"/>
      <c r="C23" s="7" t="s">
        <v>401</v>
      </c>
      <c r="D23" s="596">
        <f ca="1"/>
        <v>0</v>
      </c>
      <c r="E23" s="596">
        <f ca="1"/>
        <v>0</v>
      </c>
      <c r="F23" s="596">
        <f ca="1"/>
        <v>0</v>
      </c>
      <c r="G23" s="596">
        <f ca="1"/>
        <v>0</v>
      </c>
      <c r="H23" s="596">
        <f ca="1"/>
        <v>0</v>
      </c>
      <c r="I23" s="596">
        <f ca="1"/>
        <v>0</v>
      </c>
      <c r="J23" s="596">
        <f ca="1"/>
        <v>0</v>
      </c>
      <c r="K23" s="596">
        <f ca="1"/>
        <v>0</v>
      </c>
      <c r="L23" s="596">
        <f ca="1"/>
        <v>0</v>
      </c>
      <c r="M23" s="597">
        <f ca="1"/>
        <v>0</v>
      </c>
      <c r="N23" s="597">
        <f ca="1"/>
        <v>0</v>
      </c>
      <c r="O23" s="597">
        <f ca="1"/>
        <v>0</v>
      </c>
      <c r="P23" s="597">
        <f ca="1"/>
        <v>0</v>
      </c>
      <c r="Q23" s="597">
        <f ca="1"/>
        <v>0</v>
      </c>
      <c r="R23" s="597">
        <f ca="1"/>
        <v>0</v>
      </c>
      <c r="S23" s="597">
        <f ca="1"/>
        <v>0</v>
      </c>
      <c r="T23" s="597">
        <f ca="1"/>
        <v>0</v>
      </c>
      <c r="U23" s="597">
        <f ca="1"/>
        <v>0</v>
      </c>
      <c r="V23" s="597">
        <f ca="1"/>
        <v>0</v>
      </c>
      <c r="W23" s="597">
        <f ca="1"/>
        <v>0</v>
      </c>
      <c r="X23" s="597">
        <f ca="1"/>
        <v>0</v>
      </c>
      <c r="Y23" s="597">
        <f ca="1"/>
        <v>0</v>
      </c>
      <c r="Z23" s="597">
        <f ca="1"/>
        <v>0</v>
      </c>
      <c r="AA23" s="1317">
        <f ca="1"/>
        <v>0</v>
      </c>
      <c r="AB23" s="14"/>
    </row>
    <row r="24" spans="1:28" s="10" customFormat="1" ht="15" hidden="1" customHeight="1" x14ac:dyDescent="0.45">
      <c r="A24" s="1858"/>
      <c r="B24" s="1861"/>
      <c r="C24" s="7" t="s">
        <v>400</v>
      </c>
      <c r="D24" s="47">
        <f ca="1"/>
        <v>0</v>
      </c>
      <c r="E24" s="47">
        <f ca="1"/>
        <v>0</v>
      </c>
      <c r="F24" s="47">
        <f ca="1"/>
        <v>0</v>
      </c>
      <c r="G24" s="47">
        <f ca="1"/>
        <v>0</v>
      </c>
      <c r="H24" s="47">
        <f ca="1"/>
        <v>0</v>
      </c>
      <c r="I24" s="47">
        <f ca="1"/>
        <v>0</v>
      </c>
      <c r="J24" s="47">
        <f ca="1"/>
        <v>0</v>
      </c>
      <c r="K24" s="47">
        <f ca="1"/>
        <v>0</v>
      </c>
      <c r="L24" s="47">
        <f ca="1"/>
        <v>0</v>
      </c>
      <c r="M24" s="47">
        <f ca="1"/>
        <v>0</v>
      </c>
      <c r="N24" s="47">
        <f ca="1"/>
        <v>0</v>
      </c>
      <c r="O24" s="47">
        <f ca="1"/>
        <v>0</v>
      </c>
      <c r="P24" s="47">
        <f ca="1"/>
        <v>0</v>
      </c>
      <c r="Q24" s="47">
        <f ca="1"/>
        <v>0</v>
      </c>
      <c r="R24" s="47">
        <f ca="1"/>
        <v>0</v>
      </c>
      <c r="S24" s="47">
        <f ca="1"/>
        <v>0</v>
      </c>
      <c r="T24" s="47">
        <f ca="1"/>
        <v>0</v>
      </c>
      <c r="U24" s="47">
        <f ca="1"/>
        <v>0</v>
      </c>
      <c r="V24" s="47">
        <f ca="1"/>
        <v>0</v>
      </c>
      <c r="W24" s="47">
        <f ca="1"/>
        <v>0</v>
      </c>
      <c r="X24" s="49">
        <f ca="1"/>
        <v>0</v>
      </c>
      <c r="Y24" s="49">
        <f ca="1"/>
        <v>0</v>
      </c>
      <c r="Z24" s="49">
        <f ca="1"/>
        <v>0</v>
      </c>
      <c r="AA24" s="1315">
        <f ca="1"/>
        <v>0</v>
      </c>
      <c r="AB24" s="14"/>
    </row>
    <row r="25" spans="1:28" s="10" customFormat="1" ht="15" hidden="1" customHeight="1" x14ac:dyDescent="0.45">
      <c r="A25" s="1858"/>
      <c r="B25" s="1780" t="s">
        <v>408</v>
      </c>
      <c r="C25" s="39" t="s">
        <v>399</v>
      </c>
      <c r="D25" s="51">
        <f ca="1"/>
        <v>0</v>
      </c>
      <c r="E25" s="51">
        <f ca="1"/>
        <v>0</v>
      </c>
      <c r="F25" s="51">
        <f ca="1"/>
        <v>0</v>
      </c>
      <c r="G25" s="51">
        <f ca="1"/>
        <v>0</v>
      </c>
      <c r="H25" s="51">
        <f ca="1"/>
        <v>0</v>
      </c>
      <c r="I25" s="51">
        <f ca="1"/>
        <v>0</v>
      </c>
      <c r="J25" s="51">
        <f ca="1"/>
        <v>0</v>
      </c>
      <c r="K25" s="51">
        <f ca="1"/>
        <v>0</v>
      </c>
      <c r="L25" s="51">
        <f ca="1"/>
        <v>0</v>
      </c>
      <c r="M25" s="53">
        <f ca="1"/>
        <v>0</v>
      </c>
      <c r="N25" s="53">
        <f ca="1"/>
        <v>0</v>
      </c>
      <c r="O25" s="53">
        <f ca="1"/>
        <v>0</v>
      </c>
      <c r="P25" s="53">
        <f ca="1"/>
        <v>0</v>
      </c>
      <c r="Q25" s="53">
        <f ca="1"/>
        <v>0</v>
      </c>
      <c r="R25" s="53">
        <f ca="1"/>
        <v>0</v>
      </c>
      <c r="S25" s="53">
        <f ca="1"/>
        <v>0</v>
      </c>
      <c r="T25" s="53">
        <f ca="1"/>
        <v>0</v>
      </c>
      <c r="U25" s="53">
        <f ca="1"/>
        <v>0</v>
      </c>
      <c r="V25" s="53">
        <f ca="1"/>
        <v>0</v>
      </c>
      <c r="W25" s="53">
        <f ca="1"/>
        <v>0</v>
      </c>
      <c r="X25" s="53">
        <f ca="1"/>
        <v>0</v>
      </c>
      <c r="Y25" s="53">
        <f ca="1"/>
        <v>0</v>
      </c>
      <c r="Z25" s="53">
        <f ca="1"/>
        <v>0</v>
      </c>
      <c r="AA25" s="1316">
        <f ca="1"/>
        <v>0</v>
      </c>
      <c r="AB25" s="14"/>
    </row>
    <row r="26" spans="1:28" s="10" customFormat="1" ht="15" hidden="1" customHeight="1" x14ac:dyDescent="0.45">
      <c r="A26" s="1858"/>
      <c r="B26" s="1780"/>
      <c r="C26" s="8" t="s">
        <v>401</v>
      </c>
      <c r="D26" s="44">
        <f ca="1"/>
        <v>0</v>
      </c>
      <c r="E26" s="44">
        <f ca="1"/>
        <v>0</v>
      </c>
      <c r="F26" s="44">
        <f ca="1"/>
        <v>0</v>
      </c>
      <c r="G26" s="44">
        <f ca="1"/>
        <v>0</v>
      </c>
      <c r="H26" s="44">
        <f ca="1"/>
        <v>0</v>
      </c>
      <c r="I26" s="44">
        <f ca="1"/>
        <v>0</v>
      </c>
      <c r="J26" s="44">
        <f ca="1"/>
        <v>0</v>
      </c>
      <c r="K26" s="44">
        <f ca="1"/>
        <v>0</v>
      </c>
      <c r="L26" s="44">
        <f ca="1"/>
        <v>0</v>
      </c>
      <c r="M26" s="44">
        <f ca="1"/>
        <v>0</v>
      </c>
      <c r="N26" s="44">
        <f ca="1"/>
        <v>0</v>
      </c>
      <c r="O26" s="44">
        <f ca="1"/>
        <v>0</v>
      </c>
      <c r="P26" s="44">
        <f ca="1"/>
        <v>0</v>
      </c>
      <c r="Q26" s="44">
        <f ca="1"/>
        <v>0</v>
      </c>
      <c r="R26" s="44">
        <f ca="1"/>
        <v>0</v>
      </c>
      <c r="S26" s="44">
        <f ca="1"/>
        <v>0</v>
      </c>
      <c r="T26" s="44">
        <f ca="1"/>
        <v>0</v>
      </c>
      <c r="U26" s="44">
        <f ca="1"/>
        <v>0</v>
      </c>
      <c r="V26" s="44">
        <f ca="1"/>
        <v>0</v>
      </c>
      <c r="W26" s="44">
        <f ca="1"/>
        <v>0</v>
      </c>
      <c r="X26" s="55">
        <f ca="1"/>
        <v>0</v>
      </c>
      <c r="Y26" s="55">
        <f ca="1"/>
        <v>0</v>
      </c>
      <c r="Z26" s="55">
        <f ca="1"/>
        <v>0</v>
      </c>
      <c r="AA26" s="1314">
        <f ca="1"/>
        <v>0</v>
      </c>
      <c r="AB26" s="14"/>
    </row>
    <row r="27" spans="1:28" s="10" customFormat="1" ht="15" hidden="1" customHeight="1" x14ac:dyDescent="0.45">
      <c r="A27" s="1858"/>
      <c r="B27" s="1862"/>
      <c r="C27" s="8" t="s">
        <v>400</v>
      </c>
      <c r="D27" s="44">
        <f ca="1"/>
        <v>0</v>
      </c>
      <c r="E27" s="44">
        <f ca="1"/>
        <v>0</v>
      </c>
      <c r="F27" s="44">
        <f ca="1"/>
        <v>0</v>
      </c>
      <c r="G27" s="44">
        <f ca="1"/>
        <v>0</v>
      </c>
      <c r="H27" s="44">
        <f ca="1"/>
        <v>0</v>
      </c>
      <c r="I27" s="44">
        <f ca="1"/>
        <v>0</v>
      </c>
      <c r="J27" s="44">
        <f ca="1"/>
        <v>0</v>
      </c>
      <c r="K27" s="44">
        <f ca="1"/>
        <v>0</v>
      </c>
      <c r="L27" s="44">
        <f ca="1"/>
        <v>0</v>
      </c>
      <c r="M27" s="44">
        <f ca="1"/>
        <v>0</v>
      </c>
      <c r="N27" s="44">
        <f ca="1"/>
        <v>0</v>
      </c>
      <c r="O27" s="44">
        <f ca="1"/>
        <v>0</v>
      </c>
      <c r="P27" s="55">
        <f ca="1"/>
        <v>0</v>
      </c>
      <c r="Q27" s="55">
        <f ca="1"/>
        <v>0</v>
      </c>
      <c r="R27" s="55">
        <f ca="1"/>
        <v>0</v>
      </c>
      <c r="S27" s="55">
        <f ca="1"/>
        <v>0</v>
      </c>
      <c r="T27" s="55">
        <f ca="1"/>
        <v>0</v>
      </c>
      <c r="U27" s="55">
        <f ca="1"/>
        <v>0</v>
      </c>
      <c r="V27" s="55">
        <f ca="1"/>
        <v>0</v>
      </c>
      <c r="W27" s="55">
        <f ca="1"/>
        <v>0</v>
      </c>
      <c r="X27" s="55">
        <f ca="1"/>
        <v>0</v>
      </c>
      <c r="Y27" s="55">
        <f ca="1"/>
        <v>0</v>
      </c>
      <c r="Z27" s="55">
        <f ca="1"/>
        <v>0</v>
      </c>
      <c r="AA27" s="1314">
        <f ca="1"/>
        <v>0</v>
      </c>
      <c r="AB27" s="14"/>
    </row>
    <row r="28" spans="1:28" s="10" customFormat="1" ht="15" hidden="1" customHeight="1" x14ac:dyDescent="0.45">
      <c r="A28" s="1858"/>
      <c r="B28" s="1860" t="s">
        <v>414</v>
      </c>
      <c r="C28" s="598" t="s">
        <v>399</v>
      </c>
      <c r="D28" s="47">
        <f ca="1"/>
        <v>0</v>
      </c>
      <c r="E28" s="47">
        <f ca="1"/>
        <v>0</v>
      </c>
      <c r="F28" s="47">
        <f ca="1"/>
        <v>0</v>
      </c>
      <c r="G28" s="47">
        <f ca="1"/>
        <v>0</v>
      </c>
      <c r="H28" s="47">
        <f ca="1"/>
        <v>0</v>
      </c>
      <c r="I28" s="47">
        <f ca="1"/>
        <v>0</v>
      </c>
      <c r="J28" s="47">
        <f ca="1"/>
        <v>0</v>
      </c>
      <c r="K28" s="47">
        <f ca="1"/>
        <v>0</v>
      </c>
      <c r="L28" s="47">
        <f ca="1"/>
        <v>0</v>
      </c>
      <c r="M28" s="47">
        <f ca="1"/>
        <v>0</v>
      </c>
      <c r="N28" s="47">
        <f ca="1"/>
        <v>0</v>
      </c>
      <c r="O28" s="47">
        <f ca="1"/>
        <v>15</v>
      </c>
      <c r="P28" s="47">
        <f ca="1"/>
        <v>15</v>
      </c>
      <c r="Q28" s="49">
        <f ca="1"/>
        <v>15</v>
      </c>
      <c r="R28" s="49">
        <f ca="1"/>
        <v>15</v>
      </c>
      <c r="S28" s="49">
        <f ca="1"/>
        <v>15</v>
      </c>
      <c r="T28" s="49">
        <f ca="1"/>
        <v>0</v>
      </c>
      <c r="U28" s="49">
        <f ca="1"/>
        <v>15</v>
      </c>
      <c r="V28" s="49">
        <f ca="1"/>
        <v>0</v>
      </c>
      <c r="W28" s="49">
        <f ca="1"/>
        <v>0</v>
      </c>
      <c r="X28" s="49">
        <f ca="1"/>
        <v>0</v>
      </c>
      <c r="Y28" s="49">
        <f ca="1"/>
        <v>0</v>
      </c>
      <c r="Z28" s="49">
        <f ca="1"/>
        <v>0</v>
      </c>
      <c r="AA28" s="1315">
        <f ca="1"/>
        <v>0</v>
      </c>
      <c r="AB28" s="14"/>
    </row>
    <row r="29" spans="1:28" s="10" customFormat="1" ht="15" hidden="1" customHeight="1" x14ac:dyDescent="0.45">
      <c r="A29" s="1858"/>
      <c r="B29" s="1860"/>
      <c r="C29" s="7" t="s">
        <v>401</v>
      </c>
      <c r="D29" s="596">
        <f ca="1"/>
        <v>0</v>
      </c>
      <c r="E29" s="596">
        <f ca="1"/>
        <v>0</v>
      </c>
      <c r="F29" s="596">
        <f ca="1"/>
        <v>0</v>
      </c>
      <c r="G29" s="596">
        <f ca="1"/>
        <v>0</v>
      </c>
      <c r="H29" s="596">
        <f ca="1"/>
        <v>0</v>
      </c>
      <c r="I29" s="596">
        <f ca="1"/>
        <v>0</v>
      </c>
      <c r="J29" s="596">
        <f ca="1"/>
        <v>0</v>
      </c>
      <c r="K29" s="596">
        <f ca="1"/>
        <v>0</v>
      </c>
      <c r="L29" s="596">
        <f ca="1"/>
        <v>0</v>
      </c>
      <c r="M29" s="597">
        <f ca="1"/>
        <v>0</v>
      </c>
      <c r="N29" s="597">
        <f ca="1"/>
        <v>0</v>
      </c>
      <c r="O29" s="597">
        <f ca="1"/>
        <v>15</v>
      </c>
      <c r="P29" s="597">
        <f ca="1"/>
        <v>15</v>
      </c>
      <c r="Q29" s="597">
        <f ca="1"/>
        <v>15</v>
      </c>
      <c r="R29" s="597">
        <f ca="1"/>
        <v>15</v>
      </c>
      <c r="S29" s="597">
        <f ca="1"/>
        <v>15</v>
      </c>
      <c r="T29" s="597">
        <f ca="1"/>
        <v>0</v>
      </c>
      <c r="U29" s="597">
        <f ca="1"/>
        <v>15</v>
      </c>
      <c r="V29" s="597">
        <f ca="1"/>
        <v>0</v>
      </c>
      <c r="W29" s="597">
        <f ca="1"/>
        <v>0</v>
      </c>
      <c r="X29" s="597">
        <f ca="1"/>
        <v>0</v>
      </c>
      <c r="Y29" s="597">
        <f ca="1"/>
        <v>0</v>
      </c>
      <c r="Z29" s="597">
        <f ca="1"/>
        <v>0</v>
      </c>
      <c r="AA29" s="1317">
        <f ca="1"/>
        <v>0</v>
      </c>
      <c r="AB29" s="14"/>
    </row>
    <row r="30" spans="1:28" s="10" customFormat="1" ht="15" hidden="1" customHeight="1" x14ac:dyDescent="0.45">
      <c r="A30" s="1858"/>
      <c r="B30" s="1861"/>
      <c r="C30" s="7" t="s">
        <v>400</v>
      </c>
      <c r="D30" s="47">
        <f ca="1"/>
        <v>0</v>
      </c>
      <c r="E30" s="47">
        <f ca="1"/>
        <v>0</v>
      </c>
      <c r="F30" s="47">
        <f ca="1"/>
        <v>0</v>
      </c>
      <c r="G30" s="47">
        <f ca="1"/>
        <v>0</v>
      </c>
      <c r="H30" s="47">
        <f ca="1"/>
        <v>0</v>
      </c>
      <c r="I30" s="47">
        <f ca="1"/>
        <v>0</v>
      </c>
      <c r="J30" s="47">
        <f ca="1"/>
        <v>0</v>
      </c>
      <c r="K30" s="47">
        <f ca="1"/>
        <v>0</v>
      </c>
      <c r="L30" s="47">
        <f ca="1"/>
        <v>0</v>
      </c>
      <c r="M30" s="47">
        <f ca="1"/>
        <v>0</v>
      </c>
      <c r="N30" s="47">
        <f ca="1"/>
        <v>0</v>
      </c>
      <c r="O30" s="47">
        <f ca="1"/>
        <v>15</v>
      </c>
      <c r="P30" s="47">
        <f ca="1"/>
        <v>15</v>
      </c>
      <c r="Q30" s="47">
        <f ca="1"/>
        <v>15</v>
      </c>
      <c r="R30" s="47">
        <f ca="1"/>
        <v>15</v>
      </c>
      <c r="S30" s="47">
        <f ca="1"/>
        <v>15</v>
      </c>
      <c r="T30" s="47">
        <f ca="1"/>
        <v>0</v>
      </c>
      <c r="U30" s="47">
        <f ca="1"/>
        <v>15</v>
      </c>
      <c r="V30" s="47">
        <f ca="1"/>
        <v>0</v>
      </c>
      <c r="W30" s="47">
        <f ca="1"/>
        <v>0</v>
      </c>
      <c r="X30" s="49">
        <f ca="1"/>
        <v>0</v>
      </c>
      <c r="Y30" s="49">
        <f ca="1"/>
        <v>0</v>
      </c>
      <c r="Z30" s="49">
        <f ca="1"/>
        <v>0</v>
      </c>
      <c r="AA30" s="1315">
        <f ca="1"/>
        <v>0</v>
      </c>
      <c r="AB30" s="14"/>
    </row>
    <row r="31" spans="1:28" s="10" customFormat="1" ht="15" hidden="1" customHeight="1" x14ac:dyDescent="0.45">
      <c r="A31" s="1858"/>
      <c r="B31" s="1780" t="s">
        <v>409</v>
      </c>
      <c r="C31" s="39" t="s">
        <v>399</v>
      </c>
      <c r="D31" s="51">
        <f ca="1"/>
        <v>0</v>
      </c>
      <c r="E31" s="51">
        <f ca="1"/>
        <v>0</v>
      </c>
      <c r="F31" s="51">
        <f ca="1"/>
        <v>0</v>
      </c>
      <c r="G31" s="51">
        <f ca="1"/>
        <v>0</v>
      </c>
      <c r="H31" s="51">
        <f ca="1"/>
        <v>0</v>
      </c>
      <c r="I31" s="51">
        <f ca="1"/>
        <v>0</v>
      </c>
      <c r="J31" s="51">
        <f ca="1"/>
        <v>0</v>
      </c>
      <c r="K31" s="51">
        <f ca="1"/>
        <v>0</v>
      </c>
      <c r="L31" s="51">
        <f ca="1"/>
        <v>0</v>
      </c>
      <c r="M31" s="53">
        <f ca="1"/>
        <v>0</v>
      </c>
      <c r="N31" s="53">
        <f ca="1"/>
        <v>0</v>
      </c>
      <c r="O31" s="53">
        <f ca="1"/>
        <v>0</v>
      </c>
      <c r="P31" s="53">
        <f ca="1"/>
        <v>0</v>
      </c>
      <c r="Q31" s="53">
        <f ca="1"/>
        <v>0</v>
      </c>
      <c r="R31" s="53">
        <f ca="1"/>
        <v>0</v>
      </c>
      <c r="S31" s="53">
        <f ca="1"/>
        <v>0</v>
      </c>
      <c r="T31" s="53">
        <f ca="1"/>
        <v>0</v>
      </c>
      <c r="U31" s="53">
        <f ca="1"/>
        <v>0</v>
      </c>
      <c r="V31" s="53">
        <f ca="1"/>
        <v>0</v>
      </c>
      <c r="W31" s="53">
        <f ca="1"/>
        <v>0</v>
      </c>
      <c r="X31" s="53">
        <f ca="1"/>
        <v>0</v>
      </c>
      <c r="Y31" s="53">
        <f ca="1"/>
        <v>0</v>
      </c>
      <c r="Z31" s="53">
        <f ca="1"/>
        <v>0</v>
      </c>
      <c r="AA31" s="1316">
        <f ca="1"/>
        <v>0</v>
      </c>
      <c r="AB31" s="14"/>
    </row>
    <row r="32" spans="1:28" s="10" customFormat="1" ht="15" hidden="1" customHeight="1" x14ac:dyDescent="0.45">
      <c r="A32" s="1858"/>
      <c r="B32" s="1780"/>
      <c r="C32" s="8" t="s">
        <v>401</v>
      </c>
      <c r="D32" s="44">
        <f ca="1"/>
        <v>0</v>
      </c>
      <c r="E32" s="44">
        <f ca="1"/>
        <v>0</v>
      </c>
      <c r="F32" s="44">
        <f ca="1"/>
        <v>0</v>
      </c>
      <c r="G32" s="44">
        <f ca="1"/>
        <v>0</v>
      </c>
      <c r="H32" s="44">
        <f ca="1"/>
        <v>0</v>
      </c>
      <c r="I32" s="44">
        <f ca="1"/>
        <v>0</v>
      </c>
      <c r="J32" s="44">
        <f ca="1"/>
        <v>0</v>
      </c>
      <c r="K32" s="44">
        <f ca="1"/>
        <v>0</v>
      </c>
      <c r="L32" s="44">
        <f ca="1"/>
        <v>0</v>
      </c>
      <c r="M32" s="44">
        <f ca="1"/>
        <v>0</v>
      </c>
      <c r="N32" s="44">
        <f ca="1"/>
        <v>0</v>
      </c>
      <c r="O32" s="44">
        <f ca="1"/>
        <v>0</v>
      </c>
      <c r="P32" s="44">
        <f ca="1"/>
        <v>0</v>
      </c>
      <c r="Q32" s="44">
        <f ca="1"/>
        <v>0</v>
      </c>
      <c r="R32" s="44">
        <f ca="1"/>
        <v>0</v>
      </c>
      <c r="S32" s="44">
        <f ca="1"/>
        <v>0</v>
      </c>
      <c r="T32" s="44">
        <f ca="1"/>
        <v>0</v>
      </c>
      <c r="U32" s="44">
        <f ca="1"/>
        <v>0</v>
      </c>
      <c r="V32" s="44">
        <f ca="1"/>
        <v>0</v>
      </c>
      <c r="W32" s="44">
        <f ca="1"/>
        <v>0</v>
      </c>
      <c r="X32" s="55">
        <f ca="1"/>
        <v>0</v>
      </c>
      <c r="Y32" s="55">
        <f ca="1"/>
        <v>0</v>
      </c>
      <c r="Z32" s="55">
        <f ca="1"/>
        <v>0</v>
      </c>
      <c r="AA32" s="1314">
        <f ca="1"/>
        <v>0</v>
      </c>
      <c r="AB32" s="14"/>
    </row>
    <row r="33" spans="1:28" s="10" customFormat="1" ht="15" hidden="1" customHeight="1" x14ac:dyDescent="0.45">
      <c r="A33" s="1858"/>
      <c r="B33" s="1862"/>
      <c r="C33" s="8" t="s">
        <v>400</v>
      </c>
      <c r="D33" s="44">
        <f ca="1"/>
        <v>0</v>
      </c>
      <c r="E33" s="44">
        <f ca="1"/>
        <v>0</v>
      </c>
      <c r="F33" s="44">
        <f ca="1"/>
        <v>0</v>
      </c>
      <c r="G33" s="44">
        <f ca="1"/>
        <v>0</v>
      </c>
      <c r="H33" s="44">
        <f ca="1"/>
        <v>0</v>
      </c>
      <c r="I33" s="44">
        <f ca="1"/>
        <v>0</v>
      </c>
      <c r="J33" s="44">
        <f ca="1"/>
        <v>0</v>
      </c>
      <c r="K33" s="44">
        <f ca="1"/>
        <v>0</v>
      </c>
      <c r="L33" s="44">
        <f ca="1"/>
        <v>0</v>
      </c>
      <c r="M33" s="44">
        <f ca="1"/>
        <v>0</v>
      </c>
      <c r="N33" s="44">
        <f ca="1"/>
        <v>0</v>
      </c>
      <c r="O33" s="44">
        <f ca="1"/>
        <v>0</v>
      </c>
      <c r="P33" s="55">
        <f ca="1"/>
        <v>0</v>
      </c>
      <c r="Q33" s="55">
        <f ca="1"/>
        <v>0</v>
      </c>
      <c r="R33" s="55">
        <f ca="1"/>
        <v>0</v>
      </c>
      <c r="S33" s="55">
        <f ca="1"/>
        <v>0</v>
      </c>
      <c r="T33" s="55">
        <f ca="1"/>
        <v>0</v>
      </c>
      <c r="U33" s="55">
        <f ca="1"/>
        <v>0</v>
      </c>
      <c r="V33" s="55">
        <f ca="1"/>
        <v>0</v>
      </c>
      <c r="W33" s="55">
        <f ca="1"/>
        <v>0</v>
      </c>
      <c r="X33" s="55">
        <f ca="1"/>
        <v>0</v>
      </c>
      <c r="Y33" s="55">
        <f ca="1"/>
        <v>0</v>
      </c>
      <c r="Z33" s="55">
        <f ca="1"/>
        <v>0</v>
      </c>
      <c r="AA33" s="1314">
        <f ca="1"/>
        <v>0</v>
      </c>
      <c r="AB33" s="14"/>
    </row>
    <row r="34" spans="1:28" s="10" customFormat="1" ht="15" hidden="1" customHeight="1" x14ac:dyDescent="0.45">
      <c r="A34" s="1858"/>
      <c r="B34" s="1860" t="s">
        <v>415</v>
      </c>
      <c r="C34" s="598" t="s">
        <v>399</v>
      </c>
      <c r="D34" s="47">
        <f ca="1"/>
        <v>0</v>
      </c>
      <c r="E34" s="47">
        <f ca="1"/>
        <v>0</v>
      </c>
      <c r="F34" s="47">
        <f ca="1"/>
        <v>0</v>
      </c>
      <c r="G34" s="47">
        <f ca="1"/>
        <v>0</v>
      </c>
      <c r="H34" s="47">
        <f ca="1"/>
        <v>0</v>
      </c>
      <c r="I34" s="47">
        <f ca="1"/>
        <v>0</v>
      </c>
      <c r="J34" s="47">
        <f ca="1"/>
        <v>0</v>
      </c>
      <c r="K34" s="47">
        <f ca="1"/>
        <v>0</v>
      </c>
      <c r="L34" s="47">
        <f ca="1"/>
        <v>0</v>
      </c>
      <c r="M34" s="47">
        <f ca="1"/>
        <v>0</v>
      </c>
      <c r="N34" s="47">
        <f ca="1"/>
        <v>0</v>
      </c>
      <c r="O34" s="47">
        <f ca="1"/>
        <v>0</v>
      </c>
      <c r="P34" s="47">
        <f ca="1"/>
        <v>0</v>
      </c>
      <c r="Q34" s="49">
        <f ca="1"/>
        <v>0</v>
      </c>
      <c r="R34" s="49">
        <f ca="1"/>
        <v>0</v>
      </c>
      <c r="S34" s="49">
        <f ca="1"/>
        <v>0</v>
      </c>
      <c r="T34" s="49">
        <f ca="1"/>
        <v>15</v>
      </c>
      <c r="U34" s="49">
        <f ca="1"/>
        <v>0</v>
      </c>
      <c r="V34" s="49">
        <f ca="1"/>
        <v>0</v>
      </c>
      <c r="W34" s="49">
        <f ca="1"/>
        <v>0</v>
      </c>
      <c r="X34" s="49">
        <f ca="1"/>
        <v>0</v>
      </c>
      <c r="Y34" s="49">
        <f ca="1"/>
        <v>0</v>
      </c>
      <c r="Z34" s="49">
        <f ca="1"/>
        <v>0</v>
      </c>
      <c r="AA34" s="1315">
        <f ca="1"/>
        <v>0</v>
      </c>
      <c r="AB34" s="14"/>
    </row>
    <row r="35" spans="1:28" s="10" customFormat="1" ht="15" hidden="1" customHeight="1" x14ac:dyDescent="0.45">
      <c r="A35" s="1858"/>
      <c r="B35" s="1860"/>
      <c r="C35" s="7" t="s">
        <v>401</v>
      </c>
      <c r="D35" s="596">
        <f ca="1"/>
        <v>0</v>
      </c>
      <c r="E35" s="596">
        <f ca="1"/>
        <v>0</v>
      </c>
      <c r="F35" s="596">
        <f ca="1"/>
        <v>0</v>
      </c>
      <c r="G35" s="596">
        <f ca="1"/>
        <v>0</v>
      </c>
      <c r="H35" s="596">
        <f ca="1"/>
        <v>0</v>
      </c>
      <c r="I35" s="596">
        <f ca="1"/>
        <v>0</v>
      </c>
      <c r="J35" s="596">
        <f ca="1"/>
        <v>0</v>
      </c>
      <c r="K35" s="596">
        <f ca="1"/>
        <v>0</v>
      </c>
      <c r="L35" s="596">
        <f ca="1"/>
        <v>0</v>
      </c>
      <c r="M35" s="597">
        <f ca="1"/>
        <v>0</v>
      </c>
      <c r="N35" s="597">
        <f ca="1"/>
        <v>0</v>
      </c>
      <c r="O35" s="597">
        <f ca="1"/>
        <v>0</v>
      </c>
      <c r="P35" s="597">
        <f ca="1"/>
        <v>0</v>
      </c>
      <c r="Q35" s="597">
        <f ca="1"/>
        <v>0</v>
      </c>
      <c r="R35" s="597">
        <f ca="1"/>
        <v>0</v>
      </c>
      <c r="S35" s="597">
        <f ca="1"/>
        <v>0</v>
      </c>
      <c r="T35" s="597">
        <f ca="1"/>
        <v>15</v>
      </c>
      <c r="U35" s="597">
        <f ca="1"/>
        <v>0</v>
      </c>
      <c r="V35" s="597">
        <f ca="1"/>
        <v>0</v>
      </c>
      <c r="W35" s="597">
        <f ca="1"/>
        <v>0</v>
      </c>
      <c r="X35" s="597">
        <f ca="1"/>
        <v>0</v>
      </c>
      <c r="Y35" s="597">
        <f ca="1"/>
        <v>0</v>
      </c>
      <c r="Z35" s="597">
        <f ca="1"/>
        <v>0</v>
      </c>
      <c r="AA35" s="1317">
        <f ca="1"/>
        <v>0</v>
      </c>
      <c r="AB35" s="14"/>
    </row>
    <row r="36" spans="1:28" s="10" customFormat="1" ht="15" hidden="1" customHeight="1" x14ac:dyDescent="0.45">
      <c r="A36" s="1858"/>
      <c r="B36" s="1861"/>
      <c r="C36" s="7" t="s">
        <v>400</v>
      </c>
      <c r="D36" s="47">
        <f ca="1"/>
        <v>0</v>
      </c>
      <c r="E36" s="47">
        <f ca="1"/>
        <v>0</v>
      </c>
      <c r="F36" s="47">
        <f ca="1"/>
        <v>0</v>
      </c>
      <c r="G36" s="47">
        <f ca="1"/>
        <v>0</v>
      </c>
      <c r="H36" s="47">
        <f ca="1"/>
        <v>0</v>
      </c>
      <c r="I36" s="47">
        <f ca="1"/>
        <v>0</v>
      </c>
      <c r="J36" s="47">
        <f ca="1"/>
        <v>0</v>
      </c>
      <c r="K36" s="47">
        <f ca="1"/>
        <v>0</v>
      </c>
      <c r="L36" s="47">
        <f ca="1"/>
        <v>0</v>
      </c>
      <c r="M36" s="47">
        <f ca="1"/>
        <v>0</v>
      </c>
      <c r="N36" s="47">
        <f ca="1"/>
        <v>0</v>
      </c>
      <c r="O36" s="47">
        <f ca="1"/>
        <v>0</v>
      </c>
      <c r="P36" s="47">
        <f ca="1"/>
        <v>0</v>
      </c>
      <c r="Q36" s="47">
        <f ca="1"/>
        <v>0</v>
      </c>
      <c r="R36" s="47">
        <f ca="1"/>
        <v>0</v>
      </c>
      <c r="S36" s="47">
        <f ca="1"/>
        <v>0</v>
      </c>
      <c r="T36" s="47">
        <f ca="1"/>
        <v>15</v>
      </c>
      <c r="U36" s="47">
        <f ca="1"/>
        <v>0</v>
      </c>
      <c r="V36" s="47">
        <f ca="1"/>
        <v>0</v>
      </c>
      <c r="W36" s="47">
        <f ca="1"/>
        <v>0</v>
      </c>
      <c r="X36" s="49">
        <f ca="1"/>
        <v>0</v>
      </c>
      <c r="Y36" s="49">
        <f ca="1"/>
        <v>0</v>
      </c>
      <c r="Z36" s="49">
        <f ca="1"/>
        <v>0</v>
      </c>
      <c r="AA36" s="1315">
        <f ca="1"/>
        <v>0</v>
      </c>
      <c r="AB36" s="14"/>
    </row>
    <row r="37" spans="1:28" s="10" customFormat="1" ht="15" hidden="1" customHeight="1" x14ac:dyDescent="0.45">
      <c r="A37" s="1858"/>
      <c r="B37" s="1780" t="s">
        <v>410</v>
      </c>
      <c r="C37" s="39" t="s">
        <v>399</v>
      </c>
      <c r="D37" s="51">
        <f ca="1"/>
        <v>15</v>
      </c>
      <c r="E37" s="51">
        <f ca="1"/>
        <v>15</v>
      </c>
      <c r="F37" s="51">
        <f ca="1"/>
        <v>15</v>
      </c>
      <c r="G37" s="51">
        <f ca="1"/>
        <v>15</v>
      </c>
      <c r="H37" s="51">
        <f ca="1"/>
        <v>15</v>
      </c>
      <c r="I37" s="51">
        <f ca="1"/>
        <v>0</v>
      </c>
      <c r="J37" s="51">
        <f ca="1"/>
        <v>15</v>
      </c>
      <c r="K37" s="51">
        <f ca="1"/>
        <v>15</v>
      </c>
      <c r="L37" s="51">
        <f ca="1"/>
        <v>15</v>
      </c>
      <c r="M37" s="53">
        <f ca="1"/>
        <v>0</v>
      </c>
      <c r="N37" s="53">
        <f ca="1"/>
        <v>0</v>
      </c>
      <c r="O37" s="53">
        <f ca="1"/>
        <v>0</v>
      </c>
      <c r="P37" s="53">
        <f ca="1"/>
        <v>0</v>
      </c>
      <c r="Q37" s="53">
        <f ca="1"/>
        <v>0</v>
      </c>
      <c r="R37" s="53">
        <f ca="1"/>
        <v>0</v>
      </c>
      <c r="S37" s="53">
        <f ca="1"/>
        <v>0</v>
      </c>
      <c r="T37" s="53">
        <f ca="1"/>
        <v>15</v>
      </c>
      <c r="U37" s="53">
        <f ca="1"/>
        <v>0</v>
      </c>
      <c r="V37" s="53">
        <f ca="1"/>
        <v>15</v>
      </c>
      <c r="W37" s="53">
        <f ca="1"/>
        <v>0</v>
      </c>
      <c r="X37" s="53">
        <f ca="1"/>
        <v>0</v>
      </c>
      <c r="Y37" s="53">
        <f ca="1"/>
        <v>0</v>
      </c>
      <c r="Z37" s="53">
        <f ca="1"/>
        <v>0</v>
      </c>
      <c r="AA37" s="1316">
        <f ca="1"/>
        <v>0</v>
      </c>
      <c r="AB37" s="14"/>
    </row>
    <row r="38" spans="1:28" s="10" customFormat="1" ht="15" hidden="1" customHeight="1" x14ac:dyDescent="0.45">
      <c r="A38" s="1858"/>
      <c r="B38" s="1780"/>
      <c r="C38" s="8" t="s">
        <v>401</v>
      </c>
      <c r="D38" s="44">
        <f ca="1"/>
        <v>15</v>
      </c>
      <c r="E38" s="44">
        <f ca="1"/>
        <v>15</v>
      </c>
      <c r="F38" s="44">
        <f ca="1"/>
        <v>15</v>
      </c>
      <c r="G38" s="44">
        <f ca="1"/>
        <v>15</v>
      </c>
      <c r="H38" s="44">
        <f ca="1"/>
        <v>15</v>
      </c>
      <c r="I38" s="44">
        <f ca="1"/>
        <v>0</v>
      </c>
      <c r="J38" s="44">
        <f ca="1"/>
        <v>15</v>
      </c>
      <c r="K38" s="44">
        <f ca="1"/>
        <v>15</v>
      </c>
      <c r="L38" s="44">
        <f ca="1"/>
        <v>15</v>
      </c>
      <c r="M38" s="44">
        <f ca="1"/>
        <v>0</v>
      </c>
      <c r="N38" s="44">
        <f ca="1"/>
        <v>0</v>
      </c>
      <c r="O38" s="44">
        <f ca="1"/>
        <v>0</v>
      </c>
      <c r="P38" s="44">
        <f ca="1"/>
        <v>0</v>
      </c>
      <c r="Q38" s="44">
        <f ca="1"/>
        <v>0</v>
      </c>
      <c r="R38" s="44">
        <f ca="1"/>
        <v>0</v>
      </c>
      <c r="S38" s="44">
        <f ca="1"/>
        <v>0</v>
      </c>
      <c r="T38" s="44">
        <f ca="1"/>
        <v>15</v>
      </c>
      <c r="U38" s="44">
        <f ca="1"/>
        <v>0</v>
      </c>
      <c r="V38" s="44">
        <f ca="1"/>
        <v>15</v>
      </c>
      <c r="W38" s="44">
        <f ca="1"/>
        <v>0</v>
      </c>
      <c r="X38" s="55">
        <f ca="1"/>
        <v>0</v>
      </c>
      <c r="Y38" s="55">
        <f ca="1"/>
        <v>0</v>
      </c>
      <c r="Z38" s="55">
        <f ca="1"/>
        <v>0</v>
      </c>
      <c r="AA38" s="1314">
        <f ca="1"/>
        <v>0</v>
      </c>
      <c r="AB38" s="14"/>
    </row>
    <row r="39" spans="1:28" s="10" customFormat="1" ht="15" hidden="1" customHeight="1" x14ac:dyDescent="0.45">
      <c r="A39" s="1858"/>
      <c r="B39" s="1862"/>
      <c r="C39" s="8" t="s">
        <v>400</v>
      </c>
      <c r="D39" s="44">
        <f ca="1"/>
        <v>15</v>
      </c>
      <c r="E39" s="44">
        <f ca="1"/>
        <v>15</v>
      </c>
      <c r="F39" s="44">
        <f ca="1"/>
        <v>15</v>
      </c>
      <c r="G39" s="44">
        <f ca="1"/>
        <v>15</v>
      </c>
      <c r="H39" s="44">
        <f ca="1"/>
        <v>15</v>
      </c>
      <c r="I39" s="44">
        <f ca="1"/>
        <v>0</v>
      </c>
      <c r="J39" s="44">
        <f ca="1"/>
        <v>15</v>
      </c>
      <c r="K39" s="44">
        <f ca="1"/>
        <v>15</v>
      </c>
      <c r="L39" s="44">
        <f ca="1"/>
        <v>15</v>
      </c>
      <c r="M39" s="44">
        <f ca="1"/>
        <v>0</v>
      </c>
      <c r="N39" s="44">
        <f ca="1"/>
        <v>0</v>
      </c>
      <c r="O39" s="44">
        <f ca="1"/>
        <v>0</v>
      </c>
      <c r="P39" s="55">
        <f ca="1"/>
        <v>0</v>
      </c>
      <c r="Q39" s="55">
        <f ca="1"/>
        <v>0</v>
      </c>
      <c r="R39" s="55">
        <f ca="1"/>
        <v>0</v>
      </c>
      <c r="S39" s="55">
        <f ca="1"/>
        <v>0</v>
      </c>
      <c r="T39" s="55">
        <f ca="1"/>
        <v>15</v>
      </c>
      <c r="U39" s="55">
        <f ca="1"/>
        <v>0</v>
      </c>
      <c r="V39" s="55">
        <f ca="1"/>
        <v>15</v>
      </c>
      <c r="W39" s="55">
        <f ca="1"/>
        <v>0</v>
      </c>
      <c r="X39" s="55">
        <f ca="1"/>
        <v>0</v>
      </c>
      <c r="Y39" s="55">
        <f ca="1"/>
        <v>0</v>
      </c>
      <c r="Z39" s="55">
        <f ca="1"/>
        <v>0</v>
      </c>
      <c r="AA39" s="1314">
        <f ca="1"/>
        <v>0</v>
      </c>
      <c r="AB39" s="14"/>
    </row>
    <row r="40" spans="1:28" s="10" customFormat="1" ht="15" hidden="1" customHeight="1" x14ac:dyDescent="0.45">
      <c r="A40" s="1858"/>
      <c r="B40" s="1860" t="s">
        <v>416</v>
      </c>
      <c r="C40" s="598" t="s">
        <v>399</v>
      </c>
      <c r="D40" s="47">
        <f ca="1"/>
        <v>0</v>
      </c>
      <c r="E40" s="47">
        <f ca="1"/>
        <v>0</v>
      </c>
      <c r="F40" s="47">
        <f ca="1"/>
        <v>0</v>
      </c>
      <c r="G40" s="47">
        <f ca="1"/>
        <v>0</v>
      </c>
      <c r="H40" s="47">
        <f ca="1"/>
        <v>0</v>
      </c>
      <c r="I40" s="47">
        <f ca="1"/>
        <v>0</v>
      </c>
      <c r="J40" s="47">
        <f ca="1"/>
        <v>0</v>
      </c>
      <c r="K40" s="47">
        <f ca="1"/>
        <v>0</v>
      </c>
      <c r="L40" s="47">
        <f ca="1"/>
        <v>0</v>
      </c>
      <c r="M40" s="47">
        <f ca="1"/>
        <v>0</v>
      </c>
      <c r="N40" s="47">
        <f ca="1"/>
        <v>0</v>
      </c>
      <c r="O40" s="47">
        <f ca="1"/>
        <v>0</v>
      </c>
      <c r="P40" s="47">
        <f ca="1"/>
        <v>0</v>
      </c>
      <c r="Q40" s="49">
        <f ca="1"/>
        <v>0</v>
      </c>
      <c r="R40" s="49">
        <f ca="1"/>
        <v>0</v>
      </c>
      <c r="S40" s="49">
        <f ca="1"/>
        <v>0</v>
      </c>
      <c r="T40" s="49">
        <f ca="1"/>
        <v>0</v>
      </c>
      <c r="U40" s="49">
        <f ca="1"/>
        <v>0</v>
      </c>
      <c r="V40" s="49">
        <f ca="1"/>
        <v>0</v>
      </c>
      <c r="W40" s="49">
        <f ca="1"/>
        <v>0</v>
      </c>
      <c r="X40" s="49">
        <f ca="1"/>
        <v>0</v>
      </c>
      <c r="Y40" s="49">
        <f ca="1"/>
        <v>0</v>
      </c>
      <c r="Z40" s="49">
        <f ca="1"/>
        <v>0</v>
      </c>
      <c r="AA40" s="1315">
        <f ca="1"/>
        <v>0</v>
      </c>
      <c r="AB40" s="14"/>
    </row>
    <row r="41" spans="1:28" s="10" customFormat="1" ht="15" hidden="1" customHeight="1" x14ac:dyDescent="0.45">
      <c r="A41" s="1858"/>
      <c r="B41" s="1860"/>
      <c r="C41" s="7" t="s">
        <v>401</v>
      </c>
      <c r="D41" s="596">
        <f ca="1"/>
        <v>0</v>
      </c>
      <c r="E41" s="596">
        <f ca="1"/>
        <v>0</v>
      </c>
      <c r="F41" s="596">
        <f ca="1"/>
        <v>0</v>
      </c>
      <c r="G41" s="596">
        <f ca="1"/>
        <v>0</v>
      </c>
      <c r="H41" s="596">
        <f ca="1"/>
        <v>0</v>
      </c>
      <c r="I41" s="596">
        <f ca="1"/>
        <v>0</v>
      </c>
      <c r="J41" s="596">
        <f ca="1"/>
        <v>0</v>
      </c>
      <c r="K41" s="596">
        <f ca="1"/>
        <v>0</v>
      </c>
      <c r="L41" s="596">
        <f ca="1"/>
        <v>0</v>
      </c>
      <c r="M41" s="597">
        <f ca="1"/>
        <v>0</v>
      </c>
      <c r="N41" s="597">
        <f ca="1"/>
        <v>0</v>
      </c>
      <c r="O41" s="597">
        <f ca="1"/>
        <v>0</v>
      </c>
      <c r="P41" s="597">
        <f ca="1"/>
        <v>0</v>
      </c>
      <c r="Q41" s="597">
        <f ca="1"/>
        <v>0</v>
      </c>
      <c r="R41" s="597">
        <f ca="1"/>
        <v>0</v>
      </c>
      <c r="S41" s="597">
        <f ca="1"/>
        <v>0</v>
      </c>
      <c r="T41" s="597">
        <f ca="1"/>
        <v>0</v>
      </c>
      <c r="U41" s="597">
        <f ca="1"/>
        <v>0</v>
      </c>
      <c r="V41" s="597">
        <f ca="1"/>
        <v>0</v>
      </c>
      <c r="W41" s="597">
        <f ca="1"/>
        <v>0</v>
      </c>
      <c r="X41" s="597">
        <f ca="1"/>
        <v>0</v>
      </c>
      <c r="Y41" s="597">
        <f ca="1"/>
        <v>0</v>
      </c>
      <c r="Z41" s="597">
        <f ca="1"/>
        <v>0</v>
      </c>
      <c r="AA41" s="1317">
        <f ca="1"/>
        <v>0</v>
      </c>
      <c r="AB41" s="14"/>
    </row>
    <row r="42" spans="1:28" s="10" customFormat="1" ht="15" hidden="1" customHeight="1" x14ac:dyDescent="0.45">
      <c r="A42" s="1858"/>
      <c r="B42" s="1861"/>
      <c r="C42" s="7" t="s">
        <v>400</v>
      </c>
      <c r="D42" s="47">
        <f ca="1"/>
        <v>0</v>
      </c>
      <c r="E42" s="47">
        <f ca="1"/>
        <v>0</v>
      </c>
      <c r="F42" s="47">
        <f ca="1"/>
        <v>0</v>
      </c>
      <c r="G42" s="47">
        <f ca="1"/>
        <v>0</v>
      </c>
      <c r="H42" s="47">
        <f ca="1"/>
        <v>0</v>
      </c>
      <c r="I42" s="47">
        <f ca="1"/>
        <v>0</v>
      </c>
      <c r="J42" s="47">
        <f ca="1"/>
        <v>0</v>
      </c>
      <c r="K42" s="47">
        <f ca="1"/>
        <v>0</v>
      </c>
      <c r="L42" s="47">
        <f ca="1"/>
        <v>0</v>
      </c>
      <c r="M42" s="47">
        <f ca="1"/>
        <v>0</v>
      </c>
      <c r="N42" s="47">
        <f ca="1"/>
        <v>0</v>
      </c>
      <c r="O42" s="47">
        <f ca="1"/>
        <v>0</v>
      </c>
      <c r="P42" s="47">
        <f ca="1"/>
        <v>0</v>
      </c>
      <c r="Q42" s="47">
        <f ca="1"/>
        <v>0</v>
      </c>
      <c r="R42" s="47">
        <f ca="1"/>
        <v>0</v>
      </c>
      <c r="S42" s="47">
        <f ca="1"/>
        <v>0</v>
      </c>
      <c r="T42" s="47">
        <f ca="1"/>
        <v>0</v>
      </c>
      <c r="U42" s="47">
        <f ca="1"/>
        <v>0</v>
      </c>
      <c r="V42" s="47">
        <f ca="1"/>
        <v>0</v>
      </c>
      <c r="W42" s="47">
        <f ca="1"/>
        <v>0</v>
      </c>
      <c r="X42" s="49">
        <f ca="1"/>
        <v>0</v>
      </c>
      <c r="Y42" s="49">
        <f ca="1"/>
        <v>0</v>
      </c>
      <c r="Z42" s="49">
        <f ca="1"/>
        <v>0</v>
      </c>
      <c r="AA42" s="1315">
        <f ca="1"/>
        <v>0</v>
      </c>
      <c r="AB42" s="14"/>
    </row>
    <row r="43" spans="1:28" s="10" customFormat="1" ht="15" hidden="1" customHeight="1" x14ac:dyDescent="0.45">
      <c r="A43" s="1858"/>
      <c r="B43" s="1780" t="s">
        <v>411</v>
      </c>
      <c r="C43" s="39" t="s">
        <v>399</v>
      </c>
      <c r="D43" s="51">
        <f ca="1"/>
        <v>0</v>
      </c>
      <c r="E43" s="51">
        <f ca="1"/>
        <v>0</v>
      </c>
      <c r="F43" s="51">
        <f ca="1"/>
        <v>0</v>
      </c>
      <c r="G43" s="51">
        <f ca="1"/>
        <v>0</v>
      </c>
      <c r="H43" s="51">
        <f ca="1"/>
        <v>0</v>
      </c>
      <c r="I43" s="51">
        <f ca="1"/>
        <v>0</v>
      </c>
      <c r="J43" s="51">
        <f ca="1"/>
        <v>0</v>
      </c>
      <c r="K43" s="51">
        <f ca="1"/>
        <v>0</v>
      </c>
      <c r="L43" s="51">
        <f ca="1"/>
        <v>0</v>
      </c>
      <c r="M43" s="53">
        <f ca="1"/>
        <v>0</v>
      </c>
      <c r="N43" s="53">
        <f ca="1"/>
        <v>0</v>
      </c>
      <c r="O43" s="53">
        <f ca="1"/>
        <v>0</v>
      </c>
      <c r="P43" s="53">
        <f ca="1"/>
        <v>0</v>
      </c>
      <c r="Q43" s="53">
        <f ca="1"/>
        <v>0</v>
      </c>
      <c r="R43" s="53">
        <f ca="1"/>
        <v>0</v>
      </c>
      <c r="S43" s="53">
        <f ca="1"/>
        <v>0</v>
      </c>
      <c r="T43" s="53">
        <f ca="1"/>
        <v>15</v>
      </c>
      <c r="U43" s="53">
        <f ca="1"/>
        <v>0</v>
      </c>
      <c r="V43" s="53">
        <f ca="1"/>
        <v>0</v>
      </c>
      <c r="W43" s="53">
        <f ca="1"/>
        <v>0</v>
      </c>
      <c r="X43" s="53">
        <f ca="1"/>
        <v>0</v>
      </c>
      <c r="Y43" s="53">
        <f ca="1"/>
        <v>0</v>
      </c>
      <c r="Z43" s="53">
        <f ca="1"/>
        <v>0</v>
      </c>
      <c r="AA43" s="1316">
        <f ca="1"/>
        <v>0</v>
      </c>
      <c r="AB43" s="14"/>
    </row>
    <row r="44" spans="1:28" s="10" customFormat="1" ht="15" hidden="1" customHeight="1" x14ac:dyDescent="0.45">
      <c r="A44" s="1858"/>
      <c r="B44" s="1780"/>
      <c r="C44" s="8" t="s">
        <v>401</v>
      </c>
      <c r="D44" s="44">
        <f ca="1"/>
        <v>0</v>
      </c>
      <c r="E44" s="44">
        <f ca="1"/>
        <v>0</v>
      </c>
      <c r="F44" s="44">
        <f ca="1"/>
        <v>0</v>
      </c>
      <c r="G44" s="44">
        <f ca="1"/>
        <v>0</v>
      </c>
      <c r="H44" s="44">
        <f ca="1"/>
        <v>0</v>
      </c>
      <c r="I44" s="44">
        <f ca="1"/>
        <v>0</v>
      </c>
      <c r="J44" s="44">
        <f ca="1"/>
        <v>0</v>
      </c>
      <c r="K44" s="44">
        <f ca="1"/>
        <v>0</v>
      </c>
      <c r="L44" s="44">
        <f ca="1"/>
        <v>0</v>
      </c>
      <c r="M44" s="44">
        <f ca="1"/>
        <v>0</v>
      </c>
      <c r="N44" s="44">
        <f ca="1"/>
        <v>0</v>
      </c>
      <c r="O44" s="44">
        <f ca="1"/>
        <v>0</v>
      </c>
      <c r="P44" s="44">
        <f ca="1"/>
        <v>0</v>
      </c>
      <c r="Q44" s="44">
        <f ca="1"/>
        <v>0</v>
      </c>
      <c r="R44" s="44">
        <f ca="1"/>
        <v>0</v>
      </c>
      <c r="S44" s="44">
        <f ca="1"/>
        <v>0</v>
      </c>
      <c r="T44" s="44">
        <f ca="1"/>
        <v>15</v>
      </c>
      <c r="U44" s="44">
        <f ca="1"/>
        <v>0</v>
      </c>
      <c r="V44" s="44">
        <f ca="1"/>
        <v>0</v>
      </c>
      <c r="W44" s="44">
        <f ca="1"/>
        <v>0</v>
      </c>
      <c r="X44" s="55">
        <f ca="1"/>
        <v>0</v>
      </c>
      <c r="Y44" s="55">
        <f ca="1"/>
        <v>0</v>
      </c>
      <c r="Z44" s="55">
        <f ca="1"/>
        <v>0</v>
      </c>
      <c r="AA44" s="1314">
        <f ca="1"/>
        <v>0</v>
      </c>
      <c r="AB44" s="14"/>
    </row>
    <row r="45" spans="1:28" s="10" customFormat="1" ht="15" hidden="1" customHeight="1" x14ac:dyDescent="0.45">
      <c r="A45" s="1858"/>
      <c r="B45" s="1862"/>
      <c r="C45" s="8" t="s">
        <v>400</v>
      </c>
      <c r="D45" s="44">
        <f ca="1"/>
        <v>0</v>
      </c>
      <c r="E45" s="44">
        <f ca="1"/>
        <v>0</v>
      </c>
      <c r="F45" s="44">
        <f ca="1"/>
        <v>0</v>
      </c>
      <c r="G45" s="44">
        <f ca="1"/>
        <v>0</v>
      </c>
      <c r="H45" s="44">
        <f ca="1"/>
        <v>0</v>
      </c>
      <c r="I45" s="44">
        <f ca="1"/>
        <v>0</v>
      </c>
      <c r="J45" s="44">
        <f ca="1"/>
        <v>0</v>
      </c>
      <c r="K45" s="44">
        <f ca="1"/>
        <v>0</v>
      </c>
      <c r="L45" s="44">
        <f ca="1"/>
        <v>0</v>
      </c>
      <c r="M45" s="44">
        <f ca="1"/>
        <v>0</v>
      </c>
      <c r="N45" s="44">
        <f ca="1"/>
        <v>0</v>
      </c>
      <c r="O45" s="44">
        <f ca="1"/>
        <v>0</v>
      </c>
      <c r="P45" s="55">
        <f ca="1"/>
        <v>0</v>
      </c>
      <c r="Q45" s="55">
        <f ca="1"/>
        <v>0</v>
      </c>
      <c r="R45" s="55">
        <f ca="1"/>
        <v>0</v>
      </c>
      <c r="S45" s="55">
        <f ca="1"/>
        <v>0</v>
      </c>
      <c r="T45" s="55">
        <f ca="1"/>
        <v>15</v>
      </c>
      <c r="U45" s="55">
        <f ca="1"/>
        <v>0</v>
      </c>
      <c r="V45" s="55">
        <f ca="1"/>
        <v>0</v>
      </c>
      <c r="W45" s="55">
        <f ca="1"/>
        <v>0</v>
      </c>
      <c r="X45" s="55">
        <f ca="1"/>
        <v>0</v>
      </c>
      <c r="Y45" s="55">
        <f ca="1"/>
        <v>0</v>
      </c>
      <c r="Z45" s="55">
        <f ca="1"/>
        <v>0</v>
      </c>
      <c r="AA45" s="1314">
        <f ca="1"/>
        <v>0</v>
      </c>
      <c r="AB45" s="14"/>
    </row>
    <row r="46" spans="1:28" s="10" customFormat="1" ht="15" hidden="1" customHeight="1" x14ac:dyDescent="0.45">
      <c r="A46" s="1858"/>
      <c r="B46" s="1863" t="s">
        <v>417</v>
      </c>
      <c r="C46" s="7" t="s">
        <v>399</v>
      </c>
      <c r="D46" s="47">
        <f ca="1"/>
        <v>0</v>
      </c>
      <c r="E46" s="47">
        <f ca="1"/>
        <v>0</v>
      </c>
      <c r="F46" s="47">
        <f ca="1"/>
        <v>0</v>
      </c>
      <c r="G46" s="47">
        <f ca="1"/>
        <v>0</v>
      </c>
      <c r="H46" s="47">
        <f ca="1"/>
        <v>0</v>
      </c>
      <c r="I46" s="47">
        <f ca="1"/>
        <v>0</v>
      </c>
      <c r="J46" s="47">
        <f ca="1"/>
        <v>0</v>
      </c>
      <c r="K46" s="47">
        <f ca="1"/>
        <v>0</v>
      </c>
      <c r="L46" s="47">
        <f ca="1"/>
        <v>0</v>
      </c>
      <c r="M46" s="47">
        <f ca="1"/>
        <v>0</v>
      </c>
      <c r="N46" s="47">
        <f ca="1"/>
        <v>0</v>
      </c>
      <c r="O46" s="47">
        <f ca="1"/>
        <v>0</v>
      </c>
      <c r="P46" s="47">
        <f ca="1"/>
        <v>0</v>
      </c>
      <c r="Q46" s="49">
        <f ca="1"/>
        <v>0</v>
      </c>
      <c r="R46" s="49">
        <f ca="1"/>
        <v>0</v>
      </c>
      <c r="S46" s="49">
        <f ca="1"/>
        <v>0</v>
      </c>
      <c r="T46" s="49">
        <f ca="1"/>
        <v>0</v>
      </c>
      <c r="U46" s="49">
        <f ca="1"/>
        <v>0</v>
      </c>
      <c r="V46" s="49">
        <f ca="1"/>
        <v>0</v>
      </c>
      <c r="W46" s="49">
        <f ca="1"/>
        <v>0</v>
      </c>
      <c r="X46" s="49">
        <f ca="1"/>
        <v>0</v>
      </c>
      <c r="Y46" s="49">
        <f ca="1"/>
        <v>0</v>
      </c>
      <c r="Z46" s="49">
        <f ca="1"/>
        <v>0</v>
      </c>
      <c r="AA46" s="1315">
        <f ca="1"/>
        <v>0</v>
      </c>
      <c r="AB46" s="14"/>
    </row>
    <row r="47" spans="1:28" s="10" customFormat="1" ht="15" hidden="1" customHeight="1" x14ac:dyDescent="0.45">
      <c r="A47" s="1858"/>
      <c r="B47" s="1860"/>
      <c r="C47" s="7" t="s">
        <v>401</v>
      </c>
      <c r="D47" s="596">
        <f ca="1"/>
        <v>0</v>
      </c>
      <c r="E47" s="596">
        <f ca="1"/>
        <v>0</v>
      </c>
      <c r="F47" s="596">
        <f ca="1"/>
        <v>0</v>
      </c>
      <c r="G47" s="596">
        <f ca="1"/>
        <v>0</v>
      </c>
      <c r="H47" s="596">
        <f ca="1"/>
        <v>0</v>
      </c>
      <c r="I47" s="596">
        <f ca="1"/>
        <v>0</v>
      </c>
      <c r="J47" s="596">
        <f ca="1"/>
        <v>0</v>
      </c>
      <c r="K47" s="596">
        <f ca="1"/>
        <v>0</v>
      </c>
      <c r="L47" s="596">
        <f ca="1"/>
        <v>0</v>
      </c>
      <c r="M47" s="597">
        <f ca="1"/>
        <v>0</v>
      </c>
      <c r="N47" s="597">
        <f ca="1"/>
        <v>0</v>
      </c>
      <c r="O47" s="597">
        <f ca="1"/>
        <v>0</v>
      </c>
      <c r="P47" s="597">
        <f ca="1"/>
        <v>0</v>
      </c>
      <c r="Q47" s="597">
        <f ca="1"/>
        <v>0</v>
      </c>
      <c r="R47" s="597">
        <f ca="1"/>
        <v>0</v>
      </c>
      <c r="S47" s="597">
        <f ca="1"/>
        <v>0</v>
      </c>
      <c r="T47" s="597">
        <f ca="1"/>
        <v>0</v>
      </c>
      <c r="U47" s="597">
        <f ca="1"/>
        <v>0</v>
      </c>
      <c r="V47" s="597">
        <f ca="1"/>
        <v>0</v>
      </c>
      <c r="W47" s="597">
        <f ca="1"/>
        <v>0</v>
      </c>
      <c r="X47" s="597">
        <f ca="1"/>
        <v>0</v>
      </c>
      <c r="Y47" s="597">
        <f ca="1"/>
        <v>0</v>
      </c>
      <c r="Z47" s="597">
        <f ca="1"/>
        <v>0</v>
      </c>
      <c r="AA47" s="1317">
        <f ca="1"/>
        <v>0</v>
      </c>
      <c r="AB47" s="14"/>
    </row>
    <row r="48" spans="1:28" s="10" customFormat="1" ht="15" hidden="1" customHeight="1" x14ac:dyDescent="0.45">
      <c r="A48" s="1866"/>
      <c r="B48" s="1867"/>
      <c r="C48" s="599" t="s">
        <v>400</v>
      </c>
      <c r="D48" s="600">
        <f ca="1"/>
        <v>0</v>
      </c>
      <c r="E48" s="600">
        <f ca="1"/>
        <v>0</v>
      </c>
      <c r="F48" s="600">
        <f ca="1"/>
        <v>0</v>
      </c>
      <c r="G48" s="600">
        <f ca="1"/>
        <v>0</v>
      </c>
      <c r="H48" s="600">
        <f ca="1"/>
        <v>0</v>
      </c>
      <c r="I48" s="600">
        <f ca="1"/>
        <v>0</v>
      </c>
      <c r="J48" s="600">
        <f ca="1"/>
        <v>0</v>
      </c>
      <c r="K48" s="600">
        <f ca="1"/>
        <v>0</v>
      </c>
      <c r="L48" s="600">
        <f ca="1"/>
        <v>0</v>
      </c>
      <c r="M48" s="600">
        <f ca="1"/>
        <v>0</v>
      </c>
      <c r="N48" s="600">
        <f ca="1"/>
        <v>0</v>
      </c>
      <c r="O48" s="600">
        <f ca="1"/>
        <v>0</v>
      </c>
      <c r="P48" s="600">
        <f ca="1"/>
        <v>0</v>
      </c>
      <c r="Q48" s="600">
        <f ca="1"/>
        <v>0</v>
      </c>
      <c r="R48" s="600">
        <f ca="1"/>
        <v>0</v>
      </c>
      <c r="S48" s="600">
        <f ca="1"/>
        <v>0</v>
      </c>
      <c r="T48" s="600">
        <f ca="1"/>
        <v>0</v>
      </c>
      <c r="U48" s="600">
        <f ca="1"/>
        <v>0</v>
      </c>
      <c r="V48" s="600">
        <f ca="1"/>
        <v>0</v>
      </c>
      <c r="W48" s="600">
        <f ca="1"/>
        <v>0</v>
      </c>
      <c r="X48" s="601">
        <f ca="1"/>
        <v>0</v>
      </c>
      <c r="Y48" s="601">
        <f ca="1"/>
        <v>0</v>
      </c>
      <c r="Z48" s="601">
        <f ca="1"/>
        <v>0</v>
      </c>
      <c r="AA48" s="1322">
        <f ca="1"/>
        <v>0</v>
      </c>
      <c r="AB48" s="14"/>
    </row>
    <row r="49" spans="1:28" s="10" customFormat="1" ht="15" hidden="1" customHeight="1" x14ac:dyDescent="0.45">
      <c r="A49" s="1865" t="s">
        <v>671</v>
      </c>
      <c r="B49" s="1779" t="s">
        <v>404</v>
      </c>
      <c r="C49" s="6" t="s">
        <v>399</v>
      </c>
      <c r="D49" s="40">
        <f t="array" ref="D49:AA90" ca="1">IF(display_week="",0,
INDEX(final_duration_WD,TRUNC((ROW(display_summary_trainingtilt)-6+2)/3),display_week))</f>
        <v>0</v>
      </c>
      <c r="E49" s="40">
        <f ca="1"/>
        <v>0</v>
      </c>
      <c r="F49" s="40">
        <f ca="1"/>
        <v>0</v>
      </c>
      <c r="G49" s="40">
        <f ca="1"/>
        <v>0</v>
      </c>
      <c r="H49" s="40">
        <f ca="1"/>
        <v>0</v>
      </c>
      <c r="I49" s="40">
        <f ca="1"/>
        <v>0</v>
      </c>
      <c r="J49" s="40">
        <f ca="1"/>
        <v>0</v>
      </c>
      <c r="K49" s="40">
        <f ca="1"/>
        <v>0</v>
      </c>
      <c r="L49" s="40">
        <f ca="1"/>
        <v>0</v>
      </c>
      <c r="M49" s="42">
        <f ca="1"/>
        <v>0</v>
      </c>
      <c r="N49" s="42">
        <f ca="1"/>
        <v>0</v>
      </c>
      <c r="O49" s="42">
        <f ca="1"/>
        <v>0</v>
      </c>
      <c r="P49" s="42">
        <f ca="1"/>
        <v>0</v>
      </c>
      <c r="Q49" s="42">
        <f ca="1"/>
        <v>0</v>
      </c>
      <c r="R49" s="42">
        <f ca="1"/>
        <v>0</v>
      </c>
      <c r="S49" s="42">
        <f ca="1"/>
        <v>0</v>
      </c>
      <c r="T49" s="42">
        <f ca="1"/>
        <v>0</v>
      </c>
      <c r="U49" s="42">
        <f ca="1"/>
        <v>0</v>
      </c>
      <c r="V49" s="42">
        <f ca="1"/>
        <v>0</v>
      </c>
      <c r="W49" s="42">
        <f ca="1"/>
        <v>0</v>
      </c>
      <c r="X49" s="42">
        <f ca="1"/>
        <v>0</v>
      </c>
      <c r="Y49" s="42">
        <f ca="1"/>
        <v>0</v>
      </c>
      <c r="Z49" s="42">
        <f ca="1"/>
        <v>0</v>
      </c>
      <c r="AA49" s="1313">
        <f ca="1"/>
        <v>0</v>
      </c>
      <c r="AB49" s="14"/>
    </row>
    <row r="50" spans="1:28" s="10" customFormat="1" ht="15" hidden="1" customHeight="1" x14ac:dyDescent="0.45">
      <c r="A50" s="1858"/>
      <c r="B50" s="1780"/>
      <c r="C50" s="8" t="s">
        <v>401</v>
      </c>
      <c r="D50" s="44">
        <f ca="1"/>
        <v>0</v>
      </c>
      <c r="E50" s="44">
        <f ca="1"/>
        <v>0</v>
      </c>
      <c r="F50" s="44">
        <f ca="1"/>
        <v>0</v>
      </c>
      <c r="G50" s="44">
        <f ca="1"/>
        <v>0</v>
      </c>
      <c r="H50" s="44">
        <f ca="1"/>
        <v>0</v>
      </c>
      <c r="I50" s="44">
        <f ca="1"/>
        <v>0</v>
      </c>
      <c r="J50" s="44">
        <f ca="1"/>
        <v>0</v>
      </c>
      <c r="K50" s="44">
        <f ca="1"/>
        <v>0</v>
      </c>
      <c r="L50" s="44">
        <f ca="1"/>
        <v>0</v>
      </c>
      <c r="M50" s="44">
        <f ca="1"/>
        <v>0</v>
      </c>
      <c r="N50" s="44">
        <f ca="1"/>
        <v>0</v>
      </c>
      <c r="O50" s="44">
        <f ca="1"/>
        <v>0</v>
      </c>
      <c r="P50" s="44">
        <f ca="1"/>
        <v>0</v>
      </c>
      <c r="Q50" s="44">
        <f ca="1"/>
        <v>0</v>
      </c>
      <c r="R50" s="44">
        <f ca="1"/>
        <v>0</v>
      </c>
      <c r="S50" s="44">
        <f ca="1"/>
        <v>0</v>
      </c>
      <c r="T50" s="44">
        <f ca="1"/>
        <v>0</v>
      </c>
      <c r="U50" s="44">
        <f ca="1"/>
        <v>0</v>
      </c>
      <c r="V50" s="44">
        <f ca="1"/>
        <v>0</v>
      </c>
      <c r="W50" s="44">
        <f ca="1"/>
        <v>0</v>
      </c>
      <c r="X50" s="55">
        <f ca="1"/>
        <v>0</v>
      </c>
      <c r="Y50" s="55">
        <f ca="1"/>
        <v>0</v>
      </c>
      <c r="Z50" s="55">
        <f ca="1"/>
        <v>0</v>
      </c>
      <c r="AA50" s="1314">
        <f ca="1"/>
        <v>0</v>
      </c>
      <c r="AB50" s="14"/>
    </row>
    <row r="51" spans="1:28" s="10" customFormat="1" ht="15" hidden="1" customHeight="1" x14ac:dyDescent="0.45">
      <c r="A51" s="1858"/>
      <c r="B51" s="1780"/>
      <c r="C51" s="8" t="s">
        <v>400</v>
      </c>
      <c r="D51" s="44">
        <f ca="1"/>
        <v>0</v>
      </c>
      <c r="E51" s="44">
        <f ca="1"/>
        <v>0</v>
      </c>
      <c r="F51" s="44">
        <f ca="1"/>
        <v>0</v>
      </c>
      <c r="G51" s="44">
        <f ca="1"/>
        <v>0</v>
      </c>
      <c r="H51" s="44">
        <f ca="1"/>
        <v>0</v>
      </c>
      <c r="I51" s="44">
        <f ca="1"/>
        <v>0</v>
      </c>
      <c r="J51" s="44">
        <f ca="1"/>
        <v>0</v>
      </c>
      <c r="K51" s="44">
        <f ca="1"/>
        <v>0</v>
      </c>
      <c r="L51" s="44">
        <f ca="1"/>
        <v>0</v>
      </c>
      <c r="M51" s="44">
        <f ca="1"/>
        <v>0</v>
      </c>
      <c r="N51" s="44">
        <f ca="1"/>
        <v>0</v>
      </c>
      <c r="O51" s="44">
        <f ca="1"/>
        <v>0</v>
      </c>
      <c r="P51" s="55">
        <f ca="1"/>
        <v>0</v>
      </c>
      <c r="Q51" s="55">
        <f ca="1"/>
        <v>0</v>
      </c>
      <c r="R51" s="55">
        <f ca="1"/>
        <v>0</v>
      </c>
      <c r="S51" s="55">
        <f ca="1"/>
        <v>0</v>
      </c>
      <c r="T51" s="55">
        <f ca="1"/>
        <v>0</v>
      </c>
      <c r="U51" s="55">
        <f ca="1"/>
        <v>0</v>
      </c>
      <c r="V51" s="55">
        <f ca="1"/>
        <v>0</v>
      </c>
      <c r="W51" s="55">
        <f ca="1"/>
        <v>0</v>
      </c>
      <c r="X51" s="55">
        <f ca="1"/>
        <v>0</v>
      </c>
      <c r="Y51" s="55">
        <f ca="1"/>
        <v>0</v>
      </c>
      <c r="Z51" s="55">
        <f ca="1"/>
        <v>0</v>
      </c>
      <c r="AA51" s="1314">
        <f ca="1"/>
        <v>0</v>
      </c>
      <c r="AB51" s="14"/>
    </row>
    <row r="52" spans="1:28" s="10" customFormat="1" ht="15" hidden="1" customHeight="1" x14ac:dyDescent="0.45">
      <c r="A52" s="1858"/>
      <c r="B52" s="1860" t="s">
        <v>412</v>
      </c>
      <c r="C52" s="598" t="s">
        <v>399</v>
      </c>
      <c r="D52" s="47">
        <f ca="1"/>
        <v>0</v>
      </c>
      <c r="E52" s="47">
        <f ca="1"/>
        <v>0</v>
      </c>
      <c r="F52" s="47">
        <f ca="1"/>
        <v>0</v>
      </c>
      <c r="G52" s="47">
        <f ca="1"/>
        <v>0</v>
      </c>
      <c r="H52" s="47">
        <f ca="1"/>
        <v>0</v>
      </c>
      <c r="I52" s="47">
        <f ca="1"/>
        <v>0</v>
      </c>
      <c r="J52" s="47">
        <f ca="1"/>
        <v>0</v>
      </c>
      <c r="K52" s="47">
        <f ca="1"/>
        <v>0</v>
      </c>
      <c r="L52" s="47">
        <f ca="1"/>
        <v>0</v>
      </c>
      <c r="M52" s="47">
        <f ca="1"/>
        <v>0</v>
      </c>
      <c r="N52" s="47">
        <f ca="1"/>
        <v>0</v>
      </c>
      <c r="O52" s="47">
        <f ca="1"/>
        <v>0</v>
      </c>
      <c r="P52" s="47">
        <f ca="1"/>
        <v>0</v>
      </c>
      <c r="Q52" s="49">
        <f ca="1"/>
        <v>0</v>
      </c>
      <c r="R52" s="49">
        <f ca="1"/>
        <v>0</v>
      </c>
      <c r="S52" s="49">
        <f ca="1"/>
        <v>0</v>
      </c>
      <c r="T52" s="49">
        <f ca="1"/>
        <v>0</v>
      </c>
      <c r="U52" s="49">
        <f ca="1"/>
        <v>0</v>
      </c>
      <c r="V52" s="49">
        <f ca="1"/>
        <v>0</v>
      </c>
      <c r="W52" s="49">
        <f ca="1"/>
        <v>0</v>
      </c>
      <c r="X52" s="49">
        <f ca="1"/>
        <v>0</v>
      </c>
      <c r="Y52" s="49">
        <f ca="1"/>
        <v>0</v>
      </c>
      <c r="Z52" s="49">
        <f ca="1"/>
        <v>0</v>
      </c>
      <c r="AA52" s="1315">
        <f ca="1"/>
        <v>0</v>
      </c>
      <c r="AB52" s="14"/>
    </row>
    <row r="53" spans="1:28" s="10" customFormat="1" ht="15" hidden="1" customHeight="1" x14ac:dyDescent="0.45">
      <c r="A53" s="1858"/>
      <c r="B53" s="1860"/>
      <c r="C53" s="7" t="s">
        <v>401</v>
      </c>
      <c r="D53" s="596">
        <f ca="1"/>
        <v>0</v>
      </c>
      <c r="E53" s="596">
        <f ca="1"/>
        <v>0</v>
      </c>
      <c r="F53" s="596">
        <f ca="1"/>
        <v>0</v>
      </c>
      <c r="G53" s="596">
        <f ca="1"/>
        <v>0</v>
      </c>
      <c r="H53" s="596">
        <f ca="1"/>
        <v>0</v>
      </c>
      <c r="I53" s="596">
        <f ca="1"/>
        <v>0</v>
      </c>
      <c r="J53" s="596">
        <f ca="1"/>
        <v>0</v>
      </c>
      <c r="K53" s="596">
        <f ca="1"/>
        <v>0</v>
      </c>
      <c r="L53" s="596">
        <f ca="1"/>
        <v>0</v>
      </c>
      <c r="M53" s="597">
        <f ca="1"/>
        <v>0</v>
      </c>
      <c r="N53" s="597">
        <f ca="1"/>
        <v>0</v>
      </c>
      <c r="O53" s="597">
        <f ca="1"/>
        <v>0</v>
      </c>
      <c r="P53" s="597">
        <f ca="1"/>
        <v>0</v>
      </c>
      <c r="Q53" s="597">
        <f ca="1"/>
        <v>0</v>
      </c>
      <c r="R53" s="597">
        <f ca="1"/>
        <v>0</v>
      </c>
      <c r="S53" s="597">
        <f ca="1"/>
        <v>0</v>
      </c>
      <c r="T53" s="597">
        <f ca="1"/>
        <v>0</v>
      </c>
      <c r="U53" s="597">
        <f ca="1"/>
        <v>0</v>
      </c>
      <c r="V53" s="597">
        <f ca="1"/>
        <v>0</v>
      </c>
      <c r="W53" s="597">
        <f ca="1"/>
        <v>0</v>
      </c>
      <c r="X53" s="597">
        <f ca="1"/>
        <v>0</v>
      </c>
      <c r="Y53" s="597">
        <f ca="1"/>
        <v>0</v>
      </c>
      <c r="Z53" s="597">
        <f ca="1"/>
        <v>0</v>
      </c>
      <c r="AA53" s="1317">
        <f ca="1"/>
        <v>0</v>
      </c>
      <c r="AB53" s="14"/>
    </row>
    <row r="54" spans="1:28" s="10" customFormat="1" ht="15" hidden="1" customHeight="1" x14ac:dyDescent="0.45">
      <c r="A54" s="1858"/>
      <c r="B54" s="1861"/>
      <c r="C54" s="7" t="s">
        <v>400</v>
      </c>
      <c r="D54" s="47">
        <f ca="1"/>
        <v>0</v>
      </c>
      <c r="E54" s="47">
        <f ca="1"/>
        <v>0</v>
      </c>
      <c r="F54" s="47">
        <f ca="1"/>
        <v>0</v>
      </c>
      <c r="G54" s="47">
        <f ca="1"/>
        <v>0</v>
      </c>
      <c r="H54" s="47">
        <f ca="1"/>
        <v>0</v>
      </c>
      <c r="I54" s="47">
        <f ca="1"/>
        <v>0</v>
      </c>
      <c r="J54" s="47">
        <f ca="1"/>
        <v>0</v>
      </c>
      <c r="K54" s="47">
        <f ca="1"/>
        <v>0</v>
      </c>
      <c r="L54" s="47">
        <f ca="1"/>
        <v>0</v>
      </c>
      <c r="M54" s="47">
        <f ca="1"/>
        <v>0</v>
      </c>
      <c r="N54" s="47">
        <f ca="1"/>
        <v>0</v>
      </c>
      <c r="O54" s="47">
        <f ca="1"/>
        <v>0</v>
      </c>
      <c r="P54" s="47">
        <f ca="1"/>
        <v>0</v>
      </c>
      <c r="Q54" s="47">
        <f ca="1"/>
        <v>0</v>
      </c>
      <c r="R54" s="47">
        <f ca="1"/>
        <v>0</v>
      </c>
      <c r="S54" s="47">
        <f ca="1"/>
        <v>0</v>
      </c>
      <c r="T54" s="47">
        <f ca="1"/>
        <v>0</v>
      </c>
      <c r="U54" s="47">
        <f ca="1"/>
        <v>0</v>
      </c>
      <c r="V54" s="47">
        <f ca="1"/>
        <v>0</v>
      </c>
      <c r="W54" s="47">
        <f ca="1"/>
        <v>0</v>
      </c>
      <c r="X54" s="49">
        <f ca="1"/>
        <v>0</v>
      </c>
      <c r="Y54" s="49">
        <f ca="1"/>
        <v>0</v>
      </c>
      <c r="Z54" s="49">
        <f ca="1"/>
        <v>0</v>
      </c>
      <c r="AA54" s="1315">
        <f ca="1"/>
        <v>0</v>
      </c>
      <c r="AB54" s="14"/>
    </row>
    <row r="55" spans="1:28" s="10" customFormat="1" ht="15" hidden="1" customHeight="1" x14ac:dyDescent="0.45">
      <c r="A55" s="1858"/>
      <c r="B55" s="1780" t="s">
        <v>405</v>
      </c>
      <c r="C55" s="39" t="s">
        <v>399</v>
      </c>
      <c r="D55" s="51">
        <f ca="1"/>
        <v>0</v>
      </c>
      <c r="E55" s="51">
        <f ca="1"/>
        <v>0</v>
      </c>
      <c r="F55" s="51">
        <f ca="1"/>
        <v>0</v>
      </c>
      <c r="G55" s="51">
        <f ca="1"/>
        <v>0</v>
      </c>
      <c r="H55" s="51">
        <f ca="1"/>
        <v>0</v>
      </c>
      <c r="I55" s="51">
        <f ca="1"/>
        <v>0</v>
      </c>
      <c r="J55" s="51">
        <f ca="1"/>
        <v>0</v>
      </c>
      <c r="K55" s="51">
        <f ca="1"/>
        <v>0</v>
      </c>
      <c r="L55" s="51">
        <f ca="1"/>
        <v>0</v>
      </c>
      <c r="M55" s="53">
        <f ca="1"/>
        <v>0</v>
      </c>
      <c r="N55" s="53">
        <f ca="1"/>
        <v>0</v>
      </c>
      <c r="O55" s="53">
        <f ca="1"/>
        <v>0</v>
      </c>
      <c r="P55" s="53">
        <f ca="1"/>
        <v>0</v>
      </c>
      <c r="Q55" s="53">
        <f ca="1"/>
        <v>0</v>
      </c>
      <c r="R55" s="53">
        <f ca="1"/>
        <v>0</v>
      </c>
      <c r="S55" s="53">
        <f ca="1"/>
        <v>0</v>
      </c>
      <c r="T55" s="53">
        <f ca="1"/>
        <v>0</v>
      </c>
      <c r="U55" s="53">
        <f ca="1"/>
        <v>0</v>
      </c>
      <c r="V55" s="53">
        <f ca="1"/>
        <v>0</v>
      </c>
      <c r="W55" s="53">
        <f ca="1"/>
        <v>0</v>
      </c>
      <c r="X55" s="53">
        <f ca="1"/>
        <v>0</v>
      </c>
      <c r="Y55" s="53">
        <f ca="1"/>
        <v>0</v>
      </c>
      <c r="Z55" s="53">
        <f ca="1"/>
        <v>0</v>
      </c>
      <c r="AA55" s="1316">
        <f ca="1"/>
        <v>0</v>
      </c>
      <c r="AB55" s="14"/>
    </row>
    <row r="56" spans="1:28" s="10" customFormat="1" ht="15" hidden="1" customHeight="1" x14ac:dyDescent="0.45">
      <c r="A56" s="1858"/>
      <c r="B56" s="1780"/>
      <c r="C56" s="8" t="s">
        <v>401</v>
      </c>
      <c r="D56" s="44">
        <f ca="1"/>
        <v>0</v>
      </c>
      <c r="E56" s="44">
        <f ca="1"/>
        <v>0</v>
      </c>
      <c r="F56" s="44">
        <f ca="1"/>
        <v>0</v>
      </c>
      <c r="G56" s="44">
        <f ca="1"/>
        <v>0</v>
      </c>
      <c r="H56" s="44">
        <f ca="1"/>
        <v>0</v>
      </c>
      <c r="I56" s="44">
        <f ca="1"/>
        <v>0</v>
      </c>
      <c r="J56" s="44">
        <f ca="1"/>
        <v>0</v>
      </c>
      <c r="K56" s="44">
        <f ca="1"/>
        <v>0</v>
      </c>
      <c r="L56" s="44">
        <f ca="1"/>
        <v>0</v>
      </c>
      <c r="M56" s="44">
        <f ca="1"/>
        <v>0</v>
      </c>
      <c r="N56" s="44">
        <f ca="1"/>
        <v>0</v>
      </c>
      <c r="O56" s="44">
        <f ca="1"/>
        <v>0</v>
      </c>
      <c r="P56" s="44">
        <f ca="1"/>
        <v>0</v>
      </c>
      <c r="Q56" s="44">
        <f ca="1"/>
        <v>0</v>
      </c>
      <c r="R56" s="44">
        <f ca="1"/>
        <v>0</v>
      </c>
      <c r="S56" s="44">
        <f ca="1"/>
        <v>0</v>
      </c>
      <c r="T56" s="44">
        <f ca="1"/>
        <v>0</v>
      </c>
      <c r="U56" s="44">
        <f ca="1"/>
        <v>0</v>
      </c>
      <c r="V56" s="44">
        <f ca="1"/>
        <v>0</v>
      </c>
      <c r="W56" s="44">
        <f ca="1"/>
        <v>0</v>
      </c>
      <c r="X56" s="55">
        <f ca="1"/>
        <v>0</v>
      </c>
      <c r="Y56" s="55">
        <f ca="1"/>
        <v>0</v>
      </c>
      <c r="Z56" s="55">
        <f ca="1"/>
        <v>0</v>
      </c>
      <c r="AA56" s="1314">
        <f ca="1"/>
        <v>0</v>
      </c>
      <c r="AB56" s="14"/>
    </row>
    <row r="57" spans="1:28" s="10" customFormat="1" ht="15" hidden="1" customHeight="1" x14ac:dyDescent="0.45">
      <c r="A57" s="1858"/>
      <c r="B57" s="1780"/>
      <c r="C57" s="8" t="s">
        <v>400</v>
      </c>
      <c r="D57" s="44">
        <f ca="1"/>
        <v>0</v>
      </c>
      <c r="E57" s="44">
        <f ca="1"/>
        <v>0</v>
      </c>
      <c r="F57" s="44">
        <f ca="1"/>
        <v>0</v>
      </c>
      <c r="G57" s="44">
        <f ca="1"/>
        <v>0</v>
      </c>
      <c r="H57" s="44">
        <f ca="1"/>
        <v>0</v>
      </c>
      <c r="I57" s="44">
        <f ca="1"/>
        <v>0</v>
      </c>
      <c r="J57" s="44">
        <f ca="1"/>
        <v>0</v>
      </c>
      <c r="K57" s="44">
        <f ca="1"/>
        <v>0</v>
      </c>
      <c r="L57" s="44">
        <f ca="1"/>
        <v>0</v>
      </c>
      <c r="M57" s="44">
        <f ca="1"/>
        <v>0</v>
      </c>
      <c r="N57" s="44">
        <f ca="1"/>
        <v>0</v>
      </c>
      <c r="O57" s="44">
        <f ca="1"/>
        <v>0</v>
      </c>
      <c r="P57" s="55">
        <f ca="1"/>
        <v>0</v>
      </c>
      <c r="Q57" s="55">
        <f ca="1"/>
        <v>0</v>
      </c>
      <c r="R57" s="55">
        <f ca="1"/>
        <v>0</v>
      </c>
      <c r="S57" s="55">
        <f ca="1"/>
        <v>0</v>
      </c>
      <c r="T57" s="55">
        <f ca="1"/>
        <v>0</v>
      </c>
      <c r="U57" s="55">
        <f ca="1"/>
        <v>0</v>
      </c>
      <c r="V57" s="55">
        <f ca="1"/>
        <v>0</v>
      </c>
      <c r="W57" s="55">
        <f ca="1"/>
        <v>0</v>
      </c>
      <c r="X57" s="55">
        <f ca="1"/>
        <v>0</v>
      </c>
      <c r="Y57" s="55">
        <f ca="1"/>
        <v>0</v>
      </c>
      <c r="Z57" s="55">
        <f ca="1"/>
        <v>0</v>
      </c>
      <c r="AA57" s="1314">
        <f ca="1"/>
        <v>0</v>
      </c>
      <c r="AB57" s="14"/>
    </row>
    <row r="58" spans="1:28" s="10" customFormat="1" ht="15" hidden="1" customHeight="1" x14ac:dyDescent="0.45">
      <c r="A58" s="1858"/>
      <c r="B58" s="1860" t="s">
        <v>406</v>
      </c>
      <c r="C58" s="598" t="s">
        <v>399</v>
      </c>
      <c r="D58" s="47">
        <f ca="1"/>
        <v>15</v>
      </c>
      <c r="E58" s="47">
        <f ca="1"/>
        <v>15</v>
      </c>
      <c r="F58" s="47">
        <f ca="1"/>
        <v>15</v>
      </c>
      <c r="G58" s="47">
        <f ca="1"/>
        <v>15</v>
      </c>
      <c r="H58" s="47">
        <f ca="1"/>
        <v>15</v>
      </c>
      <c r="I58" s="47">
        <f ca="1"/>
        <v>15</v>
      </c>
      <c r="J58" s="47">
        <f ca="1"/>
        <v>15</v>
      </c>
      <c r="K58" s="47">
        <f ca="1"/>
        <v>15</v>
      </c>
      <c r="L58" s="47">
        <f ca="1"/>
        <v>15</v>
      </c>
      <c r="M58" s="47">
        <f ca="1"/>
        <v>0</v>
      </c>
      <c r="N58" s="47">
        <f ca="1"/>
        <v>0</v>
      </c>
      <c r="O58" s="47">
        <f ca="1"/>
        <v>15</v>
      </c>
      <c r="P58" s="47">
        <f ca="1"/>
        <v>15</v>
      </c>
      <c r="Q58" s="49">
        <f ca="1"/>
        <v>15</v>
      </c>
      <c r="R58" s="49">
        <f ca="1"/>
        <v>15</v>
      </c>
      <c r="S58" s="49">
        <f ca="1"/>
        <v>15</v>
      </c>
      <c r="T58" s="49">
        <f ca="1"/>
        <v>0</v>
      </c>
      <c r="U58" s="49">
        <f ca="1"/>
        <v>15</v>
      </c>
      <c r="V58" s="49">
        <f ca="1"/>
        <v>15</v>
      </c>
      <c r="W58" s="49">
        <f ca="1"/>
        <v>0</v>
      </c>
      <c r="X58" s="49">
        <f ca="1"/>
        <v>0</v>
      </c>
      <c r="Y58" s="49">
        <f ca="1"/>
        <v>0</v>
      </c>
      <c r="Z58" s="49">
        <f ca="1"/>
        <v>0</v>
      </c>
      <c r="AA58" s="1315">
        <f ca="1"/>
        <v>0</v>
      </c>
      <c r="AB58" s="14"/>
    </row>
    <row r="59" spans="1:28" s="10" customFormat="1" ht="15" hidden="1" customHeight="1" x14ac:dyDescent="0.45">
      <c r="A59" s="1858"/>
      <c r="B59" s="1860"/>
      <c r="C59" s="7" t="s">
        <v>401</v>
      </c>
      <c r="D59" s="596">
        <f ca="1"/>
        <v>15</v>
      </c>
      <c r="E59" s="596">
        <f ca="1"/>
        <v>15</v>
      </c>
      <c r="F59" s="596">
        <f ca="1"/>
        <v>15</v>
      </c>
      <c r="G59" s="596">
        <f ca="1"/>
        <v>15</v>
      </c>
      <c r="H59" s="596">
        <f ca="1"/>
        <v>15</v>
      </c>
      <c r="I59" s="596">
        <f ca="1"/>
        <v>15</v>
      </c>
      <c r="J59" s="596">
        <f ca="1"/>
        <v>15</v>
      </c>
      <c r="K59" s="596">
        <f ca="1"/>
        <v>15</v>
      </c>
      <c r="L59" s="596">
        <f ca="1"/>
        <v>15</v>
      </c>
      <c r="M59" s="597">
        <f ca="1"/>
        <v>0</v>
      </c>
      <c r="N59" s="597">
        <f ca="1"/>
        <v>0</v>
      </c>
      <c r="O59" s="597">
        <f ca="1"/>
        <v>15</v>
      </c>
      <c r="P59" s="597">
        <f ca="1"/>
        <v>15</v>
      </c>
      <c r="Q59" s="597">
        <f ca="1"/>
        <v>15</v>
      </c>
      <c r="R59" s="597">
        <f ca="1"/>
        <v>15</v>
      </c>
      <c r="S59" s="597">
        <f ca="1"/>
        <v>15</v>
      </c>
      <c r="T59" s="597">
        <f ca="1"/>
        <v>0</v>
      </c>
      <c r="U59" s="597">
        <f ca="1"/>
        <v>15</v>
      </c>
      <c r="V59" s="597">
        <f ca="1"/>
        <v>15</v>
      </c>
      <c r="W59" s="597">
        <f ca="1"/>
        <v>0</v>
      </c>
      <c r="X59" s="597">
        <f ca="1"/>
        <v>0</v>
      </c>
      <c r="Y59" s="597">
        <f ca="1"/>
        <v>0</v>
      </c>
      <c r="Z59" s="597">
        <f ca="1"/>
        <v>0</v>
      </c>
      <c r="AA59" s="1317">
        <f ca="1"/>
        <v>0</v>
      </c>
      <c r="AB59" s="14"/>
    </row>
    <row r="60" spans="1:28" s="10" customFormat="1" ht="15" hidden="1" customHeight="1" x14ac:dyDescent="0.45">
      <c r="A60" s="1858"/>
      <c r="B60" s="1861"/>
      <c r="C60" s="7" t="s">
        <v>400</v>
      </c>
      <c r="D60" s="47">
        <f ca="1"/>
        <v>15</v>
      </c>
      <c r="E60" s="47">
        <f ca="1"/>
        <v>15</v>
      </c>
      <c r="F60" s="47">
        <f ca="1"/>
        <v>15</v>
      </c>
      <c r="G60" s="47">
        <f ca="1"/>
        <v>15</v>
      </c>
      <c r="H60" s="47">
        <f ca="1"/>
        <v>15</v>
      </c>
      <c r="I60" s="47">
        <f ca="1"/>
        <v>15</v>
      </c>
      <c r="J60" s="47">
        <f ca="1"/>
        <v>15</v>
      </c>
      <c r="K60" s="47">
        <f ca="1"/>
        <v>15</v>
      </c>
      <c r="L60" s="47">
        <f ca="1"/>
        <v>15</v>
      </c>
      <c r="M60" s="47">
        <f ca="1"/>
        <v>0</v>
      </c>
      <c r="N60" s="47">
        <f ca="1"/>
        <v>0</v>
      </c>
      <c r="O60" s="47">
        <f ca="1"/>
        <v>15</v>
      </c>
      <c r="P60" s="47">
        <f ca="1"/>
        <v>15</v>
      </c>
      <c r="Q60" s="47">
        <f ca="1"/>
        <v>15</v>
      </c>
      <c r="R60" s="47">
        <f ca="1"/>
        <v>15</v>
      </c>
      <c r="S60" s="47">
        <f ca="1"/>
        <v>15</v>
      </c>
      <c r="T60" s="47">
        <f ca="1"/>
        <v>0</v>
      </c>
      <c r="U60" s="47">
        <f ca="1"/>
        <v>15</v>
      </c>
      <c r="V60" s="47">
        <f ca="1"/>
        <v>15</v>
      </c>
      <c r="W60" s="47">
        <f ca="1"/>
        <v>0</v>
      </c>
      <c r="X60" s="49">
        <f ca="1"/>
        <v>0</v>
      </c>
      <c r="Y60" s="49">
        <f ca="1"/>
        <v>0</v>
      </c>
      <c r="Z60" s="49">
        <f ca="1"/>
        <v>0</v>
      </c>
      <c r="AA60" s="1315">
        <f ca="1"/>
        <v>0</v>
      </c>
      <c r="AB60" s="14"/>
    </row>
    <row r="61" spans="1:28" s="10" customFormat="1" ht="15" hidden="1" customHeight="1" x14ac:dyDescent="0.45">
      <c r="A61" s="1858"/>
      <c r="B61" s="1780" t="s">
        <v>407</v>
      </c>
      <c r="C61" s="39" t="s">
        <v>399</v>
      </c>
      <c r="D61" s="51">
        <f ca="1"/>
        <v>0</v>
      </c>
      <c r="E61" s="51">
        <f ca="1"/>
        <v>0</v>
      </c>
      <c r="F61" s="51">
        <f ca="1"/>
        <v>0</v>
      </c>
      <c r="G61" s="51">
        <f ca="1"/>
        <v>0</v>
      </c>
      <c r="H61" s="51">
        <f ca="1"/>
        <v>0</v>
      </c>
      <c r="I61" s="51">
        <f ca="1"/>
        <v>0</v>
      </c>
      <c r="J61" s="51">
        <f ca="1"/>
        <v>0</v>
      </c>
      <c r="K61" s="51">
        <f ca="1"/>
        <v>0</v>
      </c>
      <c r="L61" s="51">
        <f ca="1"/>
        <v>0</v>
      </c>
      <c r="M61" s="53">
        <f ca="1"/>
        <v>0</v>
      </c>
      <c r="N61" s="53">
        <f ca="1"/>
        <v>0</v>
      </c>
      <c r="O61" s="53">
        <f ca="1"/>
        <v>0</v>
      </c>
      <c r="P61" s="53">
        <f ca="1"/>
        <v>0</v>
      </c>
      <c r="Q61" s="53">
        <f ca="1"/>
        <v>0</v>
      </c>
      <c r="R61" s="53">
        <f ca="1"/>
        <v>0</v>
      </c>
      <c r="S61" s="53">
        <f ca="1"/>
        <v>0</v>
      </c>
      <c r="T61" s="53">
        <f ca="1"/>
        <v>0</v>
      </c>
      <c r="U61" s="53">
        <f ca="1"/>
        <v>0</v>
      </c>
      <c r="V61" s="53">
        <f ca="1"/>
        <v>0</v>
      </c>
      <c r="W61" s="53">
        <f ca="1"/>
        <v>0</v>
      </c>
      <c r="X61" s="53">
        <f ca="1"/>
        <v>0</v>
      </c>
      <c r="Y61" s="53">
        <f ca="1"/>
        <v>0</v>
      </c>
      <c r="Z61" s="53">
        <f ca="1"/>
        <v>0</v>
      </c>
      <c r="AA61" s="1316">
        <f ca="1"/>
        <v>0</v>
      </c>
      <c r="AB61" s="14"/>
    </row>
    <row r="62" spans="1:28" s="10" customFormat="1" ht="15" hidden="1" customHeight="1" x14ac:dyDescent="0.45">
      <c r="A62" s="1858"/>
      <c r="B62" s="1780"/>
      <c r="C62" s="8" t="s">
        <v>401</v>
      </c>
      <c r="D62" s="44">
        <f ca="1"/>
        <v>0</v>
      </c>
      <c r="E62" s="44">
        <f ca="1"/>
        <v>0</v>
      </c>
      <c r="F62" s="44">
        <f ca="1"/>
        <v>0</v>
      </c>
      <c r="G62" s="44">
        <f ca="1"/>
        <v>0</v>
      </c>
      <c r="H62" s="44">
        <f ca="1"/>
        <v>0</v>
      </c>
      <c r="I62" s="44">
        <f ca="1"/>
        <v>0</v>
      </c>
      <c r="J62" s="44">
        <f ca="1"/>
        <v>0</v>
      </c>
      <c r="K62" s="44">
        <f ca="1"/>
        <v>0</v>
      </c>
      <c r="L62" s="44">
        <f ca="1"/>
        <v>0</v>
      </c>
      <c r="M62" s="44">
        <f ca="1"/>
        <v>0</v>
      </c>
      <c r="N62" s="44">
        <f ca="1"/>
        <v>0</v>
      </c>
      <c r="O62" s="44">
        <f ca="1"/>
        <v>0</v>
      </c>
      <c r="P62" s="44">
        <f ca="1"/>
        <v>0</v>
      </c>
      <c r="Q62" s="44">
        <f ca="1"/>
        <v>0</v>
      </c>
      <c r="R62" s="44">
        <f ca="1"/>
        <v>0</v>
      </c>
      <c r="S62" s="44">
        <f ca="1"/>
        <v>0</v>
      </c>
      <c r="T62" s="44">
        <f ca="1"/>
        <v>0</v>
      </c>
      <c r="U62" s="44">
        <f ca="1"/>
        <v>0</v>
      </c>
      <c r="V62" s="44">
        <f ca="1"/>
        <v>0</v>
      </c>
      <c r="W62" s="44">
        <f ca="1"/>
        <v>0</v>
      </c>
      <c r="X62" s="55">
        <f ca="1"/>
        <v>0</v>
      </c>
      <c r="Y62" s="55">
        <f ca="1"/>
        <v>0</v>
      </c>
      <c r="Z62" s="55">
        <f ca="1"/>
        <v>0</v>
      </c>
      <c r="AA62" s="1314">
        <f ca="1"/>
        <v>0</v>
      </c>
      <c r="AB62" s="14"/>
    </row>
    <row r="63" spans="1:28" s="10" customFormat="1" ht="15" hidden="1" customHeight="1" x14ac:dyDescent="0.45">
      <c r="A63" s="1858"/>
      <c r="B63" s="1862"/>
      <c r="C63" s="8" t="s">
        <v>400</v>
      </c>
      <c r="D63" s="44">
        <f ca="1"/>
        <v>0</v>
      </c>
      <c r="E63" s="44">
        <f ca="1"/>
        <v>0</v>
      </c>
      <c r="F63" s="44">
        <f ca="1"/>
        <v>0</v>
      </c>
      <c r="G63" s="44">
        <f ca="1"/>
        <v>0</v>
      </c>
      <c r="H63" s="44">
        <f ca="1"/>
        <v>0</v>
      </c>
      <c r="I63" s="44">
        <f ca="1"/>
        <v>0</v>
      </c>
      <c r="J63" s="44">
        <f ca="1"/>
        <v>0</v>
      </c>
      <c r="K63" s="44">
        <f ca="1"/>
        <v>0</v>
      </c>
      <c r="L63" s="44">
        <f ca="1"/>
        <v>0</v>
      </c>
      <c r="M63" s="44">
        <f ca="1"/>
        <v>0</v>
      </c>
      <c r="N63" s="44">
        <f ca="1"/>
        <v>0</v>
      </c>
      <c r="O63" s="44">
        <f ca="1"/>
        <v>0</v>
      </c>
      <c r="P63" s="55">
        <f ca="1"/>
        <v>0</v>
      </c>
      <c r="Q63" s="55">
        <f ca="1"/>
        <v>0</v>
      </c>
      <c r="R63" s="55">
        <f ca="1"/>
        <v>0</v>
      </c>
      <c r="S63" s="55">
        <f ca="1"/>
        <v>0</v>
      </c>
      <c r="T63" s="55">
        <f ca="1"/>
        <v>0</v>
      </c>
      <c r="U63" s="55">
        <f ca="1"/>
        <v>0</v>
      </c>
      <c r="V63" s="55">
        <f ca="1"/>
        <v>0</v>
      </c>
      <c r="W63" s="55">
        <f ca="1"/>
        <v>0</v>
      </c>
      <c r="X63" s="55">
        <f ca="1"/>
        <v>0</v>
      </c>
      <c r="Y63" s="55">
        <f ca="1"/>
        <v>0</v>
      </c>
      <c r="Z63" s="55">
        <f ca="1"/>
        <v>0</v>
      </c>
      <c r="AA63" s="1314">
        <f ca="1"/>
        <v>0</v>
      </c>
      <c r="AB63" s="14"/>
    </row>
    <row r="64" spans="1:28" s="10" customFormat="1" ht="15" hidden="1" customHeight="1" x14ac:dyDescent="0.45">
      <c r="A64" s="1858"/>
      <c r="B64" s="1860" t="s">
        <v>413</v>
      </c>
      <c r="C64" s="598" t="s">
        <v>399</v>
      </c>
      <c r="D64" s="47">
        <f ca="1"/>
        <v>0</v>
      </c>
      <c r="E64" s="47">
        <f ca="1"/>
        <v>0</v>
      </c>
      <c r="F64" s="47">
        <f ca="1"/>
        <v>0</v>
      </c>
      <c r="G64" s="47">
        <f ca="1"/>
        <v>0</v>
      </c>
      <c r="H64" s="47">
        <f ca="1"/>
        <v>0</v>
      </c>
      <c r="I64" s="47">
        <f ca="1"/>
        <v>0</v>
      </c>
      <c r="J64" s="47">
        <f ca="1"/>
        <v>0</v>
      </c>
      <c r="K64" s="47">
        <f ca="1"/>
        <v>0</v>
      </c>
      <c r="L64" s="47">
        <f ca="1"/>
        <v>0</v>
      </c>
      <c r="M64" s="47">
        <f ca="1"/>
        <v>0</v>
      </c>
      <c r="N64" s="47">
        <f ca="1"/>
        <v>0</v>
      </c>
      <c r="O64" s="47">
        <f ca="1"/>
        <v>0</v>
      </c>
      <c r="P64" s="47">
        <f ca="1"/>
        <v>0</v>
      </c>
      <c r="Q64" s="49">
        <f ca="1"/>
        <v>0</v>
      </c>
      <c r="R64" s="49">
        <f ca="1"/>
        <v>0</v>
      </c>
      <c r="S64" s="49">
        <f ca="1"/>
        <v>0</v>
      </c>
      <c r="T64" s="49">
        <f ca="1"/>
        <v>0</v>
      </c>
      <c r="U64" s="49">
        <f ca="1"/>
        <v>0</v>
      </c>
      <c r="V64" s="49">
        <f ca="1"/>
        <v>15</v>
      </c>
      <c r="W64" s="49">
        <f ca="1"/>
        <v>0</v>
      </c>
      <c r="X64" s="49">
        <f ca="1"/>
        <v>0</v>
      </c>
      <c r="Y64" s="49">
        <f ca="1"/>
        <v>0</v>
      </c>
      <c r="Z64" s="49">
        <f ca="1"/>
        <v>0</v>
      </c>
      <c r="AA64" s="1315">
        <f ca="1"/>
        <v>0</v>
      </c>
      <c r="AB64" s="14"/>
    </row>
    <row r="65" spans="1:28" s="10" customFormat="1" ht="15" hidden="1" customHeight="1" x14ac:dyDescent="0.45">
      <c r="A65" s="1858"/>
      <c r="B65" s="1860"/>
      <c r="C65" s="7" t="s">
        <v>401</v>
      </c>
      <c r="D65" s="596">
        <f ca="1"/>
        <v>0</v>
      </c>
      <c r="E65" s="596">
        <f ca="1"/>
        <v>0</v>
      </c>
      <c r="F65" s="596">
        <f ca="1"/>
        <v>0</v>
      </c>
      <c r="G65" s="596">
        <f ca="1"/>
        <v>0</v>
      </c>
      <c r="H65" s="596">
        <f ca="1"/>
        <v>0</v>
      </c>
      <c r="I65" s="596">
        <f ca="1"/>
        <v>0</v>
      </c>
      <c r="J65" s="596">
        <f ca="1"/>
        <v>0</v>
      </c>
      <c r="K65" s="596">
        <f ca="1"/>
        <v>0</v>
      </c>
      <c r="L65" s="596">
        <f ca="1"/>
        <v>0</v>
      </c>
      <c r="M65" s="597">
        <f ca="1"/>
        <v>0</v>
      </c>
      <c r="N65" s="597">
        <f ca="1"/>
        <v>0</v>
      </c>
      <c r="O65" s="597">
        <f ca="1"/>
        <v>0</v>
      </c>
      <c r="P65" s="597">
        <f ca="1"/>
        <v>0</v>
      </c>
      <c r="Q65" s="597">
        <f ca="1"/>
        <v>0</v>
      </c>
      <c r="R65" s="597">
        <f ca="1"/>
        <v>0</v>
      </c>
      <c r="S65" s="597">
        <f ca="1"/>
        <v>0</v>
      </c>
      <c r="T65" s="597">
        <f ca="1"/>
        <v>0</v>
      </c>
      <c r="U65" s="597">
        <f ca="1"/>
        <v>0</v>
      </c>
      <c r="V65" s="597">
        <f ca="1"/>
        <v>15</v>
      </c>
      <c r="W65" s="597">
        <f ca="1"/>
        <v>0</v>
      </c>
      <c r="X65" s="597">
        <f ca="1"/>
        <v>0</v>
      </c>
      <c r="Y65" s="597">
        <f ca="1"/>
        <v>0</v>
      </c>
      <c r="Z65" s="597">
        <f ca="1"/>
        <v>0</v>
      </c>
      <c r="AA65" s="1317">
        <f ca="1"/>
        <v>0</v>
      </c>
      <c r="AB65" s="14"/>
    </row>
    <row r="66" spans="1:28" s="10" customFormat="1" ht="15" hidden="1" customHeight="1" x14ac:dyDescent="0.45">
      <c r="A66" s="1858"/>
      <c r="B66" s="1861"/>
      <c r="C66" s="7" t="s">
        <v>400</v>
      </c>
      <c r="D66" s="47">
        <f ca="1"/>
        <v>0</v>
      </c>
      <c r="E66" s="47">
        <f ca="1"/>
        <v>0</v>
      </c>
      <c r="F66" s="47">
        <f ca="1"/>
        <v>0</v>
      </c>
      <c r="G66" s="47">
        <f ca="1"/>
        <v>0</v>
      </c>
      <c r="H66" s="47">
        <f ca="1"/>
        <v>0</v>
      </c>
      <c r="I66" s="47">
        <f ca="1"/>
        <v>0</v>
      </c>
      <c r="J66" s="47">
        <f ca="1"/>
        <v>0</v>
      </c>
      <c r="K66" s="47">
        <f ca="1"/>
        <v>0</v>
      </c>
      <c r="L66" s="47">
        <f ca="1"/>
        <v>0</v>
      </c>
      <c r="M66" s="47">
        <f ca="1"/>
        <v>0</v>
      </c>
      <c r="N66" s="47">
        <f ca="1"/>
        <v>0</v>
      </c>
      <c r="O66" s="47">
        <f ca="1"/>
        <v>0</v>
      </c>
      <c r="P66" s="47">
        <f ca="1"/>
        <v>0</v>
      </c>
      <c r="Q66" s="47">
        <f ca="1"/>
        <v>0</v>
      </c>
      <c r="R66" s="47">
        <f ca="1"/>
        <v>0</v>
      </c>
      <c r="S66" s="47">
        <f ca="1"/>
        <v>0</v>
      </c>
      <c r="T66" s="47">
        <f ca="1"/>
        <v>0</v>
      </c>
      <c r="U66" s="47">
        <f ca="1"/>
        <v>0</v>
      </c>
      <c r="V66" s="47">
        <f ca="1"/>
        <v>15</v>
      </c>
      <c r="W66" s="47">
        <f ca="1"/>
        <v>0</v>
      </c>
      <c r="X66" s="49">
        <f ca="1"/>
        <v>0</v>
      </c>
      <c r="Y66" s="49">
        <f ca="1"/>
        <v>0</v>
      </c>
      <c r="Z66" s="49">
        <f ca="1"/>
        <v>0</v>
      </c>
      <c r="AA66" s="1315">
        <f ca="1"/>
        <v>0</v>
      </c>
      <c r="AB66" s="14"/>
    </row>
    <row r="67" spans="1:28" s="10" customFormat="1" ht="15" hidden="1" customHeight="1" x14ac:dyDescent="0.45">
      <c r="A67" s="1858"/>
      <c r="B67" s="1780" t="s">
        <v>408</v>
      </c>
      <c r="C67" s="39" t="s">
        <v>399</v>
      </c>
      <c r="D67" s="51">
        <f ca="1"/>
        <v>0</v>
      </c>
      <c r="E67" s="51">
        <f ca="1"/>
        <v>0</v>
      </c>
      <c r="F67" s="51">
        <f ca="1"/>
        <v>0</v>
      </c>
      <c r="G67" s="51">
        <f ca="1"/>
        <v>0</v>
      </c>
      <c r="H67" s="51">
        <f ca="1"/>
        <v>0</v>
      </c>
      <c r="I67" s="51">
        <f ca="1"/>
        <v>0</v>
      </c>
      <c r="J67" s="51">
        <f ca="1"/>
        <v>0</v>
      </c>
      <c r="K67" s="51">
        <f ca="1"/>
        <v>0</v>
      </c>
      <c r="L67" s="51">
        <f ca="1"/>
        <v>0</v>
      </c>
      <c r="M67" s="53">
        <f ca="1"/>
        <v>0</v>
      </c>
      <c r="N67" s="53">
        <f ca="1"/>
        <v>0</v>
      </c>
      <c r="O67" s="53">
        <f ca="1"/>
        <v>0</v>
      </c>
      <c r="P67" s="53">
        <f ca="1"/>
        <v>0</v>
      </c>
      <c r="Q67" s="53">
        <f ca="1"/>
        <v>0</v>
      </c>
      <c r="R67" s="53">
        <f ca="1"/>
        <v>0</v>
      </c>
      <c r="S67" s="53">
        <f ca="1"/>
        <v>0</v>
      </c>
      <c r="T67" s="53">
        <f ca="1"/>
        <v>0</v>
      </c>
      <c r="U67" s="53">
        <f ca="1"/>
        <v>0</v>
      </c>
      <c r="V67" s="53">
        <f ca="1"/>
        <v>0</v>
      </c>
      <c r="W67" s="53">
        <f ca="1"/>
        <v>0</v>
      </c>
      <c r="X67" s="53">
        <f ca="1"/>
        <v>0</v>
      </c>
      <c r="Y67" s="53">
        <f ca="1"/>
        <v>0</v>
      </c>
      <c r="Z67" s="53">
        <f ca="1"/>
        <v>0</v>
      </c>
      <c r="AA67" s="1316">
        <f ca="1"/>
        <v>0</v>
      </c>
      <c r="AB67" s="14"/>
    </row>
    <row r="68" spans="1:28" s="10" customFormat="1" ht="15" hidden="1" customHeight="1" x14ac:dyDescent="0.45">
      <c r="A68" s="1858"/>
      <c r="B68" s="1780"/>
      <c r="C68" s="8" t="s">
        <v>401</v>
      </c>
      <c r="D68" s="44">
        <f ca="1"/>
        <v>0</v>
      </c>
      <c r="E68" s="44">
        <f ca="1"/>
        <v>0</v>
      </c>
      <c r="F68" s="44">
        <f ca="1"/>
        <v>0</v>
      </c>
      <c r="G68" s="44">
        <f ca="1"/>
        <v>0</v>
      </c>
      <c r="H68" s="44">
        <f ca="1"/>
        <v>0</v>
      </c>
      <c r="I68" s="44">
        <f ca="1"/>
        <v>0</v>
      </c>
      <c r="J68" s="44">
        <f ca="1"/>
        <v>0</v>
      </c>
      <c r="K68" s="44">
        <f ca="1"/>
        <v>0</v>
      </c>
      <c r="L68" s="44">
        <f ca="1"/>
        <v>0</v>
      </c>
      <c r="M68" s="44">
        <f ca="1"/>
        <v>0</v>
      </c>
      <c r="N68" s="44">
        <f ca="1"/>
        <v>0</v>
      </c>
      <c r="O68" s="44">
        <f ca="1"/>
        <v>0</v>
      </c>
      <c r="P68" s="44">
        <f ca="1"/>
        <v>0</v>
      </c>
      <c r="Q68" s="44">
        <f ca="1"/>
        <v>0</v>
      </c>
      <c r="R68" s="44">
        <f ca="1"/>
        <v>0</v>
      </c>
      <c r="S68" s="44">
        <f ca="1"/>
        <v>0</v>
      </c>
      <c r="T68" s="44">
        <f ca="1"/>
        <v>0</v>
      </c>
      <c r="U68" s="44">
        <f ca="1"/>
        <v>0</v>
      </c>
      <c r="V68" s="44">
        <f ca="1"/>
        <v>0</v>
      </c>
      <c r="W68" s="44">
        <f ca="1"/>
        <v>0</v>
      </c>
      <c r="X68" s="55">
        <f ca="1"/>
        <v>0</v>
      </c>
      <c r="Y68" s="55">
        <f ca="1"/>
        <v>0</v>
      </c>
      <c r="Z68" s="55">
        <f ca="1"/>
        <v>0</v>
      </c>
      <c r="AA68" s="1314">
        <f ca="1"/>
        <v>0</v>
      </c>
      <c r="AB68" s="14"/>
    </row>
    <row r="69" spans="1:28" s="10" customFormat="1" ht="15" hidden="1" customHeight="1" x14ac:dyDescent="0.45">
      <c r="A69" s="1858"/>
      <c r="B69" s="1862"/>
      <c r="C69" s="8" t="s">
        <v>400</v>
      </c>
      <c r="D69" s="44">
        <f ca="1"/>
        <v>0</v>
      </c>
      <c r="E69" s="44">
        <f ca="1"/>
        <v>0</v>
      </c>
      <c r="F69" s="44">
        <f ca="1"/>
        <v>0</v>
      </c>
      <c r="G69" s="44">
        <f ca="1"/>
        <v>0</v>
      </c>
      <c r="H69" s="44">
        <f ca="1"/>
        <v>0</v>
      </c>
      <c r="I69" s="44">
        <f ca="1"/>
        <v>0</v>
      </c>
      <c r="J69" s="44">
        <f ca="1"/>
        <v>0</v>
      </c>
      <c r="K69" s="44">
        <f ca="1"/>
        <v>0</v>
      </c>
      <c r="L69" s="44">
        <f ca="1"/>
        <v>0</v>
      </c>
      <c r="M69" s="44">
        <f ca="1"/>
        <v>0</v>
      </c>
      <c r="N69" s="44">
        <f ca="1"/>
        <v>0</v>
      </c>
      <c r="O69" s="44">
        <f ca="1"/>
        <v>0</v>
      </c>
      <c r="P69" s="55">
        <f ca="1"/>
        <v>0</v>
      </c>
      <c r="Q69" s="55">
        <f ca="1"/>
        <v>0</v>
      </c>
      <c r="R69" s="55">
        <f ca="1"/>
        <v>0</v>
      </c>
      <c r="S69" s="55">
        <f ca="1"/>
        <v>0</v>
      </c>
      <c r="T69" s="55">
        <f ca="1"/>
        <v>0</v>
      </c>
      <c r="U69" s="55">
        <f ca="1"/>
        <v>0</v>
      </c>
      <c r="V69" s="55">
        <f ca="1"/>
        <v>0</v>
      </c>
      <c r="W69" s="55">
        <f ca="1"/>
        <v>0</v>
      </c>
      <c r="X69" s="55">
        <f ca="1"/>
        <v>0</v>
      </c>
      <c r="Y69" s="55">
        <f ca="1"/>
        <v>0</v>
      </c>
      <c r="Z69" s="55">
        <f ca="1"/>
        <v>0</v>
      </c>
      <c r="AA69" s="1314">
        <f ca="1"/>
        <v>0</v>
      </c>
      <c r="AB69" s="14"/>
    </row>
    <row r="70" spans="1:28" s="10" customFormat="1" ht="15" hidden="1" customHeight="1" x14ac:dyDescent="0.45">
      <c r="A70" s="1858"/>
      <c r="B70" s="1860" t="s">
        <v>414</v>
      </c>
      <c r="C70" s="598" t="s">
        <v>399</v>
      </c>
      <c r="D70" s="47">
        <f ca="1"/>
        <v>0</v>
      </c>
      <c r="E70" s="47">
        <f ca="1"/>
        <v>0</v>
      </c>
      <c r="F70" s="47">
        <f ca="1"/>
        <v>0</v>
      </c>
      <c r="G70" s="47">
        <f ca="1"/>
        <v>0</v>
      </c>
      <c r="H70" s="47">
        <f ca="1"/>
        <v>0</v>
      </c>
      <c r="I70" s="47">
        <f ca="1"/>
        <v>0</v>
      </c>
      <c r="J70" s="47">
        <f ca="1"/>
        <v>0</v>
      </c>
      <c r="K70" s="47">
        <f ca="1"/>
        <v>0</v>
      </c>
      <c r="L70" s="47">
        <f ca="1"/>
        <v>0</v>
      </c>
      <c r="M70" s="47">
        <f ca="1"/>
        <v>0</v>
      </c>
      <c r="N70" s="47">
        <f ca="1"/>
        <v>0</v>
      </c>
      <c r="O70" s="47">
        <f ca="1"/>
        <v>15</v>
      </c>
      <c r="P70" s="47">
        <f ca="1"/>
        <v>15</v>
      </c>
      <c r="Q70" s="49">
        <f ca="1"/>
        <v>15</v>
      </c>
      <c r="R70" s="49">
        <f ca="1"/>
        <v>15</v>
      </c>
      <c r="S70" s="49">
        <f ca="1"/>
        <v>15</v>
      </c>
      <c r="T70" s="49">
        <f ca="1"/>
        <v>0</v>
      </c>
      <c r="U70" s="49">
        <f ca="1"/>
        <v>15</v>
      </c>
      <c r="V70" s="49">
        <f ca="1"/>
        <v>0</v>
      </c>
      <c r="W70" s="49">
        <f ca="1"/>
        <v>0</v>
      </c>
      <c r="X70" s="49">
        <f ca="1"/>
        <v>0</v>
      </c>
      <c r="Y70" s="49">
        <f ca="1"/>
        <v>0</v>
      </c>
      <c r="Z70" s="49">
        <f ca="1"/>
        <v>0</v>
      </c>
      <c r="AA70" s="1315">
        <f ca="1"/>
        <v>0</v>
      </c>
      <c r="AB70" s="14"/>
    </row>
    <row r="71" spans="1:28" s="10" customFormat="1" ht="15" hidden="1" customHeight="1" x14ac:dyDescent="0.45">
      <c r="A71" s="1858"/>
      <c r="B71" s="1860"/>
      <c r="C71" s="7" t="s">
        <v>401</v>
      </c>
      <c r="D71" s="596">
        <f ca="1"/>
        <v>0</v>
      </c>
      <c r="E71" s="596">
        <f ca="1"/>
        <v>0</v>
      </c>
      <c r="F71" s="596">
        <f ca="1"/>
        <v>0</v>
      </c>
      <c r="G71" s="596">
        <f ca="1"/>
        <v>0</v>
      </c>
      <c r="H71" s="596">
        <f ca="1"/>
        <v>0</v>
      </c>
      <c r="I71" s="596">
        <f ca="1"/>
        <v>0</v>
      </c>
      <c r="J71" s="596">
        <f ca="1"/>
        <v>0</v>
      </c>
      <c r="K71" s="596">
        <f ca="1"/>
        <v>0</v>
      </c>
      <c r="L71" s="596">
        <f ca="1"/>
        <v>0</v>
      </c>
      <c r="M71" s="597">
        <f ca="1"/>
        <v>0</v>
      </c>
      <c r="N71" s="597">
        <f ca="1"/>
        <v>0</v>
      </c>
      <c r="O71" s="597">
        <f ca="1"/>
        <v>15</v>
      </c>
      <c r="P71" s="597">
        <f ca="1"/>
        <v>15</v>
      </c>
      <c r="Q71" s="597">
        <f ca="1"/>
        <v>15</v>
      </c>
      <c r="R71" s="597">
        <f ca="1"/>
        <v>15</v>
      </c>
      <c r="S71" s="597">
        <f ca="1"/>
        <v>15</v>
      </c>
      <c r="T71" s="597">
        <f ca="1"/>
        <v>0</v>
      </c>
      <c r="U71" s="597">
        <f ca="1"/>
        <v>15</v>
      </c>
      <c r="V71" s="597">
        <f ca="1"/>
        <v>0</v>
      </c>
      <c r="W71" s="597">
        <f ca="1"/>
        <v>0</v>
      </c>
      <c r="X71" s="597">
        <f ca="1"/>
        <v>0</v>
      </c>
      <c r="Y71" s="597">
        <f ca="1"/>
        <v>0</v>
      </c>
      <c r="Z71" s="597">
        <f ca="1"/>
        <v>0</v>
      </c>
      <c r="AA71" s="1317">
        <f ca="1"/>
        <v>0</v>
      </c>
      <c r="AB71" s="14"/>
    </row>
    <row r="72" spans="1:28" s="10" customFormat="1" ht="15" hidden="1" customHeight="1" x14ac:dyDescent="0.45">
      <c r="A72" s="1858"/>
      <c r="B72" s="1861"/>
      <c r="C72" s="7" t="s">
        <v>400</v>
      </c>
      <c r="D72" s="47">
        <f ca="1"/>
        <v>0</v>
      </c>
      <c r="E72" s="47">
        <f ca="1"/>
        <v>0</v>
      </c>
      <c r="F72" s="47">
        <f ca="1"/>
        <v>0</v>
      </c>
      <c r="G72" s="47">
        <f ca="1"/>
        <v>0</v>
      </c>
      <c r="H72" s="47">
        <f ca="1"/>
        <v>0</v>
      </c>
      <c r="I72" s="47">
        <f ca="1"/>
        <v>0</v>
      </c>
      <c r="J72" s="47">
        <f ca="1"/>
        <v>0</v>
      </c>
      <c r="K72" s="47">
        <f ca="1"/>
        <v>0</v>
      </c>
      <c r="L72" s="47">
        <f ca="1"/>
        <v>0</v>
      </c>
      <c r="M72" s="47">
        <f ca="1"/>
        <v>0</v>
      </c>
      <c r="N72" s="47">
        <f ca="1"/>
        <v>0</v>
      </c>
      <c r="O72" s="47">
        <f ca="1"/>
        <v>15</v>
      </c>
      <c r="P72" s="47">
        <f ca="1"/>
        <v>15</v>
      </c>
      <c r="Q72" s="47">
        <f ca="1"/>
        <v>15</v>
      </c>
      <c r="R72" s="47">
        <f ca="1"/>
        <v>15</v>
      </c>
      <c r="S72" s="47">
        <f ca="1"/>
        <v>15</v>
      </c>
      <c r="T72" s="47">
        <f ca="1"/>
        <v>0</v>
      </c>
      <c r="U72" s="47">
        <f ca="1"/>
        <v>15</v>
      </c>
      <c r="V72" s="47">
        <f ca="1"/>
        <v>0</v>
      </c>
      <c r="W72" s="47">
        <f ca="1"/>
        <v>0</v>
      </c>
      <c r="X72" s="49">
        <f ca="1"/>
        <v>0</v>
      </c>
      <c r="Y72" s="49">
        <f ca="1"/>
        <v>0</v>
      </c>
      <c r="Z72" s="49">
        <f ca="1"/>
        <v>0</v>
      </c>
      <c r="AA72" s="1315">
        <f ca="1"/>
        <v>0</v>
      </c>
      <c r="AB72" s="14"/>
    </row>
    <row r="73" spans="1:28" s="10" customFormat="1" ht="15" hidden="1" customHeight="1" x14ac:dyDescent="0.45">
      <c r="A73" s="1858"/>
      <c r="B73" s="1780" t="s">
        <v>409</v>
      </c>
      <c r="C73" s="39" t="s">
        <v>399</v>
      </c>
      <c r="D73" s="51">
        <f ca="1"/>
        <v>0</v>
      </c>
      <c r="E73" s="51">
        <f ca="1"/>
        <v>0</v>
      </c>
      <c r="F73" s="51">
        <f ca="1"/>
        <v>0</v>
      </c>
      <c r="G73" s="51">
        <f ca="1"/>
        <v>0</v>
      </c>
      <c r="H73" s="51">
        <f ca="1"/>
        <v>0</v>
      </c>
      <c r="I73" s="51">
        <f ca="1"/>
        <v>0</v>
      </c>
      <c r="J73" s="51">
        <f ca="1"/>
        <v>0</v>
      </c>
      <c r="K73" s="51">
        <f ca="1"/>
        <v>0</v>
      </c>
      <c r="L73" s="51">
        <f ca="1"/>
        <v>15</v>
      </c>
      <c r="M73" s="53">
        <f ca="1"/>
        <v>0</v>
      </c>
      <c r="N73" s="53">
        <f ca="1"/>
        <v>0</v>
      </c>
      <c r="O73" s="53">
        <f ca="1"/>
        <v>0</v>
      </c>
      <c r="P73" s="53">
        <f ca="1"/>
        <v>0</v>
      </c>
      <c r="Q73" s="53">
        <f ca="1"/>
        <v>0</v>
      </c>
      <c r="R73" s="53">
        <f ca="1"/>
        <v>0</v>
      </c>
      <c r="S73" s="53">
        <f ca="1"/>
        <v>0</v>
      </c>
      <c r="T73" s="53">
        <f ca="1"/>
        <v>0</v>
      </c>
      <c r="U73" s="53">
        <f ca="1"/>
        <v>0</v>
      </c>
      <c r="V73" s="53">
        <f ca="1"/>
        <v>0</v>
      </c>
      <c r="W73" s="53">
        <f ca="1"/>
        <v>0</v>
      </c>
      <c r="X73" s="53">
        <f ca="1"/>
        <v>0</v>
      </c>
      <c r="Y73" s="53">
        <f ca="1"/>
        <v>0</v>
      </c>
      <c r="Z73" s="53">
        <f ca="1"/>
        <v>0</v>
      </c>
      <c r="AA73" s="1316">
        <f ca="1"/>
        <v>0</v>
      </c>
      <c r="AB73" s="14"/>
    </row>
    <row r="74" spans="1:28" s="10" customFormat="1" ht="15" hidden="1" customHeight="1" x14ac:dyDescent="0.45">
      <c r="A74" s="1858"/>
      <c r="B74" s="1780"/>
      <c r="C74" s="8" t="s">
        <v>401</v>
      </c>
      <c r="D74" s="44">
        <f ca="1"/>
        <v>0</v>
      </c>
      <c r="E74" s="44">
        <f ca="1"/>
        <v>0</v>
      </c>
      <c r="F74" s="44">
        <f ca="1"/>
        <v>0</v>
      </c>
      <c r="G74" s="44">
        <f ca="1"/>
        <v>0</v>
      </c>
      <c r="H74" s="44">
        <f ca="1"/>
        <v>0</v>
      </c>
      <c r="I74" s="44">
        <f ca="1"/>
        <v>0</v>
      </c>
      <c r="J74" s="44">
        <f ca="1"/>
        <v>0</v>
      </c>
      <c r="K74" s="44">
        <f ca="1"/>
        <v>0</v>
      </c>
      <c r="L74" s="44">
        <f ca="1"/>
        <v>15</v>
      </c>
      <c r="M74" s="44">
        <f ca="1"/>
        <v>0</v>
      </c>
      <c r="N74" s="44">
        <f ca="1"/>
        <v>0</v>
      </c>
      <c r="O74" s="44">
        <f ca="1"/>
        <v>0</v>
      </c>
      <c r="P74" s="44">
        <f ca="1"/>
        <v>0</v>
      </c>
      <c r="Q74" s="44">
        <f ca="1"/>
        <v>0</v>
      </c>
      <c r="R74" s="44">
        <f ca="1"/>
        <v>0</v>
      </c>
      <c r="S74" s="44">
        <f ca="1"/>
        <v>0</v>
      </c>
      <c r="T74" s="44">
        <f ca="1"/>
        <v>0</v>
      </c>
      <c r="U74" s="44">
        <f ca="1"/>
        <v>0</v>
      </c>
      <c r="V74" s="44">
        <f ca="1"/>
        <v>0</v>
      </c>
      <c r="W74" s="44">
        <f ca="1"/>
        <v>0</v>
      </c>
      <c r="X74" s="55">
        <f ca="1"/>
        <v>0</v>
      </c>
      <c r="Y74" s="55">
        <f ca="1"/>
        <v>0</v>
      </c>
      <c r="Z74" s="55">
        <f ca="1"/>
        <v>0</v>
      </c>
      <c r="AA74" s="1314">
        <f ca="1"/>
        <v>0</v>
      </c>
      <c r="AB74" s="14"/>
    </row>
    <row r="75" spans="1:28" s="10" customFormat="1" ht="15" hidden="1" customHeight="1" x14ac:dyDescent="0.45">
      <c r="A75" s="1858"/>
      <c r="B75" s="1862"/>
      <c r="C75" s="8" t="s">
        <v>400</v>
      </c>
      <c r="D75" s="44">
        <f ca="1"/>
        <v>0</v>
      </c>
      <c r="E75" s="44">
        <f ca="1"/>
        <v>0</v>
      </c>
      <c r="F75" s="44">
        <f ca="1"/>
        <v>0</v>
      </c>
      <c r="G75" s="44">
        <f ca="1"/>
        <v>0</v>
      </c>
      <c r="H75" s="44">
        <f ca="1"/>
        <v>0</v>
      </c>
      <c r="I75" s="44">
        <f ca="1"/>
        <v>0</v>
      </c>
      <c r="J75" s="44">
        <f ca="1"/>
        <v>0</v>
      </c>
      <c r="K75" s="44">
        <f ca="1"/>
        <v>0</v>
      </c>
      <c r="L75" s="44">
        <f ca="1"/>
        <v>15</v>
      </c>
      <c r="M75" s="44">
        <f ca="1"/>
        <v>0</v>
      </c>
      <c r="N75" s="44">
        <f ca="1"/>
        <v>0</v>
      </c>
      <c r="O75" s="44">
        <f ca="1"/>
        <v>0</v>
      </c>
      <c r="P75" s="55">
        <f ca="1"/>
        <v>0</v>
      </c>
      <c r="Q75" s="55">
        <f ca="1"/>
        <v>0</v>
      </c>
      <c r="R75" s="55">
        <f ca="1"/>
        <v>0</v>
      </c>
      <c r="S75" s="55">
        <f ca="1"/>
        <v>0</v>
      </c>
      <c r="T75" s="55">
        <f ca="1"/>
        <v>0</v>
      </c>
      <c r="U75" s="55">
        <f ca="1"/>
        <v>0</v>
      </c>
      <c r="V75" s="55">
        <f ca="1"/>
        <v>0</v>
      </c>
      <c r="W75" s="55">
        <f ca="1"/>
        <v>0</v>
      </c>
      <c r="X75" s="55">
        <f ca="1"/>
        <v>0</v>
      </c>
      <c r="Y75" s="55">
        <f ca="1"/>
        <v>0</v>
      </c>
      <c r="Z75" s="55">
        <f ca="1"/>
        <v>0</v>
      </c>
      <c r="AA75" s="1314">
        <f ca="1"/>
        <v>0</v>
      </c>
      <c r="AB75" s="14"/>
    </row>
    <row r="76" spans="1:28" s="10" customFormat="1" ht="15" hidden="1" customHeight="1" x14ac:dyDescent="0.45">
      <c r="A76" s="1858"/>
      <c r="B76" s="1860" t="s">
        <v>415</v>
      </c>
      <c r="C76" s="598" t="s">
        <v>399</v>
      </c>
      <c r="D76" s="47">
        <f ca="1"/>
        <v>0</v>
      </c>
      <c r="E76" s="47">
        <f ca="1"/>
        <v>0</v>
      </c>
      <c r="F76" s="47">
        <f ca="1"/>
        <v>0</v>
      </c>
      <c r="G76" s="47">
        <f ca="1"/>
        <v>0</v>
      </c>
      <c r="H76" s="47">
        <f ca="1"/>
        <v>0</v>
      </c>
      <c r="I76" s="47">
        <f ca="1"/>
        <v>0</v>
      </c>
      <c r="J76" s="47">
        <f ca="1"/>
        <v>0</v>
      </c>
      <c r="K76" s="47">
        <f ca="1"/>
        <v>0</v>
      </c>
      <c r="L76" s="47">
        <f ca="1"/>
        <v>0</v>
      </c>
      <c r="M76" s="47">
        <f ca="1"/>
        <v>0</v>
      </c>
      <c r="N76" s="47">
        <f ca="1"/>
        <v>0</v>
      </c>
      <c r="O76" s="47">
        <f ca="1"/>
        <v>0</v>
      </c>
      <c r="P76" s="47">
        <f ca="1"/>
        <v>0</v>
      </c>
      <c r="Q76" s="49">
        <f ca="1"/>
        <v>0</v>
      </c>
      <c r="R76" s="49">
        <f ca="1"/>
        <v>0</v>
      </c>
      <c r="S76" s="49">
        <f ca="1"/>
        <v>0</v>
      </c>
      <c r="T76" s="49">
        <f ca="1"/>
        <v>15</v>
      </c>
      <c r="U76" s="49">
        <f ca="1"/>
        <v>0</v>
      </c>
      <c r="V76" s="49">
        <f ca="1"/>
        <v>0</v>
      </c>
      <c r="W76" s="49">
        <f ca="1"/>
        <v>0</v>
      </c>
      <c r="X76" s="49">
        <f ca="1"/>
        <v>0</v>
      </c>
      <c r="Y76" s="49">
        <f ca="1"/>
        <v>0</v>
      </c>
      <c r="Z76" s="49">
        <f ca="1"/>
        <v>0</v>
      </c>
      <c r="AA76" s="1315">
        <f ca="1"/>
        <v>0</v>
      </c>
      <c r="AB76" s="14"/>
    </row>
    <row r="77" spans="1:28" s="10" customFormat="1" ht="15" hidden="1" customHeight="1" x14ac:dyDescent="0.45">
      <c r="A77" s="1858"/>
      <c r="B77" s="1860"/>
      <c r="C77" s="7" t="s">
        <v>401</v>
      </c>
      <c r="D77" s="596">
        <f ca="1"/>
        <v>0</v>
      </c>
      <c r="E77" s="596">
        <f ca="1"/>
        <v>0</v>
      </c>
      <c r="F77" s="596">
        <f ca="1"/>
        <v>0</v>
      </c>
      <c r="G77" s="596">
        <f ca="1"/>
        <v>0</v>
      </c>
      <c r="H77" s="596">
        <f ca="1"/>
        <v>0</v>
      </c>
      <c r="I77" s="596">
        <f ca="1"/>
        <v>0</v>
      </c>
      <c r="J77" s="596">
        <f ca="1"/>
        <v>0</v>
      </c>
      <c r="K77" s="596">
        <f ca="1"/>
        <v>0</v>
      </c>
      <c r="L77" s="596">
        <f ca="1"/>
        <v>0</v>
      </c>
      <c r="M77" s="597">
        <f ca="1"/>
        <v>0</v>
      </c>
      <c r="N77" s="597">
        <f ca="1"/>
        <v>0</v>
      </c>
      <c r="O77" s="597">
        <f ca="1"/>
        <v>0</v>
      </c>
      <c r="P77" s="597">
        <f ca="1"/>
        <v>0</v>
      </c>
      <c r="Q77" s="597">
        <f ca="1"/>
        <v>0</v>
      </c>
      <c r="R77" s="597">
        <f ca="1"/>
        <v>0</v>
      </c>
      <c r="S77" s="597">
        <f ca="1"/>
        <v>0</v>
      </c>
      <c r="T77" s="597">
        <f ca="1"/>
        <v>15</v>
      </c>
      <c r="U77" s="597">
        <f ca="1"/>
        <v>0</v>
      </c>
      <c r="V77" s="597">
        <f ca="1"/>
        <v>0</v>
      </c>
      <c r="W77" s="597">
        <f ca="1"/>
        <v>0</v>
      </c>
      <c r="X77" s="597">
        <f ca="1"/>
        <v>0</v>
      </c>
      <c r="Y77" s="597">
        <f ca="1"/>
        <v>0</v>
      </c>
      <c r="Z77" s="597">
        <f ca="1"/>
        <v>0</v>
      </c>
      <c r="AA77" s="1317">
        <f ca="1"/>
        <v>0</v>
      </c>
      <c r="AB77" s="14"/>
    </row>
    <row r="78" spans="1:28" s="10" customFormat="1" ht="15" hidden="1" customHeight="1" x14ac:dyDescent="0.45">
      <c r="A78" s="1858"/>
      <c r="B78" s="1861"/>
      <c r="C78" s="7" t="s">
        <v>400</v>
      </c>
      <c r="D78" s="47">
        <f ca="1"/>
        <v>0</v>
      </c>
      <c r="E78" s="47">
        <f ca="1"/>
        <v>0</v>
      </c>
      <c r="F78" s="47">
        <f ca="1"/>
        <v>0</v>
      </c>
      <c r="G78" s="47">
        <f ca="1"/>
        <v>0</v>
      </c>
      <c r="H78" s="47">
        <f ca="1"/>
        <v>0</v>
      </c>
      <c r="I78" s="47">
        <f ca="1"/>
        <v>0</v>
      </c>
      <c r="J78" s="47">
        <f ca="1"/>
        <v>0</v>
      </c>
      <c r="K78" s="47">
        <f ca="1"/>
        <v>0</v>
      </c>
      <c r="L78" s="47">
        <f ca="1"/>
        <v>0</v>
      </c>
      <c r="M78" s="47">
        <f ca="1"/>
        <v>0</v>
      </c>
      <c r="N78" s="47">
        <f ca="1"/>
        <v>0</v>
      </c>
      <c r="O78" s="47">
        <f ca="1"/>
        <v>0</v>
      </c>
      <c r="P78" s="47">
        <f ca="1"/>
        <v>0</v>
      </c>
      <c r="Q78" s="47">
        <f ca="1"/>
        <v>0</v>
      </c>
      <c r="R78" s="47">
        <f ca="1"/>
        <v>0</v>
      </c>
      <c r="S78" s="47">
        <f ca="1"/>
        <v>0</v>
      </c>
      <c r="T78" s="47">
        <f ca="1"/>
        <v>15</v>
      </c>
      <c r="U78" s="47">
        <f ca="1"/>
        <v>0</v>
      </c>
      <c r="V78" s="47">
        <f ca="1"/>
        <v>0</v>
      </c>
      <c r="W78" s="47">
        <f ca="1"/>
        <v>0</v>
      </c>
      <c r="X78" s="49">
        <f ca="1"/>
        <v>0</v>
      </c>
      <c r="Y78" s="49">
        <f ca="1"/>
        <v>0</v>
      </c>
      <c r="Z78" s="49">
        <f ca="1"/>
        <v>0</v>
      </c>
      <c r="AA78" s="1315">
        <f ca="1"/>
        <v>0</v>
      </c>
      <c r="AB78" s="14"/>
    </row>
    <row r="79" spans="1:28" s="10" customFormat="1" ht="15" hidden="1" customHeight="1" x14ac:dyDescent="0.45">
      <c r="A79" s="1858"/>
      <c r="B79" s="1780" t="s">
        <v>410</v>
      </c>
      <c r="C79" s="39" t="s">
        <v>399</v>
      </c>
      <c r="D79" s="51">
        <f ca="1"/>
        <v>15</v>
      </c>
      <c r="E79" s="51">
        <f ca="1"/>
        <v>15</v>
      </c>
      <c r="F79" s="51">
        <f ca="1"/>
        <v>15</v>
      </c>
      <c r="G79" s="51">
        <f ca="1"/>
        <v>0</v>
      </c>
      <c r="H79" s="51">
        <f ca="1"/>
        <v>0</v>
      </c>
      <c r="I79" s="51">
        <f ca="1"/>
        <v>0</v>
      </c>
      <c r="J79" s="51">
        <f ca="1"/>
        <v>0</v>
      </c>
      <c r="K79" s="51">
        <f ca="1"/>
        <v>0</v>
      </c>
      <c r="L79" s="51">
        <f ca="1"/>
        <v>15</v>
      </c>
      <c r="M79" s="53">
        <f ca="1"/>
        <v>0</v>
      </c>
      <c r="N79" s="53">
        <f ca="1"/>
        <v>0</v>
      </c>
      <c r="O79" s="53">
        <f ca="1"/>
        <v>0</v>
      </c>
      <c r="P79" s="53">
        <f ca="1"/>
        <v>0</v>
      </c>
      <c r="Q79" s="53">
        <f ca="1"/>
        <v>0</v>
      </c>
      <c r="R79" s="53">
        <f ca="1"/>
        <v>0</v>
      </c>
      <c r="S79" s="53">
        <f ca="1"/>
        <v>0</v>
      </c>
      <c r="T79" s="53">
        <f ca="1"/>
        <v>15</v>
      </c>
      <c r="U79" s="53">
        <f ca="1"/>
        <v>0</v>
      </c>
      <c r="V79" s="53">
        <f ca="1"/>
        <v>15</v>
      </c>
      <c r="W79" s="53">
        <f ca="1"/>
        <v>0</v>
      </c>
      <c r="X79" s="53">
        <f ca="1"/>
        <v>0</v>
      </c>
      <c r="Y79" s="53">
        <f ca="1"/>
        <v>0</v>
      </c>
      <c r="Z79" s="53">
        <f ca="1"/>
        <v>0</v>
      </c>
      <c r="AA79" s="1316">
        <f ca="1"/>
        <v>0</v>
      </c>
      <c r="AB79" s="14"/>
    </row>
    <row r="80" spans="1:28" s="10" customFormat="1" ht="15" hidden="1" customHeight="1" x14ac:dyDescent="0.45">
      <c r="A80" s="1858"/>
      <c r="B80" s="1780"/>
      <c r="C80" s="8" t="s">
        <v>401</v>
      </c>
      <c r="D80" s="44">
        <f ca="1"/>
        <v>15</v>
      </c>
      <c r="E80" s="44">
        <f ca="1"/>
        <v>15</v>
      </c>
      <c r="F80" s="44">
        <f ca="1"/>
        <v>15</v>
      </c>
      <c r="G80" s="44">
        <f ca="1"/>
        <v>0</v>
      </c>
      <c r="H80" s="44">
        <f ca="1"/>
        <v>0</v>
      </c>
      <c r="I80" s="44">
        <f ca="1"/>
        <v>0</v>
      </c>
      <c r="J80" s="44">
        <f ca="1"/>
        <v>0</v>
      </c>
      <c r="K80" s="44">
        <f ca="1"/>
        <v>0</v>
      </c>
      <c r="L80" s="44">
        <f ca="1"/>
        <v>15</v>
      </c>
      <c r="M80" s="44">
        <f ca="1"/>
        <v>0</v>
      </c>
      <c r="N80" s="44">
        <f ca="1"/>
        <v>0</v>
      </c>
      <c r="O80" s="44">
        <f ca="1"/>
        <v>0</v>
      </c>
      <c r="P80" s="44">
        <f ca="1"/>
        <v>0</v>
      </c>
      <c r="Q80" s="44">
        <f ca="1"/>
        <v>0</v>
      </c>
      <c r="R80" s="44">
        <f ca="1"/>
        <v>0</v>
      </c>
      <c r="S80" s="44">
        <f ca="1"/>
        <v>0</v>
      </c>
      <c r="T80" s="44">
        <f ca="1"/>
        <v>15</v>
      </c>
      <c r="U80" s="44">
        <f ca="1"/>
        <v>0</v>
      </c>
      <c r="V80" s="44">
        <f ca="1"/>
        <v>15</v>
      </c>
      <c r="W80" s="44">
        <f ca="1"/>
        <v>0</v>
      </c>
      <c r="X80" s="55">
        <f ca="1"/>
        <v>0</v>
      </c>
      <c r="Y80" s="55">
        <f ca="1"/>
        <v>0</v>
      </c>
      <c r="Z80" s="55">
        <f ca="1"/>
        <v>0</v>
      </c>
      <c r="AA80" s="1314">
        <f ca="1"/>
        <v>0</v>
      </c>
      <c r="AB80" s="14"/>
    </row>
    <row r="81" spans="1:28" s="10" customFormat="1" ht="15" hidden="1" customHeight="1" x14ac:dyDescent="0.45">
      <c r="A81" s="1858"/>
      <c r="B81" s="1862"/>
      <c r="C81" s="8" t="s">
        <v>400</v>
      </c>
      <c r="D81" s="44">
        <f ca="1"/>
        <v>15</v>
      </c>
      <c r="E81" s="44">
        <f ca="1"/>
        <v>15</v>
      </c>
      <c r="F81" s="44">
        <f ca="1"/>
        <v>15</v>
      </c>
      <c r="G81" s="44">
        <f ca="1"/>
        <v>0</v>
      </c>
      <c r="H81" s="44">
        <f ca="1"/>
        <v>0</v>
      </c>
      <c r="I81" s="44">
        <f ca="1"/>
        <v>0</v>
      </c>
      <c r="J81" s="44">
        <f ca="1"/>
        <v>0</v>
      </c>
      <c r="K81" s="44">
        <f ca="1"/>
        <v>0</v>
      </c>
      <c r="L81" s="44">
        <f ca="1"/>
        <v>15</v>
      </c>
      <c r="M81" s="44">
        <f ca="1"/>
        <v>0</v>
      </c>
      <c r="N81" s="44">
        <f ca="1"/>
        <v>0</v>
      </c>
      <c r="O81" s="44">
        <f ca="1"/>
        <v>0</v>
      </c>
      <c r="P81" s="55">
        <f ca="1"/>
        <v>0</v>
      </c>
      <c r="Q81" s="55">
        <f ca="1"/>
        <v>0</v>
      </c>
      <c r="R81" s="55">
        <f ca="1"/>
        <v>0</v>
      </c>
      <c r="S81" s="55">
        <f ca="1"/>
        <v>0</v>
      </c>
      <c r="T81" s="55">
        <f ca="1"/>
        <v>15</v>
      </c>
      <c r="U81" s="55">
        <f ca="1"/>
        <v>0</v>
      </c>
      <c r="V81" s="55">
        <f ca="1"/>
        <v>15</v>
      </c>
      <c r="W81" s="55">
        <f ca="1"/>
        <v>0</v>
      </c>
      <c r="X81" s="55">
        <f ca="1"/>
        <v>0</v>
      </c>
      <c r="Y81" s="55">
        <f ca="1"/>
        <v>0</v>
      </c>
      <c r="Z81" s="55">
        <f ca="1"/>
        <v>0</v>
      </c>
      <c r="AA81" s="1314">
        <f ca="1"/>
        <v>0</v>
      </c>
      <c r="AB81" s="14"/>
    </row>
    <row r="82" spans="1:28" s="10" customFormat="1" ht="15" hidden="1" customHeight="1" x14ac:dyDescent="0.45">
      <c r="A82" s="1858"/>
      <c r="B82" s="1860" t="s">
        <v>416</v>
      </c>
      <c r="C82" s="598" t="s">
        <v>399</v>
      </c>
      <c r="D82" s="47">
        <f ca="1"/>
        <v>0</v>
      </c>
      <c r="E82" s="47">
        <f ca="1"/>
        <v>0</v>
      </c>
      <c r="F82" s="47">
        <f ca="1"/>
        <v>0</v>
      </c>
      <c r="G82" s="47">
        <f ca="1"/>
        <v>0</v>
      </c>
      <c r="H82" s="47">
        <f ca="1"/>
        <v>0</v>
      </c>
      <c r="I82" s="47">
        <f ca="1"/>
        <v>0</v>
      </c>
      <c r="J82" s="47">
        <f ca="1"/>
        <v>0</v>
      </c>
      <c r="K82" s="47">
        <f ca="1"/>
        <v>0</v>
      </c>
      <c r="L82" s="47">
        <f ca="1"/>
        <v>0</v>
      </c>
      <c r="M82" s="47">
        <f ca="1"/>
        <v>0</v>
      </c>
      <c r="N82" s="47">
        <f ca="1"/>
        <v>0</v>
      </c>
      <c r="O82" s="47">
        <f ca="1"/>
        <v>0</v>
      </c>
      <c r="P82" s="47">
        <f ca="1"/>
        <v>0</v>
      </c>
      <c r="Q82" s="49">
        <f ca="1"/>
        <v>0</v>
      </c>
      <c r="R82" s="49">
        <f ca="1"/>
        <v>0</v>
      </c>
      <c r="S82" s="49">
        <f ca="1"/>
        <v>0</v>
      </c>
      <c r="T82" s="49">
        <f ca="1"/>
        <v>0</v>
      </c>
      <c r="U82" s="49">
        <f ca="1"/>
        <v>0</v>
      </c>
      <c r="V82" s="49">
        <f ca="1"/>
        <v>0</v>
      </c>
      <c r="W82" s="49">
        <f ca="1"/>
        <v>0</v>
      </c>
      <c r="X82" s="49">
        <f ca="1"/>
        <v>0</v>
      </c>
      <c r="Y82" s="49">
        <f ca="1"/>
        <v>0</v>
      </c>
      <c r="Z82" s="49">
        <f ca="1"/>
        <v>0</v>
      </c>
      <c r="AA82" s="1315">
        <f ca="1"/>
        <v>0</v>
      </c>
      <c r="AB82" s="14"/>
    </row>
    <row r="83" spans="1:28" s="10" customFormat="1" ht="15" hidden="1" customHeight="1" x14ac:dyDescent="0.45">
      <c r="A83" s="1858"/>
      <c r="B83" s="1860"/>
      <c r="C83" s="7" t="s">
        <v>401</v>
      </c>
      <c r="D83" s="596">
        <f ca="1"/>
        <v>0</v>
      </c>
      <c r="E83" s="596">
        <f ca="1"/>
        <v>0</v>
      </c>
      <c r="F83" s="596">
        <f ca="1"/>
        <v>0</v>
      </c>
      <c r="G83" s="596">
        <f ca="1"/>
        <v>0</v>
      </c>
      <c r="H83" s="596">
        <f ca="1"/>
        <v>0</v>
      </c>
      <c r="I83" s="596">
        <f ca="1"/>
        <v>0</v>
      </c>
      <c r="J83" s="596">
        <f ca="1"/>
        <v>0</v>
      </c>
      <c r="K83" s="596">
        <f ca="1"/>
        <v>0</v>
      </c>
      <c r="L83" s="596">
        <f ca="1"/>
        <v>0</v>
      </c>
      <c r="M83" s="597">
        <f ca="1"/>
        <v>0</v>
      </c>
      <c r="N83" s="597">
        <f ca="1"/>
        <v>0</v>
      </c>
      <c r="O83" s="597">
        <f ca="1"/>
        <v>0</v>
      </c>
      <c r="P83" s="597">
        <f ca="1"/>
        <v>0</v>
      </c>
      <c r="Q83" s="597">
        <f ca="1"/>
        <v>0</v>
      </c>
      <c r="R83" s="597">
        <f ca="1"/>
        <v>0</v>
      </c>
      <c r="S83" s="597">
        <f ca="1"/>
        <v>0</v>
      </c>
      <c r="T83" s="597">
        <f ca="1"/>
        <v>0</v>
      </c>
      <c r="U83" s="597">
        <f ca="1"/>
        <v>0</v>
      </c>
      <c r="V83" s="597">
        <f ca="1"/>
        <v>0</v>
      </c>
      <c r="W83" s="597">
        <f ca="1"/>
        <v>0</v>
      </c>
      <c r="X83" s="597">
        <f ca="1"/>
        <v>0</v>
      </c>
      <c r="Y83" s="597">
        <f ca="1"/>
        <v>0</v>
      </c>
      <c r="Z83" s="597">
        <f ca="1"/>
        <v>0</v>
      </c>
      <c r="AA83" s="1317">
        <f ca="1"/>
        <v>0</v>
      </c>
      <c r="AB83" s="14"/>
    </row>
    <row r="84" spans="1:28" s="10" customFormat="1" ht="15" hidden="1" customHeight="1" x14ac:dyDescent="0.45">
      <c r="A84" s="1858"/>
      <c r="B84" s="1861"/>
      <c r="C84" s="7" t="s">
        <v>400</v>
      </c>
      <c r="D84" s="47">
        <f ca="1"/>
        <v>0</v>
      </c>
      <c r="E84" s="47">
        <f ca="1"/>
        <v>0</v>
      </c>
      <c r="F84" s="47">
        <f ca="1"/>
        <v>0</v>
      </c>
      <c r="G84" s="47">
        <f ca="1"/>
        <v>0</v>
      </c>
      <c r="H84" s="47">
        <f ca="1"/>
        <v>0</v>
      </c>
      <c r="I84" s="47">
        <f ca="1"/>
        <v>0</v>
      </c>
      <c r="J84" s="47">
        <f ca="1"/>
        <v>0</v>
      </c>
      <c r="K84" s="47">
        <f ca="1"/>
        <v>0</v>
      </c>
      <c r="L84" s="47">
        <f ca="1"/>
        <v>0</v>
      </c>
      <c r="M84" s="47">
        <f ca="1"/>
        <v>0</v>
      </c>
      <c r="N84" s="47">
        <f ca="1"/>
        <v>0</v>
      </c>
      <c r="O84" s="47">
        <f ca="1"/>
        <v>0</v>
      </c>
      <c r="P84" s="47">
        <f ca="1"/>
        <v>0</v>
      </c>
      <c r="Q84" s="47">
        <f ca="1"/>
        <v>0</v>
      </c>
      <c r="R84" s="47">
        <f ca="1"/>
        <v>0</v>
      </c>
      <c r="S84" s="47">
        <f ca="1"/>
        <v>0</v>
      </c>
      <c r="T84" s="47">
        <f ca="1"/>
        <v>0</v>
      </c>
      <c r="U84" s="47">
        <f ca="1"/>
        <v>0</v>
      </c>
      <c r="V84" s="47">
        <f ca="1"/>
        <v>0</v>
      </c>
      <c r="W84" s="47">
        <f ca="1"/>
        <v>0</v>
      </c>
      <c r="X84" s="49">
        <f ca="1"/>
        <v>0</v>
      </c>
      <c r="Y84" s="49">
        <f ca="1"/>
        <v>0</v>
      </c>
      <c r="Z84" s="49">
        <f ca="1"/>
        <v>0</v>
      </c>
      <c r="AA84" s="1315">
        <f ca="1"/>
        <v>0</v>
      </c>
      <c r="AB84" s="14"/>
    </row>
    <row r="85" spans="1:28" s="10" customFormat="1" ht="15" hidden="1" customHeight="1" x14ac:dyDescent="0.45">
      <c r="A85" s="1858"/>
      <c r="B85" s="1780" t="s">
        <v>411</v>
      </c>
      <c r="C85" s="39" t="s">
        <v>399</v>
      </c>
      <c r="D85" s="51">
        <f ca="1"/>
        <v>0</v>
      </c>
      <c r="E85" s="51">
        <f ca="1"/>
        <v>0</v>
      </c>
      <c r="F85" s="51">
        <f ca="1"/>
        <v>0</v>
      </c>
      <c r="G85" s="51">
        <f ca="1"/>
        <v>0</v>
      </c>
      <c r="H85" s="51">
        <f ca="1"/>
        <v>0</v>
      </c>
      <c r="I85" s="51">
        <f ca="1"/>
        <v>0</v>
      </c>
      <c r="J85" s="51">
        <f ca="1"/>
        <v>0</v>
      </c>
      <c r="K85" s="51">
        <f ca="1"/>
        <v>0</v>
      </c>
      <c r="L85" s="51">
        <f ca="1"/>
        <v>0</v>
      </c>
      <c r="M85" s="53">
        <f ca="1"/>
        <v>0</v>
      </c>
      <c r="N85" s="53">
        <f ca="1"/>
        <v>0</v>
      </c>
      <c r="O85" s="53">
        <f ca="1"/>
        <v>0</v>
      </c>
      <c r="P85" s="53">
        <f ca="1"/>
        <v>0</v>
      </c>
      <c r="Q85" s="53">
        <f ca="1"/>
        <v>0</v>
      </c>
      <c r="R85" s="53">
        <f ca="1"/>
        <v>0</v>
      </c>
      <c r="S85" s="53">
        <f ca="1"/>
        <v>0</v>
      </c>
      <c r="T85" s="53">
        <f ca="1"/>
        <v>15</v>
      </c>
      <c r="U85" s="53">
        <f ca="1"/>
        <v>0</v>
      </c>
      <c r="V85" s="53">
        <f ca="1"/>
        <v>0</v>
      </c>
      <c r="W85" s="53">
        <f ca="1"/>
        <v>0</v>
      </c>
      <c r="X85" s="53">
        <f ca="1"/>
        <v>0</v>
      </c>
      <c r="Y85" s="53">
        <f ca="1"/>
        <v>0</v>
      </c>
      <c r="Z85" s="53">
        <f ca="1"/>
        <v>0</v>
      </c>
      <c r="AA85" s="1316">
        <f ca="1"/>
        <v>0</v>
      </c>
      <c r="AB85" s="14"/>
    </row>
    <row r="86" spans="1:28" s="10" customFormat="1" ht="15" hidden="1" customHeight="1" x14ac:dyDescent="0.45">
      <c r="A86" s="1858"/>
      <c r="B86" s="1780"/>
      <c r="C86" s="8" t="s">
        <v>401</v>
      </c>
      <c r="D86" s="44">
        <f ca="1"/>
        <v>0</v>
      </c>
      <c r="E86" s="44">
        <f ca="1"/>
        <v>0</v>
      </c>
      <c r="F86" s="44">
        <f ca="1"/>
        <v>0</v>
      </c>
      <c r="G86" s="44">
        <f ca="1"/>
        <v>0</v>
      </c>
      <c r="H86" s="44">
        <f ca="1"/>
        <v>0</v>
      </c>
      <c r="I86" s="44">
        <f ca="1"/>
        <v>0</v>
      </c>
      <c r="J86" s="44">
        <f ca="1"/>
        <v>0</v>
      </c>
      <c r="K86" s="44">
        <f ca="1"/>
        <v>0</v>
      </c>
      <c r="L86" s="44">
        <f ca="1"/>
        <v>0</v>
      </c>
      <c r="M86" s="44">
        <f ca="1"/>
        <v>0</v>
      </c>
      <c r="N86" s="44">
        <f ca="1"/>
        <v>0</v>
      </c>
      <c r="O86" s="44">
        <f ca="1"/>
        <v>0</v>
      </c>
      <c r="P86" s="44">
        <f ca="1"/>
        <v>0</v>
      </c>
      <c r="Q86" s="44">
        <f ca="1"/>
        <v>0</v>
      </c>
      <c r="R86" s="44">
        <f ca="1"/>
        <v>0</v>
      </c>
      <c r="S86" s="44">
        <f ca="1"/>
        <v>0</v>
      </c>
      <c r="T86" s="44">
        <f ca="1"/>
        <v>15</v>
      </c>
      <c r="U86" s="44">
        <f ca="1"/>
        <v>0</v>
      </c>
      <c r="V86" s="44">
        <f ca="1"/>
        <v>0</v>
      </c>
      <c r="W86" s="44">
        <f ca="1"/>
        <v>0</v>
      </c>
      <c r="X86" s="55">
        <f ca="1"/>
        <v>0</v>
      </c>
      <c r="Y86" s="55">
        <f ca="1"/>
        <v>0</v>
      </c>
      <c r="Z86" s="55">
        <f ca="1"/>
        <v>0</v>
      </c>
      <c r="AA86" s="1314">
        <f ca="1"/>
        <v>0</v>
      </c>
      <c r="AB86" s="14"/>
    </row>
    <row r="87" spans="1:28" s="10" customFormat="1" ht="15" hidden="1" customHeight="1" x14ac:dyDescent="0.45">
      <c r="A87" s="1858"/>
      <c r="B87" s="1862"/>
      <c r="C87" s="8" t="s">
        <v>400</v>
      </c>
      <c r="D87" s="44">
        <f ca="1"/>
        <v>0</v>
      </c>
      <c r="E87" s="44">
        <f ca="1"/>
        <v>0</v>
      </c>
      <c r="F87" s="44">
        <f ca="1"/>
        <v>0</v>
      </c>
      <c r="G87" s="44">
        <f ca="1"/>
        <v>0</v>
      </c>
      <c r="H87" s="44">
        <f ca="1"/>
        <v>0</v>
      </c>
      <c r="I87" s="44">
        <f ca="1"/>
        <v>0</v>
      </c>
      <c r="J87" s="44">
        <f ca="1"/>
        <v>0</v>
      </c>
      <c r="K87" s="44">
        <f ca="1"/>
        <v>0</v>
      </c>
      <c r="L87" s="44">
        <f ca="1"/>
        <v>0</v>
      </c>
      <c r="M87" s="44">
        <f ca="1"/>
        <v>0</v>
      </c>
      <c r="N87" s="44">
        <f ca="1"/>
        <v>0</v>
      </c>
      <c r="O87" s="44">
        <f ca="1"/>
        <v>0</v>
      </c>
      <c r="P87" s="55">
        <f ca="1"/>
        <v>0</v>
      </c>
      <c r="Q87" s="55">
        <f ca="1"/>
        <v>0</v>
      </c>
      <c r="R87" s="55">
        <f ca="1"/>
        <v>0</v>
      </c>
      <c r="S87" s="55">
        <f ca="1"/>
        <v>0</v>
      </c>
      <c r="T87" s="55">
        <f ca="1"/>
        <v>15</v>
      </c>
      <c r="U87" s="55">
        <f ca="1"/>
        <v>0</v>
      </c>
      <c r="V87" s="55">
        <f ca="1"/>
        <v>0</v>
      </c>
      <c r="W87" s="55">
        <f ca="1"/>
        <v>0</v>
      </c>
      <c r="X87" s="55">
        <f ca="1"/>
        <v>0</v>
      </c>
      <c r="Y87" s="55">
        <f ca="1"/>
        <v>0</v>
      </c>
      <c r="Z87" s="55">
        <f ca="1"/>
        <v>0</v>
      </c>
      <c r="AA87" s="1314">
        <f ca="1"/>
        <v>0</v>
      </c>
      <c r="AB87" s="14"/>
    </row>
    <row r="88" spans="1:28" s="10" customFormat="1" ht="15" hidden="1" customHeight="1" x14ac:dyDescent="0.45">
      <c r="A88" s="1858"/>
      <c r="B88" s="1863" t="s">
        <v>417</v>
      </c>
      <c r="C88" s="7" t="s">
        <v>399</v>
      </c>
      <c r="D88" s="47">
        <f ca="1"/>
        <v>0</v>
      </c>
      <c r="E88" s="47">
        <f ca="1"/>
        <v>0</v>
      </c>
      <c r="F88" s="47">
        <f ca="1"/>
        <v>0</v>
      </c>
      <c r="G88" s="47">
        <f ca="1"/>
        <v>0</v>
      </c>
      <c r="H88" s="47">
        <f ca="1"/>
        <v>0</v>
      </c>
      <c r="I88" s="47">
        <f ca="1"/>
        <v>0</v>
      </c>
      <c r="J88" s="47">
        <f ca="1"/>
        <v>0</v>
      </c>
      <c r="K88" s="47">
        <f ca="1"/>
        <v>0</v>
      </c>
      <c r="L88" s="47">
        <f ca="1"/>
        <v>0</v>
      </c>
      <c r="M88" s="47">
        <f ca="1"/>
        <v>0</v>
      </c>
      <c r="N88" s="47">
        <f ca="1"/>
        <v>0</v>
      </c>
      <c r="O88" s="47">
        <f ca="1"/>
        <v>0</v>
      </c>
      <c r="P88" s="47">
        <f ca="1"/>
        <v>0</v>
      </c>
      <c r="Q88" s="49">
        <f ca="1"/>
        <v>0</v>
      </c>
      <c r="R88" s="49">
        <f ca="1"/>
        <v>0</v>
      </c>
      <c r="S88" s="49">
        <f ca="1"/>
        <v>0</v>
      </c>
      <c r="T88" s="49">
        <f ca="1"/>
        <v>0</v>
      </c>
      <c r="U88" s="49">
        <f ca="1"/>
        <v>0</v>
      </c>
      <c r="V88" s="49">
        <f ca="1"/>
        <v>0</v>
      </c>
      <c r="W88" s="49">
        <f ca="1"/>
        <v>0</v>
      </c>
      <c r="X88" s="49">
        <f ca="1"/>
        <v>0</v>
      </c>
      <c r="Y88" s="49">
        <f ca="1"/>
        <v>0</v>
      </c>
      <c r="Z88" s="49">
        <f ca="1"/>
        <v>0</v>
      </c>
      <c r="AA88" s="1315">
        <f ca="1"/>
        <v>0</v>
      </c>
      <c r="AB88" s="14"/>
    </row>
    <row r="89" spans="1:28" s="10" customFormat="1" ht="15" hidden="1" customHeight="1" x14ac:dyDescent="0.45">
      <c r="A89" s="1858"/>
      <c r="B89" s="1860"/>
      <c r="C89" s="7" t="s">
        <v>401</v>
      </c>
      <c r="D89" s="596">
        <f ca="1"/>
        <v>0</v>
      </c>
      <c r="E89" s="596">
        <f ca="1"/>
        <v>0</v>
      </c>
      <c r="F89" s="596">
        <f ca="1"/>
        <v>0</v>
      </c>
      <c r="G89" s="596">
        <f ca="1"/>
        <v>0</v>
      </c>
      <c r="H89" s="596">
        <f ca="1"/>
        <v>0</v>
      </c>
      <c r="I89" s="596">
        <f ca="1"/>
        <v>0</v>
      </c>
      <c r="J89" s="596">
        <f ca="1"/>
        <v>0</v>
      </c>
      <c r="K89" s="596">
        <f ca="1"/>
        <v>0</v>
      </c>
      <c r="L89" s="596">
        <f ca="1"/>
        <v>0</v>
      </c>
      <c r="M89" s="597">
        <f ca="1"/>
        <v>0</v>
      </c>
      <c r="N89" s="597">
        <f ca="1"/>
        <v>0</v>
      </c>
      <c r="O89" s="597">
        <f ca="1"/>
        <v>0</v>
      </c>
      <c r="P89" s="597">
        <f ca="1"/>
        <v>0</v>
      </c>
      <c r="Q89" s="597">
        <f ca="1"/>
        <v>0</v>
      </c>
      <c r="R89" s="597">
        <f ca="1"/>
        <v>0</v>
      </c>
      <c r="S89" s="597">
        <f ca="1"/>
        <v>0</v>
      </c>
      <c r="T89" s="597">
        <f ca="1"/>
        <v>0</v>
      </c>
      <c r="U89" s="597">
        <f ca="1"/>
        <v>0</v>
      </c>
      <c r="V89" s="597">
        <f ca="1"/>
        <v>0</v>
      </c>
      <c r="W89" s="597">
        <f ca="1"/>
        <v>0</v>
      </c>
      <c r="X89" s="597">
        <f ca="1"/>
        <v>0</v>
      </c>
      <c r="Y89" s="597">
        <f ca="1"/>
        <v>0</v>
      </c>
      <c r="Z89" s="597">
        <f ca="1"/>
        <v>0</v>
      </c>
      <c r="AA89" s="1317">
        <f ca="1"/>
        <v>0</v>
      </c>
      <c r="AB89" s="14"/>
    </row>
    <row r="90" spans="1:28" s="10" customFormat="1" ht="15" hidden="1" customHeight="1" x14ac:dyDescent="0.45">
      <c r="A90" s="1866"/>
      <c r="B90" s="1867"/>
      <c r="C90" s="599" t="s">
        <v>400</v>
      </c>
      <c r="D90" s="600">
        <f ca="1"/>
        <v>0</v>
      </c>
      <c r="E90" s="600">
        <f ca="1"/>
        <v>0</v>
      </c>
      <c r="F90" s="600">
        <f ca="1"/>
        <v>0</v>
      </c>
      <c r="G90" s="600">
        <f ca="1"/>
        <v>0</v>
      </c>
      <c r="H90" s="600">
        <f ca="1"/>
        <v>0</v>
      </c>
      <c r="I90" s="600">
        <f ca="1"/>
        <v>0</v>
      </c>
      <c r="J90" s="600">
        <f ca="1"/>
        <v>0</v>
      </c>
      <c r="K90" s="600">
        <f ca="1"/>
        <v>0</v>
      </c>
      <c r="L90" s="600">
        <f ca="1"/>
        <v>0</v>
      </c>
      <c r="M90" s="600">
        <f ca="1"/>
        <v>0</v>
      </c>
      <c r="N90" s="600">
        <f ca="1"/>
        <v>0</v>
      </c>
      <c r="O90" s="600">
        <f ca="1"/>
        <v>0</v>
      </c>
      <c r="P90" s="600">
        <f ca="1"/>
        <v>0</v>
      </c>
      <c r="Q90" s="600">
        <f ca="1"/>
        <v>0</v>
      </c>
      <c r="R90" s="600">
        <f ca="1"/>
        <v>0</v>
      </c>
      <c r="S90" s="600">
        <f ca="1"/>
        <v>0</v>
      </c>
      <c r="T90" s="600">
        <f ca="1"/>
        <v>0</v>
      </c>
      <c r="U90" s="600">
        <f ca="1"/>
        <v>0</v>
      </c>
      <c r="V90" s="600">
        <f ca="1"/>
        <v>0</v>
      </c>
      <c r="W90" s="600">
        <f ca="1"/>
        <v>0</v>
      </c>
      <c r="X90" s="601">
        <f ca="1"/>
        <v>0</v>
      </c>
      <c r="Y90" s="601">
        <f ca="1"/>
        <v>0</v>
      </c>
      <c r="Z90" s="601">
        <f ca="1"/>
        <v>0</v>
      </c>
      <c r="AA90" s="1322">
        <f ca="1"/>
        <v>0</v>
      </c>
      <c r="AB90" s="14"/>
    </row>
    <row r="91" spans="1:28" hidden="1" x14ac:dyDescent="0.45">
      <c r="A91" s="1858" t="s">
        <v>403</v>
      </c>
      <c r="B91" s="1780" t="s">
        <v>404</v>
      </c>
      <c r="C91" s="39" t="s">
        <v>399</v>
      </c>
      <c r="D91" s="51">
        <f t="array" ref="D91:AA132" ca="1">IF(display_week="",0,
IF(display_part = "Part 1", INDEX(final_duration_primary,TRUNC((ROW(display_summary_trainingtilt)-6+2)/3),display_week),
IF(display_part = "Part 2", INDEX(final_duration_secondary,TRUNC((ROW(display_summary_trainingtilt)-6+2)/3),display_week),
IF(display_part = "Part 3", INDEX(final_duration_tertiary,TRUNC((ROW(display_summary_trainingtilt)-6+2)/3),display_week),""))))</f>
        <v>40</v>
      </c>
      <c r="E91" s="51">
        <f ca="1"/>
        <v>40</v>
      </c>
      <c r="F91" s="51">
        <f ca="1"/>
        <v>40</v>
      </c>
      <c r="G91" s="51">
        <f ca="1"/>
        <v>40</v>
      </c>
      <c r="H91" s="51">
        <f ca="1"/>
        <v>40</v>
      </c>
      <c r="I91" s="51">
        <f ca="1"/>
        <v>40</v>
      </c>
      <c r="J91" s="51">
        <f ca="1"/>
        <v>40</v>
      </c>
      <c r="K91" s="51">
        <f ca="1"/>
        <v>40</v>
      </c>
      <c r="L91" s="51">
        <f ca="1"/>
        <v>40</v>
      </c>
      <c r="M91" s="53">
        <f ca="1"/>
        <v>0</v>
      </c>
      <c r="N91" s="53">
        <f ca="1"/>
        <v>0</v>
      </c>
      <c r="O91" s="53">
        <f ca="1"/>
        <v>40</v>
      </c>
      <c r="P91" s="53">
        <f ca="1"/>
        <v>40</v>
      </c>
      <c r="Q91" s="53">
        <f ca="1"/>
        <v>40</v>
      </c>
      <c r="R91" s="53">
        <f ca="1"/>
        <v>30</v>
      </c>
      <c r="S91" s="53">
        <f ca="1"/>
        <v>30</v>
      </c>
      <c r="T91" s="53">
        <f ca="1"/>
        <v>30</v>
      </c>
      <c r="U91" s="53">
        <f ca="1"/>
        <v>30</v>
      </c>
      <c r="V91" s="53">
        <f ca="1"/>
        <v>0</v>
      </c>
      <c r="W91" s="53">
        <f ca="1"/>
        <v>0</v>
      </c>
      <c r="X91" s="53">
        <f ca="1"/>
        <v>0</v>
      </c>
      <c r="Y91" s="53">
        <f ca="1"/>
        <v>0</v>
      </c>
      <c r="Z91" s="53">
        <f ca="1"/>
        <v>0</v>
      </c>
      <c r="AA91" s="1316">
        <f ca="1"/>
        <v>0</v>
      </c>
    </row>
    <row r="92" spans="1:28" hidden="1" x14ac:dyDescent="0.45">
      <c r="A92" s="1858"/>
      <c r="B92" s="1780"/>
      <c r="C92" s="8" t="s">
        <v>401</v>
      </c>
      <c r="D92" s="44">
        <f ca="1"/>
        <v>0</v>
      </c>
      <c r="E92" s="44">
        <f ca="1"/>
        <v>0</v>
      </c>
      <c r="F92" s="44">
        <f ca="1"/>
        <v>0</v>
      </c>
      <c r="G92" s="44">
        <f ca="1"/>
        <v>0</v>
      </c>
      <c r="H92" s="44">
        <f ca="1"/>
        <v>0</v>
      </c>
      <c r="I92" s="44">
        <f ca="1"/>
        <v>0</v>
      </c>
      <c r="J92" s="44">
        <f ca="1"/>
        <v>0</v>
      </c>
      <c r="K92" s="44">
        <f ca="1"/>
        <v>0</v>
      </c>
      <c r="L92" s="44">
        <f ca="1"/>
        <v>0</v>
      </c>
      <c r="M92" s="44">
        <f ca="1"/>
        <v>0</v>
      </c>
      <c r="N92" s="44">
        <f ca="1"/>
        <v>0</v>
      </c>
      <c r="O92" s="44">
        <f ca="1"/>
        <v>0</v>
      </c>
      <c r="P92" s="44">
        <f ca="1"/>
        <v>0</v>
      </c>
      <c r="Q92" s="44">
        <f ca="1"/>
        <v>0</v>
      </c>
      <c r="R92" s="44">
        <f ca="1"/>
        <v>0</v>
      </c>
      <c r="S92" s="44">
        <f ca="1"/>
        <v>0</v>
      </c>
      <c r="T92" s="44">
        <f ca="1"/>
        <v>0</v>
      </c>
      <c r="U92" s="44">
        <f ca="1"/>
        <v>0</v>
      </c>
      <c r="V92" s="44">
        <f ca="1"/>
        <v>0</v>
      </c>
      <c r="W92" s="44">
        <f ca="1"/>
        <v>0</v>
      </c>
      <c r="X92" s="55">
        <f ca="1"/>
        <v>0</v>
      </c>
      <c r="Y92" s="55">
        <f ca="1"/>
        <v>0</v>
      </c>
      <c r="Z92" s="55">
        <f ca="1"/>
        <v>0</v>
      </c>
      <c r="AA92" s="1314">
        <f ca="1"/>
        <v>0</v>
      </c>
    </row>
    <row r="93" spans="1:28" hidden="1" x14ac:dyDescent="0.45">
      <c r="A93" s="1858"/>
      <c r="B93" s="1780"/>
      <c r="C93" s="8" t="s">
        <v>400</v>
      </c>
      <c r="D93" s="44">
        <f ca="1"/>
        <v>0</v>
      </c>
      <c r="E93" s="44">
        <f ca="1"/>
        <v>0</v>
      </c>
      <c r="F93" s="44">
        <f ca="1"/>
        <v>0</v>
      </c>
      <c r="G93" s="44">
        <f ca="1"/>
        <v>0</v>
      </c>
      <c r="H93" s="44">
        <f ca="1"/>
        <v>0</v>
      </c>
      <c r="I93" s="44">
        <f ca="1"/>
        <v>0</v>
      </c>
      <c r="J93" s="44">
        <f ca="1"/>
        <v>0</v>
      </c>
      <c r="K93" s="44">
        <f ca="1"/>
        <v>0</v>
      </c>
      <c r="L93" s="44">
        <f ca="1"/>
        <v>0</v>
      </c>
      <c r="M93" s="44">
        <f ca="1"/>
        <v>0</v>
      </c>
      <c r="N93" s="44">
        <f ca="1"/>
        <v>0</v>
      </c>
      <c r="O93" s="44">
        <f ca="1"/>
        <v>0</v>
      </c>
      <c r="P93" s="55">
        <f ca="1"/>
        <v>0</v>
      </c>
      <c r="Q93" s="55">
        <f ca="1"/>
        <v>0</v>
      </c>
      <c r="R93" s="55">
        <f ca="1"/>
        <v>0</v>
      </c>
      <c r="S93" s="55">
        <f ca="1"/>
        <v>0</v>
      </c>
      <c r="T93" s="55">
        <f ca="1"/>
        <v>0</v>
      </c>
      <c r="U93" s="55">
        <f ca="1"/>
        <v>0</v>
      </c>
      <c r="V93" s="55">
        <f ca="1"/>
        <v>0</v>
      </c>
      <c r="W93" s="55">
        <f ca="1"/>
        <v>0</v>
      </c>
      <c r="X93" s="55">
        <f ca="1"/>
        <v>0</v>
      </c>
      <c r="Y93" s="55">
        <f ca="1"/>
        <v>0</v>
      </c>
      <c r="Z93" s="55">
        <f ca="1"/>
        <v>0</v>
      </c>
      <c r="AA93" s="1314">
        <f ca="1"/>
        <v>0</v>
      </c>
    </row>
    <row r="94" spans="1:28" hidden="1" x14ac:dyDescent="0.45">
      <c r="A94" s="1858"/>
      <c r="B94" s="1860" t="s">
        <v>412</v>
      </c>
      <c r="C94" s="598" t="s">
        <v>399</v>
      </c>
      <c r="D94" s="47">
        <f ca="1"/>
        <v>30</v>
      </c>
      <c r="E94" s="47">
        <f ca="1"/>
        <v>30</v>
      </c>
      <c r="F94" s="47">
        <f ca="1"/>
        <v>30</v>
      </c>
      <c r="G94" s="47">
        <f ca="1"/>
        <v>30</v>
      </c>
      <c r="H94" s="47">
        <f ca="1"/>
        <v>30</v>
      </c>
      <c r="I94" s="47">
        <f ca="1"/>
        <v>30</v>
      </c>
      <c r="J94" s="47">
        <f ca="1"/>
        <v>30</v>
      </c>
      <c r="K94" s="47">
        <f ca="1"/>
        <v>30</v>
      </c>
      <c r="L94" s="47">
        <f ca="1"/>
        <v>30</v>
      </c>
      <c r="M94" s="47">
        <f ca="1"/>
        <v>0</v>
      </c>
      <c r="N94" s="47">
        <f ca="1"/>
        <v>85</v>
      </c>
      <c r="O94" s="47">
        <f ca="1"/>
        <v>30</v>
      </c>
      <c r="P94" s="47">
        <f ca="1"/>
        <v>30</v>
      </c>
      <c r="Q94" s="49">
        <f ca="1"/>
        <v>30</v>
      </c>
      <c r="R94" s="49">
        <f ca="1"/>
        <v>30</v>
      </c>
      <c r="S94" s="49">
        <f ca="1"/>
        <v>30</v>
      </c>
      <c r="T94" s="49">
        <f ca="1"/>
        <v>30</v>
      </c>
      <c r="U94" s="49">
        <f ca="1"/>
        <v>30</v>
      </c>
      <c r="V94" s="49">
        <f ca="1"/>
        <v>0</v>
      </c>
      <c r="W94" s="49">
        <f ca="1"/>
        <v>0</v>
      </c>
      <c r="X94" s="49">
        <f ca="1"/>
        <v>0</v>
      </c>
      <c r="Y94" s="49">
        <f ca="1"/>
        <v>0</v>
      </c>
      <c r="Z94" s="49">
        <f ca="1"/>
        <v>0</v>
      </c>
      <c r="AA94" s="1315">
        <f ca="1"/>
        <v>0</v>
      </c>
    </row>
    <row r="95" spans="1:28" hidden="1" x14ac:dyDescent="0.45">
      <c r="A95" s="1858"/>
      <c r="B95" s="1860"/>
      <c r="C95" s="7" t="s">
        <v>401</v>
      </c>
      <c r="D95" s="596">
        <f ca="1"/>
        <v>30</v>
      </c>
      <c r="E95" s="596">
        <f ca="1"/>
        <v>30</v>
      </c>
      <c r="F95" s="596">
        <f ca="1"/>
        <v>30</v>
      </c>
      <c r="G95" s="596">
        <f ca="1"/>
        <v>30</v>
      </c>
      <c r="H95" s="596">
        <f ca="1"/>
        <v>30</v>
      </c>
      <c r="I95" s="596">
        <f ca="1"/>
        <v>30</v>
      </c>
      <c r="J95" s="596">
        <f ca="1"/>
        <v>30</v>
      </c>
      <c r="K95" s="596">
        <f ca="1"/>
        <v>30</v>
      </c>
      <c r="L95" s="596">
        <f ca="1"/>
        <v>30</v>
      </c>
      <c r="M95" s="597">
        <f ca="1"/>
        <v>0</v>
      </c>
      <c r="N95" s="597">
        <f ca="1"/>
        <v>0</v>
      </c>
      <c r="O95" s="597">
        <f ca="1"/>
        <v>30</v>
      </c>
      <c r="P95" s="597">
        <f ca="1"/>
        <v>30</v>
      </c>
      <c r="Q95" s="597">
        <f ca="1"/>
        <v>30</v>
      </c>
      <c r="R95" s="597">
        <f ca="1"/>
        <v>30</v>
      </c>
      <c r="S95" s="597">
        <f ca="1"/>
        <v>30</v>
      </c>
      <c r="T95" s="597">
        <f ca="1"/>
        <v>30</v>
      </c>
      <c r="U95" s="597">
        <f ca="1"/>
        <v>30</v>
      </c>
      <c r="V95" s="597">
        <f ca="1"/>
        <v>0</v>
      </c>
      <c r="W95" s="597">
        <f ca="1"/>
        <v>0</v>
      </c>
      <c r="X95" s="597">
        <f ca="1"/>
        <v>0</v>
      </c>
      <c r="Y95" s="597">
        <f ca="1"/>
        <v>0</v>
      </c>
      <c r="Z95" s="597">
        <f ca="1"/>
        <v>0</v>
      </c>
      <c r="AA95" s="1317">
        <f ca="1"/>
        <v>0</v>
      </c>
    </row>
    <row r="96" spans="1:28" hidden="1" x14ac:dyDescent="0.45">
      <c r="A96" s="1858"/>
      <c r="B96" s="1861"/>
      <c r="C96" s="7" t="s">
        <v>400</v>
      </c>
      <c r="D96" s="47">
        <f ca="1"/>
        <v>0</v>
      </c>
      <c r="E96" s="47">
        <f ca="1"/>
        <v>0</v>
      </c>
      <c r="F96" s="47">
        <f ca="1"/>
        <v>0</v>
      </c>
      <c r="G96" s="47">
        <f ca="1"/>
        <v>0</v>
      </c>
      <c r="H96" s="47">
        <f ca="1"/>
        <v>0</v>
      </c>
      <c r="I96" s="47">
        <f ca="1"/>
        <v>0</v>
      </c>
      <c r="J96" s="47">
        <f ca="1"/>
        <v>0</v>
      </c>
      <c r="K96" s="47">
        <f ca="1"/>
        <v>0</v>
      </c>
      <c r="L96" s="47">
        <f ca="1"/>
        <v>0</v>
      </c>
      <c r="M96" s="47">
        <f ca="1"/>
        <v>0</v>
      </c>
      <c r="N96" s="47">
        <f ca="1"/>
        <v>0</v>
      </c>
      <c r="O96" s="47">
        <f ca="1"/>
        <v>0</v>
      </c>
      <c r="P96" s="47">
        <f ca="1"/>
        <v>0</v>
      </c>
      <c r="Q96" s="47">
        <f ca="1"/>
        <v>0</v>
      </c>
      <c r="R96" s="47">
        <f ca="1"/>
        <v>0</v>
      </c>
      <c r="S96" s="47">
        <f ca="1"/>
        <v>0</v>
      </c>
      <c r="T96" s="47">
        <f ca="1"/>
        <v>0</v>
      </c>
      <c r="U96" s="47">
        <f ca="1"/>
        <v>0</v>
      </c>
      <c r="V96" s="47">
        <f ca="1"/>
        <v>0</v>
      </c>
      <c r="W96" s="47">
        <f ca="1"/>
        <v>0</v>
      </c>
      <c r="X96" s="49">
        <f ca="1"/>
        <v>0</v>
      </c>
      <c r="Y96" s="49">
        <f ca="1"/>
        <v>0</v>
      </c>
      <c r="Z96" s="49">
        <f ca="1"/>
        <v>0</v>
      </c>
      <c r="AA96" s="1315">
        <f ca="1"/>
        <v>0</v>
      </c>
    </row>
    <row r="97" spans="1:27" hidden="1" x14ac:dyDescent="0.45">
      <c r="A97" s="1858"/>
      <c r="B97" s="1780" t="s">
        <v>405</v>
      </c>
      <c r="C97" s="39" t="s">
        <v>399</v>
      </c>
      <c r="D97" s="51">
        <f ca="1"/>
        <v>40</v>
      </c>
      <c r="E97" s="51">
        <f ca="1"/>
        <v>40</v>
      </c>
      <c r="F97" s="51">
        <f ca="1"/>
        <v>40</v>
      </c>
      <c r="G97" s="51">
        <f ca="1"/>
        <v>40</v>
      </c>
      <c r="H97" s="51">
        <f ca="1"/>
        <v>40</v>
      </c>
      <c r="I97" s="51">
        <f ca="1"/>
        <v>40</v>
      </c>
      <c r="J97" s="51">
        <f ca="1"/>
        <v>40</v>
      </c>
      <c r="K97" s="51">
        <f ca="1"/>
        <v>0</v>
      </c>
      <c r="L97" s="51">
        <f ca="1"/>
        <v>0</v>
      </c>
      <c r="M97" s="53">
        <f ca="1"/>
        <v>0</v>
      </c>
      <c r="N97" s="53">
        <f ca="1"/>
        <v>0</v>
      </c>
      <c r="O97" s="53">
        <f ca="1"/>
        <v>40</v>
      </c>
      <c r="P97" s="53">
        <f ca="1"/>
        <v>40</v>
      </c>
      <c r="Q97" s="53">
        <f ca="1"/>
        <v>40</v>
      </c>
      <c r="R97" s="53">
        <f ca="1"/>
        <v>0</v>
      </c>
      <c r="S97" s="53">
        <f ca="1"/>
        <v>0</v>
      </c>
      <c r="T97" s="53">
        <f ca="1"/>
        <v>0</v>
      </c>
      <c r="U97" s="53">
        <f ca="1"/>
        <v>0</v>
      </c>
      <c r="V97" s="53">
        <f ca="1"/>
        <v>0</v>
      </c>
      <c r="W97" s="53">
        <f ca="1"/>
        <v>0</v>
      </c>
      <c r="X97" s="53">
        <f ca="1"/>
        <v>0</v>
      </c>
      <c r="Y97" s="53">
        <f ca="1"/>
        <v>0</v>
      </c>
      <c r="Z97" s="53">
        <f ca="1"/>
        <v>0</v>
      </c>
      <c r="AA97" s="1316">
        <f ca="1"/>
        <v>0</v>
      </c>
    </row>
    <row r="98" spans="1:27" hidden="1" x14ac:dyDescent="0.45">
      <c r="A98" s="1858"/>
      <c r="B98" s="1780"/>
      <c r="C98" s="8" t="s">
        <v>401</v>
      </c>
      <c r="D98" s="44">
        <f ca="1"/>
        <v>0</v>
      </c>
      <c r="E98" s="44">
        <f ca="1"/>
        <v>0</v>
      </c>
      <c r="F98" s="44">
        <f ca="1"/>
        <v>0</v>
      </c>
      <c r="G98" s="44">
        <f ca="1"/>
        <v>0</v>
      </c>
      <c r="H98" s="44">
        <f ca="1"/>
        <v>0</v>
      </c>
      <c r="I98" s="44">
        <f ca="1"/>
        <v>0</v>
      </c>
      <c r="J98" s="44">
        <f ca="1"/>
        <v>0</v>
      </c>
      <c r="K98" s="44">
        <f ca="1"/>
        <v>0</v>
      </c>
      <c r="L98" s="44">
        <f ca="1"/>
        <v>0</v>
      </c>
      <c r="M98" s="44">
        <f ca="1"/>
        <v>0</v>
      </c>
      <c r="N98" s="44">
        <f ca="1"/>
        <v>0</v>
      </c>
      <c r="O98" s="44">
        <f ca="1"/>
        <v>0</v>
      </c>
      <c r="P98" s="44">
        <f ca="1"/>
        <v>0</v>
      </c>
      <c r="Q98" s="44">
        <f ca="1"/>
        <v>0</v>
      </c>
      <c r="R98" s="44">
        <f ca="1"/>
        <v>0</v>
      </c>
      <c r="S98" s="44">
        <f ca="1"/>
        <v>0</v>
      </c>
      <c r="T98" s="44">
        <f ca="1"/>
        <v>0</v>
      </c>
      <c r="U98" s="44">
        <f ca="1"/>
        <v>0</v>
      </c>
      <c r="V98" s="44">
        <f ca="1"/>
        <v>0</v>
      </c>
      <c r="W98" s="44">
        <f ca="1"/>
        <v>0</v>
      </c>
      <c r="X98" s="55">
        <f ca="1"/>
        <v>0</v>
      </c>
      <c r="Y98" s="55">
        <f ca="1"/>
        <v>0</v>
      </c>
      <c r="Z98" s="55">
        <f ca="1"/>
        <v>0</v>
      </c>
      <c r="AA98" s="1314">
        <f ca="1"/>
        <v>0</v>
      </c>
    </row>
    <row r="99" spans="1:27" hidden="1" x14ac:dyDescent="0.45">
      <c r="A99" s="1858"/>
      <c r="B99" s="1780"/>
      <c r="C99" s="8" t="s">
        <v>400</v>
      </c>
      <c r="D99" s="44">
        <f ca="1"/>
        <v>0</v>
      </c>
      <c r="E99" s="44">
        <f ca="1"/>
        <v>0</v>
      </c>
      <c r="F99" s="44">
        <f ca="1"/>
        <v>0</v>
      </c>
      <c r="G99" s="44">
        <f ca="1"/>
        <v>0</v>
      </c>
      <c r="H99" s="44">
        <f ca="1"/>
        <v>0</v>
      </c>
      <c r="I99" s="44">
        <f ca="1"/>
        <v>0</v>
      </c>
      <c r="J99" s="44">
        <f ca="1"/>
        <v>0</v>
      </c>
      <c r="K99" s="44">
        <f ca="1"/>
        <v>0</v>
      </c>
      <c r="L99" s="44">
        <f ca="1"/>
        <v>0</v>
      </c>
      <c r="M99" s="44">
        <f ca="1"/>
        <v>0</v>
      </c>
      <c r="N99" s="44">
        <f ca="1"/>
        <v>0</v>
      </c>
      <c r="O99" s="44">
        <f ca="1"/>
        <v>0</v>
      </c>
      <c r="P99" s="55">
        <f ca="1"/>
        <v>0</v>
      </c>
      <c r="Q99" s="55">
        <f ca="1"/>
        <v>0</v>
      </c>
      <c r="R99" s="55">
        <f ca="1"/>
        <v>0</v>
      </c>
      <c r="S99" s="55">
        <f ca="1"/>
        <v>0</v>
      </c>
      <c r="T99" s="55">
        <f ca="1"/>
        <v>0</v>
      </c>
      <c r="U99" s="55">
        <f ca="1"/>
        <v>0</v>
      </c>
      <c r="V99" s="55">
        <f ca="1"/>
        <v>0</v>
      </c>
      <c r="W99" s="55">
        <f ca="1"/>
        <v>0</v>
      </c>
      <c r="X99" s="55">
        <f ca="1"/>
        <v>0</v>
      </c>
      <c r="Y99" s="55">
        <f ca="1"/>
        <v>0</v>
      </c>
      <c r="Z99" s="55">
        <f ca="1"/>
        <v>0</v>
      </c>
      <c r="AA99" s="1314">
        <f ca="1"/>
        <v>0</v>
      </c>
    </row>
    <row r="100" spans="1:27" hidden="1" x14ac:dyDescent="0.45">
      <c r="A100" s="1858"/>
      <c r="B100" s="1860" t="s">
        <v>406</v>
      </c>
      <c r="C100" s="598" t="s">
        <v>399</v>
      </c>
      <c r="D100" s="47">
        <f ca="1"/>
        <v>25</v>
      </c>
      <c r="E100" s="47">
        <f ca="1"/>
        <v>25</v>
      </c>
      <c r="F100" s="47">
        <f ca="1"/>
        <v>25</v>
      </c>
      <c r="G100" s="47">
        <f ca="1"/>
        <v>25</v>
      </c>
      <c r="H100" s="47">
        <f ca="1"/>
        <v>25</v>
      </c>
      <c r="I100" s="47">
        <f ca="1"/>
        <v>25</v>
      </c>
      <c r="J100" s="47">
        <f ca="1"/>
        <v>25</v>
      </c>
      <c r="K100" s="47">
        <f ca="1"/>
        <v>25</v>
      </c>
      <c r="L100" s="47">
        <f ca="1"/>
        <v>25</v>
      </c>
      <c r="M100" s="47">
        <f ca="1"/>
        <v>0</v>
      </c>
      <c r="N100" s="47">
        <f ca="1"/>
        <v>145</v>
      </c>
      <c r="O100" s="47">
        <f ca="1"/>
        <v>25</v>
      </c>
      <c r="P100" s="47">
        <f ca="1"/>
        <v>25</v>
      </c>
      <c r="Q100" s="49">
        <f ca="1"/>
        <v>25</v>
      </c>
      <c r="R100" s="49">
        <f ca="1"/>
        <v>25</v>
      </c>
      <c r="S100" s="49">
        <f ca="1"/>
        <v>25</v>
      </c>
      <c r="T100" s="49">
        <f ca="1"/>
        <v>55</v>
      </c>
      <c r="U100" s="49">
        <f ca="1"/>
        <v>25</v>
      </c>
      <c r="V100" s="49">
        <f ca="1"/>
        <v>15.5</v>
      </c>
      <c r="W100" s="49">
        <f ca="1"/>
        <v>0</v>
      </c>
      <c r="X100" s="49">
        <f ca="1"/>
        <v>0</v>
      </c>
      <c r="Y100" s="49">
        <f ca="1"/>
        <v>0</v>
      </c>
      <c r="Z100" s="49">
        <f ca="1"/>
        <v>0</v>
      </c>
      <c r="AA100" s="1315">
        <f ca="1"/>
        <v>0</v>
      </c>
    </row>
    <row r="101" spans="1:27" hidden="1" x14ac:dyDescent="0.45">
      <c r="A101" s="1858"/>
      <c r="B101" s="1860"/>
      <c r="C101" s="7" t="s">
        <v>401</v>
      </c>
      <c r="D101" s="596">
        <f ca="1"/>
        <v>0</v>
      </c>
      <c r="E101" s="596">
        <f ca="1"/>
        <v>0</v>
      </c>
      <c r="F101" s="596">
        <f ca="1"/>
        <v>0</v>
      </c>
      <c r="G101" s="596">
        <f ca="1"/>
        <v>0</v>
      </c>
      <c r="H101" s="596">
        <f ca="1"/>
        <v>0</v>
      </c>
      <c r="I101" s="596">
        <f ca="1"/>
        <v>0</v>
      </c>
      <c r="J101" s="596">
        <f ca="1"/>
        <v>0</v>
      </c>
      <c r="K101" s="596">
        <f ca="1"/>
        <v>0</v>
      </c>
      <c r="L101" s="596">
        <f ca="1"/>
        <v>0</v>
      </c>
      <c r="M101" s="597">
        <f ca="1"/>
        <v>0</v>
      </c>
      <c r="N101" s="597">
        <f ca="1"/>
        <v>0</v>
      </c>
      <c r="O101" s="597">
        <f ca="1"/>
        <v>0</v>
      </c>
      <c r="P101" s="597">
        <f ca="1"/>
        <v>0</v>
      </c>
      <c r="Q101" s="597">
        <f ca="1"/>
        <v>0</v>
      </c>
      <c r="R101" s="597">
        <f ca="1"/>
        <v>0</v>
      </c>
      <c r="S101" s="597">
        <f ca="1"/>
        <v>0</v>
      </c>
      <c r="T101" s="597">
        <f ca="1"/>
        <v>0</v>
      </c>
      <c r="U101" s="597">
        <f ca="1"/>
        <v>0</v>
      </c>
      <c r="V101" s="597">
        <f ca="1"/>
        <v>0</v>
      </c>
      <c r="W101" s="597">
        <f ca="1"/>
        <v>0</v>
      </c>
      <c r="X101" s="597">
        <f ca="1"/>
        <v>0</v>
      </c>
      <c r="Y101" s="597">
        <f ca="1"/>
        <v>0</v>
      </c>
      <c r="Z101" s="597">
        <f ca="1"/>
        <v>0</v>
      </c>
      <c r="AA101" s="1317">
        <f ca="1"/>
        <v>0</v>
      </c>
    </row>
    <row r="102" spans="1:27" hidden="1" x14ac:dyDescent="0.45">
      <c r="A102" s="1858"/>
      <c r="B102" s="1861"/>
      <c r="C102" s="7" t="s">
        <v>400</v>
      </c>
      <c r="D102" s="47">
        <f ca="1"/>
        <v>0</v>
      </c>
      <c r="E102" s="47">
        <f ca="1"/>
        <v>0</v>
      </c>
      <c r="F102" s="47">
        <f ca="1"/>
        <v>0</v>
      </c>
      <c r="G102" s="47">
        <f ca="1"/>
        <v>0</v>
      </c>
      <c r="H102" s="47">
        <f ca="1"/>
        <v>0</v>
      </c>
      <c r="I102" s="47">
        <f ca="1"/>
        <v>0</v>
      </c>
      <c r="J102" s="47">
        <f ca="1"/>
        <v>0</v>
      </c>
      <c r="K102" s="47">
        <f ca="1"/>
        <v>0</v>
      </c>
      <c r="L102" s="47">
        <f ca="1"/>
        <v>0</v>
      </c>
      <c r="M102" s="47">
        <f ca="1"/>
        <v>0</v>
      </c>
      <c r="N102" s="47">
        <f ca="1"/>
        <v>0</v>
      </c>
      <c r="O102" s="47">
        <f ca="1"/>
        <v>0</v>
      </c>
      <c r="P102" s="47">
        <f ca="1"/>
        <v>0</v>
      </c>
      <c r="Q102" s="47">
        <f ca="1"/>
        <v>0</v>
      </c>
      <c r="R102" s="47">
        <f ca="1"/>
        <v>0</v>
      </c>
      <c r="S102" s="47">
        <f ca="1"/>
        <v>0</v>
      </c>
      <c r="T102" s="47">
        <f ca="1"/>
        <v>0</v>
      </c>
      <c r="U102" s="47">
        <f ca="1"/>
        <v>0</v>
      </c>
      <c r="V102" s="47">
        <f ca="1"/>
        <v>0</v>
      </c>
      <c r="W102" s="47">
        <f ca="1"/>
        <v>0</v>
      </c>
      <c r="X102" s="49">
        <f ca="1"/>
        <v>0</v>
      </c>
      <c r="Y102" s="49">
        <f ca="1"/>
        <v>0</v>
      </c>
      <c r="Z102" s="49">
        <f ca="1"/>
        <v>0</v>
      </c>
      <c r="AA102" s="1315">
        <f ca="1"/>
        <v>0</v>
      </c>
    </row>
    <row r="103" spans="1:27" hidden="1" x14ac:dyDescent="0.45">
      <c r="A103" s="1858"/>
      <c r="B103" s="1780" t="s">
        <v>407</v>
      </c>
      <c r="C103" s="39" t="s">
        <v>399</v>
      </c>
      <c r="D103" s="51">
        <f ca="1"/>
        <v>0</v>
      </c>
      <c r="E103" s="51">
        <f ca="1"/>
        <v>0</v>
      </c>
      <c r="F103" s="51">
        <f ca="1"/>
        <v>0</v>
      </c>
      <c r="G103" s="51">
        <f ca="1"/>
        <v>0</v>
      </c>
      <c r="H103" s="51">
        <f ca="1"/>
        <v>0</v>
      </c>
      <c r="I103" s="51">
        <f ca="1"/>
        <v>0</v>
      </c>
      <c r="J103" s="51">
        <f ca="1"/>
        <v>0</v>
      </c>
      <c r="K103" s="51">
        <f ca="1"/>
        <v>0</v>
      </c>
      <c r="L103" s="51">
        <f ca="1"/>
        <v>0</v>
      </c>
      <c r="M103" s="53">
        <f ca="1"/>
        <v>0</v>
      </c>
      <c r="N103" s="53">
        <f ca="1"/>
        <v>0</v>
      </c>
      <c r="O103" s="53">
        <f ca="1"/>
        <v>0</v>
      </c>
      <c r="P103" s="53">
        <f ca="1"/>
        <v>0</v>
      </c>
      <c r="Q103" s="53">
        <f ca="1"/>
        <v>0</v>
      </c>
      <c r="R103" s="53">
        <f ca="1"/>
        <v>0</v>
      </c>
      <c r="S103" s="53">
        <f ca="1"/>
        <v>0</v>
      </c>
      <c r="T103" s="53">
        <f ca="1"/>
        <v>0</v>
      </c>
      <c r="U103" s="53">
        <f ca="1"/>
        <v>0</v>
      </c>
      <c r="V103" s="53">
        <f ca="1"/>
        <v>0</v>
      </c>
      <c r="W103" s="53">
        <f ca="1"/>
        <v>0</v>
      </c>
      <c r="X103" s="53">
        <f ca="1"/>
        <v>0</v>
      </c>
      <c r="Y103" s="53">
        <f ca="1"/>
        <v>0</v>
      </c>
      <c r="Z103" s="53">
        <f ca="1"/>
        <v>0</v>
      </c>
      <c r="AA103" s="1316">
        <f ca="1"/>
        <v>0</v>
      </c>
    </row>
    <row r="104" spans="1:27" hidden="1" x14ac:dyDescent="0.45">
      <c r="A104" s="1858"/>
      <c r="B104" s="1780"/>
      <c r="C104" s="8" t="s">
        <v>401</v>
      </c>
      <c r="D104" s="44">
        <f ca="1"/>
        <v>0</v>
      </c>
      <c r="E104" s="44">
        <f ca="1"/>
        <v>0</v>
      </c>
      <c r="F104" s="44">
        <f ca="1"/>
        <v>0</v>
      </c>
      <c r="G104" s="44">
        <f ca="1"/>
        <v>0</v>
      </c>
      <c r="H104" s="44">
        <f ca="1"/>
        <v>0</v>
      </c>
      <c r="I104" s="44">
        <f ca="1"/>
        <v>0</v>
      </c>
      <c r="J104" s="44">
        <f ca="1"/>
        <v>0</v>
      </c>
      <c r="K104" s="44">
        <f ca="1"/>
        <v>0</v>
      </c>
      <c r="L104" s="44">
        <f ca="1"/>
        <v>0</v>
      </c>
      <c r="M104" s="44">
        <f ca="1"/>
        <v>0</v>
      </c>
      <c r="N104" s="44">
        <f ca="1"/>
        <v>0</v>
      </c>
      <c r="O104" s="44">
        <f ca="1"/>
        <v>0</v>
      </c>
      <c r="P104" s="44">
        <f ca="1"/>
        <v>0</v>
      </c>
      <c r="Q104" s="44">
        <f ca="1"/>
        <v>0</v>
      </c>
      <c r="R104" s="44">
        <f ca="1"/>
        <v>0</v>
      </c>
      <c r="S104" s="44">
        <f ca="1"/>
        <v>0</v>
      </c>
      <c r="T104" s="44">
        <f ca="1"/>
        <v>0</v>
      </c>
      <c r="U104" s="44">
        <f ca="1"/>
        <v>0</v>
      </c>
      <c r="V104" s="44">
        <f ca="1"/>
        <v>0</v>
      </c>
      <c r="W104" s="44">
        <f ca="1"/>
        <v>0</v>
      </c>
      <c r="X104" s="55">
        <f ca="1"/>
        <v>0</v>
      </c>
      <c r="Y104" s="55">
        <f ca="1"/>
        <v>0</v>
      </c>
      <c r="Z104" s="55">
        <f ca="1"/>
        <v>0</v>
      </c>
      <c r="AA104" s="1314">
        <f ca="1"/>
        <v>0</v>
      </c>
    </row>
    <row r="105" spans="1:27" hidden="1" x14ac:dyDescent="0.45">
      <c r="A105" s="1858"/>
      <c r="B105" s="1862"/>
      <c r="C105" s="8" t="s">
        <v>400</v>
      </c>
      <c r="D105" s="44">
        <f ca="1"/>
        <v>0</v>
      </c>
      <c r="E105" s="44">
        <f ca="1"/>
        <v>0</v>
      </c>
      <c r="F105" s="44">
        <f ca="1"/>
        <v>0</v>
      </c>
      <c r="G105" s="44">
        <f ca="1"/>
        <v>0</v>
      </c>
      <c r="H105" s="44">
        <f ca="1"/>
        <v>0</v>
      </c>
      <c r="I105" s="44">
        <f ca="1"/>
        <v>0</v>
      </c>
      <c r="J105" s="44">
        <f ca="1"/>
        <v>0</v>
      </c>
      <c r="K105" s="44">
        <f ca="1"/>
        <v>0</v>
      </c>
      <c r="L105" s="44">
        <f ca="1"/>
        <v>0</v>
      </c>
      <c r="M105" s="44">
        <f ca="1"/>
        <v>0</v>
      </c>
      <c r="N105" s="44">
        <f ca="1"/>
        <v>0</v>
      </c>
      <c r="O105" s="44">
        <f ca="1"/>
        <v>0</v>
      </c>
      <c r="P105" s="55">
        <f ca="1"/>
        <v>0</v>
      </c>
      <c r="Q105" s="55">
        <f ca="1"/>
        <v>0</v>
      </c>
      <c r="R105" s="55">
        <f ca="1"/>
        <v>0</v>
      </c>
      <c r="S105" s="55">
        <f ca="1"/>
        <v>0</v>
      </c>
      <c r="T105" s="55">
        <f ca="1"/>
        <v>0</v>
      </c>
      <c r="U105" s="55">
        <f ca="1"/>
        <v>0</v>
      </c>
      <c r="V105" s="55">
        <f ca="1"/>
        <v>0</v>
      </c>
      <c r="W105" s="55">
        <f ca="1"/>
        <v>0</v>
      </c>
      <c r="X105" s="55">
        <f ca="1"/>
        <v>0</v>
      </c>
      <c r="Y105" s="55">
        <f ca="1"/>
        <v>0</v>
      </c>
      <c r="Z105" s="55">
        <f ca="1"/>
        <v>0</v>
      </c>
      <c r="AA105" s="1314">
        <f ca="1"/>
        <v>0</v>
      </c>
    </row>
    <row r="106" spans="1:27" hidden="1" x14ac:dyDescent="0.45">
      <c r="A106" s="1858"/>
      <c r="B106" s="1860" t="s">
        <v>413</v>
      </c>
      <c r="C106" s="598" t="s">
        <v>399</v>
      </c>
      <c r="D106" s="47">
        <f ca="1"/>
        <v>50</v>
      </c>
      <c r="E106" s="47">
        <f ca="1"/>
        <v>70</v>
      </c>
      <c r="F106" s="47">
        <f ca="1"/>
        <v>85</v>
      </c>
      <c r="G106" s="47">
        <f ca="1"/>
        <v>75</v>
      </c>
      <c r="H106" s="47">
        <f ca="1"/>
        <v>80</v>
      </c>
      <c r="I106" s="47">
        <f ca="1"/>
        <v>95</v>
      </c>
      <c r="J106" s="47">
        <f ca="1"/>
        <v>60</v>
      </c>
      <c r="K106" s="47">
        <f ca="1"/>
        <v>55</v>
      </c>
      <c r="L106" s="47">
        <f ca="1"/>
        <v>45</v>
      </c>
      <c r="M106" s="47">
        <f ca="1"/>
        <v>0</v>
      </c>
      <c r="N106" s="47">
        <f ca="1"/>
        <v>145</v>
      </c>
      <c r="O106" s="47">
        <f ca="1"/>
        <v>30</v>
      </c>
      <c r="P106" s="47">
        <f ca="1"/>
        <v>30</v>
      </c>
      <c r="Q106" s="49">
        <f ca="1"/>
        <v>80</v>
      </c>
      <c r="R106" s="49">
        <f ca="1"/>
        <v>30</v>
      </c>
      <c r="S106" s="49">
        <f ca="1"/>
        <v>30</v>
      </c>
      <c r="T106" s="49">
        <f ca="1"/>
        <v>55</v>
      </c>
      <c r="U106" s="49">
        <f ca="1"/>
        <v>105</v>
      </c>
      <c r="V106" s="49">
        <f ca="1"/>
        <v>40</v>
      </c>
      <c r="W106" s="49">
        <f ca="1"/>
        <v>0</v>
      </c>
      <c r="X106" s="49">
        <f ca="1"/>
        <v>0</v>
      </c>
      <c r="Y106" s="49">
        <f ca="1"/>
        <v>0</v>
      </c>
      <c r="Z106" s="49">
        <f ca="1"/>
        <v>0</v>
      </c>
      <c r="AA106" s="1315">
        <f ca="1"/>
        <v>0</v>
      </c>
    </row>
    <row r="107" spans="1:27" hidden="1" x14ac:dyDescent="0.45">
      <c r="A107" s="1858"/>
      <c r="B107" s="1860"/>
      <c r="C107" s="7" t="s">
        <v>401</v>
      </c>
      <c r="D107" s="596">
        <f ca="1"/>
        <v>0</v>
      </c>
      <c r="E107" s="596">
        <f ca="1"/>
        <v>0</v>
      </c>
      <c r="F107" s="596">
        <f ca="1"/>
        <v>0</v>
      </c>
      <c r="G107" s="596">
        <f ca="1"/>
        <v>0</v>
      </c>
      <c r="H107" s="596">
        <f ca="1"/>
        <v>0</v>
      </c>
      <c r="I107" s="596">
        <f ca="1"/>
        <v>0</v>
      </c>
      <c r="J107" s="596">
        <f ca="1"/>
        <v>0</v>
      </c>
      <c r="K107" s="596">
        <f ca="1"/>
        <v>0</v>
      </c>
      <c r="L107" s="596">
        <f ca="1"/>
        <v>0</v>
      </c>
      <c r="M107" s="597">
        <f ca="1"/>
        <v>0</v>
      </c>
      <c r="N107" s="597">
        <f ca="1"/>
        <v>0</v>
      </c>
      <c r="O107" s="597">
        <f ca="1"/>
        <v>0</v>
      </c>
      <c r="P107" s="597">
        <f ca="1"/>
        <v>0</v>
      </c>
      <c r="Q107" s="597">
        <f ca="1"/>
        <v>0</v>
      </c>
      <c r="R107" s="597">
        <f ca="1"/>
        <v>0</v>
      </c>
      <c r="S107" s="597">
        <f ca="1"/>
        <v>0</v>
      </c>
      <c r="T107" s="597">
        <f ca="1"/>
        <v>0</v>
      </c>
      <c r="U107" s="597">
        <f ca="1"/>
        <v>0</v>
      </c>
      <c r="V107" s="597">
        <f ca="1"/>
        <v>45</v>
      </c>
      <c r="W107" s="597">
        <f ca="1"/>
        <v>0</v>
      </c>
      <c r="X107" s="597">
        <f ca="1"/>
        <v>0</v>
      </c>
      <c r="Y107" s="597">
        <f ca="1"/>
        <v>0</v>
      </c>
      <c r="Z107" s="597">
        <f ca="1"/>
        <v>0</v>
      </c>
      <c r="AA107" s="1317">
        <f ca="1"/>
        <v>0</v>
      </c>
    </row>
    <row r="108" spans="1:27" hidden="1" x14ac:dyDescent="0.45">
      <c r="A108" s="1858"/>
      <c r="B108" s="1861"/>
      <c r="C108" s="7" t="s">
        <v>400</v>
      </c>
      <c r="D108" s="47">
        <f ca="1"/>
        <v>0</v>
      </c>
      <c r="E108" s="47">
        <f ca="1"/>
        <v>0</v>
      </c>
      <c r="F108" s="47">
        <f ca="1"/>
        <v>0</v>
      </c>
      <c r="G108" s="47">
        <f ca="1"/>
        <v>0</v>
      </c>
      <c r="H108" s="47">
        <f ca="1"/>
        <v>0</v>
      </c>
      <c r="I108" s="47">
        <f ca="1"/>
        <v>0</v>
      </c>
      <c r="J108" s="47">
        <f ca="1"/>
        <v>0</v>
      </c>
      <c r="K108" s="47">
        <f ca="1"/>
        <v>0</v>
      </c>
      <c r="L108" s="47">
        <f ca="1"/>
        <v>0</v>
      </c>
      <c r="M108" s="47">
        <f ca="1"/>
        <v>0</v>
      </c>
      <c r="N108" s="47">
        <f ca="1"/>
        <v>0</v>
      </c>
      <c r="O108" s="47">
        <f ca="1"/>
        <v>0</v>
      </c>
      <c r="P108" s="47">
        <f ca="1"/>
        <v>0</v>
      </c>
      <c r="Q108" s="47">
        <f ca="1"/>
        <v>0</v>
      </c>
      <c r="R108" s="47">
        <f ca="1"/>
        <v>0</v>
      </c>
      <c r="S108" s="47">
        <f ca="1"/>
        <v>0</v>
      </c>
      <c r="T108" s="47">
        <f ca="1"/>
        <v>0</v>
      </c>
      <c r="U108" s="47">
        <f ca="1"/>
        <v>0</v>
      </c>
      <c r="V108" s="47">
        <f ca="1"/>
        <v>0</v>
      </c>
      <c r="W108" s="47">
        <f ca="1"/>
        <v>0</v>
      </c>
      <c r="X108" s="49">
        <f ca="1"/>
        <v>0</v>
      </c>
      <c r="Y108" s="49">
        <f ca="1"/>
        <v>0</v>
      </c>
      <c r="Z108" s="49">
        <f ca="1"/>
        <v>0</v>
      </c>
      <c r="AA108" s="1315">
        <f ca="1"/>
        <v>0</v>
      </c>
    </row>
    <row r="109" spans="1:27" hidden="1" x14ac:dyDescent="0.45">
      <c r="A109" s="1858"/>
      <c r="B109" s="1780" t="s">
        <v>408</v>
      </c>
      <c r="C109" s="39" t="s">
        <v>399</v>
      </c>
      <c r="D109" s="51">
        <f ca="1"/>
        <v>40</v>
      </c>
      <c r="E109" s="51">
        <f ca="1"/>
        <v>40</v>
      </c>
      <c r="F109" s="51">
        <f ca="1"/>
        <v>40</v>
      </c>
      <c r="G109" s="51">
        <f ca="1"/>
        <v>40</v>
      </c>
      <c r="H109" s="51">
        <f ca="1"/>
        <v>40</v>
      </c>
      <c r="I109" s="51">
        <f ca="1"/>
        <v>40</v>
      </c>
      <c r="J109" s="51">
        <f ca="1"/>
        <v>0</v>
      </c>
      <c r="K109" s="51">
        <f ca="1"/>
        <v>0</v>
      </c>
      <c r="L109" s="51">
        <f ca="1"/>
        <v>0</v>
      </c>
      <c r="M109" s="53">
        <f ca="1"/>
        <v>0</v>
      </c>
      <c r="N109" s="53">
        <f ca="1"/>
        <v>0</v>
      </c>
      <c r="O109" s="53">
        <f ca="1"/>
        <v>40</v>
      </c>
      <c r="P109" s="53">
        <f ca="1"/>
        <v>40</v>
      </c>
      <c r="Q109" s="53">
        <f ca="1"/>
        <v>40</v>
      </c>
      <c r="R109" s="53">
        <f ca="1"/>
        <v>0</v>
      </c>
      <c r="S109" s="53">
        <f ca="1"/>
        <v>0</v>
      </c>
      <c r="T109" s="53">
        <f ca="1"/>
        <v>0</v>
      </c>
      <c r="U109" s="53">
        <f ca="1"/>
        <v>0</v>
      </c>
      <c r="V109" s="53">
        <f ca="1"/>
        <v>20</v>
      </c>
      <c r="W109" s="53">
        <f ca="1"/>
        <v>0</v>
      </c>
      <c r="X109" s="53">
        <f ca="1"/>
        <v>0</v>
      </c>
      <c r="Y109" s="53">
        <f ca="1"/>
        <v>0</v>
      </c>
      <c r="Z109" s="53">
        <f ca="1"/>
        <v>0</v>
      </c>
      <c r="AA109" s="1316">
        <f ca="1"/>
        <v>0</v>
      </c>
    </row>
    <row r="110" spans="1:27" hidden="1" x14ac:dyDescent="0.45">
      <c r="A110" s="1858"/>
      <c r="B110" s="1780"/>
      <c r="C110" s="8" t="s">
        <v>401</v>
      </c>
      <c r="D110" s="44">
        <f ca="1"/>
        <v>0</v>
      </c>
      <c r="E110" s="44">
        <f ca="1"/>
        <v>0</v>
      </c>
      <c r="F110" s="44">
        <f ca="1"/>
        <v>0</v>
      </c>
      <c r="G110" s="44">
        <f ca="1"/>
        <v>0</v>
      </c>
      <c r="H110" s="44">
        <f ca="1"/>
        <v>0</v>
      </c>
      <c r="I110" s="44">
        <f ca="1"/>
        <v>0</v>
      </c>
      <c r="J110" s="44">
        <f ca="1"/>
        <v>0</v>
      </c>
      <c r="K110" s="44">
        <f ca="1"/>
        <v>0</v>
      </c>
      <c r="L110" s="44">
        <f ca="1"/>
        <v>0</v>
      </c>
      <c r="M110" s="44">
        <f ca="1"/>
        <v>0</v>
      </c>
      <c r="N110" s="44">
        <f ca="1"/>
        <v>0</v>
      </c>
      <c r="O110" s="44">
        <f ca="1"/>
        <v>0</v>
      </c>
      <c r="P110" s="44">
        <f ca="1"/>
        <v>0</v>
      </c>
      <c r="Q110" s="44">
        <f ca="1"/>
        <v>0</v>
      </c>
      <c r="R110" s="44">
        <f ca="1"/>
        <v>0</v>
      </c>
      <c r="S110" s="44">
        <f ca="1"/>
        <v>0</v>
      </c>
      <c r="T110" s="44">
        <f ca="1"/>
        <v>0</v>
      </c>
      <c r="U110" s="44">
        <f ca="1"/>
        <v>0</v>
      </c>
      <c r="V110" s="44">
        <f ca="1"/>
        <v>0</v>
      </c>
      <c r="W110" s="44">
        <f ca="1"/>
        <v>0</v>
      </c>
      <c r="X110" s="55">
        <f ca="1"/>
        <v>0</v>
      </c>
      <c r="Y110" s="55">
        <f ca="1"/>
        <v>0</v>
      </c>
      <c r="Z110" s="55">
        <f ca="1"/>
        <v>0</v>
      </c>
      <c r="AA110" s="1314">
        <f ca="1"/>
        <v>0</v>
      </c>
    </row>
    <row r="111" spans="1:27" hidden="1" x14ac:dyDescent="0.45">
      <c r="A111" s="1858"/>
      <c r="B111" s="1862"/>
      <c r="C111" s="8" t="s">
        <v>400</v>
      </c>
      <c r="D111" s="44">
        <f ca="1"/>
        <v>0</v>
      </c>
      <c r="E111" s="44">
        <f ca="1"/>
        <v>0</v>
      </c>
      <c r="F111" s="44">
        <f ca="1"/>
        <v>0</v>
      </c>
      <c r="G111" s="44">
        <f ca="1"/>
        <v>0</v>
      </c>
      <c r="H111" s="44">
        <f ca="1"/>
        <v>0</v>
      </c>
      <c r="I111" s="44">
        <f ca="1"/>
        <v>0</v>
      </c>
      <c r="J111" s="44">
        <f ca="1"/>
        <v>0</v>
      </c>
      <c r="K111" s="44">
        <f ca="1"/>
        <v>0</v>
      </c>
      <c r="L111" s="44">
        <f ca="1"/>
        <v>0</v>
      </c>
      <c r="M111" s="44">
        <f ca="1"/>
        <v>0</v>
      </c>
      <c r="N111" s="44">
        <f ca="1"/>
        <v>0</v>
      </c>
      <c r="O111" s="44">
        <f ca="1"/>
        <v>0</v>
      </c>
      <c r="P111" s="55">
        <f ca="1"/>
        <v>0</v>
      </c>
      <c r="Q111" s="55">
        <f ca="1"/>
        <v>0</v>
      </c>
      <c r="R111" s="55">
        <f ca="1"/>
        <v>0</v>
      </c>
      <c r="S111" s="55">
        <f ca="1"/>
        <v>0</v>
      </c>
      <c r="T111" s="55">
        <f ca="1"/>
        <v>0</v>
      </c>
      <c r="U111" s="55">
        <f ca="1"/>
        <v>0</v>
      </c>
      <c r="V111" s="55">
        <f ca="1"/>
        <v>0</v>
      </c>
      <c r="W111" s="55">
        <f ca="1"/>
        <v>0</v>
      </c>
      <c r="X111" s="55">
        <f ca="1"/>
        <v>0</v>
      </c>
      <c r="Y111" s="55">
        <f ca="1"/>
        <v>0</v>
      </c>
      <c r="Z111" s="55">
        <f ca="1"/>
        <v>0</v>
      </c>
      <c r="AA111" s="1314">
        <f ca="1"/>
        <v>0</v>
      </c>
    </row>
    <row r="112" spans="1:27" hidden="1" x14ac:dyDescent="0.45">
      <c r="A112" s="1858"/>
      <c r="B112" s="1860" t="s">
        <v>414</v>
      </c>
      <c r="C112" s="598" t="s">
        <v>399</v>
      </c>
      <c r="D112" s="47">
        <f ca="1"/>
        <v>80</v>
      </c>
      <c r="E112" s="47">
        <f ca="1"/>
        <v>85</v>
      </c>
      <c r="F112" s="47">
        <f ca="1"/>
        <v>90</v>
      </c>
      <c r="G112" s="47">
        <f ca="1"/>
        <v>90</v>
      </c>
      <c r="H112" s="47">
        <f ca="1"/>
        <v>95</v>
      </c>
      <c r="I112" s="47">
        <f ca="1"/>
        <v>100</v>
      </c>
      <c r="J112" s="47">
        <f ca="1"/>
        <v>80</v>
      </c>
      <c r="K112" s="47">
        <f ca="1"/>
        <v>65</v>
      </c>
      <c r="L112" s="47">
        <f ca="1"/>
        <v>0</v>
      </c>
      <c r="M112" s="47">
        <f ca="1"/>
        <v>0</v>
      </c>
      <c r="N112" s="47">
        <f ca="1"/>
        <v>85</v>
      </c>
      <c r="O112" s="47">
        <f ca="1"/>
        <v>9.3000000000000007</v>
      </c>
      <c r="P112" s="47">
        <f ca="1"/>
        <v>12.4</v>
      </c>
      <c r="Q112" s="49">
        <f ca="1"/>
        <v>18.600000000000001</v>
      </c>
      <c r="R112" s="49">
        <f ca="1"/>
        <v>12.4</v>
      </c>
      <c r="S112" s="49">
        <f ca="1"/>
        <v>12.4</v>
      </c>
      <c r="T112" s="49">
        <f ca="1"/>
        <v>0</v>
      </c>
      <c r="U112" s="49">
        <f ca="1"/>
        <v>15.5</v>
      </c>
      <c r="V112" s="49">
        <f ca="1"/>
        <v>0</v>
      </c>
      <c r="W112" s="49">
        <f ca="1"/>
        <v>0</v>
      </c>
      <c r="X112" s="49">
        <f ca="1"/>
        <v>0</v>
      </c>
      <c r="Y112" s="49">
        <f ca="1"/>
        <v>0</v>
      </c>
      <c r="Z112" s="49">
        <f ca="1"/>
        <v>0</v>
      </c>
      <c r="AA112" s="1315">
        <f ca="1"/>
        <v>0</v>
      </c>
    </row>
    <row r="113" spans="1:27" hidden="1" x14ac:dyDescent="0.45">
      <c r="A113" s="1858"/>
      <c r="B113" s="1860"/>
      <c r="C113" s="7" t="s">
        <v>401</v>
      </c>
      <c r="D113" s="596">
        <f ca="1"/>
        <v>0</v>
      </c>
      <c r="E113" s="596">
        <f ca="1"/>
        <v>0</v>
      </c>
      <c r="F113" s="596">
        <f ca="1"/>
        <v>0</v>
      </c>
      <c r="G113" s="596">
        <f ca="1"/>
        <v>0</v>
      </c>
      <c r="H113" s="596">
        <f ca="1"/>
        <v>0</v>
      </c>
      <c r="I113" s="596">
        <f ca="1"/>
        <v>0</v>
      </c>
      <c r="J113" s="596">
        <f ca="1"/>
        <v>0</v>
      </c>
      <c r="K113" s="596">
        <f ca="1"/>
        <v>0</v>
      </c>
      <c r="L113" s="596">
        <f ca="1"/>
        <v>0</v>
      </c>
      <c r="M113" s="597">
        <f ca="1"/>
        <v>0</v>
      </c>
      <c r="N113" s="597">
        <f ca="1"/>
        <v>0</v>
      </c>
      <c r="O113" s="597">
        <f ca="1"/>
        <v>0</v>
      </c>
      <c r="P113" s="597">
        <f ca="1"/>
        <v>0</v>
      </c>
      <c r="Q113" s="597">
        <f ca="1"/>
        <v>0</v>
      </c>
      <c r="R113" s="597">
        <f ca="1"/>
        <v>0</v>
      </c>
      <c r="S113" s="597">
        <f ca="1"/>
        <v>0</v>
      </c>
      <c r="T113" s="597">
        <f ca="1"/>
        <v>0</v>
      </c>
      <c r="U113" s="597">
        <f ca="1"/>
        <v>0</v>
      </c>
      <c r="V113" s="597">
        <f ca="1"/>
        <v>0</v>
      </c>
      <c r="W113" s="597">
        <f ca="1"/>
        <v>0</v>
      </c>
      <c r="X113" s="597">
        <f ca="1"/>
        <v>0</v>
      </c>
      <c r="Y113" s="597">
        <f ca="1"/>
        <v>0</v>
      </c>
      <c r="Z113" s="597">
        <f ca="1"/>
        <v>0</v>
      </c>
      <c r="AA113" s="1317">
        <f ca="1"/>
        <v>0</v>
      </c>
    </row>
    <row r="114" spans="1:27" hidden="1" x14ac:dyDescent="0.45">
      <c r="A114" s="1858"/>
      <c r="B114" s="1861"/>
      <c r="C114" s="7" t="s">
        <v>400</v>
      </c>
      <c r="D114" s="47">
        <f ca="1"/>
        <v>0</v>
      </c>
      <c r="E114" s="47">
        <f ca="1"/>
        <v>0</v>
      </c>
      <c r="F114" s="47">
        <f ca="1"/>
        <v>0</v>
      </c>
      <c r="G114" s="47">
        <f ca="1"/>
        <v>0</v>
      </c>
      <c r="H114" s="47">
        <f ca="1"/>
        <v>0</v>
      </c>
      <c r="I114" s="47">
        <f ca="1"/>
        <v>0</v>
      </c>
      <c r="J114" s="47">
        <f ca="1"/>
        <v>0</v>
      </c>
      <c r="K114" s="47">
        <f ca="1"/>
        <v>0</v>
      </c>
      <c r="L114" s="47">
        <f ca="1"/>
        <v>0</v>
      </c>
      <c r="M114" s="47">
        <f ca="1"/>
        <v>0</v>
      </c>
      <c r="N114" s="47">
        <f ca="1"/>
        <v>0</v>
      </c>
      <c r="O114" s="47">
        <f ca="1"/>
        <v>0</v>
      </c>
      <c r="P114" s="47">
        <f ca="1"/>
        <v>0</v>
      </c>
      <c r="Q114" s="47">
        <f ca="1"/>
        <v>0</v>
      </c>
      <c r="R114" s="47">
        <f ca="1"/>
        <v>0</v>
      </c>
      <c r="S114" s="47">
        <f ca="1"/>
        <v>0</v>
      </c>
      <c r="T114" s="47">
        <f ca="1"/>
        <v>0</v>
      </c>
      <c r="U114" s="47">
        <f ca="1"/>
        <v>0</v>
      </c>
      <c r="V114" s="47">
        <f ca="1"/>
        <v>0</v>
      </c>
      <c r="W114" s="47">
        <f ca="1"/>
        <v>0</v>
      </c>
      <c r="X114" s="49">
        <f ca="1"/>
        <v>0</v>
      </c>
      <c r="Y114" s="49">
        <f ca="1"/>
        <v>0</v>
      </c>
      <c r="Z114" s="49">
        <f ca="1"/>
        <v>0</v>
      </c>
      <c r="AA114" s="1315">
        <f ca="1"/>
        <v>0</v>
      </c>
    </row>
    <row r="115" spans="1:27" hidden="1" x14ac:dyDescent="0.45">
      <c r="A115" s="1858"/>
      <c r="B115" s="1780" t="s">
        <v>409</v>
      </c>
      <c r="C115" s="39" t="s">
        <v>399</v>
      </c>
      <c r="D115" s="51">
        <f ca="1"/>
        <v>40</v>
      </c>
      <c r="E115" s="51">
        <f ca="1"/>
        <v>40</v>
      </c>
      <c r="F115" s="51">
        <f ca="1"/>
        <v>40</v>
      </c>
      <c r="G115" s="51">
        <f ca="1"/>
        <v>40</v>
      </c>
      <c r="H115" s="51">
        <f ca="1"/>
        <v>40</v>
      </c>
      <c r="I115" s="51">
        <f ca="1"/>
        <v>40</v>
      </c>
      <c r="J115" s="51">
        <f ca="1"/>
        <v>40</v>
      </c>
      <c r="K115" s="51">
        <f ca="1"/>
        <v>40</v>
      </c>
      <c r="L115" s="51">
        <f ca="1"/>
        <v>20</v>
      </c>
      <c r="M115" s="53">
        <f ca="1"/>
        <v>0</v>
      </c>
      <c r="N115" s="53">
        <f ca="1"/>
        <v>0</v>
      </c>
      <c r="O115" s="53">
        <f ca="1"/>
        <v>40</v>
      </c>
      <c r="P115" s="53">
        <f ca="1"/>
        <v>40</v>
      </c>
      <c r="Q115" s="53">
        <f ca="1"/>
        <v>40</v>
      </c>
      <c r="R115" s="53">
        <f ca="1"/>
        <v>30</v>
      </c>
      <c r="S115" s="53">
        <f ca="1"/>
        <v>30</v>
      </c>
      <c r="T115" s="53">
        <f ca="1"/>
        <v>0</v>
      </c>
      <c r="U115" s="53">
        <f ca="1"/>
        <v>30</v>
      </c>
      <c r="V115" s="53">
        <f ca="1"/>
        <v>30</v>
      </c>
      <c r="W115" s="53">
        <f ca="1"/>
        <v>0</v>
      </c>
      <c r="X115" s="53">
        <f ca="1"/>
        <v>0</v>
      </c>
      <c r="Y115" s="53">
        <f ca="1"/>
        <v>0</v>
      </c>
      <c r="Z115" s="53">
        <f ca="1"/>
        <v>0</v>
      </c>
      <c r="AA115" s="1316">
        <f ca="1"/>
        <v>0</v>
      </c>
    </row>
    <row r="116" spans="1:27" hidden="1" x14ac:dyDescent="0.45">
      <c r="A116" s="1858"/>
      <c r="B116" s="1780"/>
      <c r="C116" s="8" t="s">
        <v>401</v>
      </c>
      <c r="D116" s="44">
        <f ca="1"/>
        <v>0</v>
      </c>
      <c r="E116" s="44">
        <f ca="1"/>
        <v>0</v>
      </c>
      <c r="F116" s="44">
        <f ca="1"/>
        <v>0</v>
      </c>
      <c r="G116" s="44">
        <f ca="1"/>
        <v>0</v>
      </c>
      <c r="H116" s="44">
        <f ca="1"/>
        <v>0</v>
      </c>
      <c r="I116" s="44">
        <f ca="1"/>
        <v>0</v>
      </c>
      <c r="J116" s="44">
        <f ca="1"/>
        <v>0</v>
      </c>
      <c r="K116" s="44">
        <f ca="1"/>
        <v>0</v>
      </c>
      <c r="L116" s="44">
        <f ca="1"/>
        <v>5</v>
      </c>
      <c r="M116" s="44">
        <f ca="1"/>
        <v>0</v>
      </c>
      <c r="N116" s="44">
        <f ca="1"/>
        <v>0</v>
      </c>
      <c r="O116" s="44">
        <f ca="1"/>
        <v>0</v>
      </c>
      <c r="P116" s="44">
        <f ca="1"/>
        <v>0</v>
      </c>
      <c r="Q116" s="44">
        <f ca="1"/>
        <v>0</v>
      </c>
      <c r="R116" s="44">
        <f ca="1"/>
        <v>0</v>
      </c>
      <c r="S116" s="44">
        <f ca="1"/>
        <v>0</v>
      </c>
      <c r="T116" s="44">
        <f ca="1"/>
        <v>0</v>
      </c>
      <c r="U116" s="44">
        <f ca="1"/>
        <v>0</v>
      </c>
      <c r="V116" s="44">
        <f ca="1"/>
        <v>0</v>
      </c>
      <c r="W116" s="44">
        <f ca="1"/>
        <v>0</v>
      </c>
      <c r="X116" s="55">
        <f ca="1"/>
        <v>0</v>
      </c>
      <c r="Y116" s="55">
        <f ca="1"/>
        <v>0</v>
      </c>
      <c r="Z116" s="55">
        <f ca="1"/>
        <v>0</v>
      </c>
      <c r="AA116" s="1314">
        <f ca="1"/>
        <v>0</v>
      </c>
    </row>
    <row r="117" spans="1:27" hidden="1" x14ac:dyDescent="0.45">
      <c r="A117" s="1858"/>
      <c r="B117" s="1862"/>
      <c r="C117" s="8" t="s">
        <v>400</v>
      </c>
      <c r="D117" s="44">
        <f ca="1"/>
        <v>0</v>
      </c>
      <c r="E117" s="44">
        <f ca="1"/>
        <v>0</v>
      </c>
      <c r="F117" s="44">
        <f ca="1"/>
        <v>0</v>
      </c>
      <c r="G117" s="44">
        <f ca="1"/>
        <v>0</v>
      </c>
      <c r="H117" s="44">
        <f ca="1"/>
        <v>0</v>
      </c>
      <c r="I117" s="44">
        <f ca="1"/>
        <v>0</v>
      </c>
      <c r="J117" s="44">
        <f ca="1"/>
        <v>0</v>
      </c>
      <c r="K117" s="44">
        <f ca="1"/>
        <v>0</v>
      </c>
      <c r="L117" s="44">
        <f ca="1"/>
        <v>0</v>
      </c>
      <c r="M117" s="44">
        <f ca="1"/>
        <v>0</v>
      </c>
      <c r="N117" s="44">
        <f ca="1"/>
        <v>0</v>
      </c>
      <c r="O117" s="44">
        <f ca="1"/>
        <v>0</v>
      </c>
      <c r="P117" s="55">
        <f ca="1"/>
        <v>0</v>
      </c>
      <c r="Q117" s="55">
        <f ca="1"/>
        <v>0</v>
      </c>
      <c r="R117" s="55">
        <f ca="1"/>
        <v>0</v>
      </c>
      <c r="S117" s="55">
        <f ca="1"/>
        <v>0</v>
      </c>
      <c r="T117" s="55">
        <f ca="1"/>
        <v>0</v>
      </c>
      <c r="U117" s="55">
        <f ca="1"/>
        <v>0</v>
      </c>
      <c r="V117" s="55">
        <f ca="1"/>
        <v>0</v>
      </c>
      <c r="W117" s="55">
        <f ca="1"/>
        <v>0</v>
      </c>
      <c r="X117" s="55">
        <f ca="1"/>
        <v>0</v>
      </c>
      <c r="Y117" s="55">
        <f ca="1"/>
        <v>0</v>
      </c>
      <c r="Z117" s="55">
        <f ca="1"/>
        <v>0</v>
      </c>
      <c r="AA117" s="1314">
        <f ca="1"/>
        <v>0</v>
      </c>
    </row>
    <row r="118" spans="1:27" hidden="1" x14ac:dyDescent="0.45">
      <c r="A118" s="1858"/>
      <c r="B118" s="1860" t="s">
        <v>415</v>
      </c>
      <c r="C118" s="598" t="s">
        <v>399</v>
      </c>
      <c r="D118" s="47">
        <f ca="1"/>
        <v>30</v>
      </c>
      <c r="E118" s="47">
        <f ca="1"/>
        <v>30</v>
      </c>
      <c r="F118" s="47">
        <f ca="1"/>
        <v>30</v>
      </c>
      <c r="G118" s="47">
        <f ca="1"/>
        <v>30</v>
      </c>
      <c r="H118" s="47">
        <f ca="1"/>
        <v>30</v>
      </c>
      <c r="I118" s="47">
        <f ca="1"/>
        <v>30</v>
      </c>
      <c r="J118" s="47">
        <f ca="1"/>
        <v>30</v>
      </c>
      <c r="K118" s="47">
        <f ca="1"/>
        <v>30</v>
      </c>
      <c r="L118" s="47">
        <f ca="1"/>
        <v>0</v>
      </c>
      <c r="M118" s="47">
        <f ca="1"/>
        <v>0</v>
      </c>
      <c r="N118" s="47">
        <f ca="1"/>
        <v>85</v>
      </c>
      <c r="O118" s="47">
        <f ca="1"/>
        <v>30</v>
      </c>
      <c r="P118" s="47">
        <f ca="1"/>
        <v>30</v>
      </c>
      <c r="Q118" s="49">
        <f ca="1"/>
        <v>30</v>
      </c>
      <c r="R118" s="49">
        <f ca="1"/>
        <v>30</v>
      </c>
      <c r="S118" s="49">
        <f ca="1"/>
        <v>30</v>
      </c>
      <c r="T118" s="49">
        <f ca="1"/>
        <v>15</v>
      </c>
      <c r="U118" s="49">
        <f ca="1"/>
        <v>30</v>
      </c>
      <c r="V118" s="49">
        <f ca="1"/>
        <v>0</v>
      </c>
      <c r="W118" s="49">
        <f ca="1"/>
        <v>0</v>
      </c>
      <c r="X118" s="49">
        <f ca="1"/>
        <v>0</v>
      </c>
      <c r="Y118" s="49">
        <f ca="1"/>
        <v>0</v>
      </c>
      <c r="Z118" s="49">
        <f ca="1"/>
        <v>0</v>
      </c>
      <c r="AA118" s="1315">
        <f ca="1"/>
        <v>0</v>
      </c>
    </row>
    <row r="119" spans="1:27" hidden="1" x14ac:dyDescent="0.45">
      <c r="A119" s="1858"/>
      <c r="B119" s="1860"/>
      <c r="C119" s="7" t="s">
        <v>401</v>
      </c>
      <c r="D119" s="596">
        <f ca="1"/>
        <v>30</v>
      </c>
      <c r="E119" s="596">
        <f ca="1"/>
        <v>30</v>
      </c>
      <c r="F119" s="596">
        <f ca="1"/>
        <v>30</v>
      </c>
      <c r="G119" s="596">
        <f ca="1"/>
        <v>30</v>
      </c>
      <c r="H119" s="596">
        <f ca="1"/>
        <v>30</v>
      </c>
      <c r="I119" s="596">
        <f ca="1"/>
        <v>30</v>
      </c>
      <c r="J119" s="596">
        <f ca="1"/>
        <v>30</v>
      </c>
      <c r="K119" s="596">
        <f ca="1"/>
        <v>30</v>
      </c>
      <c r="L119" s="596">
        <f ca="1"/>
        <v>0</v>
      </c>
      <c r="M119" s="597">
        <f ca="1"/>
        <v>0</v>
      </c>
      <c r="N119" s="597">
        <f ca="1"/>
        <v>0</v>
      </c>
      <c r="O119" s="597">
        <f ca="1"/>
        <v>30</v>
      </c>
      <c r="P119" s="597">
        <f ca="1"/>
        <v>30</v>
      </c>
      <c r="Q119" s="597">
        <f ca="1"/>
        <v>30</v>
      </c>
      <c r="R119" s="597">
        <f ca="1"/>
        <v>30</v>
      </c>
      <c r="S119" s="597">
        <f ca="1"/>
        <v>30</v>
      </c>
      <c r="T119" s="597">
        <f ca="1"/>
        <v>0</v>
      </c>
      <c r="U119" s="597">
        <f ca="1"/>
        <v>30</v>
      </c>
      <c r="V119" s="597">
        <f ca="1"/>
        <v>0</v>
      </c>
      <c r="W119" s="597">
        <f ca="1"/>
        <v>0</v>
      </c>
      <c r="X119" s="597">
        <f ca="1"/>
        <v>0</v>
      </c>
      <c r="Y119" s="597">
        <f ca="1"/>
        <v>0</v>
      </c>
      <c r="Z119" s="597">
        <f ca="1"/>
        <v>0</v>
      </c>
      <c r="AA119" s="1317">
        <f ca="1"/>
        <v>0</v>
      </c>
    </row>
    <row r="120" spans="1:27" hidden="1" x14ac:dyDescent="0.45">
      <c r="A120" s="1858"/>
      <c r="B120" s="1861"/>
      <c r="C120" s="7" t="s">
        <v>400</v>
      </c>
      <c r="D120" s="47">
        <f ca="1"/>
        <v>0</v>
      </c>
      <c r="E120" s="47">
        <f ca="1"/>
        <v>0</v>
      </c>
      <c r="F120" s="47">
        <f ca="1"/>
        <v>0</v>
      </c>
      <c r="G120" s="47">
        <f ca="1"/>
        <v>0</v>
      </c>
      <c r="H120" s="47">
        <f ca="1"/>
        <v>0</v>
      </c>
      <c r="I120" s="47">
        <f ca="1"/>
        <v>0</v>
      </c>
      <c r="J120" s="47">
        <f ca="1"/>
        <v>0</v>
      </c>
      <c r="K120" s="47">
        <f ca="1"/>
        <v>0</v>
      </c>
      <c r="L120" s="47">
        <f ca="1"/>
        <v>0</v>
      </c>
      <c r="M120" s="47">
        <f ca="1"/>
        <v>0</v>
      </c>
      <c r="N120" s="47">
        <f ca="1"/>
        <v>0</v>
      </c>
      <c r="O120" s="47">
        <f ca="1"/>
        <v>0</v>
      </c>
      <c r="P120" s="47">
        <f ca="1"/>
        <v>0</v>
      </c>
      <c r="Q120" s="47">
        <f ca="1"/>
        <v>0</v>
      </c>
      <c r="R120" s="47">
        <f ca="1"/>
        <v>0</v>
      </c>
      <c r="S120" s="47">
        <f ca="1"/>
        <v>0</v>
      </c>
      <c r="T120" s="47">
        <f ca="1"/>
        <v>0</v>
      </c>
      <c r="U120" s="47">
        <f ca="1"/>
        <v>0</v>
      </c>
      <c r="V120" s="47">
        <f ca="1"/>
        <v>0</v>
      </c>
      <c r="W120" s="47">
        <f ca="1"/>
        <v>0</v>
      </c>
      <c r="X120" s="49">
        <f ca="1"/>
        <v>0</v>
      </c>
      <c r="Y120" s="49">
        <f ca="1"/>
        <v>0</v>
      </c>
      <c r="Z120" s="49">
        <f ca="1"/>
        <v>0</v>
      </c>
      <c r="AA120" s="1315">
        <f ca="1"/>
        <v>0</v>
      </c>
    </row>
    <row r="121" spans="1:27" hidden="1" x14ac:dyDescent="0.45">
      <c r="A121" s="1858"/>
      <c r="B121" s="1780" t="s">
        <v>410</v>
      </c>
      <c r="C121" s="39" t="s">
        <v>399</v>
      </c>
      <c r="D121" s="51">
        <f ca="1"/>
        <v>30</v>
      </c>
      <c r="E121" s="51">
        <f ca="1"/>
        <v>30</v>
      </c>
      <c r="F121" s="51">
        <f ca="1"/>
        <v>30</v>
      </c>
      <c r="G121" s="51">
        <f ca="1"/>
        <v>30</v>
      </c>
      <c r="H121" s="51">
        <f ca="1"/>
        <v>30</v>
      </c>
      <c r="I121" s="51">
        <f ca="1"/>
        <v>240</v>
      </c>
      <c r="J121" s="51">
        <f ca="1"/>
        <v>30</v>
      </c>
      <c r="K121" s="51">
        <f ca="1"/>
        <v>30</v>
      </c>
      <c r="L121" s="51">
        <f ca="1"/>
        <v>300</v>
      </c>
      <c r="M121" s="53">
        <f ca="1"/>
        <v>0</v>
      </c>
      <c r="N121" s="53">
        <f ca="1"/>
        <v>145</v>
      </c>
      <c r="O121" s="53">
        <f ca="1"/>
        <v>70</v>
      </c>
      <c r="P121" s="53">
        <f ca="1"/>
        <v>75</v>
      </c>
      <c r="Q121" s="53">
        <f ca="1"/>
        <v>95</v>
      </c>
      <c r="R121" s="53">
        <f ca="1"/>
        <v>50</v>
      </c>
      <c r="S121" s="53">
        <f ca="1"/>
        <v>50</v>
      </c>
      <c r="T121" s="53">
        <f ca="1"/>
        <v>90</v>
      </c>
      <c r="U121" s="53">
        <f ca="1"/>
        <v>65</v>
      </c>
      <c r="V121" s="53">
        <f ca="1"/>
        <v>180</v>
      </c>
      <c r="W121" s="53">
        <f ca="1"/>
        <v>0</v>
      </c>
      <c r="X121" s="53">
        <f ca="1"/>
        <v>0</v>
      </c>
      <c r="Y121" s="53">
        <f ca="1"/>
        <v>0</v>
      </c>
      <c r="Z121" s="53">
        <f ca="1"/>
        <v>0</v>
      </c>
      <c r="AA121" s="1316">
        <f ca="1"/>
        <v>0</v>
      </c>
    </row>
    <row r="122" spans="1:27" hidden="1" x14ac:dyDescent="0.45">
      <c r="A122" s="1858"/>
      <c r="B122" s="1780"/>
      <c r="C122" s="8" t="s">
        <v>401</v>
      </c>
      <c r="D122" s="44">
        <f ca="1"/>
        <v>0</v>
      </c>
      <c r="E122" s="44">
        <f ca="1"/>
        <v>0</v>
      </c>
      <c r="F122" s="44">
        <f ca="1"/>
        <v>0</v>
      </c>
      <c r="G122" s="44">
        <f ca="1"/>
        <v>35</v>
      </c>
      <c r="H122" s="44">
        <f ca="1"/>
        <v>40</v>
      </c>
      <c r="I122" s="44">
        <f ca="1"/>
        <v>0</v>
      </c>
      <c r="J122" s="44">
        <f ca="1"/>
        <v>30</v>
      </c>
      <c r="K122" s="44">
        <f ca="1"/>
        <v>25</v>
      </c>
      <c r="L122" s="44">
        <f ca="1"/>
        <v>0</v>
      </c>
      <c r="M122" s="44">
        <f ca="1"/>
        <v>0</v>
      </c>
      <c r="N122" s="44">
        <f ca="1"/>
        <v>0</v>
      </c>
      <c r="O122" s="44">
        <f ca="1"/>
        <v>0</v>
      </c>
      <c r="P122" s="44">
        <f ca="1"/>
        <v>0</v>
      </c>
      <c r="Q122" s="44">
        <f ca="1"/>
        <v>0</v>
      </c>
      <c r="R122" s="44">
        <f ca="1"/>
        <v>0</v>
      </c>
      <c r="S122" s="44">
        <f ca="1"/>
        <v>0</v>
      </c>
      <c r="T122" s="44">
        <f ca="1"/>
        <v>0</v>
      </c>
      <c r="U122" s="44">
        <f ca="1"/>
        <v>0</v>
      </c>
      <c r="V122" s="44">
        <f ca="1"/>
        <v>0</v>
      </c>
      <c r="W122" s="44">
        <f ca="1"/>
        <v>0</v>
      </c>
      <c r="X122" s="55">
        <f ca="1"/>
        <v>0</v>
      </c>
      <c r="Y122" s="55">
        <f ca="1"/>
        <v>0</v>
      </c>
      <c r="Z122" s="55">
        <f ca="1"/>
        <v>0</v>
      </c>
      <c r="AA122" s="1314">
        <f ca="1"/>
        <v>0</v>
      </c>
    </row>
    <row r="123" spans="1:27" hidden="1" x14ac:dyDescent="0.45">
      <c r="A123" s="1858"/>
      <c r="B123" s="1862"/>
      <c r="C123" s="8" t="s">
        <v>400</v>
      </c>
      <c r="D123" s="44">
        <f ca="1"/>
        <v>0</v>
      </c>
      <c r="E123" s="44">
        <f ca="1"/>
        <v>0</v>
      </c>
      <c r="F123" s="44">
        <f ca="1"/>
        <v>0</v>
      </c>
      <c r="G123" s="44">
        <f ca="1"/>
        <v>0</v>
      </c>
      <c r="H123" s="44">
        <f ca="1"/>
        <v>0</v>
      </c>
      <c r="I123" s="44">
        <f ca="1"/>
        <v>0</v>
      </c>
      <c r="J123" s="44">
        <f ca="1"/>
        <v>0</v>
      </c>
      <c r="K123" s="44">
        <f ca="1"/>
        <v>0</v>
      </c>
      <c r="L123" s="44">
        <f ca="1"/>
        <v>0</v>
      </c>
      <c r="M123" s="44">
        <f ca="1"/>
        <v>0</v>
      </c>
      <c r="N123" s="44">
        <f ca="1"/>
        <v>0</v>
      </c>
      <c r="O123" s="44">
        <f ca="1"/>
        <v>0</v>
      </c>
      <c r="P123" s="55">
        <f ca="1"/>
        <v>0</v>
      </c>
      <c r="Q123" s="55">
        <f ca="1"/>
        <v>0</v>
      </c>
      <c r="R123" s="55">
        <f ca="1"/>
        <v>0</v>
      </c>
      <c r="S123" s="55">
        <f ca="1"/>
        <v>0</v>
      </c>
      <c r="T123" s="55">
        <f ca="1"/>
        <v>0</v>
      </c>
      <c r="U123" s="55">
        <f ca="1"/>
        <v>0</v>
      </c>
      <c r="V123" s="55">
        <f ca="1"/>
        <v>0</v>
      </c>
      <c r="W123" s="55">
        <f ca="1"/>
        <v>0</v>
      </c>
      <c r="X123" s="55">
        <f ca="1"/>
        <v>0</v>
      </c>
      <c r="Y123" s="55">
        <f ca="1"/>
        <v>0</v>
      </c>
      <c r="Z123" s="55">
        <f ca="1"/>
        <v>0</v>
      </c>
      <c r="AA123" s="1314">
        <f ca="1"/>
        <v>0</v>
      </c>
    </row>
    <row r="124" spans="1:27" hidden="1" x14ac:dyDescent="0.45">
      <c r="A124" s="1858"/>
      <c r="B124" s="1860" t="s">
        <v>416</v>
      </c>
      <c r="C124" s="598" t="s">
        <v>399</v>
      </c>
      <c r="D124" s="47">
        <f ca="1"/>
        <v>55</v>
      </c>
      <c r="E124" s="47">
        <f ca="1"/>
        <v>55</v>
      </c>
      <c r="F124" s="47">
        <f ca="1"/>
        <v>60</v>
      </c>
      <c r="G124" s="47">
        <f ca="1"/>
        <v>60</v>
      </c>
      <c r="H124" s="47">
        <f ca="1"/>
        <v>65</v>
      </c>
      <c r="I124" s="47">
        <f ca="1"/>
        <v>0</v>
      </c>
      <c r="J124" s="47">
        <f ca="1"/>
        <v>50</v>
      </c>
      <c r="K124" s="47">
        <f ca="1"/>
        <v>45</v>
      </c>
      <c r="L124" s="47">
        <f ca="1"/>
        <v>0</v>
      </c>
      <c r="M124" s="47">
        <f ca="1"/>
        <v>0</v>
      </c>
      <c r="N124" s="47">
        <f ca="1"/>
        <v>0</v>
      </c>
      <c r="O124" s="47">
        <f ca="1"/>
        <v>30</v>
      </c>
      <c r="P124" s="47">
        <f ca="1"/>
        <v>30</v>
      </c>
      <c r="Q124" s="49">
        <f ca="1"/>
        <v>80</v>
      </c>
      <c r="R124" s="49">
        <f ca="1"/>
        <v>0</v>
      </c>
      <c r="S124" s="49">
        <f ca="1"/>
        <v>0</v>
      </c>
      <c r="T124" s="49">
        <f ca="1"/>
        <v>0</v>
      </c>
      <c r="U124" s="49">
        <f ca="1"/>
        <v>0</v>
      </c>
      <c r="V124" s="49">
        <f ca="1"/>
        <v>0</v>
      </c>
      <c r="W124" s="49">
        <f ca="1"/>
        <v>0</v>
      </c>
      <c r="X124" s="49">
        <f ca="1"/>
        <v>0</v>
      </c>
      <c r="Y124" s="49">
        <f ca="1"/>
        <v>0</v>
      </c>
      <c r="Z124" s="49">
        <f ca="1"/>
        <v>0</v>
      </c>
      <c r="AA124" s="1315">
        <f ca="1"/>
        <v>0</v>
      </c>
    </row>
    <row r="125" spans="1:27" hidden="1" x14ac:dyDescent="0.45">
      <c r="A125" s="1858"/>
      <c r="B125" s="1860"/>
      <c r="C125" s="7" t="s">
        <v>401</v>
      </c>
      <c r="D125" s="596">
        <f ca="1"/>
        <v>0</v>
      </c>
      <c r="E125" s="596">
        <f ca="1"/>
        <v>0</v>
      </c>
      <c r="F125" s="596">
        <f ca="1"/>
        <v>0</v>
      </c>
      <c r="G125" s="596">
        <f ca="1"/>
        <v>0</v>
      </c>
      <c r="H125" s="596">
        <f ca="1"/>
        <v>0</v>
      </c>
      <c r="I125" s="596">
        <f ca="1"/>
        <v>0</v>
      </c>
      <c r="J125" s="596">
        <f ca="1"/>
        <v>0</v>
      </c>
      <c r="K125" s="596">
        <f ca="1"/>
        <v>0</v>
      </c>
      <c r="L125" s="596">
        <f ca="1"/>
        <v>0</v>
      </c>
      <c r="M125" s="597">
        <f ca="1"/>
        <v>0</v>
      </c>
      <c r="N125" s="597">
        <f ca="1"/>
        <v>0</v>
      </c>
      <c r="O125" s="597">
        <f ca="1"/>
        <v>0</v>
      </c>
      <c r="P125" s="597">
        <f ca="1"/>
        <v>0</v>
      </c>
      <c r="Q125" s="597">
        <f ca="1"/>
        <v>0</v>
      </c>
      <c r="R125" s="597">
        <f ca="1"/>
        <v>0</v>
      </c>
      <c r="S125" s="597">
        <f ca="1"/>
        <v>0</v>
      </c>
      <c r="T125" s="597">
        <f ca="1"/>
        <v>0</v>
      </c>
      <c r="U125" s="597">
        <f ca="1"/>
        <v>0</v>
      </c>
      <c r="V125" s="597">
        <f ca="1"/>
        <v>0</v>
      </c>
      <c r="W125" s="597">
        <f ca="1"/>
        <v>0</v>
      </c>
      <c r="X125" s="597">
        <f ca="1"/>
        <v>0</v>
      </c>
      <c r="Y125" s="597">
        <f ca="1"/>
        <v>0</v>
      </c>
      <c r="Z125" s="597">
        <f ca="1"/>
        <v>0</v>
      </c>
      <c r="AA125" s="1317">
        <f ca="1"/>
        <v>0</v>
      </c>
    </row>
    <row r="126" spans="1:27" hidden="1" x14ac:dyDescent="0.45">
      <c r="A126" s="1858"/>
      <c r="B126" s="1861"/>
      <c r="C126" s="7" t="s">
        <v>400</v>
      </c>
      <c r="D126" s="47">
        <f ca="1"/>
        <v>0</v>
      </c>
      <c r="E126" s="47">
        <f ca="1"/>
        <v>0</v>
      </c>
      <c r="F126" s="47">
        <f ca="1"/>
        <v>0</v>
      </c>
      <c r="G126" s="47">
        <f ca="1"/>
        <v>0</v>
      </c>
      <c r="H126" s="47">
        <f ca="1"/>
        <v>0</v>
      </c>
      <c r="I126" s="47">
        <f ca="1"/>
        <v>0</v>
      </c>
      <c r="J126" s="47">
        <f ca="1"/>
        <v>0</v>
      </c>
      <c r="K126" s="47">
        <f ca="1"/>
        <v>0</v>
      </c>
      <c r="L126" s="47">
        <f ca="1"/>
        <v>0</v>
      </c>
      <c r="M126" s="47">
        <f ca="1"/>
        <v>0</v>
      </c>
      <c r="N126" s="47">
        <f ca="1"/>
        <v>0</v>
      </c>
      <c r="O126" s="47">
        <f ca="1"/>
        <v>0</v>
      </c>
      <c r="P126" s="47">
        <f ca="1"/>
        <v>0</v>
      </c>
      <c r="Q126" s="47">
        <f ca="1"/>
        <v>0</v>
      </c>
      <c r="R126" s="47">
        <f ca="1"/>
        <v>0</v>
      </c>
      <c r="S126" s="47">
        <f ca="1"/>
        <v>0</v>
      </c>
      <c r="T126" s="47">
        <f ca="1"/>
        <v>0</v>
      </c>
      <c r="U126" s="47">
        <f ca="1"/>
        <v>0</v>
      </c>
      <c r="V126" s="47">
        <f ca="1"/>
        <v>0</v>
      </c>
      <c r="W126" s="47">
        <f ca="1"/>
        <v>0</v>
      </c>
      <c r="X126" s="49">
        <f ca="1"/>
        <v>0</v>
      </c>
      <c r="Y126" s="49">
        <f ca="1"/>
        <v>0</v>
      </c>
      <c r="Z126" s="49">
        <f ca="1"/>
        <v>0</v>
      </c>
      <c r="AA126" s="1315">
        <f ca="1"/>
        <v>0</v>
      </c>
    </row>
    <row r="127" spans="1:27" hidden="1" x14ac:dyDescent="0.45">
      <c r="A127" s="1858"/>
      <c r="B127" s="1780" t="s">
        <v>411</v>
      </c>
      <c r="C127" s="39" t="s">
        <v>399</v>
      </c>
      <c r="D127" s="51">
        <f ca="1"/>
        <v>135</v>
      </c>
      <c r="E127" s="51">
        <f ca="1"/>
        <v>140</v>
      </c>
      <c r="F127" s="51">
        <f ca="1"/>
        <v>145</v>
      </c>
      <c r="G127" s="51">
        <f ca="1"/>
        <v>155</v>
      </c>
      <c r="H127" s="51">
        <f ca="1"/>
        <v>160</v>
      </c>
      <c r="I127" s="51">
        <f ca="1"/>
        <v>60</v>
      </c>
      <c r="J127" s="51">
        <f ca="1"/>
        <v>130</v>
      </c>
      <c r="K127" s="51">
        <f ca="1"/>
        <v>110</v>
      </c>
      <c r="L127" s="51">
        <f ca="1"/>
        <v>0</v>
      </c>
      <c r="M127" s="53">
        <f ca="1"/>
        <v>0</v>
      </c>
      <c r="N127" s="53">
        <f ca="1"/>
        <v>145</v>
      </c>
      <c r="O127" s="53">
        <f ca="1"/>
        <v>115</v>
      </c>
      <c r="P127" s="53">
        <f ca="1"/>
        <v>125</v>
      </c>
      <c r="Q127" s="53">
        <f ca="1"/>
        <v>160</v>
      </c>
      <c r="R127" s="53">
        <f ca="1"/>
        <v>80</v>
      </c>
      <c r="S127" s="53">
        <f ca="1"/>
        <v>80</v>
      </c>
      <c r="T127" s="53">
        <f ca="1"/>
        <v>30</v>
      </c>
      <c r="U127" s="53">
        <f ca="1"/>
        <v>105</v>
      </c>
      <c r="V127" s="53">
        <f ca="1"/>
        <v>0</v>
      </c>
      <c r="W127" s="53">
        <f ca="1"/>
        <v>0</v>
      </c>
      <c r="X127" s="53">
        <f ca="1"/>
        <v>0</v>
      </c>
      <c r="Y127" s="53">
        <f ca="1"/>
        <v>0</v>
      </c>
      <c r="Z127" s="53">
        <f ca="1"/>
        <v>0</v>
      </c>
      <c r="AA127" s="1316">
        <f ca="1"/>
        <v>0</v>
      </c>
    </row>
    <row r="128" spans="1:27" hidden="1" x14ac:dyDescent="0.45">
      <c r="A128" s="1858"/>
      <c r="B128" s="1780"/>
      <c r="C128" s="8" t="s">
        <v>401</v>
      </c>
      <c r="D128" s="44">
        <f ca="1"/>
        <v>0</v>
      </c>
      <c r="E128" s="44">
        <f ca="1"/>
        <v>0</v>
      </c>
      <c r="F128" s="44">
        <f ca="1"/>
        <v>0</v>
      </c>
      <c r="G128" s="44">
        <f ca="1"/>
        <v>0</v>
      </c>
      <c r="H128" s="44">
        <f ca="1"/>
        <v>0</v>
      </c>
      <c r="I128" s="44">
        <f ca="1"/>
        <v>0</v>
      </c>
      <c r="J128" s="44">
        <f ca="1"/>
        <v>0</v>
      </c>
      <c r="K128" s="44">
        <f ca="1"/>
        <v>0</v>
      </c>
      <c r="L128" s="44">
        <f ca="1"/>
        <v>0</v>
      </c>
      <c r="M128" s="44">
        <f ca="1"/>
        <v>0</v>
      </c>
      <c r="N128" s="44">
        <f ca="1"/>
        <v>0</v>
      </c>
      <c r="O128" s="44">
        <f ca="1"/>
        <v>0</v>
      </c>
      <c r="P128" s="44">
        <f ca="1"/>
        <v>0</v>
      </c>
      <c r="Q128" s="44">
        <f ca="1"/>
        <v>0</v>
      </c>
      <c r="R128" s="44">
        <f ca="1"/>
        <v>0</v>
      </c>
      <c r="S128" s="44">
        <f ca="1"/>
        <v>0</v>
      </c>
      <c r="T128" s="44">
        <f ca="1"/>
        <v>0</v>
      </c>
      <c r="U128" s="44">
        <f ca="1"/>
        <v>0</v>
      </c>
      <c r="V128" s="44">
        <f ca="1"/>
        <v>0</v>
      </c>
      <c r="W128" s="44">
        <f ca="1"/>
        <v>0</v>
      </c>
      <c r="X128" s="55">
        <f ca="1"/>
        <v>0</v>
      </c>
      <c r="Y128" s="55">
        <f ca="1"/>
        <v>0</v>
      </c>
      <c r="Z128" s="55">
        <f ca="1"/>
        <v>0</v>
      </c>
      <c r="AA128" s="1314">
        <f ca="1"/>
        <v>0</v>
      </c>
    </row>
    <row r="129" spans="1:27" hidden="1" x14ac:dyDescent="0.45">
      <c r="A129" s="1858"/>
      <c r="B129" s="1862"/>
      <c r="C129" s="8" t="s">
        <v>400</v>
      </c>
      <c r="D129" s="44">
        <f ca="1"/>
        <v>0</v>
      </c>
      <c r="E129" s="44">
        <f ca="1"/>
        <v>0</v>
      </c>
      <c r="F129" s="44">
        <f ca="1"/>
        <v>0</v>
      </c>
      <c r="G129" s="44">
        <f ca="1"/>
        <v>0</v>
      </c>
      <c r="H129" s="44">
        <f ca="1"/>
        <v>0</v>
      </c>
      <c r="I129" s="44">
        <f ca="1"/>
        <v>0</v>
      </c>
      <c r="J129" s="44">
        <f ca="1"/>
        <v>0</v>
      </c>
      <c r="K129" s="44">
        <f ca="1"/>
        <v>0</v>
      </c>
      <c r="L129" s="44">
        <f ca="1"/>
        <v>0</v>
      </c>
      <c r="M129" s="44">
        <f ca="1"/>
        <v>0</v>
      </c>
      <c r="N129" s="44">
        <f ca="1"/>
        <v>0</v>
      </c>
      <c r="O129" s="44">
        <f ca="1"/>
        <v>0</v>
      </c>
      <c r="P129" s="55">
        <f ca="1"/>
        <v>0</v>
      </c>
      <c r="Q129" s="55">
        <f ca="1"/>
        <v>0</v>
      </c>
      <c r="R129" s="55">
        <f ca="1"/>
        <v>0</v>
      </c>
      <c r="S129" s="55">
        <f ca="1"/>
        <v>0</v>
      </c>
      <c r="T129" s="55">
        <f ca="1"/>
        <v>0</v>
      </c>
      <c r="U129" s="55">
        <f ca="1"/>
        <v>0</v>
      </c>
      <c r="V129" s="55">
        <f ca="1"/>
        <v>0</v>
      </c>
      <c r="W129" s="55">
        <f ca="1"/>
        <v>0</v>
      </c>
      <c r="X129" s="55">
        <f ca="1"/>
        <v>0</v>
      </c>
      <c r="Y129" s="55">
        <f ca="1"/>
        <v>0</v>
      </c>
      <c r="Z129" s="55">
        <f ca="1"/>
        <v>0</v>
      </c>
      <c r="AA129" s="1314">
        <f ca="1"/>
        <v>0</v>
      </c>
    </row>
    <row r="130" spans="1:27" hidden="1" x14ac:dyDescent="0.45">
      <c r="A130" s="1858"/>
      <c r="B130" s="1863" t="s">
        <v>417</v>
      </c>
      <c r="C130" s="7" t="s">
        <v>399</v>
      </c>
      <c r="D130" s="47">
        <f ca="1"/>
        <v>0</v>
      </c>
      <c r="E130" s="47">
        <f ca="1"/>
        <v>0</v>
      </c>
      <c r="F130" s="47">
        <f ca="1"/>
        <v>0</v>
      </c>
      <c r="G130" s="47">
        <f ca="1"/>
        <v>0</v>
      </c>
      <c r="H130" s="47">
        <f ca="1"/>
        <v>0</v>
      </c>
      <c r="I130" s="47">
        <f ca="1"/>
        <v>0</v>
      </c>
      <c r="J130" s="47">
        <f ca="1"/>
        <v>0</v>
      </c>
      <c r="K130" s="47">
        <f ca="1"/>
        <v>0</v>
      </c>
      <c r="L130" s="47">
        <f ca="1"/>
        <v>0</v>
      </c>
      <c r="M130" s="47">
        <f ca="1"/>
        <v>50</v>
      </c>
      <c r="N130" s="47">
        <f ca="1"/>
        <v>0</v>
      </c>
      <c r="O130" s="47">
        <f ca="1"/>
        <v>0</v>
      </c>
      <c r="P130" s="47">
        <f ca="1"/>
        <v>0</v>
      </c>
      <c r="Q130" s="49">
        <f ca="1"/>
        <v>0</v>
      </c>
      <c r="R130" s="49">
        <f ca="1"/>
        <v>0</v>
      </c>
      <c r="S130" s="49">
        <f ca="1"/>
        <v>0</v>
      </c>
      <c r="T130" s="49">
        <f ca="1"/>
        <v>0</v>
      </c>
      <c r="U130" s="49">
        <f ca="1"/>
        <v>0</v>
      </c>
      <c r="V130" s="49">
        <f ca="1"/>
        <v>0</v>
      </c>
      <c r="W130" s="49">
        <f ca="1"/>
        <v>0</v>
      </c>
      <c r="X130" s="49">
        <f ca="1"/>
        <v>0</v>
      </c>
      <c r="Y130" s="49">
        <f ca="1"/>
        <v>0</v>
      </c>
      <c r="Z130" s="49">
        <f ca="1"/>
        <v>0</v>
      </c>
      <c r="AA130" s="1315">
        <f ca="1"/>
        <v>0</v>
      </c>
    </row>
    <row r="131" spans="1:27" hidden="1" x14ac:dyDescent="0.45">
      <c r="A131" s="1858"/>
      <c r="B131" s="1860"/>
      <c r="C131" s="7" t="s">
        <v>401</v>
      </c>
      <c r="D131" s="596">
        <f ca="1"/>
        <v>0</v>
      </c>
      <c r="E131" s="596">
        <f ca="1"/>
        <v>0</v>
      </c>
      <c r="F131" s="596">
        <f ca="1"/>
        <v>0</v>
      </c>
      <c r="G131" s="596">
        <f ca="1"/>
        <v>0</v>
      </c>
      <c r="H131" s="596">
        <f ca="1"/>
        <v>0</v>
      </c>
      <c r="I131" s="596">
        <f ca="1"/>
        <v>0</v>
      </c>
      <c r="J131" s="596">
        <f ca="1"/>
        <v>0</v>
      </c>
      <c r="K131" s="596">
        <f ca="1"/>
        <v>0</v>
      </c>
      <c r="L131" s="596">
        <f ca="1"/>
        <v>0</v>
      </c>
      <c r="M131" s="597">
        <f ca="1"/>
        <v>0</v>
      </c>
      <c r="N131" s="597">
        <f ca="1"/>
        <v>0</v>
      </c>
      <c r="O131" s="597">
        <f ca="1"/>
        <v>0</v>
      </c>
      <c r="P131" s="597">
        <f ca="1"/>
        <v>0</v>
      </c>
      <c r="Q131" s="597">
        <f ca="1"/>
        <v>0</v>
      </c>
      <c r="R131" s="597">
        <f ca="1"/>
        <v>0</v>
      </c>
      <c r="S131" s="597">
        <f ca="1"/>
        <v>0</v>
      </c>
      <c r="T131" s="597">
        <f ca="1"/>
        <v>0</v>
      </c>
      <c r="U131" s="597">
        <f ca="1"/>
        <v>0</v>
      </c>
      <c r="V131" s="597">
        <f ca="1"/>
        <v>0</v>
      </c>
      <c r="W131" s="597">
        <f ca="1"/>
        <v>0</v>
      </c>
      <c r="X131" s="597">
        <f ca="1"/>
        <v>0</v>
      </c>
      <c r="Y131" s="597">
        <f ca="1"/>
        <v>0</v>
      </c>
      <c r="Z131" s="597">
        <f ca="1"/>
        <v>0</v>
      </c>
      <c r="AA131" s="1317">
        <f ca="1"/>
        <v>0</v>
      </c>
    </row>
    <row r="132" spans="1:27" ht="14.65" hidden="1" thickBot="1" x14ac:dyDescent="0.5">
      <c r="A132" s="1859"/>
      <c r="B132" s="1864"/>
      <c r="C132" s="1318" t="s">
        <v>400</v>
      </c>
      <c r="D132" s="1319">
        <f ca="1"/>
        <v>0</v>
      </c>
      <c r="E132" s="1319">
        <f ca="1"/>
        <v>0</v>
      </c>
      <c r="F132" s="1319">
        <f ca="1"/>
        <v>0</v>
      </c>
      <c r="G132" s="1319">
        <f ca="1"/>
        <v>0</v>
      </c>
      <c r="H132" s="1319">
        <f ca="1"/>
        <v>0</v>
      </c>
      <c r="I132" s="1319">
        <f ca="1"/>
        <v>0</v>
      </c>
      <c r="J132" s="1319">
        <f ca="1"/>
        <v>0</v>
      </c>
      <c r="K132" s="1319">
        <f ca="1"/>
        <v>0</v>
      </c>
      <c r="L132" s="1319">
        <f ca="1"/>
        <v>0</v>
      </c>
      <c r="M132" s="1319">
        <f ca="1"/>
        <v>0</v>
      </c>
      <c r="N132" s="1319">
        <f ca="1"/>
        <v>0</v>
      </c>
      <c r="O132" s="1319">
        <f ca="1"/>
        <v>0</v>
      </c>
      <c r="P132" s="1319">
        <f ca="1"/>
        <v>0</v>
      </c>
      <c r="Q132" s="1319">
        <f ca="1"/>
        <v>0</v>
      </c>
      <c r="R132" s="1319">
        <f ca="1"/>
        <v>0</v>
      </c>
      <c r="S132" s="1319">
        <f ca="1"/>
        <v>0</v>
      </c>
      <c r="T132" s="1319">
        <f ca="1"/>
        <v>0</v>
      </c>
      <c r="U132" s="1319">
        <f ca="1"/>
        <v>0</v>
      </c>
      <c r="V132" s="1319">
        <f ca="1"/>
        <v>0</v>
      </c>
      <c r="W132" s="1319">
        <f ca="1"/>
        <v>0</v>
      </c>
      <c r="X132" s="1320">
        <f ca="1"/>
        <v>0</v>
      </c>
      <c r="Y132" s="1320">
        <f ca="1"/>
        <v>0</v>
      </c>
      <c r="Z132" s="1320">
        <f ca="1"/>
        <v>0</v>
      </c>
      <c r="AA132" s="1321">
        <f ca="1"/>
        <v>0</v>
      </c>
    </row>
    <row r="133" spans="1:27" hidden="1" x14ac:dyDescent="0.45"/>
    <row r="134" spans="1:27" hidden="1" x14ac:dyDescent="0.45"/>
    <row r="135" spans="1:27" hidden="1" x14ac:dyDescent="0.45"/>
    <row r="136" spans="1:27" hidden="1" x14ac:dyDescent="0.45"/>
    <row r="137" spans="1:27" hidden="1" x14ac:dyDescent="0.45"/>
    <row r="138" spans="1:27" hidden="1" x14ac:dyDescent="0.45"/>
    <row r="139" spans="1:27" hidden="1" x14ac:dyDescent="0.45"/>
    <row r="140" spans="1:27" hidden="1" x14ac:dyDescent="0.45"/>
    <row r="141" spans="1:27" hidden="1" x14ac:dyDescent="0.45"/>
    <row r="142" spans="1:27" hidden="1" x14ac:dyDescent="0.45"/>
    <row r="143" spans="1:27" hidden="1" x14ac:dyDescent="0.45"/>
    <row r="144" spans="1:27"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0cS0MgjG5vK10Deqyy/xQ251MzvyEyC2CCxpX/5izGcC8ys5KtMlQHgx3ut93ZWVYmIhwCMJUiU33GRIwdyjnA==" saltValue="MDsC+iDmk4ieaOuVIUnwMA==" spinCount="100000" sheet="1" objects="1" scenarios="1" selectLockedCells="1" selectUnlockedCells="1"/>
  <mergeCells count="51">
    <mergeCell ref="A49:A90"/>
    <mergeCell ref="B49:B51"/>
    <mergeCell ref="B52:B54"/>
    <mergeCell ref="B55:B57"/>
    <mergeCell ref="B58:B60"/>
    <mergeCell ref="B61:B63"/>
    <mergeCell ref="B64:B66"/>
    <mergeCell ref="B67:B69"/>
    <mergeCell ref="B70:B72"/>
    <mergeCell ref="B73:B75"/>
    <mergeCell ref="B76:B78"/>
    <mergeCell ref="B79:B81"/>
    <mergeCell ref="B82:B84"/>
    <mergeCell ref="B85:B87"/>
    <mergeCell ref="B88:B90"/>
    <mergeCell ref="A7:A48"/>
    <mergeCell ref="B25:B27"/>
    <mergeCell ref="B28:B30"/>
    <mergeCell ref="B31:B33"/>
    <mergeCell ref="B34:B36"/>
    <mergeCell ref="B37:B39"/>
    <mergeCell ref="B40:B42"/>
    <mergeCell ref="B43:B45"/>
    <mergeCell ref="B16:B18"/>
    <mergeCell ref="B19:B21"/>
    <mergeCell ref="B22:B24"/>
    <mergeCell ref="B7:B9"/>
    <mergeCell ref="B10:B12"/>
    <mergeCell ref="B13:B15"/>
    <mergeCell ref="B46:B48"/>
    <mergeCell ref="A91:A132"/>
    <mergeCell ref="B106:B108"/>
    <mergeCell ref="B109:B111"/>
    <mergeCell ref="B130:B132"/>
    <mergeCell ref="B124:B126"/>
    <mergeCell ref="B127:B129"/>
    <mergeCell ref="B112:B114"/>
    <mergeCell ref="B115:B117"/>
    <mergeCell ref="B118:B120"/>
    <mergeCell ref="B121:B123"/>
    <mergeCell ref="B91:B93"/>
    <mergeCell ref="B94:B96"/>
    <mergeCell ref="B97:B99"/>
    <mergeCell ref="B100:B102"/>
    <mergeCell ref="B103:B105"/>
    <mergeCell ref="B6:C6"/>
    <mergeCell ref="A1:C1"/>
    <mergeCell ref="A2:C2"/>
    <mergeCell ref="A3:C3"/>
    <mergeCell ref="A4:C4"/>
    <mergeCell ref="B5:C5"/>
  </mergeCells>
  <conditionalFormatting sqref="E7:AB48">
    <cfRule type="containsText" dxfId="101" priority="43" operator="containsText" text="Race">
      <formula>NOT(ISERROR(SEARCH("Race",E7)))</formula>
    </cfRule>
    <cfRule type="containsText" dxfId="100" priority="44" operator="containsText" text="Reps">
      <formula>NOT(ISERROR(SEARCH("Reps",E7)))</formula>
    </cfRule>
    <cfRule type="containsText" dxfId="99" priority="45" operator="containsText" text="Intervals">
      <formula>NOT(ISERROR(SEARCH("Intervals",E7)))</formula>
    </cfRule>
    <cfRule type="containsText" dxfId="98" priority="46" operator="containsText" text="Long">
      <formula>NOT(ISERROR(SEARCH("Long",E7)))</formula>
    </cfRule>
    <cfRule type="containsText" dxfId="97" priority="47" operator="containsText" text="Hilly">
      <formula>NOT(ISERROR(SEARCH("Hilly",E7)))</formula>
    </cfRule>
    <cfRule type="containsText" dxfId="96" priority="48" operator="containsText" text="Fartlek">
      <formula>NOT(ISERROR(SEARCH("Fartlek",E7)))</formula>
    </cfRule>
    <cfRule type="containsText" dxfId="95" priority="49" operator="containsText" text="Tempo">
      <formula>NOT(ISERROR(SEARCH("Tempo",E7)))</formula>
    </cfRule>
    <cfRule type="containsText" dxfId="94" priority="50" operator="containsText" text="Subthreshold">
      <formula>NOT(ISERROR(SEARCH("Subthreshold",E7)))</formula>
    </cfRule>
    <cfRule type="containsText" dxfId="93" priority="51" operator="containsText" text="Steady">
      <formula>NOT(ISERROR(SEARCH("Steady",E7)))</formula>
    </cfRule>
    <cfRule type="containsText" dxfId="92" priority="52" operator="containsText" text="Drills">
      <formula>NOT(ISERROR(SEARCH("Drills",E7)))</formula>
    </cfRule>
    <cfRule type="containsText" dxfId="91" priority="53" operator="containsText" text="Strength">
      <formula>NOT(ISERROR(SEARCH("Strength",E7)))</formula>
    </cfRule>
    <cfRule type="containsText" dxfId="90" priority="54" operator="containsText" text="Maintenance">
      <formula>NOT(ISERROR(SEARCH("Maintenance",E7)))</formula>
    </cfRule>
    <cfRule type="containsText" dxfId="89" priority="55" operator="containsText" text="Easy">
      <formula>NOT(ISERROR(SEARCH("Easy",E7)))</formula>
    </cfRule>
    <cfRule type="containsText" dxfId="88" priority="56" operator="containsText" text="Alternative">
      <formula>NOT(ISERROR(SEARCH("Alternative",E7)))</formula>
    </cfRule>
    <cfRule type="containsText" dxfId="87" priority="57" operator="containsText" text="Recovery">
      <formula>NOT(ISERROR(SEARCH("Recovery",E7)))</formula>
    </cfRule>
    <cfRule type="containsText" dxfId="86" priority="58" operator="containsText" text="Rest">
      <formula>NOT(ISERROR(SEARCH("Rest",E7)))</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1" id="{75FB33C5-BE3F-47A0-8285-4F7CCE508802}">
            <xm:f>'Program Summary'!D$1 &gt; TODAY()</xm:f>
            <x14:dxf>
              <font>
                <b val="0"/>
                <i val="0"/>
              </font>
            </x14:dxf>
          </x14:cfRule>
          <x14:cfRule type="expression" priority="32" id="{FAA6761F-C0B0-4C4E-A15B-CD0C1E962B04}">
            <xm:f>'Program Summary'!D$1 &gt; TODAY() - 7</xm:f>
            <x14:dxf>
              <font>
                <b/>
                <i val="0"/>
              </font>
            </x14:dxf>
          </x14:cfRule>
          <xm:sqref>D1:AA6</xm:sqref>
        </x14:conditionalFormatting>
        <x14:conditionalFormatting xmlns:xm="http://schemas.microsoft.com/office/excel/2006/main">
          <x14:cfRule type="containsText" priority="33" operator="containsText" text="Race" id="{94D7E755-EB7D-4BE4-992C-531B16803AB2}">
            <xm:f>NOT(ISERROR(SEARCH("Race",'Program Planner'!D4)))</xm:f>
            <x14:dxf>
              <font>
                <color theme="0"/>
              </font>
              <fill>
                <patternFill>
                  <bgColor theme="8" tint="-0.499984740745262"/>
                </patternFill>
              </fill>
            </x14:dxf>
          </x14:cfRule>
          <x14:cfRule type="containsText" priority="34" operator="containsText" text="Taper" id="{6CA57FBA-6491-49B1-BCE4-EE54A6992A3A}">
            <xm:f>NOT(ISERROR(SEARCH("Taper",'Program Planner'!D4)))</xm:f>
            <x14:dxf>
              <font>
                <color theme="0"/>
              </font>
              <fill>
                <patternFill>
                  <bgColor theme="8" tint="-0.24994659260841701"/>
                </patternFill>
              </fill>
            </x14:dxf>
          </x14:cfRule>
          <x14:cfRule type="containsText" priority="35" operator="containsText" text="Speed" id="{53F39C0A-2015-4D4B-8941-5BC3B92BB2CB}">
            <xm:f>NOT(ISERROR(SEARCH("Speed",'Program Planner'!D4)))</xm:f>
            <x14:dxf>
              <fill>
                <patternFill>
                  <bgColor theme="8"/>
                </patternFill>
              </fill>
            </x14:dxf>
          </x14:cfRule>
          <x14:cfRule type="containsText" priority="36" operator="containsText" text="Strength" id="{F74858E7-28C0-41AE-B674-8DD1F66FFF10}">
            <xm:f>NOT(ISERROR(SEARCH("Strength",'Program Planner'!D4)))</xm:f>
            <x14:dxf>
              <fill>
                <patternFill>
                  <bgColor theme="8" tint="0.39994506668294322"/>
                </patternFill>
              </fill>
            </x14:dxf>
          </x14:cfRule>
          <x14:cfRule type="containsText" priority="37" operator="containsText" text="Base" id="{88A5ADB3-79CB-48A0-BB2E-E9697C196BDB}">
            <xm:f>NOT(ISERROR(SEARCH("Base",'Program Planner'!D4)))</xm:f>
            <x14:dxf>
              <fill>
                <patternFill>
                  <bgColor theme="8" tint="0.59996337778862885"/>
                </patternFill>
              </fill>
            </x14:dxf>
          </x14:cfRule>
          <x14:cfRule type="containsText" priority="38" operator="containsText" text="Balance" id="{7EEB6283-6F0A-4654-948F-1D4942F40B33}">
            <xm:f>NOT(ISERROR(SEARCH("Balance",'Program Planner'!D4)))</xm:f>
            <x14:dxf>
              <fill>
                <patternFill>
                  <bgColor theme="8" tint="0.59996337778862885"/>
                </patternFill>
              </fill>
            </x14:dxf>
          </x14:cfRule>
          <x14:cfRule type="containsText" priority="39" operator="containsText" text="Progression" id="{631D290A-A3D4-4B8C-A0D3-4C36B5BC8B9D}">
            <xm:f>NOT(ISERROR(SEARCH("Progression",'Program Planner'!D4)))</xm:f>
            <x14:dxf>
              <fill>
                <patternFill>
                  <bgColor theme="8" tint="0.59996337778862885"/>
                </patternFill>
              </fill>
            </x14:dxf>
          </x14:cfRule>
          <x14:cfRule type="containsText" priority="40" operator="containsText" text="Endurance" id="{30827953-5059-415C-AA22-2C4F10DA9527}">
            <xm:f>NOT(ISERROR(SEARCH("Endurance",'Program Planner'!D4)))</xm:f>
            <x14:dxf>
              <fill>
                <patternFill>
                  <bgColor theme="8" tint="0.59996337778862885"/>
                </patternFill>
              </fill>
            </x14:dxf>
          </x14:cfRule>
          <x14:cfRule type="containsText" priority="41" operator="containsText" text="Maintain" id="{9DC6336E-B129-4CD0-B8FC-222C2B768505}">
            <xm:f>NOT(ISERROR(SEARCH("Maintain",'Program Planner'!D4)))</xm:f>
            <x14:dxf>
              <fill>
                <patternFill>
                  <bgColor theme="8" tint="0.79998168889431442"/>
                </patternFill>
              </fill>
            </x14:dxf>
          </x14:cfRule>
          <x14:cfRule type="containsText" priority="42" operator="containsText" text="Recovery" id="{B93E65E7-74B0-4590-A8CF-AF64229CBAC3}">
            <xm:f>NOT(ISERROR(SEARCH("Recovery",'Program Planner'!D4)))</xm:f>
            <x14:dxf>
              <fill>
                <patternFill>
                  <bgColor theme="8" tint="0.79998168889431442"/>
                </patternFill>
              </fill>
            </x14:dxf>
          </x14:cfRule>
          <xm:sqref>D4:AA4</xm:sqref>
        </x14:conditionalFormatting>
        <x14:conditionalFormatting xmlns:xm="http://schemas.microsoft.com/office/excel/2006/main">
          <x14:cfRule type="containsText" priority="16" operator="containsText" text="Race" id="{8B1FCCE6-7AF6-4F9E-BCEC-DF2EE4F433FA}">
            <xm:f>NOT(ISERROR(SEARCH("Race",'Program Planner'!AB103)))</xm:f>
            <x14:dxf>
              <font>
                <color rgb="FFFFFFFF"/>
              </font>
              <fill>
                <patternFill>
                  <bgColor rgb="FF000000"/>
                </patternFill>
              </fill>
            </x14:dxf>
          </x14:cfRule>
          <x14:cfRule type="containsText" priority="17" operator="containsText" text="Reps" id="{2C69FAB3-C76B-43C1-B18E-F23DA495D5AE}">
            <xm:f>NOT(ISERROR(SEARCH("Reps",'Program Planner'!AB103)))</xm:f>
            <x14:dxf>
              <font>
                <color rgb="FF000000"/>
              </font>
              <fill>
                <patternFill>
                  <bgColor rgb="FFE8AEAE"/>
                </patternFill>
              </fill>
            </x14:dxf>
          </x14:cfRule>
          <x14:cfRule type="containsText" priority="18" operator="containsText" text="Intervals" id="{DCD3088D-E7A7-440F-9BE7-D232E6B397B0}">
            <xm:f>NOT(ISERROR(SEARCH("Intervals",'Program Planner'!AB103)))</xm:f>
            <x14:dxf>
              <font>
                <color rgb="FF000000"/>
              </font>
              <fill>
                <patternFill>
                  <bgColor rgb="FFE8CBAE"/>
                </patternFill>
              </fill>
            </x14:dxf>
          </x14:cfRule>
          <x14:cfRule type="containsText" priority="19" operator="containsText" text="Long" id="{70C30C9D-5EA1-4B34-9E2C-82EE420080AA}">
            <xm:f>NOT(ISERROR(SEARCH("Long",'Program Planner'!AB103)))</xm:f>
            <x14:dxf>
              <font>
                <color rgb="FF000000"/>
              </font>
              <fill>
                <patternFill>
                  <bgColor rgb="FFAEE8CB"/>
                </patternFill>
              </fill>
            </x14:dxf>
          </x14:cfRule>
          <x14:cfRule type="containsText" priority="20" operator="containsText" text="Hilly" id="{1FF83656-EB30-4F6D-A95E-52B97768305C}">
            <xm:f>NOT(ISERROR(SEARCH("Hilly",'Program Planner'!AB103)))</xm:f>
            <x14:dxf>
              <font>
                <color rgb="FF000000"/>
              </font>
              <fill>
                <patternFill>
                  <fgColor indexed="64"/>
                  <bgColor rgb="FFB7D19D"/>
                </patternFill>
              </fill>
            </x14:dxf>
          </x14:cfRule>
          <x14:cfRule type="containsText" priority="21" operator="containsText" text="Fartlek" id="{BBB85F39-013C-487F-B276-32780B81F8A4}">
            <xm:f>NOT(ISERROR(SEARCH("Fartlek",'Program Planner'!AB103)))</xm:f>
            <x14:dxf>
              <font>
                <color rgb="FF000000"/>
              </font>
              <fill>
                <patternFill>
                  <fgColor indexed="64"/>
                  <bgColor rgb="FFE8E8AE"/>
                </patternFill>
              </fill>
            </x14:dxf>
          </x14:cfRule>
          <x14:cfRule type="containsText" priority="22" operator="containsText" text="Tempo" id="{D709D766-C19C-48DF-8947-BEA20C1DF94B}">
            <xm:f>NOT(ISERROR(SEARCH("Tempo",'Program Planner'!AB103)))</xm:f>
            <x14:dxf>
              <font>
                <color rgb="FF000000"/>
              </font>
              <fill>
                <patternFill>
                  <fgColor indexed="64"/>
                  <bgColor rgb="FFCBE8AE"/>
                </patternFill>
              </fill>
            </x14:dxf>
          </x14:cfRule>
          <x14:cfRule type="containsText" priority="23" operator="containsText" text="Subthreshold" id="{B09EC5FE-A4EC-4813-8180-D5B354945AA9}">
            <xm:f>NOT(ISERROR(SEARCH("Subthreshold",'Program Planner'!AB103)))</xm:f>
            <x14:dxf>
              <font>
                <color rgb="FF000000"/>
              </font>
              <fill>
                <patternFill>
                  <fgColor indexed="64"/>
                  <bgColor rgb="FFAEE8AE"/>
                </patternFill>
              </fill>
            </x14:dxf>
          </x14:cfRule>
          <x14:cfRule type="containsText" priority="24" operator="containsText" text="Steady" id="{ABE2B48D-B84C-4F1B-B8F3-F74005808416}">
            <xm:f>NOT(ISERROR(SEARCH("Steady",'Program Planner'!AB103)))</xm:f>
            <x14:dxf>
              <font>
                <color rgb="FF000000"/>
              </font>
              <fill>
                <patternFill>
                  <fgColor indexed="64"/>
                  <bgColor rgb="FFAEE8E8"/>
                </patternFill>
              </fill>
            </x14:dxf>
          </x14:cfRule>
          <x14:cfRule type="containsText" priority="25" operator="containsText" text="Drills" id="{EDB1D857-03DD-4185-AF7C-DFE88014B658}">
            <xm:f>NOT(ISERROR(SEARCH("Drills",'Program Planner'!AB103)))</xm:f>
            <x14:dxf>
              <font>
                <color rgb="FF000000"/>
              </font>
              <fill>
                <patternFill>
                  <fgColor indexed="64"/>
                  <bgColor rgb="FFE8AECB"/>
                </patternFill>
              </fill>
            </x14:dxf>
          </x14:cfRule>
          <x14:cfRule type="containsText" priority="26" operator="containsText" text="Strength" id="{4AD3089D-3473-449E-B8C0-EC4EB914EF30}">
            <xm:f>NOT(ISERROR(SEARCH("Strength",'Program Planner'!AB103)))</xm:f>
            <x14:dxf>
              <font>
                <color rgb="FF000000"/>
              </font>
              <fill>
                <patternFill>
                  <fgColor indexed="64"/>
                  <bgColor rgb="FFE8AEE8"/>
                </patternFill>
              </fill>
            </x14:dxf>
          </x14:cfRule>
          <x14:cfRule type="containsText" priority="27" operator="containsText" text="Maintenance" id="{D939E0A6-8525-475F-A182-BD88AE764312}">
            <xm:f>NOT(ISERROR(SEARCH("Maintenance",'Program Planner'!AB103)))</xm:f>
            <x14:dxf>
              <font>
                <color rgb="FF000000"/>
              </font>
              <fill>
                <patternFill>
                  <fgColor indexed="64"/>
                  <bgColor rgb="FFAEAEE8"/>
                </patternFill>
              </fill>
            </x14:dxf>
          </x14:cfRule>
          <x14:cfRule type="containsText" priority="28" operator="containsText" text="Easy" id="{653BDAB5-8965-49ED-81D2-D8B0596156F3}">
            <xm:f>NOT(ISERROR(SEARCH("Easy",'Program Planner'!AB103)))</xm:f>
            <x14:dxf>
              <font>
                <color rgb="FF000000"/>
              </font>
              <fill>
                <patternFill>
                  <fgColor indexed="64"/>
                  <bgColor rgb="FFAECBE8"/>
                </patternFill>
              </fill>
            </x14:dxf>
          </x14:cfRule>
          <x14:cfRule type="containsText" priority="29" operator="containsText" text="Recovery" id="{18FB4BBE-A1A4-4CBA-8D5F-2B689217AD77}">
            <xm:f>NOT(ISERROR(SEARCH("Recovery",'Program Planner'!AB103)))</xm:f>
            <x14:dxf>
              <font>
                <color rgb="FF000000"/>
              </font>
              <fill>
                <patternFill>
                  <fgColor indexed="64"/>
                  <bgColor rgb="FFAECBE8"/>
                </patternFill>
              </fill>
            </x14:dxf>
          </x14:cfRule>
          <x14:cfRule type="containsText" priority="30" operator="containsText" text="Rest" id="{5537FA19-83EC-4BDC-9262-0AD5E6CDD1C7}">
            <xm:f>NOT(ISERROR(SEARCH("Rest",'Program Planner'!AB103)))</xm:f>
            <x14:dxf>
              <font>
                <color rgb="FF000000"/>
              </font>
              <fill>
                <patternFill>
                  <fgColor indexed="64"/>
                  <bgColor rgb="FFAEAEE8"/>
                </patternFill>
              </fill>
            </x14:dxf>
          </x14:cfRule>
          <xm:sqref>AB49:AB52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theme="7" tint="0.59999389629810485"/>
  </sheetPr>
  <dimension ref="A1:FO11"/>
  <sheetViews>
    <sheetView showRowColHeaders="0" topLeftCell="A4" zoomScaleNormal="100" workbookViewId="0">
      <selection activeCell="U4" sqref="U4"/>
    </sheetView>
  </sheetViews>
  <sheetFormatPr defaultRowHeight="14.25" x14ac:dyDescent="0.45"/>
  <cols>
    <col min="2" max="2" width="12" bestFit="1" customWidth="1"/>
    <col min="3" max="170" width="4" customWidth="1"/>
    <col min="171" max="171" width="10.73046875" bestFit="1" customWidth="1"/>
  </cols>
  <sheetData>
    <row r="1" spans="1:171" ht="63" customHeight="1" x14ac:dyDescent="0.45">
      <c r="B1" s="448">
        <f>C1</f>
        <v>43374</v>
      </c>
      <c r="C1" s="1331">
        <f t="array" ref="C1:FN1">plan_start_date + (COLUMN(tracker_days)-COLUMN(INDEX(tracker_days,1,1)))</f>
        <v>43374</v>
      </c>
      <c r="D1" s="1331">
        <v>43375</v>
      </c>
      <c r="E1" s="1331">
        <v>43376</v>
      </c>
      <c r="F1" s="1331">
        <v>43377</v>
      </c>
      <c r="G1" s="1331">
        <v>43378</v>
      </c>
      <c r="H1" s="1331">
        <v>43379</v>
      </c>
      <c r="I1" s="1331">
        <v>43380</v>
      </c>
      <c r="J1" s="1331">
        <v>43381</v>
      </c>
      <c r="K1" s="1331">
        <v>43382</v>
      </c>
      <c r="L1" s="1331">
        <v>43383</v>
      </c>
      <c r="M1" s="1331">
        <v>43384</v>
      </c>
      <c r="N1" s="1331">
        <v>43385</v>
      </c>
      <c r="O1" s="1331">
        <v>43386</v>
      </c>
      <c r="P1" s="1331">
        <v>43387</v>
      </c>
      <c r="Q1" s="1331">
        <v>43388</v>
      </c>
      <c r="R1" s="1331">
        <v>43389</v>
      </c>
      <c r="S1" s="1331">
        <v>43390</v>
      </c>
      <c r="T1" s="1331">
        <v>43391</v>
      </c>
      <c r="U1" s="1331">
        <v>43392</v>
      </c>
      <c r="V1" s="1331">
        <v>43393</v>
      </c>
      <c r="W1" s="1331">
        <v>43394</v>
      </c>
      <c r="X1" s="1331">
        <v>43395</v>
      </c>
      <c r="Y1" s="1331">
        <v>43396</v>
      </c>
      <c r="Z1" s="1331">
        <v>43397</v>
      </c>
      <c r="AA1" s="1331">
        <v>43398</v>
      </c>
      <c r="AB1" s="1331">
        <v>43399</v>
      </c>
      <c r="AC1" s="1331">
        <v>43400</v>
      </c>
      <c r="AD1" s="1331">
        <v>43401</v>
      </c>
      <c r="AE1" s="1331">
        <v>43402</v>
      </c>
      <c r="AF1" s="1331">
        <v>43403</v>
      </c>
      <c r="AG1" s="1331">
        <v>43404</v>
      </c>
      <c r="AH1" s="1331">
        <v>43405</v>
      </c>
      <c r="AI1" s="1331">
        <v>43406</v>
      </c>
      <c r="AJ1" s="1331">
        <v>43407</v>
      </c>
      <c r="AK1" s="1331">
        <v>43408</v>
      </c>
      <c r="AL1" s="1331">
        <v>43409</v>
      </c>
      <c r="AM1" s="1331">
        <v>43410</v>
      </c>
      <c r="AN1" s="1331">
        <v>43411</v>
      </c>
      <c r="AO1" s="1331">
        <v>43412</v>
      </c>
      <c r="AP1" s="1331">
        <v>43413</v>
      </c>
      <c r="AQ1" s="1331">
        <v>43414</v>
      </c>
      <c r="AR1" s="1331">
        <v>43415</v>
      </c>
      <c r="AS1" s="1331">
        <v>43416</v>
      </c>
      <c r="AT1" s="1331">
        <v>43417</v>
      </c>
      <c r="AU1" s="1331">
        <v>43418</v>
      </c>
      <c r="AV1" s="1331">
        <v>43419</v>
      </c>
      <c r="AW1" s="1331">
        <v>43420</v>
      </c>
      <c r="AX1" s="1331">
        <v>43421</v>
      </c>
      <c r="AY1" s="1331">
        <v>43422</v>
      </c>
      <c r="AZ1" s="1331">
        <v>43423</v>
      </c>
      <c r="BA1" s="1331">
        <v>43424</v>
      </c>
      <c r="BB1" s="1331">
        <v>43425</v>
      </c>
      <c r="BC1" s="1331">
        <v>43426</v>
      </c>
      <c r="BD1" s="1331">
        <v>43427</v>
      </c>
      <c r="BE1" s="1331">
        <v>43428</v>
      </c>
      <c r="BF1" s="1331">
        <v>43429</v>
      </c>
      <c r="BG1" s="1331">
        <v>43430</v>
      </c>
      <c r="BH1" s="1331">
        <v>43431</v>
      </c>
      <c r="BI1" s="1331">
        <v>43432</v>
      </c>
      <c r="BJ1" s="1331">
        <v>43433</v>
      </c>
      <c r="BK1" s="1331">
        <v>43434</v>
      </c>
      <c r="BL1" s="1331">
        <v>43435</v>
      </c>
      <c r="BM1" s="1331">
        <v>43436</v>
      </c>
      <c r="BN1" s="1331">
        <v>43437</v>
      </c>
      <c r="BO1" s="1331">
        <v>43438</v>
      </c>
      <c r="BP1" s="1331">
        <v>43439</v>
      </c>
      <c r="BQ1" s="1331">
        <v>43440</v>
      </c>
      <c r="BR1" s="1331">
        <v>43441</v>
      </c>
      <c r="BS1" s="1331">
        <v>43442</v>
      </c>
      <c r="BT1" s="1331">
        <v>43443</v>
      </c>
      <c r="BU1" s="1331">
        <v>43444</v>
      </c>
      <c r="BV1" s="1331">
        <v>43445</v>
      </c>
      <c r="BW1" s="1331">
        <v>43446</v>
      </c>
      <c r="BX1" s="1331">
        <v>43447</v>
      </c>
      <c r="BY1" s="1331">
        <v>43448</v>
      </c>
      <c r="BZ1" s="1331">
        <v>43449</v>
      </c>
      <c r="CA1" s="1331">
        <v>43450</v>
      </c>
      <c r="CB1" s="1331">
        <v>43451</v>
      </c>
      <c r="CC1" s="1331">
        <v>43452</v>
      </c>
      <c r="CD1" s="1331">
        <v>43453</v>
      </c>
      <c r="CE1" s="1331">
        <v>43454</v>
      </c>
      <c r="CF1" s="1331">
        <v>43455</v>
      </c>
      <c r="CG1" s="1331">
        <v>43456</v>
      </c>
      <c r="CH1" s="1331">
        <v>43457</v>
      </c>
      <c r="CI1" s="1331">
        <v>43458</v>
      </c>
      <c r="CJ1" s="1331">
        <v>43459</v>
      </c>
      <c r="CK1" s="1331">
        <v>43460</v>
      </c>
      <c r="CL1" s="1331">
        <v>43461</v>
      </c>
      <c r="CM1" s="1331">
        <v>43462</v>
      </c>
      <c r="CN1" s="1331">
        <v>43463</v>
      </c>
      <c r="CO1" s="1331">
        <v>43464</v>
      </c>
      <c r="CP1" s="1331">
        <v>43465</v>
      </c>
      <c r="CQ1" s="1331">
        <v>43466</v>
      </c>
      <c r="CR1" s="1331">
        <v>43467</v>
      </c>
      <c r="CS1" s="1331">
        <v>43468</v>
      </c>
      <c r="CT1" s="1331">
        <v>43469</v>
      </c>
      <c r="CU1" s="1331">
        <v>43470</v>
      </c>
      <c r="CV1" s="1331">
        <v>43471</v>
      </c>
      <c r="CW1" s="1331">
        <v>43472</v>
      </c>
      <c r="CX1" s="1331">
        <v>43473</v>
      </c>
      <c r="CY1" s="1331">
        <v>43474</v>
      </c>
      <c r="CZ1" s="1331">
        <v>43475</v>
      </c>
      <c r="DA1" s="1331">
        <v>43476</v>
      </c>
      <c r="DB1" s="1331">
        <v>43477</v>
      </c>
      <c r="DC1" s="1331">
        <v>43478</v>
      </c>
      <c r="DD1" s="1331">
        <v>43479</v>
      </c>
      <c r="DE1" s="1331">
        <v>43480</v>
      </c>
      <c r="DF1" s="1331">
        <v>43481</v>
      </c>
      <c r="DG1" s="1331">
        <v>43482</v>
      </c>
      <c r="DH1" s="1331">
        <v>43483</v>
      </c>
      <c r="DI1" s="1331">
        <v>43484</v>
      </c>
      <c r="DJ1" s="1331">
        <v>43485</v>
      </c>
      <c r="DK1" s="1331">
        <v>43486</v>
      </c>
      <c r="DL1" s="1331">
        <v>43487</v>
      </c>
      <c r="DM1" s="1331">
        <v>43488</v>
      </c>
      <c r="DN1" s="1331">
        <v>43489</v>
      </c>
      <c r="DO1" s="1331">
        <v>43490</v>
      </c>
      <c r="DP1" s="1331">
        <v>43491</v>
      </c>
      <c r="DQ1" s="1331">
        <v>43492</v>
      </c>
      <c r="DR1" s="1331">
        <v>43493</v>
      </c>
      <c r="DS1" s="1331">
        <v>43494</v>
      </c>
      <c r="DT1" s="1331">
        <v>43495</v>
      </c>
      <c r="DU1" s="1331">
        <v>43496</v>
      </c>
      <c r="DV1" s="1331">
        <v>43497</v>
      </c>
      <c r="DW1" s="1331">
        <v>43498</v>
      </c>
      <c r="DX1" s="1331">
        <v>43499</v>
      </c>
      <c r="DY1" s="1331">
        <v>43500</v>
      </c>
      <c r="DZ1" s="1331">
        <v>43501</v>
      </c>
      <c r="EA1" s="1331">
        <v>43502</v>
      </c>
      <c r="EB1" s="1331">
        <v>43503</v>
      </c>
      <c r="EC1" s="1331">
        <v>43504</v>
      </c>
      <c r="ED1" s="1331">
        <v>43505</v>
      </c>
      <c r="EE1" s="1331">
        <v>43506</v>
      </c>
      <c r="EF1" s="1331">
        <v>43507</v>
      </c>
      <c r="EG1" s="1331">
        <v>43508</v>
      </c>
      <c r="EH1" s="1331">
        <v>43509</v>
      </c>
      <c r="EI1" s="1331">
        <v>43510</v>
      </c>
      <c r="EJ1" s="1331">
        <v>43511</v>
      </c>
      <c r="EK1" s="1331">
        <v>43512</v>
      </c>
      <c r="EL1" s="1331">
        <v>43513</v>
      </c>
      <c r="EM1" s="1331">
        <v>43514</v>
      </c>
      <c r="EN1" s="1331">
        <v>43515</v>
      </c>
      <c r="EO1" s="1331">
        <v>43516</v>
      </c>
      <c r="EP1" s="1331">
        <v>43517</v>
      </c>
      <c r="EQ1" s="1331">
        <v>43518</v>
      </c>
      <c r="ER1" s="1331">
        <v>43519</v>
      </c>
      <c r="ES1" s="1331">
        <v>43520</v>
      </c>
      <c r="ET1" s="1331">
        <v>43521</v>
      </c>
      <c r="EU1" s="1331">
        <v>43522</v>
      </c>
      <c r="EV1" s="1331">
        <v>43523</v>
      </c>
      <c r="EW1" s="1331">
        <v>43524</v>
      </c>
      <c r="EX1" s="1331">
        <v>43525</v>
      </c>
      <c r="EY1" s="1331">
        <v>43526</v>
      </c>
      <c r="EZ1" s="1331">
        <v>43527</v>
      </c>
      <c r="FA1" s="1331">
        <v>43528</v>
      </c>
      <c r="FB1" s="1331">
        <v>43529</v>
      </c>
      <c r="FC1" s="1331">
        <v>43530</v>
      </c>
      <c r="FD1" s="1331">
        <v>43531</v>
      </c>
      <c r="FE1" s="1331">
        <v>43532</v>
      </c>
      <c r="FF1" s="1331">
        <v>43533</v>
      </c>
      <c r="FG1" s="1331">
        <v>43534</v>
      </c>
      <c r="FH1" s="1331">
        <v>43535</v>
      </c>
      <c r="FI1" s="1331">
        <v>43536</v>
      </c>
      <c r="FJ1" s="1331">
        <v>43537</v>
      </c>
      <c r="FK1" s="1331">
        <v>43538</v>
      </c>
      <c r="FL1" s="1331">
        <v>43539</v>
      </c>
      <c r="FM1" s="1331">
        <v>43540</v>
      </c>
      <c r="FN1" s="1331">
        <v>43541</v>
      </c>
      <c r="FO1" s="448">
        <f>FN1</f>
        <v>43541</v>
      </c>
    </row>
    <row r="2" spans="1:171" ht="24.75" x14ac:dyDescent="0.45">
      <c r="B2" t="s">
        <v>688</v>
      </c>
      <c r="C2" s="436">
        <f t="array" ref="C2:FN2">WEEKDAY(tracker_days)</f>
        <v>2</v>
      </c>
      <c r="D2" s="436">
        <v>3</v>
      </c>
      <c r="E2" s="436">
        <v>4</v>
      </c>
      <c r="F2" s="436">
        <v>5</v>
      </c>
      <c r="G2" s="436">
        <v>6</v>
      </c>
      <c r="H2" s="436">
        <v>7</v>
      </c>
      <c r="I2" s="436">
        <v>1</v>
      </c>
      <c r="J2" s="436">
        <v>2</v>
      </c>
      <c r="K2" s="436">
        <v>3</v>
      </c>
      <c r="L2" s="436">
        <v>4</v>
      </c>
      <c r="M2" s="436">
        <v>5</v>
      </c>
      <c r="N2" s="436">
        <v>6</v>
      </c>
      <c r="O2" s="436">
        <v>7</v>
      </c>
      <c r="P2" s="436">
        <v>1</v>
      </c>
      <c r="Q2" s="436">
        <v>2</v>
      </c>
      <c r="R2" s="436">
        <v>3</v>
      </c>
      <c r="S2" s="436">
        <v>4</v>
      </c>
      <c r="T2" s="436">
        <v>5</v>
      </c>
      <c r="U2" s="436">
        <v>6</v>
      </c>
      <c r="V2" s="436">
        <v>7</v>
      </c>
      <c r="W2" s="436">
        <v>1</v>
      </c>
      <c r="X2" s="436">
        <v>2</v>
      </c>
      <c r="Y2" s="436">
        <v>3</v>
      </c>
      <c r="Z2" s="436">
        <v>4</v>
      </c>
      <c r="AA2" s="436">
        <v>5</v>
      </c>
      <c r="AB2" s="436">
        <v>6</v>
      </c>
      <c r="AC2" s="436">
        <v>7</v>
      </c>
      <c r="AD2" s="436">
        <v>1</v>
      </c>
      <c r="AE2" s="436">
        <v>2</v>
      </c>
      <c r="AF2" s="436">
        <v>3</v>
      </c>
      <c r="AG2" s="436">
        <v>4</v>
      </c>
      <c r="AH2" s="436">
        <v>5</v>
      </c>
      <c r="AI2" s="436">
        <v>6</v>
      </c>
      <c r="AJ2" s="436">
        <v>7</v>
      </c>
      <c r="AK2" s="436">
        <v>1</v>
      </c>
      <c r="AL2" s="436">
        <v>2</v>
      </c>
      <c r="AM2" s="436">
        <v>3</v>
      </c>
      <c r="AN2" s="436">
        <v>4</v>
      </c>
      <c r="AO2" s="436">
        <v>5</v>
      </c>
      <c r="AP2" s="436">
        <v>6</v>
      </c>
      <c r="AQ2" s="436">
        <v>7</v>
      </c>
      <c r="AR2" s="436">
        <v>1</v>
      </c>
      <c r="AS2" s="436">
        <v>2</v>
      </c>
      <c r="AT2" s="436">
        <v>3</v>
      </c>
      <c r="AU2" s="436">
        <v>4</v>
      </c>
      <c r="AV2" s="436">
        <v>5</v>
      </c>
      <c r="AW2" s="436">
        <v>6</v>
      </c>
      <c r="AX2" s="436">
        <v>7</v>
      </c>
      <c r="AY2" s="436">
        <v>1</v>
      </c>
      <c r="AZ2" s="436">
        <v>2</v>
      </c>
      <c r="BA2" s="436">
        <v>3</v>
      </c>
      <c r="BB2" s="436">
        <v>4</v>
      </c>
      <c r="BC2" s="436">
        <v>5</v>
      </c>
      <c r="BD2" s="436">
        <v>6</v>
      </c>
      <c r="BE2" s="436">
        <v>7</v>
      </c>
      <c r="BF2" s="436">
        <v>1</v>
      </c>
      <c r="BG2" s="436">
        <v>2</v>
      </c>
      <c r="BH2" s="436">
        <v>3</v>
      </c>
      <c r="BI2" s="436">
        <v>4</v>
      </c>
      <c r="BJ2" s="436">
        <v>5</v>
      </c>
      <c r="BK2" s="436">
        <v>6</v>
      </c>
      <c r="BL2" s="436">
        <v>7</v>
      </c>
      <c r="BM2" s="436">
        <v>1</v>
      </c>
      <c r="BN2" s="436">
        <v>2</v>
      </c>
      <c r="BO2" s="436">
        <v>3</v>
      </c>
      <c r="BP2" s="436">
        <v>4</v>
      </c>
      <c r="BQ2" s="436">
        <v>5</v>
      </c>
      <c r="BR2" s="436">
        <v>6</v>
      </c>
      <c r="BS2" s="436">
        <v>7</v>
      </c>
      <c r="BT2" s="436">
        <v>1</v>
      </c>
      <c r="BU2" s="436">
        <v>2</v>
      </c>
      <c r="BV2" s="436">
        <v>3</v>
      </c>
      <c r="BW2" s="436">
        <v>4</v>
      </c>
      <c r="BX2" s="436">
        <v>5</v>
      </c>
      <c r="BY2" s="436">
        <v>6</v>
      </c>
      <c r="BZ2" s="436">
        <v>7</v>
      </c>
      <c r="CA2" s="436">
        <v>1</v>
      </c>
      <c r="CB2" s="436">
        <v>2</v>
      </c>
      <c r="CC2" s="436">
        <v>3</v>
      </c>
      <c r="CD2" s="436">
        <v>4</v>
      </c>
      <c r="CE2" s="436">
        <v>5</v>
      </c>
      <c r="CF2" s="436">
        <v>6</v>
      </c>
      <c r="CG2" s="436">
        <v>7</v>
      </c>
      <c r="CH2" s="436">
        <v>1</v>
      </c>
      <c r="CI2" s="436">
        <v>2</v>
      </c>
      <c r="CJ2" s="436">
        <v>3</v>
      </c>
      <c r="CK2" s="436">
        <v>4</v>
      </c>
      <c r="CL2" s="436">
        <v>5</v>
      </c>
      <c r="CM2" s="436">
        <v>6</v>
      </c>
      <c r="CN2" s="436">
        <v>7</v>
      </c>
      <c r="CO2" s="436">
        <v>1</v>
      </c>
      <c r="CP2" s="436">
        <v>2</v>
      </c>
      <c r="CQ2" s="436">
        <v>3</v>
      </c>
      <c r="CR2" s="436">
        <v>4</v>
      </c>
      <c r="CS2" s="436">
        <v>5</v>
      </c>
      <c r="CT2" s="436">
        <v>6</v>
      </c>
      <c r="CU2" s="436">
        <v>7</v>
      </c>
      <c r="CV2" s="436">
        <v>1</v>
      </c>
      <c r="CW2" s="436">
        <v>2</v>
      </c>
      <c r="CX2" s="436">
        <v>3</v>
      </c>
      <c r="CY2" s="436">
        <v>4</v>
      </c>
      <c r="CZ2" s="436">
        <v>5</v>
      </c>
      <c r="DA2" s="436">
        <v>6</v>
      </c>
      <c r="DB2" s="436">
        <v>7</v>
      </c>
      <c r="DC2" s="436">
        <v>1</v>
      </c>
      <c r="DD2" s="436">
        <v>2</v>
      </c>
      <c r="DE2" s="436">
        <v>3</v>
      </c>
      <c r="DF2" s="436">
        <v>4</v>
      </c>
      <c r="DG2" s="436">
        <v>5</v>
      </c>
      <c r="DH2" s="436">
        <v>6</v>
      </c>
      <c r="DI2" s="436">
        <v>7</v>
      </c>
      <c r="DJ2" s="436">
        <v>1</v>
      </c>
      <c r="DK2" s="436">
        <v>2</v>
      </c>
      <c r="DL2" s="436">
        <v>3</v>
      </c>
      <c r="DM2" s="436">
        <v>4</v>
      </c>
      <c r="DN2" s="436">
        <v>5</v>
      </c>
      <c r="DO2" s="436">
        <v>6</v>
      </c>
      <c r="DP2" s="436">
        <v>7</v>
      </c>
      <c r="DQ2" s="436">
        <v>1</v>
      </c>
      <c r="DR2" s="436">
        <v>2</v>
      </c>
      <c r="DS2" s="436">
        <v>3</v>
      </c>
      <c r="DT2" s="436">
        <v>4</v>
      </c>
      <c r="DU2" s="436">
        <v>5</v>
      </c>
      <c r="DV2" s="436">
        <v>6</v>
      </c>
      <c r="DW2" s="436">
        <v>7</v>
      </c>
      <c r="DX2" s="436">
        <v>1</v>
      </c>
      <c r="DY2" s="436">
        <v>2</v>
      </c>
      <c r="DZ2" s="436">
        <v>3</v>
      </c>
      <c r="EA2" s="436">
        <v>4</v>
      </c>
      <c r="EB2" s="436">
        <v>5</v>
      </c>
      <c r="EC2" s="436">
        <v>6</v>
      </c>
      <c r="ED2" s="436">
        <v>7</v>
      </c>
      <c r="EE2" s="436">
        <v>1</v>
      </c>
      <c r="EF2" s="436">
        <v>2</v>
      </c>
      <c r="EG2" s="436">
        <v>3</v>
      </c>
      <c r="EH2" s="436">
        <v>4</v>
      </c>
      <c r="EI2" s="436">
        <v>5</v>
      </c>
      <c r="EJ2" s="436">
        <v>6</v>
      </c>
      <c r="EK2" s="436">
        <v>7</v>
      </c>
      <c r="EL2" s="436">
        <v>1</v>
      </c>
      <c r="EM2" s="436">
        <v>2</v>
      </c>
      <c r="EN2" s="436">
        <v>3</v>
      </c>
      <c r="EO2" s="436">
        <v>4</v>
      </c>
      <c r="EP2" s="436">
        <v>5</v>
      </c>
      <c r="EQ2" s="436">
        <v>6</v>
      </c>
      <c r="ER2" s="436">
        <v>7</v>
      </c>
      <c r="ES2" s="436">
        <v>1</v>
      </c>
      <c r="ET2" s="436">
        <v>2</v>
      </c>
      <c r="EU2" s="436">
        <v>3</v>
      </c>
      <c r="EV2" s="436">
        <v>4</v>
      </c>
      <c r="EW2" s="436">
        <v>5</v>
      </c>
      <c r="EX2" s="436">
        <v>6</v>
      </c>
      <c r="EY2" s="436">
        <v>7</v>
      </c>
      <c r="EZ2" s="436">
        <v>1</v>
      </c>
      <c r="FA2" s="436">
        <v>2</v>
      </c>
      <c r="FB2" s="436">
        <v>3</v>
      </c>
      <c r="FC2" s="436">
        <v>4</v>
      </c>
      <c r="FD2" s="436">
        <v>5</v>
      </c>
      <c r="FE2" s="436">
        <v>6</v>
      </c>
      <c r="FF2" s="436">
        <v>7</v>
      </c>
      <c r="FG2" s="436">
        <v>1</v>
      </c>
      <c r="FH2" s="436">
        <v>2</v>
      </c>
      <c r="FI2" s="436">
        <v>3</v>
      </c>
      <c r="FJ2" s="436">
        <v>4</v>
      </c>
      <c r="FK2" s="436">
        <v>5</v>
      </c>
      <c r="FL2" s="436">
        <v>6</v>
      </c>
      <c r="FM2" s="436">
        <v>7</v>
      </c>
      <c r="FN2" s="436">
        <v>1</v>
      </c>
    </row>
    <row r="3" spans="1:171" x14ac:dyDescent="0.45">
      <c r="B3" t="s">
        <v>389</v>
      </c>
      <c r="C3" s="1335">
        <f t="array" ref="C3:FN3">((tracker_days-tracker_start_date)/7)+1</f>
        <v>1</v>
      </c>
      <c r="D3" s="1335">
        <v>1.1428571428571428</v>
      </c>
      <c r="E3" s="1335">
        <v>1.2857142857142856</v>
      </c>
      <c r="F3" s="1335">
        <v>1.4285714285714286</v>
      </c>
      <c r="G3" s="1335">
        <v>1.5714285714285714</v>
      </c>
      <c r="H3" s="1335">
        <v>1.7142857142857144</v>
      </c>
      <c r="I3" s="1335">
        <v>1.8571428571428572</v>
      </c>
      <c r="J3" s="1335">
        <v>2</v>
      </c>
      <c r="K3" s="1335">
        <v>2.1428571428571428</v>
      </c>
      <c r="L3" s="1335">
        <v>2.2857142857142856</v>
      </c>
      <c r="M3" s="1335">
        <v>2.4285714285714288</v>
      </c>
      <c r="N3" s="1335">
        <v>2.5714285714285712</v>
      </c>
      <c r="O3" s="1335">
        <v>2.7142857142857144</v>
      </c>
      <c r="P3" s="1335">
        <v>2.8571428571428572</v>
      </c>
      <c r="Q3" s="1335">
        <v>3</v>
      </c>
      <c r="R3" s="1335">
        <v>3.1428571428571428</v>
      </c>
      <c r="S3" s="1335">
        <v>3.2857142857142856</v>
      </c>
      <c r="T3" s="1335">
        <v>3.4285714285714284</v>
      </c>
      <c r="U3" s="1335">
        <v>3.5714285714285716</v>
      </c>
      <c r="V3" s="1335">
        <v>3.7142857142857144</v>
      </c>
      <c r="W3" s="1335">
        <v>3.8571428571428572</v>
      </c>
      <c r="X3" s="1335">
        <v>4</v>
      </c>
      <c r="Y3" s="1335">
        <v>4.1428571428571423</v>
      </c>
      <c r="Z3" s="1335">
        <v>4.2857142857142856</v>
      </c>
      <c r="AA3" s="1335">
        <v>4.4285714285714288</v>
      </c>
      <c r="AB3" s="1335">
        <v>4.5714285714285712</v>
      </c>
      <c r="AC3" s="1335">
        <v>4.7142857142857144</v>
      </c>
      <c r="AD3" s="1335">
        <v>4.8571428571428577</v>
      </c>
      <c r="AE3" s="1335">
        <v>5</v>
      </c>
      <c r="AF3" s="1335">
        <v>5.1428571428571432</v>
      </c>
      <c r="AG3" s="1335">
        <v>5.2857142857142856</v>
      </c>
      <c r="AH3" s="1335">
        <v>5.4285714285714288</v>
      </c>
      <c r="AI3" s="1335">
        <v>5.5714285714285712</v>
      </c>
      <c r="AJ3" s="1335">
        <v>5.7142857142857144</v>
      </c>
      <c r="AK3" s="1335">
        <v>5.8571428571428568</v>
      </c>
      <c r="AL3" s="1335">
        <v>6</v>
      </c>
      <c r="AM3" s="1335">
        <v>6.1428571428571432</v>
      </c>
      <c r="AN3" s="1335">
        <v>6.2857142857142856</v>
      </c>
      <c r="AO3" s="1335">
        <v>6.4285714285714288</v>
      </c>
      <c r="AP3" s="1335">
        <v>6.5714285714285712</v>
      </c>
      <c r="AQ3" s="1335">
        <v>6.7142857142857144</v>
      </c>
      <c r="AR3" s="1335">
        <v>6.8571428571428568</v>
      </c>
      <c r="AS3" s="1335">
        <v>7</v>
      </c>
      <c r="AT3" s="1335">
        <v>7.1428571428571432</v>
      </c>
      <c r="AU3" s="1335">
        <v>7.2857142857142856</v>
      </c>
      <c r="AV3" s="1335">
        <v>7.4285714285714288</v>
      </c>
      <c r="AW3" s="1335">
        <v>7.5714285714285712</v>
      </c>
      <c r="AX3" s="1335">
        <v>7.7142857142857144</v>
      </c>
      <c r="AY3" s="1335">
        <v>7.8571428571428568</v>
      </c>
      <c r="AZ3" s="1335">
        <v>8</v>
      </c>
      <c r="BA3" s="1335">
        <v>8.1428571428571423</v>
      </c>
      <c r="BB3" s="1335">
        <v>8.2857142857142847</v>
      </c>
      <c r="BC3" s="1335">
        <v>8.4285714285714288</v>
      </c>
      <c r="BD3" s="1335">
        <v>8.5714285714285712</v>
      </c>
      <c r="BE3" s="1335">
        <v>8.7142857142857153</v>
      </c>
      <c r="BF3" s="1335">
        <v>8.8571428571428577</v>
      </c>
      <c r="BG3" s="1335">
        <v>9</v>
      </c>
      <c r="BH3" s="1335">
        <v>9.1428571428571423</v>
      </c>
      <c r="BI3" s="1335">
        <v>9.2857142857142865</v>
      </c>
      <c r="BJ3" s="1335">
        <v>9.4285714285714288</v>
      </c>
      <c r="BK3" s="1335">
        <v>9.5714285714285712</v>
      </c>
      <c r="BL3" s="1335">
        <v>9.7142857142857135</v>
      </c>
      <c r="BM3" s="1335">
        <v>9.8571428571428577</v>
      </c>
      <c r="BN3" s="1335">
        <v>10</v>
      </c>
      <c r="BO3" s="1335">
        <v>10.142857142857142</v>
      </c>
      <c r="BP3" s="1335">
        <v>10.285714285714286</v>
      </c>
      <c r="BQ3" s="1335">
        <v>10.428571428571429</v>
      </c>
      <c r="BR3" s="1335">
        <v>10.571428571428571</v>
      </c>
      <c r="BS3" s="1335">
        <v>10.714285714285714</v>
      </c>
      <c r="BT3" s="1335">
        <v>10.857142857142858</v>
      </c>
      <c r="BU3" s="1335">
        <v>11</v>
      </c>
      <c r="BV3" s="1335">
        <v>11.142857142857142</v>
      </c>
      <c r="BW3" s="1335">
        <v>11.285714285714286</v>
      </c>
      <c r="BX3" s="1335">
        <v>11.428571428571429</v>
      </c>
      <c r="BY3" s="1335">
        <v>11.571428571428571</v>
      </c>
      <c r="BZ3" s="1335">
        <v>11.714285714285714</v>
      </c>
      <c r="CA3" s="1335">
        <v>11.857142857142858</v>
      </c>
      <c r="CB3" s="1335">
        <v>12</v>
      </c>
      <c r="CC3" s="1335">
        <v>12.142857142857142</v>
      </c>
      <c r="CD3" s="1335">
        <v>12.285714285714286</v>
      </c>
      <c r="CE3" s="1335">
        <v>12.428571428571429</v>
      </c>
      <c r="CF3" s="1335">
        <v>12.571428571428571</v>
      </c>
      <c r="CG3" s="1335">
        <v>12.714285714285714</v>
      </c>
      <c r="CH3" s="1335">
        <v>12.857142857142858</v>
      </c>
      <c r="CI3" s="1335">
        <v>13</v>
      </c>
      <c r="CJ3" s="1335">
        <v>13.142857142857142</v>
      </c>
      <c r="CK3" s="1335">
        <v>13.285714285714286</v>
      </c>
      <c r="CL3" s="1335">
        <v>13.428571428571429</v>
      </c>
      <c r="CM3" s="1335">
        <v>13.571428571428571</v>
      </c>
      <c r="CN3" s="1335">
        <v>13.714285714285714</v>
      </c>
      <c r="CO3" s="1335">
        <v>13.857142857142858</v>
      </c>
      <c r="CP3" s="1335">
        <v>14</v>
      </c>
      <c r="CQ3" s="1335">
        <v>14.142857142857142</v>
      </c>
      <c r="CR3" s="1335">
        <v>14.285714285714286</v>
      </c>
      <c r="CS3" s="1335">
        <v>14.428571428571429</v>
      </c>
      <c r="CT3" s="1335">
        <v>14.571428571428571</v>
      </c>
      <c r="CU3" s="1335">
        <v>14.714285714285714</v>
      </c>
      <c r="CV3" s="1335">
        <v>14.857142857142858</v>
      </c>
      <c r="CW3" s="1335">
        <v>15</v>
      </c>
      <c r="CX3" s="1335">
        <v>15.142857142857142</v>
      </c>
      <c r="CY3" s="1335">
        <v>15.285714285714286</v>
      </c>
      <c r="CZ3" s="1335">
        <v>15.428571428571429</v>
      </c>
      <c r="DA3" s="1335">
        <v>15.571428571428571</v>
      </c>
      <c r="DB3" s="1335">
        <v>15.714285714285714</v>
      </c>
      <c r="DC3" s="1335">
        <v>15.857142857142858</v>
      </c>
      <c r="DD3" s="1335">
        <v>16</v>
      </c>
      <c r="DE3" s="1335">
        <v>16.142857142857142</v>
      </c>
      <c r="DF3" s="1335">
        <v>16.285714285714285</v>
      </c>
      <c r="DG3" s="1335">
        <v>16.428571428571431</v>
      </c>
      <c r="DH3" s="1335">
        <v>16.571428571428569</v>
      </c>
      <c r="DI3" s="1335">
        <v>16.714285714285715</v>
      </c>
      <c r="DJ3" s="1335">
        <v>16.857142857142858</v>
      </c>
      <c r="DK3" s="1335">
        <v>17</v>
      </c>
      <c r="DL3" s="1335">
        <v>17.142857142857142</v>
      </c>
      <c r="DM3" s="1335">
        <v>17.285714285714285</v>
      </c>
      <c r="DN3" s="1335">
        <v>17.428571428571427</v>
      </c>
      <c r="DO3" s="1335">
        <v>17.571428571428573</v>
      </c>
      <c r="DP3" s="1335">
        <v>17.714285714285715</v>
      </c>
      <c r="DQ3" s="1335">
        <v>17.857142857142858</v>
      </c>
      <c r="DR3" s="1335">
        <v>18</v>
      </c>
      <c r="DS3" s="1335">
        <v>18.142857142857142</v>
      </c>
      <c r="DT3" s="1335">
        <v>18.285714285714285</v>
      </c>
      <c r="DU3" s="1335">
        <v>18.428571428571427</v>
      </c>
      <c r="DV3" s="1335">
        <v>18.571428571428573</v>
      </c>
      <c r="DW3" s="1335">
        <v>18.714285714285715</v>
      </c>
      <c r="DX3" s="1335">
        <v>18.857142857142858</v>
      </c>
      <c r="DY3" s="1335">
        <v>19</v>
      </c>
      <c r="DZ3" s="1335">
        <v>19.142857142857142</v>
      </c>
      <c r="EA3" s="1335">
        <v>19.285714285714285</v>
      </c>
      <c r="EB3" s="1335">
        <v>19.428571428571427</v>
      </c>
      <c r="EC3" s="1335">
        <v>19.571428571428573</v>
      </c>
      <c r="ED3" s="1335">
        <v>19.714285714285715</v>
      </c>
      <c r="EE3" s="1335">
        <v>19.857142857142858</v>
      </c>
      <c r="EF3" s="1335">
        <v>20</v>
      </c>
      <c r="EG3" s="1335">
        <v>20.142857142857142</v>
      </c>
      <c r="EH3" s="1335">
        <v>20.285714285714285</v>
      </c>
      <c r="EI3" s="1335">
        <v>20.428571428571427</v>
      </c>
      <c r="EJ3" s="1335">
        <v>20.571428571428573</v>
      </c>
      <c r="EK3" s="1335">
        <v>20.714285714285715</v>
      </c>
      <c r="EL3" s="1335">
        <v>20.857142857142858</v>
      </c>
      <c r="EM3" s="1335">
        <v>21</v>
      </c>
      <c r="EN3" s="1335">
        <v>21.142857142857142</v>
      </c>
      <c r="EO3" s="1335">
        <v>21.285714285714285</v>
      </c>
      <c r="EP3" s="1335">
        <v>21.428571428571427</v>
      </c>
      <c r="EQ3" s="1335">
        <v>21.571428571428573</v>
      </c>
      <c r="ER3" s="1335">
        <v>21.714285714285715</v>
      </c>
      <c r="ES3" s="1335">
        <v>21.857142857142858</v>
      </c>
      <c r="ET3" s="1335">
        <v>22</v>
      </c>
      <c r="EU3" s="1335">
        <v>22.142857142857142</v>
      </c>
      <c r="EV3" s="1335">
        <v>22.285714285714285</v>
      </c>
      <c r="EW3" s="1335">
        <v>22.428571428571427</v>
      </c>
      <c r="EX3" s="1335">
        <v>22.571428571428573</v>
      </c>
      <c r="EY3" s="1335">
        <v>22.714285714285715</v>
      </c>
      <c r="EZ3" s="1335">
        <v>22.857142857142858</v>
      </c>
      <c r="FA3" s="1335">
        <v>23</v>
      </c>
      <c r="FB3" s="1335">
        <v>23.142857142857142</v>
      </c>
      <c r="FC3" s="1335">
        <v>23.285714285714285</v>
      </c>
      <c r="FD3" s="1335">
        <v>23.428571428571427</v>
      </c>
      <c r="FE3" s="1335">
        <v>23.571428571428573</v>
      </c>
      <c r="FF3" s="1335">
        <v>23.714285714285715</v>
      </c>
      <c r="FG3" s="1335">
        <v>23.857142857142858</v>
      </c>
      <c r="FH3" s="1335">
        <v>24</v>
      </c>
      <c r="FI3" s="1335">
        <v>24.142857142857142</v>
      </c>
      <c r="FJ3" s="1335">
        <v>24.285714285714285</v>
      </c>
      <c r="FK3" s="1335">
        <v>24.428571428571427</v>
      </c>
      <c r="FL3" s="1335">
        <v>24.571428571428573</v>
      </c>
      <c r="FM3" s="1335">
        <v>24.714285714285715</v>
      </c>
      <c r="FN3" s="1335">
        <v>24.857142857142858</v>
      </c>
    </row>
    <row r="4" spans="1:171" x14ac:dyDescent="0.45">
      <c r="A4" s="1869" t="s">
        <v>359</v>
      </c>
      <c r="B4" t="s">
        <v>351</v>
      </c>
      <c r="C4" s="1333">
        <f t="array" aca="1" ref="C4:FN4" ca="1">INDEX(final_load, WEEKDAY(tracker_days,2)*2-1,TRUNC((tracker_days-plan_start_date)/7)+1)</f>
        <v>52.141504510283774</v>
      </c>
      <c r="D4" s="1333">
        <f ca="1"/>
        <v>52.141504510283774</v>
      </c>
      <c r="E4" s="1333">
        <f ca="1"/>
        <v>0</v>
      </c>
      <c r="F4" s="1333">
        <f ca="1"/>
        <v>52.141504510283774</v>
      </c>
      <c r="G4" s="1333">
        <f ca="1"/>
        <v>52.141504510283774</v>
      </c>
      <c r="H4" s="1333">
        <f ca="1"/>
        <v>80.939329747723065</v>
      </c>
      <c r="I4" s="1333">
        <f ca="1"/>
        <v>224.34802281048886</v>
      </c>
      <c r="J4" s="1333">
        <f ca="1"/>
        <v>52.141504510283774</v>
      </c>
      <c r="K4" s="1333">
        <f ca="1"/>
        <v>52.141504510283774</v>
      </c>
      <c r="L4" s="1333">
        <f ca="1"/>
        <v>0</v>
      </c>
      <c r="M4" s="1333">
        <f ca="1"/>
        <v>52.141504510283774</v>
      </c>
      <c r="N4" s="1333">
        <f ca="1"/>
        <v>52.141504510283774</v>
      </c>
      <c r="O4" s="1333">
        <f ca="1"/>
        <v>80.939329747723065</v>
      </c>
      <c r="P4" s="1333">
        <f ca="1"/>
        <v>232.65720884050694</v>
      </c>
      <c r="Q4" s="1333">
        <f ca="1"/>
        <v>52.141504510283774</v>
      </c>
      <c r="R4" s="1333">
        <f ca="1"/>
        <v>52.141504510283774</v>
      </c>
      <c r="S4" s="1333">
        <f ca="1"/>
        <v>0</v>
      </c>
      <c r="T4" s="1333">
        <f ca="1"/>
        <v>52.141504510283774</v>
      </c>
      <c r="U4" s="1333">
        <f ca="1"/>
        <v>52.141504510283774</v>
      </c>
      <c r="V4" s="1333">
        <f ca="1"/>
        <v>80.939329747723065</v>
      </c>
      <c r="W4" s="1333">
        <f ca="1"/>
        <v>240.96639487052505</v>
      </c>
      <c r="X4" s="1333">
        <f ca="1"/>
        <v>52.141504510283774</v>
      </c>
      <c r="Y4" s="1333">
        <f ca="1"/>
        <v>52.141504510283774</v>
      </c>
      <c r="Z4" s="1333">
        <f ca="1"/>
        <v>0</v>
      </c>
      <c r="AA4" s="1333">
        <f ca="1"/>
        <v>52.141504510283774</v>
      </c>
      <c r="AB4" s="1333">
        <f ca="1"/>
        <v>52.141504510283774</v>
      </c>
      <c r="AC4" s="1333">
        <f ca="1"/>
        <v>111.02103941041415</v>
      </c>
      <c r="AD4" s="1333">
        <f ca="1"/>
        <v>257.58476693056127</v>
      </c>
      <c r="AE4" s="1333">
        <f ca="1"/>
        <v>52.141504510283774</v>
      </c>
      <c r="AF4" s="1333">
        <f ca="1"/>
        <v>52.141504510283774</v>
      </c>
      <c r="AG4" s="1333">
        <f ca="1"/>
        <v>0</v>
      </c>
      <c r="AH4" s="1333">
        <f ca="1"/>
        <v>52.141504510283774</v>
      </c>
      <c r="AI4" s="1333">
        <f ca="1"/>
        <v>52.141504510283774</v>
      </c>
      <c r="AJ4" s="1333">
        <f ca="1"/>
        <v>117.53872747419962</v>
      </c>
      <c r="AK4" s="1333">
        <f ca="1"/>
        <v>265.89395296057938</v>
      </c>
      <c r="AL4" s="1333">
        <f ca="1"/>
        <v>52.141504510283774</v>
      </c>
      <c r="AM4" s="1333">
        <f ca="1"/>
        <v>52.141504510283774</v>
      </c>
      <c r="AN4" s="1333">
        <f ca="1"/>
        <v>0</v>
      </c>
      <c r="AO4" s="1333">
        <f ca="1"/>
        <v>52.141504510283774</v>
      </c>
      <c r="AP4" s="1333">
        <f ca="1"/>
        <v>52.141504510283774</v>
      </c>
      <c r="AQ4" s="1333">
        <f ca="1"/>
        <v>398.84092944086905</v>
      </c>
      <c r="AR4" s="1333">
        <f ca="1"/>
        <v>78.212256765425664</v>
      </c>
      <c r="AS4" s="1333">
        <f ca="1"/>
        <v>52.141504510283774</v>
      </c>
      <c r="AT4" s="1333">
        <f ca="1"/>
        <v>52.141504510283774</v>
      </c>
      <c r="AU4" s="1333">
        <f ca="1"/>
        <v>0</v>
      </c>
      <c r="AV4" s="1333">
        <f ca="1"/>
        <v>0</v>
      </c>
      <c r="AW4" s="1333">
        <f ca="1"/>
        <v>52.141504510283774</v>
      </c>
      <c r="AX4" s="1333">
        <f ca="1"/>
        <v>104.50335134662868</v>
      </c>
      <c r="AY4" s="1333">
        <f ca="1"/>
        <v>216.03883678047075</v>
      </c>
      <c r="AZ4" s="1333">
        <f ca="1"/>
        <v>52.141504510283774</v>
      </c>
      <c r="BA4" s="1333">
        <f ca="1"/>
        <v>0</v>
      </c>
      <c r="BB4" s="1333">
        <f ca="1"/>
        <v>0</v>
      </c>
      <c r="BC4" s="1333">
        <f ca="1"/>
        <v>0</v>
      </c>
      <c r="BD4" s="1333">
        <f ca="1"/>
        <v>52.141504510283774</v>
      </c>
      <c r="BE4" s="1333">
        <f ca="1"/>
        <v>97.985663282843205</v>
      </c>
      <c r="BF4" s="1333">
        <f ca="1"/>
        <v>182.80209266039833</v>
      </c>
      <c r="BG4" s="1333">
        <f ca="1"/>
        <v>52.141504510283774</v>
      </c>
      <c r="BH4" s="1333">
        <f ca="1"/>
        <v>0</v>
      </c>
      <c r="BI4" s="1333">
        <f ca="1"/>
        <v>0</v>
      </c>
      <c r="BJ4" s="1333">
        <f ca="1"/>
        <v>0</v>
      </c>
      <c r="BK4" s="1333">
        <f ca="1"/>
        <v>49.922045068967208</v>
      </c>
      <c r="BL4" s="1333">
        <f ca="1"/>
        <v>783.81617969752529</v>
      </c>
      <c r="BM4" s="1333">
        <f ca="1"/>
        <v>0</v>
      </c>
      <c r="BN4" s="1333">
        <f ca="1"/>
        <v>0</v>
      </c>
      <c r="BO4" s="1333">
        <f ca="1"/>
        <v>0</v>
      </c>
      <c r="BP4" s="1333">
        <f ca="1"/>
        <v>0</v>
      </c>
      <c r="BQ4" s="1333">
        <f ca="1"/>
        <v>0</v>
      </c>
      <c r="BR4" s="1333">
        <f ca="1"/>
        <v>0</v>
      </c>
      <c r="BS4" s="1333">
        <f ca="1"/>
        <v>0</v>
      </c>
      <c r="BT4" s="1333">
        <f ca="1"/>
        <v>0</v>
      </c>
      <c r="BU4" s="1333">
        <f ca="1"/>
        <v>0</v>
      </c>
      <c r="BV4" s="1333">
        <f ca="1"/>
        <v>0</v>
      </c>
      <c r="BW4" s="1333">
        <f ca="1"/>
        <v>0</v>
      </c>
      <c r="BX4" s="1333">
        <f ca="1"/>
        <v>0</v>
      </c>
      <c r="BY4" s="1333">
        <f ca="1"/>
        <v>0</v>
      </c>
      <c r="BZ4" s="1333">
        <f ca="1"/>
        <v>240.96639487052505</v>
      </c>
      <c r="CA4" s="1333">
        <f ca="1"/>
        <v>240.96639487052505</v>
      </c>
      <c r="CB4" s="1333">
        <f ca="1"/>
        <v>52.141504510283774</v>
      </c>
      <c r="CC4" s="1333">
        <f ca="1"/>
        <v>52.141504510283774</v>
      </c>
      <c r="CD4" s="1333">
        <f ca="1"/>
        <v>0</v>
      </c>
      <c r="CE4" s="1333">
        <f ca="1"/>
        <v>52.141504510283774</v>
      </c>
      <c r="CF4" s="1333">
        <f ca="1"/>
        <v>52.141504510283774</v>
      </c>
      <c r="CG4" s="1333">
        <f ca="1"/>
        <v>116.32860442025347</v>
      </c>
      <c r="CH4" s="1333">
        <f ca="1"/>
        <v>191.11127869041641</v>
      </c>
      <c r="CI4" s="1333">
        <f ca="1"/>
        <v>52.141504510283774</v>
      </c>
      <c r="CJ4" s="1333">
        <f ca="1"/>
        <v>52.141504510283774</v>
      </c>
      <c r="CK4" s="1333">
        <f ca="1"/>
        <v>0</v>
      </c>
      <c r="CL4" s="1333">
        <f ca="1"/>
        <v>52.141504510283774</v>
      </c>
      <c r="CM4" s="1333">
        <f ca="1"/>
        <v>52.141504510283774</v>
      </c>
      <c r="CN4" s="1333">
        <f ca="1"/>
        <v>124.63779045027158</v>
      </c>
      <c r="CO4" s="1333">
        <f ca="1"/>
        <v>207.72965075045263</v>
      </c>
      <c r="CP4" s="1333">
        <f ca="1"/>
        <v>52.141504510283774</v>
      </c>
      <c r="CQ4" s="1333">
        <f ca="1"/>
        <v>52.141504510283774</v>
      </c>
      <c r="CR4" s="1333">
        <f ca="1"/>
        <v>0</v>
      </c>
      <c r="CS4" s="1333">
        <f ca="1"/>
        <v>52.141504510283774</v>
      </c>
      <c r="CT4" s="1333">
        <f ca="1"/>
        <v>52.141504510283774</v>
      </c>
      <c r="CU4" s="1333">
        <f ca="1"/>
        <v>157.874534570344</v>
      </c>
      <c r="CV4" s="1333">
        <f ca="1"/>
        <v>265.89395296057938</v>
      </c>
      <c r="CW4" s="1333">
        <f ca="1"/>
        <v>39.106128382712832</v>
      </c>
      <c r="CX4" s="1333">
        <f ca="1"/>
        <v>0</v>
      </c>
      <c r="CY4" s="1333">
        <f ca="1"/>
        <v>0</v>
      </c>
      <c r="CZ4" s="1333">
        <f ca="1"/>
        <v>0</v>
      </c>
      <c r="DA4" s="1333">
        <f ca="1"/>
        <v>39.106128382712832</v>
      </c>
      <c r="DB4" s="1333">
        <f ca="1"/>
        <v>83.091860300181054</v>
      </c>
      <c r="DC4" s="1333">
        <f ca="1"/>
        <v>132.94697648028969</v>
      </c>
      <c r="DD4" s="1333">
        <f ca="1"/>
        <v>39.106128382712832</v>
      </c>
      <c r="DE4" s="1333">
        <f ca="1"/>
        <v>0</v>
      </c>
      <c r="DF4" s="1333">
        <f ca="1"/>
        <v>0</v>
      </c>
      <c r="DG4" s="1333">
        <f ca="1"/>
        <v>0</v>
      </c>
      <c r="DH4" s="1333">
        <f ca="1"/>
        <v>39.106128382712832</v>
      </c>
      <c r="DI4" s="1333">
        <f ca="1"/>
        <v>83.091860300181054</v>
      </c>
      <c r="DJ4" s="1333">
        <f ca="1"/>
        <v>132.94697648028969</v>
      </c>
      <c r="DK4" s="1333">
        <f ca="1"/>
        <v>39.106128382712832</v>
      </c>
      <c r="DL4" s="1333">
        <f ca="1"/>
        <v>0</v>
      </c>
      <c r="DM4" s="1333">
        <f ca="1"/>
        <v>0</v>
      </c>
      <c r="DN4" s="1333">
        <f ca="1"/>
        <v>0</v>
      </c>
      <c r="DO4" s="1333">
        <f ca="1"/>
        <v>0</v>
      </c>
      <c r="DP4" s="1333">
        <f ca="1"/>
        <v>294.30112670373012</v>
      </c>
      <c r="DQ4" s="1333">
        <f ca="1"/>
        <v>139.69190286200978</v>
      </c>
      <c r="DR4" s="1333">
        <f ca="1"/>
        <v>39.106128382712832</v>
      </c>
      <c r="DS4" s="1333">
        <f ca="1"/>
        <v>0</v>
      </c>
      <c r="DT4" s="1333">
        <f ca="1"/>
        <v>0</v>
      </c>
      <c r="DU4" s="1333">
        <f ca="1"/>
        <v>0</v>
      </c>
      <c r="DV4" s="1333">
        <f ca="1"/>
        <v>39.106128382712832</v>
      </c>
      <c r="DW4" s="1333">
        <f ca="1"/>
        <v>108.01941839023537</v>
      </c>
      <c r="DX4" s="1333">
        <f ca="1"/>
        <v>174.49290663038022</v>
      </c>
      <c r="DY4" s="1333">
        <f ca="1"/>
        <v>0</v>
      </c>
      <c r="DZ4" s="1333">
        <f ca="1"/>
        <v>0</v>
      </c>
      <c r="EA4" s="1333">
        <f ca="1"/>
        <v>0</v>
      </c>
      <c r="EB4" s="1333">
        <f ca="1"/>
        <v>26.070752255141887</v>
      </c>
      <c r="EC4" s="1333">
        <f ca="1"/>
        <v>39.106128382712832</v>
      </c>
      <c r="ED4" s="1333">
        <f ca="1"/>
        <v>503.10370156943486</v>
      </c>
      <c r="EE4" s="1333">
        <f ca="1"/>
        <v>0</v>
      </c>
      <c r="EF4" s="1333">
        <f ca="1"/>
        <v>0</v>
      </c>
      <c r="EG4" s="1333">
        <f ca="1"/>
        <v>0</v>
      </c>
      <c r="EH4" s="1333">
        <f ca="1"/>
        <v>0</v>
      </c>
      <c r="EI4" s="1333">
        <f ca="1"/>
        <v>0</v>
      </c>
      <c r="EJ4" s="1333">
        <f ca="1"/>
        <v>0</v>
      </c>
      <c r="EK4" s="1333">
        <f ca="1"/>
        <v>0</v>
      </c>
      <c r="EL4" s="1333">
        <f ca="1"/>
        <v>0</v>
      </c>
      <c r="EM4" s="1333">
        <f ca="1"/>
        <v>0</v>
      </c>
      <c r="EN4" s="1333">
        <f ca="1"/>
        <v>0</v>
      </c>
      <c r="EO4" s="1333">
        <f ca="1"/>
        <v>0</v>
      </c>
      <c r="EP4" s="1333">
        <f ca="1"/>
        <v>0</v>
      </c>
      <c r="EQ4" s="1333">
        <f ca="1"/>
        <v>0</v>
      </c>
      <c r="ER4" s="1333">
        <f ca="1"/>
        <v>0</v>
      </c>
      <c r="ES4" s="1333">
        <f ca="1"/>
        <v>0</v>
      </c>
      <c r="ET4" s="1333">
        <f ca="1"/>
        <v>0</v>
      </c>
      <c r="EU4" s="1333">
        <f ca="1"/>
        <v>0</v>
      </c>
      <c r="EV4" s="1333">
        <f ca="1"/>
        <v>0</v>
      </c>
      <c r="EW4" s="1333">
        <f ca="1"/>
        <v>0</v>
      </c>
      <c r="EX4" s="1333">
        <f ca="1"/>
        <v>0</v>
      </c>
      <c r="EY4" s="1333">
        <f ca="1"/>
        <v>0</v>
      </c>
      <c r="EZ4" s="1333">
        <f ca="1"/>
        <v>0</v>
      </c>
      <c r="FA4" s="1333">
        <f ca="1"/>
        <v>0</v>
      </c>
      <c r="FB4" s="1333">
        <f ca="1"/>
        <v>0</v>
      </c>
      <c r="FC4" s="1333">
        <f ca="1"/>
        <v>0</v>
      </c>
      <c r="FD4" s="1333">
        <f ca="1"/>
        <v>0</v>
      </c>
      <c r="FE4" s="1333">
        <f ca="1"/>
        <v>0</v>
      </c>
      <c r="FF4" s="1333">
        <f ca="1"/>
        <v>0</v>
      </c>
      <c r="FG4" s="1333">
        <f ca="1"/>
        <v>0</v>
      </c>
      <c r="FH4" s="1333">
        <f ca="1"/>
        <v>0</v>
      </c>
      <c r="FI4" s="1333">
        <f ca="1"/>
        <v>0</v>
      </c>
      <c r="FJ4" s="1333">
        <f ca="1"/>
        <v>0</v>
      </c>
      <c r="FK4" s="1333">
        <f ca="1"/>
        <v>0</v>
      </c>
      <c r="FL4" s="1333">
        <f ca="1"/>
        <v>0</v>
      </c>
      <c r="FM4" s="1333">
        <f ca="1"/>
        <v>0</v>
      </c>
      <c r="FN4" s="1333">
        <f ca="1"/>
        <v>0</v>
      </c>
    </row>
    <row r="5" spans="1:171" x14ac:dyDescent="0.45">
      <c r="A5" s="1869"/>
      <c r="B5" t="s">
        <v>352</v>
      </c>
      <c r="C5" s="1334">
        <f t="array" aca="1" ref="C5:FN5" ca="1">INDEX(final_load, WEEKDAY(tracker_days,2)*2,TRUNC((tracker_days-plan_start_date)/7)+1)</f>
        <v>0</v>
      </c>
      <c r="D5" s="1334">
        <f ca="1"/>
        <v>110.77323675581503</v>
      </c>
      <c r="E5" s="1334">
        <f ca="1"/>
        <v>65.176880637854723</v>
      </c>
      <c r="F5" s="1334">
        <f ca="1"/>
        <v>132.94697648028969</v>
      </c>
      <c r="G5" s="1334">
        <f ca="1"/>
        <v>0</v>
      </c>
      <c r="H5" s="1334">
        <f ca="1"/>
        <v>71.694568701640193</v>
      </c>
      <c r="I5" s="1334">
        <f ca="1"/>
        <v>0</v>
      </c>
      <c r="J5" s="1334">
        <f ca="1"/>
        <v>0</v>
      </c>
      <c r="K5" s="1334">
        <f ca="1"/>
        <v>110.77323675581503</v>
      </c>
      <c r="L5" s="1334">
        <f ca="1"/>
        <v>91.247632892996606</v>
      </c>
      <c r="M5" s="1334">
        <f ca="1"/>
        <v>141.2561625103078</v>
      </c>
      <c r="N5" s="1334">
        <f ca="1"/>
        <v>0</v>
      </c>
      <c r="O5" s="1334">
        <f ca="1"/>
        <v>71.694568701640193</v>
      </c>
      <c r="P5" s="1334">
        <f ca="1"/>
        <v>0</v>
      </c>
      <c r="Q5" s="1334">
        <f ca="1"/>
        <v>0</v>
      </c>
      <c r="R5" s="1334">
        <f ca="1"/>
        <v>110.77323675581503</v>
      </c>
      <c r="S5" s="1334">
        <f ca="1"/>
        <v>110.80069708435302</v>
      </c>
      <c r="T5" s="1334">
        <f ca="1"/>
        <v>149.56534854032589</v>
      </c>
      <c r="U5" s="1334">
        <f ca="1"/>
        <v>0</v>
      </c>
      <c r="V5" s="1334">
        <f ca="1"/>
        <v>78.212256765425664</v>
      </c>
      <c r="W5" s="1334">
        <f ca="1"/>
        <v>0</v>
      </c>
      <c r="X5" s="1334">
        <f ca="1"/>
        <v>0</v>
      </c>
      <c r="Y5" s="1334">
        <f ca="1"/>
        <v>110.77323675581503</v>
      </c>
      <c r="Z5" s="1334">
        <f ca="1"/>
        <v>97.765320956782077</v>
      </c>
      <c r="AA5" s="1334">
        <f ca="1"/>
        <v>149.56534854032589</v>
      </c>
      <c r="AB5" s="1334">
        <f ca="1"/>
        <v>0</v>
      </c>
      <c r="AC5" s="1334">
        <f ca="1"/>
        <v>78.212256765425664</v>
      </c>
      <c r="AD5" s="1334">
        <f ca="1"/>
        <v>0</v>
      </c>
      <c r="AE5" s="1334">
        <f ca="1"/>
        <v>0</v>
      </c>
      <c r="AF5" s="1334">
        <f ca="1"/>
        <v>110.77323675581503</v>
      </c>
      <c r="AG5" s="1334">
        <f ca="1"/>
        <v>104.28300902056755</v>
      </c>
      <c r="AH5" s="1334">
        <f ca="1"/>
        <v>157.874534570344</v>
      </c>
      <c r="AI5" s="1334">
        <f ca="1"/>
        <v>0</v>
      </c>
      <c r="AJ5" s="1334">
        <f ca="1"/>
        <v>84.729944829211135</v>
      </c>
      <c r="AK5" s="1334">
        <f ca="1"/>
        <v>0</v>
      </c>
      <c r="AL5" s="1334">
        <f ca="1"/>
        <v>0</v>
      </c>
      <c r="AM5" s="1334">
        <f ca="1"/>
        <v>110.77323675581503</v>
      </c>
      <c r="AN5" s="1334">
        <f ca="1"/>
        <v>123.83607321192396</v>
      </c>
      <c r="AO5" s="1334">
        <f ca="1"/>
        <v>166.18372060036211</v>
      </c>
      <c r="AP5" s="1334">
        <f ca="1"/>
        <v>0</v>
      </c>
      <c r="AQ5" s="1334">
        <f ca="1"/>
        <v>0</v>
      </c>
      <c r="AR5" s="1334">
        <f ca="1"/>
        <v>0</v>
      </c>
      <c r="AS5" s="1334">
        <f ca="1"/>
        <v>0</v>
      </c>
      <c r="AT5" s="1334">
        <f ca="1"/>
        <v>110.77323675581503</v>
      </c>
      <c r="AU5" s="1334">
        <f ca="1"/>
        <v>78.212256765425664</v>
      </c>
      <c r="AV5" s="1334">
        <f ca="1"/>
        <v>132.94697648028969</v>
      </c>
      <c r="AW5" s="1334">
        <f ca="1"/>
        <v>0</v>
      </c>
      <c r="AX5" s="1334">
        <f ca="1"/>
        <v>65.176880637854723</v>
      </c>
      <c r="AY5" s="1334">
        <f ca="1"/>
        <v>0</v>
      </c>
      <c r="AZ5" s="1334">
        <f ca="1"/>
        <v>0</v>
      </c>
      <c r="BA5" s="1334">
        <f ca="1"/>
        <v>110.77323675581503</v>
      </c>
      <c r="BB5" s="1334">
        <f ca="1"/>
        <v>71.694568701640193</v>
      </c>
      <c r="BC5" s="1334">
        <f ca="1"/>
        <v>108.01941839023537</v>
      </c>
      <c r="BD5" s="1334">
        <f ca="1"/>
        <v>0</v>
      </c>
      <c r="BE5" s="1334">
        <f ca="1"/>
        <v>58.659192574069245</v>
      </c>
      <c r="BF5" s="1334">
        <f ca="1"/>
        <v>0</v>
      </c>
      <c r="BG5" s="1334">
        <f ca="1"/>
        <v>0</v>
      </c>
      <c r="BH5" s="1334">
        <f ca="1"/>
        <v>110.77323675581503</v>
      </c>
      <c r="BI5" s="1334">
        <f ca="1"/>
        <v>58.659192574069245</v>
      </c>
      <c r="BJ5" s="1334">
        <f ca="1"/>
        <v>0</v>
      </c>
      <c r="BK5" s="1334">
        <f ca="1"/>
        <v>0</v>
      </c>
      <c r="BL5" s="1334">
        <f ca="1"/>
        <v>0</v>
      </c>
      <c r="BM5" s="1334">
        <f ca="1"/>
        <v>0</v>
      </c>
      <c r="BN5" s="1334">
        <f ca="1"/>
        <v>0</v>
      </c>
      <c r="BO5" s="1334">
        <f ca="1"/>
        <v>0</v>
      </c>
      <c r="BP5" s="1334">
        <f ca="1"/>
        <v>0</v>
      </c>
      <c r="BQ5" s="1334">
        <f ca="1"/>
        <v>0</v>
      </c>
      <c r="BR5" s="1334">
        <f ca="1"/>
        <v>0</v>
      </c>
      <c r="BS5" s="1334">
        <f ca="1"/>
        <v>0</v>
      </c>
      <c r="BT5" s="1334">
        <f ca="1"/>
        <v>83.091860300181054</v>
      </c>
      <c r="BU5" s="1334">
        <f ca="1"/>
        <v>141.2561625103078</v>
      </c>
      <c r="BV5" s="1334">
        <f ca="1"/>
        <v>240.96639487052505</v>
      </c>
      <c r="BW5" s="1334">
        <f ca="1"/>
        <v>240.96639487052505</v>
      </c>
      <c r="BX5" s="1334">
        <f ca="1"/>
        <v>141.2561625103078</v>
      </c>
      <c r="BY5" s="1334">
        <f ca="1"/>
        <v>141.2561625103078</v>
      </c>
      <c r="BZ5" s="1334">
        <f ca="1"/>
        <v>0</v>
      </c>
      <c r="CA5" s="1334">
        <f ca="1"/>
        <v>0</v>
      </c>
      <c r="CB5" s="1334">
        <f ca="1"/>
        <v>0</v>
      </c>
      <c r="CC5" s="1334">
        <f ca="1"/>
        <v>110.77323675581503</v>
      </c>
      <c r="CD5" s="1334">
        <f ca="1"/>
        <v>39.106128382712832</v>
      </c>
      <c r="CE5" s="1334">
        <f ca="1"/>
        <v>72.606294025709445</v>
      </c>
      <c r="CF5" s="1334">
        <f ca="1"/>
        <v>0</v>
      </c>
      <c r="CG5" s="1334">
        <f ca="1"/>
        <v>39.106128382712832</v>
      </c>
      <c r="CH5" s="1334">
        <f ca="1"/>
        <v>0</v>
      </c>
      <c r="CI5" s="1334">
        <f ca="1"/>
        <v>0</v>
      </c>
      <c r="CJ5" s="1334">
        <f ca="1"/>
        <v>110.77323675581503</v>
      </c>
      <c r="CK5" s="1334">
        <f ca="1"/>
        <v>39.106128382712832</v>
      </c>
      <c r="CL5" s="1334">
        <f ca="1"/>
        <v>87.137747813243664</v>
      </c>
      <c r="CM5" s="1334">
        <f ca="1"/>
        <v>0</v>
      </c>
      <c r="CN5" s="1334">
        <f ca="1"/>
        <v>39.106128382712832</v>
      </c>
      <c r="CO5" s="1334">
        <f ca="1"/>
        <v>0</v>
      </c>
      <c r="CP5" s="1334">
        <f ca="1"/>
        <v>0</v>
      </c>
      <c r="CQ5" s="1334">
        <f ca="1"/>
        <v>110.77323675581503</v>
      </c>
      <c r="CR5" s="1334">
        <f ca="1"/>
        <v>104.28300902056755</v>
      </c>
      <c r="CS5" s="1334">
        <f ca="1"/>
        <v>111.01995312704302</v>
      </c>
      <c r="CT5" s="1334">
        <f ca="1"/>
        <v>0</v>
      </c>
      <c r="CU5" s="1334">
        <f ca="1"/>
        <v>104.28300902056755</v>
      </c>
      <c r="CV5" s="1334">
        <f ca="1"/>
        <v>0</v>
      </c>
      <c r="CW5" s="1334">
        <f ca="1"/>
        <v>0</v>
      </c>
      <c r="CX5" s="1334">
        <f ca="1"/>
        <v>110.77323675581503</v>
      </c>
      <c r="CY5" s="1334">
        <f ca="1"/>
        <v>39.106128382712832</v>
      </c>
      <c r="CZ5" s="1334">
        <f ca="1"/>
        <v>84.029326456482224</v>
      </c>
      <c r="DA5" s="1334">
        <f ca="1"/>
        <v>0</v>
      </c>
      <c r="DB5" s="1334">
        <f ca="1"/>
        <v>0</v>
      </c>
      <c r="DC5" s="1334">
        <f ca="1"/>
        <v>0</v>
      </c>
      <c r="DD5" s="1334">
        <f ca="1"/>
        <v>0</v>
      </c>
      <c r="DE5" s="1334">
        <f ca="1"/>
        <v>110.77323675581503</v>
      </c>
      <c r="DF5" s="1334">
        <f ca="1"/>
        <v>39.106128382712832</v>
      </c>
      <c r="DG5" s="1334">
        <f ca="1"/>
        <v>84.029326456482224</v>
      </c>
      <c r="DH5" s="1334">
        <f ca="1"/>
        <v>0</v>
      </c>
      <c r="DI5" s="1334">
        <f ca="1"/>
        <v>0</v>
      </c>
      <c r="DJ5" s="1334">
        <f ca="1"/>
        <v>0</v>
      </c>
      <c r="DK5" s="1334">
        <f ca="1"/>
        <v>0</v>
      </c>
      <c r="DL5" s="1334">
        <f ca="1"/>
        <v>71.694568701640193</v>
      </c>
      <c r="DM5" s="1334">
        <f ca="1"/>
        <v>71.694568701640193</v>
      </c>
      <c r="DN5" s="1334">
        <f ca="1"/>
        <v>0</v>
      </c>
      <c r="DO5" s="1334">
        <f ca="1"/>
        <v>91.370533969355975</v>
      </c>
      <c r="DP5" s="1334">
        <f ca="1"/>
        <v>0</v>
      </c>
      <c r="DQ5" s="1334">
        <f ca="1"/>
        <v>0</v>
      </c>
      <c r="DR5" s="1334">
        <f ca="1"/>
        <v>0</v>
      </c>
      <c r="DS5" s="1334">
        <f ca="1"/>
        <v>110.77323675581503</v>
      </c>
      <c r="DT5" s="1334">
        <f ca="1"/>
        <v>136.87144933949492</v>
      </c>
      <c r="DU5" s="1334">
        <f ca="1"/>
        <v>97.524639791762624</v>
      </c>
      <c r="DV5" s="1334">
        <f ca="1"/>
        <v>0</v>
      </c>
      <c r="DW5" s="1334">
        <f ca="1"/>
        <v>0</v>
      </c>
      <c r="DX5" s="1334">
        <f ca="1"/>
        <v>0</v>
      </c>
      <c r="DY5" s="1334">
        <f ca="1"/>
        <v>0</v>
      </c>
      <c r="DZ5" s="1334">
        <f ca="1"/>
        <v>97.524639791762624</v>
      </c>
      <c r="EA5" s="1334">
        <f ca="1"/>
        <v>142.46628556425392</v>
      </c>
      <c r="EB5" s="1334">
        <f ca="1"/>
        <v>0</v>
      </c>
      <c r="EC5" s="1334">
        <f ca="1"/>
        <v>0</v>
      </c>
      <c r="ED5" s="1334">
        <f ca="1"/>
        <v>0</v>
      </c>
      <c r="EE5" s="1334">
        <f ca="1"/>
        <v>0</v>
      </c>
      <c r="EF5" s="1334">
        <f ca="1"/>
        <v>0</v>
      </c>
      <c r="EG5" s="1334">
        <f ca="1"/>
        <v>0</v>
      </c>
      <c r="EH5" s="1334">
        <f ca="1"/>
        <v>0</v>
      </c>
      <c r="EI5" s="1334">
        <f ca="1"/>
        <v>0</v>
      </c>
      <c r="EJ5" s="1334">
        <f ca="1"/>
        <v>0</v>
      </c>
      <c r="EK5" s="1334">
        <f ca="1"/>
        <v>0</v>
      </c>
      <c r="EL5" s="1334">
        <f ca="1"/>
        <v>0</v>
      </c>
      <c r="EM5" s="1334">
        <f ca="1"/>
        <v>0</v>
      </c>
      <c r="EN5" s="1334">
        <f ca="1"/>
        <v>0</v>
      </c>
      <c r="EO5" s="1334">
        <f ca="1"/>
        <v>0</v>
      </c>
      <c r="EP5" s="1334">
        <f ca="1"/>
        <v>0</v>
      </c>
      <c r="EQ5" s="1334">
        <f ca="1"/>
        <v>0</v>
      </c>
      <c r="ER5" s="1334">
        <f ca="1"/>
        <v>0</v>
      </c>
      <c r="ES5" s="1334">
        <f ca="1"/>
        <v>0</v>
      </c>
      <c r="ET5" s="1334">
        <f ca="1"/>
        <v>0</v>
      </c>
      <c r="EU5" s="1334">
        <f ca="1"/>
        <v>0</v>
      </c>
      <c r="EV5" s="1334">
        <f ca="1"/>
        <v>0</v>
      </c>
      <c r="EW5" s="1334">
        <f ca="1"/>
        <v>0</v>
      </c>
      <c r="EX5" s="1334">
        <f ca="1"/>
        <v>0</v>
      </c>
      <c r="EY5" s="1334">
        <f ca="1"/>
        <v>0</v>
      </c>
      <c r="EZ5" s="1334">
        <f ca="1"/>
        <v>0</v>
      </c>
      <c r="FA5" s="1334">
        <f ca="1"/>
        <v>0</v>
      </c>
      <c r="FB5" s="1334">
        <f ca="1"/>
        <v>0</v>
      </c>
      <c r="FC5" s="1334">
        <f ca="1"/>
        <v>0</v>
      </c>
      <c r="FD5" s="1334">
        <f ca="1"/>
        <v>0</v>
      </c>
      <c r="FE5" s="1334">
        <f ca="1"/>
        <v>0</v>
      </c>
      <c r="FF5" s="1334">
        <f ca="1"/>
        <v>0</v>
      </c>
      <c r="FG5" s="1334">
        <f ca="1"/>
        <v>0</v>
      </c>
      <c r="FH5" s="1334">
        <f ca="1"/>
        <v>0</v>
      </c>
      <c r="FI5" s="1334">
        <f ca="1"/>
        <v>0</v>
      </c>
      <c r="FJ5" s="1334">
        <f ca="1"/>
        <v>0</v>
      </c>
      <c r="FK5" s="1334">
        <f ca="1"/>
        <v>0</v>
      </c>
      <c r="FL5" s="1334">
        <f ca="1"/>
        <v>0</v>
      </c>
      <c r="FM5" s="1334">
        <f ca="1"/>
        <v>0</v>
      </c>
      <c r="FN5" s="1334">
        <f ca="1"/>
        <v>0</v>
      </c>
    </row>
    <row r="6" spans="1:171" x14ac:dyDescent="0.45">
      <c r="A6" s="1869"/>
      <c r="B6" t="s">
        <v>372</v>
      </c>
      <c r="C6" s="1334">
        <f t="array" ref="C6:FN6" ca="1">tracker_load_morning+tracker_load_afternoon</f>
        <v>52.141504510283774</v>
      </c>
      <c r="D6" s="1334">
        <f ca="1"/>
        <v>162.91474126609882</v>
      </c>
      <c r="E6" s="1334">
        <f ca="1"/>
        <v>65.176880637854723</v>
      </c>
      <c r="F6" s="1334">
        <f ca="1"/>
        <v>185.08848099057346</v>
      </c>
      <c r="G6" s="1334">
        <f ca="1"/>
        <v>52.141504510283774</v>
      </c>
      <c r="H6" s="1334">
        <f ca="1"/>
        <v>152.63389844936324</v>
      </c>
      <c r="I6" s="1334">
        <f ca="1"/>
        <v>224.34802281048886</v>
      </c>
      <c r="J6" s="1334">
        <f ca="1"/>
        <v>52.141504510283774</v>
      </c>
      <c r="K6" s="1334">
        <f ca="1"/>
        <v>162.91474126609882</v>
      </c>
      <c r="L6" s="1334">
        <f ca="1"/>
        <v>91.247632892996606</v>
      </c>
      <c r="M6" s="1334">
        <f ca="1"/>
        <v>193.39766702059157</v>
      </c>
      <c r="N6" s="1334">
        <f ca="1"/>
        <v>52.141504510283774</v>
      </c>
      <c r="O6" s="1334">
        <f ca="1"/>
        <v>152.63389844936324</v>
      </c>
      <c r="P6" s="1334">
        <f ca="1"/>
        <v>232.65720884050694</v>
      </c>
      <c r="Q6" s="1334">
        <f ca="1"/>
        <v>52.141504510283774</v>
      </c>
      <c r="R6" s="1334">
        <f ca="1"/>
        <v>162.91474126609882</v>
      </c>
      <c r="S6" s="1334">
        <f ca="1"/>
        <v>110.80069708435302</v>
      </c>
      <c r="T6" s="1334">
        <f ca="1"/>
        <v>201.70685305060965</v>
      </c>
      <c r="U6" s="1334">
        <f ca="1"/>
        <v>52.141504510283774</v>
      </c>
      <c r="V6" s="1334">
        <f ca="1"/>
        <v>159.15158651314874</v>
      </c>
      <c r="W6" s="1334">
        <f ca="1"/>
        <v>240.96639487052505</v>
      </c>
      <c r="X6" s="1334">
        <f ca="1"/>
        <v>52.141504510283774</v>
      </c>
      <c r="Y6" s="1334">
        <f ca="1"/>
        <v>162.91474126609882</v>
      </c>
      <c r="Z6" s="1334">
        <f ca="1"/>
        <v>97.765320956782077</v>
      </c>
      <c r="AA6" s="1334">
        <f ca="1"/>
        <v>201.70685305060965</v>
      </c>
      <c r="AB6" s="1334">
        <f ca="1"/>
        <v>52.141504510283774</v>
      </c>
      <c r="AC6" s="1334">
        <f ca="1"/>
        <v>189.23329617583983</v>
      </c>
      <c r="AD6" s="1334">
        <f ca="1"/>
        <v>257.58476693056127</v>
      </c>
      <c r="AE6" s="1334">
        <f ca="1"/>
        <v>52.141504510283774</v>
      </c>
      <c r="AF6" s="1334">
        <f ca="1"/>
        <v>162.91474126609882</v>
      </c>
      <c r="AG6" s="1334">
        <f ca="1"/>
        <v>104.28300902056755</v>
      </c>
      <c r="AH6" s="1334">
        <f ca="1"/>
        <v>210.01603908062776</v>
      </c>
      <c r="AI6" s="1334">
        <f ca="1"/>
        <v>52.141504510283774</v>
      </c>
      <c r="AJ6" s="1334">
        <f ca="1"/>
        <v>202.26867230341077</v>
      </c>
      <c r="AK6" s="1334">
        <f ca="1"/>
        <v>265.89395296057938</v>
      </c>
      <c r="AL6" s="1334">
        <f ca="1"/>
        <v>52.141504510283774</v>
      </c>
      <c r="AM6" s="1334">
        <f ca="1"/>
        <v>162.91474126609882</v>
      </c>
      <c r="AN6" s="1334">
        <f ca="1"/>
        <v>123.83607321192396</v>
      </c>
      <c r="AO6" s="1334">
        <f ca="1"/>
        <v>218.32522511064587</v>
      </c>
      <c r="AP6" s="1334">
        <f ca="1"/>
        <v>52.141504510283774</v>
      </c>
      <c r="AQ6" s="1334">
        <f ca="1"/>
        <v>398.84092944086905</v>
      </c>
      <c r="AR6" s="1334">
        <f ca="1"/>
        <v>78.212256765425664</v>
      </c>
      <c r="AS6" s="1334">
        <f ca="1"/>
        <v>52.141504510283774</v>
      </c>
      <c r="AT6" s="1334">
        <f ca="1"/>
        <v>162.91474126609882</v>
      </c>
      <c r="AU6" s="1334">
        <f ca="1"/>
        <v>78.212256765425664</v>
      </c>
      <c r="AV6" s="1334">
        <f ca="1"/>
        <v>132.94697648028969</v>
      </c>
      <c r="AW6" s="1334">
        <f ca="1"/>
        <v>52.141504510283774</v>
      </c>
      <c r="AX6" s="1334">
        <f ca="1"/>
        <v>169.68023198448338</v>
      </c>
      <c r="AY6" s="1334">
        <f ca="1"/>
        <v>216.03883678047075</v>
      </c>
      <c r="AZ6" s="1334">
        <f ca="1"/>
        <v>52.141504510283774</v>
      </c>
      <c r="BA6" s="1334">
        <f ca="1"/>
        <v>110.77323675581503</v>
      </c>
      <c r="BB6" s="1334">
        <f ca="1"/>
        <v>71.694568701640193</v>
      </c>
      <c r="BC6" s="1334">
        <f ca="1"/>
        <v>108.01941839023537</v>
      </c>
      <c r="BD6" s="1334">
        <f ca="1"/>
        <v>52.141504510283774</v>
      </c>
      <c r="BE6" s="1334">
        <f ca="1"/>
        <v>156.64485585691244</v>
      </c>
      <c r="BF6" s="1334">
        <f ca="1"/>
        <v>182.80209266039833</v>
      </c>
      <c r="BG6" s="1334">
        <f ca="1"/>
        <v>52.141504510283774</v>
      </c>
      <c r="BH6" s="1334">
        <f ca="1"/>
        <v>110.77323675581503</v>
      </c>
      <c r="BI6" s="1334">
        <f ca="1"/>
        <v>58.659192574069245</v>
      </c>
      <c r="BJ6" s="1334">
        <f ca="1"/>
        <v>0</v>
      </c>
      <c r="BK6" s="1334">
        <f ca="1"/>
        <v>49.922045068967208</v>
      </c>
      <c r="BL6" s="1334">
        <f ca="1"/>
        <v>783.81617969752529</v>
      </c>
      <c r="BM6" s="1334">
        <f ca="1"/>
        <v>0</v>
      </c>
      <c r="BN6" s="1334">
        <f ca="1"/>
        <v>0</v>
      </c>
      <c r="BO6" s="1334">
        <f ca="1"/>
        <v>0</v>
      </c>
      <c r="BP6" s="1334">
        <f ca="1"/>
        <v>0</v>
      </c>
      <c r="BQ6" s="1334">
        <f ca="1"/>
        <v>0</v>
      </c>
      <c r="BR6" s="1334">
        <f ca="1"/>
        <v>0</v>
      </c>
      <c r="BS6" s="1334">
        <f ca="1"/>
        <v>0</v>
      </c>
      <c r="BT6" s="1334">
        <f ca="1"/>
        <v>83.091860300181054</v>
      </c>
      <c r="BU6" s="1334">
        <f ca="1"/>
        <v>141.2561625103078</v>
      </c>
      <c r="BV6" s="1334">
        <f ca="1"/>
        <v>240.96639487052505</v>
      </c>
      <c r="BW6" s="1334">
        <f ca="1"/>
        <v>240.96639487052505</v>
      </c>
      <c r="BX6" s="1334">
        <f ca="1"/>
        <v>141.2561625103078</v>
      </c>
      <c r="BY6" s="1334">
        <f ca="1"/>
        <v>141.2561625103078</v>
      </c>
      <c r="BZ6" s="1334">
        <f ca="1"/>
        <v>240.96639487052505</v>
      </c>
      <c r="CA6" s="1334">
        <f ca="1"/>
        <v>240.96639487052505</v>
      </c>
      <c r="CB6" s="1334">
        <f ca="1"/>
        <v>52.141504510283774</v>
      </c>
      <c r="CC6" s="1334">
        <f ca="1"/>
        <v>162.91474126609882</v>
      </c>
      <c r="CD6" s="1334">
        <f ca="1"/>
        <v>39.106128382712832</v>
      </c>
      <c r="CE6" s="1334">
        <f ca="1"/>
        <v>124.74779853599321</v>
      </c>
      <c r="CF6" s="1334">
        <f ca="1"/>
        <v>52.141504510283774</v>
      </c>
      <c r="CG6" s="1334">
        <f ca="1"/>
        <v>155.43473280296629</v>
      </c>
      <c r="CH6" s="1334">
        <f ca="1"/>
        <v>191.11127869041641</v>
      </c>
      <c r="CI6" s="1334">
        <f ca="1"/>
        <v>52.141504510283774</v>
      </c>
      <c r="CJ6" s="1334">
        <f ca="1"/>
        <v>162.91474126609882</v>
      </c>
      <c r="CK6" s="1334">
        <f ca="1"/>
        <v>39.106128382712832</v>
      </c>
      <c r="CL6" s="1334">
        <f ca="1"/>
        <v>139.27925232352743</v>
      </c>
      <c r="CM6" s="1334">
        <f ca="1"/>
        <v>52.141504510283774</v>
      </c>
      <c r="CN6" s="1334">
        <f ca="1"/>
        <v>163.74391883298441</v>
      </c>
      <c r="CO6" s="1334">
        <f ca="1"/>
        <v>207.72965075045263</v>
      </c>
      <c r="CP6" s="1334">
        <f ca="1"/>
        <v>52.141504510283774</v>
      </c>
      <c r="CQ6" s="1334">
        <f ca="1"/>
        <v>162.91474126609882</v>
      </c>
      <c r="CR6" s="1334">
        <f ca="1"/>
        <v>104.28300902056755</v>
      </c>
      <c r="CS6" s="1334">
        <f ca="1"/>
        <v>163.16145763732681</v>
      </c>
      <c r="CT6" s="1334">
        <f ca="1"/>
        <v>52.141504510283774</v>
      </c>
      <c r="CU6" s="1334">
        <f ca="1"/>
        <v>262.15754359091153</v>
      </c>
      <c r="CV6" s="1334">
        <f ca="1"/>
        <v>265.89395296057938</v>
      </c>
      <c r="CW6" s="1334">
        <f ca="1"/>
        <v>39.106128382712832</v>
      </c>
      <c r="CX6" s="1334">
        <f ca="1"/>
        <v>110.77323675581503</v>
      </c>
      <c r="CY6" s="1334">
        <f ca="1"/>
        <v>39.106128382712832</v>
      </c>
      <c r="CZ6" s="1334">
        <f ca="1"/>
        <v>84.029326456482224</v>
      </c>
      <c r="DA6" s="1334">
        <f ca="1"/>
        <v>39.106128382712832</v>
      </c>
      <c r="DB6" s="1334">
        <f ca="1"/>
        <v>83.091860300181054</v>
      </c>
      <c r="DC6" s="1334">
        <f ca="1"/>
        <v>132.94697648028969</v>
      </c>
      <c r="DD6" s="1334">
        <f ca="1"/>
        <v>39.106128382712832</v>
      </c>
      <c r="DE6" s="1334">
        <f ca="1"/>
        <v>110.77323675581503</v>
      </c>
      <c r="DF6" s="1334">
        <f ca="1"/>
        <v>39.106128382712832</v>
      </c>
      <c r="DG6" s="1334">
        <f ca="1"/>
        <v>84.029326456482224</v>
      </c>
      <c r="DH6" s="1334">
        <f ca="1"/>
        <v>39.106128382712832</v>
      </c>
      <c r="DI6" s="1334">
        <f ca="1"/>
        <v>83.091860300181054</v>
      </c>
      <c r="DJ6" s="1334">
        <f ca="1"/>
        <v>132.94697648028969</v>
      </c>
      <c r="DK6" s="1334">
        <f ca="1"/>
        <v>39.106128382712832</v>
      </c>
      <c r="DL6" s="1334">
        <f ca="1"/>
        <v>71.694568701640193</v>
      </c>
      <c r="DM6" s="1334">
        <f ca="1"/>
        <v>71.694568701640193</v>
      </c>
      <c r="DN6" s="1334">
        <f ca="1"/>
        <v>0</v>
      </c>
      <c r="DO6" s="1334">
        <f ca="1"/>
        <v>91.370533969355975</v>
      </c>
      <c r="DP6" s="1334">
        <f ca="1"/>
        <v>294.30112670373012</v>
      </c>
      <c r="DQ6" s="1334">
        <f ca="1"/>
        <v>139.69190286200978</v>
      </c>
      <c r="DR6" s="1334">
        <f ca="1"/>
        <v>39.106128382712832</v>
      </c>
      <c r="DS6" s="1334">
        <f ca="1"/>
        <v>110.77323675581503</v>
      </c>
      <c r="DT6" s="1334">
        <f ca="1"/>
        <v>136.87144933949492</v>
      </c>
      <c r="DU6" s="1334">
        <f ca="1"/>
        <v>97.524639791762624</v>
      </c>
      <c r="DV6" s="1334">
        <f ca="1"/>
        <v>39.106128382712832</v>
      </c>
      <c r="DW6" s="1334">
        <f ca="1"/>
        <v>108.01941839023537</v>
      </c>
      <c r="DX6" s="1334">
        <f ca="1"/>
        <v>174.49290663038022</v>
      </c>
      <c r="DY6" s="1334">
        <f ca="1"/>
        <v>0</v>
      </c>
      <c r="DZ6" s="1334">
        <f ca="1"/>
        <v>97.524639791762624</v>
      </c>
      <c r="EA6" s="1334">
        <f ca="1"/>
        <v>142.46628556425392</v>
      </c>
      <c r="EB6" s="1334">
        <f ca="1"/>
        <v>26.070752255141887</v>
      </c>
      <c r="EC6" s="1334">
        <f ca="1"/>
        <v>39.106128382712832</v>
      </c>
      <c r="ED6" s="1334">
        <f ca="1"/>
        <v>503.10370156943486</v>
      </c>
      <c r="EE6" s="1334">
        <f ca="1"/>
        <v>0</v>
      </c>
      <c r="EF6" s="1334">
        <f ca="1"/>
        <v>0</v>
      </c>
      <c r="EG6" s="1334">
        <f ca="1"/>
        <v>0</v>
      </c>
      <c r="EH6" s="1334">
        <f ca="1"/>
        <v>0</v>
      </c>
      <c r="EI6" s="1334">
        <f ca="1"/>
        <v>0</v>
      </c>
      <c r="EJ6" s="1334">
        <f ca="1"/>
        <v>0</v>
      </c>
      <c r="EK6" s="1334">
        <f ca="1"/>
        <v>0</v>
      </c>
      <c r="EL6" s="1334">
        <f ca="1"/>
        <v>0</v>
      </c>
      <c r="EM6" s="1334">
        <f ca="1"/>
        <v>0</v>
      </c>
      <c r="EN6" s="1334">
        <f ca="1"/>
        <v>0</v>
      </c>
      <c r="EO6" s="1334">
        <f ca="1"/>
        <v>0</v>
      </c>
      <c r="EP6" s="1334">
        <f ca="1"/>
        <v>0</v>
      </c>
      <c r="EQ6" s="1334">
        <f ca="1"/>
        <v>0</v>
      </c>
      <c r="ER6" s="1334">
        <f ca="1"/>
        <v>0</v>
      </c>
      <c r="ES6" s="1334">
        <f ca="1"/>
        <v>0</v>
      </c>
      <c r="ET6" s="1334">
        <f ca="1"/>
        <v>0</v>
      </c>
      <c r="EU6" s="1334">
        <f ca="1"/>
        <v>0</v>
      </c>
      <c r="EV6" s="1334">
        <f ca="1"/>
        <v>0</v>
      </c>
      <c r="EW6" s="1334">
        <f ca="1"/>
        <v>0</v>
      </c>
      <c r="EX6" s="1334">
        <f ca="1"/>
        <v>0</v>
      </c>
      <c r="EY6" s="1334">
        <f ca="1"/>
        <v>0</v>
      </c>
      <c r="EZ6" s="1334">
        <f ca="1"/>
        <v>0</v>
      </c>
      <c r="FA6" s="1334">
        <f ca="1"/>
        <v>0</v>
      </c>
      <c r="FB6" s="1334">
        <f ca="1"/>
        <v>0</v>
      </c>
      <c r="FC6" s="1334">
        <f ca="1"/>
        <v>0</v>
      </c>
      <c r="FD6" s="1334">
        <f ca="1"/>
        <v>0</v>
      </c>
      <c r="FE6" s="1334">
        <f ca="1"/>
        <v>0</v>
      </c>
      <c r="FF6" s="1334">
        <f ca="1"/>
        <v>0</v>
      </c>
      <c r="FG6" s="1334">
        <f ca="1"/>
        <v>0</v>
      </c>
      <c r="FH6" s="1334">
        <f ca="1"/>
        <v>0</v>
      </c>
      <c r="FI6" s="1334">
        <f ca="1"/>
        <v>0</v>
      </c>
      <c r="FJ6" s="1334">
        <f ca="1"/>
        <v>0</v>
      </c>
      <c r="FK6" s="1334">
        <f ca="1"/>
        <v>0</v>
      </c>
      <c r="FL6" s="1334">
        <f ca="1"/>
        <v>0</v>
      </c>
      <c r="FM6" s="1334">
        <f ca="1"/>
        <v>0</v>
      </c>
      <c r="FN6" s="1334">
        <f ca="1"/>
        <v>0</v>
      </c>
    </row>
    <row r="7" spans="1:171" x14ac:dyDescent="0.45">
      <c r="A7" s="1868" t="s">
        <v>380</v>
      </c>
      <c r="B7" s="1868"/>
      <c r="C7" s="1334">
        <f t="array" ref="C7:FN7" ca="1">INDEX(fatigue_coefficients,1,1) * IFERROR((INDEX(tracker_load_morning,1,COLUMN(tracker_fatigue_accumulative)-2)+INDEX(tracker_load_afternoon,1,COLUMN(tracker_fatigue_accumulative)-2)),athlete_starting_load/7)
+INDEX(fatigue_coefficients,2,1) * IFERROR((INDEX(tracker_load_morning,1,COLUMN(tracker_fatigue_accumulative)-3)+INDEX(tracker_load_afternoon,1,COLUMN(tracker_fatigue_accumulative)-3)),athlete_starting_load/7)
+INDEX(fatigue_coefficients,3,1) * IFERROR((INDEX(tracker_load_morning,1,COLUMN(tracker_fatigue_accumulative)-4)+INDEX(tracker_load_afternoon,1,COLUMN(tracker_fatigue_accumulative)-4)),athlete_starting_load/7)
+INDEX(fatigue_coefficients,4,1) * IFERROR((INDEX(tracker_load_morning,1,COLUMN(tracker_fatigue_accumulative)-5)+INDEX(tracker_load_afternoon,1,COLUMN(tracker_fatigue_accumulative)-5)),athlete_starting_load/7)
+INDEX(fatigue_coefficients,5,1) * IFERROR((INDEX(tracker_load_morning,1,COLUMN(tracker_fatigue_accumulative)-6)+INDEX(tracker_load_afternoon,1,COLUMN(tracker_fatigue_accumulative)-6)),athlete_starting_load/7)
+INDEX(fatigue_coefficients,6,1) * IFERROR((INDEX(tracker_load_morning,1,COLUMN(tracker_fatigue_accumulative)-7)+INDEX(tracker_load_afternoon,1,COLUMN(tracker_fatigue_accumulative)-7)),athlete_starting_load/7)
+INDEX(fatigue_coefficients,7,1) * IFERROR((INDEX(tracker_load_morning,1,COLUMN(tracker_fatigue_accumulative)-8)+INDEX(tracker_load_afternoon,1,COLUMN(tracker_fatigue_accumulative)-8)),athlete_starting_load/7)
+INDEX(fatigue_coefficients,8,1) * IFERROR((INDEX(tracker_load_morning,1,COLUMN(tracker_fatigue_accumulative)-9)+INDEX(tracker_load_afternoon,1,COLUMN(tracker_fatigue_accumulative)-9)),athlete_starting_load/7)
+INDEX(fatigue_coefficients,9,1) * IFERROR((INDEX(tracker_load_morning,1,COLUMN(tracker_fatigue_accumulative)-10)+INDEX(tracker_load_afternoon,1,COLUMN(tracker_fatigue_accumulative)-10)),athlete_starting_load/7)
+INDEX(fatigue_coefficients,10,1) * IFERROR((INDEX(tracker_load_morning,1,COLUMN(tracker_fatigue_accumulative)-11)+INDEX(tracker_load_afternoon,1,COLUMN(tracker_fatigue_accumulative)-11)),athlete_starting_load/7)
+INDEX(fatigue_coefficients,11,1) * IFERROR((INDEX(tracker_load_morning,1,COLUMN(tracker_fatigue_accumulative)-12)+INDEX(tracker_load_afternoon,1,COLUMN(tracker_fatigue_accumulative)-12)),athlete_starting_load/7)
+INDEX(fatigue_coefficients,12,1) * IFERROR((INDEX(tracker_load_morning,1,COLUMN(tracker_fatigue_accumulative)-13)+INDEX(tracker_load_afternoon,1,COLUMN(tracker_fatigue_accumulative)-13)),athlete_starting_load/7)
+INDEX(fatigue_coefficients,13,1) * IFERROR((INDEX(tracker_load_morning,1,COLUMN(tracker_fatigue_accumulative)-14)+INDEX(tracker_load_afternoon,1,COLUMN(tracker_fatigue_accumulative)-14)),athlete_starting_load/7)
+INDEX(fatigue_coefficients,14,1) * IFERROR((INDEX(tracker_load_morning,1,COLUMN(tracker_fatigue_accumulative)-15)+INDEX(tracker_load_afternoon,1,COLUMN(tracker_fatigue_accumulative)-15)),athlete_starting_load/7)</f>
        <v>117.33353222497384</v>
      </c>
      <c r="D7" s="1334">
        <f ca="1"/>
        <v>127.72561135672325</v>
      </c>
      <c r="E7" s="1334">
        <f ca="1"/>
        <v>116.24276491616527</v>
      </c>
      <c r="F7" s="1334">
        <f ca="1"/>
        <v>128.87142285658456</v>
      </c>
      <c r="G7" s="1334">
        <f ca="1"/>
        <v>113.94254127462541</v>
      </c>
      <c r="H7" s="1334">
        <f ca="1"/>
        <v>122.8659285754126</v>
      </c>
      <c r="I7" s="1334">
        <f ca="1"/>
        <v>134.85616264642633</v>
      </c>
      <c r="J7" s="1334">
        <f ca="1"/>
        <v>117.12302807733036</v>
      </c>
      <c r="K7" s="1334">
        <f ca="1"/>
        <v>127.51510720907977</v>
      </c>
      <c r="L7" s="1334">
        <f ca="1"/>
        <v>119.75665394782777</v>
      </c>
      <c r="M7" s="1334">
        <f ca="1"/>
        <v>131.71014187431095</v>
      </c>
      <c r="N7" s="1334">
        <f ca="1"/>
        <v>116.18774700449333</v>
      </c>
      <c r="O7" s="1334">
        <f ca="1"/>
        <v>125.11113430528052</v>
      </c>
      <c r="P7" s="1334">
        <f ca="1"/>
        <v>130.82708504750508</v>
      </c>
      <c r="Q7" s="1334">
        <f ca="1"/>
        <v>130.82708504750508</v>
      </c>
      <c r="R7" s="1334">
        <f ca="1"/>
        <v>130.82708504750508</v>
      </c>
      <c r="S7" s="1334">
        <f ca="1"/>
        <v>134.08592907939783</v>
      </c>
      <c r="T7" s="1334">
        <f ca="1"/>
        <v>135.27295565511471</v>
      </c>
      <c r="U7" s="1334">
        <f ca="1"/>
        <v>135.27295565511471</v>
      </c>
      <c r="V7" s="1334">
        <f ca="1"/>
        <v>135.73850480252793</v>
      </c>
      <c r="W7" s="1334">
        <f ca="1"/>
        <v>136.92553137824484</v>
      </c>
      <c r="X7" s="1334">
        <f ca="1"/>
        <v>136.92553137824481</v>
      </c>
      <c r="Y7" s="1334">
        <f ca="1"/>
        <v>136.92553137824478</v>
      </c>
      <c r="Z7" s="1334">
        <f ca="1"/>
        <v>137.39108052565805</v>
      </c>
      <c r="AA7" s="1334">
        <f ca="1"/>
        <v>137.98459381351651</v>
      </c>
      <c r="AB7" s="1334">
        <f ca="1"/>
        <v>137.98459381351648</v>
      </c>
      <c r="AC7" s="1334">
        <f ca="1"/>
        <v>140.59883650826481</v>
      </c>
      <c r="AD7" s="1334">
        <f ca="1"/>
        <v>142.37937637184012</v>
      </c>
      <c r="AE7" s="1334">
        <f ca="1"/>
        <v>142.37937637184012</v>
      </c>
      <c r="AF7" s="1334">
        <f ca="1"/>
        <v>142.37937637184015</v>
      </c>
      <c r="AG7" s="1334">
        <f ca="1"/>
        <v>141.91382722442691</v>
      </c>
      <c r="AH7" s="1334">
        <f ca="1"/>
        <v>142.50734051228531</v>
      </c>
      <c r="AI7" s="1334">
        <f ca="1"/>
        <v>142.50734051228531</v>
      </c>
      <c r="AJ7" s="1334">
        <f ca="1"/>
        <v>145.58713235444691</v>
      </c>
      <c r="AK7" s="1334">
        <f ca="1"/>
        <v>147.36767221802219</v>
      </c>
      <c r="AL7" s="1334">
        <f ca="1"/>
        <v>147.36767221802219</v>
      </c>
      <c r="AM7" s="1334">
        <f ca="1"/>
        <v>147.36767221802219</v>
      </c>
      <c r="AN7" s="1334">
        <f ca="1"/>
        <v>149.22986880767522</v>
      </c>
      <c r="AO7" s="1334">
        <f ca="1"/>
        <v>150.41689538339207</v>
      </c>
      <c r="AP7" s="1334">
        <f ca="1"/>
        <v>150.41689538339207</v>
      </c>
      <c r="AQ7" s="1334">
        <f ca="1"/>
        <v>165.38886918803701</v>
      </c>
      <c r="AR7" s="1334">
        <f ca="1"/>
        <v>152.57654703338446</v>
      </c>
      <c r="AS7" s="1334">
        <f ca="1"/>
        <v>152.57654703338443</v>
      </c>
      <c r="AT7" s="1334">
        <f ca="1"/>
        <v>152.57654703338446</v>
      </c>
      <c r="AU7" s="1334">
        <f ca="1"/>
        <v>150.71435044373149</v>
      </c>
      <c r="AV7" s="1334">
        <f ca="1"/>
        <v>145.20941740085016</v>
      </c>
      <c r="AW7" s="1334">
        <f ca="1"/>
        <v>145.20941740085019</v>
      </c>
      <c r="AX7" s="1334">
        <f ca="1"/>
        <v>142.88167166378395</v>
      </c>
      <c r="AY7" s="1334">
        <f ca="1"/>
        <v>139.32059193663332</v>
      </c>
      <c r="AZ7" s="1334">
        <f ca="1"/>
        <v>139.32059193663332</v>
      </c>
      <c r="BA7" s="1334">
        <f ca="1"/>
        <v>135.59619875732733</v>
      </c>
      <c r="BB7" s="1334">
        <f ca="1"/>
        <v>131.87180557802137</v>
      </c>
      <c r="BC7" s="1334">
        <f ca="1"/>
        <v>123.99281938370632</v>
      </c>
      <c r="BD7" s="1334">
        <f ca="1"/>
        <v>123.99281938370632</v>
      </c>
      <c r="BE7" s="1334">
        <f ca="1"/>
        <v>106.69309984199514</v>
      </c>
      <c r="BF7" s="1334">
        <f ca="1"/>
        <v>114.16380240592176</v>
      </c>
      <c r="BG7" s="1334">
        <f ca="1"/>
        <v>114.16380240592177</v>
      </c>
      <c r="BH7" s="1334">
        <f ca="1"/>
        <v>110.43940922661578</v>
      </c>
      <c r="BI7" s="1334">
        <f ca="1"/>
        <v>109.04276178437603</v>
      </c>
      <c r="BJ7" s="1334">
        <f ca="1"/>
        <v>99.546549178641044</v>
      </c>
      <c r="BK7" s="1334">
        <f ca="1"/>
        <v>99.388016361404155</v>
      </c>
      <c r="BL7" s="1334">
        <f ca="1"/>
        <v>143.25486976947857</v>
      </c>
      <c r="BM7" s="1334">
        <f ca="1"/>
        <v>127.82352428515922</v>
      </c>
      <c r="BN7" s="1334">
        <f ca="1"/>
        <v>124.09913110585325</v>
      </c>
      <c r="BO7" s="1334">
        <f ca="1"/>
        <v>116.18675705186646</v>
      </c>
      <c r="BP7" s="1334">
        <f ca="1"/>
        <v>111.06571643032073</v>
      </c>
      <c r="BQ7" s="1334">
        <f ca="1"/>
        <v>103.35004368816107</v>
      </c>
      <c r="BR7" s="1334">
        <f ca="1"/>
        <v>99.625650508855088</v>
      </c>
      <c r="BS7" s="1334">
        <f ca="1"/>
        <v>88.43673223336134</v>
      </c>
      <c r="BT7" s="1334">
        <f ca="1"/>
        <v>81.3145727790601</v>
      </c>
      <c r="BU7" s="1334">
        <f ca="1"/>
        <v>87.679905493347547</v>
      </c>
      <c r="BV7" s="1334">
        <f ca="1"/>
        <v>96.979416787255403</v>
      </c>
      <c r="BW7" s="1334">
        <f ca="1"/>
        <v>110.00135980843082</v>
      </c>
      <c r="BX7" s="1334">
        <f ca="1"/>
        <v>120.09108570202423</v>
      </c>
      <c r="BY7" s="1334">
        <f ca="1"/>
        <v>126.61495123354854</v>
      </c>
      <c r="BZ7" s="1334">
        <f ca="1"/>
        <v>87.839966603048538</v>
      </c>
      <c r="CA7" s="1334">
        <f ca="1"/>
        <v>105.05185195094319</v>
      </c>
      <c r="CB7" s="1334">
        <f ca="1"/>
        <v>108.77624513024917</v>
      </c>
      <c r="CC7" s="1334">
        <f ca="1"/>
        <v>120.41301236354194</v>
      </c>
      <c r="CD7" s="1334">
        <f ca="1"/>
        <v>123.20630724802143</v>
      </c>
      <c r="CE7" s="1334">
        <f ca="1"/>
        <v>132.11686428630665</v>
      </c>
      <c r="CF7" s="1334">
        <f ca="1"/>
        <v>135.84125746561267</v>
      </c>
      <c r="CG7" s="1334">
        <f ca="1"/>
        <v>146.94373838011026</v>
      </c>
      <c r="CH7" s="1334">
        <f ca="1"/>
        <v>154.65941112226992</v>
      </c>
      <c r="CI7" s="1334">
        <f ca="1"/>
        <v>148.29407840798248</v>
      </c>
      <c r="CJ7" s="1334">
        <f ca="1"/>
        <v>142.71896029338058</v>
      </c>
      <c r="CK7" s="1334">
        <f ca="1"/>
        <v>128.30036982996543</v>
      </c>
      <c r="CL7" s="1334">
        <f ca="1"/>
        <v>128.15916195948114</v>
      </c>
      <c r="CM7" s="1334">
        <f ca="1"/>
        <v>121.79382924519371</v>
      </c>
      <c r="CN7" s="1334">
        <f ca="1"/>
        <v>116.27793809965509</v>
      </c>
      <c r="CO7" s="1334">
        <f ca="1"/>
        <v>113.90388494822133</v>
      </c>
      <c r="CP7" s="1334">
        <f ca="1"/>
        <v>113.90388494822133</v>
      </c>
      <c r="CQ7" s="1334">
        <f ca="1"/>
        <v>113.90388494822133</v>
      </c>
      <c r="CR7" s="1334">
        <f ca="1"/>
        <v>118.55937642235381</v>
      </c>
      <c r="CS7" s="1334">
        <f ca="1"/>
        <v>121.3032092153062</v>
      </c>
      <c r="CT7" s="1334">
        <f ca="1"/>
        <v>121.3032092153062</v>
      </c>
      <c r="CU7" s="1334">
        <f ca="1"/>
        <v>128.92626712873087</v>
      </c>
      <c r="CV7" s="1334">
        <f ca="1"/>
        <v>134.26788671945678</v>
      </c>
      <c r="CW7" s="1334">
        <f ca="1"/>
        <v>133.3367884246303</v>
      </c>
      <c r="CX7" s="1334">
        <f ca="1"/>
        <v>129.61239524532431</v>
      </c>
      <c r="CY7" s="1334">
        <f ca="1"/>
        <v>129.61239524532431</v>
      </c>
      <c r="CZ7" s="1334">
        <f ca="1"/>
        <v>125.66597196910681</v>
      </c>
      <c r="DA7" s="1334">
        <f ca="1"/>
        <v>124.73487367428031</v>
      </c>
      <c r="DB7" s="1334">
        <f ca="1"/>
        <v>118.97401235050862</v>
      </c>
      <c r="DC7" s="1334">
        <f ca="1"/>
        <v>113.63239275978269</v>
      </c>
      <c r="DD7" s="1334">
        <f ca="1"/>
        <v>112.70129446495621</v>
      </c>
      <c r="DE7" s="1334">
        <f ca="1"/>
        <v>108.97690128565021</v>
      </c>
      <c r="DF7" s="1334">
        <f ca="1"/>
        <v>104.32140981151774</v>
      </c>
      <c r="DG7" s="1334">
        <f ca="1"/>
        <v>98.669114727171703</v>
      </c>
      <c r="DH7" s="1334">
        <f ca="1"/>
        <v>97.738016432345219</v>
      </c>
      <c r="DI7" s="1334">
        <f ca="1"/>
        <v>84.947610483007324</v>
      </c>
      <c r="DJ7" s="1334">
        <f ca="1"/>
        <v>75.451397877272356</v>
      </c>
      <c r="DK7" s="1334">
        <f ca="1"/>
        <v>75.451397877272342</v>
      </c>
      <c r="DL7" s="1334">
        <f ca="1"/>
        <v>72.660064444831292</v>
      </c>
      <c r="DM7" s="1334">
        <f ca="1"/>
        <v>74.98781018189753</v>
      </c>
      <c r="DN7" s="1334">
        <f ca="1"/>
        <v>68.985715435005943</v>
      </c>
      <c r="DO7" s="1334">
        <f ca="1"/>
        <v>72.718887262623298</v>
      </c>
      <c r="DP7" s="1334">
        <f ca="1"/>
        <v>87.805263434305402</v>
      </c>
      <c r="DQ7" s="1334">
        <f ca="1"/>
        <v>88.287043890142556</v>
      </c>
      <c r="DR7" s="1334">
        <f ca="1"/>
        <v>88.287043890142542</v>
      </c>
      <c r="DS7" s="1334">
        <f ca="1"/>
        <v>88.287043890142542</v>
      </c>
      <c r="DT7" s="1334">
        <f ca="1"/>
        <v>95.270281101341268</v>
      </c>
      <c r="DU7" s="1334">
        <f ca="1"/>
        <v>96.234232053861291</v>
      </c>
      <c r="DV7" s="1334">
        <f ca="1"/>
        <v>96.234232053861305</v>
      </c>
      <c r="DW7" s="1334">
        <f ca="1"/>
        <v>98.014771917436605</v>
      </c>
      <c r="DX7" s="1334">
        <f ca="1"/>
        <v>100.98233835672879</v>
      </c>
      <c r="DY7" s="1334">
        <f ca="1"/>
        <v>98.189043472249296</v>
      </c>
      <c r="DZ7" s="1334">
        <f ca="1"/>
        <v>100.03404855011517</v>
      </c>
      <c r="EA7" s="1334">
        <f ca="1"/>
        <v>105.08917118315901</v>
      </c>
      <c r="EB7" s="1334">
        <f ca="1"/>
        <v>106.95136777281201</v>
      </c>
      <c r="EC7" s="1334">
        <f ca="1"/>
        <v>103.21819594519464</v>
      </c>
      <c r="ED7" s="1334">
        <f ca="1"/>
        <v>118.13266557845927</v>
      </c>
      <c r="EE7" s="1334">
        <f ca="1"/>
        <v>108.15467251688715</v>
      </c>
      <c r="EF7" s="1334">
        <f ca="1"/>
        <v>105.36137763240765</v>
      </c>
      <c r="EG7" s="1334">
        <f ca="1"/>
        <v>97.449003578420857</v>
      </c>
      <c r="EH7" s="1334">
        <f ca="1"/>
        <v>87.672471482742651</v>
      </c>
      <c r="EI7" s="1334">
        <f ca="1"/>
        <v>80.706425783331042</v>
      </c>
      <c r="EJ7" s="1334">
        <f ca="1"/>
        <v>77.913130898851549</v>
      </c>
      <c r="EK7" s="1334">
        <f ca="1"/>
        <v>70.19745815669188</v>
      </c>
      <c r="EL7" s="1334">
        <f ca="1"/>
        <v>57.733679111664721</v>
      </c>
      <c r="EM7" s="1334">
        <f ca="1"/>
        <v>57.733679111664721</v>
      </c>
      <c r="EN7" s="1334">
        <f ca="1"/>
        <v>50.767633412253105</v>
      </c>
      <c r="EO7" s="1334">
        <f ca="1"/>
        <v>40.591470157663537</v>
      </c>
      <c r="EP7" s="1334">
        <f ca="1"/>
        <v>38.729273568010548</v>
      </c>
      <c r="EQ7" s="1334">
        <f ca="1"/>
        <v>35.935978683531062</v>
      </c>
      <c r="ER7" s="1334">
        <f ca="1"/>
        <v>0</v>
      </c>
      <c r="ES7" s="1334">
        <f ca="1"/>
        <v>0</v>
      </c>
      <c r="ET7" s="1334">
        <f ca="1"/>
        <v>0</v>
      </c>
      <c r="EU7" s="1334">
        <f ca="1"/>
        <v>0</v>
      </c>
      <c r="EV7" s="1334">
        <f ca="1"/>
        <v>0</v>
      </c>
      <c r="EW7" s="1334">
        <f ca="1"/>
        <v>0</v>
      </c>
      <c r="EX7" s="1334">
        <f ca="1"/>
        <v>0</v>
      </c>
      <c r="EY7" s="1334">
        <f ca="1"/>
        <v>0</v>
      </c>
      <c r="EZ7" s="1334">
        <f ca="1"/>
        <v>0</v>
      </c>
      <c r="FA7" s="1334">
        <f ca="1"/>
        <v>0</v>
      </c>
      <c r="FB7" s="1334">
        <f ca="1"/>
        <v>0</v>
      </c>
      <c r="FC7" s="1334">
        <f ca="1"/>
        <v>0</v>
      </c>
      <c r="FD7" s="1334">
        <f ca="1"/>
        <v>0</v>
      </c>
      <c r="FE7" s="1334">
        <f ca="1"/>
        <v>0</v>
      </c>
      <c r="FF7" s="1334">
        <f ca="1"/>
        <v>0</v>
      </c>
      <c r="FG7" s="1334">
        <f ca="1"/>
        <v>0</v>
      </c>
      <c r="FH7" s="1334">
        <f ca="1"/>
        <v>0</v>
      </c>
      <c r="FI7" s="1334">
        <f ca="1"/>
        <v>0</v>
      </c>
      <c r="FJ7" s="1334">
        <f ca="1"/>
        <v>0</v>
      </c>
      <c r="FK7" s="1334">
        <f ca="1"/>
        <v>0</v>
      </c>
      <c r="FL7" s="1334">
        <f ca="1"/>
        <v>0</v>
      </c>
      <c r="FM7" s="1334">
        <f ca="1"/>
        <v>0</v>
      </c>
      <c r="FN7" s="1334">
        <f ca="1"/>
        <v>0</v>
      </c>
    </row>
    <row r="8" spans="1:171" x14ac:dyDescent="0.45">
      <c r="A8" s="1868" t="s">
        <v>691</v>
      </c>
      <c r="B8" s="1868"/>
      <c r="C8" s="1334">
        <f t="array" ref="C8:FN8" ca="1">tracker_fatigue_accumulative/fatigue_coefficient_sum</f>
        <v>117.33353222497388</v>
      </c>
      <c r="D8" s="1334">
        <f ca="1"/>
        <v>127.72561135672329</v>
      </c>
      <c r="E8" s="1334">
        <f ca="1"/>
        <v>116.24276491616531</v>
      </c>
      <c r="F8" s="1334">
        <f ca="1"/>
        <v>128.87142285658462</v>
      </c>
      <c r="G8" s="1334">
        <f ca="1"/>
        <v>113.94254127462546</v>
      </c>
      <c r="H8" s="1334">
        <f ca="1"/>
        <v>122.86592857541264</v>
      </c>
      <c r="I8" s="1334">
        <f ca="1"/>
        <v>134.85616264642638</v>
      </c>
      <c r="J8" s="1334">
        <f ca="1"/>
        <v>117.1230280773304</v>
      </c>
      <c r="K8" s="1334">
        <f ca="1"/>
        <v>127.51510720907982</v>
      </c>
      <c r="L8" s="1334">
        <f ca="1"/>
        <v>119.75665394782781</v>
      </c>
      <c r="M8" s="1334">
        <f ca="1"/>
        <v>131.71014187431101</v>
      </c>
      <c r="N8" s="1334">
        <f ca="1"/>
        <v>116.18774700449337</v>
      </c>
      <c r="O8" s="1334">
        <f ca="1"/>
        <v>125.11113430528056</v>
      </c>
      <c r="P8" s="1334">
        <f ca="1"/>
        <v>130.82708504750514</v>
      </c>
      <c r="Q8" s="1334">
        <f ca="1"/>
        <v>130.82708504750514</v>
      </c>
      <c r="R8" s="1334">
        <f ca="1"/>
        <v>130.82708504750514</v>
      </c>
      <c r="S8" s="1334">
        <f ca="1"/>
        <v>134.08592907939789</v>
      </c>
      <c r="T8" s="1334">
        <f ca="1"/>
        <v>135.27295565511477</v>
      </c>
      <c r="U8" s="1334">
        <f ca="1"/>
        <v>135.27295565511477</v>
      </c>
      <c r="V8" s="1334">
        <f ca="1"/>
        <v>135.73850480252798</v>
      </c>
      <c r="W8" s="1334">
        <f ca="1"/>
        <v>136.9255313782449</v>
      </c>
      <c r="X8" s="1334">
        <f ca="1"/>
        <v>136.92553137824487</v>
      </c>
      <c r="Y8" s="1334">
        <f ca="1"/>
        <v>136.92553137824484</v>
      </c>
      <c r="Z8" s="1334">
        <f ca="1"/>
        <v>137.39108052565811</v>
      </c>
      <c r="AA8" s="1334">
        <f ca="1"/>
        <v>137.98459381351657</v>
      </c>
      <c r="AB8" s="1334">
        <f ca="1"/>
        <v>137.98459381351654</v>
      </c>
      <c r="AC8" s="1334">
        <f ca="1"/>
        <v>140.59883650826487</v>
      </c>
      <c r="AD8" s="1334">
        <f ca="1"/>
        <v>142.37937637184018</v>
      </c>
      <c r="AE8" s="1334">
        <f ca="1"/>
        <v>142.37937637184018</v>
      </c>
      <c r="AF8" s="1334">
        <f ca="1"/>
        <v>142.37937637184021</v>
      </c>
      <c r="AG8" s="1334">
        <f ca="1"/>
        <v>141.91382722442697</v>
      </c>
      <c r="AH8" s="1334">
        <f ca="1"/>
        <v>142.50734051228537</v>
      </c>
      <c r="AI8" s="1334">
        <f ca="1"/>
        <v>142.50734051228537</v>
      </c>
      <c r="AJ8" s="1334">
        <f ca="1"/>
        <v>145.58713235444696</v>
      </c>
      <c r="AK8" s="1334">
        <f ca="1"/>
        <v>147.36767221802225</v>
      </c>
      <c r="AL8" s="1334">
        <f ca="1"/>
        <v>147.36767221802225</v>
      </c>
      <c r="AM8" s="1334">
        <f ca="1"/>
        <v>147.36767221802225</v>
      </c>
      <c r="AN8" s="1334">
        <f ca="1"/>
        <v>149.22986880767527</v>
      </c>
      <c r="AO8" s="1334">
        <f ca="1"/>
        <v>150.41689538339213</v>
      </c>
      <c r="AP8" s="1334">
        <f ca="1"/>
        <v>150.41689538339213</v>
      </c>
      <c r="AQ8" s="1334">
        <f ca="1"/>
        <v>165.38886918803706</v>
      </c>
      <c r="AR8" s="1334">
        <f ca="1"/>
        <v>152.57654703338451</v>
      </c>
      <c r="AS8" s="1334">
        <f ca="1"/>
        <v>152.57654703338449</v>
      </c>
      <c r="AT8" s="1334">
        <f ca="1"/>
        <v>152.57654703338451</v>
      </c>
      <c r="AU8" s="1334">
        <f ca="1"/>
        <v>150.71435044373155</v>
      </c>
      <c r="AV8" s="1334">
        <f ca="1"/>
        <v>145.20941740085021</v>
      </c>
      <c r="AW8" s="1334">
        <f ca="1"/>
        <v>145.20941740085024</v>
      </c>
      <c r="AX8" s="1334">
        <f ca="1"/>
        <v>142.881671663784</v>
      </c>
      <c r="AY8" s="1334">
        <f ca="1"/>
        <v>139.32059193663338</v>
      </c>
      <c r="AZ8" s="1334">
        <f ca="1"/>
        <v>139.32059193663338</v>
      </c>
      <c r="BA8" s="1334">
        <f ca="1"/>
        <v>135.59619875732739</v>
      </c>
      <c r="BB8" s="1334">
        <f ca="1"/>
        <v>131.87180557802142</v>
      </c>
      <c r="BC8" s="1334">
        <f ca="1"/>
        <v>123.99281938370636</v>
      </c>
      <c r="BD8" s="1334">
        <f ca="1"/>
        <v>123.99281938370636</v>
      </c>
      <c r="BE8" s="1334">
        <f ca="1"/>
        <v>106.69309984199518</v>
      </c>
      <c r="BF8" s="1334">
        <f ca="1"/>
        <v>114.1638024059218</v>
      </c>
      <c r="BG8" s="1334">
        <f ca="1"/>
        <v>114.16380240592181</v>
      </c>
      <c r="BH8" s="1334">
        <f ca="1"/>
        <v>110.43940922661582</v>
      </c>
      <c r="BI8" s="1334">
        <f ca="1"/>
        <v>109.04276178437607</v>
      </c>
      <c r="BJ8" s="1334">
        <f ca="1"/>
        <v>99.546549178641072</v>
      </c>
      <c r="BK8" s="1334">
        <f ca="1"/>
        <v>99.388016361404183</v>
      </c>
      <c r="BL8" s="1334">
        <f ca="1"/>
        <v>143.25486976947863</v>
      </c>
      <c r="BM8" s="1334">
        <f ca="1"/>
        <v>127.82352428515927</v>
      </c>
      <c r="BN8" s="1334">
        <f ca="1"/>
        <v>124.09913110585329</v>
      </c>
      <c r="BO8" s="1334">
        <f ca="1"/>
        <v>116.18675705186651</v>
      </c>
      <c r="BP8" s="1334">
        <f ca="1"/>
        <v>111.06571643032078</v>
      </c>
      <c r="BQ8" s="1334">
        <f ca="1"/>
        <v>103.35004368816109</v>
      </c>
      <c r="BR8" s="1334">
        <f ca="1"/>
        <v>99.625650508855117</v>
      </c>
      <c r="BS8" s="1334">
        <f ca="1"/>
        <v>88.436732233361369</v>
      </c>
      <c r="BT8" s="1334">
        <f ca="1"/>
        <v>81.314572779060128</v>
      </c>
      <c r="BU8" s="1334">
        <f ca="1"/>
        <v>87.679905493347576</v>
      </c>
      <c r="BV8" s="1334">
        <f ca="1"/>
        <v>96.979416787255431</v>
      </c>
      <c r="BW8" s="1334">
        <f ca="1"/>
        <v>110.00135980843086</v>
      </c>
      <c r="BX8" s="1334">
        <f ca="1"/>
        <v>120.09108570202427</v>
      </c>
      <c r="BY8" s="1334">
        <f ca="1"/>
        <v>126.61495123354858</v>
      </c>
      <c r="BZ8" s="1334">
        <f ca="1"/>
        <v>87.839966603048566</v>
      </c>
      <c r="CA8" s="1334">
        <f ca="1"/>
        <v>105.05185195094322</v>
      </c>
      <c r="CB8" s="1334">
        <f ca="1"/>
        <v>108.77624513024921</v>
      </c>
      <c r="CC8" s="1334">
        <f ca="1"/>
        <v>120.41301236354198</v>
      </c>
      <c r="CD8" s="1334">
        <f ca="1"/>
        <v>123.20630724802147</v>
      </c>
      <c r="CE8" s="1334">
        <f ca="1"/>
        <v>132.11686428630671</v>
      </c>
      <c r="CF8" s="1334">
        <f ca="1"/>
        <v>135.84125746561273</v>
      </c>
      <c r="CG8" s="1334">
        <f ca="1"/>
        <v>146.94373838011032</v>
      </c>
      <c r="CH8" s="1334">
        <f ca="1"/>
        <v>154.65941112226997</v>
      </c>
      <c r="CI8" s="1334">
        <f ca="1"/>
        <v>148.29407840798254</v>
      </c>
      <c r="CJ8" s="1334">
        <f ca="1"/>
        <v>142.71896029338063</v>
      </c>
      <c r="CK8" s="1334">
        <f ca="1"/>
        <v>128.30036982996549</v>
      </c>
      <c r="CL8" s="1334">
        <f ca="1"/>
        <v>128.1591619594812</v>
      </c>
      <c r="CM8" s="1334">
        <f ca="1"/>
        <v>121.79382924519375</v>
      </c>
      <c r="CN8" s="1334">
        <f ca="1"/>
        <v>116.27793809965513</v>
      </c>
      <c r="CO8" s="1334">
        <f ca="1"/>
        <v>113.90388494822137</v>
      </c>
      <c r="CP8" s="1334">
        <f ca="1"/>
        <v>113.90388494822137</v>
      </c>
      <c r="CQ8" s="1334">
        <f ca="1"/>
        <v>113.90388494822137</v>
      </c>
      <c r="CR8" s="1334">
        <f ca="1"/>
        <v>118.55937642235385</v>
      </c>
      <c r="CS8" s="1334">
        <f ca="1"/>
        <v>121.30320921530624</v>
      </c>
      <c r="CT8" s="1334">
        <f ca="1"/>
        <v>121.30320921530624</v>
      </c>
      <c r="CU8" s="1334">
        <f ca="1"/>
        <v>128.92626712873093</v>
      </c>
      <c r="CV8" s="1334">
        <f ca="1"/>
        <v>134.26788671945684</v>
      </c>
      <c r="CW8" s="1334">
        <f ca="1"/>
        <v>133.33678842463036</v>
      </c>
      <c r="CX8" s="1334">
        <f ca="1"/>
        <v>129.61239524532436</v>
      </c>
      <c r="CY8" s="1334">
        <f ca="1"/>
        <v>129.61239524532436</v>
      </c>
      <c r="CZ8" s="1334">
        <f ca="1"/>
        <v>125.66597196910685</v>
      </c>
      <c r="DA8" s="1334">
        <f ca="1"/>
        <v>124.73487367428035</v>
      </c>
      <c r="DB8" s="1334">
        <f ca="1"/>
        <v>118.97401235050866</v>
      </c>
      <c r="DC8" s="1334">
        <f ca="1"/>
        <v>113.63239275978273</v>
      </c>
      <c r="DD8" s="1334">
        <f ca="1"/>
        <v>112.70129446495625</v>
      </c>
      <c r="DE8" s="1334">
        <f ca="1"/>
        <v>108.97690128565026</v>
      </c>
      <c r="DF8" s="1334">
        <f ca="1"/>
        <v>104.32140981151777</v>
      </c>
      <c r="DG8" s="1334">
        <f ca="1"/>
        <v>98.669114727171731</v>
      </c>
      <c r="DH8" s="1334">
        <f ca="1"/>
        <v>97.738016432345248</v>
      </c>
      <c r="DI8" s="1334">
        <f ca="1"/>
        <v>84.947610483007352</v>
      </c>
      <c r="DJ8" s="1334">
        <f ca="1"/>
        <v>75.451397877272385</v>
      </c>
      <c r="DK8" s="1334">
        <f ca="1"/>
        <v>75.45139787727237</v>
      </c>
      <c r="DL8" s="1334">
        <f ca="1"/>
        <v>72.66006444483132</v>
      </c>
      <c r="DM8" s="1334">
        <f ca="1"/>
        <v>74.987810181897558</v>
      </c>
      <c r="DN8" s="1334">
        <f ca="1"/>
        <v>68.985715435005972</v>
      </c>
      <c r="DO8" s="1334">
        <f ca="1"/>
        <v>72.718887262623326</v>
      </c>
      <c r="DP8" s="1334">
        <f ca="1"/>
        <v>87.805263434305431</v>
      </c>
      <c r="DQ8" s="1334">
        <f ca="1"/>
        <v>88.287043890142584</v>
      </c>
      <c r="DR8" s="1334">
        <f ca="1"/>
        <v>88.28704389014257</v>
      </c>
      <c r="DS8" s="1334">
        <f ca="1"/>
        <v>88.28704389014257</v>
      </c>
      <c r="DT8" s="1334">
        <f ca="1"/>
        <v>95.270281101341297</v>
      </c>
      <c r="DU8" s="1334">
        <f ca="1"/>
        <v>96.234232053861319</v>
      </c>
      <c r="DV8" s="1334">
        <f ca="1"/>
        <v>96.234232053861334</v>
      </c>
      <c r="DW8" s="1334">
        <f ca="1"/>
        <v>98.014771917436633</v>
      </c>
      <c r="DX8" s="1334">
        <f ca="1"/>
        <v>100.98233835672882</v>
      </c>
      <c r="DY8" s="1334">
        <f ca="1"/>
        <v>98.189043472249324</v>
      </c>
      <c r="DZ8" s="1334">
        <f ca="1"/>
        <v>100.0340485501152</v>
      </c>
      <c r="EA8" s="1334">
        <f ca="1"/>
        <v>105.08917118315904</v>
      </c>
      <c r="EB8" s="1334">
        <f ca="1"/>
        <v>106.95136777281205</v>
      </c>
      <c r="EC8" s="1334">
        <f ca="1"/>
        <v>103.21819594519467</v>
      </c>
      <c r="ED8" s="1334">
        <f ca="1"/>
        <v>118.13266557845931</v>
      </c>
      <c r="EE8" s="1334">
        <f ca="1"/>
        <v>108.15467251688719</v>
      </c>
      <c r="EF8" s="1334">
        <f ca="1"/>
        <v>105.36137763240768</v>
      </c>
      <c r="EG8" s="1334">
        <f ca="1"/>
        <v>97.449003578420886</v>
      </c>
      <c r="EH8" s="1334">
        <f ca="1"/>
        <v>87.672471482742679</v>
      </c>
      <c r="EI8" s="1334">
        <f ca="1"/>
        <v>80.706425783331071</v>
      </c>
      <c r="EJ8" s="1334">
        <f ca="1"/>
        <v>77.913130898851577</v>
      </c>
      <c r="EK8" s="1334">
        <f ca="1"/>
        <v>70.197458156691908</v>
      </c>
      <c r="EL8" s="1334">
        <f ca="1"/>
        <v>57.733679111664742</v>
      </c>
      <c r="EM8" s="1334">
        <f ca="1"/>
        <v>57.733679111664742</v>
      </c>
      <c r="EN8" s="1334">
        <f ca="1"/>
        <v>50.767633412253119</v>
      </c>
      <c r="EO8" s="1334">
        <f ca="1"/>
        <v>40.591470157663551</v>
      </c>
      <c r="EP8" s="1334">
        <f ca="1"/>
        <v>38.729273568010562</v>
      </c>
      <c r="EQ8" s="1334">
        <f ca="1"/>
        <v>35.935978683531076</v>
      </c>
      <c r="ER8" s="1334">
        <f ca="1"/>
        <v>0</v>
      </c>
      <c r="ES8" s="1334">
        <f ca="1"/>
        <v>0</v>
      </c>
      <c r="ET8" s="1334">
        <f ca="1"/>
        <v>0</v>
      </c>
      <c r="EU8" s="1334">
        <f ca="1"/>
        <v>0</v>
      </c>
      <c r="EV8" s="1334">
        <f ca="1"/>
        <v>0</v>
      </c>
      <c r="EW8" s="1334">
        <f ca="1"/>
        <v>0</v>
      </c>
      <c r="EX8" s="1334">
        <f ca="1"/>
        <v>0</v>
      </c>
      <c r="EY8" s="1334">
        <f ca="1"/>
        <v>0</v>
      </c>
      <c r="EZ8" s="1334">
        <f ca="1"/>
        <v>0</v>
      </c>
      <c r="FA8" s="1334">
        <f ca="1"/>
        <v>0</v>
      </c>
      <c r="FB8" s="1334">
        <f ca="1"/>
        <v>0</v>
      </c>
      <c r="FC8" s="1334">
        <f ca="1"/>
        <v>0</v>
      </c>
      <c r="FD8" s="1334">
        <f ca="1"/>
        <v>0</v>
      </c>
      <c r="FE8" s="1334">
        <f ca="1"/>
        <v>0</v>
      </c>
      <c r="FF8" s="1334">
        <f ca="1"/>
        <v>0</v>
      </c>
      <c r="FG8" s="1334">
        <f ca="1"/>
        <v>0</v>
      </c>
      <c r="FH8" s="1334">
        <f ca="1"/>
        <v>0</v>
      </c>
      <c r="FI8" s="1334">
        <f ca="1"/>
        <v>0</v>
      </c>
      <c r="FJ8" s="1334">
        <f ca="1"/>
        <v>0</v>
      </c>
      <c r="FK8" s="1334">
        <f ca="1"/>
        <v>0</v>
      </c>
      <c r="FL8" s="1334">
        <f ca="1"/>
        <v>0</v>
      </c>
      <c r="FM8" s="1334">
        <f ca="1"/>
        <v>0</v>
      </c>
      <c r="FN8" s="1334">
        <f ca="1"/>
        <v>0</v>
      </c>
    </row>
    <row r="9" spans="1:171" x14ac:dyDescent="0.45">
      <c r="A9" s="1868" t="s">
        <v>379</v>
      </c>
      <c r="B9" s="1868"/>
      <c r="C9" s="1332">
        <f t="array" aca="1" ref="C9:FN9" ca="1">INDEX(fitness_coefficients,1,1)*IFERROR(INDEX(final_load_total,1,tracker_week),athlete_starting_load)
+INDEX(fitness_coefficients,2,1)*IFERROR(INDEX(final_load_total,1,tracker_week-1),athlete_starting_load)
+INDEX(fitness_coefficients,3,1)*IFERROR(INDEX(final_load_total,1,tracker_week-2),athlete_starting_load)
+INDEX(fitness_coefficients,4,1)*IFERROR(INDEX(final_load_total,1,tracker_week-3),athlete_starting_load)
+INDEX(fitness_coefficients,5,1)*IFERROR(INDEX(final_load_total,1,tracker_week-4),athlete_starting_load)
+INDEX(fitness_coefficients,6,1)*IFERROR(INDEX(final_load_total,1,tracker_week-5),athlete_starting_load)
+INDEX(fitness_coefficients,7,1)*IFERROR(INDEX(final_load_total,1,tracker_week-6),athlete_starting_load)
+INDEX(fitness_coefficients,8,1)*IFERROR(INDEX(final_load_total,1,tracker_week-7),athlete_starting_load)
+INDEX(fitness_coefficients,9,1)*IFERROR(INDEX(final_load_total,1,tracker_week-8),athlete_starting_load)
+INDEX(fitness_coefficients,10,1)*IFERROR(INDEX(final_load_total,1,tracker_week-9),athlete_starting_load)
+INDEX(fitness_coefficients,11,1)*IFERROR(INDEX(final_load_total,1,tracker_week-10),athlete_starting_load)
+INDEX(fitness_coefficients,12,1)*IFERROR(INDEX(final_load_total,1,tracker_week-11),athlete_starting_load)
+INDEX(fitness_coefficients,13,1)*IFERROR(INDEX(final_load_total,1,tracker_week-12),athlete_starting_load)
+INDEX(fitness_coefficients,14,1)*IFERROR(INDEX(final_load_total,1,tracker_week-13),athlete_starting_load)</f>
        <v>896.40973855295238</v>
      </c>
      <c r="D9" s="1332">
        <f ca="1"/>
        <v>896.40973855295238</v>
      </c>
      <c r="E9" s="1332">
        <f ca="1"/>
        <v>896.40973855295238</v>
      </c>
      <c r="F9" s="1332">
        <f ca="1"/>
        <v>896.40973855295238</v>
      </c>
      <c r="G9" s="1332">
        <f ca="1"/>
        <v>896.40973855295238</v>
      </c>
      <c r="H9" s="1332">
        <f ca="1"/>
        <v>896.40973855295238</v>
      </c>
      <c r="I9" s="1332">
        <f ca="1"/>
        <v>896.40973855295238</v>
      </c>
      <c r="J9" s="1332">
        <f ca="1"/>
        <v>903.03341626098063</v>
      </c>
      <c r="K9" s="1332">
        <f ca="1"/>
        <v>903.03341626098063</v>
      </c>
      <c r="L9" s="1332">
        <f ca="1"/>
        <v>903.03341626098063</v>
      </c>
      <c r="M9" s="1332">
        <f ca="1"/>
        <v>903.03341626098063</v>
      </c>
      <c r="N9" s="1332">
        <f ca="1"/>
        <v>903.03341626098063</v>
      </c>
      <c r="O9" s="1332">
        <f ca="1"/>
        <v>903.03341626098063</v>
      </c>
      <c r="P9" s="1332">
        <f ca="1"/>
        <v>903.03341626098063</v>
      </c>
      <c r="Q9" s="1332">
        <f ca="1"/>
        <v>916.77194802153849</v>
      </c>
      <c r="R9" s="1332">
        <f ca="1"/>
        <v>916.77194802153849</v>
      </c>
      <c r="S9" s="1332">
        <f ca="1"/>
        <v>916.77194802153849</v>
      </c>
      <c r="T9" s="1332">
        <f ca="1"/>
        <v>916.77194802153849</v>
      </c>
      <c r="U9" s="1332">
        <f ca="1"/>
        <v>916.77194802153849</v>
      </c>
      <c r="V9" s="1332">
        <f ca="1"/>
        <v>916.77194802153849</v>
      </c>
      <c r="W9" s="1332">
        <f ca="1"/>
        <v>916.77194802153849</v>
      </c>
      <c r="X9" s="1332">
        <f ca="1"/>
        <v>936.12126404795583</v>
      </c>
      <c r="Y9" s="1332">
        <f ca="1"/>
        <v>936.12126404795583</v>
      </c>
      <c r="Z9" s="1332">
        <f ca="1"/>
        <v>936.12126404795583</v>
      </c>
      <c r="AA9" s="1332">
        <f ca="1"/>
        <v>936.12126404795583</v>
      </c>
      <c r="AB9" s="1332">
        <f ca="1"/>
        <v>936.12126404795583</v>
      </c>
      <c r="AC9" s="1332">
        <f ca="1"/>
        <v>936.12126404795583</v>
      </c>
      <c r="AD9" s="1332">
        <f ca="1"/>
        <v>936.12126404795583</v>
      </c>
      <c r="AE9" s="1332">
        <f ca="1"/>
        <v>961.49915278293849</v>
      </c>
      <c r="AF9" s="1332">
        <f ca="1"/>
        <v>961.49915278293849</v>
      </c>
      <c r="AG9" s="1332">
        <f ca="1"/>
        <v>961.49915278293849</v>
      </c>
      <c r="AH9" s="1332">
        <f ca="1"/>
        <v>961.49915278293849</v>
      </c>
      <c r="AI9" s="1332">
        <f ca="1"/>
        <v>961.49915278293849</v>
      </c>
      <c r="AJ9" s="1332">
        <f ca="1"/>
        <v>961.49915278293849</v>
      </c>
      <c r="AK9" s="1332">
        <f ca="1"/>
        <v>961.49915278293849</v>
      </c>
      <c r="AL9" s="1332">
        <f ca="1"/>
        <v>993.49368638970248</v>
      </c>
      <c r="AM9" s="1332">
        <f ca="1"/>
        <v>993.49368638970248</v>
      </c>
      <c r="AN9" s="1332">
        <f ca="1"/>
        <v>993.49368638970248</v>
      </c>
      <c r="AO9" s="1332">
        <f ca="1"/>
        <v>993.49368638970248</v>
      </c>
      <c r="AP9" s="1332">
        <f ca="1"/>
        <v>993.49368638970248</v>
      </c>
      <c r="AQ9" s="1332">
        <f ca="1"/>
        <v>993.49368638970248</v>
      </c>
      <c r="AR9" s="1332">
        <f ca="1"/>
        <v>993.49368638970248</v>
      </c>
      <c r="AS9" s="1332">
        <f ca="1"/>
        <v>988.43218957676754</v>
      </c>
      <c r="AT9" s="1332">
        <f ca="1"/>
        <v>988.43218957676754</v>
      </c>
      <c r="AU9" s="1332">
        <f ca="1"/>
        <v>988.43218957676754</v>
      </c>
      <c r="AV9" s="1332">
        <f ca="1"/>
        <v>988.43218957676754</v>
      </c>
      <c r="AW9" s="1332">
        <f ca="1"/>
        <v>988.43218957676754</v>
      </c>
      <c r="AX9" s="1332">
        <f ca="1"/>
        <v>988.43218957676754</v>
      </c>
      <c r="AY9" s="1332">
        <f ca="1"/>
        <v>988.43218957676754</v>
      </c>
      <c r="AZ9" s="1332">
        <f ca="1"/>
        <v>954.61269355934132</v>
      </c>
      <c r="BA9" s="1332">
        <f ca="1"/>
        <v>954.61269355934132</v>
      </c>
      <c r="BB9" s="1332">
        <f ca="1"/>
        <v>954.61269355934132</v>
      </c>
      <c r="BC9" s="1332">
        <f ca="1"/>
        <v>954.61269355934132</v>
      </c>
      <c r="BD9" s="1332">
        <f ca="1"/>
        <v>954.61269355934132</v>
      </c>
      <c r="BE9" s="1332">
        <f ca="1"/>
        <v>954.61269355934132</v>
      </c>
      <c r="BF9" s="1332">
        <f ca="1"/>
        <v>954.61269355934132</v>
      </c>
      <c r="BG9" s="1332">
        <f ca="1"/>
        <v>967.19417302623424</v>
      </c>
      <c r="BH9" s="1332">
        <f ca="1"/>
        <v>967.19417302623424</v>
      </c>
      <c r="BI9" s="1332">
        <f ca="1"/>
        <v>967.19417302623424</v>
      </c>
      <c r="BJ9" s="1332">
        <f ca="1"/>
        <v>967.19417302623424</v>
      </c>
      <c r="BK9" s="1332">
        <f ca="1"/>
        <v>967.19417302623424</v>
      </c>
      <c r="BL9" s="1332">
        <f ca="1"/>
        <v>967.19417302623424</v>
      </c>
      <c r="BM9" s="1332">
        <f ca="1"/>
        <v>967.19417302623424</v>
      </c>
      <c r="BN9" s="1332">
        <f ca="1"/>
        <v>812.12815184285478</v>
      </c>
      <c r="BO9" s="1332">
        <f ca="1"/>
        <v>812.12815184285478</v>
      </c>
      <c r="BP9" s="1332">
        <f ca="1"/>
        <v>812.12815184285478</v>
      </c>
      <c r="BQ9" s="1332">
        <f ca="1"/>
        <v>812.12815184285478</v>
      </c>
      <c r="BR9" s="1332">
        <f ca="1"/>
        <v>812.12815184285478</v>
      </c>
      <c r="BS9" s="1332">
        <f ca="1"/>
        <v>812.12815184285478</v>
      </c>
      <c r="BT9" s="1332">
        <f ca="1"/>
        <v>812.12815184285478</v>
      </c>
      <c r="BU9" s="1332">
        <f ca="1"/>
        <v>868.45725906971688</v>
      </c>
      <c r="BV9" s="1332">
        <f ca="1"/>
        <v>868.45725906971688</v>
      </c>
      <c r="BW9" s="1332">
        <f ca="1"/>
        <v>868.45725906971688</v>
      </c>
      <c r="BX9" s="1332">
        <f ca="1"/>
        <v>868.45725906971688</v>
      </c>
      <c r="BY9" s="1332">
        <f ca="1"/>
        <v>868.45725906971688</v>
      </c>
      <c r="BZ9" s="1332">
        <f ca="1"/>
        <v>868.45725906971688</v>
      </c>
      <c r="CA9" s="1332">
        <f ca="1"/>
        <v>868.45725906971688</v>
      </c>
      <c r="CB9" s="1332">
        <f ca="1"/>
        <v>816.98816805025422</v>
      </c>
      <c r="CC9" s="1332">
        <f ca="1"/>
        <v>816.98816805025422</v>
      </c>
      <c r="CD9" s="1332">
        <f ca="1"/>
        <v>816.98816805025422</v>
      </c>
      <c r="CE9" s="1332">
        <f ca="1"/>
        <v>816.98816805025422</v>
      </c>
      <c r="CF9" s="1332">
        <f ca="1"/>
        <v>816.98816805025422</v>
      </c>
      <c r="CG9" s="1332">
        <f ca="1"/>
        <v>816.98816805025422</v>
      </c>
      <c r="CH9" s="1332">
        <f ca="1"/>
        <v>816.98816805025422</v>
      </c>
      <c r="CI9" s="1332">
        <f ca="1"/>
        <v>809.15160943008891</v>
      </c>
      <c r="CJ9" s="1332">
        <f ca="1"/>
        <v>809.15160943008891</v>
      </c>
      <c r="CK9" s="1332">
        <f ca="1"/>
        <v>809.15160943008891</v>
      </c>
      <c r="CL9" s="1332">
        <f ca="1"/>
        <v>809.15160943008891</v>
      </c>
      <c r="CM9" s="1332">
        <f ca="1"/>
        <v>809.15160943008891</v>
      </c>
      <c r="CN9" s="1332">
        <f ca="1"/>
        <v>809.15160943008891</v>
      </c>
      <c r="CO9" s="1332">
        <f ca="1"/>
        <v>809.15160943008891</v>
      </c>
      <c r="CP9" s="1332">
        <f ca="1"/>
        <v>863.89769811516931</v>
      </c>
      <c r="CQ9" s="1332">
        <f ca="1"/>
        <v>863.89769811516931</v>
      </c>
      <c r="CR9" s="1332">
        <f ca="1"/>
        <v>863.89769811516931</v>
      </c>
      <c r="CS9" s="1332">
        <f ca="1"/>
        <v>863.89769811516931</v>
      </c>
      <c r="CT9" s="1332">
        <f ca="1"/>
        <v>863.89769811516931</v>
      </c>
      <c r="CU9" s="1332">
        <f ca="1"/>
        <v>863.89769811516931</v>
      </c>
      <c r="CV9" s="1332">
        <f ca="1"/>
        <v>863.89769811516931</v>
      </c>
      <c r="CW9" s="1332">
        <f ca="1"/>
        <v>776.03896920421028</v>
      </c>
      <c r="CX9" s="1332">
        <f ca="1"/>
        <v>776.03896920421028</v>
      </c>
      <c r="CY9" s="1332">
        <f ca="1"/>
        <v>776.03896920421028</v>
      </c>
      <c r="CZ9" s="1332">
        <f ca="1"/>
        <v>776.03896920421028</v>
      </c>
      <c r="DA9" s="1332">
        <f ca="1"/>
        <v>776.03896920421028</v>
      </c>
      <c r="DB9" s="1332">
        <f ca="1"/>
        <v>776.03896920421028</v>
      </c>
      <c r="DC9" s="1332">
        <f ca="1"/>
        <v>776.03896920421028</v>
      </c>
      <c r="DD9" s="1332">
        <f ca="1"/>
        <v>850.21695667766448</v>
      </c>
      <c r="DE9" s="1332">
        <f ca="1"/>
        <v>850.21695667766448</v>
      </c>
      <c r="DF9" s="1332">
        <f ca="1"/>
        <v>850.21695667766448</v>
      </c>
      <c r="DG9" s="1332">
        <f ca="1"/>
        <v>850.21695667766448</v>
      </c>
      <c r="DH9" s="1332">
        <f ca="1"/>
        <v>850.21695667766448</v>
      </c>
      <c r="DI9" s="1332">
        <f ca="1"/>
        <v>850.21695667766448</v>
      </c>
      <c r="DJ9" s="1332">
        <f ca="1"/>
        <v>850.21695667766448</v>
      </c>
      <c r="DK9" s="1332">
        <f ca="1"/>
        <v>736.92108372900873</v>
      </c>
      <c r="DL9" s="1332">
        <f ca="1"/>
        <v>736.92108372900873</v>
      </c>
      <c r="DM9" s="1332">
        <f ca="1"/>
        <v>736.92108372900873</v>
      </c>
      <c r="DN9" s="1332">
        <f ca="1"/>
        <v>736.92108372900873</v>
      </c>
      <c r="DO9" s="1332">
        <f ca="1"/>
        <v>736.92108372900873</v>
      </c>
      <c r="DP9" s="1332">
        <f ca="1"/>
        <v>736.92108372900873</v>
      </c>
      <c r="DQ9" s="1332">
        <f ca="1"/>
        <v>736.92108372900873</v>
      </c>
      <c r="DR9" s="1332">
        <f ca="1"/>
        <v>724.97045355806847</v>
      </c>
      <c r="DS9" s="1332">
        <f ca="1"/>
        <v>724.97045355806847</v>
      </c>
      <c r="DT9" s="1332">
        <f ca="1"/>
        <v>724.97045355806847</v>
      </c>
      <c r="DU9" s="1332">
        <f ca="1"/>
        <v>724.97045355806847</v>
      </c>
      <c r="DV9" s="1332">
        <f ca="1"/>
        <v>724.97045355806847</v>
      </c>
      <c r="DW9" s="1332">
        <f ca="1"/>
        <v>724.97045355806847</v>
      </c>
      <c r="DX9" s="1332">
        <f ca="1"/>
        <v>724.97045355806847</v>
      </c>
      <c r="DY9" s="1332">
        <f ca="1"/>
        <v>723.50625472256229</v>
      </c>
      <c r="DZ9" s="1332">
        <f ca="1"/>
        <v>723.50625472256229</v>
      </c>
      <c r="EA9" s="1332">
        <f ca="1"/>
        <v>723.50625472256229</v>
      </c>
      <c r="EB9" s="1332">
        <f ca="1"/>
        <v>723.50625472256229</v>
      </c>
      <c r="EC9" s="1332">
        <f ca="1"/>
        <v>723.50625472256229</v>
      </c>
      <c r="ED9" s="1332">
        <f ca="1"/>
        <v>723.50625472256229</v>
      </c>
      <c r="EE9" s="1332">
        <f ca="1"/>
        <v>723.50625472256229</v>
      </c>
      <c r="EF9" s="1332">
        <f ca="1"/>
        <v>546.39063580655375</v>
      </c>
      <c r="EG9" s="1332">
        <f ca="1"/>
        <v>546.39063580655375</v>
      </c>
      <c r="EH9" s="1332">
        <f ca="1"/>
        <v>546.39063580655375</v>
      </c>
      <c r="EI9" s="1332">
        <f ca="1"/>
        <v>546.39063580655375</v>
      </c>
      <c r="EJ9" s="1332">
        <f ca="1"/>
        <v>546.39063580655375</v>
      </c>
      <c r="EK9" s="1332">
        <f ca="1"/>
        <v>546.39063580655375</v>
      </c>
      <c r="EL9" s="1332">
        <f ca="1"/>
        <v>546.39063580655375</v>
      </c>
      <c r="EM9" s="1332">
        <f ca="1"/>
        <v>458.36400494973594</v>
      </c>
      <c r="EN9" s="1332">
        <f ca="1"/>
        <v>458.36400494973594</v>
      </c>
      <c r="EO9" s="1332">
        <f ca="1"/>
        <v>458.36400494973594</v>
      </c>
      <c r="EP9" s="1332">
        <f ca="1"/>
        <v>458.36400494973594</v>
      </c>
      <c r="EQ9" s="1332">
        <f ca="1"/>
        <v>458.36400494973594</v>
      </c>
      <c r="ER9" s="1332">
        <f ca="1"/>
        <v>458.36400494973594</v>
      </c>
      <c r="ES9" s="1332">
        <f ca="1"/>
        <v>458.36400494973594</v>
      </c>
      <c r="ET9" s="1332">
        <f ca="1"/>
        <v>370.3373740929182</v>
      </c>
      <c r="EU9" s="1332">
        <f ca="1"/>
        <v>370.3373740929182</v>
      </c>
      <c r="EV9" s="1332">
        <f ca="1"/>
        <v>370.3373740929182</v>
      </c>
      <c r="EW9" s="1332">
        <f ca="1"/>
        <v>370.3373740929182</v>
      </c>
      <c r="EX9" s="1332">
        <f ca="1"/>
        <v>370.3373740929182</v>
      </c>
      <c r="EY9" s="1332">
        <f ca="1"/>
        <v>370.3373740929182</v>
      </c>
      <c r="EZ9" s="1332">
        <f ca="1"/>
        <v>370.3373740929182</v>
      </c>
      <c r="FA9" s="1332">
        <f ca="1"/>
        <v>252.36090253940333</v>
      </c>
      <c r="FB9" s="1332">
        <f ca="1"/>
        <v>252.36090253940333</v>
      </c>
      <c r="FC9" s="1332">
        <f ca="1"/>
        <v>252.36090253940333</v>
      </c>
      <c r="FD9" s="1332">
        <f ca="1"/>
        <v>252.36090253940333</v>
      </c>
      <c r="FE9" s="1332">
        <f ca="1"/>
        <v>252.36090253940333</v>
      </c>
      <c r="FF9" s="1332">
        <f ca="1"/>
        <v>252.36090253940333</v>
      </c>
      <c r="FG9" s="1332">
        <f ca="1"/>
        <v>252.36090253940333</v>
      </c>
      <c r="FH9" s="1332">
        <f ca="1"/>
        <v>134.71191792721768</v>
      </c>
      <c r="FI9" s="1332">
        <f ca="1"/>
        <v>134.71191792721768</v>
      </c>
      <c r="FJ9" s="1332">
        <f ca="1"/>
        <v>134.71191792721768</v>
      </c>
      <c r="FK9" s="1332">
        <f ca="1"/>
        <v>134.71191792721768</v>
      </c>
      <c r="FL9" s="1332">
        <f ca="1"/>
        <v>134.71191792721768</v>
      </c>
      <c r="FM9" s="1332">
        <f ca="1"/>
        <v>134.71191792721768</v>
      </c>
      <c r="FN9" s="1332">
        <f ca="1"/>
        <v>134.71191792721768</v>
      </c>
    </row>
    <row r="10" spans="1:171" x14ac:dyDescent="0.45">
      <c r="A10" s="1868" t="s">
        <v>692</v>
      </c>
      <c r="B10" s="1868"/>
      <c r="C10" s="1334">
        <f t="array" ref="C10:FN10" ca="1">tracker_fitness_accumulative/7/fitness_coefficient_sum</f>
        <v>128.05853407899323</v>
      </c>
      <c r="D10" s="1334">
        <f ca="1"/>
        <v>128.05853407899323</v>
      </c>
      <c r="E10" s="1334">
        <f ca="1"/>
        <v>128.05853407899323</v>
      </c>
      <c r="F10" s="1334">
        <f ca="1"/>
        <v>128.05853407899323</v>
      </c>
      <c r="G10" s="1334">
        <f ca="1"/>
        <v>128.05853407899323</v>
      </c>
      <c r="H10" s="1334">
        <f ca="1"/>
        <v>128.05853407899323</v>
      </c>
      <c r="I10" s="1334">
        <f ca="1"/>
        <v>128.05853407899323</v>
      </c>
      <c r="J10" s="1334">
        <f ca="1"/>
        <v>129.00477375156868</v>
      </c>
      <c r="K10" s="1334">
        <f ca="1"/>
        <v>129.00477375156868</v>
      </c>
      <c r="L10" s="1334">
        <f ca="1"/>
        <v>129.00477375156868</v>
      </c>
      <c r="M10" s="1334">
        <f ca="1"/>
        <v>129.00477375156868</v>
      </c>
      <c r="N10" s="1334">
        <f ca="1"/>
        <v>129.00477375156868</v>
      </c>
      <c r="O10" s="1334">
        <f ca="1"/>
        <v>129.00477375156868</v>
      </c>
      <c r="P10" s="1334">
        <f ca="1"/>
        <v>129.00477375156868</v>
      </c>
      <c r="Q10" s="1334">
        <f ca="1"/>
        <v>130.96742114593411</v>
      </c>
      <c r="R10" s="1334">
        <f ca="1"/>
        <v>130.96742114593411</v>
      </c>
      <c r="S10" s="1334">
        <f ca="1"/>
        <v>130.96742114593411</v>
      </c>
      <c r="T10" s="1334">
        <f ca="1"/>
        <v>130.96742114593411</v>
      </c>
      <c r="U10" s="1334">
        <f ca="1"/>
        <v>130.96742114593411</v>
      </c>
      <c r="V10" s="1334">
        <f ca="1"/>
        <v>130.96742114593411</v>
      </c>
      <c r="W10" s="1334">
        <f ca="1"/>
        <v>130.96742114593411</v>
      </c>
      <c r="X10" s="1334">
        <f ca="1"/>
        <v>133.73160914970799</v>
      </c>
      <c r="Y10" s="1334">
        <f ca="1"/>
        <v>133.73160914970799</v>
      </c>
      <c r="Z10" s="1334">
        <f ca="1"/>
        <v>133.73160914970799</v>
      </c>
      <c r="AA10" s="1334">
        <f ca="1"/>
        <v>133.73160914970799</v>
      </c>
      <c r="AB10" s="1334">
        <f ca="1"/>
        <v>133.73160914970799</v>
      </c>
      <c r="AC10" s="1334">
        <f ca="1"/>
        <v>133.73160914970799</v>
      </c>
      <c r="AD10" s="1334">
        <f ca="1"/>
        <v>133.73160914970799</v>
      </c>
      <c r="AE10" s="1334">
        <f ca="1"/>
        <v>137.35702182613409</v>
      </c>
      <c r="AF10" s="1334">
        <f ca="1"/>
        <v>137.35702182613409</v>
      </c>
      <c r="AG10" s="1334">
        <f ca="1"/>
        <v>137.35702182613409</v>
      </c>
      <c r="AH10" s="1334">
        <f ca="1"/>
        <v>137.35702182613409</v>
      </c>
      <c r="AI10" s="1334">
        <f ca="1"/>
        <v>137.35702182613409</v>
      </c>
      <c r="AJ10" s="1334">
        <f ca="1"/>
        <v>137.35702182613409</v>
      </c>
      <c r="AK10" s="1334">
        <f ca="1"/>
        <v>137.35702182613409</v>
      </c>
      <c r="AL10" s="1334">
        <f ca="1"/>
        <v>141.92766948424324</v>
      </c>
      <c r="AM10" s="1334">
        <f ca="1"/>
        <v>141.92766948424324</v>
      </c>
      <c r="AN10" s="1334">
        <f ca="1"/>
        <v>141.92766948424324</v>
      </c>
      <c r="AO10" s="1334">
        <f ca="1"/>
        <v>141.92766948424324</v>
      </c>
      <c r="AP10" s="1334">
        <f ca="1"/>
        <v>141.92766948424324</v>
      </c>
      <c r="AQ10" s="1334">
        <f ca="1"/>
        <v>141.92766948424324</v>
      </c>
      <c r="AR10" s="1334">
        <f ca="1"/>
        <v>141.92766948424324</v>
      </c>
      <c r="AS10" s="1334">
        <f ca="1"/>
        <v>141.20459851096683</v>
      </c>
      <c r="AT10" s="1334">
        <f ca="1"/>
        <v>141.20459851096683</v>
      </c>
      <c r="AU10" s="1334">
        <f ca="1"/>
        <v>141.20459851096683</v>
      </c>
      <c r="AV10" s="1334">
        <f ca="1"/>
        <v>141.20459851096683</v>
      </c>
      <c r="AW10" s="1334">
        <f ca="1"/>
        <v>141.20459851096683</v>
      </c>
      <c r="AX10" s="1334">
        <f ca="1"/>
        <v>141.20459851096683</v>
      </c>
      <c r="AY10" s="1334">
        <f ca="1"/>
        <v>141.20459851096683</v>
      </c>
      <c r="AZ10" s="1334">
        <f ca="1"/>
        <v>136.37324193704879</v>
      </c>
      <c r="BA10" s="1334">
        <f ca="1"/>
        <v>136.37324193704879</v>
      </c>
      <c r="BB10" s="1334">
        <f ca="1"/>
        <v>136.37324193704879</v>
      </c>
      <c r="BC10" s="1334">
        <f ca="1"/>
        <v>136.37324193704879</v>
      </c>
      <c r="BD10" s="1334">
        <f ca="1"/>
        <v>136.37324193704879</v>
      </c>
      <c r="BE10" s="1334">
        <f ca="1"/>
        <v>136.37324193704879</v>
      </c>
      <c r="BF10" s="1334">
        <f ca="1"/>
        <v>136.37324193704879</v>
      </c>
      <c r="BG10" s="1334">
        <f ca="1"/>
        <v>138.17059614660491</v>
      </c>
      <c r="BH10" s="1334">
        <f ca="1"/>
        <v>138.17059614660491</v>
      </c>
      <c r="BI10" s="1334">
        <f ca="1"/>
        <v>138.17059614660491</v>
      </c>
      <c r="BJ10" s="1334">
        <f ca="1"/>
        <v>138.17059614660491</v>
      </c>
      <c r="BK10" s="1334">
        <f ca="1"/>
        <v>138.17059614660491</v>
      </c>
      <c r="BL10" s="1334">
        <f ca="1"/>
        <v>138.17059614660491</v>
      </c>
      <c r="BM10" s="1334">
        <f ca="1"/>
        <v>138.17059614660491</v>
      </c>
      <c r="BN10" s="1334">
        <f ca="1"/>
        <v>116.01830740612212</v>
      </c>
      <c r="BO10" s="1334">
        <f ca="1"/>
        <v>116.01830740612212</v>
      </c>
      <c r="BP10" s="1334">
        <f ca="1"/>
        <v>116.01830740612212</v>
      </c>
      <c r="BQ10" s="1334">
        <f ca="1"/>
        <v>116.01830740612212</v>
      </c>
      <c r="BR10" s="1334">
        <f ca="1"/>
        <v>116.01830740612212</v>
      </c>
      <c r="BS10" s="1334">
        <f ca="1"/>
        <v>116.01830740612212</v>
      </c>
      <c r="BT10" s="1334">
        <f ca="1"/>
        <v>116.01830740612212</v>
      </c>
      <c r="BU10" s="1334">
        <f ca="1"/>
        <v>124.06532272424528</v>
      </c>
      <c r="BV10" s="1334">
        <f ca="1"/>
        <v>124.06532272424528</v>
      </c>
      <c r="BW10" s="1334">
        <f ca="1"/>
        <v>124.06532272424528</v>
      </c>
      <c r="BX10" s="1334">
        <f ca="1"/>
        <v>124.06532272424528</v>
      </c>
      <c r="BY10" s="1334">
        <f ca="1"/>
        <v>124.06532272424528</v>
      </c>
      <c r="BZ10" s="1334">
        <f ca="1"/>
        <v>124.06532272424528</v>
      </c>
      <c r="CA10" s="1334">
        <f ca="1"/>
        <v>124.06532272424528</v>
      </c>
      <c r="CB10" s="1334">
        <f ca="1"/>
        <v>116.71259543575061</v>
      </c>
      <c r="CC10" s="1334">
        <f ca="1"/>
        <v>116.71259543575061</v>
      </c>
      <c r="CD10" s="1334">
        <f ca="1"/>
        <v>116.71259543575061</v>
      </c>
      <c r="CE10" s="1334">
        <f ca="1"/>
        <v>116.71259543575061</v>
      </c>
      <c r="CF10" s="1334">
        <f ca="1"/>
        <v>116.71259543575061</v>
      </c>
      <c r="CG10" s="1334">
        <f ca="1"/>
        <v>116.71259543575061</v>
      </c>
      <c r="CH10" s="1334">
        <f ca="1"/>
        <v>116.71259543575061</v>
      </c>
      <c r="CI10" s="1334">
        <f ca="1"/>
        <v>115.59308706144128</v>
      </c>
      <c r="CJ10" s="1334">
        <f ca="1"/>
        <v>115.59308706144128</v>
      </c>
      <c r="CK10" s="1334">
        <f ca="1"/>
        <v>115.59308706144128</v>
      </c>
      <c r="CL10" s="1334">
        <f ca="1"/>
        <v>115.59308706144128</v>
      </c>
      <c r="CM10" s="1334">
        <f ca="1"/>
        <v>115.59308706144128</v>
      </c>
      <c r="CN10" s="1334">
        <f ca="1"/>
        <v>115.59308706144128</v>
      </c>
      <c r="CO10" s="1334">
        <f ca="1"/>
        <v>115.59308706144128</v>
      </c>
      <c r="CP10" s="1334">
        <f ca="1"/>
        <v>123.41395687359562</v>
      </c>
      <c r="CQ10" s="1334">
        <f ca="1"/>
        <v>123.41395687359562</v>
      </c>
      <c r="CR10" s="1334">
        <f ca="1"/>
        <v>123.41395687359562</v>
      </c>
      <c r="CS10" s="1334">
        <f ca="1"/>
        <v>123.41395687359562</v>
      </c>
      <c r="CT10" s="1334">
        <f ca="1"/>
        <v>123.41395687359562</v>
      </c>
      <c r="CU10" s="1334">
        <f ca="1"/>
        <v>123.41395687359562</v>
      </c>
      <c r="CV10" s="1334">
        <f ca="1"/>
        <v>123.41395687359562</v>
      </c>
      <c r="CW10" s="1334">
        <f ca="1"/>
        <v>110.86270988631577</v>
      </c>
      <c r="CX10" s="1334">
        <f ca="1"/>
        <v>110.86270988631577</v>
      </c>
      <c r="CY10" s="1334">
        <f ca="1"/>
        <v>110.86270988631577</v>
      </c>
      <c r="CZ10" s="1334">
        <f ca="1"/>
        <v>110.86270988631577</v>
      </c>
      <c r="DA10" s="1334">
        <f ca="1"/>
        <v>110.86270988631577</v>
      </c>
      <c r="DB10" s="1334">
        <f ca="1"/>
        <v>110.86270988631577</v>
      </c>
      <c r="DC10" s="1334">
        <f ca="1"/>
        <v>110.86270988631577</v>
      </c>
      <c r="DD10" s="1334">
        <f ca="1"/>
        <v>121.45956523966638</v>
      </c>
      <c r="DE10" s="1334">
        <f ca="1"/>
        <v>121.45956523966638</v>
      </c>
      <c r="DF10" s="1334">
        <f ca="1"/>
        <v>121.45956523966638</v>
      </c>
      <c r="DG10" s="1334">
        <f ca="1"/>
        <v>121.45956523966638</v>
      </c>
      <c r="DH10" s="1334">
        <f ca="1"/>
        <v>121.45956523966638</v>
      </c>
      <c r="DI10" s="1334">
        <f ca="1"/>
        <v>121.45956523966638</v>
      </c>
      <c r="DJ10" s="1334">
        <f ca="1"/>
        <v>121.45956523966638</v>
      </c>
      <c r="DK10" s="1334">
        <f ca="1"/>
        <v>105.27444053271554</v>
      </c>
      <c r="DL10" s="1334">
        <f ca="1"/>
        <v>105.27444053271554</v>
      </c>
      <c r="DM10" s="1334">
        <f ca="1"/>
        <v>105.27444053271554</v>
      </c>
      <c r="DN10" s="1334">
        <f ca="1"/>
        <v>105.27444053271554</v>
      </c>
      <c r="DO10" s="1334">
        <f ca="1"/>
        <v>105.27444053271554</v>
      </c>
      <c r="DP10" s="1334">
        <f ca="1"/>
        <v>105.27444053271554</v>
      </c>
      <c r="DQ10" s="1334">
        <f ca="1"/>
        <v>105.27444053271554</v>
      </c>
      <c r="DR10" s="1334">
        <f ca="1"/>
        <v>103.56720765115266</v>
      </c>
      <c r="DS10" s="1334">
        <f ca="1"/>
        <v>103.56720765115266</v>
      </c>
      <c r="DT10" s="1334">
        <f ca="1"/>
        <v>103.56720765115266</v>
      </c>
      <c r="DU10" s="1334">
        <f ca="1"/>
        <v>103.56720765115266</v>
      </c>
      <c r="DV10" s="1334">
        <f ca="1"/>
        <v>103.56720765115266</v>
      </c>
      <c r="DW10" s="1334">
        <f ca="1"/>
        <v>103.56720765115266</v>
      </c>
      <c r="DX10" s="1334">
        <f ca="1"/>
        <v>103.56720765115266</v>
      </c>
      <c r="DY10" s="1334">
        <f ca="1"/>
        <v>103.35803638893748</v>
      </c>
      <c r="DZ10" s="1334">
        <f ca="1"/>
        <v>103.35803638893748</v>
      </c>
      <c r="EA10" s="1334">
        <f ca="1"/>
        <v>103.35803638893748</v>
      </c>
      <c r="EB10" s="1334">
        <f ca="1"/>
        <v>103.35803638893748</v>
      </c>
      <c r="EC10" s="1334">
        <f ca="1"/>
        <v>103.35803638893748</v>
      </c>
      <c r="ED10" s="1334">
        <f ca="1"/>
        <v>103.35803638893748</v>
      </c>
      <c r="EE10" s="1334">
        <f ca="1"/>
        <v>103.35803638893748</v>
      </c>
      <c r="EF10" s="1334">
        <f ca="1"/>
        <v>78.055805115221972</v>
      </c>
      <c r="EG10" s="1334">
        <f ca="1"/>
        <v>78.055805115221972</v>
      </c>
      <c r="EH10" s="1334">
        <f ca="1"/>
        <v>78.055805115221972</v>
      </c>
      <c r="EI10" s="1334">
        <f ca="1"/>
        <v>78.055805115221972</v>
      </c>
      <c r="EJ10" s="1334">
        <f ca="1"/>
        <v>78.055805115221972</v>
      </c>
      <c r="EK10" s="1334">
        <f ca="1"/>
        <v>78.055805115221972</v>
      </c>
      <c r="EL10" s="1334">
        <f ca="1"/>
        <v>78.055805115221972</v>
      </c>
      <c r="EM10" s="1334">
        <f ca="1"/>
        <v>65.480572135676582</v>
      </c>
      <c r="EN10" s="1334">
        <f ca="1"/>
        <v>65.480572135676582</v>
      </c>
      <c r="EO10" s="1334">
        <f ca="1"/>
        <v>65.480572135676582</v>
      </c>
      <c r="EP10" s="1334">
        <f ca="1"/>
        <v>65.480572135676582</v>
      </c>
      <c r="EQ10" s="1334">
        <f ca="1"/>
        <v>65.480572135676582</v>
      </c>
      <c r="ER10" s="1334">
        <f ca="1"/>
        <v>65.480572135676582</v>
      </c>
      <c r="ES10" s="1334">
        <f ca="1"/>
        <v>65.480572135676582</v>
      </c>
      <c r="ET10" s="1334">
        <f ca="1"/>
        <v>52.905339156131177</v>
      </c>
      <c r="EU10" s="1334">
        <f ca="1"/>
        <v>52.905339156131177</v>
      </c>
      <c r="EV10" s="1334">
        <f ca="1"/>
        <v>52.905339156131177</v>
      </c>
      <c r="EW10" s="1334">
        <f ca="1"/>
        <v>52.905339156131177</v>
      </c>
      <c r="EX10" s="1334">
        <f ca="1"/>
        <v>52.905339156131177</v>
      </c>
      <c r="EY10" s="1334">
        <f ca="1"/>
        <v>52.905339156131177</v>
      </c>
      <c r="EZ10" s="1334">
        <f ca="1"/>
        <v>52.905339156131177</v>
      </c>
      <c r="FA10" s="1334">
        <f ca="1"/>
        <v>36.051557505629056</v>
      </c>
      <c r="FB10" s="1334">
        <f ca="1"/>
        <v>36.051557505629056</v>
      </c>
      <c r="FC10" s="1334">
        <f ca="1"/>
        <v>36.051557505629056</v>
      </c>
      <c r="FD10" s="1334">
        <f ca="1"/>
        <v>36.051557505629056</v>
      </c>
      <c r="FE10" s="1334">
        <f ca="1"/>
        <v>36.051557505629056</v>
      </c>
      <c r="FF10" s="1334">
        <f ca="1"/>
        <v>36.051557505629056</v>
      </c>
      <c r="FG10" s="1334">
        <f ca="1"/>
        <v>36.051557505629056</v>
      </c>
      <c r="FH10" s="1334">
        <f ca="1"/>
        <v>19.244559703888243</v>
      </c>
      <c r="FI10" s="1334">
        <f ca="1"/>
        <v>19.244559703888243</v>
      </c>
      <c r="FJ10" s="1334">
        <f ca="1"/>
        <v>19.244559703888243</v>
      </c>
      <c r="FK10" s="1334">
        <f ca="1"/>
        <v>19.244559703888243</v>
      </c>
      <c r="FL10" s="1334">
        <f ca="1"/>
        <v>19.244559703888243</v>
      </c>
      <c r="FM10" s="1334">
        <f ca="1"/>
        <v>19.244559703888243</v>
      </c>
      <c r="FN10" s="1334">
        <f ca="1"/>
        <v>19.244559703888243</v>
      </c>
    </row>
    <row r="11" spans="1:171" x14ac:dyDescent="0.45">
      <c r="A11" s="1868" t="s">
        <v>367</v>
      </c>
      <c r="B11" s="1868"/>
      <c r="C11" s="1334">
        <f t="array" ref="C11:FN11" ca="1">tracker_fitness_normalised-tracker_fatigue_normalised</f>
        <v>10.725001854019354</v>
      </c>
      <c r="D11" s="1334">
        <f ca="1"/>
        <v>0.33292272226994157</v>
      </c>
      <c r="E11" s="1334">
        <f ca="1"/>
        <v>11.81576916282792</v>
      </c>
      <c r="F11" s="1334">
        <f ca="1"/>
        <v>-0.81288877759138245</v>
      </c>
      <c r="G11" s="1334">
        <f ca="1"/>
        <v>14.115992804367778</v>
      </c>
      <c r="H11" s="1334">
        <f ca="1"/>
        <v>5.1926055035805945</v>
      </c>
      <c r="I11" s="1334">
        <f ca="1"/>
        <v>-6.7976285674331507</v>
      </c>
      <c r="J11" s="1334">
        <f ca="1"/>
        <v>11.881745674238275</v>
      </c>
      <c r="K11" s="1334">
        <f ca="1"/>
        <v>1.4896665424888624</v>
      </c>
      <c r="L11" s="1334">
        <f ca="1"/>
        <v>9.2481198037408632</v>
      </c>
      <c r="M11" s="1334">
        <f ca="1"/>
        <v>-2.7053681227423283</v>
      </c>
      <c r="N11" s="1334">
        <f ca="1"/>
        <v>12.817026747075303</v>
      </c>
      <c r="O11" s="1334">
        <f ca="1"/>
        <v>3.8936394462881196</v>
      </c>
      <c r="P11" s="1334">
        <f ca="1"/>
        <v>-1.8223112959364585</v>
      </c>
      <c r="Q11" s="1334">
        <f ca="1"/>
        <v>0.14033609842897476</v>
      </c>
      <c r="R11" s="1334">
        <f ca="1"/>
        <v>0.14033609842897476</v>
      </c>
      <c r="S11" s="1334">
        <f ca="1"/>
        <v>-3.1185079334637749</v>
      </c>
      <c r="T11" s="1334">
        <f ca="1"/>
        <v>-4.3055345091806601</v>
      </c>
      <c r="U11" s="1334">
        <f ca="1"/>
        <v>-4.3055345091806601</v>
      </c>
      <c r="V11" s="1334">
        <f ca="1"/>
        <v>-4.7710836565938735</v>
      </c>
      <c r="W11" s="1334">
        <f ca="1"/>
        <v>-5.9581102323107871</v>
      </c>
      <c r="X11" s="1334">
        <f ca="1"/>
        <v>-3.1939222285368771</v>
      </c>
      <c r="Y11" s="1334">
        <f ca="1"/>
        <v>-3.1939222285368487</v>
      </c>
      <c r="Z11" s="1334">
        <f ca="1"/>
        <v>-3.659471375950119</v>
      </c>
      <c r="AA11" s="1334">
        <f ca="1"/>
        <v>-4.2529846638085758</v>
      </c>
      <c r="AB11" s="1334">
        <f ca="1"/>
        <v>-4.2529846638085473</v>
      </c>
      <c r="AC11" s="1334">
        <f ca="1"/>
        <v>-6.8672273585568746</v>
      </c>
      <c r="AD11" s="1334">
        <f ca="1"/>
        <v>-8.6477672221321882</v>
      </c>
      <c r="AE11" s="1334">
        <f ca="1"/>
        <v>-5.0223545457060936</v>
      </c>
      <c r="AF11" s="1334">
        <f ca="1"/>
        <v>-5.0223545457061221</v>
      </c>
      <c r="AG11" s="1334">
        <f ca="1"/>
        <v>-4.5568053982928802</v>
      </c>
      <c r="AH11" s="1334">
        <f ca="1"/>
        <v>-5.1503186861512802</v>
      </c>
      <c r="AI11" s="1334">
        <f ca="1"/>
        <v>-5.1503186861512802</v>
      </c>
      <c r="AJ11" s="1334">
        <f ca="1"/>
        <v>-8.2301105283128777</v>
      </c>
      <c r="AK11" s="1334">
        <f ca="1"/>
        <v>-10.010650391888163</v>
      </c>
      <c r="AL11" s="1334">
        <f ca="1"/>
        <v>-5.4400027337790107</v>
      </c>
      <c r="AM11" s="1334">
        <f ca="1"/>
        <v>-5.4400027337790107</v>
      </c>
      <c r="AN11" s="1334">
        <f ca="1"/>
        <v>-7.3021993234320348</v>
      </c>
      <c r="AO11" s="1334">
        <f ca="1"/>
        <v>-8.4892258991488916</v>
      </c>
      <c r="AP11" s="1334">
        <f ca="1"/>
        <v>-8.4892258991488916</v>
      </c>
      <c r="AQ11" s="1334">
        <f ca="1"/>
        <v>-23.461199703793824</v>
      </c>
      <c r="AR11" s="1334">
        <f ca="1"/>
        <v>-10.648877549141275</v>
      </c>
      <c r="AS11" s="1334">
        <f ca="1"/>
        <v>-11.371948522417654</v>
      </c>
      <c r="AT11" s="1334">
        <f ca="1"/>
        <v>-11.371948522417682</v>
      </c>
      <c r="AU11" s="1334">
        <f ca="1"/>
        <v>-9.5097519327647149</v>
      </c>
      <c r="AV11" s="1334">
        <f ca="1"/>
        <v>-4.0048188898833814</v>
      </c>
      <c r="AW11" s="1334">
        <f ca="1"/>
        <v>-4.0048188898834098</v>
      </c>
      <c r="AX11" s="1334">
        <f ca="1"/>
        <v>-1.6770731528171723</v>
      </c>
      <c r="AY11" s="1334">
        <f ca="1"/>
        <v>1.8840065743334549</v>
      </c>
      <c r="AZ11" s="1334">
        <f ca="1"/>
        <v>-2.9473499995845884</v>
      </c>
      <c r="BA11" s="1334">
        <f ca="1"/>
        <v>0.77704317972140302</v>
      </c>
      <c r="BB11" s="1334">
        <f ca="1"/>
        <v>4.5014363590273661</v>
      </c>
      <c r="BC11" s="1334">
        <f ca="1"/>
        <v>12.380422553342427</v>
      </c>
      <c r="BD11" s="1334">
        <f ca="1"/>
        <v>12.380422553342427</v>
      </c>
      <c r="BE11" s="1334">
        <f ca="1"/>
        <v>29.680142095053611</v>
      </c>
      <c r="BF11" s="1334">
        <f ca="1"/>
        <v>22.209439531126989</v>
      </c>
      <c r="BG11" s="1334">
        <f ca="1"/>
        <v>24.006793740683094</v>
      </c>
      <c r="BH11" s="1334">
        <f ca="1"/>
        <v>27.731186919989085</v>
      </c>
      <c r="BI11" s="1334">
        <f ca="1"/>
        <v>29.127834362228839</v>
      </c>
      <c r="BJ11" s="1334">
        <f ca="1"/>
        <v>38.624046967963835</v>
      </c>
      <c r="BK11" s="1334">
        <f ca="1"/>
        <v>38.782579785200724</v>
      </c>
      <c r="BL11" s="1334">
        <f ca="1"/>
        <v>-5.0842736228737238</v>
      </c>
      <c r="BM11" s="1334">
        <f ca="1"/>
        <v>10.347071861445642</v>
      </c>
      <c r="BN11" s="1334">
        <f ca="1"/>
        <v>-8.0808236997311695</v>
      </c>
      <c r="BO11" s="1334">
        <f ca="1"/>
        <v>-0.16844964574438848</v>
      </c>
      <c r="BP11" s="1334">
        <f ca="1"/>
        <v>4.9525909758013427</v>
      </c>
      <c r="BQ11" s="1334">
        <f ca="1"/>
        <v>12.668263717961025</v>
      </c>
      <c r="BR11" s="1334">
        <f ca="1"/>
        <v>16.392656897267003</v>
      </c>
      <c r="BS11" s="1334">
        <f ca="1"/>
        <v>27.581575172760751</v>
      </c>
      <c r="BT11" s="1334">
        <f ca="1"/>
        <v>34.703734627061991</v>
      </c>
      <c r="BU11" s="1334">
        <f ca="1"/>
        <v>36.385417230897701</v>
      </c>
      <c r="BV11" s="1334">
        <f ca="1"/>
        <v>27.085905936989846</v>
      </c>
      <c r="BW11" s="1334">
        <f ca="1"/>
        <v>14.063962915814415</v>
      </c>
      <c r="BX11" s="1334">
        <f ca="1"/>
        <v>3.9742370222210042</v>
      </c>
      <c r="BY11" s="1334">
        <f ca="1"/>
        <v>-2.5496285093033038</v>
      </c>
      <c r="BZ11" s="1334">
        <f ca="1"/>
        <v>36.225356121196711</v>
      </c>
      <c r="CA11" s="1334">
        <f ca="1"/>
        <v>19.01347077330206</v>
      </c>
      <c r="CB11" s="1334">
        <f ca="1"/>
        <v>7.9363503055014064</v>
      </c>
      <c r="CC11" s="1334">
        <f ca="1"/>
        <v>-3.7004169277913661</v>
      </c>
      <c r="CD11" s="1334">
        <f ca="1"/>
        <v>-6.4937118122708597</v>
      </c>
      <c r="CE11" s="1334">
        <f ca="1"/>
        <v>-15.404268850556093</v>
      </c>
      <c r="CF11" s="1334">
        <f ca="1"/>
        <v>-19.128662029862113</v>
      </c>
      <c r="CG11" s="1334">
        <f ca="1"/>
        <v>-30.231142944359704</v>
      </c>
      <c r="CH11" s="1334">
        <f ca="1"/>
        <v>-37.946815686519358</v>
      </c>
      <c r="CI11" s="1334">
        <f ca="1"/>
        <v>-32.700991346541258</v>
      </c>
      <c r="CJ11" s="1334">
        <f ca="1"/>
        <v>-27.125873231939352</v>
      </c>
      <c r="CK11" s="1334">
        <f ca="1"/>
        <v>-12.707282768524209</v>
      </c>
      <c r="CL11" s="1334">
        <f ca="1"/>
        <v>-12.566074898039915</v>
      </c>
      <c r="CM11" s="1334">
        <f ca="1"/>
        <v>-6.2007421837524674</v>
      </c>
      <c r="CN11" s="1334">
        <f ca="1"/>
        <v>-0.68485103821384996</v>
      </c>
      <c r="CO11" s="1334">
        <f ca="1"/>
        <v>1.6892021132199062</v>
      </c>
      <c r="CP11" s="1334">
        <f ca="1"/>
        <v>9.5100719253742483</v>
      </c>
      <c r="CQ11" s="1334">
        <f ca="1"/>
        <v>9.5100719253742483</v>
      </c>
      <c r="CR11" s="1334">
        <f ca="1"/>
        <v>4.8545804512417732</v>
      </c>
      <c r="CS11" s="1334">
        <f ca="1"/>
        <v>2.1107476582893838</v>
      </c>
      <c r="CT11" s="1334">
        <f ca="1"/>
        <v>2.1107476582893838</v>
      </c>
      <c r="CU11" s="1334">
        <f ca="1"/>
        <v>-5.5123102551353043</v>
      </c>
      <c r="CV11" s="1334">
        <f ca="1"/>
        <v>-10.853929845861217</v>
      </c>
      <c r="CW11" s="1334">
        <f ca="1"/>
        <v>-22.474078538314586</v>
      </c>
      <c r="CX11" s="1334">
        <f ca="1"/>
        <v>-18.749685359008595</v>
      </c>
      <c r="CY11" s="1334">
        <f ca="1"/>
        <v>-18.749685359008595</v>
      </c>
      <c r="CZ11" s="1334">
        <f ca="1"/>
        <v>-14.803262082791079</v>
      </c>
      <c r="DA11" s="1334">
        <f ca="1"/>
        <v>-13.872163787964581</v>
      </c>
      <c r="DB11" s="1334">
        <f ca="1"/>
        <v>-8.1113024641928888</v>
      </c>
      <c r="DC11" s="1334">
        <f ca="1"/>
        <v>-2.7696828734669623</v>
      </c>
      <c r="DD11" s="1334">
        <f ca="1"/>
        <v>8.7582707747101267</v>
      </c>
      <c r="DE11" s="1334">
        <f ca="1"/>
        <v>12.482663954016118</v>
      </c>
      <c r="DF11" s="1334">
        <f ca="1"/>
        <v>17.138155428148607</v>
      </c>
      <c r="DG11" s="1334">
        <f ca="1"/>
        <v>22.790450512494644</v>
      </c>
      <c r="DH11" s="1334">
        <f ca="1"/>
        <v>23.721548807321128</v>
      </c>
      <c r="DI11" s="1334">
        <f ca="1"/>
        <v>36.511954756659023</v>
      </c>
      <c r="DJ11" s="1334">
        <f ca="1"/>
        <v>46.008167362393991</v>
      </c>
      <c r="DK11" s="1334">
        <f ca="1"/>
        <v>29.823042655443174</v>
      </c>
      <c r="DL11" s="1334">
        <f ca="1"/>
        <v>32.614376087884224</v>
      </c>
      <c r="DM11" s="1334">
        <f ca="1"/>
        <v>30.286630350817987</v>
      </c>
      <c r="DN11" s="1334">
        <f ca="1"/>
        <v>36.288725097709573</v>
      </c>
      <c r="DO11" s="1334">
        <f ca="1"/>
        <v>32.555553270092219</v>
      </c>
      <c r="DP11" s="1334">
        <f ca="1"/>
        <v>17.469177098410114</v>
      </c>
      <c r="DQ11" s="1334">
        <f ca="1"/>
        <v>16.987396642572961</v>
      </c>
      <c r="DR11" s="1334">
        <f ca="1"/>
        <v>15.280163761010087</v>
      </c>
      <c r="DS11" s="1334">
        <f ca="1"/>
        <v>15.280163761010087</v>
      </c>
      <c r="DT11" s="1334">
        <f ca="1"/>
        <v>8.29692654981136</v>
      </c>
      <c r="DU11" s="1334">
        <f ca="1"/>
        <v>7.3329755972913375</v>
      </c>
      <c r="DV11" s="1334">
        <f ca="1"/>
        <v>7.3329755972913233</v>
      </c>
      <c r="DW11" s="1334">
        <f ca="1"/>
        <v>5.5524357337160239</v>
      </c>
      <c r="DX11" s="1334">
        <f ca="1"/>
        <v>2.5848692944238394</v>
      </c>
      <c r="DY11" s="1334">
        <f ca="1"/>
        <v>5.1689929166881541</v>
      </c>
      <c r="DZ11" s="1334">
        <f ca="1"/>
        <v>3.3239878388222763</v>
      </c>
      <c r="EA11" s="1334">
        <f ca="1"/>
        <v>-1.7311347942215605</v>
      </c>
      <c r="EB11" s="1334">
        <f ca="1"/>
        <v>-3.5933313838745704</v>
      </c>
      <c r="EC11" s="1334">
        <f ca="1"/>
        <v>0.13984044374281268</v>
      </c>
      <c r="ED11" s="1334">
        <f ca="1"/>
        <v>-14.774629189521832</v>
      </c>
      <c r="EE11" s="1334">
        <f ca="1"/>
        <v>-4.7966361279497107</v>
      </c>
      <c r="EF11" s="1334">
        <f ca="1"/>
        <v>-27.305572517185709</v>
      </c>
      <c r="EG11" s="1334">
        <f ca="1"/>
        <v>-19.393198463198914</v>
      </c>
      <c r="EH11" s="1334">
        <f ca="1"/>
        <v>-9.6166663675207076</v>
      </c>
      <c r="EI11" s="1334">
        <f ca="1"/>
        <v>-2.6506206681090987</v>
      </c>
      <c r="EJ11" s="1334">
        <f ca="1"/>
        <v>0.1426742163703949</v>
      </c>
      <c r="EK11" s="1334">
        <f ca="1"/>
        <v>7.8583469585300634</v>
      </c>
      <c r="EL11" s="1334">
        <f ca="1"/>
        <v>20.32212600355723</v>
      </c>
      <c r="EM11" s="1334">
        <f ca="1"/>
        <v>7.7468930240118397</v>
      </c>
      <c r="EN11" s="1334">
        <f ca="1"/>
        <v>14.712938723423463</v>
      </c>
      <c r="EO11" s="1334">
        <f ca="1"/>
        <v>24.889101978013031</v>
      </c>
      <c r="EP11" s="1334">
        <f ca="1"/>
        <v>26.751298567666019</v>
      </c>
      <c r="EQ11" s="1334">
        <f ca="1"/>
        <v>29.544593452145506</v>
      </c>
      <c r="ER11" s="1334">
        <f ca="1"/>
        <v>65.480572135676582</v>
      </c>
      <c r="ES11" s="1334">
        <f ca="1"/>
        <v>65.480572135676582</v>
      </c>
      <c r="ET11" s="1334">
        <f ca="1"/>
        <v>52.905339156131177</v>
      </c>
      <c r="EU11" s="1334">
        <f ca="1"/>
        <v>52.905339156131177</v>
      </c>
      <c r="EV11" s="1334">
        <f ca="1"/>
        <v>52.905339156131177</v>
      </c>
      <c r="EW11" s="1334">
        <f ca="1"/>
        <v>52.905339156131177</v>
      </c>
      <c r="EX11" s="1334">
        <f ca="1"/>
        <v>52.905339156131177</v>
      </c>
      <c r="EY11" s="1334">
        <f ca="1"/>
        <v>52.905339156131177</v>
      </c>
      <c r="EZ11" s="1334">
        <f ca="1"/>
        <v>52.905339156131177</v>
      </c>
      <c r="FA11" s="1334">
        <f ca="1"/>
        <v>36.051557505629056</v>
      </c>
      <c r="FB11" s="1334">
        <f ca="1"/>
        <v>36.051557505629056</v>
      </c>
      <c r="FC11" s="1334">
        <f ca="1"/>
        <v>36.051557505629056</v>
      </c>
      <c r="FD11" s="1334">
        <f ca="1"/>
        <v>36.051557505629056</v>
      </c>
      <c r="FE11" s="1334">
        <f ca="1"/>
        <v>36.051557505629056</v>
      </c>
      <c r="FF11" s="1334">
        <f ca="1"/>
        <v>36.051557505629056</v>
      </c>
      <c r="FG11" s="1334">
        <f ca="1"/>
        <v>36.051557505629056</v>
      </c>
      <c r="FH11" s="1334">
        <f ca="1"/>
        <v>19.244559703888243</v>
      </c>
      <c r="FI11" s="1334">
        <f ca="1"/>
        <v>19.244559703888243</v>
      </c>
      <c r="FJ11" s="1334">
        <f ca="1"/>
        <v>19.244559703888243</v>
      </c>
      <c r="FK11" s="1334">
        <f ca="1"/>
        <v>19.244559703888243</v>
      </c>
      <c r="FL11" s="1334">
        <f ca="1"/>
        <v>19.244559703888243</v>
      </c>
      <c r="FM11" s="1334">
        <f ca="1"/>
        <v>19.244559703888243</v>
      </c>
      <c r="FN11" s="1334">
        <f ca="1"/>
        <v>19.244559703888243</v>
      </c>
    </row>
  </sheetData>
  <sheetProtection algorithmName="SHA-512" hashValue="LuI/c9I3JxFvSlQsXbsIHPUBzesYo9U9tdafecisaVvyUnwp4htwHS1U52ohdgvFMoohvZtUghEws7rhrz0tmg==" saltValue="PH+ROUdl6fGrB/XsS8XVVw==" spinCount="100000" sheet="1" objects="1" scenarios="1" selectLockedCells="1" selectUnlockedCells="1"/>
  <mergeCells count="6">
    <mergeCell ref="A11:B11"/>
    <mergeCell ref="A4:A6"/>
    <mergeCell ref="A7:B7"/>
    <mergeCell ref="A9:B9"/>
    <mergeCell ref="A8:B8"/>
    <mergeCell ref="A10:B1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1097FF"/>
    <pageSetUpPr autoPageBreaks="0" fitToPage="1"/>
  </sheetPr>
  <dimension ref="A1:AA20"/>
  <sheetViews>
    <sheetView showGridLines="0" showRowColHeaders="0" zoomScale="70" zoomScaleNormal="70" workbookViewId="0">
      <pane xSplit="3" ySplit="6" topLeftCell="D7" activePane="bottomRight" state="frozen"/>
      <selection pane="topRight" activeCell="D1" sqref="D1"/>
      <selection pane="bottomLeft" activeCell="A7" sqref="A7"/>
      <selection pane="bottomRight" sqref="A1:C1"/>
    </sheetView>
  </sheetViews>
  <sheetFormatPr defaultRowHeight="14.25" x14ac:dyDescent="0.45"/>
  <cols>
    <col min="1" max="1" width="7.1328125" customWidth="1"/>
    <col min="2" max="2" width="15.1328125" customWidth="1"/>
    <col min="3" max="3" width="19.3984375" customWidth="1"/>
    <col min="4" max="27" width="20.73046875" customWidth="1"/>
  </cols>
  <sheetData>
    <row r="1" spans="1:27" ht="15" customHeight="1" x14ac:dyDescent="0.45">
      <c r="A1" s="1876" t="s">
        <v>317</v>
      </c>
      <c r="B1" s="1877"/>
      <c r="C1" s="1878"/>
      <c r="D1" s="1388">
        <f t="array" aca="1" ref="D1:AA1" ca="1">display_week_beginning</f>
        <v>43374</v>
      </c>
      <c r="E1" s="1388">
        <f ca="1"/>
        <v>43381</v>
      </c>
      <c r="F1" s="1388">
        <f ca="1"/>
        <v>43388</v>
      </c>
      <c r="G1" s="1389">
        <f ca="1"/>
        <v>43395</v>
      </c>
      <c r="H1" s="1389">
        <f ca="1"/>
        <v>43402</v>
      </c>
      <c r="I1" s="1389">
        <f ca="1"/>
        <v>43409</v>
      </c>
      <c r="J1" s="1389">
        <f ca="1"/>
        <v>43416</v>
      </c>
      <c r="K1" s="1389">
        <f ca="1"/>
        <v>43423</v>
      </c>
      <c r="L1" s="1389">
        <f ca="1"/>
        <v>43430</v>
      </c>
      <c r="M1" s="1389">
        <f ca="1"/>
        <v>43437</v>
      </c>
      <c r="N1" s="1389">
        <f ca="1"/>
        <v>43444</v>
      </c>
      <c r="O1" s="1389">
        <f ca="1"/>
        <v>43451</v>
      </c>
      <c r="P1" s="1389">
        <f ca="1"/>
        <v>43458</v>
      </c>
      <c r="Q1" s="1389">
        <f ca="1"/>
        <v>43465</v>
      </c>
      <c r="R1" s="1389">
        <f ca="1"/>
        <v>43472</v>
      </c>
      <c r="S1" s="1389">
        <f ca="1"/>
        <v>43479</v>
      </c>
      <c r="T1" s="1389">
        <f ca="1"/>
        <v>43486</v>
      </c>
      <c r="U1" s="1389">
        <f ca="1"/>
        <v>43493</v>
      </c>
      <c r="V1" s="1389">
        <f ca="1"/>
        <v>43500</v>
      </c>
      <c r="W1" s="1389" t="str">
        <f ca="1"/>
        <v/>
      </c>
      <c r="X1" s="1389" t="str">
        <f ca="1"/>
        <v/>
      </c>
      <c r="Y1" s="1389" t="str">
        <f ca="1"/>
        <v/>
      </c>
      <c r="Z1" s="1389" t="str">
        <f ca="1"/>
        <v/>
      </c>
      <c r="AA1" s="1390" t="str">
        <f ca="1"/>
        <v/>
      </c>
    </row>
    <row r="2" spans="1:27" x14ac:dyDescent="0.45">
      <c r="A2" s="1879" t="s">
        <v>318</v>
      </c>
      <c r="B2" s="1880"/>
      <c r="C2" s="1881"/>
      <c r="D2" s="1391">
        <f t="array" aca="1" ref="D2:AA2" ca="1">display_week</f>
        <v>1</v>
      </c>
      <c r="E2" s="1392">
        <f ca="1"/>
        <v>2</v>
      </c>
      <c r="F2" s="1391">
        <f ca="1"/>
        <v>3</v>
      </c>
      <c r="G2" s="1391">
        <f ca="1"/>
        <v>4</v>
      </c>
      <c r="H2" s="1391">
        <f ca="1"/>
        <v>5</v>
      </c>
      <c r="I2" s="1391">
        <f ca="1"/>
        <v>6</v>
      </c>
      <c r="J2" s="1391">
        <f ca="1"/>
        <v>7</v>
      </c>
      <c r="K2" s="1391">
        <f ca="1"/>
        <v>8</v>
      </c>
      <c r="L2" s="1391">
        <f ca="1"/>
        <v>9</v>
      </c>
      <c r="M2" s="1391">
        <f ca="1"/>
        <v>10</v>
      </c>
      <c r="N2" s="1391">
        <f ca="1"/>
        <v>11</v>
      </c>
      <c r="O2" s="1391">
        <f ca="1"/>
        <v>12</v>
      </c>
      <c r="P2" s="1391">
        <f ca="1"/>
        <v>13</v>
      </c>
      <c r="Q2" s="1392">
        <f ca="1"/>
        <v>14</v>
      </c>
      <c r="R2" s="1391">
        <f ca="1"/>
        <v>15</v>
      </c>
      <c r="S2" s="1391">
        <f ca="1"/>
        <v>16</v>
      </c>
      <c r="T2" s="1391">
        <f ca="1"/>
        <v>17</v>
      </c>
      <c r="U2" s="1391">
        <f ca="1"/>
        <v>18</v>
      </c>
      <c r="V2" s="1391">
        <f ca="1"/>
        <v>19</v>
      </c>
      <c r="W2" s="1391" t="str">
        <f ca="1"/>
        <v/>
      </c>
      <c r="X2" s="1391" t="str">
        <f ca="1"/>
        <v/>
      </c>
      <c r="Y2" s="1391" t="str">
        <f ca="1"/>
        <v/>
      </c>
      <c r="Z2" s="1391" t="str">
        <f ca="1"/>
        <v/>
      </c>
      <c r="AA2" s="1393" t="str">
        <f ca="1"/>
        <v/>
      </c>
    </row>
    <row r="3" spans="1:27" ht="15" customHeight="1" x14ac:dyDescent="0.45">
      <c r="A3" s="1882" t="s">
        <v>319</v>
      </c>
      <c r="B3" s="1883"/>
      <c r="C3" s="1884"/>
      <c r="D3" s="1391">
        <f t="array" aca="1" ref="D3:AA3" ca="1">display_weeks_to_goal</f>
        <v>18</v>
      </c>
      <c r="E3" s="1392">
        <f ca="1"/>
        <v>17</v>
      </c>
      <c r="F3" s="1391">
        <f ca="1"/>
        <v>16</v>
      </c>
      <c r="G3" s="1391">
        <f ca="1"/>
        <v>15</v>
      </c>
      <c r="H3" s="1391">
        <f ca="1"/>
        <v>14</v>
      </c>
      <c r="I3" s="1391">
        <f ca="1"/>
        <v>13</v>
      </c>
      <c r="J3" s="1391">
        <f ca="1"/>
        <v>12</v>
      </c>
      <c r="K3" s="1391">
        <f ca="1"/>
        <v>11</v>
      </c>
      <c r="L3" s="1391">
        <f ca="1"/>
        <v>10</v>
      </c>
      <c r="M3" s="1391">
        <f ca="1"/>
        <v>9</v>
      </c>
      <c r="N3" s="1391">
        <f ca="1"/>
        <v>8</v>
      </c>
      <c r="O3" s="1391">
        <f ca="1"/>
        <v>7</v>
      </c>
      <c r="P3" s="1391">
        <f ca="1"/>
        <v>6</v>
      </c>
      <c r="Q3" s="1391">
        <f ca="1"/>
        <v>5</v>
      </c>
      <c r="R3" s="1391">
        <f ca="1"/>
        <v>4</v>
      </c>
      <c r="S3" s="1391">
        <f ca="1"/>
        <v>3</v>
      </c>
      <c r="T3" s="1391">
        <f ca="1"/>
        <v>2</v>
      </c>
      <c r="U3" s="1391">
        <f ca="1"/>
        <v>1</v>
      </c>
      <c r="V3" s="1391">
        <f ca="1"/>
        <v>0</v>
      </c>
      <c r="W3" s="1391" t="str">
        <f ca="1"/>
        <v/>
      </c>
      <c r="X3" s="1391" t="str">
        <f ca="1"/>
        <v/>
      </c>
      <c r="Y3" s="1391" t="str">
        <f ca="1"/>
        <v/>
      </c>
      <c r="Z3" s="1391" t="str">
        <f ca="1"/>
        <v/>
      </c>
      <c r="AA3" s="1393" t="str">
        <f ca="1"/>
        <v/>
      </c>
    </row>
    <row r="4" spans="1:27" x14ac:dyDescent="0.45">
      <c r="A4" s="1885" t="s">
        <v>453</v>
      </c>
      <c r="B4" s="1886"/>
      <c r="C4" s="1887"/>
      <c r="D4" s="1394" t="str">
        <f t="array" ref="D4:AA4" ca="1">IF(display_strategy=0,"",display_strategy)</f>
        <v>Conservative Balance</v>
      </c>
      <c r="E4" s="1394" t="str">
        <f ca="1"/>
        <v>Conservative Balance</v>
      </c>
      <c r="F4" s="1394" t="str">
        <f ca="1"/>
        <v>Conservative Balance</v>
      </c>
      <c r="G4" s="1394" t="str">
        <f ca="1"/>
        <v>Conservative Balance</v>
      </c>
      <c r="H4" s="1394" t="str">
        <f ca="1"/>
        <v>Conservative Balance</v>
      </c>
      <c r="I4" s="1394" t="str">
        <f ca="1"/>
        <v>Conservative Balance</v>
      </c>
      <c r="J4" s="1394" t="str">
        <f ca="1"/>
        <v>Taper</v>
      </c>
      <c r="K4" s="1394" t="str">
        <f ca="1"/>
        <v>Taper</v>
      </c>
      <c r="L4" s="1395" t="str">
        <f ca="1"/>
        <v>Maintain</v>
      </c>
      <c r="M4" s="1395" t="str">
        <f ca="1"/>
        <v>Recover</v>
      </c>
      <c r="N4" s="1395" t="str">
        <f ca="1"/>
        <v>Overload</v>
      </c>
      <c r="O4" s="1395" t="str">
        <f ca="1"/>
        <v>Conservative Balance</v>
      </c>
      <c r="P4" s="1395" t="str">
        <f ca="1"/>
        <v>Conservative Balance</v>
      </c>
      <c r="Q4" s="1395" t="str">
        <f ca="1"/>
        <v>Overload</v>
      </c>
      <c r="R4" s="1395" t="str">
        <f ca="1"/>
        <v>Recover</v>
      </c>
      <c r="S4" s="1395" t="str">
        <f ca="1"/>
        <v>Recover</v>
      </c>
      <c r="T4" s="1395" t="str">
        <f ca="1"/>
        <v>Maintain</v>
      </c>
      <c r="U4" s="1395" t="str">
        <f ca="1"/>
        <v>Maintain</v>
      </c>
      <c r="V4" s="1395" t="str">
        <f ca="1"/>
        <v>Race</v>
      </c>
      <c r="W4" s="1395" t="str">
        <f ca="1"/>
        <v/>
      </c>
      <c r="X4" s="1395" t="str">
        <f ca="1"/>
        <v/>
      </c>
      <c r="Y4" s="1395" t="str">
        <f ca="1"/>
        <v/>
      </c>
      <c r="Z4" s="1395" t="str">
        <f ca="1"/>
        <v/>
      </c>
      <c r="AA4" s="1396" t="str">
        <f ca="1"/>
        <v/>
      </c>
    </row>
    <row r="5" spans="1:27" ht="15" customHeight="1" x14ac:dyDescent="0.45">
      <c r="A5" s="1397"/>
      <c r="B5" s="1888" t="s">
        <v>349</v>
      </c>
      <c r="C5" s="1889"/>
      <c r="D5" s="1398">
        <f t="array" aca="1" ref="D5:AA5" ca="1">display_difficulty</f>
        <v>0.64458278622425291</v>
      </c>
      <c r="E5" s="1399">
        <f ca="1"/>
        <v>0.67534675010348322</v>
      </c>
      <c r="F5" s="1399">
        <f ca="1"/>
        <v>0.70611071398271352</v>
      </c>
      <c r="G5" s="1399">
        <f ca="1"/>
        <v>0.7303712206936952</v>
      </c>
      <c r="H5" s="1399">
        <f ca="1"/>
        <v>0.75643820557916586</v>
      </c>
      <c r="I5" s="1399">
        <f ca="1"/>
        <v>0.78292415892765344</v>
      </c>
      <c r="J5" s="1399">
        <f ca="1"/>
        <v>0.62269734711638935</v>
      </c>
      <c r="K5" s="1399">
        <f ca="1"/>
        <v>0.52911441052036212</v>
      </c>
      <c r="L5" s="1399">
        <f ca="1"/>
        <v>0.76051185517395892</v>
      </c>
      <c r="M5" s="1399">
        <f ca="1"/>
        <v>5.988023952095807E-2</v>
      </c>
      <c r="N5" s="1398">
        <f ca="1"/>
        <v>1</v>
      </c>
      <c r="O5" s="1399">
        <f ca="1"/>
        <v>0.5603766203092625</v>
      </c>
      <c r="P5" s="1399">
        <f ca="1"/>
        <v>0.58881280014630466</v>
      </c>
      <c r="Q5" s="1399">
        <f ca="1"/>
        <v>0.76583138073539192</v>
      </c>
      <c r="R5" s="1399">
        <f ca="1"/>
        <v>0.38061892374681044</v>
      </c>
      <c r="S5" s="1399">
        <f ca="1"/>
        <v>0.38061892374681044</v>
      </c>
      <c r="T5" s="1399">
        <f ca="1"/>
        <v>0.51011923542984439</v>
      </c>
      <c r="U5" s="1399">
        <f ca="1"/>
        <v>0.50870321250659278</v>
      </c>
      <c r="V5" s="1399">
        <f ca="1"/>
        <v>0.58248174124404795</v>
      </c>
      <c r="W5" s="1399" t="str">
        <f ca="1"/>
        <v/>
      </c>
      <c r="X5" s="1399" t="str">
        <f ca="1"/>
        <v/>
      </c>
      <c r="Y5" s="1399" t="str">
        <f ca="1"/>
        <v/>
      </c>
      <c r="Z5" s="1399" t="str">
        <f ca="1"/>
        <v/>
      </c>
      <c r="AA5" s="1400" t="str">
        <f ca="1"/>
        <v/>
      </c>
    </row>
    <row r="6" spans="1:27" x14ac:dyDescent="0.45">
      <c r="A6" s="1401"/>
      <c r="B6" s="1886" t="s">
        <v>350</v>
      </c>
      <c r="C6" s="1887"/>
      <c r="D6" s="1402">
        <f t="array" aca="1" ref="D6:AA6" ca="1">display_duration</f>
        <v>0.49652777777777773</v>
      </c>
      <c r="E6" s="1403">
        <f ca="1"/>
        <v>0.51736111111111105</v>
      </c>
      <c r="F6" s="1403">
        <f ca="1"/>
        <v>0.53819444444444442</v>
      </c>
      <c r="G6" s="1403">
        <f ca="1"/>
        <v>0.55208333333333337</v>
      </c>
      <c r="H6" s="1403">
        <f ca="1"/>
        <v>0.56944444444444442</v>
      </c>
      <c r="I6" s="1403">
        <f ca="1"/>
        <v>0.57638888888888895</v>
      </c>
      <c r="J6" s="1403">
        <f ca="1"/>
        <v>0.47916666666666669</v>
      </c>
      <c r="K6" s="1403">
        <f ca="1"/>
        <v>0.41666666666666669</v>
      </c>
      <c r="L6" s="1403">
        <f ca="1"/>
        <v>0.39583333333333331</v>
      </c>
      <c r="M6" s="1403">
        <f ca="1"/>
        <v>3.4722222222222224E-2</v>
      </c>
      <c r="N6" s="1403">
        <f ca="1"/>
        <v>0.57986111111111105</v>
      </c>
      <c r="O6" s="1403">
        <f ca="1"/>
        <v>0.43284722222222216</v>
      </c>
      <c r="P6" s="1403">
        <f ca="1"/>
        <v>0.44680555555555551</v>
      </c>
      <c r="Q6" s="1403">
        <f ca="1"/>
        <v>0.55805555555555564</v>
      </c>
      <c r="R6" s="1403">
        <f ca="1"/>
        <v>0.30583333333333335</v>
      </c>
      <c r="S6" s="1403">
        <f ca="1"/>
        <v>0.30583333333333335</v>
      </c>
      <c r="T6" s="1403">
        <f ca="1"/>
        <v>0.2951388888888889</v>
      </c>
      <c r="U6" s="1403">
        <f ca="1"/>
        <v>0.38854166666666662</v>
      </c>
      <c r="V6" s="1403">
        <f ca="1"/>
        <v>0.28437499999999999</v>
      </c>
      <c r="W6" s="1403" t="str">
        <f ca="1"/>
        <v/>
      </c>
      <c r="X6" s="1403" t="str">
        <f ca="1"/>
        <v/>
      </c>
      <c r="Y6" s="1403" t="str">
        <f ca="1"/>
        <v/>
      </c>
      <c r="Z6" s="1403" t="str">
        <f ca="1"/>
        <v/>
      </c>
      <c r="AA6" s="1404" t="str">
        <f ca="1"/>
        <v/>
      </c>
    </row>
    <row r="7" spans="1:27" ht="28.5" x14ac:dyDescent="0.45">
      <c r="A7" s="1891" t="s">
        <v>348</v>
      </c>
      <c r="B7" s="1890" t="s">
        <v>325</v>
      </c>
      <c r="C7" s="1405" t="s">
        <v>326</v>
      </c>
      <c r="D7" s="1271" t="str">
        <f t="array" ref="D7:AA20" ca="1">IF(final_duration_session&gt;0,SUBSTITUTE(SUBSTITUTE(SUBSTITUTE(SUBSTITUTE(SUBSTITUTE(SUBSTITUTE(SUBSTITUTE(final_program_summary,"II",display_intervals_name),
"duration_primary", IF(IFERROR(FIND("filler",plan_duration_primary),0)&gt;0, final_adjusted_session_durations,plan_duration_primary)),
"duration_secondary", IF(IFERROR(FIND("filler",plan_duration_secondary),0)&gt;0, final_adjusted_session_durations,plan_duration_secondary)),
"duration_tertiary", IF(IFERROR(FIND("filler",plan_duration_tertiary),0)&gt;0, final_adjusted_session_durations,plan_duration_tertiary)),
" + WU/WD",  IF(final_duration_WD=0, "", " + WD"), 3),
" + WU/WD",  IF(final_duration_tertiary=0,  IF(final_duration_WD=0, "", " + WD"), ""), 2),
" + WU/WD", IF(final_duration_secondary=0, IF(final_duration_WU=0, IF(final_duration_WD=0, "", " + WD"), IF(final_duration_WD=0, " + WU", " + WU/WD")), IF(final_duration_WU=0, "", " + WU")), 1),"")</f>
        <v>🚲 Easy ride: 40 minutes</v>
      </c>
      <c r="E7" s="1274" t="str">
        <f ca="1"/>
        <v>🚲 Easy ride: 40 minutes</v>
      </c>
      <c r="F7" s="1274" t="str">
        <f ca="1"/>
        <v>🚲 Easy ride: 40 minutes</v>
      </c>
      <c r="G7" s="1274" t="str">
        <f ca="1"/>
        <v>🚲 Easy ride: 40 minutes</v>
      </c>
      <c r="H7" s="1274" t="str">
        <f ca="1"/>
        <v>🚲 Easy ride: 40 minutes</v>
      </c>
      <c r="I7" s="1274" t="str">
        <f ca="1"/>
        <v>🚲 Easy ride: 40 minutes</v>
      </c>
      <c r="J7" s="1274" t="str">
        <f ca="1"/>
        <v>🚲 Easy ride: 40 minutes</v>
      </c>
      <c r="K7" s="1274" t="str">
        <f ca="1"/>
        <v>🚲 Easy ride: 40 minutes</v>
      </c>
      <c r="L7" s="1274" t="str">
        <f ca="1"/>
        <v>🚲 Easy ride: 40 minutes</v>
      </c>
      <c r="M7" s="1274" t="str">
        <f ca="1"/>
        <v/>
      </c>
      <c r="N7" s="1274" t="str">
        <f ca="1"/>
        <v/>
      </c>
      <c r="O7" s="1274" t="str">
        <f ca="1"/>
        <v>🚲 Easy ride: 40 minutes</v>
      </c>
      <c r="P7" s="1274" t="str">
        <f ca="1"/>
        <v>🚲 Easy ride: 40 minutes</v>
      </c>
      <c r="Q7" s="1274" t="str">
        <f ca="1"/>
        <v>🚲 Easy ride: 40 minutes</v>
      </c>
      <c r="R7" s="1274" t="str">
        <f ca="1"/>
        <v>🚲 Easy ride: 30 minutes</v>
      </c>
      <c r="S7" s="1274" t="str">
        <f ca="1"/>
        <v>🚲 Easy ride: 30 minutes</v>
      </c>
      <c r="T7" s="1274" t="str">
        <f ca="1"/>
        <v>🚲 Easy ride: 30 minutes</v>
      </c>
      <c r="U7" s="1274" t="str">
        <f ca="1"/>
        <v>🚲 Easy ride: 30 minutes</v>
      </c>
      <c r="V7" s="1274" t="str">
        <f ca="1"/>
        <v/>
      </c>
      <c r="W7" s="1274" t="str">
        <f ca="1"/>
        <v/>
      </c>
      <c r="X7" s="1274" t="str">
        <f ca="1"/>
        <v/>
      </c>
      <c r="Y7" s="1274" t="str">
        <f ca="1"/>
        <v/>
      </c>
      <c r="Z7" s="1274" t="str">
        <f ca="1"/>
        <v/>
      </c>
      <c r="AA7" s="1280" t="str">
        <f ca="1"/>
        <v/>
      </c>
    </row>
    <row r="8" spans="1:27" ht="43.15" thickBot="1" x14ac:dyDescent="0.5">
      <c r="A8" s="1891"/>
      <c r="B8" s="1873"/>
      <c r="C8" s="1406" t="s">
        <v>327</v>
      </c>
      <c r="D8" s="1272" t="str">
        <f ca="1"/>
        <v>1. 💪 Strength and conditioning
2. 💪 Maintenance</v>
      </c>
      <c r="E8" s="1275" t="str">
        <f ca="1"/>
        <v>1. 💪 Strength and conditioning
2. 💪 Maintenance</v>
      </c>
      <c r="F8" s="1275" t="str">
        <f ca="1"/>
        <v>1. 💪 Strength and conditioning
2. 💪 Maintenance</v>
      </c>
      <c r="G8" s="1275" t="str">
        <f ca="1"/>
        <v>1. 💪 Strength and conditioning
2. 💪 Maintenance</v>
      </c>
      <c r="H8" s="1275" t="str">
        <f ca="1"/>
        <v>1. 💪 Strength and conditioning
2. 💪 Maintenance</v>
      </c>
      <c r="I8" s="1275" t="str">
        <f ca="1"/>
        <v>1. 💪 Strength and conditioning
2. 💪 Maintenance</v>
      </c>
      <c r="J8" s="1275" t="str">
        <f ca="1"/>
        <v>1. 💪 Strength and conditioning
2. 💪 Maintenance</v>
      </c>
      <c r="K8" s="1275" t="str">
        <f ca="1"/>
        <v>1. 💪 Strength and conditioning
2. 💪 Maintenance</v>
      </c>
      <c r="L8" s="1275" t="str">
        <f ca="1"/>
        <v>1. 💪 Strength and conditioning
2. 💪 Maintenance</v>
      </c>
      <c r="M8" s="1275" t="str">
        <f ca="1"/>
        <v/>
      </c>
      <c r="N8" s="1275" t="str">
        <f ca="1"/>
        <v>🏃 Steady hilly trail run: 85 minutes</v>
      </c>
      <c r="O8" s="1275" t="str">
        <f ca="1"/>
        <v>1. 💪 Strength and conditioning
2. 💪 Maintenance</v>
      </c>
      <c r="P8" s="1275" t="str">
        <f ca="1"/>
        <v>1. 💪 Strength and conditioning
2. 💪 Maintenance</v>
      </c>
      <c r="Q8" s="1275" t="str">
        <f ca="1"/>
        <v>1. 💪 Strength and conditioning
2. 💪 Maintenance</v>
      </c>
      <c r="R8" s="1275" t="str">
        <f ca="1"/>
        <v>1. 💪 Strength and conditioning
2. 💪 Maintenance</v>
      </c>
      <c r="S8" s="1275" t="str">
        <f ca="1"/>
        <v>1. 💪 Strength and conditioning
2. 💪 Maintenance</v>
      </c>
      <c r="T8" s="1275" t="str">
        <f ca="1"/>
        <v>1. 💪 Strength and conditioning
2. 💪 Maintenance</v>
      </c>
      <c r="U8" s="1275" t="str">
        <f ca="1"/>
        <v>1. 💪 Strength and conditioning
2. 💪 Maintenance</v>
      </c>
      <c r="V8" s="1275" t="str">
        <f ca="1"/>
        <v/>
      </c>
      <c r="W8" s="1275" t="str">
        <f ca="1"/>
        <v/>
      </c>
      <c r="X8" s="1275" t="str">
        <f ca="1"/>
        <v/>
      </c>
      <c r="Y8" s="1275" t="str">
        <f ca="1"/>
        <v/>
      </c>
      <c r="Z8" s="1275" t="str">
        <f ca="1"/>
        <v/>
      </c>
      <c r="AA8" s="1281" t="str">
        <f ca="1"/>
        <v/>
      </c>
    </row>
    <row r="9" spans="1:27" ht="28.9" thickTop="1" x14ac:dyDescent="0.45">
      <c r="A9" s="1891"/>
      <c r="B9" s="1870" t="s">
        <v>328</v>
      </c>
      <c r="C9" s="1410" t="s">
        <v>326</v>
      </c>
      <c r="D9" s="1272" t="str">
        <f ca="1"/>
        <v>🚲 Easy ride: 40 minutes</v>
      </c>
      <c r="E9" s="1275" t="str">
        <f ca="1"/>
        <v>🚲 Easy ride: 40 minutes</v>
      </c>
      <c r="F9" s="1275" t="str">
        <f ca="1"/>
        <v>🚲 Easy ride: 40 minutes</v>
      </c>
      <c r="G9" s="1275" t="str">
        <f ca="1"/>
        <v>🚲 Easy ride: 40 minutes</v>
      </c>
      <c r="H9" s="1275" t="str">
        <f ca="1"/>
        <v>🚲 Easy ride: 40 minutes</v>
      </c>
      <c r="I9" s="1275" t="str">
        <f ca="1"/>
        <v>🚲 Easy ride: 40 minutes</v>
      </c>
      <c r="J9" s="1275" t="str">
        <f ca="1"/>
        <v>🚲 Easy ride: 40 minutes</v>
      </c>
      <c r="K9" s="1275" t="str">
        <f ca="1"/>
        <v/>
      </c>
      <c r="L9" s="1275" t="str">
        <f ca="1"/>
        <v/>
      </c>
      <c r="M9" s="1275" t="str">
        <f ca="1"/>
        <v/>
      </c>
      <c r="N9" s="1275" t="str">
        <f ca="1"/>
        <v/>
      </c>
      <c r="O9" s="1275" t="str">
        <f ca="1"/>
        <v>🚲 Easy ride: 40 minutes</v>
      </c>
      <c r="P9" s="1275" t="str">
        <f ca="1"/>
        <v>🚲 Easy ride: 40 minutes</v>
      </c>
      <c r="Q9" s="1275" t="str">
        <f ca="1"/>
        <v>🚲 Easy ride: 40 minutes</v>
      </c>
      <c r="R9" s="1275" t="str">
        <f ca="1"/>
        <v/>
      </c>
      <c r="S9" s="1275" t="str">
        <f ca="1"/>
        <v/>
      </c>
      <c r="T9" s="1275" t="str">
        <f ca="1"/>
        <v/>
      </c>
      <c r="U9" s="1275" t="str">
        <f ca="1"/>
        <v/>
      </c>
      <c r="V9" s="1275" t="str">
        <f ca="1"/>
        <v/>
      </c>
      <c r="W9" s="1275" t="str">
        <f ca="1"/>
        <v/>
      </c>
      <c r="X9" s="1275" t="str">
        <f ca="1"/>
        <v/>
      </c>
      <c r="Y9" s="1275" t="str">
        <f ca="1"/>
        <v/>
      </c>
      <c r="Z9" s="1275" t="str">
        <f ca="1"/>
        <v/>
      </c>
      <c r="AA9" s="1281" t="str">
        <f ca="1"/>
        <v/>
      </c>
    </row>
    <row r="10" spans="1:27" ht="43.15" thickBot="1" x14ac:dyDescent="0.5">
      <c r="A10" s="1891"/>
      <c r="B10" s="1871"/>
      <c r="C10" s="1411" t="s">
        <v>327</v>
      </c>
      <c r="D10" s="1272" t="str">
        <f ca="1"/>
        <v>🏃 Hilly tempo hilly trail run: 25 minutes + WU/WD</v>
      </c>
      <c r="E10" s="1275" t="str">
        <f ca="1"/>
        <v>🏃 Hilly tempo hilly trail run: 25 minutes + WU/WD</v>
      </c>
      <c r="F10" s="1275" t="str">
        <f ca="1"/>
        <v>🏃 Hilly tempo hilly trail run: 25 minutes + WU/WD</v>
      </c>
      <c r="G10" s="1275" t="str">
        <f ca="1"/>
        <v>🏃 Hilly tempo hilly trail run: 25 minutes + WU/WD</v>
      </c>
      <c r="H10" s="1275" t="str">
        <f ca="1"/>
        <v>🏃 Hilly tempo hilly trail run: 25 minutes + WU/WD</v>
      </c>
      <c r="I10" s="1275" t="str">
        <f ca="1"/>
        <v>🏃 Hilly tempo hilly trail run: 25 minutes + WU/WD</v>
      </c>
      <c r="J10" s="1275" t="str">
        <f ca="1"/>
        <v>🏃 Hilly tempo hilly trail run: 25 minutes + WU/WD</v>
      </c>
      <c r="K10" s="1275" t="str">
        <f ca="1"/>
        <v>🏃 Tempo road run: 25 minutes + WU/WD</v>
      </c>
      <c r="L10" s="1275" t="str">
        <f ca="1"/>
        <v>🏃 Tempo road run: 25 minutes + WU/WD</v>
      </c>
      <c r="M10" s="1275" t="str">
        <f ca="1"/>
        <v/>
      </c>
      <c r="N10" s="1275" t="str">
        <f ca="1"/>
        <v>🏃 Long hilly trail run: 145 minutes</v>
      </c>
      <c r="O10" s="1275" t="str">
        <f ca="1"/>
        <v>🏃 Hilly tempo hilly trail run: 25 minutes + WU/WD</v>
      </c>
      <c r="P10" s="1275" t="str">
        <f ca="1"/>
        <v>🏃 Hilly tempo hilly trail run: 25 minutes + WU/WD</v>
      </c>
      <c r="Q10" s="1275" t="str">
        <f ca="1"/>
        <v>🏃 Hilly tempo hilly trail run: 25 minutes + WU/WD</v>
      </c>
      <c r="R10" s="1275" t="str">
        <f ca="1"/>
        <v>🏃 Hilly tempo hilly trail run: 25 minutes + WU/WD</v>
      </c>
      <c r="S10" s="1275" t="str">
        <f ca="1"/>
        <v>🏃 Hilly tempo hilly trail run: 25 minutes + WU/WD</v>
      </c>
      <c r="T10" s="1275" t="str">
        <f ca="1"/>
        <v>🏃 Easy run: 55 minutes</v>
      </c>
      <c r="U10" s="1275" t="str">
        <f ca="1"/>
        <v>🏃 Hilly tempo hilly trail run: 25 minutes + WU/WD</v>
      </c>
      <c r="V10" s="1275" t="str">
        <f ca="1"/>
        <v>🏃 Intervals: 1km x4 + WU/WD</v>
      </c>
      <c r="W10" s="1275" t="str">
        <f ca="1"/>
        <v/>
      </c>
      <c r="X10" s="1275" t="str">
        <f ca="1"/>
        <v/>
      </c>
      <c r="Y10" s="1275" t="str">
        <f ca="1"/>
        <v/>
      </c>
      <c r="Z10" s="1275" t="str">
        <f ca="1"/>
        <v/>
      </c>
      <c r="AA10" s="1281" t="str">
        <f ca="1"/>
        <v/>
      </c>
    </row>
    <row r="11" spans="1:27" ht="14.65" thickTop="1" x14ac:dyDescent="0.45">
      <c r="A11" s="1891"/>
      <c r="B11" s="1872" t="s">
        <v>329</v>
      </c>
      <c r="C11" s="1407" t="s">
        <v>326</v>
      </c>
      <c r="D11" s="1272" t="str">
        <f ca="1"/>
        <v/>
      </c>
      <c r="E11" s="1275" t="str">
        <f ca="1"/>
        <v/>
      </c>
      <c r="F11" s="1275" t="str">
        <f ca="1"/>
        <v/>
      </c>
      <c r="G11" s="1275" t="str">
        <f ca="1"/>
        <v/>
      </c>
      <c r="H11" s="1275" t="str">
        <f ca="1"/>
        <v/>
      </c>
      <c r="I11" s="1275" t="str">
        <f ca="1"/>
        <v/>
      </c>
      <c r="J11" s="1275" t="str">
        <f ca="1"/>
        <v/>
      </c>
      <c r="K11" s="1275" t="str">
        <f ca="1"/>
        <v/>
      </c>
      <c r="L11" s="1275" t="str">
        <f ca="1"/>
        <v/>
      </c>
      <c r="M11" s="1275" t="str">
        <f ca="1"/>
        <v/>
      </c>
      <c r="N11" s="1275" t="str">
        <f ca="1"/>
        <v/>
      </c>
      <c r="O11" s="1275" t="str">
        <f ca="1"/>
        <v/>
      </c>
      <c r="P11" s="1275" t="str">
        <f ca="1"/>
        <v/>
      </c>
      <c r="Q11" s="1275" t="str">
        <f ca="1"/>
        <v/>
      </c>
      <c r="R11" s="1275" t="str">
        <f ca="1"/>
        <v/>
      </c>
      <c r="S11" s="1275" t="str">
        <f ca="1"/>
        <v/>
      </c>
      <c r="T11" s="1275" t="str">
        <f ca="1"/>
        <v/>
      </c>
      <c r="U11" s="1275" t="str">
        <f ca="1"/>
        <v/>
      </c>
      <c r="V11" s="1275" t="str">
        <f ca="1"/>
        <v/>
      </c>
      <c r="W11" s="1275" t="str">
        <f ca="1"/>
        <v/>
      </c>
      <c r="X11" s="1275" t="str">
        <f ca="1"/>
        <v/>
      </c>
      <c r="Y11" s="1275" t="str">
        <f ca="1"/>
        <v/>
      </c>
      <c r="Z11" s="1275" t="str">
        <f ca="1"/>
        <v/>
      </c>
      <c r="AA11" s="1281" t="str">
        <f ca="1"/>
        <v/>
      </c>
    </row>
    <row r="12" spans="1:27" ht="43.15" thickBot="1" x14ac:dyDescent="0.5">
      <c r="A12" s="1891"/>
      <c r="B12" s="1873"/>
      <c r="C12" s="1406" t="s">
        <v>327</v>
      </c>
      <c r="D12" s="1272" t="str">
        <f ca="1"/>
        <v>🚲 Easy road ride: 50 minutes</v>
      </c>
      <c r="E12" s="1275" t="str">
        <f ca="1"/>
        <v>🚲 Easy road ride: 70 minutes</v>
      </c>
      <c r="F12" s="1275" t="str">
        <f ca="1"/>
        <v>🚲 Easy road ride: 85 minutes</v>
      </c>
      <c r="G12" s="1275" t="str">
        <f ca="1"/>
        <v>🚲 Easy road ride: 75 minutes</v>
      </c>
      <c r="H12" s="1275" t="str">
        <f ca="1"/>
        <v>🚲 Easy road ride: 80 minutes</v>
      </c>
      <c r="I12" s="1275" t="str">
        <f ca="1"/>
        <v>🚲 Easy road ride: 95 minutes</v>
      </c>
      <c r="J12" s="1275" t="str">
        <f ca="1"/>
        <v>🚲 Easy road ride: 60 minutes</v>
      </c>
      <c r="K12" s="1275" t="str">
        <f ca="1"/>
        <v>🚲 Easy road ride: 55 minutes</v>
      </c>
      <c r="L12" s="1275" t="str">
        <f ca="1"/>
        <v>🚲 Easy road ride: 45 minutes</v>
      </c>
      <c r="M12" s="1275" t="str">
        <f ca="1"/>
        <v/>
      </c>
      <c r="N12" s="1275" t="str">
        <f ca="1"/>
        <v>🏃 Long hilly trail run: 145 minutes</v>
      </c>
      <c r="O12" s="1275" t="str">
        <f ca="1"/>
        <v>🚲 Easy road ride: 30 minutes</v>
      </c>
      <c r="P12" s="1275" t="str">
        <f ca="1"/>
        <v>🚲 Easy road ride: 30 minutes</v>
      </c>
      <c r="Q12" s="1275" t="str">
        <f ca="1"/>
        <v>🚲 Easy road ride: 80 minutes</v>
      </c>
      <c r="R12" s="1275" t="str">
        <f ca="1"/>
        <v>🚲 Easy road ride: 30 minutes</v>
      </c>
      <c r="S12" s="1275" t="str">
        <f ca="1"/>
        <v>🚲 Easy road ride: 30 minutes</v>
      </c>
      <c r="T12" s="1275" t="str">
        <f ca="1"/>
        <v>🏃 Easy run: 55 minutes</v>
      </c>
      <c r="U12" s="1275" t="str">
        <f ca="1"/>
        <v>🚲 Easy road ride: 105 minutes</v>
      </c>
      <c r="V12" s="1275" t="str">
        <f ca="1"/>
        <v>1. 🏃 Easy road run: 40 minutes
2. 🏃 45 stride outs</v>
      </c>
      <c r="W12" s="1275" t="str">
        <f ca="1"/>
        <v/>
      </c>
      <c r="X12" s="1275" t="str">
        <f ca="1"/>
        <v/>
      </c>
      <c r="Y12" s="1275" t="str">
        <f ca="1"/>
        <v/>
      </c>
      <c r="Z12" s="1275" t="str">
        <f ca="1"/>
        <v/>
      </c>
      <c r="AA12" s="1281" t="str">
        <f ca="1"/>
        <v/>
      </c>
    </row>
    <row r="13" spans="1:27" ht="28.9" thickTop="1" x14ac:dyDescent="0.45">
      <c r="A13" s="1891"/>
      <c r="B13" s="1870" t="s">
        <v>330</v>
      </c>
      <c r="C13" s="1410" t="s">
        <v>326</v>
      </c>
      <c r="D13" s="1272" t="str">
        <f ca="1"/>
        <v>🚲 Easy ride: 40 minutes</v>
      </c>
      <c r="E13" s="1275" t="str">
        <f ca="1"/>
        <v>🚲 Easy ride: 40 minutes</v>
      </c>
      <c r="F13" s="1275" t="str">
        <f ca="1"/>
        <v>🚲 Easy ride: 40 minutes</v>
      </c>
      <c r="G13" s="1275" t="str">
        <f ca="1"/>
        <v>🚲 Easy ride: 40 minutes</v>
      </c>
      <c r="H13" s="1275" t="str">
        <f ca="1"/>
        <v>🚲 Easy ride: 40 minutes</v>
      </c>
      <c r="I13" s="1275" t="str">
        <f ca="1"/>
        <v>🚲 Easy ride: 40 minutes</v>
      </c>
      <c r="J13" s="1275" t="str">
        <f ca="1"/>
        <v/>
      </c>
      <c r="K13" s="1275" t="str">
        <f ca="1"/>
        <v/>
      </c>
      <c r="L13" s="1275" t="str">
        <f ca="1"/>
        <v/>
      </c>
      <c r="M13" s="1275" t="str">
        <f ca="1"/>
        <v/>
      </c>
      <c r="N13" s="1275" t="str">
        <f ca="1"/>
        <v/>
      </c>
      <c r="O13" s="1275" t="str">
        <f ca="1"/>
        <v>🚲 Easy ride: 40 minutes</v>
      </c>
      <c r="P13" s="1275" t="str">
        <f ca="1"/>
        <v>🚲 Easy ride: 40 minutes</v>
      </c>
      <c r="Q13" s="1275" t="str">
        <f ca="1"/>
        <v>🚲 Easy ride: 40 minutes</v>
      </c>
      <c r="R13" s="1275" t="str">
        <f ca="1"/>
        <v/>
      </c>
      <c r="S13" s="1275" t="str">
        <f ca="1"/>
        <v/>
      </c>
      <c r="T13" s="1275" t="str">
        <f ca="1"/>
        <v/>
      </c>
      <c r="U13" s="1275" t="str">
        <f ca="1"/>
        <v/>
      </c>
      <c r="V13" s="1275" t="str">
        <f ca="1"/>
        <v>🏃 Easy road run: 20 minutes</v>
      </c>
      <c r="W13" s="1275" t="str">
        <f ca="1"/>
        <v/>
      </c>
      <c r="X13" s="1275" t="str">
        <f ca="1"/>
        <v/>
      </c>
      <c r="Y13" s="1275" t="str">
        <f ca="1"/>
        <v/>
      </c>
      <c r="Z13" s="1275" t="str">
        <f ca="1"/>
        <v/>
      </c>
      <c r="AA13" s="1281" t="str">
        <f ca="1"/>
        <v/>
      </c>
    </row>
    <row r="14" spans="1:27" ht="28.9" thickBot="1" x14ac:dyDescent="0.5">
      <c r="A14" s="1891"/>
      <c r="B14" s="1871"/>
      <c r="C14" s="1411" t="s">
        <v>327</v>
      </c>
      <c r="D14" s="1272" t="str">
        <f ca="1"/>
        <v>🏃 Steady hilly trail run: 80 minutes</v>
      </c>
      <c r="E14" s="1275" t="str">
        <f ca="1"/>
        <v>🏃 Steady hilly trail run: 85 minutes</v>
      </c>
      <c r="F14" s="1275" t="str">
        <f ca="1"/>
        <v>🏃 Steady hilly trail run: 90 minutes</v>
      </c>
      <c r="G14" s="1275" t="str">
        <f ca="1"/>
        <v>🏃 Steady hilly trail run: 90 minutes</v>
      </c>
      <c r="H14" s="1275" t="str">
        <f ca="1"/>
        <v>🏃 Steady hilly trail run: 95 minutes</v>
      </c>
      <c r="I14" s="1275" t="str">
        <f ca="1"/>
        <v>🏃 Steady hilly trail run: 100 minutes</v>
      </c>
      <c r="J14" s="1275" t="str">
        <f ca="1"/>
        <v>🏃 Steady hilly trail run: 80 minutes</v>
      </c>
      <c r="K14" s="1275" t="str">
        <f ca="1"/>
        <v>🏃 Steady hilly trail run: 65 minutes</v>
      </c>
      <c r="L14" s="1275" t="str">
        <f ca="1"/>
        <v/>
      </c>
      <c r="M14" s="1275" t="str">
        <f ca="1"/>
        <v/>
      </c>
      <c r="N14" s="1275" t="str">
        <f ca="1"/>
        <v>🏃 Steady hilly trail run: 85 minutes</v>
      </c>
      <c r="O14" s="1275" t="str">
        <f ca="1"/>
        <v>🏃 Intervals: 1km x3 + WU/WD</v>
      </c>
      <c r="P14" s="1275" t="str">
        <f ca="1"/>
        <v>🏃 Intervals: 1km x4 + WU/WD</v>
      </c>
      <c r="Q14" s="1275" t="str">
        <f ca="1"/>
        <v>🏃 Intervals: 1km x5 + WU/WD</v>
      </c>
      <c r="R14" s="1275" t="str">
        <f ca="1"/>
        <v>🏃 Intervals: 1km x4 + WU/WD</v>
      </c>
      <c r="S14" s="1275" t="str">
        <f ca="1"/>
        <v>🏃 Intervals: 1km x4 + WU/WD</v>
      </c>
      <c r="T14" s="1275" t="str">
        <f ca="1"/>
        <v/>
      </c>
      <c r="U14" s="1275" t="str">
        <f ca="1"/>
        <v>🏃 Intervals: 1km x4 + WU/WD</v>
      </c>
      <c r="V14" s="1275" t="str">
        <f ca="1"/>
        <v/>
      </c>
      <c r="W14" s="1275" t="str">
        <f ca="1"/>
        <v/>
      </c>
      <c r="X14" s="1275" t="str">
        <f ca="1"/>
        <v/>
      </c>
      <c r="Y14" s="1275" t="str">
        <f ca="1"/>
        <v/>
      </c>
      <c r="Z14" s="1275" t="str">
        <f ca="1"/>
        <v/>
      </c>
      <c r="AA14" s="1281" t="str">
        <f ca="1"/>
        <v/>
      </c>
    </row>
    <row r="15" spans="1:27" ht="43.15" thickTop="1" x14ac:dyDescent="0.45">
      <c r="A15" s="1891"/>
      <c r="B15" s="1872" t="s">
        <v>331</v>
      </c>
      <c r="C15" s="1407" t="s">
        <v>326</v>
      </c>
      <c r="D15" s="1272" t="str">
        <f ca="1"/>
        <v>🚲 Easy ride: 40 minutes</v>
      </c>
      <c r="E15" s="1275" t="str">
        <f ca="1"/>
        <v>🚲 Easy ride: 40 minutes</v>
      </c>
      <c r="F15" s="1275" t="str">
        <f ca="1"/>
        <v>🚲 Easy ride: 40 minutes</v>
      </c>
      <c r="G15" s="1275" t="str">
        <f ca="1"/>
        <v>🚲 Easy ride: 40 minutes</v>
      </c>
      <c r="H15" s="1275" t="str">
        <f ca="1"/>
        <v>🚲 Easy ride: 40 minutes</v>
      </c>
      <c r="I15" s="1275" t="str">
        <f ca="1"/>
        <v>🚲 Easy ride: 40 minutes</v>
      </c>
      <c r="J15" s="1275" t="str">
        <f ca="1"/>
        <v>🚲 Easy ride: 40 minutes</v>
      </c>
      <c r="K15" s="1275" t="str">
        <f ca="1"/>
        <v>🚲 Easy ride: 40 minutes</v>
      </c>
      <c r="L15" s="1275" t="str">
        <f ca="1"/>
        <v>1. 🏃 Easy road run: 20 minutes
2. 🏃 5 stride outs</v>
      </c>
      <c r="M15" s="1275" t="str">
        <f ca="1"/>
        <v/>
      </c>
      <c r="N15" s="1275" t="str">
        <f ca="1"/>
        <v/>
      </c>
      <c r="O15" s="1275" t="str">
        <f ca="1"/>
        <v>🚲 Easy ride: 40 minutes</v>
      </c>
      <c r="P15" s="1275" t="str">
        <f ca="1"/>
        <v>🚲 Easy ride: 40 minutes</v>
      </c>
      <c r="Q15" s="1275" t="str">
        <f ca="1"/>
        <v>🚲 Easy ride: 40 minutes</v>
      </c>
      <c r="R15" s="1275" t="str">
        <f ca="1"/>
        <v>🚲 Easy ride: 30 minutes</v>
      </c>
      <c r="S15" s="1275" t="str">
        <f ca="1"/>
        <v>🚲 Easy ride: 30 minutes</v>
      </c>
      <c r="T15" s="1275" t="str">
        <f ca="1"/>
        <v/>
      </c>
      <c r="U15" s="1275" t="str">
        <f ca="1"/>
        <v>🚲 Easy ride: 30 minutes</v>
      </c>
      <c r="V15" s="1275" t="str">
        <f ca="1"/>
        <v>🏃 Easy road run: 30 minutes</v>
      </c>
      <c r="W15" s="1275" t="str">
        <f ca="1"/>
        <v/>
      </c>
      <c r="X15" s="1275" t="str">
        <f ca="1"/>
        <v/>
      </c>
      <c r="Y15" s="1275" t="str">
        <f ca="1"/>
        <v/>
      </c>
      <c r="Z15" s="1275" t="str">
        <f ca="1"/>
        <v/>
      </c>
      <c r="AA15" s="1281" t="str">
        <f ca="1"/>
        <v/>
      </c>
    </row>
    <row r="16" spans="1:27" ht="43.15" thickBot="1" x14ac:dyDescent="0.5">
      <c r="A16" s="1891"/>
      <c r="B16" s="1873"/>
      <c r="C16" s="1406" t="s">
        <v>327</v>
      </c>
      <c r="D16" s="1272" t="str">
        <f ca="1"/>
        <v>1. 💪 Strength and conditioning
2. 💪 Maintenance</v>
      </c>
      <c r="E16" s="1275" t="str">
        <f ca="1"/>
        <v>1. 💪 Strength and conditioning
2. 💪 Maintenance</v>
      </c>
      <c r="F16" s="1275" t="str">
        <f ca="1"/>
        <v>1. 💪 Strength and conditioning
2. 💪 Maintenance</v>
      </c>
      <c r="G16" s="1275" t="str">
        <f ca="1"/>
        <v>1. 💪 Strength and conditioning
2. 💪 Maintenance</v>
      </c>
      <c r="H16" s="1275" t="str">
        <f ca="1"/>
        <v>1. 💪 Strength and conditioning
2. 💪 Maintenance</v>
      </c>
      <c r="I16" s="1275" t="str">
        <f ca="1"/>
        <v>1. 💪 Strength and conditioning
2. 💪 Maintenance</v>
      </c>
      <c r="J16" s="1275" t="str">
        <f ca="1"/>
        <v>1. 💪 Strength and conditioning
2. 💪 Maintenance</v>
      </c>
      <c r="K16" s="1275" t="str">
        <f ca="1"/>
        <v>1. 💪 Strength and conditioning
2. 💪 Maintenance</v>
      </c>
      <c r="L16" s="1275" t="str">
        <f ca="1"/>
        <v/>
      </c>
      <c r="M16" s="1275" t="str">
        <f ca="1"/>
        <v/>
      </c>
      <c r="N16" s="1275" t="str">
        <f ca="1"/>
        <v>🏃 Steady hilly trail run: 85 minutes</v>
      </c>
      <c r="O16" s="1275" t="str">
        <f ca="1"/>
        <v>1. 💪 Strength and conditioning
2. 💪 Maintenance</v>
      </c>
      <c r="P16" s="1275" t="str">
        <f ca="1"/>
        <v>1. 💪 Strength and conditioning
2. 💪 Maintenance</v>
      </c>
      <c r="Q16" s="1275" t="str">
        <f ca="1"/>
        <v>1. 💪 Strength and conditioning
2. 💪 Maintenance</v>
      </c>
      <c r="R16" s="1275" t="str">
        <f ca="1"/>
        <v>1. 💪 Strength and conditioning
2. 💪 Maintenance</v>
      </c>
      <c r="S16" s="1275" t="str">
        <f ca="1"/>
        <v>1. 💪 Strength and conditioning
2. 💪 Maintenance</v>
      </c>
      <c r="T16" s="1275" t="str">
        <f ca="1"/>
        <v>🏃 Race: 15 minutes + WU/WD</v>
      </c>
      <c r="U16" s="1275" t="str">
        <f ca="1"/>
        <v>1. 💪 Strength and conditioning
2. 💪 Maintenance</v>
      </c>
      <c r="V16" s="1275" t="str">
        <f ca="1"/>
        <v/>
      </c>
      <c r="W16" s="1275" t="str">
        <f ca="1"/>
        <v/>
      </c>
      <c r="X16" s="1275" t="str">
        <f ca="1"/>
        <v/>
      </c>
      <c r="Y16" s="1275" t="str">
        <f ca="1"/>
        <v/>
      </c>
      <c r="Z16" s="1275" t="str">
        <f ca="1"/>
        <v/>
      </c>
      <c r="AA16" s="1281" t="str">
        <f ca="1"/>
        <v/>
      </c>
    </row>
    <row r="17" spans="1:27" ht="43.15" thickTop="1" x14ac:dyDescent="0.45">
      <c r="A17" s="1891"/>
      <c r="B17" s="1870" t="s">
        <v>332</v>
      </c>
      <c r="C17" s="1410" t="s">
        <v>326</v>
      </c>
      <c r="D17" s="1272" t="str">
        <f ca="1"/>
        <v>🏃 Drills + WU/WD</v>
      </c>
      <c r="E17" s="1275" t="str">
        <f ca="1"/>
        <v>🏃 Drills + WU/WD</v>
      </c>
      <c r="F17" s="1275" t="str">
        <f ca="1"/>
        <v>🏃 Drills + WU/WD</v>
      </c>
      <c r="G17" s="1275" t="str">
        <f ca="1"/>
        <v>1. 🏃 Drills + WU
2. 🏃 Easy run: 35 minutes</v>
      </c>
      <c r="H17" s="1275" t="str">
        <f ca="1"/>
        <v>1. 🏃 Drills + WU
2. 🏃 Easy run: 40 minutes</v>
      </c>
      <c r="I17" s="1275" t="str">
        <f ca="1"/>
        <v>🏃 Long hilly trail run: 240 minutes</v>
      </c>
      <c r="J17" s="1275" t="str">
        <f ca="1"/>
        <v>1. 🏃 Drills + WU
2. 🏃 Easy run: 30 minutes</v>
      </c>
      <c r="K17" s="1275" t="str">
        <f ca="1"/>
        <v>1. 🏃 Drills + WU
2. 🏃 Easy run: 25 minutes</v>
      </c>
      <c r="L17" s="1275" t="str">
        <f ca="1"/>
        <v>🏃 Race: 300 minutes + WU/WD</v>
      </c>
      <c r="M17" s="1275" t="str">
        <f ca="1"/>
        <v/>
      </c>
      <c r="N17" s="1275" t="str">
        <f ca="1"/>
        <v>🏃 Long hilly trail run: 145 minutes</v>
      </c>
      <c r="O17" s="1275" t="str">
        <f ca="1"/>
        <v>🏃 Steady hilly trail run: 70 minutes</v>
      </c>
      <c r="P17" s="1275" t="str">
        <f ca="1"/>
        <v>🏃 Steady hilly trail run: 75 minutes</v>
      </c>
      <c r="Q17" s="1275" t="str">
        <f ca="1"/>
        <v>🏃 Steady hilly trail run: 95 minutes</v>
      </c>
      <c r="R17" s="1275" t="str">
        <f ca="1"/>
        <v>🏃 Steady hilly trail run: 50 minutes</v>
      </c>
      <c r="S17" s="1275" t="str">
        <f ca="1"/>
        <v>🏃 Steady hilly trail run: 50 minutes</v>
      </c>
      <c r="T17" s="1275" t="str">
        <f ca="1"/>
        <v>🏃 Race: 90 minutes + WU/WD</v>
      </c>
      <c r="U17" s="1275" t="str">
        <f ca="1"/>
        <v>🏃 Steady hilly trail run: 65 minutes</v>
      </c>
      <c r="V17" s="1275" t="str">
        <f ca="1"/>
        <v>🏃 Race: 180 minutes + WU/WD</v>
      </c>
      <c r="W17" s="1275" t="str">
        <f ca="1"/>
        <v/>
      </c>
      <c r="X17" s="1275" t="str">
        <f ca="1"/>
        <v/>
      </c>
      <c r="Y17" s="1275" t="str">
        <f ca="1"/>
        <v/>
      </c>
      <c r="Z17" s="1275" t="str">
        <f ca="1"/>
        <v/>
      </c>
      <c r="AA17" s="1281" t="str">
        <f ca="1"/>
        <v/>
      </c>
    </row>
    <row r="18" spans="1:27" ht="28.9" thickBot="1" x14ac:dyDescent="0.5">
      <c r="A18" s="1891"/>
      <c r="B18" s="1871"/>
      <c r="C18" s="1411" t="s">
        <v>327</v>
      </c>
      <c r="D18" s="1272" t="str">
        <f ca="1"/>
        <v>🏃 Easy run: 55 minutes</v>
      </c>
      <c r="E18" s="1275" t="str">
        <f ca="1"/>
        <v>🏃 Easy run: 55 minutes</v>
      </c>
      <c r="F18" s="1275" t="str">
        <f ca="1"/>
        <v>🏃 Easy run: 60 minutes</v>
      </c>
      <c r="G18" s="1275" t="str">
        <f ca="1"/>
        <v>🏃 Easy run: 60 minutes</v>
      </c>
      <c r="H18" s="1275" t="str">
        <f ca="1"/>
        <v>🏃 Easy run: 65 minutes</v>
      </c>
      <c r="I18" s="1275" t="str">
        <f ca="1"/>
        <v/>
      </c>
      <c r="J18" s="1275" t="str">
        <f ca="1"/>
        <v>🏃 Easy run: 50 minutes</v>
      </c>
      <c r="K18" s="1275" t="str">
        <f ca="1"/>
        <v>🏃 Easy run: 45 minutes</v>
      </c>
      <c r="L18" s="1275" t="str">
        <f ca="1"/>
        <v/>
      </c>
      <c r="M18" s="1275" t="str">
        <f ca="1"/>
        <v/>
      </c>
      <c r="N18" s="1275" t="str">
        <f ca="1"/>
        <v/>
      </c>
      <c r="O18" s="1275" t="str">
        <f ca="1"/>
        <v>🚲 Easy road ride: 30 minutes</v>
      </c>
      <c r="P18" s="1275" t="str">
        <f ca="1"/>
        <v>🚲 Easy road ride: 30 minutes</v>
      </c>
      <c r="Q18" s="1275" t="str">
        <f ca="1"/>
        <v>🚲 Easy road ride: 80 minutes</v>
      </c>
      <c r="R18" s="1275" t="str">
        <f ca="1"/>
        <v/>
      </c>
      <c r="S18" s="1275" t="str">
        <f ca="1"/>
        <v/>
      </c>
      <c r="T18" s="1275" t="str">
        <f ca="1"/>
        <v/>
      </c>
      <c r="U18" s="1275" t="str">
        <f ca="1"/>
        <v/>
      </c>
      <c r="V18" s="1275" t="str">
        <f ca="1"/>
        <v/>
      </c>
      <c r="W18" s="1275" t="str">
        <f ca="1"/>
        <v/>
      </c>
      <c r="X18" s="1275" t="str">
        <f ca="1"/>
        <v/>
      </c>
      <c r="Y18" s="1275" t="str">
        <f ca="1"/>
        <v/>
      </c>
      <c r="Z18" s="1275" t="str">
        <f ca="1"/>
        <v/>
      </c>
      <c r="AA18" s="1281" t="str">
        <f ca="1"/>
        <v/>
      </c>
    </row>
    <row r="19" spans="1:27" ht="28.9" thickTop="1" x14ac:dyDescent="0.45">
      <c r="A19" s="1891"/>
      <c r="B19" s="1874" t="s">
        <v>333</v>
      </c>
      <c r="C19" s="1408" t="s">
        <v>326</v>
      </c>
      <c r="D19" s="1272" t="str">
        <f ca="1"/>
        <v>🚲 Long ride: 135 minutes</v>
      </c>
      <c r="E19" s="1275" t="str">
        <f ca="1"/>
        <v>🚲 Long ride: 140 minutes</v>
      </c>
      <c r="F19" s="1275" t="str">
        <f ca="1"/>
        <v>🚲 Long ride: 145 minutes</v>
      </c>
      <c r="G19" s="1275" t="str">
        <f ca="1"/>
        <v>🏃 Long hilly trail run: 155 minutes</v>
      </c>
      <c r="H19" s="1275" t="str">
        <f ca="1"/>
        <v>🏃 Long hilly trail run: 160 minutes</v>
      </c>
      <c r="I19" s="1275" t="str">
        <f ca="1"/>
        <v>🏃 Easy road run: 60 minutes</v>
      </c>
      <c r="J19" s="1275" t="str">
        <f ca="1"/>
        <v>🏃 Long hilly trail run: 130 minutes</v>
      </c>
      <c r="K19" s="1275" t="str">
        <f ca="1"/>
        <v>🏃 Long hilly trail run: 110 minutes</v>
      </c>
      <c r="L19" s="1275" t="str">
        <f ca="1"/>
        <v/>
      </c>
      <c r="M19" s="1275" t="str">
        <f ca="1"/>
        <v/>
      </c>
      <c r="N19" s="1275" t="str">
        <f ca="1"/>
        <v>🏃 Long hilly trail run: 145 minutes</v>
      </c>
      <c r="O19" s="1275" t="str">
        <f ca="1"/>
        <v>🏃 Long hilly trail run: 115 minutes</v>
      </c>
      <c r="P19" s="1275" t="str">
        <f ca="1"/>
        <v>🏃 Long hilly trail run: 125 minutes</v>
      </c>
      <c r="Q19" s="1275" t="str">
        <f ca="1"/>
        <v>🏃 Long hilly trail run: 160 minutes</v>
      </c>
      <c r="R19" s="1275" t="str">
        <f ca="1"/>
        <v>🏃 Long hilly trail run: 80 minutes</v>
      </c>
      <c r="S19" s="1275" t="str">
        <f ca="1"/>
        <v>🏃 Long hilly trail run: 80 minutes</v>
      </c>
      <c r="T19" s="1275" t="str">
        <f ca="1"/>
        <v>🏃 Race: 30 minutes + WU/WD</v>
      </c>
      <c r="U19" s="1275" t="str">
        <f ca="1"/>
        <v>🏃 Long hilly trail run: 105 minutes</v>
      </c>
      <c r="V19" s="1275" t="str">
        <f ca="1"/>
        <v/>
      </c>
      <c r="W19" s="1275" t="str">
        <f ca="1"/>
        <v/>
      </c>
      <c r="X19" s="1275" t="str">
        <f ca="1"/>
        <v/>
      </c>
      <c r="Y19" s="1275" t="str">
        <f ca="1"/>
        <v/>
      </c>
      <c r="Z19" s="1275" t="str">
        <f ca="1"/>
        <v/>
      </c>
      <c r="AA19" s="1281" t="str">
        <f ca="1"/>
        <v/>
      </c>
    </row>
    <row r="20" spans="1:27" ht="28.9" thickBot="1" x14ac:dyDescent="0.5">
      <c r="A20" s="1892"/>
      <c r="B20" s="1875"/>
      <c r="C20" s="1409" t="s">
        <v>327</v>
      </c>
      <c r="D20" s="1282" t="str">
        <f ca="1"/>
        <v/>
      </c>
      <c r="E20" s="1283" t="str">
        <f ca="1"/>
        <v/>
      </c>
      <c r="F20" s="1283" t="str">
        <f ca="1"/>
        <v/>
      </c>
      <c r="G20" s="1283" t="str">
        <f ca="1"/>
        <v/>
      </c>
      <c r="H20" s="1283" t="str">
        <f ca="1"/>
        <v/>
      </c>
      <c r="I20" s="1283" t="str">
        <f ca="1"/>
        <v/>
      </c>
      <c r="J20" s="1283" t="str">
        <f ca="1"/>
        <v/>
      </c>
      <c r="K20" s="1283" t="str">
        <f ca="1"/>
        <v/>
      </c>
      <c r="L20" s="1283" t="str">
        <f ca="1"/>
        <v/>
      </c>
      <c r="M20" s="1283" t="str">
        <f ca="1"/>
        <v>🏃 Steady hilly trail run: 50 minutes</v>
      </c>
      <c r="N20" s="1283" t="str">
        <f ca="1"/>
        <v/>
      </c>
      <c r="O20" s="1283" t="str">
        <f ca="1"/>
        <v/>
      </c>
      <c r="P20" s="1283" t="str">
        <f ca="1"/>
        <v/>
      </c>
      <c r="Q20" s="1283" t="str">
        <f ca="1"/>
        <v/>
      </c>
      <c r="R20" s="1283" t="str">
        <f ca="1"/>
        <v/>
      </c>
      <c r="S20" s="1283" t="str">
        <f ca="1"/>
        <v/>
      </c>
      <c r="T20" s="1283" t="str">
        <f ca="1"/>
        <v/>
      </c>
      <c r="U20" s="1283" t="str">
        <f ca="1"/>
        <v/>
      </c>
      <c r="V20" s="1283" t="str">
        <f ca="1"/>
        <v/>
      </c>
      <c r="W20" s="1283" t="str">
        <f ca="1"/>
        <v/>
      </c>
      <c r="X20" s="1283" t="str">
        <f ca="1"/>
        <v/>
      </c>
      <c r="Y20" s="1283" t="str">
        <f ca="1"/>
        <v/>
      </c>
      <c r="Z20" s="1283" t="str">
        <f ca="1"/>
        <v/>
      </c>
      <c r="AA20" s="1284" t="str">
        <f ca="1"/>
        <v/>
      </c>
    </row>
  </sheetData>
  <sheetProtection algorithmName="SHA-512" hashValue="QAVNp9AxdCsizI+xoKuTB6m5Z3/1xRGt4YBg/jjDo8e+Ivl+PcSX1T/TUeQQ8Pef66KhEbI84I5R7B+f9osn6g==" saltValue="GNQYohYT/iDwiQznQjheyA==" spinCount="100000" sheet="1" objects="1" scenarios="1"/>
  <mergeCells count="14">
    <mergeCell ref="B13:B14"/>
    <mergeCell ref="B15:B16"/>
    <mergeCell ref="B17:B18"/>
    <mergeCell ref="B19:B20"/>
    <mergeCell ref="A1:C1"/>
    <mergeCell ref="A2:C2"/>
    <mergeCell ref="A3:C3"/>
    <mergeCell ref="A4:C4"/>
    <mergeCell ref="B5:C5"/>
    <mergeCell ref="B6:C6"/>
    <mergeCell ref="B7:B8"/>
    <mergeCell ref="B9:B10"/>
    <mergeCell ref="B11:B12"/>
    <mergeCell ref="A7:A20"/>
  </mergeCells>
  <conditionalFormatting sqref="D1:AA6">
    <cfRule type="expression" dxfId="1" priority="1">
      <formula>D$1 &gt; TODAY()</formula>
    </cfRule>
    <cfRule type="expression" dxfId="0" priority="3">
      <formula>D$1 &gt; TODAY() - 7</formula>
    </cfRule>
  </conditionalFormatting>
  <conditionalFormatting sqref="B7:B20">
    <cfRule type="expression" dxfId="58" priority="2">
      <formula>$B7 = TEXT(TODAY(),"DDDD")</formula>
    </cfRule>
  </conditionalFormatting>
  <conditionalFormatting sqref="D7:AA20">
    <cfRule type="containsText" dxfId="57" priority="61" operator="containsText" text="Race">
      <formula>NOT(ISERROR(SEARCH("Race",D7)))</formula>
    </cfRule>
    <cfRule type="containsText" dxfId="56" priority="62" operator="containsText" text="Reps">
      <formula>NOT(ISERROR(SEARCH("Reps",D7)))</formula>
    </cfRule>
    <cfRule type="containsText" dxfId="55" priority="63" operator="containsText" text="Intervals">
      <formula>NOT(ISERROR(SEARCH("Intervals",D7)))</formula>
    </cfRule>
    <cfRule type="containsText" dxfId="54" priority="64" operator="containsText" text="Long">
      <formula>NOT(ISERROR(SEARCH("Long",D7)))</formula>
    </cfRule>
    <cfRule type="containsText" dxfId="53" priority="65" operator="containsText" text="Hilly">
      <formula>NOT(ISERROR(SEARCH("Hilly",D7)))</formula>
    </cfRule>
    <cfRule type="containsText" dxfId="52" priority="66" operator="containsText" text="Fartlek">
      <formula>NOT(ISERROR(SEARCH("Fartlek",D7)))</formula>
    </cfRule>
    <cfRule type="containsText" dxfId="51" priority="67" operator="containsText" text="Tempo">
      <formula>NOT(ISERROR(SEARCH("Tempo",D7)))</formula>
    </cfRule>
    <cfRule type="containsText" dxfId="50" priority="68" operator="containsText" text="Subthreshold">
      <formula>NOT(ISERROR(SEARCH("Subthreshold",D7)))</formula>
    </cfRule>
    <cfRule type="containsText" dxfId="49" priority="69" operator="containsText" text="Steady">
      <formula>NOT(ISERROR(SEARCH("Steady",D7)))</formula>
    </cfRule>
    <cfRule type="containsText" dxfId="48" priority="70" operator="containsText" text="Drills">
      <formula>NOT(ISERROR(SEARCH("Drills",D7)))</formula>
    </cfRule>
    <cfRule type="containsText" dxfId="47" priority="71" operator="containsText" text="Strength">
      <formula>NOT(ISERROR(SEARCH("Strength",D7)))</formula>
    </cfRule>
    <cfRule type="containsText" dxfId="46" priority="72" operator="containsText" text="Maintenance">
      <formula>NOT(ISERROR(SEARCH("Maintenance",D7)))</formula>
    </cfRule>
    <cfRule type="containsText" dxfId="45" priority="73" operator="containsText" text="Easy">
      <formula>NOT(ISERROR(SEARCH("Easy",D7)))</formula>
    </cfRule>
    <cfRule type="containsText" dxfId="44" priority="74" operator="containsText" text="Alternative">
      <formula>NOT(ISERROR(SEARCH("Alternative",D7)))</formula>
    </cfRule>
    <cfRule type="containsText" dxfId="43" priority="75" operator="containsText" text="Recovery">
      <formula>NOT(ISERROR(SEARCH("Recovery",D7)))</formula>
    </cfRule>
    <cfRule type="containsText" dxfId="42" priority="76" operator="containsText" text="Rest">
      <formula>NOT(ISERROR(SEARCH("Rest",D7)))</formula>
    </cfRule>
  </conditionalFormatting>
  <conditionalFormatting sqref="D4:AA4">
    <cfRule type="containsText" dxfId="41" priority="21" operator="containsText" text="Overload">
      <formula>NOT(ISERROR(SEARCH("Overload",D4)))</formula>
    </cfRule>
  </conditionalFormatting>
  <hyperlinks>
    <hyperlink ref="D8" location="'Program Full'!$D$32:$G$57" display="'Program Full'!$D$32:$G$57" xr:uid="{00000000-0004-0000-0E00-000000000000}"/>
    <hyperlink ref="D7" location="'Program Full'!$D$5:$G$30" display="'Program Full'!$D$5:$G$30" xr:uid="{00000000-0004-0000-0E00-000001000000}"/>
    <hyperlink ref="D9" location="'Program Full'!$I$5:$L$30" display="'Program Full'!$I$5:$L$30" xr:uid="{00000000-0004-0000-0E00-000002000000}"/>
    <hyperlink ref="D10" location="'Program Full'!$I$32:$L$57" display="'Program Full'!$I$32:$L$57" xr:uid="{00000000-0004-0000-0E00-000003000000}"/>
    <hyperlink ref="D11" location="'Program Full'!$N$5:$Q$30" display="'Program Full'!$N$5:$Q$30" xr:uid="{00000000-0004-0000-0E00-000004000000}"/>
    <hyperlink ref="D12" location="'Program Full'!$N$32:$Q$57" display="'Program Full'!$N$32:$Q$57" xr:uid="{00000000-0004-0000-0E00-000005000000}"/>
    <hyperlink ref="D13" location="'Program Full'!$S$5:$V$30" display="'Program Full'!$S$5:$V$30" xr:uid="{00000000-0004-0000-0E00-000006000000}"/>
    <hyperlink ref="D14" location="'Program Full'!$S$32:$V$57" display="'Program Full'!$S$32:$V$57" xr:uid="{00000000-0004-0000-0E00-000007000000}"/>
    <hyperlink ref="D15" location="'Program Full'!$X$5:$AA$30" display="'Program Full'!$X$5:$AA$30" xr:uid="{00000000-0004-0000-0E00-000008000000}"/>
    <hyperlink ref="D16" location="'Program Full'!$X$32:$AA$57" display="'Program Full'!$X$32:$AA$57" xr:uid="{00000000-0004-0000-0E00-000009000000}"/>
    <hyperlink ref="D17" location="'Program Full'!$AC$5:$AF$30" display="'Program Full'!$AC$5:$AF$30" xr:uid="{00000000-0004-0000-0E00-00000A000000}"/>
    <hyperlink ref="D18" location="'Program Full'!$AC$32:$AF$57" display="'Program Full'!$AC$32:$AF$57" xr:uid="{00000000-0004-0000-0E00-00000B000000}"/>
    <hyperlink ref="D19" location="'Program Full'!$AH$5:$AK$30" display="'Program Full'!$AH$5:$AK$30" xr:uid="{00000000-0004-0000-0E00-00000C000000}"/>
    <hyperlink ref="D20" location="'Program Full'!$AH$32:$AK$57" display="'Program Full'!$AH$32:$AK$57" xr:uid="{00000000-0004-0000-0E00-00000D000000}"/>
    <hyperlink ref="E7" location="'Program Full'!$D$61:$G$86" display="'Program Full'!$D$61:$G$86" xr:uid="{00000000-0004-0000-0E00-00000E000000}"/>
    <hyperlink ref="E8" location="'Program Full'!$D$88:$G$113" display="'Program Full'!$D$88:$G$113" xr:uid="{00000000-0004-0000-0E00-00000F000000}"/>
    <hyperlink ref="E9" location="'Program Full'!$I$61:$L$86" display="'Program Full'!$I$61:$L$86" xr:uid="{00000000-0004-0000-0E00-000010000000}"/>
    <hyperlink ref="E10" location="'Program Full'!$I$88:$L$113" display="'Program Full'!$I$88:$L$113" xr:uid="{00000000-0004-0000-0E00-000011000000}"/>
    <hyperlink ref="E11" location="'Program Full'!$N$61:$Q$86" display="'Program Full'!$N$61:$Q$86" xr:uid="{00000000-0004-0000-0E00-000012000000}"/>
    <hyperlink ref="E12" location="'Program Full'!$N$88:$Q$113" display="'Program Full'!$N$88:$Q$113" xr:uid="{00000000-0004-0000-0E00-000013000000}"/>
    <hyperlink ref="E13" location="'Program Full'!$S$61:$V$86" display="'Program Full'!$S$61:$V$86" xr:uid="{00000000-0004-0000-0E00-000014000000}"/>
    <hyperlink ref="E14" location="'Program Full'!$S$88:$V$113" display="'Program Full'!$S$88:$V$113" xr:uid="{00000000-0004-0000-0E00-000015000000}"/>
    <hyperlink ref="E15" location="'Program Full'!$X$61:$AA$86" display="'Program Full'!$X$61:$AA$86" xr:uid="{00000000-0004-0000-0E00-000016000000}"/>
    <hyperlink ref="E16" location="'Program Full'!$X$88:$AA$113" display="'Program Full'!$X$88:$AA$113" xr:uid="{00000000-0004-0000-0E00-000017000000}"/>
    <hyperlink ref="E17" location="'Program Full'!$AC$61:$AF$86" display="'Program Full'!$AC$61:$AF$86" xr:uid="{00000000-0004-0000-0E00-000018000000}"/>
    <hyperlink ref="E18" location="'Program Full'!$AC$88:$AF$113" display="'Program Full'!$AC$88:$AF$113" xr:uid="{00000000-0004-0000-0E00-000019000000}"/>
    <hyperlink ref="E19" location="'Program Full'!$AH$61:$AK$86" display="'Program Full'!$AH$61:$AK$86" xr:uid="{00000000-0004-0000-0E00-00001A000000}"/>
    <hyperlink ref="E20" location="'Program Full'!$AH$88:$AK$113" display="'Program Full'!$AH$88:$AK$113" xr:uid="{00000000-0004-0000-0E00-00001B000000}"/>
    <hyperlink ref="F7" location="'Program Full'!$D$117:$G$142" display="'Program Full'!$D$117:$G$142" xr:uid="{00000000-0004-0000-0E00-00001C000000}"/>
    <hyperlink ref="F8" location="'Program Full'!$D$144:$G$169" display="'Program Full'!$D$144:$G$169" xr:uid="{00000000-0004-0000-0E00-00001D000000}"/>
    <hyperlink ref="F9" location="'Program Full'!$I$117:$L$142" display="'Program Full'!$I$117:$L$142" xr:uid="{00000000-0004-0000-0E00-00001E000000}"/>
    <hyperlink ref="F10" location="'Program Full'!$I$144:$L$169" display="'Program Full'!$I$144:$L$169" xr:uid="{00000000-0004-0000-0E00-00001F000000}"/>
    <hyperlink ref="F11" location="'Program Full'!$N$117:$Q$142" display="'Program Full'!$N$117:$Q$142" xr:uid="{00000000-0004-0000-0E00-000020000000}"/>
    <hyperlink ref="F12" location="'Program Full'!$N$144:$Q$169" display="'Program Full'!$N$144:$Q$169" xr:uid="{00000000-0004-0000-0E00-000021000000}"/>
    <hyperlink ref="F13" location="'Program Full'!$S$117:$V$142" display="'Program Full'!$S$117:$V$142" xr:uid="{00000000-0004-0000-0E00-000022000000}"/>
    <hyperlink ref="F14" location="'Program Full'!$S$144:$V$169" display="'Program Full'!$S$144:$V$169" xr:uid="{00000000-0004-0000-0E00-000023000000}"/>
    <hyperlink ref="F15" location="'Program Full'!$X$117:$AA$142" display="'Program Full'!$X$117:$AA$142" xr:uid="{00000000-0004-0000-0E00-000024000000}"/>
    <hyperlink ref="F16" location="'Program Full'!$X$144:$AA$169" display="'Program Full'!$X$144:$AA$169" xr:uid="{00000000-0004-0000-0E00-000025000000}"/>
    <hyperlink ref="F17" location="'Program Full'!$AC$117:$AF$142" display="'Program Full'!$AC$117:$AF$142" xr:uid="{00000000-0004-0000-0E00-000026000000}"/>
    <hyperlink ref="F18" location="'Program Full'!$AC$144:$AF$169" display="'Program Full'!$AC$144:$AF$169" xr:uid="{00000000-0004-0000-0E00-000027000000}"/>
    <hyperlink ref="F19" location="'Program Full'!$AH$117:$AK$142" display="'Program Full'!$AH$117:$AK$142" xr:uid="{00000000-0004-0000-0E00-000028000000}"/>
    <hyperlink ref="F20" location="'Program Full'!$AH$144:$AK$169" display="'Program Full'!$AH$144:$AK$169" xr:uid="{00000000-0004-0000-0E00-000029000000}"/>
    <hyperlink ref="G7" location="'Program Full'!$D$173:$G$198" display="'Program Full'!$D$173:$G$198" xr:uid="{00000000-0004-0000-0E00-00002A000000}"/>
    <hyperlink ref="G8" location="'Program Full'!$D$200:$G$225" display="'Program Full'!$D$200:$G$225" xr:uid="{00000000-0004-0000-0E00-00002B000000}"/>
    <hyperlink ref="G9" location="'Program Full'!$I$173:$L$198" display="'Program Full'!$I$173:$L$198" xr:uid="{00000000-0004-0000-0E00-00002C000000}"/>
    <hyperlink ref="G10" location="'Program Full'!$I$200:$L$225" display="'Program Full'!$I$200:$L$225" xr:uid="{00000000-0004-0000-0E00-00002D000000}"/>
    <hyperlink ref="G11" location="'Program Full'!$N$173:$Q$198" display="'Program Full'!$N$173:$Q$198" xr:uid="{00000000-0004-0000-0E00-00002E000000}"/>
    <hyperlink ref="G12" location="'Program Full'!$N$200:$Q$225" display="'Program Full'!$N$200:$Q$225" xr:uid="{00000000-0004-0000-0E00-00002F000000}"/>
    <hyperlink ref="G13" location="'Program Full'!$S$173:$V$198" display="'Program Full'!$S$173:$V$198" xr:uid="{00000000-0004-0000-0E00-000030000000}"/>
    <hyperlink ref="G14" location="'Program Full'!$S$200:$V$225" display="'Program Full'!$S$200:$V$225" xr:uid="{00000000-0004-0000-0E00-000031000000}"/>
    <hyperlink ref="G15" location="'Program Full'!$X$173:$AA$198" display="'Program Full'!$X$173:$AA$198" xr:uid="{00000000-0004-0000-0E00-000032000000}"/>
    <hyperlink ref="G16" location="'Program Full'!$X$200:$AA$225" display="'Program Full'!$X$200:$AA$225" xr:uid="{00000000-0004-0000-0E00-000033000000}"/>
    <hyperlink ref="G17" location="'Program Full'!$AC$173:$AF$198" display="'Program Full'!$AC$173:$AF$198" xr:uid="{00000000-0004-0000-0E00-000034000000}"/>
    <hyperlink ref="G18" location="'Program Full'!$AC$200:$AF$225" display="'Program Full'!$AC$200:$AF$225" xr:uid="{00000000-0004-0000-0E00-000035000000}"/>
    <hyperlink ref="G19" location="'Program Full'!$AH$173:$AK$198" display="'Program Full'!$AH$173:$AK$198" xr:uid="{00000000-0004-0000-0E00-000036000000}"/>
    <hyperlink ref="G20" location="'Program Full'!$AH$200:$AK$225" display="'Program Full'!$AH$200:$AK$225" xr:uid="{00000000-0004-0000-0E00-000037000000}"/>
    <hyperlink ref="H7" location="'Program Full'!$D$229:$G$254" display="'Program Full'!$D$229:$G$254" xr:uid="{00000000-0004-0000-0E00-000038000000}"/>
    <hyperlink ref="H8" location="'Program Full'!$D$256:$G$281" display="'Program Full'!$D$256:$G$281" xr:uid="{00000000-0004-0000-0E00-000039000000}"/>
    <hyperlink ref="H9" location="'Program Full'!$I$229:$L$254" display="'Program Full'!$I$229:$L$254" xr:uid="{00000000-0004-0000-0E00-00003A000000}"/>
    <hyperlink ref="H10" location="'Program Full'!$I$256:$L$281" display="'Program Full'!$I$256:$L$281" xr:uid="{00000000-0004-0000-0E00-00003B000000}"/>
    <hyperlink ref="H11" location="'Program Full'!$N$229:$Q$254" display="'Program Full'!$N$229:$Q$254" xr:uid="{00000000-0004-0000-0E00-00003C000000}"/>
    <hyperlink ref="H12" location="'Program Full'!$N$256:$Q$281" display="'Program Full'!$N$256:$Q$281" xr:uid="{00000000-0004-0000-0E00-00003D000000}"/>
    <hyperlink ref="H13" location="'Program Full'!$S$229:$V$254" display="'Program Full'!$S$229:$V$254" xr:uid="{00000000-0004-0000-0E00-00003E000000}"/>
    <hyperlink ref="H14" location="'Program Full'!$S$256:$V$281" display="'Program Full'!$S$256:$V$281" xr:uid="{00000000-0004-0000-0E00-00003F000000}"/>
    <hyperlink ref="H15" location="'Program Full'!$X$229:$AA$254" display="'Program Full'!$X$229:$AA$254" xr:uid="{00000000-0004-0000-0E00-000040000000}"/>
    <hyperlink ref="H16" location="'Program Full'!$X$256:$AA$281" display="'Program Full'!$X$256:$AA$281" xr:uid="{00000000-0004-0000-0E00-000041000000}"/>
    <hyperlink ref="H17" location="'Program Full'!$AC$229:$AF$254" display="'Program Full'!$AC$229:$AF$254" xr:uid="{00000000-0004-0000-0E00-000042000000}"/>
    <hyperlink ref="H18" location="'Program Full'!$AC$256:$AF$281" display="'Program Full'!$AC$256:$AF$281" xr:uid="{00000000-0004-0000-0E00-000043000000}"/>
    <hyperlink ref="H19" location="'Program Full'!$AH$229:$AK$254" display="'Program Full'!$AH$229:$AK$254" xr:uid="{00000000-0004-0000-0E00-000044000000}"/>
    <hyperlink ref="H20" location="'Program Full'!$AH$256:$AK$281" display="'Program Full'!$AH$256:$AK$281" xr:uid="{00000000-0004-0000-0E00-000045000000}"/>
    <hyperlink ref="I7" location="'Program Full'!$D$285:$G$310" display="'Program Full'!$D$285:$G$310" xr:uid="{00000000-0004-0000-0E00-000046000000}"/>
    <hyperlink ref="I8" location="'Program Full'!$D$312:$G$337" display="'Program Full'!$D$312:$G$337" xr:uid="{00000000-0004-0000-0E00-000047000000}"/>
    <hyperlink ref="I9" location="'Program Full'!$I$285:$L$310" display="'Program Full'!$I$285:$L$310" xr:uid="{00000000-0004-0000-0E00-000048000000}"/>
    <hyperlink ref="I10" location="'Program Full'!$I$312:$L$337" display="'Program Full'!$I$312:$L$337" xr:uid="{00000000-0004-0000-0E00-000049000000}"/>
    <hyperlink ref="I11" location="'Program Full'!$N$285:$Q$310" display="'Program Full'!$N$285:$Q$310" xr:uid="{00000000-0004-0000-0E00-00004A000000}"/>
    <hyperlink ref="I12" location="'Program Full'!$N$312:$Q$337" display="'Program Full'!$N$312:$Q$337" xr:uid="{00000000-0004-0000-0E00-00004B000000}"/>
    <hyperlink ref="I13" location="'Program Full'!$S$285:$V$310" display="'Program Full'!$S$285:$V$310" xr:uid="{00000000-0004-0000-0E00-00004C000000}"/>
    <hyperlink ref="I14" location="'Program Full'!$S$312:$V$337" display="'Program Full'!$S$312:$V$337" xr:uid="{00000000-0004-0000-0E00-00004D000000}"/>
    <hyperlink ref="I15" location="'Program Full'!$X$285:$AA$310" display="'Program Full'!$X$285:$AA$310" xr:uid="{00000000-0004-0000-0E00-00004E000000}"/>
    <hyperlink ref="I16" location="'Program Full'!$X$312:$AA$337" display="'Program Full'!$X$312:$AA$337" xr:uid="{00000000-0004-0000-0E00-00004F000000}"/>
    <hyperlink ref="I17" location="'Program Full'!$AC$285:$AF$310" display="'Program Full'!$AC$285:$AF$310" xr:uid="{00000000-0004-0000-0E00-000050000000}"/>
    <hyperlink ref="I18" location="'Program Full'!$AC$312:$AF$337" display="'Program Full'!$AC$312:$AF$337" xr:uid="{00000000-0004-0000-0E00-000051000000}"/>
    <hyperlink ref="I19" location="'Program Full'!$AH$285:$AK$310" display="'Program Full'!$AH$285:$AK$310" xr:uid="{00000000-0004-0000-0E00-000052000000}"/>
    <hyperlink ref="I20" location="'Program Full'!$AH$312:$AK$337" display="'Program Full'!$AH$312:$AK$337" xr:uid="{00000000-0004-0000-0E00-000053000000}"/>
    <hyperlink ref="J7" location="'Program Full'!$D$341:$G$366" display="'Program Full'!$D$341:$G$366" xr:uid="{00000000-0004-0000-0E00-000054000000}"/>
    <hyperlink ref="J8" location="'Program Full'!$D$368:$G$393" display="'Program Full'!$D$368:$G$393" xr:uid="{00000000-0004-0000-0E00-000055000000}"/>
    <hyperlink ref="J9" location="'Program Full'!$I$341:$L$366" display="'Program Full'!$I$341:$L$366" xr:uid="{00000000-0004-0000-0E00-000056000000}"/>
    <hyperlink ref="J10" location="'Program Full'!$I$368:$L$393" display="'Program Full'!$I$368:$L$393" xr:uid="{00000000-0004-0000-0E00-000057000000}"/>
    <hyperlink ref="J11" location="'Program Full'!$N$341:$Q$366" display="'Program Full'!$N$341:$Q$366" xr:uid="{00000000-0004-0000-0E00-000058000000}"/>
    <hyperlink ref="J12" location="'Program Full'!$N$368:$Q$393" display="'Program Full'!$N$368:$Q$393" xr:uid="{00000000-0004-0000-0E00-000059000000}"/>
    <hyperlink ref="J13" location="'Program Full'!$S$341:$V$366" display="'Program Full'!$S$341:$V$366" xr:uid="{00000000-0004-0000-0E00-00005A000000}"/>
    <hyperlink ref="J14" location="'Program Full'!$S$368:$V$393" display="'Program Full'!$S$368:$V$393" xr:uid="{00000000-0004-0000-0E00-00005B000000}"/>
    <hyperlink ref="J15" location="'Program Full'!$X$341:$AA$366" display="'Program Full'!$X$341:$AA$366" xr:uid="{00000000-0004-0000-0E00-00005C000000}"/>
    <hyperlink ref="J16" location="'Program Full'!$X$368:$AA$393" display="'Program Full'!$X$368:$AA$393" xr:uid="{00000000-0004-0000-0E00-00005D000000}"/>
    <hyperlink ref="J17" location="'Program Full'!$AC$341:$AF$366" display="'Program Full'!$AC$341:$AF$366" xr:uid="{00000000-0004-0000-0E00-00005E000000}"/>
    <hyperlink ref="J18" location="'Program Full'!$AC$368:$AF$393" display="'Program Full'!$AC$368:$AF$393" xr:uid="{00000000-0004-0000-0E00-00005F000000}"/>
    <hyperlink ref="J19" location="'Program Full'!$AH$341:$AK$366" display="'Program Full'!$AH$341:$AK$366" xr:uid="{00000000-0004-0000-0E00-000060000000}"/>
    <hyperlink ref="J20" location="'Program Full'!$AH$368:$AK$393" display="'Program Full'!$AH$368:$AK$393" xr:uid="{00000000-0004-0000-0E00-000061000000}"/>
    <hyperlink ref="K7" location="'Program Full'!$D$397:$G$422" display="'Program Full'!$D$397:$G$422" xr:uid="{00000000-0004-0000-0E00-000062000000}"/>
    <hyperlink ref="K8" location="'Program Full'!$D$424:$G$449" display="'Program Full'!$D$424:$G$449" xr:uid="{00000000-0004-0000-0E00-000063000000}"/>
    <hyperlink ref="K9" location="'Program Full'!$I$397:$L$422" display="'Program Full'!$I$397:$L$422" xr:uid="{00000000-0004-0000-0E00-000064000000}"/>
    <hyperlink ref="K10" location="'Program Full'!$I$424:$L$449" display="'Program Full'!$I$424:$L$449" xr:uid="{00000000-0004-0000-0E00-000065000000}"/>
    <hyperlink ref="K11" location="'Program Full'!$N$397:$Q$422" display="'Program Full'!$N$397:$Q$422" xr:uid="{00000000-0004-0000-0E00-000066000000}"/>
    <hyperlink ref="K12" location="'Program Full'!$N$424:$Q$449" display="'Program Full'!$N$424:$Q$449" xr:uid="{00000000-0004-0000-0E00-000067000000}"/>
    <hyperlink ref="K13" location="'Program Full'!$S$397:$V$422" display="'Program Full'!$S$397:$V$422" xr:uid="{00000000-0004-0000-0E00-000068000000}"/>
    <hyperlink ref="K14" location="'Program Full'!$S$424:$V$449" display="'Program Full'!$S$424:$V$449" xr:uid="{00000000-0004-0000-0E00-000069000000}"/>
    <hyperlink ref="K15" location="'Program Full'!$X$397:$AA$422" display="'Program Full'!$X$397:$AA$422" xr:uid="{00000000-0004-0000-0E00-00006A000000}"/>
    <hyperlink ref="K16" location="'Program Full'!$X$424:$AA$449" display="'Program Full'!$X$424:$AA$449" xr:uid="{00000000-0004-0000-0E00-00006B000000}"/>
    <hyperlink ref="K17" location="'Program Full'!$AC$397:$AF$422" display="'Program Full'!$AC$397:$AF$422" xr:uid="{00000000-0004-0000-0E00-00006C000000}"/>
    <hyperlink ref="K18" location="'Program Full'!$AC$424:$AF$449" display="'Program Full'!$AC$424:$AF$449" xr:uid="{00000000-0004-0000-0E00-00006D000000}"/>
    <hyperlink ref="K19" location="'Program Full'!$AH$397:$AK$422" display="'Program Full'!$AH$397:$AK$422" xr:uid="{00000000-0004-0000-0E00-00006E000000}"/>
    <hyperlink ref="K20" location="'Program Full'!$AH$424:$AK$449" display="'Program Full'!$AH$424:$AK$449" xr:uid="{00000000-0004-0000-0E00-00006F000000}"/>
    <hyperlink ref="L7" location="'Program Full'!$D$453:$G$478" display="'Program Full'!$D$453:$G$478" xr:uid="{00000000-0004-0000-0E00-000070000000}"/>
    <hyperlink ref="L8" location="'Program Full'!$D$480:$G$505" display="'Program Full'!$D$480:$G$505" xr:uid="{00000000-0004-0000-0E00-000071000000}"/>
    <hyperlink ref="L9" location="'Program Full'!$I$453:$L$478" display="'Program Full'!$I$453:$L$478" xr:uid="{00000000-0004-0000-0E00-000072000000}"/>
    <hyperlink ref="L10" location="'Program Full'!$I$480:$L$505" display="'Program Full'!$I$480:$L$505" xr:uid="{00000000-0004-0000-0E00-000073000000}"/>
    <hyperlink ref="L11" location="'Program Full'!$N$453:$Q$478" display="'Program Full'!$N$453:$Q$478" xr:uid="{00000000-0004-0000-0E00-000074000000}"/>
    <hyperlink ref="L12" location="'Program Full'!$N$480:$Q$505" display="'Program Full'!$N$480:$Q$505" xr:uid="{00000000-0004-0000-0E00-000075000000}"/>
    <hyperlink ref="L13" location="'Program Full'!$S$453:$V$478" display="'Program Full'!$S$453:$V$478" xr:uid="{00000000-0004-0000-0E00-000076000000}"/>
    <hyperlink ref="L14" location="'Program Full'!$S$480:$V$505" display="'Program Full'!$S$480:$V$505" xr:uid="{00000000-0004-0000-0E00-000077000000}"/>
    <hyperlink ref="L15" location="'Program Full'!$X$453:$AA$478" display="'Program Full'!$X$453:$AA$478" xr:uid="{00000000-0004-0000-0E00-000078000000}"/>
    <hyperlink ref="L16" location="'Program Full'!$X$480:$AA$505" display="'Program Full'!$X$480:$AA$505" xr:uid="{00000000-0004-0000-0E00-000079000000}"/>
    <hyperlink ref="L17" location="'Program Full'!$AC$453:$AF$478" display="'Program Full'!$AC$453:$AF$478" xr:uid="{00000000-0004-0000-0E00-00007A000000}"/>
    <hyperlink ref="L18" location="'Program Full'!$AC$480:$AF$505" display="'Program Full'!$AC$480:$AF$505" xr:uid="{00000000-0004-0000-0E00-00007B000000}"/>
    <hyperlink ref="L19" location="'Program Full'!$AH$453:$AK$478" display="'Program Full'!$AH$453:$AK$478" xr:uid="{00000000-0004-0000-0E00-00007C000000}"/>
    <hyperlink ref="L20" location="'Program Full'!$AH$480:$AK$505" display="'Program Full'!$AH$480:$AK$505" xr:uid="{00000000-0004-0000-0E00-00007D000000}"/>
    <hyperlink ref="M7" location="'Program Full'!$D$509:$G$534" display="'Program Full'!$D$509:$G$534" xr:uid="{00000000-0004-0000-0E00-00007E000000}"/>
    <hyperlink ref="M8" location="'Program Full'!$D$536:$G$561" display="'Program Full'!$D$536:$G$561" xr:uid="{00000000-0004-0000-0E00-00007F000000}"/>
    <hyperlink ref="M9" location="'Program Full'!$I$509:$L$534" display="'Program Full'!$I$509:$L$534" xr:uid="{00000000-0004-0000-0E00-000080000000}"/>
    <hyperlink ref="M10" location="'Program Full'!$I$536:$L$561" display="'Program Full'!$I$536:$L$561" xr:uid="{00000000-0004-0000-0E00-000081000000}"/>
    <hyperlink ref="M11" location="'Program Full'!$N$509:$Q$534" display="'Program Full'!$N$509:$Q$534" xr:uid="{00000000-0004-0000-0E00-000082000000}"/>
    <hyperlink ref="M12" location="'Program Full'!$N$536:$Q$561" display="'Program Full'!$N$536:$Q$561" xr:uid="{00000000-0004-0000-0E00-000083000000}"/>
    <hyperlink ref="M13" location="'Program Full'!$S$509:$V$534" display="'Program Full'!$S$509:$V$534" xr:uid="{00000000-0004-0000-0E00-000084000000}"/>
    <hyperlink ref="M14" location="'Program Full'!$S$536:$V$561" display="'Program Full'!$S$536:$V$561" xr:uid="{00000000-0004-0000-0E00-000085000000}"/>
    <hyperlink ref="M15" location="'Program Full'!$X$509:$AA$534" display="'Program Full'!$X$509:$AA$534" xr:uid="{00000000-0004-0000-0E00-000086000000}"/>
    <hyperlink ref="M16" location="'Program Full'!$X$536:$AA$561" display="'Program Full'!$X$536:$AA$561" xr:uid="{00000000-0004-0000-0E00-000087000000}"/>
    <hyperlink ref="M17" location="'Program Full'!$AC$509:$AF$534" display="'Program Full'!$AC$509:$AF$534" xr:uid="{00000000-0004-0000-0E00-000088000000}"/>
    <hyperlink ref="M18" location="'Program Full'!$AC$536:$AF$561" display="'Program Full'!$AC$536:$AF$561" xr:uid="{00000000-0004-0000-0E00-000089000000}"/>
    <hyperlink ref="M19" location="'Program Full'!$AH$509:$AK$534" display="'Program Full'!$AH$509:$AK$534" xr:uid="{00000000-0004-0000-0E00-00008A000000}"/>
    <hyperlink ref="M20" location="'Program Full'!$AH$536:$AK$561" display="'Program Full'!$AH$536:$AK$561" xr:uid="{00000000-0004-0000-0E00-00008B000000}"/>
    <hyperlink ref="N7" location="'Program Full'!$D$565:$G$590" display="'Program Full'!$D$565:$G$590" xr:uid="{00000000-0004-0000-0E00-00008C000000}"/>
    <hyperlink ref="N8" location="'Program Full'!$D$592:$G$617" display="'Program Full'!$D$592:$G$617" xr:uid="{00000000-0004-0000-0E00-00008D000000}"/>
    <hyperlink ref="N9" location="'Program Full'!$I$565:$L$590" display="'Program Full'!$I$565:$L$590" xr:uid="{00000000-0004-0000-0E00-00008E000000}"/>
    <hyperlink ref="N10" location="'Program Full'!$I$592:$L$617" display="'Program Full'!$I$592:$L$617" xr:uid="{00000000-0004-0000-0E00-00008F000000}"/>
    <hyperlink ref="N11" location="'Program Full'!$N$565:$Q$590" display="'Program Full'!$N$565:$Q$590" xr:uid="{00000000-0004-0000-0E00-000090000000}"/>
    <hyperlink ref="N12" location="'Program Full'!$N$592:$Q$617" display="'Program Full'!$N$592:$Q$617" xr:uid="{00000000-0004-0000-0E00-000091000000}"/>
    <hyperlink ref="N13" location="'Program Full'!$S$565:$V$590" display="'Program Full'!$S$565:$V$590" xr:uid="{00000000-0004-0000-0E00-000092000000}"/>
    <hyperlink ref="N14" location="'Program Full'!$S$592:$V$617" display="'Program Full'!$S$592:$V$617" xr:uid="{00000000-0004-0000-0E00-000093000000}"/>
    <hyperlink ref="N15" location="'Program Full'!$X$565:$AA$590" display="'Program Full'!$X$565:$AA$590" xr:uid="{00000000-0004-0000-0E00-000094000000}"/>
    <hyperlink ref="N16" location="'Program Full'!$X$592:$AA$617" display="'Program Full'!$X$592:$AA$617" xr:uid="{00000000-0004-0000-0E00-000095000000}"/>
    <hyperlink ref="N17" location="'Program Full'!$AC$565:$AF$590" display="'Program Full'!$AC$565:$AF$590" xr:uid="{00000000-0004-0000-0E00-000096000000}"/>
    <hyperlink ref="N18" location="'Program Full'!$AC$592:$AF$617" display="'Program Full'!$AC$592:$AF$617" xr:uid="{00000000-0004-0000-0E00-000097000000}"/>
    <hyperlink ref="N19" location="'Program Full'!$AH$565:$AK$590" display="'Program Full'!$AH$565:$AK$590" xr:uid="{00000000-0004-0000-0E00-000098000000}"/>
    <hyperlink ref="N20" location="'Program Full'!$AH$592:$AK$617" display="'Program Full'!$AH$592:$AK$617" xr:uid="{00000000-0004-0000-0E00-000099000000}"/>
    <hyperlink ref="O7" location="'Program Full'!$D$621:$G$646" display="'Program Full'!$D$621:$G$646" xr:uid="{00000000-0004-0000-0E00-00009A000000}"/>
    <hyperlink ref="O8" location="'Program Full'!$D$648:$G$673" display="'Program Full'!$D$648:$G$673" xr:uid="{00000000-0004-0000-0E00-00009B000000}"/>
    <hyperlink ref="O9" location="'Program Full'!$I$621:$L$646" display="'Program Full'!$I$621:$L$646" xr:uid="{00000000-0004-0000-0E00-00009C000000}"/>
    <hyperlink ref="O10" location="'Program Full'!$I$648:$L$673" display="'Program Full'!$I$648:$L$673" xr:uid="{00000000-0004-0000-0E00-00009D000000}"/>
    <hyperlink ref="O11" location="'Program Full'!$N$621:$Q$646" display="'Program Full'!$N$621:$Q$646" xr:uid="{00000000-0004-0000-0E00-00009E000000}"/>
    <hyperlink ref="O12" location="'Program Full'!$N$648:$Q$673" display="'Program Full'!$N$648:$Q$673" xr:uid="{00000000-0004-0000-0E00-00009F000000}"/>
    <hyperlink ref="O13" location="'Program Full'!$S$621:$V$646" display="'Program Full'!$S$621:$V$646" xr:uid="{00000000-0004-0000-0E00-0000A0000000}"/>
    <hyperlink ref="O14" location="'Program Full'!$S$648:$V$673" display="'Program Full'!$S$648:$V$673" xr:uid="{00000000-0004-0000-0E00-0000A1000000}"/>
    <hyperlink ref="O15" location="'Program Full'!$X$621:$AA$646" display="'Program Full'!$X$621:$AA$646" xr:uid="{00000000-0004-0000-0E00-0000A2000000}"/>
    <hyperlink ref="O16" location="'Program Full'!$X$648:$AA$673" display="'Program Full'!$X$648:$AA$673" xr:uid="{00000000-0004-0000-0E00-0000A3000000}"/>
    <hyperlink ref="O17" location="'Program Full'!$AC$621:$AF$646" display="'Program Full'!$AC$621:$AF$646" xr:uid="{00000000-0004-0000-0E00-0000A4000000}"/>
    <hyperlink ref="O18" location="'Program Full'!$AC$648:$AF$673" display="'Program Full'!$AC$648:$AF$673" xr:uid="{00000000-0004-0000-0E00-0000A5000000}"/>
    <hyperlink ref="O19" location="'Program Full'!$AH$621:$AK$646" display="'Program Full'!$AH$621:$AK$646" xr:uid="{00000000-0004-0000-0E00-0000A6000000}"/>
    <hyperlink ref="O20" location="'Program Full'!$AH$648:$AK$673" display="'Program Full'!$AH$648:$AK$673" xr:uid="{00000000-0004-0000-0E00-0000A7000000}"/>
    <hyperlink ref="P7" location="'Program Full'!$D$677:$G$702" display="'Program Full'!$D$677:$G$702" xr:uid="{00000000-0004-0000-0E00-0000A8000000}"/>
    <hyperlink ref="P8" location="'Program Full'!$D$704:$G$729" display="'Program Full'!$D$704:$G$729" xr:uid="{00000000-0004-0000-0E00-0000A9000000}"/>
    <hyperlink ref="P9" location="'Program Full'!$I$677:$L$702" display="'Program Full'!$I$677:$L$702" xr:uid="{00000000-0004-0000-0E00-0000AA000000}"/>
    <hyperlink ref="P10" location="'Program Full'!$I$704:$L$729" display="'Program Full'!$I$704:$L$729" xr:uid="{00000000-0004-0000-0E00-0000AB000000}"/>
    <hyperlink ref="P11" location="'Program Full'!$N$677:$Q$702" display="'Program Full'!$N$677:$Q$702" xr:uid="{00000000-0004-0000-0E00-0000AC000000}"/>
    <hyperlink ref="P12" location="'Program Full'!$N$704:$Q$729" display="'Program Full'!$N$704:$Q$729" xr:uid="{00000000-0004-0000-0E00-0000AD000000}"/>
    <hyperlink ref="P13" location="'Program Full'!$S$677:$V$702" display="'Program Full'!$S$677:$V$702" xr:uid="{00000000-0004-0000-0E00-0000AE000000}"/>
    <hyperlink ref="P14" location="'Program Full'!$S$704:$V$729" display="'Program Full'!$S$704:$V$729" xr:uid="{00000000-0004-0000-0E00-0000AF000000}"/>
    <hyperlink ref="P15" location="'Program Full'!$X$677:$AA$702" display="'Program Full'!$X$677:$AA$702" xr:uid="{00000000-0004-0000-0E00-0000B0000000}"/>
    <hyperlink ref="P16" location="'Program Full'!$X$704:$AA$729" display="'Program Full'!$X$704:$AA$729" xr:uid="{00000000-0004-0000-0E00-0000B1000000}"/>
    <hyperlink ref="P17" location="'Program Full'!$AC$677:$AF$702" display="'Program Full'!$AC$677:$AF$702" xr:uid="{00000000-0004-0000-0E00-0000B2000000}"/>
    <hyperlink ref="P18" location="'Program Full'!$AC$704:$AF$729" display="'Program Full'!$AC$704:$AF$729" xr:uid="{00000000-0004-0000-0E00-0000B3000000}"/>
    <hyperlink ref="P19" location="'Program Full'!$AH$677:$AK$702" display="'Program Full'!$AH$677:$AK$702" xr:uid="{00000000-0004-0000-0E00-0000B4000000}"/>
    <hyperlink ref="P20" location="'Program Full'!$AH$704:$AK$729" display="'Program Full'!$AH$704:$AK$729" xr:uid="{00000000-0004-0000-0E00-0000B5000000}"/>
    <hyperlink ref="Q7" location="'Program Full'!$D$733:$G$758" display="'Program Full'!$D$733:$G$758" xr:uid="{00000000-0004-0000-0E00-0000B6000000}"/>
    <hyperlink ref="Q8" location="'Program Full'!$D$760:$G$785" display="'Program Full'!$D$760:$G$785" xr:uid="{00000000-0004-0000-0E00-0000B7000000}"/>
    <hyperlink ref="Q9" location="'Program Full'!$I$733:$L$758" display="'Program Full'!$I$733:$L$758" xr:uid="{00000000-0004-0000-0E00-0000B8000000}"/>
    <hyperlink ref="Q10" location="'Program Full'!$I$760:$L$785" display="'Program Full'!$I$760:$L$785" xr:uid="{00000000-0004-0000-0E00-0000B9000000}"/>
    <hyperlink ref="Q11" location="'Program Full'!$N$733:$Q$758" display="'Program Full'!$N$733:$Q$758" xr:uid="{00000000-0004-0000-0E00-0000BA000000}"/>
    <hyperlink ref="Q12" location="'Program Full'!$N$760:$Q$785" display="'Program Full'!$N$760:$Q$785" xr:uid="{00000000-0004-0000-0E00-0000BB000000}"/>
    <hyperlink ref="Q13" location="'Program Full'!$S$733:$V$758" display="'Program Full'!$S$733:$V$758" xr:uid="{00000000-0004-0000-0E00-0000BC000000}"/>
    <hyperlink ref="Q14" location="'Program Full'!$S$760:$V$785" display="'Program Full'!$S$760:$V$785" xr:uid="{00000000-0004-0000-0E00-0000BD000000}"/>
    <hyperlink ref="Q15" location="'Program Full'!$X$733:$AA$758" display="'Program Full'!$X$733:$AA$758" xr:uid="{00000000-0004-0000-0E00-0000BE000000}"/>
    <hyperlink ref="Q16" location="'Program Full'!$X$760:$AA$785" display="'Program Full'!$X$760:$AA$785" xr:uid="{00000000-0004-0000-0E00-0000BF000000}"/>
    <hyperlink ref="Q17" location="'Program Full'!$AC$733:$AF$758" display="'Program Full'!$AC$733:$AF$758" xr:uid="{00000000-0004-0000-0E00-0000C0000000}"/>
    <hyperlink ref="Q18" location="'Program Full'!$AC$760:$AF$785" display="'Program Full'!$AC$760:$AF$785" xr:uid="{00000000-0004-0000-0E00-0000C1000000}"/>
    <hyperlink ref="Q19" location="'Program Full'!$AH$733:$AK$758" display="'Program Full'!$AH$733:$AK$758" xr:uid="{00000000-0004-0000-0E00-0000C2000000}"/>
    <hyperlink ref="Q20" location="'Program Full'!$AH$760:$AK$785" display="'Program Full'!$AH$760:$AK$785" xr:uid="{00000000-0004-0000-0E00-0000C3000000}"/>
    <hyperlink ref="R7" location="'Program Full'!$D$789:$G$814" display="'Program Full'!$D$789:$G$814" xr:uid="{00000000-0004-0000-0E00-0000C4000000}"/>
    <hyperlink ref="R8" location="'Program Full'!$D$816:$G$841" display="'Program Full'!$D$816:$G$841" xr:uid="{00000000-0004-0000-0E00-0000C5000000}"/>
    <hyperlink ref="R9" location="'Program Full'!$I$789:$L$814" display="'Program Full'!$I$789:$L$814" xr:uid="{00000000-0004-0000-0E00-0000C6000000}"/>
    <hyperlink ref="R10" location="'Program Full'!$I$816:$L$841" display="'Program Full'!$I$816:$L$841" xr:uid="{00000000-0004-0000-0E00-0000C7000000}"/>
    <hyperlink ref="R11" location="'Program Full'!$N$789:$Q$814" display="'Program Full'!$N$789:$Q$814" xr:uid="{00000000-0004-0000-0E00-0000C8000000}"/>
    <hyperlink ref="R12" location="'Program Full'!$N$816:$Q$841" display="'Program Full'!$N$816:$Q$841" xr:uid="{00000000-0004-0000-0E00-0000C9000000}"/>
    <hyperlink ref="R13" location="'Program Full'!$S$789:$V$814" display="'Program Full'!$S$789:$V$814" xr:uid="{00000000-0004-0000-0E00-0000CA000000}"/>
    <hyperlink ref="R14" location="'Program Full'!$S$816:$V$841" display="'Program Full'!$S$816:$V$841" xr:uid="{00000000-0004-0000-0E00-0000CB000000}"/>
    <hyperlink ref="R15" location="'Program Full'!$X$789:$AA$814" display="'Program Full'!$X$789:$AA$814" xr:uid="{00000000-0004-0000-0E00-0000CC000000}"/>
    <hyperlink ref="R16" location="'Program Full'!$X$816:$AA$841" display="'Program Full'!$X$816:$AA$841" xr:uid="{00000000-0004-0000-0E00-0000CD000000}"/>
    <hyperlink ref="R17" location="'Program Full'!$AC$789:$AF$814" display="'Program Full'!$AC$789:$AF$814" xr:uid="{00000000-0004-0000-0E00-0000CE000000}"/>
    <hyperlink ref="R18" location="'Program Full'!$AC$816:$AF$841" display="'Program Full'!$AC$816:$AF$841" xr:uid="{00000000-0004-0000-0E00-0000CF000000}"/>
    <hyperlink ref="R19" location="'Program Full'!$AH$789:$AK$814" display="'Program Full'!$AH$789:$AK$814" xr:uid="{00000000-0004-0000-0E00-0000D0000000}"/>
    <hyperlink ref="R20" location="'Program Full'!$AH$816:$AK$841" display="'Program Full'!$AH$816:$AK$841" xr:uid="{00000000-0004-0000-0E00-0000D1000000}"/>
    <hyperlink ref="S7" location="'Program Full'!$D$845:$G$870" display="'Program Full'!$D$845:$G$870" xr:uid="{00000000-0004-0000-0E00-0000D2000000}"/>
    <hyperlink ref="S8" location="'Program Full'!$D$872:$G$897" display="'Program Full'!$D$872:$G$897" xr:uid="{00000000-0004-0000-0E00-0000D3000000}"/>
    <hyperlink ref="S9" location="'Program Full'!$I$845:$L$870" display="'Program Full'!$I$845:$L$870" xr:uid="{00000000-0004-0000-0E00-0000D4000000}"/>
    <hyperlink ref="S10" location="'Program Full'!$I$872:$L$897" display="'Program Full'!$I$872:$L$897" xr:uid="{00000000-0004-0000-0E00-0000D5000000}"/>
    <hyperlink ref="S11" location="'Program Full'!$N$845:$Q$870" display="'Program Full'!$N$845:$Q$870" xr:uid="{00000000-0004-0000-0E00-0000D6000000}"/>
    <hyperlink ref="S12" location="'Program Full'!$N$872:$Q$897" display="'Program Full'!$N$872:$Q$897" xr:uid="{00000000-0004-0000-0E00-0000D7000000}"/>
    <hyperlink ref="S13" location="'Program Full'!$S$845:$V$870" display="'Program Full'!$S$845:$V$870" xr:uid="{00000000-0004-0000-0E00-0000D8000000}"/>
    <hyperlink ref="S14" location="'Program Full'!$S$872:$V$897" display="'Program Full'!$S$872:$V$897" xr:uid="{00000000-0004-0000-0E00-0000D9000000}"/>
    <hyperlink ref="S15" location="'Program Full'!$X$845:$AA$870" display="'Program Full'!$X$845:$AA$870" xr:uid="{00000000-0004-0000-0E00-0000DA000000}"/>
    <hyperlink ref="S16" location="'Program Full'!$X$872:$AA$897" display="'Program Full'!$X$872:$AA$897" xr:uid="{00000000-0004-0000-0E00-0000DB000000}"/>
    <hyperlink ref="S17" location="'Program Full'!$AC$845:$AF$870" display="'Program Full'!$AC$845:$AF$870" xr:uid="{00000000-0004-0000-0E00-0000DC000000}"/>
    <hyperlink ref="S18" location="'Program Full'!$AC$872:$AF$897" display="'Program Full'!$AC$872:$AF$897" xr:uid="{00000000-0004-0000-0E00-0000DD000000}"/>
    <hyperlink ref="S19" location="'Program Full'!$AH$845:$AK$870" display="'Program Full'!$AH$845:$AK$870" xr:uid="{00000000-0004-0000-0E00-0000DE000000}"/>
    <hyperlink ref="S20" location="'Program Full'!$AH$872:$AK$897" display="'Program Full'!$AH$872:$AK$897" xr:uid="{00000000-0004-0000-0E00-0000DF000000}"/>
    <hyperlink ref="T7" location="'Program Full'!$D$901:$G$926" display="'Program Full'!$D$901:$G$926" xr:uid="{00000000-0004-0000-0E00-0000E0000000}"/>
    <hyperlink ref="T8" location="'Program Full'!$D$928:$G$953" display="'Program Full'!$D$928:$G$953" xr:uid="{00000000-0004-0000-0E00-0000E1000000}"/>
    <hyperlink ref="T9" location="'Program Full'!$I$901:$L$926" display="'Program Full'!$I$901:$L$926" xr:uid="{00000000-0004-0000-0E00-0000E2000000}"/>
    <hyperlink ref="T10" location="'Program Full'!$I$928:$L$953" display="'Program Full'!$I$928:$L$953" xr:uid="{00000000-0004-0000-0E00-0000E3000000}"/>
    <hyperlink ref="T11" location="'Program Full'!$N$901:$Q$926" display="'Program Full'!$N$901:$Q$926" xr:uid="{00000000-0004-0000-0E00-0000E4000000}"/>
    <hyperlink ref="T12" location="'Program Full'!$N$928:$Q$953" display="'Program Full'!$N$928:$Q$953" xr:uid="{00000000-0004-0000-0E00-0000E5000000}"/>
    <hyperlink ref="T13" location="'Program Full'!$S$901:$V$926" display="'Program Full'!$S$901:$V$926" xr:uid="{00000000-0004-0000-0E00-0000E6000000}"/>
    <hyperlink ref="T14" location="'Program Full'!$S$928:$V$953" display="'Program Full'!$S$928:$V$953" xr:uid="{00000000-0004-0000-0E00-0000E7000000}"/>
    <hyperlink ref="T15" location="'Program Full'!$X$901:$AA$926" display="'Program Full'!$X$901:$AA$926" xr:uid="{00000000-0004-0000-0E00-0000E8000000}"/>
    <hyperlink ref="T16" location="'Program Full'!$X$928:$AA$953" display="'Program Full'!$X$928:$AA$953" xr:uid="{00000000-0004-0000-0E00-0000E9000000}"/>
    <hyperlink ref="T17" location="'Program Full'!$AC$901:$AF$926" display="'Program Full'!$AC$901:$AF$926" xr:uid="{00000000-0004-0000-0E00-0000EA000000}"/>
    <hyperlink ref="T18" location="'Program Full'!$AC$928:$AF$953" display="'Program Full'!$AC$928:$AF$953" xr:uid="{00000000-0004-0000-0E00-0000EB000000}"/>
    <hyperlink ref="T19" location="'Program Full'!$AH$901:$AK$926" display="'Program Full'!$AH$901:$AK$926" xr:uid="{00000000-0004-0000-0E00-0000EC000000}"/>
    <hyperlink ref="T20" location="'Program Full'!$AH$928:$AK$953" display="'Program Full'!$AH$928:$AK$953" xr:uid="{00000000-0004-0000-0E00-0000ED000000}"/>
    <hyperlink ref="U7" location="'Program Full'!$D$957:$G$982" display="'Program Full'!$D$957:$G$982" xr:uid="{00000000-0004-0000-0E00-0000EE000000}"/>
    <hyperlink ref="U8" location="'Program Full'!$D$984:$G$1009" display="'Program Full'!$D$984:$G$1009" xr:uid="{00000000-0004-0000-0E00-0000EF000000}"/>
    <hyperlink ref="U9" location="'Program Full'!$I$957:$L$982" display="'Program Full'!$I$957:$L$982" xr:uid="{00000000-0004-0000-0E00-0000F0000000}"/>
    <hyperlink ref="U10" location="'Program Full'!$I$984:$L$1009" display="'Program Full'!$I$984:$L$1009" xr:uid="{00000000-0004-0000-0E00-0000F1000000}"/>
    <hyperlink ref="U11" location="'Program Full'!$N$957:$Q$982" display="'Program Full'!$N$957:$Q$982" xr:uid="{00000000-0004-0000-0E00-0000F2000000}"/>
    <hyperlink ref="U12" location="'Program Full'!$N$984:$Q$1009" display="'Program Full'!$N$984:$Q$1009" xr:uid="{00000000-0004-0000-0E00-0000F3000000}"/>
    <hyperlink ref="U13" location="'Program Full'!$S$957:$V$982" display="'Program Full'!$S$957:$V$982" xr:uid="{00000000-0004-0000-0E00-0000F4000000}"/>
    <hyperlink ref="U14" location="'Program Full'!$S$984:$V$1009" display="'Program Full'!$S$984:$V$1009" xr:uid="{00000000-0004-0000-0E00-0000F5000000}"/>
    <hyperlink ref="U15" location="'Program Full'!$X$957:$AA$982" display="'Program Full'!$X$957:$AA$982" xr:uid="{00000000-0004-0000-0E00-0000F6000000}"/>
    <hyperlink ref="U16" location="'Program Full'!$X$984:$AA$1009" display="'Program Full'!$X$984:$AA$1009" xr:uid="{00000000-0004-0000-0E00-0000F7000000}"/>
    <hyperlink ref="U17" location="'Program Full'!$AC$957:$AF$982" display="'Program Full'!$AC$957:$AF$982" xr:uid="{00000000-0004-0000-0E00-0000F8000000}"/>
    <hyperlink ref="U18" location="'Program Full'!$AC$984:$AF$1009" display="'Program Full'!$AC$984:$AF$1009" xr:uid="{00000000-0004-0000-0E00-0000F9000000}"/>
    <hyperlink ref="U19" location="'Program Full'!$AH$957:$AK$982" display="'Program Full'!$AH$957:$AK$982" xr:uid="{00000000-0004-0000-0E00-0000FA000000}"/>
    <hyperlink ref="U20" location="'Program Full'!$AH$984:$AK$1009" display="'Program Full'!$AH$984:$AK$1009" xr:uid="{00000000-0004-0000-0E00-0000FB000000}"/>
    <hyperlink ref="V7" location="'Program Full'!$D$1013:$G$1038" display="'Program Full'!$D$1013:$G$1038" xr:uid="{00000000-0004-0000-0E00-0000FC000000}"/>
    <hyperlink ref="V8" location="'Program Full'!$D$1040:$G$1065" display="'Program Full'!$D$1040:$G$1065" xr:uid="{00000000-0004-0000-0E00-0000FD000000}"/>
    <hyperlink ref="V9" location="'Program Full'!$I$1013:$L$1038" display="'Program Full'!$I$1013:$L$1038" xr:uid="{00000000-0004-0000-0E00-0000FE000000}"/>
    <hyperlink ref="V10" location="'Program Full'!$I$1040:$L$1065" display="'Program Full'!$I$1040:$L$1065" xr:uid="{00000000-0004-0000-0E00-0000FF000000}"/>
    <hyperlink ref="V11" location="'Program Full'!$N$1013:$Q$1038" display="'Program Full'!$N$1013:$Q$1038" xr:uid="{00000000-0004-0000-0E00-000000010000}"/>
    <hyperlink ref="V12" location="'Program Full'!$N$1040:$Q$1065" display="'Program Full'!$N$1040:$Q$1065" xr:uid="{00000000-0004-0000-0E00-000001010000}"/>
    <hyperlink ref="V13" location="'Program Full'!$S$1013:$V$1038" display="'Program Full'!$S$1013:$V$1038" xr:uid="{00000000-0004-0000-0E00-000002010000}"/>
    <hyperlink ref="V14" location="'Program Full'!$S$1040:$V$1065" display="'Program Full'!$S$1040:$V$1065" xr:uid="{00000000-0004-0000-0E00-000003010000}"/>
    <hyperlink ref="V15" location="'Program Full'!$X$1013:$AA$1038" display="'Program Full'!$X$1013:$AA$1038" xr:uid="{00000000-0004-0000-0E00-000004010000}"/>
    <hyperlink ref="V16" location="'Program Full'!$X$1040:$AA$1065" display="'Program Full'!$X$1040:$AA$1065" xr:uid="{00000000-0004-0000-0E00-000005010000}"/>
    <hyperlink ref="V17" location="'Program Full'!$AC$1013:$AF$1038" display="'Program Full'!$AC$1013:$AF$1038" xr:uid="{00000000-0004-0000-0E00-000006010000}"/>
    <hyperlink ref="V18" location="'Program Full'!$AC$1040:$AF$1065" display="'Program Full'!$AC$1040:$AF$1065" xr:uid="{00000000-0004-0000-0E00-000007010000}"/>
    <hyperlink ref="V19" location="'Program Full'!$AH$1013:$AK$1038" display="'Program Full'!$AH$1013:$AK$1038" xr:uid="{00000000-0004-0000-0E00-000008010000}"/>
    <hyperlink ref="V20" location="'Program Full'!$AH$1040:$AK$1065" display="'Program Full'!$AH$1040:$AK$1065" xr:uid="{00000000-0004-0000-0E00-000009010000}"/>
    <hyperlink ref="W7" location="'Program Full'!$D$1069:$G$1094" display="'Program Full'!$D$1069:$G$1094" xr:uid="{00000000-0004-0000-0E00-00000A010000}"/>
    <hyperlink ref="W8" location="'Program Full'!$D$1096:$G$1121" display="'Program Full'!$D$1096:$G$1121" xr:uid="{00000000-0004-0000-0E00-00000B010000}"/>
    <hyperlink ref="W9" location="'Program Full'!$I$1069:$L$1094" display="'Program Full'!$I$1069:$L$1094" xr:uid="{00000000-0004-0000-0E00-00000C010000}"/>
    <hyperlink ref="W10" location="'Program Full'!$I$1096:$L$1121" display="'Program Full'!$I$1096:$L$1121" xr:uid="{00000000-0004-0000-0E00-00000D010000}"/>
    <hyperlink ref="W11" location="'Program Full'!$N$1069:$Q$1094" display="'Program Full'!$N$1069:$Q$1094" xr:uid="{00000000-0004-0000-0E00-00000E010000}"/>
    <hyperlink ref="W12" location="'Program Full'!$N$1096:$Q$1121" display="'Program Full'!$N$1096:$Q$1121" xr:uid="{00000000-0004-0000-0E00-00000F010000}"/>
    <hyperlink ref="W13" location="'Program Full'!$S$1069:$V$1094" display="'Program Full'!$S$1069:$V$1094" xr:uid="{00000000-0004-0000-0E00-000010010000}"/>
    <hyperlink ref="W14" location="'Program Full'!$S$1096:$V$1121" display="'Program Full'!$S$1096:$V$1121" xr:uid="{00000000-0004-0000-0E00-000011010000}"/>
    <hyperlink ref="W15" location="'Program Full'!$X$1069:$AA$1094" display="'Program Full'!$X$1069:$AA$1094" xr:uid="{00000000-0004-0000-0E00-000012010000}"/>
    <hyperlink ref="W16" location="'Program Full'!$X$1096:$AA$1121" display="'Program Full'!$X$1096:$AA$1121" xr:uid="{00000000-0004-0000-0E00-000013010000}"/>
    <hyperlink ref="W17" location="'Program Full'!$AC$1069:$AF$1094" display="'Program Full'!$AC$1069:$AF$1094" xr:uid="{00000000-0004-0000-0E00-000014010000}"/>
    <hyperlink ref="W18" location="'Program Full'!$AC$1096:$AF$1121" display="'Program Full'!$AC$1096:$AF$1121" xr:uid="{00000000-0004-0000-0E00-000015010000}"/>
    <hyperlink ref="W19" location="'Program Full'!$AH$1069:$AK$1094" display="'Program Full'!$AH$1069:$AK$1094" xr:uid="{00000000-0004-0000-0E00-000016010000}"/>
    <hyperlink ref="W20" location="'Program Full'!$AH$1096:$AK$1121" display="'Program Full'!$AH$1096:$AK$1121" xr:uid="{00000000-0004-0000-0E00-000017010000}"/>
    <hyperlink ref="X7" location="'Program Full'!$D$1125:$G$1150" display="'Program Full'!$D$1125:$G$1150" xr:uid="{00000000-0004-0000-0E00-000018010000}"/>
    <hyperlink ref="X8" location="'Program Full'!$D$1152:$G$1177" display="'Program Full'!$D$1152:$G$1177" xr:uid="{00000000-0004-0000-0E00-000019010000}"/>
    <hyperlink ref="X9" location="'Program Full'!$I$1125:$L$1150" display="'Program Full'!$I$1125:$L$1150" xr:uid="{00000000-0004-0000-0E00-00001A010000}"/>
    <hyperlink ref="X10" location="'Program Full'!$I$1152:$L$1177" display="'Program Full'!$I$1152:$L$1177" xr:uid="{00000000-0004-0000-0E00-00001B010000}"/>
    <hyperlink ref="X11" location="'Program Full'!$N$1125:$Q$1150" display="'Program Full'!$N$1125:$Q$1150" xr:uid="{00000000-0004-0000-0E00-00001C010000}"/>
    <hyperlink ref="X12" location="'Program Full'!$N$1152:$Q$1177" display="'Program Full'!$N$1152:$Q$1177" xr:uid="{00000000-0004-0000-0E00-00001D010000}"/>
    <hyperlink ref="X13" location="'Program Full'!$S$1125:$V$1150" display="'Program Full'!$S$1125:$V$1150" xr:uid="{00000000-0004-0000-0E00-00001E010000}"/>
    <hyperlink ref="X14" location="'Program Full'!$S$1152:$V$1177" display="'Program Full'!$S$1152:$V$1177" xr:uid="{00000000-0004-0000-0E00-00001F010000}"/>
    <hyperlink ref="X15" location="'Program Full'!$X$1125:$AA$1150" display="'Program Full'!$X$1125:$AA$1150" xr:uid="{00000000-0004-0000-0E00-000020010000}"/>
    <hyperlink ref="X16" location="'Program Full'!$X$1152:$AA$1177" display="'Program Full'!$X$1152:$AA$1177" xr:uid="{00000000-0004-0000-0E00-000021010000}"/>
    <hyperlink ref="X17" location="'Program Full'!$AC$1125:$AF$1150" display="'Program Full'!$AC$1125:$AF$1150" xr:uid="{00000000-0004-0000-0E00-000022010000}"/>
    <hyperlink ref="X18" location="'Program Full'!$AC$1152:$AF$1177" display="'Program Full'!$AC$1152:$AF$1177" xr:uid="{00000000-0004-0000-0E00-000023010000}"/>
    <hyperlink ref="X19" location="'Program Full'!$AH$1125:$AK$1150" display="'Program Full'!$AH$1125:$AK$1150" xr:uid="{00000000-0004-0000-0E00-000024010000}"/>
    <hyperlink ref="X20" location="'Program Full'!$AH$1152:$AK$1177" display="'Program Full'!$AH$1152:$AK$1177" xr:uid="{00000000-0004-0000-0E00-000025010000}"/>
    <hyperlink ref="Y7" location="'Program Full'!$D$1181:$G$1206" display="'Program Full'!$D$1181:$G$1206" xr:uid="{00000000-0004-0000-0E00-000026010000}"/>
    <hyperlink ref="Y8" location="'Program Full'!$D$1208:$G$1233" display="'Program Full'!$D$1208:$G$1233" xr:uid="{00000000-0004-0000-0E00-000027010000}"/>
    <hyperlink ref="Y9" location="'Program Full'!$I$1181:$L$1206" display="'Program Full'!$I$1181:$L$1206" xr:uid="{00000000-0004-0000-0E00-000028010000}"/>
    <hyperlink ref="Y10" location="'Program Full'!$I$1208:$L$1233" display="'Program Full'!$I$1208:$L$1233" xr:uid="{00000000-0004-0000-0E00-000029010000}"/>
    <hyperlink ref="Y11" location="'Program Full'!$N$1181:$Q$1206" display="'Program Full'!$N$1181:$Q$1206" xr:uid="{00000000-0004-0000-0E00-00002A010000}"/>
    <hyperlink ref="Y12" location="'Program Full'!$N$1208:$Q$1233" display="'Program Full'!$N$1208:$Q$1233" xr:uid="{00000000-0004-0000-0E00-00002B010000}"/>
    <hyperlink ref="Y13" location="'Program Full'!$S$1181:$V$1206" display="'Program Full'!$S$1181:$V$1206" xr:uid="{00000000-0004-0000-0E00-00002C010000}"/>
    <hyperlink ref="Y14" location="'Program Full'!$S$1208:$V$1233" display="'Program Full'!$S$1208:$V$1233" xr:uid="{00000000-0004-0000-0E00-00002D010000}"/>
    <hyperlink ref="Y15" location="'Program Full'!$X$1181:$AA$1206" display="'Program Full'!$X$1181:$AA$1206" xr:uid="{00000000-0004-0000-0E00-00002E010000}"/>
    <hyperlink ref="Y16" location="'Program Full'!$X$1208:$AA$1233" display="'Program Full'!$X$1208:$AA$1233" xr:uid="{00000000-0004-0000-0E00-00002F010000}"/>
    <hyperlink ref="Y17" location="'Program Full'!$AC$1181:$AF$1206" display="'Program Full'!$AC$1181:$AF$1206" xr:uid="{00000000-0004-0000-0E00-000030010000}"/>
    <hyperlink ref="Y18" location="'Program Full'!$AC$1208:$AF$1233" display="'Program Full'!$AC$1208:$AF$1233" xr:uid="{00000000-0004-0000-0E00-000031010000}"/>
    <hyperlink ref="Y19" location="'Program Full'!$AH$1181:$AK$1206" display="'Program Full'!$AH$1181:$AK$1206" xr:uid="{00000000-0004-0000-0E00-000032010000}"/>
    <hyperlink ref="Y20" location="'Program Full'!$AH$1208:$AK$1233" display="'Program Full'!$AH$1208:$AK$1233" xr:uid="{00000000-0004-0000-0E00-000033010000}"/>
    <hyperlink ref="Z7" location="'Program Full'!$D$1237:$G$1262" display="'Program Full'!$D$1237:$G$1262" xr:uid="{00000000-0004-0000-0E00-000034010000}"/>
    <hyperlink ref="Z8" location="'Program Full'!$D$1264:$G$1289" display="'Program Full'!$D$1264:$G$1289" xr:uid="{00000000-0004-0000-0E00-000035010000}"/>
    <hyperlink ref="Z9" location="'Program Full'!$I$1237:$L$1262" display="'Program Full'!$I$1237:$L$1262" xr:uid="{00000000-0004-0000-0E00-000036010000}"/>
    <hyperlink ref="Z10" location="'Program Full'!$I$1264:$L$1289" display="'Program Full'!$I$1264:$L$1289" xr:uid="{00000000-0004-0000-0E00-000037010000}"/>
    <hyperlink ref="Z11" location="'Program Full'!$N$1237:$Q$1262" display="'Program Full'!$N$1237:$Q$1262" xr:uid="{00000000-0004-0000-0E00-000038010000}"/>
    <hyperlink ref="Z12" location="'Program Full'!$N$1264:$Q$1289" display="'Program Full'!$N$1264:$Q$1289" xr:uid="{00000000-0004-0000-0E00-000039010000}"/>
    <hyperlink ref="Z13" location="'Program Full'!$S$1237:$V$1262" display="'Program Full'!$S$1237:$V$1262" xr:uid="{00000000-0004-0000-0E00-00003A010000}"/>
    <hyperlink ref="Z14" location="'Program Full'!$S$1264:$V$1289" display="'Program Full'!$S$1264:$V$1289" xr:uid="{00000000-0004-0000-0E00-00003B010000}"/>
    <hyperlink ref="Z15" location="'Program Full'!$X$1237:$AA$1262" display="'Program Full'!$X$1237:$AA$1262" xr:uid="{00000000-0004-0000-0E00-00003C010000}"/>
    <hyperlink ref="Z16" location="'Program Full'!$X$1264:$AA$1289" display="'Program Full'!$X$1264:$AA$1289" xr:uid="{00000000-0004-0000-0E00-00003D010000}"/>
    <hyperlink ref="Z17" location="'Program Full'!$AC$1237:$AF$1262" display="'Program Full'!$AC$1237:$AF$1262" xr:uid="{00000000-0004-0000-0E00-00003E010000}"/>
    <hyperlink ref="Z18" location="'Program Full'!$AC$1264:$AF$1289" display="'Program Full'!$AC$1264:$AF$1289" xr:uid="{00000000-0004-0000-0E00-00003F010000}"/>
    <hyperlink ref="Z19" location="'Program Full'!$AH$1237:$AK$1262" display="'Program Full'!$AH$1237:$AK$1262" xr:uid="{00000000-0004-0000-0E00-000040010000}"/>
    <hyperlink ref="Z20" location="'Program Full'!$AH$1264:$AK$1289" display="'Program Full'!$AH$1264:$AK$1289" xr:uid="{00000000-0004-0000-0E00-000041010000}"/>
    <hyperlink ref="AA7" location="'Program Full'!$D$1293:$G$1318" display="'Program Full'!$D$1293:$G$1318" xr:uid="{00000000-0004-0000-0E00-000042010000}"/>
    <hyperlink ref="AA8" location="'Program Full'!$D$1320:$G$1345" display="'Program Full'!$D$1320:$G$1345" xr:uid="{00000000-0004-0000-0E00-000043010000}"/>
    <hyperlink ref="AA9" location="'Program Full'!$I$1293:$L$1318" display="'Program Full'!$I$1293:$L$1318" xr:uid="{00000000-0004-0000-0E00-000044010000}"/>
    <hyperlink ref="AA10" location="'Program Full'!$I$1320:$L$1345" display="'Program Full'!$I$1320:$L$1345" xr:uid="{00000000-0004-0000-0E00-000045010000}"/>
    <hyperlink ref="AA11" location="'Program Full'!$N$1293:$Q$1318" display="'Program Full'!$N$1293:$Q$1318" xr:uid="{00000000-0004-0000-0E00-000046010000}"/>
    <hyperlink ref="AA12" location="'Program Full'!$N$1320:$Q$1345" display="'Program Full'!$N$1320:$Q$1345" xr:uid="{00000000-0004-0000-0E00-000047010000}"/>
    <hyperlink ref="AA13" location="'Program Full'!$S$1293:$V$1318" display="'Program Full'!$S$1293:$V$1318" xr:uid="{00000000-0004-0000-0E00-000048010000}"/>
    <hyperlink ref="AA14" location="'Program Full'!$S$1320:$V$1345" display="'Program Full'!$S$1320:$V$1345" xr:uid="{00000000-0004-0000-0E00-000049010000}"/>
    <hyperlink ref="AA15" location="'Program Full'!$X$1293:$AA$1318" display="'Program Full'!$X$1293:$AA$1318" xr:uid="{00000000-0004-0000-0E00-00004A010000}"/>
    <hyperlink ref="AA16" location="'Program Full'!$X$1320:$AA$1345" display="'Program Full'!$X$1320:$AA$1345" xr:uid="{00000000-0004-0000-0E00-00004B010000}"/>
    <hyperlink ref="AA17" location="'Program Full'!$AC$1293:$AF$1318" display="'Program Full'!$AC$1293:$AF$1318" xr:uid="{00000000-0004-0000-0E00-00004C010000}"/>
    <hyperlink ref="AA18" location="'Program Full'!$AC$1320:$AF$1345" display="'Program Full'!$AC$1320:$AF$1345" xr:uid="{00000000-0004-0000-0E00-00004D010000}"/>
    <hyperlink ref="AA19" location="'Program Full'!$AH$1293:$AK$1318" display="'Program Full'!$AH$1293:$AK$1318" xr:uid="{00000000-0004-0000-0E00-00004E010000}"/>
    <hyperlink ref="AA20" location="'Program Full'!$AH$1320:$AK$1345" display="'Program Full'!$AH$1320:$AK$1345" xr:uid="{00000000-0004-0000-0E00-00004F010000}"/>
  </hyperlinks>
  <printOptions horizontalCentered="1" verticalCentered="1"/>
  <pageMargins left="0.23622047244094491" right="0.23622047244094491" top="0.74803149606299213" bottom="0.74803149606299213" header="0.31496062992125984" footer="0.31496062992125984"/>
  <pageSetup paperSize="9" fitToWidth="3" orientation="landscape" r:id="rId1"/>
  <headerFooter>
    <oddHeader>&amp;C&amp;24&amp;A: Gene Beveridge Tarawera 50km 2019-02-09 Page &amp;P</oddHeader>
  </headerFooter>
  <extLst>
    <ext xmlns:x14="http://schemas.microsoft.com/office/spreadsheetml/2009/9/main" uri="{78C0D931-6437-407d-A8EE-F0AAD7539E65}">
      <x14:conditionalFormattings>
        <x14:conditionalFormatting xmlns:xm="http://schemas.microsoft.com/office/excel/2006/main">
          <x14:cfRule type="containsText" priority="4" operator="containsText" text="Race" id="{114815C0-3F94-414D-9F7B-D804B5E2078D}">
            <xm:f>NOT(ISERROR(SEARCH("Race",'Program Planner'!D4)))</xm:f>
            <x14:dxf>
              <font>
                <color theme="0"/>
              </font>
              <fill>
                <patternFill>
                  <bgColor theme="8" tint="-0.499984740745262"/>
                </patternFill>
              </fill>
            </x14:dxf>
          </x14:cfRule>
          <x14:cfRule type="containsText" priority="22" operator="containsText" text="Taper" id="{C3339AC4-7A78-4544-90A0-02DE2CFDE546}">
            <xm:f>NOT(ISERROR(SEARCH("Taper",'Program Planner'!D4)))</xm:f>
            <x14:dxf>
              <font>
                <color theme="0"/>
              </font>
              <fill>
                <patternFill>
                  <bgColor theme="8" tint="-0.24994659260841701"/>
                </patternFill>
              </fill>
            </x14:dxf>
          </x14:cfRule>
          <x14:cfRule type="containsText" priority="23" operator="containsText" text="Speed" id="{769EC7E3-8EC5-445E-87A5-A276F6029082}">
            <xm:f>NOT(ISERROR(SEARCH("Speed",'Program Planner'!D4)))</xm:f>
            <x14:dxf>
              <fill>
                <patternFill>
                  <bgColor theme="8"/>
                </patternFill>
              </fill>
            </x14:dxf>
          </x14:cfRule>
          <x14:cfRule type="containsText" priority="24" operator="containsText" text="Strength" id="{1F58A8AD-D824-46E2-937D-54BCB03B18DA}">
            <xm:f>NOT(ISERROR(SEARCH("Strength",'Program Planner'!D4)))</xm:f>
            <x14:dxf>
              <fill>
                <patternFill>
                  <bgColor theme="8" tint="0.39994506668294322"/>
                </patternFill>
              </fill>
            </x14:dxf>
          </x14:cfRule>
          <x14:cfRule type="containsText" priority="25" operator="containsText" text="Base" id="{AE772FB5-E859-4F81-BF68-BF97EA916E6D}">
            <xm:f>NOT(ISERROR(SEARCH("Base",'Program Planner'!D4)))</xm:f>
            <x14:dxf>
              <fill>
                <patternFill>
                  <bgColor theme="8" tint="0.59996337778862885"/>
                </patternFill>
              </fill>
            </x14:dxf>
          </x14:cfRule>
          <x14:cfRule type="containsText" priority="26" operator="containsText" text="Balance" id="{5436152B-072A-460D-91C9-5FA093C1FDCC}">
            <xm:f>NOT(ISERROR(SEARCH("Balance",'Program Planner'!D4)))</xm:f>
            <x14:dxf>
              <fill>
                <patternFill>
                  <bgColor theme="8" tint="0.59996337778862885"/>
                </patternFill>
              </fill>
            </x14:dxf>
          </x14:cfRule>
          <x14:cfRule type="containsText" priority="27" operator="containsText" text="Progression" id="{0A1466BD-1D1D-481A-A7FB-0E73C77013CD}">
            <xm:f>NOT(ISERROR(SEARCH("Progression",'Program Planner'!D4)))</xm:f>
            <x14:dxf>
              <fill>
                <patternFill>
                  <bgColor theme="8" tint="0.59996337778862885"/>
                </patternFill>
              </fill>
            </x14:dxf>
          </x14:cfRule>
          <x14:cfRule type="containsText" priority="28" operator="containsText" text="Endurance" id="{C50F5BED-C16F-4BC8-920F-E6378ACF22ED}">
            <xm:f>NOT(ISERROR(SEARCH("Endurance",'Program Planner'!D4)))</xm:f>
            <x14:dxf>
              <fill>
                <patternFill>
                  <bgColor theme="8" tint="0.59996337778862885"/>
                </patternFill>
              </fill>
            </x14:dxf>
          </x14:cfRule>
          <x14:cfRule type="containsText" priority="29" operator="containsText" text="Maintain" id="{BFCE4018-B4FF-4E74-91BE-AC70CD81E07D}">
            <xm:f>NOT(ISERROR(SEARCH("Maintain",'Program Planner'!D4)))</xm:f>
            <x14:dxf>
              <fill>
                <patternFill>
                  <bgColor theme="8" tint="0.79998168889431442"/>
                </patternFill>
              </fill>
            </x14:dxf>
          </x14:cfRule>
          <x14:cfRule type="containsText" priority="30" operator="containsText" text="Recovery" id="{50F8D890-5756-45F2-BD94-05A7BBD2E0B7}">
            <xm:f>NOT(ISERROR(SEARCH("Recovery",'Program Planner'!D4)))</xm:f>
            <x14:dxf>
              <fill>
                <patternFill>
                  <bgColor theme="8" tint="0.79998168889431442"/>
                </patternFill>
              </fill>
            </x14:dxf>
          </x14:cfRule>
          <xm:sqref>D4:AA4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tabColor theme="6" tint="0.59999389629810485"/>
    <pageSetUpPr autoPageBreaks="0" fitToPage="1"/>
  </sheetPr>
  <dimension ref="A1:AB2000"/>
  <sheetViews>
    <sheetView showGridLines="0" showRowColHeaders="0" topLeftCell="A2001" zoomScale="55" zoomScaleNormal="55" workbookViewId="0">
      <selection activeCell="F35" sqref="F35"/>
    </sheetView>
  </sheetViews>
  <sheetFormatPr defaultRowHeight="14.25" x14ac:dyDescent="0.45"/>
  <cols>
    <col min="1" max="1" width="7.1328125" customWidth="1"/>
    <col min="2" max="2" width="15.1328125" customWidth="1"/>
    <col min="3" max="3" width="10.1328125" customWidth="1"/>
    <col min="4" max="4" width="12.3984375" customWidth="1"/>
    <col min="5" max="28" width="20.73046875" customWidth="1"/>
  </cols>
  <sheetData>
    <row r="1" spans="1:28" ht="15" hidden="1" customHeight="1" x14ac:dyDescent="0.45">
      <c r="A1" s="1852" t="s">
        <v>317</v>
      </c>
      <c r="B1" s="1853"/>
      <c r="C1" s="1853"/>
      <c r="D1" s="1853"/>
      <c r="E1" s="570">
        <f t="array" aca="1" ref="E1:AB1" ca="1">display_week_beginning</f>
        <v>43374</v>
      </c>
      <c r="F1" s="569">
        <f ca="1"/>
        <v>43381</v>
      </c>
      <c r="G1" s="569">
        <f ca="1"/>
        <v>43388</v>
      </c>
      <c r="H1" s="570">
        <f ca="1"/>
        <v>43395</v>
      </c>
      <c r="I1" s="570">
        <f ca="1"/>
        <v>43402</v>
      </c>
      <c r="J1" s="570">
        <f ca="1"/>
        <v>43409</v>
      </c>
      <c r="K1" s="570">
        <f ca="1"/>
        <v>43416</v>
      </c>
      <c r="L1" s="570">
        <f ca="1"/>
        <v>43423</v>
      </c>
      <c r="M1" s="570">
        <f ca="1"/>
        <v>43430</v>
      </c>
      <c r="N1" s="570">
        <f ca="1"/>
        <v>43437</v>
      </c>
      <c r="O1" s="570">
        <f ca="1"/>
        <v>43444</v>
      </c>
      <c r="P1" s="570">
        <f ca="1"/>
        <v>43451</v>
      </c>
      <c r="Q1" s="570">
        <f ca="1"/>
        <v>43458</v>
      </c>
      <c r="R1" s="570">
        <f ca="1"/>
        <v>43465</v>
      </c>
      <c r="S1" s="570">
        <f ca="1"/>
        <v>43472</v>
      </c>
      <c r="T1" s="570">
        <f ca="1"/>
        <v>43479</v>
      </c>
      <c r="U1" s="570">
        <f ca="1"/>
        <v>43486</v>
      </c>
      <c r="V1" s="570">
        <f ca="1"/>
        <v>43493</v>
      </c>
      <c r="W1" s="570">
        <f ca="1"/>
        <v>43500</v>
      </c>
      <c r="X1" s="570" t="str">
        <f ca="1"/>
        <v/>
      </c>
      <c r="Y1" s="570" t="str">
        <f ca="1"/>
        <v/>
      </c>
      <c r="Z1" s="570" t="str">
        <f ca="1"/>
        <v/>
      </c>
      <c r="AA1" s="570" t="str">
        <f ca="1"/>
        <v/>
      </c>
      <c r="AB1" s="571" t="str">
        <f ca="1"/>
        <v/>
      </c>
    </row>
    <row r="2" spans="1:28" hidden="1" x14ac:dyDescent="0.45">
      <c r="A2" s="1854" t="s">
        <v>318</v>
      </c>
      <c r="B2" s="1855"/>
      <c r="C2" s="1855"/>
      <c r="D2" s="1855"/>
      <c r="E2" s="38">
        <f t="array" aca="1" ref="E2:AB2" ca="1">display_week</f>
        <v>1</v>
      </c>
      <c r="F2" s="38">
        <f ca="1"/>
        <v>2</v>
      </c>
      <c r="G2" s="37">
        <f ca="1"/>
        <v>3</v>
      </c>
      <c r="H2" s="37">
        <f ca="1"/>
        <v>4</v>
      </c>
      <c r="I2" s="37">
        <f ca="1"/>
        <v>5</v>
      </c>
      <c r="J2" s="37">
        <f ca="1"/>
        <v>6</v>
      </c>
      <c r="K2" s="37">
        <f ca="1"/>
        <v>7</v>
      </c>
      <c r="L2" s="37">
        <f ca="1"/>
        <v>8</v>
      </c>
      <c r="M2" s="37">
        <f ca="1"/>
        <v>9</v>
      </c>
      <c r="N2" s="37">
        <f ca="1"/>
        <v>10</v>
      </c>
      <c r="O2" s="37">
        <f ca="1"/>
        <v>11</v>
      </c>
      <c r="P2" s="37">
        <f ca="1"/>
        <v>12</v>
      </c>
      <c r="Q2" s="37">
        <f ca="1"/>
        <v>13</v>
      </c>
      <c r="R2" s="38">
        <f ca="1"/>
        <v>14</v>
      </c>
      <c r="S2" s="37">
        <f ca="1"/>
        <v>15</v>
      </c>
      <c r="T2" s="37">
        <f ca="1"/>
        <v>16</v>
      </c>
      <c r="U2" s="37">
        <f ca="1"/>
        <v>17</v>
      </c>
      <c r="V2" s="37">
        <f ca="1"/>
        <v>18</v>
      </c>
      <c r="W2" s="37">
        <f ca="1"/>
        <v>19</v>
      </c>
      <c r="X2" s="37" t="str">
        <f ca="1"/>
        <v/>
      </c>
      <c r="Y2" s="37" t="str">
        <f ca="1"/>
        <v/>
      </c>
      <c r="Z2" s="37" t="str">
        <f ca="1"/>
        <v/>
      </c>
      <c r="AA2" s="37" t="str">
        <f ca="1"/>
        <v/>
      </c>
      <c r="AB2" s="572" t="str">
        <f ca="1"/>
        <v/>
      </c>
    </row>
    <row r="3" spans="1:28" hidden="1" x14ac:dyDescent="0.45">
      <c r="A3" s="1854" t="s">
        <v>319</v>
      </c>
      <c r="B3" s="1855"/>
      <c r="C3" s="1855"/>
      <c r="D3" s="1855"/>
      <c r="E3" s="38">
        <f t="array" aca="1" ref="E3:AB3" ca="1">display_weeks_to_goal</f>
        <v>18</v>
      </c>
      <c r="F3" s="38">
        <f ca="1"/>
        <v>17</v>
      </c>
      <c r="G3" s="37">
        <f ca="1"/>
        <v>16</v>
      </c>
      <c r="H3" s="37">
        <f ca="1"/>
        <v>15</v>
      </c>
      <c r="I3" s="37">
        <f ca="1"/>
        <v>14</v>
      </c>
      <c r="J3" s="37">
        <f ca="1"/>
        <v>13</v>
      </c>
      <c r="K3" s="37">
        <f ca="1"/>
        <v>12</v>
      </c>
      <c r="L3" s="37">
        <f ca="1"/>
        <v>11</v>
      </c>
      <c r="M3" s="37">
        <f ca="1"/>
        <v>10</v>
      </c>
      <c r="N3" s="37">
        <f ca="1"/>
        <v>9</v>
      </c>
      <c r="O3" s="37">
        <f ca="1"/>
        <v>8</v>
      </c>
      <c r="P3" s="37">
        <f ca="1"/>
        <v>7</v>
      </c>
      <c r="Q3" s="37">
        <f ca="1"/>
        <v>6</v>
      </c>
      <c r="R3" s="37">
        <f ca="1"/>
        <v>5</v>
      </c>
      <c r="S3" s="37">
        <f ca="1"/>
        <v>4</v>
      </c>
      <c r="T3" s="37">
        <f ca="1"/>
        <v>3</v>
      </c>
      <c r="U3" s="37">
        <f ca="1"/>
        <v>2</v>
      </c>
      <c r="V3" s="37">
        <f ca="1"/>
        <v>1</v>
      </c>
      <c r="W3" s="37">
        <f ca="1"/>
        <v>0</v>
      </c>
      <c r="X3" s="37" t="str">
        <f ca="1"/>
        <v/>
      </c>
      <c r="Y3" s="37" t="str">
        <f ca="1"/>
        <v/>
      </c>
      <c r="Z3" s="37" t="str">
        <f ca="1"/>
        <v/>
      </c>
      <c r="AA3" s="37" t="str">
        <f ca="1"/>
        <v/>
      </c>
      <c r="AB3" s="572" t="str">
        <f ca="1"/>
        <v/>
      </c>
    </row>
    <row r="4" spans="1:28" hidden="1" x14ac:dyDescent="0.45">
      <c r="A4" s="1856" t="s">
        <v>453</v>
      </c>
      <c r="B4" s="1800"/>
      <c r="C4" s="1800"/>
      <c r="D4" s="1800"/>
      <c r="E4" s="566" t="str">
        <f t="array" aca="1" ref="E4:AB4" ca="1">IF(display_strategy=0,"",display_strategy)</f>
        <v>Conservative Balance</v>
      </c>
      <c r="F4" s="565" t="str">
        <f ca="1"/>
        <v>Conservative Balance</v>
      </c>
      <c r="G4" s="565" t="str">
        <f ca="1"/>
        <v>Conservative Balance</v>
      </c>
      <c r="H4" s="565" t="str">
        <f ca="1"/>
        <v>Conservative Balance</v>
      </c>
      <c r="I4" s="565" t="str">
        <f ca="1"/>
        <v>Conservative Balance</v>
      </c>
      <c r="J4" s="565" t="str">
        <f ca="1"/>
        <v>Conservative Balance</v>
      </c>
      <c r="K4" s="565" t="str">
        <f ca="1"/>
        <v>Taper</v>
      </c>
      <c r="L4" s="565" t="str">
        <f ca="1"/>
        <v>Taper</v>
      </c>
      <c r="M4" s="566" t="str">
        <f ca="1"/>
        <v>Maintain</v>
      </c>
      <c r="N4" s="566" t="str">
        <f ca="1"/>
        <v>Recover</v>
      </c>
      <c r="O4" s="566" t="str">
        <f ca="1"/>
        <v>Overload</v>
      </c>
      <c r="P4" s="566" t="str">
        <f ca="1"/>
        <v>Conservative Balance</v>
      </c>
      <c r="Q4" s="566" t="str">
        <f ca="1"/>
        <v>Conservative Balance</v>
      </c>
      <c r="R4" s="566" t="str">
        <f ca="1"/>
        <v>Overload</v>
      </c>
      <c r="S4" s="566" t="str">
        <f ca="1"/>
        <v>Recover</v>
      </c>
      <c r="T4" s="566" t="str">
        <f ca="1"/>
        <v>Recover</v>
      </c>
      <c r="U4" s="566" t="str">
        <f ca="1"/>
        <v>Maintain</v>
      </c>
      <c r="V4" s="566" t="str">
        <f ca="1"/>
        <v>Maintain</v>
      </c>
      <c r="W4" s="566" t="str">
        <f ca="1"/>
        <v>Race</v>
      </c>
      <c r="X4" s="566" t="str">
        <f ca="1"/>
        <v/>
      </c>
      <c r="Y4" s="566" t="str">
        <f ca="1"/>
        <v/>
      </c>
      <c r="Z4" s="566" t="str">
        <f ca="1"/>
        <v/>
      </c>
      <c r="AA4" s="566" t="str">
        <f ca="1"/>
        <v/>
      </c>
      <c r="AB4" s="573" t="str">
        <f ca="1"/>
        <v/>
      </c>
    </row>
    <row r="5" spans="1:28" hidden="1" x14ac:dyDescent="0.45">
      <c r="A5" s="1893" t="s">
        <v>348</v>
      </c>
      <c r="B5" s="1791" t="s">
        <v>349</v>
      </c>
      <c r="C5" s="1791"/>
      <c r="D5" s="1791"/>
      <c r="E5" s="64">
        <f t="array" aca="1" ref="E5:AB5" ca="1">display_difficulty</f>
        <v>0.64458278622425291</v>
      </c>
      <c r="F5" s="64">
        <f ca="1"/>
        <v>0.67534675010348322</v>
      </c>
      <c r="G5" s="64">
        <f ca="1"/>
        <v>0.70611071398271352</v>
      </c>
      <c r="H5" s="64">
        <f ca="1"/>
        <v>0.7303712206936952</v>
      </c>
      <c r="I5" s="64">
        <f ca="1"/>
        <v>0.75643820557916586</v>
      </c>
      <c r="J5" s="64">
        <f ca="1"/>
        <v>0.78292415892765344</v>
      </c>
      <c r="K5" s="64">
        <f ca="1"/>
        <v>0.62269734711638935</v>
      </c>
      <c r="L5" s="64">
        <f ca="1"/>
        <v>0.52911441052036212</v>
      </c>
      <c r="M5" s="64">
        <f ca="1"/>
        <v>0.76051185517395892</v>
      </c>
      <c r="N5" s="64">
        <f ca="1"/>
        <v>5.988023952095807E-2</v>
      </c>
      <c r="O5" s="65">
        <f ca="1"/>
        <v>1</v>
      </c>
      <c r="P5" s="64">
        <f ca="1"/>
        <v>0.5603766203092625</v>
      </c>
      <c r="Q5" s="64">
        <f ca="1"/>
        <v>0.58881280014630466</v>
      </c>
      <c r="R5" s="64">
        <f ca="1"/>
        <v>0.76583138073539192</v>
      </c>
      <c r="S5" s="64">
        <f ca="1"/>
        <v>0.38061892374681044</v>
      </c>
      <c r="T5" s="64">
        <f ca="1"/>
        <v>0.38061892374681044</v>
      </c>
      <c r="U5" s="64">
        <f ca="1"/>
        <v>0.51011923542984439</v>
      </c>
      <c r="V5" s="64">
        <f ca="1"/>
        <v>0.50870321250659278</v>
      </c>
      <c r="W5" s="64">
        <f ca="1"/>
        <v>0.58248174124404795</v>
      </c>
      <c r="X5" s="64" t="str">
        <f ca="1"/>
        <v/>
      </c>
      <c r="Y5" s="64" t="str">
        <f ca="1"/>
        <v/>
      </c>
      <c r="Z5" s="64" t="str">
        <f ca="1"/>
        <v/>
      </c>
      <c r="AA5" s="64" t="str">
        <f ca="1"/>
        <v/>
      </c>
      <c r="AB5" s="574" t="str">
        <f ca="1"/>
        <v/>
      </c>
    </row>
    <row r="6" spans="1:28" hidden="1" x14ac:dyDescent="0.45">
      <c r="A6" s="1894"/>
      <c r="B6" s="1800" t="s">
        <v>350</v>
      </c>
      <c r="C6" s="1800"/>
      <c r="D6" s="1800"/>
      <c r="E6" s="450">
        <f t="array" aca="1" ref="E6:AB6" ca="1">display_duration</f>
        <v>0.49652777777777773</v>
      </c>
      <c r="F6" s="450">
        <f ca="1"/>
        <v>0.51736111111111105</v>
      </c>
      <c r="G6" s="450">
        <f ca="1"/>
        <v>0.53819444444444442</v>
      </c>
      <c r="H6" s="450">
        <f ca="1"/>
        <v>0.55208333333333337</v>
      </c>
      <c r="I6" s="450">
        <f ca="1"/>
        <v>0.56944444444444442</v>
      </c>
      <c r="J6" s="450">
        <f ca="1"/>
        <v>0.57638888888888895</v>
      </c>
      <c r="K6" s="450">
        <f ca="1"/>
        <v>0.47916666666666669</v>
      </c>
      <c r="L6" s="450">
        <f ca="1"/>
        <v>0.41666666666666669</v>
      </c>
      <c r="M6" s="450">
        <f ca="1"/>
        <v>0.39583333333333331</v>
      </c>
      <c r="N6" s="450">
        <f ca="1"/>
        <v>3.4722222222222224E-2</v>
      </c>
      <c r="O6" s="450">
        <f ca="1"/>
        <v>0.57986111111111105</v>
      </c>
      <c r="P6" s="450">
        <f ca="1"/>
        <v>0.43284722222222216</v>
      </c>
      <c r="Q6" s="450">
        <f ca="1"/>
        <v>0.44680555555555551</v>
      </c>
      <c r="R6" s="450">
        <f ca="1"/>
        <v>0.55805555555555564</v>
      </c>
      <c r="S6" s="450">
        <f ca="1"/>
        <v>0.30583333333333335</v>
      </c>
      <c r="T6" s="450">
        <f ca="1"/>
        <v>0.30583333333333335</v>
      </c>
      <c r="U6" s="450">
        <f ca="1"/>
        <v>0.2951388888888889</v>
      </c>
      <c r="V6" s="450">
        <f ca="1"/>
        <v>0.38854166666666662</v>
      </c>
      <c r="W6" s="450">
        <f ca="1"/>
        <v>0.28437499999999999</v>
      </c>
      <c r="X6" s="450" t="str">
        <f ca="1"/>
        <v/>
      </c>
      <c r="Y6" s="450" t="str">
        <f ca="1"/>
        <v/>
      </c>
      <c r="Z6" s="450" t="str">
        <f ca="1"/>
        <v/>
      </c>
      <c r="AA6" s="450" t="str">
        <f ca="1"/>
        <v/>
      </c>
      <c r="AB6" s="575" t="str">
        <f ca="1"/>
        <v/>
      </c>
    </row>
    <row r="7" spans="1:28" hidden="1" x14ac:dyDescent="0.45">
      <c r="A7" s="1894"/>
      <c r="B7" s="1793" t="s">
        <v>325</v>
      </c>
      <c r="C7" s="1903" t="s">
        <v>326</v>
      </c>
      <c r="D7" s="591" t="s">
        <v>399</v>
      </c>
      <c r="E7" s="516" t="str">
        <f t="array" ref="E7:AB48" ca="1">IF(final_duration_element_trainingtilt=0,"",
SUBSTITUTE(SUBSTITUTE(SUBSTITUTE(SUBSTITUTE(
IF(display_part = "Part 1", INDEX(sessions_TT_summary_primary,INDEX(plan_session_allocation,TRUNC((ROW(display_summary_trainingtilt)-ROW(E6)+2)/3),display_week)),
IF(display_part = "Part 2", INDEX(sessions_TT_summary_secondary,INDEX(plan_session_allocation,TRUNC((ROW(display_summary_trainingtilt)-ROW(E6)+2)/3),display_week)),
IF(display_part = "Part 3", INDEX(sessions_TT_summary_tertiary,INDEX(plan_session_allocation,TRUNC((ROW(display_summary_trainingtilt)-ROW(E6)+2)/3),display_week)),""))),
"duration_primary",final_duration_element_trainingtilt),
"duration_secondary",final_duration_element_trainingtilt),
"duration_tertiary", final_duration_element_trainingtilt),
" + WU/WD", IF(final_duration_TT_WU=0, IF(final_duration_TT_WD=0, "", " + WD"), IF(final_duration_TT_WD=0, " + WU", " + WU/WD"))))</f>
        <v>Easy ride: 40 minutes</v>
      </c>
      <c r="F7" s="516" t="str">
        <f ca="1"/>
        <v>Easy ride: 40 minutes</v>
      </c>
      <c r="G7" s="516" t="str">
        <f ca="1"/>
        <v>Easy ride: 40 minutes</v>
      </c>
      <c r="H7" s="516" t="str">
        <f ca="1"/>
        <v>Easy ride: 40 minutes</v>
      </c>
      <c r="I7" s="516" t="str">
        <f ca="1"/>
        <v>Easy ride: 40 minutes</v>
      </c>
      <c r="J7" s="516" t="str">
        <f ca="1"/>
        <v>Easy ride: 40 minutes</v>
      </c>
      <c r="K7" s="516" t="str">
        <f ca="1"/>
        <v>Easy ride: 40 minutes</v>
      </c>
      <c r="L7" s="516" t="str">
        <f ca="1"/>
        <v>Easy ride: 40 minutes</v>
      </c>
      <c r="M7" s="516" t="str">
        <f ca="1"/>
        <v>Easy ride: 40 minutes</v>
      </c>
      <c r="N7" s="516" t="str">
        <f ca="1"/>
        <v/>
      </c>
      <c r="O7" s="516" t="str">
        <f ca="1"/>
        <v/>
      </c>
      <c r="P7" s="516" t="str">
        <f ca="1"/>
        <v>Easy ride: 40 minutes</v>
      </c>
      <c r="Q7" s="516" t="str">
        <f ca="1"/>
        <v>Easy ride: 40 minutes</v>
      </c>
      <c r="R7" s="516" t="str">
        <f ca="1"/>
        <v>Easy ride: 40 minutes</v>
      </c>
      <c r="S7" s="516" t="str">
        <f ca="1"/>
        <v>Easy ride: 30 minutes</v>
      </c>
      <c r="T7" s="516" t="str">
        <f ca="1"/>
        <v>Easy ride: 30 minutes</v>
      </c>
      <c r="U7" s="516" t="str">
        <f ca="1"/>
        <v>Easy ride: 30 minutes</v>
      </c>
      <c r="V7" s="516" t="str">
        <f ca="1"/>
        <v>Easy ride: 30 minutes</v>
      </c>
      <c r="W7" s="516" t="str">
        <f ca="1"/>
        <v/>
      </c>
      <c r="X7" s="516" t="str">
        <f ca="1"/>
        <v/>
      </c>
      <c r="Y7" s="516" t="str">
        <f ca="1"/>
        <v/>
      </c>
      <c r="Z7" s="516" t="str">
        <f ca="1"/>
        <v/>
      </c>
      <c r="AA7" s="516" t="str">
        <f ca="1"/>
        <v/>
      </c>
      <c r="AB7" s="576" t="str">
        <f ca="1"/>
        <v/>
      </c>
    </row>
    <row r="8" spans="1:28" hidden="1" x14ac:dyDescent="0.45">
      <c r="A8" s="1894"/>
      <c r="B8" s="1896"/>
      <c r="C8" s="1798"/>
      <c r="D8" s="592" t="s">
        <v>401</v>
      </c>
      <c r="E8" s="517" t="str">
        <f ca="1"/>
        <v/>
      </c>
      <c r="F8" s="517" t="str">
        <f ca="1"/>
        <v/>
      </c>
      <c r="G8" s="517" t="str">
        <f ca="1"/>
        <v/>
      </c>
      <c r="H8" s="517" t="str">
        <f ca="1"/>
        <v/>
      </c>
      <c r="I8" s="517" t="str">
        <f ca="1"/>
        <v/>
      </c>
      <c r="J8" s="517" t="str">
        <f ca="1"/>
        <v/>
      </c>
      <c r="K8" s="517" t="str">
        <f ca="1"/>
        <v/>
      </c>
      <c r="L8" s="517" t="str">
        <f ca="1"/>
        <v/>
      </c>
      <c r="M8" s="517" t="str">
        <f ca="1"/>
        <v/>
      </c>
      <c r="N8" s="517" t="str">
        <f ca="1"/>
        <v/>
      </c>
      <c r="O8" s="517" t="str">
        <f ca="1"/>
        <v/>
      </c>
      <c r="P8" s="517" t="str">
        <f ca="1"/>
        <v/>
      </c>
      <c r="Q8" s="517" t="str">
        <f ca="1"/>
        <v/>
      </c>
      <c r="R8" s="517" t="str">
        <f ca="1"/>
        <v/>
      </c>
      <c r="S8" s="517" t="str">
        <f ca="1"/>
        <v/>
      </c>
      <c r="T8" s="517" t="str">
        <f ca="1"/>
        <v/>
      </c>
      <c r="U8" s="517" t="str">
        <f ca="1"/>
        <v/>
      </c>
      <c r="V8" s="517" t="str">
        <f ca="1"/>
        <v/>
      </c>
      <c r="W8" s="517" t="str">
        <f ca="1"/>
        <v/>
      </c>
      <c r="X8" s="517" t="str">
        <f ca="1"/>
        <v/>
      </c>
      <c r="Y8" s="517" t="str">
        <f ca="1"/>
        <v/>
      </c>
      <c r="Z8" s="517" t="str">
        <f ca="1"/>
        <v/>
      </c>
      <c r="AA8" s="517" t="str">
        <f ca="1"/>
        <v/>
      </c>
      <c r="AB8" s="594" t="str">
        <f ca="1"/>
        <v/>
      </c>
    </row>
    <row r="9" spans="1:28" ht="14.65" hidden="1" thickBot="1" x14ac:dyDescent="0.5">
      <c r="A9" s="1894"/>
      <c r="B9" s="1896"/>
      <c r="C9" s="1904"/>
      <c r="D9" s="605" t="s">
        <v>400</v>
      </c>
      <c r="E9" s="606" t="str">
        <f ca="1"/>
        <v/>
      </c>
      <c r="F9" s="606" t="str">
        <f ca="1"/>
        <v/>
      </c>
      <c r="G9" s="606" t="str">
        <f ca="1"/>
        <v/>
      </c>
      <c r="H9" s="606" t="str">
        <f ca="1"/>
        <v/>
      </c>
      <c r="I9" s="606" t="str">
        <f ca="1"/>
        <v/>
      </c>
      <c r="J9" s="606" t="str">
        <f ca="1"/>
        <v/>
      </c>
      <c r="K9" s="606" t="str">
        <f ca="1"/>
        <v/>
      </c>
      <c r="L9" s="606" t="str">
        <f ca="1"/>
        <v/>
      </c>
      <c r="M9" s="606" t="str">
        <f ca="1"/>
        <v/>
      </c>
      <c r="N9" s="606" t="str">
        <f ca="1"/>
        <v/>
      </c>
      <c r="O9" s="606" t="str">
        <f ca="1"/>
        <v/>
      </c>
      <c r="P9" s="606" t="str">
        <f ca="1"/>
        <v/>
      </c>
      <c r="Q9" s="606" t="str">
        <f ca="1"/>
        <v/>
      </c>
      <c r="R9" s="606" t="str">
        <f ca="1"/>
        <v/>
      </c>
      <c r="S9" s="606" t="str">
        <f ca="1"/>
        <v/>
      </c>
      <c r="T9" s="606" t="str">
        <f ca="1"/>
        <v/>
      </c>
      <c r="U9" s="606" t="str">
        <f ca="1"/>
        <v/>
      </c>
      <c r="V9" s="606" t="str">
        <f ca="1"/>
        <v/>
      </c>
      <c r="W9" s="606" t="str">
        <f ca="1"/>
        <v/>
      </c>
      <c r="X9" s="606" t="str">
        <f ca="1"/>
        <v/>
      </c>
      <c r="Y9" s="606" t="str">
        <f ca="1"/>
        <v/>
      </c>
      <c r="Z9" s="606" t="str">
        <f ca="1"/>
        <v/>
      </c>
      <c r="AA9" s="606" t="str">
        <f ca="1"/>
        <v/>
      </c>
      <c r="AB9" s="607" t="str">
        <f ca="1"/>
        <v/>
      </c>
    </row>
    <row r="10" spans="1:28" ht="28.5" hidden="1" x14ac:dyDescent="0.45">
      <c r="A10" s="1894"/>
      <c r="B10" s="1896"/>
      <c r="C10" s="1905" t="s">
        <v>327</v>
      </c>
      <c r="D10" s="604" t="s">
        <v>399</v>
      </c>
      <c r="E10" s="614" t="str">
        <f ca="1"/>
        <v>Strength and conditioning</v>
      </c>
      <c r="F10" s="614" t="str">
        <f ca="1"/>
        <v>Strength and conditioning</v>
      </c>
      <c r="G10" s="614" t="str">
        <f ca="1"/>
        <v>Strength and conditioning</v>
      </c>
      <c r="H10" s="614" t="str">
        <f ca="1"/>
        <v>Strength and conditioning</v>
      </c>
      <c r="I10" s="614" t="str">
        <f ca="1"/>
        <v>Strength and conditioning</v>
      </c>
      <c r="J10" s="614" t="str">
        <f ca="1"/>
        <v>Strength and conditioning</v>
      </c>
      <c r="K10" s="614" t="str">
        <f ca="1"/>
        <v>Strength and conditioning</v>
      </c>
      <c r="L10" s="614" t="str">
        <f ca="1"/>
        <v>Strength and conditioning</v>
      </c>
      <c r="M10" s="614" t="str">
        <f ca="1"/>
        <v>Strength and conditioning</v>
      </c>
      <c r="N10" s="614" t="str">
        <f ca="1"/>
        <v/>
      </c>
      <c r="O10" s="614" t="str">
        <f ca="1"/>
        <v>Steady hilly trail run: 85 minutes</v>
      </c>
      <c r="P10" s="614" t="str">
        <f ca="1"/>
        <v>Strength and conditioning</v>
      </c>
      <c r="Q10" s="614" t="str">
        <f ca="1"/>
        <v>Strength and conditioning</v>
      </c>
      <c r="R10" s="614" t="str">
        <f ca="1"/>
        <v>Strength and conditioning</v>
      </c>
      <c r="S10" s="614" t="str">
        <f ca="1"/>
        <v>Strength and conditioning</v>
      </c>
      <c r="T10" s="614" t="str">
        <f ca="1"/>
        <v>Strength and conditioning</v>
      </c>
      <c r="U10" s="614" t="str">
        <f ca="1"/>
        <v>Strength and conditioning</v>
      </c>
      <c r="V10" s="614" t="str">
        <f ca="1"/>
        <v>Strength and conditioning</v>
      </c>
      <c r="W10" s="614" t="str">
        <f ca="1"/>
        <v/>
      </c>
      <c r="X10" s="614" t="str">
        <f ca="1"/>
        <v/>
      </c>
      <c r="Y10" s="614" t="str">
        <f ca="1"/>
        <v/>
      </c>
      <c r="Z10" s="614" t="str">
        <f ca="1"/>
        <v/>
      </c>
      <c r="AA10" s="614" t="str">
        <f ca="1"/>
        <v/>
      </c>
      <c r="AB10" s="615" t="str">
        <f ca="1"/>
        <v/>
      </c>
    </row>
    <row r="11" spans="1:28" hidden="1" x14ac:dyDescent="0.45">
      <c r="A11" s="1894"/>
      <c r="B11" s="1896"/>
      <c r="C11" s="1798"/>
      <c r="D11" s="579" t="s">
        <v>401</v>
      </c>
      <c r="E11" s="610" t="str">
        <f ca="1"/>
        <v>Maintenance</v>
      </c>
      <c r="F11" s="610" t="str">
        <f ca="1"/>
        <v>Maintenance</v>
      </c>
      <c r="G11" s="610" t="str">
        <f ca="1"/>
        <v>Maintenance</v>
      </c>
      <c r="H11" s="610" t="str">
        <f ca="1"/>
        <v>Maintenance</v>
      </c>
      <c r="I11" s="610" t="str">
        <f ca="1"/>
        <v>Maintenance</v>
      </c>
      <c r="J11" s="610" t="str">
        <f ca="1"/>
        <v>Maintenance</v>
      </c>
      <c r="K11" s="610" t="str">
        <f ca="1"/>
        <v>Maintenance</v>
      </c>
      <c r="L11" s="610" t="str">
        <f ca="1"/>
        <v>Maintenance</v>
      </c>
      <c r="M11" s="610" t="str">
        <f ca="1"/>
        <v>Maintenance</v>
      </c>
      <c r="N11" s="610" t="str">
        <f ca="1"/>
        <v/>
      </c>
      <c r="O11" s="610" t="str">
        <f ca="1"/>
        <v/>
      </c>
      <c r="P11" s="610" t="str">
        <f ca="1"/>
        <v>Maintenance</v>
      </c>
      <c r="Q11" s="610" t="str">
        <f ca="1"/>
        <v>Maintenance</v>
      </c>
      <c r="R11" s="610" t="str">
        <f ca="1"/>
        <v>Maintenance</v>
      </c>
      <c r="S11" s="610" t="str">
        <f ca="1"/>
        <v>Maintenance</v>
      </c>
      <c r="T11" s="610" t="str">
        <f ca="1"/>
        <v>Maintenance</v>
      </c>
      <c r="U11" s="610" t="str">
        <f ca="1"/>
        <v>Maintenance</v>
      </c>
      <c r="V11" s="610" t="str">
        <f ca="1"/>
        <v>Maintenance</v>
      </c>
      <c r="W11" s="610" t="str">
        <f ca="1"/>
        <v/>
      </c>
      <c r="X11" s="610" t="str">
        <f ca="1"/>
        <v/>
      </c>
      <c r="Y11" s="610" t="str">
        <f ca="1"/>
        <v/>
      </c>
      <c r="Z11" s="610" t="str">
        <f ca="1"/>
        <v/>
      </c>
      <c r="AA11" s="610" t="str">
        <f ca="1"/>
        <v/>
      </c>
      <c r="AB11" s="611" t="str">
        <f ca="1"/>
        <v/>
      </c>
    </row>
    <row r="12" spans="1:28" ht="14.65" hidden="1" thickBot="1" x14ac:dyDescent="0.5">
      <c r="A12" s="1894"/>
      <c r="B12" s="1897"/>
      <c r="C12" s="1904"/>
      <c r="D12" s="625" t="s">
        <v>400</v>
      </c>
      <c r="E12" s="612" t="str">
        <f ca="1"/>
        <v/>
      </c>
      <c r="F12" s="612" t="str">
        <f ca="1"/>
        <v/>
      </c>
      <c r="G12" s="612" t="str">
        <f ca="1"/>
        <v/>
      </c>
      <c r="H12" s="612" t="str">
        <f ca="1"/>
        <v/>
      </c>
      <c r="I12" s="612" t="str">
        <f ca="1"/>
        <v/>
      </c>
      <c r="J12" s="612" t="str">
        <f ca="1"/>
        <v/>
      </c>
      <c r="K12" s="612" t="str">
        <f ca="1"/>
        <v/>
      </c>
      <c r="L12" s="612" t="str">
        <f ca="1"/>
        <v/>
      </c>
      <c r="M12" s="612" t="str">
        <f ca="1"/>
        <v/>
      </c>
      <c r="N12" s="612" t="str">
        <f ca="1"/>
        <v/>
      </c>
      <c r="O12" s="612" t="str">
        <f ca="1"/>
        <v/>
      </c>
      <c r="P12" s="612" t="str">
        <f ca="1"/>
        <v/>
      </c>
      <c r="Q12" s="612" t="str">
        <f ca="1"/>
        <v/>
      </c>
      <c r="R12" s="612" t="str">
        <f ca="1"/>
        <v/>
      </c>
      <c r="S12" s="612" t="str">
        <f ca="1"/>
        <v/>
      </c>
      <c r="T12" s="612" t="str">
        <f ca="1"/>
        <v/>
      </c>
      <c r="U12" s="612" t="str">
        <f ca="1"/>
        <v/>
      </c>
      <c r="V12" s="612" t="str">
        <f ca="1"/>
        <v/>
      </c>
      <c r="W12" s="612" t="str">
        <f ca="1"/>
        <v/>
      </c>
      <c r="X12" s="612" t="str">
        <f ca="1"/>
        <v/>
      </c>
      <c r="Y12" s="612" t="str">
        <f ca="1"/>
        <v/>
      </c>
      <c r="Z12" s="612" t="str">
        <f ca="1"/>
        <v/>
      </c>
      <c r="AA12" s="612" t="str">
        <f ca="1"/>
        <v/>
      </c>
      <c r="AB12" s="613" t="str">
        <f ca="1"/>
        <v/>
      </c>
    </row>
    <row r="13" spans="1:28" hidden="1" x14ac:dyDescent="0.45">
      <c r="A13" s="1894"/>
      <c r="B13" s="1898" t="s">
        <v>328</v>
      </c>
      <c r="C13" s="1906" t="s">
        <v>326</v>
      </c>
      <c r="D13" s="626" t="s">
        <v>399</v>
      </c>
      <c r="E13" s="618" t="str">
        <f ca="1"/>
        <v>Easy ride: 40 minutes</v>
      </c>
      <c r="F13" s="618" t="str">
        <f ca="1"/>
        <v>Easy ride: 40 minutes</v>
      </c>
      <c r="G13" s="618" t="str">
        <f ca="1"/>
        <v>Easy ride: 40 minutes</v>
      </c>
      <c r="H13" s="618" t="str">
        <f ca="1"/>
        <v>Easy ride: 40 minutes</v>
      </c>
      <c r="I13" s="618" t="str">
        <f ca="1"/>
        <v>Easy ride: 40 minutes</v>
      </c>
      <c r="J13" s="618" t="str">
        <f ca="1"/>
        <v>Easy ride: 40 minutes</v>
      </c>
      <c r="K13" s="618" t="str">
        <f ca="1"/>
        <v>Easy ride: 40 minutes</v>
      </c>
      <c r="L13" s="618" t="str">
        <f ca="1"/>
        <v/>
      </c>
      <c r="M13" s="618" t="str">
        <f ca="1"/>
        <v/>
      </c>
      <c r="N13" s="618" t="str">
        <f ca="1"/>
        <v/>
      </c>
      <c r="O13" s="618" t="str">
        <f ca="1"/>
        <v/>
      </c>
      <c r="P13" s="618" t="str">
        <f ca="1"/>
        <v>Easy ride: 40 minutes</v>
      </c>
      <c r="Q13" s="618" t="str">
        <f ca="1"/>
        <v>Easy ride: 40 minutes</v>
      </c>
      <c r="R13" s="618" t="str">
        <f ca="1"/>
        <v>Easy ride: 40 minutes</v>
      </c>
      <c r="S13" s="618" t="str">
        <f ca="1"/>
        <v/>
      </c>
      <c r="T13" s="618" t="str">
        <f ca="1"/>
        <v/>
      </c>
      <c r="U13" s="618" t="str">
        <f ca="1"/>
        <v/>
      </c>
      <c r="V13" s="618" t="str">
        <f ca="1"/>
        <v/>
      </c>
      <c r="W13" s="618" t="str">
        <f ca="1"/>
        <v/>
      </c>
      <c r="X13" s="618" t="str">
        <f ca="1"/>
        <v/>
      </c>
      <c r="Y13" s="618" t="str">
        <f ca="1"/>
        <v/>
      </c>
      <c r="Z13" s="618" t="str">
        <f ca="1"/>
        <v/>
      </c>
      <c r="AA13" s="618" t="str">
        <f ca="1"/>
        <v/>
      </c>
      <c r="AB13" s="619" t="str">
        <f ca="1"/>
        <v/>
      </c>
    </row>
    <row r="14" spans="1:28" hidden="1" x14ac:dyDescent="0.45">
      <c r="A14" s="1894"/>
      <c r="B14" s="1898"/>
      <c r="C14" s="1906"/>
      <c r="D14" s="593" t="s">
        <v>401</v>
      </c>
      <c r="E14" s="589" t="str">
        <f ca="1"/>
        <v/>
      </c>
      <c r="F14" s="589" t="str">
        <f ca="1"/>
        <v/>
      </c>
      <c r="G14" s="589" t="str">
        <f ca="1"/>
        <v/>
      </c>
      <c r="H14" s="589" t="str">
        <f ca="1"/>
        <v/>
      </c>
      <c r="I14" s="589" t="str">
        <f ca="1"/>
        <v/>
      </c>
      <c r="J14" s="589" t="str">
        <f ca="1"/>
        <v/>
      </c>
      <c r="K14" s="589" t="str">
        <f ca="1"/>
        <v/>
      </c>
      <c r="L14" s="589" t="str">
        <f ca="1"/>
        <v/>
      </c>
      <c r="M14" s="589" t="str">
        <f ca="1"/>
        <v/>
      </c>
      <c r="N14" s="589" t="str">
        <f ca="1"/>
        <v/>
      </c>
      <c r="O14" s="589" t="str">
        <f ca="1"/>
        <v/>
      </c>
      <c r="P14" s="589" t="str">
        <f ca="1"/>
        <v/>
      </c>
      <c r="Q14" s="589" t="str">
        <f ca="1"/>
        <v/>
      </c>
      <c r="R14" s="589" t="str">
        <f ca="1"/>
        <v/>
      </c>
      <c r="S14" s="589" t="str">
        <f ca="1"/>
        <v/>
      </c>
      <c r="T14" s="589" t="str">
        <f ca="1"/>
        <v/>
      </c>
      <c r="U14" s="589" t="str">
        <f ca="1"/>
        <v/>
      </c>
      <c r="V14" s="589" t="str">
        <f ca="1"/>
        <v/>
      </c>
      <c r="W14" s="589" t="str">
        <f ca="1"/>
        <v/>
      </c>
      <c r="X14" s="589" t="str">
        <f ca="1"/>
        <v/>
      </c>
      <c r="Y14" s="589" t="str">
        <f ca="1"/>
        <v/>
      </c>
      <c r="Z14" s="589" t="str">
        <f ca="1"/>
        <v/>
      </c>
      <c r="AA14" s="589" t="str">
        <f ca="1"/>
        <v/>
      </c>
      <c r="AB14" s="590" t="str">
        <f ca="1"/>
        <v/>
      </c>
    </row>
    <row r="15" spans="1:28" ht="14.65" hidden="1" thickBot="1" x14ac:dyDescent="0.5">
      <c r="A15" s="1894"/>
      <c r="B15" s="1898"/>
      <c r="C15" s="1907"/>
      <c r="D15" s="609" t="s">
        <v>400</v>
      </c>
      <c r="E15" s="606" t="str">
        <f ca="1"/>
        <v/>
      </c>
      <c r="F15" s="606" t="str">
        <f ca="1"/>
        <v/>
      </c>
      <c r="G15" s="606" t="str">
        <f ca="1"/>
        <v/>
      </c>
      <c r="H15" s="606" t="str">
        <f ca="1"/>
        <v/>
      </c>
      <c r="I15" s="606" t="str">
        <f ca="1"/>
        <v/>
      </c>
      <c r="J15" s="606" t="str">
        <f ca="1"/>
        <v/>
      </c>
      <c r="K15" s="606" t="str">
        <f ca="1"/>
        <v/>
      </c>
      <c r="L15" s="606" t="str">
        <f ca="1"/>
        <v/>
      </c>
      <c r="M15" s="606" t="str">
        <f ca="1"/>
        <v/>
      </c>
      <c r="N15" s="606" t="str">
        <f ca="1"/>
        <v/>
      </c>
      <c r="O15" s="606" t="str">
        <f ca="1"/>
        <v/>
      </c>
      <c r="P15" s="606" t="str">
        <f ca="1"/>
        <v/>
      </c>
      <c r="Q15" s="606" t="str">
        <f ca="1"/>
        <v/>
      </c>
      <c r="R15" s="606" t="str">
        <f ca="1"/>
        <v/>
      </c>
      <c r="S15" s="606" t="str">
        <f ca="1"/>
        <v/>
      </c>
      <c r="T15" s="606" t="str">
        <f ca="1"/>
        <v/>
      </c>
      <c r="U15" s="606" t="str">
        <f ca="1"/>
        <v/>
      </c>
      <c r="V15" s="606" t="str">
        <f ca="1"/>
        <v/>
      </c>
      <c r="W15" s="606" t="str">
        <f ca="1"/>
        <v/>
      </c>
      <c r="X15" s="606" t="str">
        <f ca="1"/>
        <v/>
      </c>
      <c r="Y15" s="606" t="str">
        <f ca="1"/>
        <v/>
      </c>
      <c r="Z15" s="606" t="str">
        <f ca="1"/>
        <v/>
      </c>
      <c r="AA15" s="606" t="str">
        <f ca="1"/>
        <v/>
      </c>
      <c r="AB15" s="607" t="str">
        <f ca="1"/>
        <v/>
      </c>
    </row>
    <row r="16" spans="1:28" ht="42.75" hidden="1" x14ac:dyDescent="0.45">
      <c r="A16" s="1894"/>
      <c r="B16" s="1898"/>
      <c r="C16" s="1906" t="s">
        <v>327</v>
      </c>
      <c r="D16" s="608" t="s">
        <v>399</v>
      </c>
      <c r="E16" s="614" t="str">
        <f ca="1"/>
        <v>Hilly tempo hilly trail run: 25 minutes + WU/WD</v>
      </c>
      <c r="F16" s="614" t="str">
        <f ca="1"/>
        <v>Hilly tempo hilly trail run: 25 minutes + WU/WD</v>
      </c>
      <c r="G16" s="614" t="str">
        <f ca="1"/>
        <v>Hilly tempo hilly trail run: 25 minutes + WU/WD</v>
      </c>
      <c r="H16" s="614" t="str">
        <f ca="1"/>
        <v>Hilly tempo hilly trail run: 25 minutes + WU/WD</v>
      </c>
      <c r="I16" s="614" t="str">
        <f ca="1"/>
        <v>Hilly tempo hilly trail run: 25 minutes + WU/WD</v>
      </c>
      <c r="J16" s="614" t="str">
        <f ca="1"/>
        <v>Hilly tempo hilly trail run: 25 minutes + WU/WD</v>
      </c>
      <c r="K16" s="614" t="str">
        <f ca="1"/>
        <v>Hilly tempo hilly trail run: 25 minutes + WU/WD</v>
      </c>
      <c r="L16" s="614" t="str">
        <f ca="1"/>
        <v>Tempo road run: 25 minutes + WU/WD</v>
      </c>
      <c r="M16" s="614" t="str">
        <f ca="1"/>
        <v>Tempo road run: 25 minutes + WU/WD</v>
      </c>
      <c r="N16" s="614" t="str">
        <f ca="1"/>
        <v/>
      </c>
      <c r="O16" s="614" t="str">
        <f ca="1"/>
        <v>Long hilly trail run: 145 minutes</v>
      </c>
      <c r="P16" s="614" t="str">
        <f ca="1"/>
        <v>Hilly tempo hilly trail run: 25 minutes + WU/WD</v>
      </c>
      <c r="Q16" s="614" t="str">
        <f ca="1"/>
        <v>Hilly tempo hilly trail run: 25 minutes + WU/WD</v>
      </c>
      <c r="R16" s="614" t="str">
        <f ca="1"/>
        <v>Hilly tempo hilly trail run: 25 minutes + WU/WD</v>
      </c>
      <c r="S16" s="614" t="str">
        <f ca="1"/>
        <v>Hilly tempo hilly trail run: 25 minutes + WU/WD</v>
      </c>
      <c r="T16" s="614" t="str">
        <f ca="1"/>
        <v>Hilly tempo hilly trail run: 25 minutes + WU/WD</v>
      </c>
      <c r="U16" s="614" t="str">
        <f ca="1"/>
        <v>Easy run: 55 minutes</v>
      </c>
      <c r="V16" s="614" t="str">
        <f ca="1"/>
        <v>Hilly tempo hilly trail run: 25 minutes + WU/WD</v>
      </c>
      <c r="W16" s="614" t="str">
        <f ca="1"/>
        <v>Intervals: II + WU/WD</v>
      </c>
      <c r="X16" s="614" t="str">
        <f ca="1"/>
        <v/>
      </c>
      <c r="Y16" s="614" t="str">
        <f ca="1"/>
        <v/>
      </c>
      <c r="Z16" s="614" t="str">
        <f ca="1"/>
        <v/>
      </c>
      <c r="AA16" s="614" t="str">
        <f ca="1"/>
        <v/>
      </c>
      <c r="AB16" s="615" t="str">
        <f ca="1"/>
        <v/>
      </c>
    </row>
    <row r="17" spans="1:28" hidden="1" x14ac:dyDescent="0.45">
      <c r="A17" s="1894"/>
      <c r="B17" s="1898"/>
      <c r="C17" s="1906"/>
      <c r="D17" s="593" t="s">
        <v>401</v>
      </c>
      <c r="E17" s="616" t="str">
        <f ca="1"/>
        <v/>
      </c>
      <c r="F17" s="616" t="str">
        <f ca="1"/>
        <v/>
      </c>
      <c r="G17" s="616" t="str">
        <f ca="1"/>
        <v/>
      </c>
      <c r="H17" s="616" t="str">
        <f ca="1"/>
        <v/>
      </c>
      <c r="I17" s="616" t="str">
        <f ca="1"/>
        <v/>
      </c>
      <c r="J17" s="616" t="str">
        <f ca="1"/>
        <v/>
      </c>
      <c r="K17" s="616" t="str">
        <f ca="1"/>
        <v/>
      </c>
      <c r="L17" s="616" t="str">
        <f ca="1"/>
        <v/>
      </c>
      <c r="M17" s="616" t="str">
        <f ca="1"/>
        <v/>
      </c>
      <c r="N17" s="616" t="str">
        <f ca="1"/>
        <v/>
      </c>
      <c r="O17" s="616" t="str">
        <f ca="1"/>
        <v/>
      </c>
      <c r="P17" s="616" t="str">
        <f ca="1"/>
        <v/>
      </c>
      <c r="Q17" s="616" t="str">
        <f ca="1"/>
        <v/>
      </c>
      <c r="R17" s="616" t="str">
        <f ca="1"/>
        <v/>
      </c>
      <c r="S17" s="616" t="str">
        <f ca="1"/>
        <v/>
      </c>
      <c r="T17" s="616" t="str">
        <f ca="1"/>
        <v/>
      </c>
      <c r="U17" s="616" t="str">
        <f ca="1"/>
        <v/>
      </c>
      <c r="V17" s="616" t="str">
        <f ca="1"/>
        <v/>
      </c>
      <c r="W17" s="616" t="str">
        <f ca="1"/>
        <v/>
      </c>
      <c r="X17" s="616" t="str">
        <f ca="1"/>
        <v/>
      </c>
      <c r="Y17" s="616" t="str">
        <f ca="1"/>
        <v/>
      </c>
      <c r="Z17" s="616" t="str">
        <f ca="1"/>
        <v/>
      </c>
      <c r="AA17" s="616" t="str">
        <f ca="1"/>
        <v/>
      </c>
      <c r="AB17" s="617" t="str">
        <f ca="1"/>
        <v/>
      </c>
    </row>
    <row r="18" spans="1:28" ht="14.65" hidden="1" thickBot="1" x14ac:dyDescent="0.5">
      <c r="A18" s="1894"/>
      <c r="B18" s="1899"/>
      <c r="C18" s="1907"/>
      <c r="D18" s="624" t="s">
        <v>400</v>
      </c>
      <c r="E18" s="612" t="str">
        <f ca="1"/>
        <v/>
      </c>
      <c r="F18" s="612" t="str">
        <f ca="1"/>
        <v/>
      </c>
      <c r="G18" s="612" t="str">
        <f ca="1"/>
        <v/>
      </c>
      <c r="H18" s="612" t="str">
        <f ca="1"/>
        <v/>
      </c>
      <c r="I18" s="612" t="str">
        <f ca="1"/>
        <v/>
      </c>
      <c r="J18" s="612" t="str">
        <f ca="1"/>
        <v/>
      </c>
      <c r="K18" s="612" t="str">
        <f ca="1"/>
        <v/>
      </c>
      <c r="L18" s="612" t="str">
        <f ca="1"/>
        <v/>
      </c>
      <c r="M18" s="612" t="str">
        <f ca="1"/>
        <v/>
      </c>
      <c r="N18" s="612" t="str">
        <f ca="1"/>
        <v/>
      </c>
      <c r="O18" s="612" t="str">
        <f ca="1"/>
        <v/>
      </c>
      <c r="P18" s="612" t="str">
        <f ca="1"/>
        <v/>
      </c>
      <c r="Q18" s="612" t="str">
        <f ca="1"/>
        <v/>
      </c>
      <c r="R18" s="612" t="str">
        <f ca="1"/>
        <v/>
      </c>
      <c r="S18" s="612" t="str">
        <f ca="1"/>
        <v/>
      </c>
      <c r="T18" s="612" t="str">
        <f ca="1"/>
        <v/>
      </c>
      <c r="U18" s="612" t="str">
        <f ca="1"/>
        <v/>
      </c>
      <c r="V18" s="612" t="str">
        <f ca="1"/>
        <v/>
      </c>
      <c r="W18" s="612" t="str">
        <f ca="1"/>
        <v/>
      </c>
      <c r="X18" s="612" t="str">
        <f ca="1"/>
        <v/>
      </c>
      <c r="Y18" s="612" t="str">
        <f ca="1"/>
        <v/>
      </c>
      <c r="Z18" s="612" t="str">
        <f ca="1"/>
        <v/>
      </c>
      <c r="AA18" s="612" t="str">
        <f ca="1"/>
        <v/>
      </c>
      <c r="AB18" s="613" t="str">
        <f ca="1"/>
        <v/>
      </c>
    </row>
    <row r="19" spans="1:28" hidden="1" x14ac:dyDescent="0.45">
      <c r="A19" s="1894"/>
      <c r="B19" s="1900" t="s">
        <v>329</v>
      </c>
      <c r="C19" s="1905" t="s">
        <v>326</v>
      </c>
      <c r="D19" s="627" t="s">
        <v>399</v>
      </c>
      <c r="E19" s="618" t="str">
        <f ca="1"/>
        <v/>
      </c>
      <c r="F19" s="618" t="str">
        <f ca="1"/>
        <v/>
      </c>
      <c r="G19" s="618" t="str">
        <f ca="1"/>
        <v/>
      </c>
      <c r="H19" s="618" t="str">
        <f ca="1"/>
        <v/>
      </c>
      <c r="I19" s="618" t="str">
        <f ca="1"/>
        <v/>
      </c>
      <c r="J19" s="618" t="str">
        <f ca="1"/>
        <v/>
      </c>
      <c r="K19" s="618" t="str">
        <f ca="1"/>
        <v/>
      </c>
      <c r="L19" s="618" t="str">
        <f ca="1"/>
        <v/>
      </c>
      <c r="M19" s="618" t="str">
        <f ca="1"/>
        <v/>
      </c>
      <c r="N19" s="618" t="str">
        <f ca="1"/>
        <v/>
      </c>
      <c r="O19" s="618" t="str">
        <f ca="1"/>
        <v/>
      </c>
      <c r="P19" s="618" t="str">
        <f ca="1"/>
        <v/>
      </c>
      <c r="Q19" s="618" t="str">
        <f ca="1"/>
        <v/>
      </c>
      <c r="R19" s="618" t="str">
        <f ca="1"/>
        <v/>
      </c>
      <c r="S19" s="618" t="str">
        <f ca="1"/>
        <v/>
      </c>
      <c r="T19" s="618" t="str">
        <f ca="1"/>
        <v/>
      </c>
      <c r="U19" s="618" t="str">
        <f ca="1"/>
        <v/>
      </c>
      <c r="V19" s="618" t="str">
        <f ca="1"/>
        <v/>
      </c>
      <c r="W19" s="618" t="str">
        <f ca="1"/>
        <v/>
      </c>
      <c r="X19" s="618" t="str">
        <f ca="1"/>
        <v/>
      </c>
      <c r="Y19" s="618" t="str">
        <f ca="1"/>
        <v/>
      </c>
      <c r="Z19" s="618" t="str">
        <f ca="1"/>
        <v/>
      </c>
      <c r="AA19" s="618" t="str">
        <f ca="1"/>
        <v/>
      </c>
      <c r="AB19" s="619" t="str">
        <f ca="1"/>
        <v/>
      </c>
    </row>
    <row r="20" spans="1:28" hidden="1" x14ac:dyDescent="0.45">
      <c r="A20" s="1894"/>
      <c r="B20" s="1896"/>
      <c r="C20" s="1798"/>
      <c r="D20" s="592" t="s">
        <v>401</v>
      </c>
      <c r="E20" s="589" t="str">
        <f ca="1"/>
        <v/>
      </c>
      <c r="F20" s="589" t="str">
        <f ca="1"/>
        <v/>
      </c>
      <c r="G20" s="589" t="str">
        <f ca="1"/>
        <v/>
      </c>
      <c r="H20" s="589" t="str">
        <f ca="1"/>
        <v/>
      </c>
      <c r="I20" s="589" t="str">
        <f ca="1"/>
        <v/>
      </c>
      <c r="J20" s="589" t="str">
        <f ca="1"/>
        <v/>
      </c>
      <c r="K20" s="589" t="str">
        <f ca="1"/>
        <v/>
      </c>
      <c r="L20" s="589" t="str">
        <f ca="1"/>
        <v/>
      </c>
      <c r="M20" s="589" t="str">
        <f ca="1"/>
        <v/>
      </c>
      <c r="N20" s="589" t="str">
        <f ca="1"/>
        <v/>
      </c>
      <c r="O20" s="589" t="str">
        <f ca="1"/>
        <v/>
      </c>
      <c r="P20" s="589" t="str">
        <f ca="1"/>
        <v/>
      </c>
      <c r="Q20" s="589" t="str">
        <f ca="1"/>
        <v/>
      </c>
      <c r="R20" s="589" t="str">
        <f ca="1"/>
        <v/>
      </c>
      <c r="S20" s="589" t="str">
        <f ca="1"/>
        <v/>
      </c>
      <c r="T20" s="589" t="str">
        <f ca="1"/>
        <v/>
      </c>
      <c r="U20" s="589" t="str">
        <f ca="1"/>
        <v/>
      </c>
      <c r="V20" s="589" t="str">
        <f ca="1"/>
        <v/>
      </c>
      <c r="W20" s="589" t="str">
        <f ca="1"/>
        <v/>
      </c>
      <c r="X20" s="589" t="str">
        <f ca="1"/>
        <v/>
      </c>
      <c r="Y20" s="589" t="str">
        <f ca="1"/>
        <v/>
      </c>
      <c r="Z20" s="589" t="str">
        <f ca="1"/>
        <v/>
      </c>
      <c r="AA20" s="589" t="str">
        <f ca="1"/>
        <v/>
      </c>
      <c r="AB20" s="590" t="str">
        <f ca="1"/>
        <v/>
      </c>
    </row>
    <row r="21" spans="1:28" ht="14.65" hidden="1" thickBot="1" x14ac:dyDescent="0.5">
      <c r="A21" s="1894"/>
      <c r="B21" s="1896"/>
      <c r="C21" s="1904"/>
      <c r="D21" s="605" t="s">
        <v>400</v>
      </c>
      <c r="E21" s="606" t="str">
        <f ca="1"/>
        <v/>
      </c>
      <c r="F21" s="606" t="str">
        <f ca="1"/>
        <v/>
      </c>
      <c r="G21" s="606" t="str">
        <f ca="1"/>
        <v/>
      </c>
      <c r="H21" s="606" t="str">
        <f ca="1"/>
        <v/>
      </c>
      <c r="I21" s="606" t="str">
        <f ca="1"/>
        <v/>
      </c>
      <c r="J21" s="606" t="str">
        <f ca="1"/>
        <v/>
      </c>
      <c r="K21" s="606" t="str">
        <f ca="1"/>
        <v/>
      </c>
      <c r="L21" s="606" t="str">
        <f ca="1"/>
        <v/>
      </c>
      <c r="M21" s="606" t="str">
        <f ca="1"/>
        <v/>
      </c>
      <c r="N21" s="606" t="str">
        <f ca="1"/>
        <v/>
      </c>
      <c r="O21" s="606" t="str">
        <f ca="1"/>
        <v/>
      </c>
      <c r="P21" s="606" t="str">
        <f ca="1"/>
        <v/>
      </c>
      <c r="Q21" s="606" t="str">
        <f ca="1"/>
        <v/>
      </c>
      <c r="R21" s="606" t="str">
        <f ca="1"/>
        <v/>
      </c>
      <c r="S21" s="606" t="str">
        <f ca="1"/>
        <v/>
      </c>
      <c r="T21" s="606" t="str">
        <f ca="1"/>
        <v/>
      </c>
      <c r="U21" s="606" t="str">
        <f ca="1"/>
        <v/>
      </c>
      <c r="V21" s="606" t="str">
        <f ca="1"/>
        <v/>
      </c>
      <c r="W21" s="606" t="str">
        <f ca="1"/>
        <v/>
      </c>
      <c r="X21" s="606" t="str">
        <f ca="1"/>
        <v/>
      </c>
      <c r="Y21" s="606" t="str">
        <f ca="1"/>
        <v/>
      </c>
      <c r="Z21" s="606" t="str">
        <f ca="1"/>
        <v/>
      </c>
      <c r="AA21" s="606" t="str">
        <f ca="1"/>
        <v/>
      </c>
      <c r="AB21" s="607" t="str">
        <f ca="1"/>
        <v/>
      </c>
    </row>
    <row r="22" spans="1:28" ht="28.5" hidden="1" x14ac:dyDescent="0.45">
      <c r="A22" s="1894"/>
      <c r="B22" s="1896"/>
      <c r="C22" s="1798" t="s">
        <v>327</v>
      </c>
      <c r="D22" s="604" t="s">
        <v>399</v>
      </c>
      <c r="E22" s="614" t="str">
        <f ca="1"/>
        <v>Easy road ride: 50 minutes</v>
      </c>
      <c r="F22" s="614" t="str">
        <f ca="1"/>
        <v>Easy road ride: 70 minutes</v>
      </c>
      <c r="G22" s="614" t="str">
        <f ca="1"/>
        <v>Easy road ride: 85 minutes</v>
      </c>
      <c r="H22" s="614" t="str">
        <f ca="1"/>
        <v>Easy road ride: 75 minutes</v>
      </c>
      <c r="I22" s="614" t="str">
        <f ca="1"/>
        <v>Easy road ride: 80 minutes</v>
      </c>
      <c r="J22" s="614" t="str">
        <f ca="1"/>
        <v>Easy road ride: 95 minutes</v>
      </c>
      <c r="K22" s="614" t="str">
        <f ca="1"/>
        <v>Easy road ride: 60 minutes</v>
      </c>
      <c r="L22" s="614" t="str">
        <f ca="1"/>
        <v>Easy road ride: 55 minutes</v>
      </c>
      <c r="M22" s="614" t="str">
        <f ca="1"/>
        <v>Easy road ride: 45 minutes</v>
      </c>
      <c r="N22" s="614" t="str">
        <f ca="1"/>
        <v/>
      </c>
      <c r="O22" s="614" t="str">
        <f ca="1"/>
        <v>Long hilly trail run: 145 minutes</v>
      </c>
      <c r="P22" s="614" t="str">
        <f ca="1"/>
        <v>Easy road ride: 30 minutes</v>
      </c>
      <c r="Q22" s="614" t="str">
        <f ca="1"/>
        <v>Easy road ride: 30 minutes</v>
      </c>
      <c r="R22" s="614" t="str">
        <f ca="1"/>
        <v>Easy road ride: 80 minutes</v>
      </c>
      <c r="S22" s="614" t="str">
        <f ca="1"/>
        <v>Easy road ride: 30 minutes</v>
      </c>
      <c r="T22" s="614" t="str">
        <f ca="1"/>
        <v>Easy road ride: 30 minutes</v>
      </c>
      <c r="U22" s="614" t="str">
        <f ca="1"/>
        <v>Easy run: 55 minutes</v>
      </c>
      <c r="V22" s="614" t="str">
        <f ca="1"/>
        <v>Easy road ride: 105 minutes</v>
      </c>
      <c r="W22" s="614" t="str">
        <f ca="1"/>
        <v>Easy road run: 40 minutes</v>
      </c>
      <c r="X22" s="614" t="str">
        <f ca="1"/>
        <v/>
      </c>
      <c r="Y22" s="614" t="str">
        <f ca="1"/>
        <v/>
      </c>
      <c r="Z22" s="614" t="str">
        <f ca="1"/>
        <v/>
      </c>
      <c r="AA22" s="614" t="str">
        <f ca="1"/>
        <v/>
      </c>
      <c r="AB22" s="615" t="str">
        <f ca="1"/>
        <v/>
      </c>
    </row>
    <row r="23" spans="1:28" hidden="1" x14ac:dyDescent="0.45">
      <c r="A23" s="1894"/>
      <c r="B23" s="1896"/>
      <c r="C23" s="1798"/>
      <c r="D23" s="579" t="s">
        <v>401</v>
      </c>
      <c r="E23" s="616" t="str">
        <f ca="1"/>
        <v/>
      </c>
      <c r="F23" s="616" t="str">
        <f ca="1"/>
        <v/>
      </c>
      <c r="G23" s="616" t="str">
        <f ca="1"/>
        <v/>
      </c>
      <c r="H23" s="616" t="str">
        <f ca="1"/>
        <v/>
      </c>
      <c r="I23" s="616" t="str">
        <f ca="1"/>
        <v/>
      </c>
      <c r="J23" s="616" t="str">
        <f ca="1"/>
        <v/>
      </c>
      <c r="K23" s="616" t="str">
        <f ca="1"/>
        <v/>
      </c>
      <c r="L23" s="616" t="str">
        <f ca="1"/>
        <v/>
      </c>
      <c r="M23" s="616" t="str">
        <f ca="1"/>
        <v/>
      </c>
      <c r="N23" s="616" t="str">
        <f ca="1"/>
        <v/>
      </c>
      <c r="O23" s="616" t="str">
        <f ca="1"/>
        <v/>
      </c>
      <c r="P23" s="616" t="str">
        <f ca="1"/>
        <v/>
      </c>
      <c r="Q23" s="616" t="str">
        <f ca="1"/>
        <v/>
      </c>
      <c r="R23" s="616" t="str">
        <f ca="1"/>
        <v/>
      </c>
      <c r="S23" s="616" t="str">
        <f ca="1"/>
        <v/>
      </c>
      <c r="T23" s="616" t="str">
        <f ca="1"/>
        <v/>
      </c>
      <c r="U23" s="616" t="str">
        <f ca="1"/>
        <v/>
      </c>
      <c r="V23" s="616" t="str">
        <f ca="1"/>
        <v/>
      </c>
      <c r="W23" s="616" t="str">
        <f ca="1"/>
        <v>45 stride outs</v>
      </c>
      <c r="X23" s="616" t="str">
        <f ca="1"/>
        <v/>
      </c>
      <c r="Y23" s="616" t="str">
        <f ca="1"/>
        <v/>
      </c>
      <c r="Z23" s="616" t="str">
        <f ca="1"/>
        <v/>
      </c>
      <c r="AA23" s="616" t="str">
        <f ca="1"/>
        <v/>
      </c>
      <c r="AB23" s="617" t="str">
        <f ca="1"/>
        <v/>
      </c>
    </row>
    <row r="24" spans="1:28" ht="14.65" hidden="1" thickBot="1" x14ac:dyDescent="0.5">
      <c r="A24" s="1894"/>
      <c r="B24" s="1897"/>
      <c r="C24" s="1904"/>
      <c r="D24" s="625" t="s">
        <v>400</v>
      </c>
      <c r="E24" s="612" t="str">
        <f ca="1"/>
        <v/>
      </c>
      <c r="F24" s="612" t="str">
        <f ca="1"/>
        <v/>
      </c>
      <c r="G24" s="612" t="str">
        <f ca="1"/>
        <v/>
      </c>
      <c r="H24" s="612" t="str">
        <f ca="1"/>
        <v/>
      </c>
      <c r="I24" s="612" t="str">
        <f ca="1"/>
        <v/>
      </c>
      <c r="J24" s="612" t="str">
        <f ca="1"/>
        <v/>
      </c>
      <c r="K24" s="612" t="str">
        <f ca="1"/>
        <v/>
      </c>
      <c r="L24" s="612" t="str">
        <f ca="1"/>
        <v/>
      </c>
      <c r="M24" s="612" t="str">
        <f ca="1"/>
        <v/>
      </c>
      <c r="N24" s="612" t="str">
        <f ca="1"/>
        <v/>
      </c>
      <c r="O24" s="612" t="str">
        <f ca="1"/>
        <v/>
      </c>
      <c r="P24" s="612" t="str">
        <f ca="1"/>
        <v/>
      </c>
      <c r="Q24" s="612" t="str">
        <f ca="1"/>
        <v/>
      </c>
      <c r="R24" s="612" t="str">
        <f ca="1"/>
        <v/>
      </c>
      <c r="S24" s="612" t="str">
        <f ca="1"/>
        <v/>
      </c>
      <c r="T24" s="612" t="str">
        <f ca="1"/>
        <v/>
      </c>
      <c r="U24" s="612" t="str">
        <f ca="1"/>
        <v/>
      </c>
      <c r="V24" s="612" t="str">
        <f ca="1"/>
        <v/>
      </c>
      <c r="W24" s="612" t="str">
        <f ca="1"/>
        <v/>
      </c>
      <c r="X24" s="612" t="str">
        <f ca="1"/>
        <v/>
      </c>
      <c r="Y24" s="612" t="str">
        <f ca="1"/>
        <v/>
      </c>
      <c r="Z24" s="612" t="str">
        <f ca="1"/>
        <v/>
      </c>
      <c r="AA24" s="612" t="str">
        <f ca="1"/>
        <v/>
      </c>
      <c r="AB24" s="613" t="str">
        <f ca="1"/>
        <v/>
      </c>
    </row>
    <row r="25" spans="1:28" ht="28.5" hidden="1" x14ac:dyDescent="0.45">
      <c r="A25" s="1894"/>
      <c r="B25" s="1901" t="s">
        <v>330</v>
      </c>
      <c r="C25" s="1908" t="s">
        <v>326</v>
      </c>
      <c r="D25" s="626" t="s">
        <v>399</v>
      </c>
      <c r="E25" s="618" t="str">
        <f ca="1"/>
        <v>Easy ride: 40 minutes</v>
      </c>
      <c r="F25" s="618" t="str">
        <f ca="1"/>
        <v>Easy ride: 40 minutes</v>
      </c>
      <c r="G25" s="618" t="str">
        <f ca="1"/>
        <v>Easy ride: 40 minutes</v>
      </c>
      <c r="H25" s="618" t="str">
        <f ca="1"/>
        <v>Easy ride: 40 minutes</v>
      </c>
      <c r="I25" s="618" t="str">
        <f ca="1"/>
        <v>Easy ride: 40 minutes</v>
      </c>
      <c r="J25" s="618" t="str">
        <f ca="1"/>
        <v>Easy ride: 40 minutes</v>
      </c>
      <c r="K25" s="618" t="str">
        <f ca="1"/>
        <v/>
      </c>
      <c r="L25" s="618" t="str">
        <f ca="1"/>
        <v/>
      </c>
      <c r="M25" s="618" t="str">
        <f ca="1"/>
        <v/>
      </c>
      <c r="N25" s="618" t="str">
        <f ca="1"/>
        <v/>
      </c>
      <c r="O25" s="618" t="str">
        <f ca="1"/>
        <v/>
      </c>
      <c r="P25" s="618" t="str">
        <f ca="1"/>
        <v>Easy ride: 40 minutes</v>
      </c>
      <c r="Q25" s="618" t="str">
        <f ca="1"/>
        <v>Easy ride: 40 minutes</v>
      </c>
      <c r="R25" s="618" t="str">
        <f ca="1"/>
        <v>Easy ride: 40 minutes</v>
      </c>
      <c r="S25" s="618" t="str">
        <f ca="1"/>
        <v/>
      </c>
      <c r="T25" s="618" t="str">
        <f ca="1"/>
        <v/>
      </c>
      <c r="U25" s="618" t="str">
        <f ca="1"/>
        <v/>
      </c>
      <c r="V25" s="618" t="str">
        <f ca="1"/>
        <v/>
      </c>
      <c r="W25" s="618" t="str">
        <f ca="1"/>
        <v>Easy road run: 20 minutes</v>
      </c>
      <c r="X25" s="618" t="str">
        <f ca="1"/>
        <v/>
      </c>
      <c r="Y25" s="618" t="str">
        <f ca="1"/>
        <v/>
      </c>
      <c r="Z25" s="618" t="str">
        <f ca="1"/>
        <v/>
      </c>
      <c r="AA25" s="618" t="str">
        <f ca="1"/>
        <v/>
      </c>
      <c r="AB25" s="619" t="str">
        <f ca="1"/>
        <v/>
      </c>
    </row>
    <row r="26" spans="1:28" hidden="1" x14ac:dyDescent="0.45">
      <c r="A26" s="1894"/>
      <c r="B26" s="1898"/>
      <c r="C26" s="1906"/>
      <c r="D26" s="593" t="s">
        <v>401</v>
      </c>
      <c r="E26" s="589" t="str">
        <f ca="1"/>
        <v/>
      </c>
      <c r="F26" s="589" t="str">
        <f ca="1"/>
        <v/>
      </c>
      <c r="G26" s="589" t="str">
        <f ca="1"/>
        <v/>
      </c>
      <c r="H26" s="589" t="str">
        <f ca="1"/>
        <v/>
      </c>
      <c r="I26" s="589" t="str">
        <f ca="1"/>
        <v/>
      </c>
      <c r="J26" s="589" t="str">
        <f ca="1"/>
        <v/>
      </c>
      <c r="K26" s="589" t="str">
        <f ca="1"/>
        <v/>
      </c>
      <c r="L26" s="589" t="str">
        <f ca="1"/>
        <v/>
      </c>
      <c r="M26" s="589" t="str">
        <f ca="1"/>
        <v/>
      </c>
      <c r="N26" s="589" t="str">
        <f ca="1"/>
        <v/>
      </c>
      <c r="O26" s="589" t="str">
        <f ca="1"/>
        <v/>
      </c>
      <c r="P26" s="589" t="str">
        <f ca="1"/>
        <v/>
      </c>
      <c r="Q26" s="589" t="str">
        <f ca="1"/>
        <v/>
      </c>
      <c r="R26" s="589" t="str">
        <f ca="1"/>
        <v/>
      </c>
      <c r="S26" s="589" t="str">
        <f ca="1"/>
        <v/>
      </c>
      <c r="T26" s="589" t="str">
        <f ca="1"/>
        <v/>
      </c>
      <c r="U26" s="589" t="str">
        <f ca="1"/>
        <v/>
      </c>
      <c r="V26" s="589" t="str">
        <f ca="1"/>
        <v/>
      </c>
      <c r="W26" s="589" t="str">
        <f ca="1"/>
        <v/>
      </c>
      <c r="X26" s="589" t="str">
        <f ca="1"/>
        <v/>
      </c>
      <c r="Y26" s="589" t="str">
        <f ca="1"/>
        <v/>
      </c>
      <c r="Z26" s="589" t="str">
        <f ca="1"/>
        <v/>
      </c>
      <c r="AA26" s="589" t="str">
        <f ca="1"/>
        <v/>
      </c>
      <c r="AB26" s="590" t="str">
        <f ca="1"/>
        <v/>
      </c>
    </row>
    <row r="27" spans="1:28" ht="14.65" hidden="1" thickBot="1" x14ac:dyDescent="0.5">
      <c r="A27" s="1894"/>
      <c r="B27" s="1898"/>
      <c r="C27" s="1907"/>
      <c r="D27" s="609" t="s">
        <v>400</v>
      </c>
      <c r="E27" s="606" t="str">
        <f ca="1"/>
        <v/>
      </c>
      <c r="F27" s="606" t="str">
        <f ca="1"/>
        <v/>
      </c>
      <c r="G27" s="606" t="str">
        <f ca="1"/>
        <v/>
      </c>
      <c r="H27" s="606" t="str">
        <f ca="1"/>
        <v/>
      </c>
      <c r="I27" s="606" t="str">
        <f ca="1"/>
        <v/>
      </c>
      <c r="J27" s="606" t="str">
        <f ca="1"/>
        <v/>
      </c>
      <c r="K27" s="606" t="str">
        <f ca="1"/>
        <v/>
      </c>
      <c r="L27" s="606" t="str">
        <f ca="1"/>
        <v/>
      </c>
      <c r="M27" s="606" t="str">
        <f ca="1"/>
        <v/>
      </c>
      <c r="N27" s="606" t="str">
        <f ca="1"/>
        <v/>
      </c>
      <c r="O27" s="606" t="str">
        <f ca="1"/>
        <v/>
      </c>
      <c r="P27" s="606" t="str">
        <f ca="1"/>
        <v/>
      </c>
      <c r="Q27" s="606" t="str">
        <f ca="1"/>
        <v/>
      </c>
      <c r="R27" s="606" t="str">
        <f ca="1"/>
        <v/>
      </c>
      <c r="S27" s="606" t="str">
        <f ca="1"/>
        <v/>
      </c>
      <c r="T27" s="606" t="str">
        <f ca="1"/>
        <v/>
      </c>
      <c r="U27" s="606" t="str">
        <f ca="1"/>
        <v/>
      </c>
      <c r="V27" s="606" t="str">
        <f ca="1"/>
        <v/>
      </c>
      <c r="W27" s="606" t="str">
        <f ca="1"/>
        <v/>
      </c>
      <c r="X27" s="606" t="str">
        <f ca="1"/>
        <v/>
      </c>
      <c r="Y27" s="606" t="str">
        <f ca="1"/>
        <v/>
      </c>
      <c r="Z27" s="606" t="str">
        <f ca="1"/>
        <v/>
      </c>
      <c r="AA27" s="606" t="str">
        <f ca="1"/>
        <v/>
      </c>
      <c r="AB27" s="607" t="str">
        <f ca="1"/>
        <v/>
      </c>
    </row>
    <row r="28" spans="1:28" ht="28.5" hidden="1" x14ac:dyDescent="0.45">
      <c r="A28" s="1894"/>
      <c r="B28" s="1898"/>
      <c r="C28" s="1906" t="s">
        <v>327</v>
      </c>
      <c r="D28" s="608" t="s">
        <v>399</v>
      </c>
      <c r="E28" s="614" t="str">
        <f ca="1"/>
        <v>Steady hilly trail run: 80 minutes</v>
      </c>
      <c r="F28" s="614" t="str">
        <f ca="1"/>
        <v>Steady hilly trail run: 85 minutes</v>
      </c>
      <c r="G28" s="614" t="str">
        <f ca="1"/>
        <v>Steady hilly trail run: 90 minutes</v>
      </c>
      <c r="H28" s="614" t="str">
        <f ca="1"/>
        <v>Steady hilly trail run: 90 minutes</v>
      </c>
      <c r="I28" s="614" t="str">
        <f ca="1"/>
        <v>Steady hilly trail run: 95 minutes</v>
      </c>
      <c r="J28" s="614" t="str">
        <f ca="1"/>
        <v>Steady hilly trail run: 100 minutes</v>
      </c>
      <c r="K28" s="614" t="str">
        <f ca="1"/>
        <v>Steady hilly trail run: 80 minutes</v>
      </c>
      <c r="L28" s="614" t="str">
        <f ca="1"/>
        <v>Steady hilly trail run: 65 minutes</v>
      </c>
      <c r="M28" s="614" t="str">
        <f ca="1"/>
        <v/>
      </c>
      <c r="N28" s="614" t="str">
        <f ca="1"/>
        <v/>
      </c>
      <c r="O28" s="614" t="str">
        <f ca="1"/>
        <v>Steady hilly trail run: 85 minutes</v>
      </c>
      <c r="P28" s="614" t="str">
        <f ca="1"/>
        <v>Intervals: II + WU/WD</v>
      </c>
      <c r="Q28" s="614" t="str">
        <f ca="1"/>
        <v>Intervals: II + WU/WD</v>
      </c>
      <c r="R28" s="614" t="str">
        <f ca="1"/>
        <v>Intervals: II + WU/WD</v>
      </c>
      <c r="S28" s="614" t="str">
        <f ca="1"/>
        <v>Intervals: II + WU/WD</v>
      </c>
      <c r="T28" s="614" t="str">
        <f ca="1"/>
        <v>Intervals: II + WU/WD</v>
      </c>
      <c r="U28" s="614" t="str">
        <f ca="1"/>
        <v/>
      </c>
      <c r="V28" s="614" t="str">
        <f ca="1"/>
        <v>Intervals: II + WU/WD</v>
      </c>
      <c r="W28" s="614" t="str">
        <f ca="1"/>
        <v/>
      </c>
      <c r="X28" s="614" t="str">
        <f ca="1"/>
        <v/>
      </c>
      <c r="Y28" s="614" t="str">
        <f ca="1"/>
        <v/>
      </c>
      <c r="Z28" s="614" t="str">
        <f ca="1"/>
        <v/>
      </c>
      <c r="AA28" s="614" t="str">
        <f ca="1"/>
        <v/>
      </c>
      <c r="AB28" s="615" t="str">
        <f ca="1"/>
        <v/>
      </c>
    </row>
    <row r="29" spans="1:28" hidden="1" x14ac:dyDescent="0.45">
      <c r="A29" s="1894"/>
      <c r="B29" s="1898"/>
      <c r="C29" s="1906"/>
      <c r="D29" s="593" t="s">
        <v>401</v>
      </c>
      <c r="E29" s="610" t="str">
        <f ca="1"/>
        <v/>
      </c>
      <c r="F29" s="610" t="str">
        <f ca="1"/>
        <v/>
      </c>
      <c r="G29" s="610" t="str">
        <f ca="1"/>
        <v/>
      </c>
      <c r="H29" s="610" t="str">
        <f ca="1"/>
        <v/>
      </c>
      <c r="I29" s="610" t="str">
        <f ca="1"/>
        <v/>
      </c>
      <c r="J29" s="610" t="str">
        <f ca="1"/>
        <v/>
      </c>
      <c r="K29" s="610" t="str">
        <f ca="1"/>
        <v/>
      </c>
      <c r="L29" s="610" t="str">
        <f ca="1"/>
        <v/>
      </c>
      <c r="M29" s="610" t="str">
        <f ca="1"/>
        <v/>
      </c>
      <c r="N29" s="610" t="str">
        <f ca="1"/>
        <v/>
      </c>
      <c r="O29" s="610" t="str">
        <f ca="1"/>
        <v/>
      </c>
      <c r="P29" s="610" t="str">
        <f ca="1"/>
        <v/>
      </c>
      <c r="Q29" s="610" t="str">
        <f ca="1"/>
        <v/>
      </c>
      <c r="R29" s="610" t="str">
        <f ca="1"/>
        <v/>
      </c>
      <c r="S29" s="610" t="str">
        <f ca="1"/>
        <v/>
      </c>
      <c r="T29" s="610" t="str">
        <f ca="1"/>
        <v/>
      </c>
      <c r="U29" s="610" t="str">
        <f ca="1"/>
        <v/>
      </c>
      <c r="V29" s="610" t="str">
        <f ca="1"/>
        <v/>
      </c>
      <c r="W29" s="610" t="str">
        <f ca="1"/>
        <v/>
      </c>
      <c r="X29" s="610" t="str">
        <f ca="1"/>
        <v/>
      </c>
      <c r="Y29" s="610" t="str">
        <f ca="1"/>
        <v/>
      </c>
      <c r="Z29" s="610" t="str">
        <f ca="1"/>
        <v/>
      </c>
      <c r="AA29" s="610" t="str">
        <f ca="1"/>
        <v/>
      </c>
      <c r="AB29" s="611" t="str">
        <f ca="1"/>
        <v/>
      </c>
    </row>
    <row r="30" spans="1:28" ht="14.65" hidden="1" thickBot="1" x14ac:dyDescent="0.5">
      <c r="A30" s="1894"/>
      <c r="B30" s="1899"/>
      <c r="C30" s="1907"/>
      <c r="D30" s="624" t="s">
        <v>400</v>
      </c>
      <c r="E30" s="612" t="str">
        <f ca="1"/>
        <v/>
      </c>
      <c r="F30" s="612" t="str">
        <f ca="1"/>
        <v/>
      </c>
      <c r="G30" s="612" t="str">
        <f ca="1"/>
        <v/>
      </c>
      <c r="H30" s="612" t="str">
        <f ca="1"/>
        <v/>
      </c>
      <c r="I30" s="612" t="str">
        <f ca="1"/>
        <v/>
      </c>
      <c r="J30" s="612" t="str">
        <f ca="1"/>
        <v/>
      </c>
      <c r="K30" s="612" t="str">
        <f ca="1"/>
        <v/>
      </c>
      <c r="L30" s="612" t="str">
        <f ca="1"/>
        <v/>
      </c>
      <c r="M30" s="612" t="str">
        <f ca="1"/>
        <v/>
      </c>
      <c r="N30" s="612" t="str">
        <f ca="1"/>
        <v/>
      </c>
      <c r="O30" s="612" t="str">
        <f ca="1"/>
        <v/>
      </c>
      <c r="P30" s="612" t="str">
        <f ca="1"/>
        <v/>
      </c>
      <c r="Q30" s="612" t="str">
        <f ca="1"/>
        <v/>
      </c>
      <c r="R30" s="612" t="str">
        <f ca="1"/>
        <v/>
      </c>
      <c r="S30" s="612" t="str">
        <f ca="1"/>
        <v/>
      </c>
      <c r="T30" s="612" t="str">
        <f ca="1"/>
        <v/>
      </c>
      <c r="U30" s="612" t="str">
        <f ca="1"/>
        <v/>
      </c>
      <c r="V30" s="612" t="str">
        <f ca="1"/>
        <v/>
      </c>
      <c r="W30" s="612" t="str">
        <f ca="1"/>
        <v/>
      </c>
      <c r="X30" s="612" t="str">
        <f ca="1"/>
        <v/>
      </c>
      <c r="Y30" s="612" t="str">
        <f ca="1"/>
        <v/>
      </c>
      <c r="Z30" s="612" t="str">
        <f ca="1"/>
        <v/>
      </c>
      <c r="AA30" s="612" t="str">
        <f ca="1"/>
        <v/>
      </c>
      <c r="AB30" s="613" t="str">
        <f ca="1"/>
        <v/>
      </c>
    </row>
    <row r="31" spans="1:28" ht="28.5" hidden="1" x14ac:dyDescent="0.45">
      <c r="A31" s="1894"/>
      <c r="B31" s="1900" t="s">
        <v>331</v>
      </c>
      <c r="C31" s="1905" t="s">
        <v>326</v>
      </c>
      <c r="D31" s="627" t="s">
        <v>399</v>
      </c>
      <c r="E31" s="618" t="str">
        <f ca="1"/>
        <v>Easy ride: 40 minutes</v>
      </c>
      <c r="F31" s="618" t="str">
        <f ca="1"/>
        <v>Easy ride: 40 minutes</v>
      </c>
      <c r="G31" s="618" t="str">
        <f ca="1"/>
        <v>Easy ride: 40 minutes</v>
      </c>
      <c r="H31" s="618" t="str">
        <f ca="1"/>
        <v>Easy ride: 40 minutes</v>
      </c>
      <c r="I31" s="618" t="str">
        <f ca="1"/>
        <v>Easy ride: 40 minutes</v>
      </c>
      <c r="J31" s="618" t="str">
        <f ca="1"/>
        <v>Easy ride: 40 minutes</v>
      </c>
      <c r="K31" s="618" t="str">
        <f ca="1"/>
        <v>Easy ride: 40 minutes</v>
      </c>
      <c r="L31" s="618" t="str">
        <f ca="1"/>
        <v>Easy ride: 40 minutes</v>
      </c>
      <c r="M31" s="618" t="str">
        <f ca="1"/>
        <v>Easy road run: 20 minutes</v>
      </c>
      <c r="N31" s="618" t="str">
        <f ca="1"/>
        <v/>
      </c>
      <c r="O31" s="618" t="str">
        <f ca="1"/>
        <v/>
      </c>
      <c r="P31" s="618" t="str">
        <f ca="1"/>
        <v>Easy ride: 40 minutes</v>
      </c>
      <c r="Q31" s="618" t="str">
        <f ca="1"/>
        <v>Easy ride: 40 minutes</v>
      </c>
      <c r="R31" s="618" t="str">
        <f ca="1"/>
        <v>Easy ride: 40 minutes</v>
      </c>
      <c r="S31" s="618" t="str">
        <f ca="1"/>
        <v>Easy ride: 30 minutes</v>
      </c>
      <c r="T31" s="618" t="str">
        <f ca="1"/>
        <v>Easy ride: 30 minutes</v>
      </c>
      <c r="U31" s="618" t="str">
        <f ca="1"/>
        <v/>
      </c>
      <c r="V31" s="618" t="str">
        <f ca="1"/>
        <v>Easy ride: 30 minutes</v>
      </c>
      <c r="W31" s="618" t="str">
        <f ca="1"/>
        <v>Easy road run: 30 minutes</v>
      </c>
      <c r="X31" s="618" t="str">
        <f ca="1"/>
        <v/>
      </c>
      <c r="Y31" s="618" t="str">
        <f ca="1"/>
        <v/>
      </c>
      <c r="Z31" s="618" t="str">
        <f ca="1"/>
        <v/>
      </c>
      <c r="AA31" s="618" t="str">
        <f ca="1"/>
        <v/>
      </c>
      <c r="AB31" s="619" t="str">
        <f ca="1"/>
        <v/>
      </c>
    </row>
    <row r="32" spans="1:28" hidden="1" x14ac:dyDescent="0.45">
      <c r="A32" s="1894"/>
      <c r="B32" s="1896"/>
      <c r="C32" s="1798"/>
      <c r="D32" s="592" t="s">
        <v>401</v>
      </c>
      <c r="E32" s="589" t="str">
        <f ca="1"/>
        <v/>
      </c>
      <c r="F32" s="589" t="str">
        <f ca="1"/>
        <v/>
      </c>
      <c r="G32" s="589" t="str">
        <f ca="1"/>
        <v/>
      </c>
      <c r="H32" s="589" t="str">
        <f ca="1"/>
        <v/>
      </c>
      <c r="I32" s="589" t="str">
        <f ca="1"/>
        <v/>
      </c>
      <c r="J32" s="589" t="str">
        <f ca="1"/>
        <v/>
      </c>
      <c r="K32" s="589" t="str">
        <f ca="1"/>
        <v/>
      </c>
      <c r="L32" s="589" t="str">
        <f ca="1"/>
        <v/>
      </c>
      <c r="M32" s="589" t="str">
        <f ca="1"/>
        <v>5 stride outs</v>
      </c>
      <c r="N32" s="589" t="str">
        <f ca="1"/>
        <v/>
      </c>
      <c r="O32" s="589" t="str">
        <f ca="1"/>
        <v/>
      </c>
      <c r="P32" s="589" t="str">
        <f ca="1"/>
        <v/>
      </c>
      <c r="Q32" s="589" t="str">
        <f ca="1"/>
        <v/>
      </c>
      <c r="R32" s="589" t="str">
        <f ca="1"/>
        <v/>
      </c>
      <c r="S32" s="589" t="str">
        <f ca="1"/>
        <v/>
      </c>
      <c r="T32" s="589" t="str">
        <f ca="1"/>
        <v/>
      </c>
      <c r="U32" s="589" t="str">
        <f ca="1"/>
        <v/>
      </c>
      <c r="V32" s="589" t="str">
        <f ca="1"/>
        <v/>
      </c>
      <c r="W32" s="589" t="str">
        <f ca="1"/>
        <v/>
      </c>
      <c r="X32" s="589" t="str">
        <f ca="1"/>
        <v/>
      </c>
      <c r="Y32" s="589" t="str">
        <f ca="1"/>
        <v/>
      </c>
      <c r="Z32" s="589" t="str">
        <f ca="1"/>
        <v/>
      </c>
      <c r="AA32" s="589" t="str">
        <f ca="1"/>
        <v/>
      </c>
      <c r="AB32" s="590" t="str">
        <f ca="1"/>
        <v/>
      </c>
    </row>
    <row r="33" spans="1:28" ht="14.65" hidden="1" thickBot="1" x14ac:dyDescent="0.5">
      <c r="A33" s="1894"/>
      <c r="B33" s="1896"/>
      <c r="C33" s="1904"/>
      <c r="D33" s="605" t="s">
        <v>400</v>
      </c>
      <c r="E33" s="606" t="str">
        <f ca="1"/>
        <v/>
      </c>
      <c r="F33" s="606" t="str">
        <f ca="1"/>
        <v/>
      </c>
      <c r="G33" s="606" t="str">
        <f ca="1"/>
        <v/>
      </c>
      <c r="H33" s="606" t="str">
        <f ca="1"/>
        <v/>
      </c>
      <c r="I33" s="606" t="str">
        <f ca="1"/>
        <v/>
      </c>
      <c r="J33" s="606" t="str">
        <f ca="1"/>
        <v/>
      </c>
      <c r="K33" s="606" t="str">
        <f ca="1"/>
        <v/>
      </c>
      <c r="L33" s="606" t="str">
        <f ca="1"/>
        <v/>
      </c>
      <c r="M33" s="606" t="str">
        <f ca="1"/>
        <v/>
      </c>
      <c r="N33" s="606" t="str">
        <f ca="1"/>
        <v/>
      </c>
      <c r="O33" s="606" t="str">
        <f ca="1"/>
        <v/>
      </c>
      <c r="P33" s="606" t="str">
        <f ca="1"/>
        <v/>
      </c>
      <c r="Q33" s="606" t="str">
        <f ca="1"/>
        <v/>
      </c>
      <c r="R33" s="606" t="str">
        <f ca="1"/>
        <v/>
      </c>
      <c r="S33" s="606" t="str">
        <f ca="1"/>
        <v/>
      </c>
      <c r="T33" s="606" t="str">
        <f ca="1"/>
        <v/>
      </c>
      <c r="U33" s="606" t="str">
        <f ca="1"/>
        <v/>
      </c>
      <c r="V33" s="606" t="str">
        <f ca="1"/>
        <v/>
      </c>
      <c r="W33" s="606" t="str">
        <f ca="1"/>
        <v/>
      </c>
      <c r="X33" s="606" t="str">
        <f ca="1"/>
        <v/>
      </c>
      <c r="Y33" s="606" t="str">
        <f ca="1"/>
        <v/>
      </c>
      <c r="Z33" s="606" t="str">
        <f ca="1"/>
        <v/>
      </c>
      <c r="AA33" s="606" t="str">
        <f ca="1"/>
        <v/>
      </c>
      <c r="AB33" s="607" t="str">
        <f ca="1"/>
        <v/>
      </c>
    </row>
    <row r="34" spans="1:28" ht="28.5" hidden="1" x14ac:dyDescent="0.45">
      <c r="A34" s="1894"/>
      <c r="B34" s="1896"/>
      <c r="C34" s="1798" t="s">
        <v>327</v>
      </c>
      <c r="D34" s="604" t="s">
        <v>399</v>
      </c>
      <c r="E34" s="620" t="str">
        <f ca="1"/>
        <v>Strength and conditioning</v>
      </c>
      <c r="F34" s="620" t="str">
        <f ca="1"/>
        <v>Strength and conditioning</v>
      </c>
      <c r="G34" s="620" t="str">
        <f ca="1"/>
        <v>Strength and conditioning</v>
      </c>
      <c r="H34" s="620" t="str">
        <f ca="1"/>
        <v>Strength and conditioning</v>
      </c>
      <c r="I34" s="620" t="str">
        <f ca="1"/>
        <v>Strength and conditioning</v>
      </c>
      <c r="J34" s="620" t="str">
        <f ca="1"/>
        <v>Strength and conditioning</v>
      </c>
      <c r="K34" s="620" t="str">
        <f ca="1"/>
        <v>Strength and conditioning</v>
      </c>
      <c r="L34" s="620" t="str">
        <f ca="1"/>
        <v>Strength and conditioning</v>
      </c>
      <c r="M34" s="620" t="str">
        <f ca="1"/>
        <v/>
      </c>
      <c r="N34" s="620" t="str">
        <f ca="1"/>
        <v/>
      </c>
      <c r="O34" s="620" t="str">
        <f ca="1"/>
        <v>Steady hilly trail run: 85 minutes</v>
      </c>
      <c r="P34" s="620" t="str">
        <f ca="1"/>
        <v>Strength and conditioning</v>
      </c>
      <c r="Q34" s="620" t="str">
        <f ca="1"/>
        <v>Strength and conditioning</v>
      </c>
      <c r="R34" s="620" t="str">
        <f ca="1"/>
        <v>Strength and conditioning</v>
      </c>
      <c r="S34" s="620" t="str">
        <f ca="1"/>
        <v>Strength and conditioning</v>
      </c>
      <c r="T34" s="620" t="str">
        <f ca="1"/>
        <v>Strength and conditioning</v>
      </c>
      <c r="U34" s="620" t="str">
        <f ca="1"/>
        <v>Race: 15 minutes + WU/WD</v>
      </c>
      <c r="V34" s="620" t="str">
        <f ca="1"/>
        <v>Strength and conditioning</v>
      </c>
      <c r="W34" s="620" t="str">
        <f ca="1"/>
        <v/>
      </c>
      <c r="X34" s="620" t="str">
        <f ca="1"/>
        <v/>
      </c>
      <c r="Y34" s="620" t="str">
        <f ca="1"/>
        <v/>
      </c>
      <c r="Z34" s="620" t="str">
        <f ca="1"/>
        <v/>
      </c>
      <c r="AA34" s="620" t="str">
        <f ca="1"/>
        <v/>
      </c>
      <c r="AB34" s="621" t="str">
        <f ca="1"/>
        <v/>
      </c>
    </row>
    <row r="35" spans="1:28" hidden="1" x14ac:dyDescent="0.45">
      <c r="A35" s="1894"/>
      <c r="B35" s="1896"/>
      <c r="C35" s="1798"/>
      <c r="D35" s="579" t="s">
        <v>401</v>
      </c>
      <c r="E35" s="610" t="str">
        <f ca="1"/>
        <v>Maintenance</v>
      </c>
      <c r="F35" s="610" t="str">
        <f ca="1"/>
        <v>Maintenance</v>
      </c>
      <c r="G35" s="610" t="str">
        <f ca="1"/>
        <v>Maintenance</v>
      </c>
      <c r="H35" s="610" t="str">
        <f ca="1"/>
        <v>Maintenance</v>
      </c>
      <c r="I35" s="610" t="str">
        <f ca="1"/>
        <v>Maintenance</v>
      </c>
      <c r="J35" s="610" t="str">
        <f ca="1"/>
        <v>Maintenance</v>
      </c>
      <c r="K35" s="610" t="str">
        <f ca="1"/>
        <v>Maintenance</v>
      </c>
      <c r="L35" s="610" t="str">
        <f ca="1"/>
        <v>Maintenance</v>
      </c>
      <c r="M35" s="610" t="str">
        <f ca="1"/>
        <v/>
      </c>
      <c r="N35" s="610" t="str">
        <f ca="1"/>
        <v/>
      </c>
      <c r="O35" s="610" t="str">
        <f ca="1"/>
        <v/>
      </c>
      <c r="P35" s="610" t="str">
        <f ca="1"/>
        <v>Maintenance</v>
      </c>
      <c r="Q35" s="610" t="str">
        <f ca="1"/>
        <v>Maintenance</v>
      </c>
      <c r="R35" s="610" t="str">
        <f ca="1"/>
        <v>Maintenance</v>
      </c>
      <c r="S35" s="610" t="str">
        <f ca="1"/>
        <v>Maintenance</v>
      </c>
      <c r="T35" s="610" t="str">
        <f ca="1"/>
        <v>Maintenance</v>
      </c>
      <c r="U35" s="610" t="str">
        <f ca="1"/>
        <v/>
      </c>
      <c r="V35" s="610" t="str">
        <f ca="1"/>
        <v>Maintenance</v>
      </c>
      <c r="W35" s="610" t="str">
        <f ca="1"/>
        <v/>
      </c>
      <c r="X35" s="610" t="str">
        <f ca="1"/>
        <v/>
      </c>
      <c r="Y35" s="610" t="str">
        <f ca="1"/>
        <v/>
      </c>
      <c r="Z35" s="610" t="str">
        <f ca="1"/>
        <v/>
      </c>
      <c r="AA35" s="610" t="str">
        <f ca="1"/>
        <v/>
      </c>
      <c r="AB35" s="611" t="str">
        <f ca="1"/>
        <v/>
      </c>
    </row>
    <row r="36" spans="1:28" ht="14.65" hidden="1" thickBot="1" x14ac:dyDescent="0.5">
      <c r="A36" s="1894"/>
      <c r="B36" s="1897"/>
      <c r="C36" s="1904"/>
      <c r="D36" s="625" t="s">
        <v>400</v>
      </c>
      <c r="E36" s="612" t="str">
        <f ca="1"/>
        <v/>
      </c>
      <c r="F36" s="612" t="str">
        <f ca="1"/>
        <v/>
      </c>
      <c r="G36" s="612" t="str">
        <f ca="1"/>
        <v/>
      </c>
      <c r="H36" s="612" t="str">
        <f ca="1"/>
        <v/>
      </c>
      <c r="I36" s="612" t="str">
        <f ca="1"/>
        <v/>
      </c>
      <c r="J36" s="612" t="str">
        <f ca="1"/>
        <v/>
      </c>
      <c r="K36" s="612" t="str">
        <f ca="1"/>
        <v/>
      </c>
      <c r="L36" s="612" t="str">
        <f ca="1"/>
        <v/>
      </c>
      <c r="M36" s="612" t="str">
        <f ca="1"/>
        <v/>
      </c>
      <c r="N36" s="612" t="str">
        <f ca="1"/>
        <v/>
      </c>
      <c r="O36" s="612" t="str">
        <f ca="1"/>
        <v/>
      </c>
      <c r="P36" s="612" t="str">
        <f ca="1"/>
        <v/>
      </c>
      <c r="Q36" s="612" t="str">
        <f ca="1"/>
        <v/>
      </c>
      <c r="R36" s="612" t="str">
        <f ca="1"/>
        <v/>
      </c>
      <c r="S36" s="612" t="str">
        <f ca="1"/>
        <v/>
      </c>
      <c r="T36" s="612" t="str">
        <f ca="1"/>
        <v/>
      </c>
      <c r="U36" s="612" t="str">
        <f ca="1"/>
        <v/>
      </c>
      <c r="V36" s="612" t="str">
        <f ca="1"/>
        <v/>
      </c>
      <c r="W36" s="612" t="str">
        <f ca="1"/>
        <v/>
      </c>
      <c r="X36" s="612" t="str">
        <f ca="1"/>
        <v/>
      </c>
      <c r="Y36" s="612" t="str">
        <f ca="1"/>
        <v/>
      </c>
      <c r="Z36" s="612" t="str">
        <f ca="1"/>
        <v/>
      </c>
      <c r="AA36" s="612" t="str">
        <f ca="1"/>
        <v/>
      </c>
      <c r="AB36" s="613" t="str">
        <f ca="1"/>
        <v/>
      </c>
    </row>
    <row r="37" spans="1:28" ht="28.5" hidden="1" x14ac:dyDescent="0.45">
      <c r="A37" s="1894"/>
      <c r="B37" s="1901" t="s">
        <v>332</v>
      </c>
      <c r="C37" s="1908" t="s">
        <v>326</v>
      </c>
      <c r="D37" s="626" t="s">
        <v>399</v>
      </c>
      <c r="E37" s="618" t="str">
        <f ca="1"/>
        <v>Drills + WU/WD</v>
      </c>
      <c r="F37" s="618" t="str">
        <f ca="1"/>
        <v>Drills + WU/WD</v>
      </c>
      <c r="G37" s="618" t="str">
        <f ca="1"/>
        <v>Drills + WU/WD</v>
      </c>
      <c r="H37" s="618" t="str">
        <f ca="1"/>
        <v>Drills + WU</v>
      </c>
      <c r="I37" s="618" t="str">
        <f ca="1"/>
        <v>Drills + WU</v>
      </c>
      <c r="J37" s="618" t="str">
        <f ca="1"/>
        <v>Long hilly trail run: 240 minutes</v>
      </c>
      <c r="K37" s="618" t="str">
        <f ca="1"/>
        <v>Drills + WU</v>
      </c>
      <c r="L37" s="618" t="str">
        <f ca="1"/>
        <v>Drills + WU</v>
      </c>
      <c r="M37" s="618" t="str">
        <f ca="1"/>
        <v>Race: 300 minutes + WU/WD</v>
      </c>
      <c r="N37" s="618" t="str">
        <f ca="1"/>
        <v/>
      </c>
      <c r="O37" s="618" t="str">
        <f ca="1"/>
        <v>Long hilly trail run: 145 minutes</v>
      </c>
      <c r="P37" s="618" t="str">
        <f ca="1"/>
        <v>Steady hilly trail run: 70 minutes</v>
      </c>
      <c r="Q37" s="618" t="str">
        <f ca="1"/>
        <v>Steady hilly trail run: 75 minutes</v>
      </c>
      <c r="R37" s="618" t="str">
        <f ca="1"/>
        <v>Steady hilly trail run: 95 minutes</v>
      </c>
      <c r="S37" s="618" t="str">
        <f ca="1"/>
        <v>Steady hilly trail run: 50 minutes</v>
      </c>
      <c r="T37" s="618" t="str">
        <f ca="1"/>
        <v>Steady hilly trail run: 50 minutes</v>
      </c>
      <c r="U37" s="618" t="str">
        <f ca="1"/>
        <v>Race: 90 minutes + WU/WD</v>
      </c>
      <c r="V37" s="618" t="str">
        <f ca="1"/>
        <v>Steady hilly trail run: 65 minutes</v>
      </c>
      <c r="W37" s="618" t="str">
        <f ca="1"/>
        <v>Race: 180 minutes + WU/WD</v>
      </c>
      <c r="X37" s="618" t="str">
        <f ca="1"/>
        <v/>
      </c>
      <c r="Y37" s="618" t="str">
        <f ca="1"/>
        <v/>
      </c>
      <c r="Z37" s="618" t="str">
        <f ca="1"/>
        <v/>
      </c>
      <c r="AA37" s="618" t="str">
        <f ca="1"/>
        <v/>
      </c>
      <c r="AB37" s="619" t="str">
        <f ca="1"/>
        <v/>
      </c>
    </row>
    <row r="38" spans="1:28" hidden="1" x14ac:dyDescent="0.45">
      <c r="A38" s="1894"/>
      <c r="B38" s="1898"/>
      <c r="C38" s="1906"/>
      <c r="D38" s="593" t="s">
        <v>401</v>
      </c>
      <c r="E38" s="517" t="str">
        <f ca="1"/>
        <v/>
      </c>
      <c r="F38" s="517" t="str">
        <f ca="1"/>
        <v/>
      </c>
      <c r="G38" s="517" t="str">
        <f ca="1"/>
        <v/>
      </c>
      <c r="H38" s="517" t="str">
        <f ca="1"/>
        <v>Easy run: 35 minutes</v>
      </c>
      <c r="I38" s="517" t="str">
        <f ca="1"/>
        <v>Easy run: 40 minutes</v>
      </c>
      <c r="J38" s="517" t="str">
        <f ca="1"/>
        <v/>
      </c>
      <c r="K38" s="517" t="str">
        <f ca="1"/>
        <v>Easy run: 30 minutes</v>
      </c>
      <c r="L38" s="517" t="str">
        <f ca="1"/>
        <v>Easy run: 25 minutes</v>
      </c>
      <c r="M38" s="517" t="str">
        <f ca="1"/>
        <v/>
      </c>
      <c r="N38" s="517" t="str">
        <f ca="1"/>
        <v/>
      </c>
      <c r="O38" s="517" t="str">
        <f ca="1"/>
        <v/>
      </c>
      <c r="P38" s="517" t="str">
        <f ca="1"/>
        <v/>
      </c>
      <c r="Q38" s="517" t="str">
        <f ca="1"/>
        <v/>
      </c>
      <c r="R38" s="517" t="str">
        <f ca="1"/>
        <v/>
      </c>
      <c r="S38" s="517" t="str">
        <f ca="1"/>
        <v/>
      </c>
      <c r="T38" s="517" t="str">
        <f ca="1"/>
        <v/>
      </c>
      <c r="U38" s="517" t="str">
        <f ca="1"/>
        <v/>
      </c>
      <c r="V38" s="517" t="str">
        <f ca="1"/>
        <v/>
      </c>
      <c r="W38" s="517" t="str">
        <f ca="1"/>
        <v/>
      </c>
      <c r="X38" s="517" t="str">
        <f ca="1"/>
        <v/>
      </c>
      <c r="Y38" s="517" t="str">
        <f ca="1"/>
        <v/>
      </c>
      <c r="Z38" s="517" t="str">
        <f ca="1"/>
        <v/>
      </c>
      <c r="AA38" s="517" t="str">
        <f ca="1"/>
        <v/>
      </c>
      <c r="AB38" s="594" t="str">
        <f ca="1"/>
        <v/>
      </c>
    </row>
    <row r="39" spans="1:28" ht="14.65" hidden="1" thickBot="1" x14ac:dyDescent="0.5">
      <c r="A39" s="1894"/>
      <c r="B39" s="1898"/>
      <c r="C39" s="1907"/>
      <c r="D39" s="609" t="s">
        <v>400</v>
      </c>
      <c r="E39" s="606" t="str">
        <f ca="1"/>
        <v/>
      </c>
      <c r="F39" s="606" t="str">
        <f ca="1"/>
        <v/>
      </c>
      <c r="G39" s="606" t="str">
        <f ca="1"/>
        <v/>
      </c>
      <c r="H39" s="606" t="str">
        <f ca="1"/>
        <v/>
      </c>
      <c r="I39" s="606" t="str">
        <f ca="1"/>
        <v/>
      </c>
      <c r="J39" s="606" t="str">
        <f ca="1"/>
        <v/>
      </c>
      <c r="K39" s="606" t="str">
        <f ca="1"/>
        <v/>
      </c>
      <c r="L39" s="606" t="str">
        <f ca="1"/>
        <v/>
      </c>
      <c r="M39" s="606" t="str">
        <f ca="1"/>
        <v/>
      </c>
      <c r="N39" s="606" t="str">
        <f ca="1"/>
        <v/>
      </c>
      <c r="O39" s="606" t="str">
        <f ca="1"/>
        <v/>
      </c>
      <c r="P39" s="606" t="str">
        <f ca="1"/>
        <v/>
      </c>
      <c r="Q39" s="606" t="str">
        <f ca="1"/>
        <v/>
      </c>
      <c r="R39" s="606" t="str">
        <f ca="1"/>
        <v/>
      </c>
      <c r="S39" s="606" t="str">
        <f ca="1"/>
        <v/>
      </c>
      <c r="T39" s="606" t="str">
        <f ca="1"/>
        <v/>
      </c>
      <c r="U39" s="606" t="str">
        <f ca="1"/>
        <v/>
      </c>
      <c r="V39" s="606" t="str">
        <f ca="1"/>
        <v/>
      </c>
      <c r="W39" s="606" t="str">
        <f ca="1"/>
        <v/>
      </c>
      <c r="X39" s="606" t="str">
        <f ca="1"/>
        <v/>
      </c>
      <c r="Y39" s="606" t="str">
        <f ca="1"/>
        <v/>
      </c>
      <c r="Z39" s="606" t="str">
        <f ca="1"/>
        <v/>
      </c>
      <c r="AA39" s="606" t="str">
        <f ca="1"/>
        <v/>
      </c>
      <c r="AB39" s="607" t="str">
        <f ca="1"/>
        <v/>
      </c>
    </row>
    <row r="40" spans="1:28" ht="28.5" hidden="1" x14ac:dyDescent="0.45">
      <c r="A40" s="1894"/>
      <c r="B40" s="1898"/>
      <c r="C40" s="1908" t="s">
        <v>327</v>
      </c>
      <c r="D40" s="626" t="s">
        <v>399</v>
      </c>
      <c r="E40" s="620" t="str">
        <f ca="1"/>
        <v>Easy run: 55 minutes</v>
      </c>
      <c r="F40" s="620" t="str">
        <f ca="1"/>
        <v>Easy run: 55 minutes</v>
      </c>
      <c r="G40" s="620" t="str">
        <f ca="1"/>
        <v>Easy run: 60 minutes</v>
      </c>
      <c r="H40" s="620" t="str">
        <f ca="1"/>
        <v>Easy run: 60 minutes</v>
      </c>
      <c r="I40" s="620" t="str">
        <f ca="1"/>
        <v>Easy run: 65 minutes</v>
      </c>
      <c r="J40" s="620" t="str">
        <f ca="1"/>
        <v/>
      </c>
      <c r="K40" s="620" t="str">
        <f ca="1"/>
        <v>Easy run: 50 minutes</v>
      </c>
      <c r="L40" s="620" t="str">
        <f ca="1"/>
        <v>Easy run: 45 minutes</v>
      </c>
      <c r="M40" s="620" t="str">
        <f ca="1"/>
        <v/>
      </c>
      <c r="N40" s="620" t="str">
        <f ca="1"/>
        <v/>
      </c>
      <c r="O40" s="620" t="str">
        <f ca="1"/>
        <v/>
      </c>
      <c r="P40" s="620" t="str">
        <f ca="1"/>
        <v>Easy road ride: 30 minutes</v>
      </c>
      <c r="Q40" s="620" t="str">
        <f ca="1"/>
        <v>Easy road ride: 30 minutes</v>
      </c>
      <c r="R40" s="620" t="str">
        <f ca="1"/>
        <v>Easy road ride: 80 minutes</v>
      </c>
      <c r="S40" s="620" t="str">
        <f ca="1"/>
        <v/>
      </c>
      <c r="T40" s="620" t="str">
        <f ca="1"/>
        <v/>
      </c>
      <c r="U40" s="620" t="str">
        <f ca="1"/>
        <v/>
      </c>
      <c r="V40" s="620" t="str">
        <f ca="1"/>
        <v/>
      </c>
      <c r="W40" s="620" t="str">
        <f ca="1"/>
        <v/>
      </c>
      <c r="X40" s="620" t="str">
        <f ca="1"/>
        <v/>
      </c>
      <c r="Y40" s="620" t="str">
        <f ca="1"/>
        <v/>
      </c>
      <c r="Z40" s="620" t="str">
        <f ca="1"/>
        <v/>
      </c>
      <c r="AA40" s="620" t="str">
        <f ca="1"/>
        <v/>
      </c>
      <c r="AB40" s="621" t="str">
        <f ca="1"/>
        <v/>
      </c>
    </row>
    <row r="41" spans="1:28" hidden="1" x14ac:dyDescent="0.45">
      <c r="A41" s="1894"/>
      <c r="B41" s="1898"/>
      <c r="C41" s="1906"/>
      <c r="D41" s="593" t="s">
        <v>401</v>
      </c>
      <c r="E41" s="616" t="str">
        <f ca="1"/>
        <v/>
      </c>
      <c r="F41" s="616" t="str">
        <f ca="1"/>
        <v/>
      </c>
      <c r="G41" s="616" t="str">
        <f ca="1"/>
        <v/>
      </c>
      <c r="H41" s="616" t="str">
        <f ca="1"/>
        <v/>
      </c>
      <c r="I41" s="616" t="str">
        <f ca="1"/>
        <v/>
      </c>
      <c r="J41" s="616" t="str">
        <f ca="1"/>
        <v/>
      </c>
      <c r="K41" s="616" t="str">
        <f ca="1"/>
        <v/>
      </c>
      <c r="L41" s="616" t="str">
        <f ca="1"/>
        <v/>
      </c>
      <c r="M41" s="616" t="str">
        <f ca="1"/>
        <v/>
      </c>
      <c r="N41" s="616" t="str">
        <f ca="1"/>
        <v/>
      </c>
      <c r="O41" s="616" t="str">
        <f ca="1"/>
        <v/>
      </c>
      <c r="P41" s="616" t="str">
        <f ca="1"/>
        <v/>
      </c>
      <c r="Q41" s="616" t="str">
        <f ca="1"/>
        <v/>
      </c>
      <c r="R41" s="616" t="str">
        <f ca="1"/>
        <v/>
      </c>
      <c r="S41" s="616" t="str">
        <f ca="1"/>
        <v/>
      </c>
      <c r="T41" s="616" t="str">
        <f ca="1"/>
        <v/>
      </c>
      <c r="U41" s="616" t="str">
        <f ca="1"/>
        <v/>
      </c>
      <c r="V41" s="616" t="str">
        <f ca="1"/>
        <v/>
      </c>
      <c r="W41" s="616" t="str">
        <f ca="1"/>
        <v/>
      </c>
      <c r="X41" s="616" t="str">
        <f ca="1"/>
        <v/>
      </c>
      <c r="Y41" s="616" t="str">
        <f ca="1"/>
        <v/>
      </c>
      <c r="Z41" s="616" t="str">
        <f ca="1"/>
        <v/>
      </c>
      <c r="AA41" s="616" t="str">
        <f ca="1"/>
        <v/>
      </c>
      <c r="AB41" s="617" t="str">
        <f ca="1"/>
        <v/>
      </c>
    </row>
    <row r="42" spans="1:28" ht="14.65" hidden="1" thickBot="1" x14ac:dyDescent="0.5">
      <c r="A42" s="1894"/>
      <c r="B42" s="1899"/>
      <c r="C42" s="1907"/>
      <c r="D42" s="624" t="s">
        <v>400</v>
      </c>
      <c r="E42" s="612" t="str">
        <f ca="1"/>
        <v/>
      </c>
      <c r="F42" s="612" t="str">
        <f ca="1"/>
        <v/>
      </c>
      <c r="G42" s="612" t="str">
        <f ca="1"/>
        <v/>
      </c>
      <c r="H42" s="612" t="str">
        <f ca="1"/>
        <v/>
      </c>
      <c r="I42" s="612" t="str">
        <f ca="1"/>
        <v/>
      </c>
      <c r="J42" s="612" t="str">
        <f ca="1"/>
        <v/>
      </c>
      <c r="K42" s="612" t="str">
        <f ca="1"/>
        <v/>
      </c>
      <c r="L42" s="612" t="str">
        <f ca="1"/>
        <v/>
      </c>
      <c r="M42" s="612" t="str">
        <f ca="1"/>
        <v/>
      </c>
      <c r="N42" s="612" t="str">
        <f ca="1"/>
        <v/>
      </c>
      <c r="O42" s="612" t="str">
        <f ca="1"/>
        <v/>
      </c>
      <c r="P42" s="612" t="str">
        <f ca="1"/>
        <v/>
      </c>
      <c r="Q42" s="612" t="str">
        <f ca="1"/>
        <v/>
      </c>
      <c r="R42" s="612" t="str">
        <f ca="1"/>
        <v/>
      </c>
      <c r="S42" s="612" t="str">
        <f ca="1"/>
        <v/>
      </c>
      <c r="T42" s="612" t="str">
        <f ca="1"/>
        <v/>
      </c>
      <c r="U42" s="612" t="str">
        <f ca="1"/>
        <v/>
      </c>
      <c r="V42" s="612" t="str">
        <f ca="1"/>
        <v/>
      </c>
      <c r="W42" s="612" t="str">
        <f ca="1"/>
        <v/>
      </c>
      <c r="X42" s="612" t="str">
        <f ca="1"/>
        <v/>
      </c>
      <c r="Y42" s="612" t="str">
        <f ca="1"/>
        <v/>
      </c>
      <c r="Z42" s="612" t="str">
        <f ca="1"/>
        <v/>
      </c>
      <c r="AA42" s="612" t="str">
        <f ca="1"/>
        <v/>
      </c>
      <c r="AB42" s="613" t="str">
        <f ca="1"/>
        <v/>
      </c>
    </row>
    <row r="43" spans="1:28" ht="28.5" hidden="1" x14ac:dyDescent="0.45">
      <c r="A43" s="1894"/>
      <c r="B43" s="1798" t="s">
        <v>333</v>
      </c>
      <c r="C43" s="1798" t="s">
        <v>326</v>
      </c>
      <c r="D43" s="604" t="s">
        <v>399</v>
      </c>
      <c r="E43" s="518" t="str">
        <f ca="1"/>
        <v>Long ride: 135 minutes</v>
      </c>
      <c r="F43" s="518" t="str">
        <f ca="1"/>
        <v>Long ride: 140 minutes</v>
      </c>
      <c r="G43" s="518" t="str">
        <f ca="1"/>
        <v>Long ride: 145 minutes</v>
      </c>
      <c r="H43" s="518" t="str">
        <f ca="1"/>
        <v>Long hilly trail run: 155 minutes</v>
      </c>
      <c r="I43" s="518" t="str">
        <f ca="1"/>
        <v>Long hilly trail run: 160 minutes</v>
      </c>
      <c r="J43" s="518" t="str">
        <f ca="1"/>
        <v>Easy road run: 60 minutes</v>
      </c>
      <c r="K43" s="518" t="str">
        <f ca="1"/>
        <v>Long hilly trail run: 130 minutes</v>
      </c>
      <c r="L43" s="518" t="str">
        <f ca="1"/>
        <v>Long hilly trail run: 110 minutes</v>
      </c>
      <c r="M43" s="518" t="str">
        <f ca="1"/>
        <v/>
      </c>
      <c r="N43" s="518" t="str">
        <f ca="1"/>
        <v/>
      </c>
      <c r="O43" s="518" t="str">
        <f ca="1"/>
        <v>Long hilly trail run: 145 minutes</v>
      </c>
      <c r="P43" s="518" t="str">
        <f ca="1"/>
        <v>Long hilly trail run: 115 minutes</v>
      </c>
      <c r="Q43" s="518" t="str">
        <f ca="1"/>
        <v>Long hilly trail run: 125 minutes</v>
      </c>
      <c r="R43" s="518" t="str">
        <f ca="1"/>
        <v>Long hilly trail run: 160 minutes</v>
      </c>
      <c r="S43" s="518" t="str">
        <f ca="1"/>
        <v>Long hilly trail run: 80 minutes</v>
      </c>
      <c r="T43" s="518" t="str">
        <f ca="1"/>
        <v>Long hilly trail run: 80 minutes</v>
      </c>
      <c r="U43" s="518" t="str">
        <f ca="1"/>
        <v>Race: 30 minutes + WU/WD</v>
      </c>
      <c r="V43" s="518" t="str">
        <f ca="1"/>
        <v>Long hilly trail run: 105 minutes</v>
      </c>
      <c r="W43" s="518" t="str">
        <f ca="1"/>
        <v/>
      </c>
      <c r="X43" s="518" t="str">
        <f ca="1"/>
        <v/>
      </c>
      <c r="Y43" s="518" t="str">
        <f ca="1"/>
        <v/>
      </c>
      <c r="Z43" s="518" t="str">
        <f ca="1"/>
        <v/>
      </c>
      <c r="AA43" s="518" t="str">
        <f ca="1"/>
        <v/>
      </c>
      <c r="AB43" s="577" t="str">
        <f ca="1"/>
        <v/>
      </c>
    </row>
    <row r="44" spans="1:28" hidden="1" x14ac:dyDescent="0.45">
      <c r="A44" s="1894"/>
      <c r="B44" s="1798"/>
      <c r="C44" s="1798"/>
      <c r="D44" s="592" t="s">
        <v>401</v>
      </c>
      <c r="E44" s="517" t="str">
        <f ca="1"/>
        <v/>
      </c>
      <c r="F44" s="517" t="str">
        <f ca="1"/>
        <v/>
      </c>
      <c r="G44" s="517" t="str">
        <f ca="1"/>
        <v/>
      </c>
      <c r="H44" s="517" t="str">
        <f ca="1"/>
        <v/>
      </c>
      <c r="I44" s="517" t="str">
        <f ca="1"/>
        <v/>
      </c>
      <c r="J44" s="517" t="str">
        <f ca="1"/>
        <v/>
      </c>
      <c r="K44" s="517" t="str">
        <f ca="1"/>
        <v/>
      </c>
      <c r="L44" s="517" t="str">
        <f ca="1"/>
        <v/>
      </c>
      <c r="M44" s="517" t="str">
        <f ca="1"/>
        <v/>
      </c>
      <c r="N44" s="517" t="str">
        <f ca="1"/>
        <v/>
      </c>
      <c r="O44" s="517" t="str">
        <f ca="1"/>
        <v/>
      </c>
      <c r="P44" s="517" t="str">
        <f ca="1"/>
        <v/>
      </c>
      <c r="Q44" s="517" t="str">
        <f ca="1"/>
        <v/>
      </c>
      <c r="R44" s="517" t="str">
        <f ca="1"/>
        <v/>
      </c>
      <c r="S44" s="517" t="str">
        <f ca="1"/>
        <v/>
      </c>
      <c r="T44" s="517" t="str">
        <f ca="1"/>
        <v/>
      </c>
      <c r="U44" s="517" t="str">
        <f ca="1"/>
        <v/>
      </c>
      <c r="V44" s="517" t="str">
        <f ca="1"/>
        <v/>
      </c>
      <c r="W44" s="517" t="str">
        <f ca="1"/>
        <v/>
      </c>
      <c r="X44" s="517" t="str">
        <f ca="1"/>
        <v/>
      </c>
      <c r="Y44" s="517" t="str">
        <f ca="1"/>
        <v/>
      </c>
      <c r="Z44" s="517" t="str">
        <f ca="1"/>
        <v/>
      </c>
      <c r="AA44" s="517" t="str">
        <f ca="1"/>
        <v/>
      </c>
      <c r="AB44" s="594" t="str">
        <f ca="1"/>
        <v/>
      </c>
    </row>
    <row r="45" spans="1:28" ht="14.65" hidden="1" thickBot="1" x14ac:dyDescent="0.5">
      <c r="A45" s="1894"/>
      <c r="B45" s="1798"/>
      <c r="C45" s="1904"/>
      <c r="D45" s="605" t="s">
        <v>400</v>
      </c>
      <c r="E45" s="606" t="str">
        <f ca="1"/>
        <v/>
      </c>
      <c r="F45" s="606" t="str">
        <f ca="1"/>
        <v/>
      </c>
      <c r="G45" s="606" t="str">
        <f ca="1"/>
        <v/>
      </c>
      <c r="H45" s="606" t="str">
        <f ca="1"/>
        <v/>
      </c>
      <c r="I45" s="606" t="str">
        <f ca="1"/>
        <v/>
      </c>
      <c r="J45" s="606" t="str">
        <f ca="1"/>
        <v/>
      </c>
      <c r="K45" s="606" t="str">
        <f ca="1"/>
        <v/>
      </c>
      <c r="L45" s="606" t="str">
        <f ca="1"/>
        <v/>
      </c>
      <c r="M45" s="606" t="str">
        <f ca="1"/>
        <v/>
      </c>
      <c r="N45" s="606" t="str">
        <f ca="1"/>
        <v/>
      </c>
      <c r="O45" s="606" t="str">
        <f ca="1"/>
        <v/>
      </c>
      <c r="P45" s="606" t="str">
        <f ca="1"/>
        <v/>
      </c>
      <c r="Q45" s="606" t="str">
        <f ca="1"/>
        <v/>
      </c>
      <c r="R45" s="606" t="str">
        <f ca="1"/>
        <v/>
      </c>
      <c r="S45" s="606" t="str">
        <f ca="1"/>
        <v/>
      </c>
      <c r="T45" s="606" t="str">
        <f ca="1"/>
        <v/>
      </c>
      <c r="U45" s="606" t="str">
        <f ca="1"/>
        <v/>
      </c>
      <c r="V45" s="606" t="str">
        <f ca="1"/>
        <v/>
      </c>
      <c r="W45" s="606" t="str">
        <f ca="1"/>
        <v/>
      </c>
      <c r="X45" s="606" t="str">
        <f ca="1"/>
        <v/>
      </c>
      <c r="Y45" s="606" t="str">
        <f ca="1"/>
        <v/>
      </c>
      <c r="Z45" s="606" t="str">
        <f ca="1"/>
        <v/>
      </c>
      <c r="AA45" s="606" t="str">
        <f ca="1"/>
        <v/>
      </c>
      <c r="AB45" s="607" t="str">
        <f ca="1"/>
        <v/>
      </c>
    </row>
    <row r="46" spans="1:28" ht="28.5" hidden="1" x14ac:dyDescent="0.45">
      <c r="A46" s="1894"/>
      <c r="B46" s="1798"/>
      <c r="C46" s="1798" t="s">
        <v>327</v>
      </c>
      <c r="D46" s="604" t="s">
        <v>399</v>
      </c>
      <c r="E46" s="614" t="str">
        <f ca="1"/>
        <v/>
      </c>
      <c r="F46" s="614" t="str">
        <f ca="1"/>
        <v/>
      </c>
      <c r="G46" s="614" t="str">
        <f ca="1"/>
        <v/>
      </c>
      <c r="H46" s="614" t="str">
        <f ca="1"/>
        <v/>
      </c>
      <c r="I46" s="614" t="str">
        <f ca="1"/>
        <v/>
      </c>
      <c r="J46" s="614" t="str">
        <f ca="1"/>
        <v/>
      </c>
      <c r="K46" s="614" t="str">
        <f ca="1"/>
        <v/>
      </c>
      <c r="L46" s="614" t="str">
        <f ca="1"/>
        <v/>
      </c>
      <c r="M46" s="614" t="str">
        <f ca="1"/>
        <v/>
      </c>
      <c r="N46" s="614" t="str">
        <f ca="1"/>
        <v>Steady hilly trail run: 50 minutes</v>
      </c>
      <c r="O46" s="614" t="str">
        <f ca="1"/>
        <v/>
      </c>
      <c r="P46" s="614" t="str">
        <f ca="1"/>
        <v/>
      </c>
      <c r="Q46" s="614" t="str">
        <f ca="1"/>
        <v/>
      </c>
      <c r="R46" s="614" t="str">
        <f ca="1"/>
        <v/>
      </c>
      <c r="S46" s="614" t="str">
        <f ca="1"/>
        <v/>
      </c>
      <c r="T46" s="614" t="str">
        <f ca="1"/>
        <v/>
      </c>
      <c r="U46" s="614" t="str">
        <f ca="1"/>
        <v/>
      </c>
      <c r="V46" s="614" t="str">
        <f ca="1"/>
        <v/>
      </c>
      <c r="W46" s="614" t="str">
        <f ca="1"/>
        <v/>
      </c>
      <c r="X46" s="614" t="str">
        <f ca="1"/>
        <v/>
      </c>
      <c r="Y46" s="614" t="str">
        <f ca="1"/>
        <v/>
      </c>
      <c r="Z46" s="614" t="str">
        <f ca="1"/>
        <v/>
      </c>
      <c r="AA46" s="614" t="str">
        <f ca="1"/>
        <v/>
      </c>
      <c r="AB46" s="615" t="str">
        <f ca="1"/>
        <v/>
      </c>
    </row>
    <row r="47" spans="1:28" hidden="1" x14ac:dyDescent="0.45">
      <c r="A47" s="1894"/>
      <c r="B47" s="1798"/>
      <c r="C47" s="1798"/>
      <c r="D47" s="568" t="s">
        <v>401</v>
      </c>
      <c r="E47" s="610" t="str">
        <f ca="1"/>
        <v/>
      </c>
      <c r="F47" s="610" t="str">
        <f ca="1"/>
        <v/>
      </c>
      <c r="G47" s="610" t="str">
        <f ca="1"/>
        <v/>
      </c>
      <c r="H47" s="610" t="str">
        <f ca="1"/>
        <v/>
      </c>
      <c r="I47" s="610" t="str">
        <f ca="1"/>
        <v/>
      </c>
      <c r="J47" s="610" t="str">
        <f ca="1"/>
        <v/>
      </c>
      <c r="K47" s="610" t="str">
        <f ca="1"/>
        <v/>
      </c>
      <c r="L47" s="610" t="str">
        <f ca="1"/>
        <v/>
      </c>
      <c r="M47" s="610" t="str">
        <f ca="1"/>
        <v/>
      </c>
      <c r="N47" s="610" t="str">
        <f ca="1"/>
        <v/>
      </c>
      <c r="O47" s="610" t="str">
        <f ca="1"/>
        <v/>
      </c>
      <c r="P47" s="610" t="str">
        <f ca="1"/>
        <v/>
      </c>
      <c r="Q47" s="610" t="str">
        <f ca="1"/>
        <v/>
      </c>
      <c r="R47" s="610" t="str">
        <f ca="1"/>
        <v/>
      </c>
      <c r="S47" s="610" t="str">
        <f ca="1"/>
        <v/>
      </c>
      <c r="T47" s="610" t="str">
        <f ca="1"/>
        <v/>
      </c>
      <c r="U47" s="610" t="str">
        <f ca="1"/>
        <v/>
      </c>
      <c r="V47" s="610" t="str">
        <f ca="1"/>
        <v/>
      </c>
      <c r="W47" s="610" t="str">
        <f ca="1"/>
        <v/>
      </c>
      <c r="X47" s="610" t="str">
        <f ca="1"/>
        <v/>
      </c>
      <c r="Y47" s="610" t="str">
        <f ca="1"/>
        <v/>
      </c>
      <c r="Z47" s="610" t="str">
        <f ca="1"/>
        <v/>
      </c>
      <c r="AA47" s="610" t="str">
        <f ca="1"/>
        <v/>
      </c>
      <c r="AB47" s="611" t="str">
        <f ca="1"/>
        <v/>
      </c>
    </row>
    <row r="48" spans="1:28" ht="14.65" hidden="1" thickBot="1" x14ac:dyDescent="0.5">
      <c r="A48" s="1895"/>
      <c r="B48" s="1902"/>
      <c r="C48" s="1902"/>
      <c r="D48" s="578" t="s">
        <v>400</v>
      </c>
      <c r="E48" s="622" t="str">
        <f ca="1"/>
        <v/>
      </c>
      <c r="F48" s="622" t="str">
        <f ca="1"/>
        <v/>
      </c>
      <c r="G48" s="622" t="str">
        <f ca="1"/>
        <v/>
      </c>
      <c r="H48" s="622" t="str">
        <f ca="1"/>
        <v/>
      </c>
      <c r="I48" s="622" t="str">
        <f ca="1"/>
        <v/>
      </c>
      <c r="J48" s="622" t="str">
        <f ca="1"/>
        <v/>
      </c>
      <c r="K48" s="622" t="str">
        <f ca="1"/>
        <v/>
      </c>
      <c r="L48" s="622" t="str">
        <f ca="1"/>
        <v/>
      </c>
      <c r="M48" s="622" t="str">
        <f ca="1"/>
        <v/>
      </c>
      <c r="N48" s="622" t="str">
        <f ca="1"/>
        <v/>
      </c>
      <c r="O48" s="622" t="str">
        <f ca="1"/>
        <v/>
      </c>
      <c r="P48" s="622" t="str">
        <f ca="1"/>
        <v/>
      </c>
      <c r="Q48" s="622" t="str">
        <f ca="1"/>
        <v/>
      </c>
      <c r="R48" s="622" t="str">
        <f ca="1"/>
        <v/>
      </c>
      <c r="S48" s="622" t="str">
        <f ca="1"/>
        <v/>
      </c>
      <c r="T48" s="622" t="str">
        <f ca="1"/>
        <v/>
      </c>
      <c r="U48" s="622" t="str">
        <f ca="1"/>
        <v/>
      </c>
      <c r="V48" s="622" t="str">
        <f ca="1"/>
        <v/>
      </c>
      <c r="W48" s="622" t="str">
        <f ca="1"/>
        <v/>
      </c>
      <c r="X48" s="622" t="str">
        <f ca="1"/>
        <v/>
      </c>
      <c r="Y48" s="622" t="str">
        <f ca="1"/>
        <v/>
      </c>
      <c r="Z48" s="622" t="str">
        <f ca="1"/>
        <v/>
      </c>
      <c r="AA48" s="622" t="str">
        <f ca="1"/>
        <v/>
      </c>
      <c r="AB48" s="623" t="str">
        <f ca="1"/>
        <v/>
      </c>
    </row>
    <row r="49" spans="2:9" hidden="1" x14ac:dyDescent="0.45"/>
    <row r="50" spans="2:9" hidden="1" x14ac:dyDescent="0.45"/>
    <row r="51" spans="2:9" hidden="1" x14ac:dyDescent="0.45"/>
    <row r="52" spans="2:9" hidden="1" x14ac:dyDescent="0.45">
      <c r="I52" s="595"/>
    </row>
    <row r="53" spans="2:9" hidden="1" x14ac:dyDescent="0.45">
      <c r="I53" s="435"/>
    </row>
    <row r="54" spans="2:9" hidden="1" x14ac:dyDescent="0.45">
      <c r="B54" s="78"/>
    </row>
    <row r="55" spans="2:9" hidden="1" x14ac:dyDescent="0.45"/>
    <row r="56" spans="2:9" hidden="1" x14ac:dyDescent="0.45"/>
    <row r="57" spans="2:9" hidden="1" x14ac:dyDescent="0.45"/>
    <row r="58" spans="2:9" hidden="1" x14ac:dyDescent="0.45"/>
    <row r="59" spans="2:9" hidden="1" x14ac:dyDescent="0.45"/>
    <row r="60" spans="2:9" hidden="1" x14ac:dyDescent="0.45"/>
    <row r="61" spans="2:9" hidden="1" x14ac:dyDescent="0.45"/>
    <row r="62" spans="2:9" hidden="1" x14ac:dyDescent="0.45"/>
    <row r="63" spans="2:9" hidden="1" x14ac:dyDescent="0.45"/>
    <row r="64" spans="2:9"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aH/gweeg799eHf6gpMa6Mclbb31Sgnh5j3gGluzpe6rFrRT/JmbpQY/xY4ogWjDn7a/gja2uIKQ4M5PjdUQipg==" saltValue="e+fLVsqbv9KlLMz0qLkMdA==" spinCount="100000" sheet="1" objects="1" scenarios="1" selectLockedCells="1" selectUnlockedCells="1"/>
  <mergeCells count="28">
    <mergeCell ref="C46:C48"/>
    <mergeCell ref="C13:C15"/>
    <mergeCell ref="C16:C18"/>
    <mergeCell ref="C25:C27"/>
    <mergeCell ref="C28:C30"/>
    <mergeCell ref="C37:C39"/>
    <mergeCell ref="C40:C42"/>
    <mergeCell ref="C19:C21"/>
    <mergeCell ref="C22:C24"/>
    <mergeCell ref="C31:C33"/>
    <mergeCell ref="C34:C36"/>
    <mergeCell ref="C43:C45"/>
    <mergeCell ref="A1:D1"/>
    <mergeCell ref="A2:D2"/>
    <mergeCell ref="A3:D3"/>
    <mergeCell ref="A4:D4"/>
    <mergeCell ref="A5:A48"/>
    <mergeCell ref="B5:D5"/>
    <mergeCell ref="B6:D6"/>
    <mergeCell ref="B7:B12"/>
    <mergeCell ref="B13:B18"/>
    <mergeCell ref="B19:B24"/>
    <mergeCell ref="B25:B30"/>
    <mergeCell ref="B31:B36"/>
    <mergeCell ref="B37:B42"/>
    <mergeCell ref="B43:B48"/>
    <mergeCell ref="C7:C9"/>
    <mergeCell ref="C10:C12"/>
  </mergeCells>
  <conditionalFormatting sqref="E1:AB6">
    <cfRule type="expression" dxfId="30" priority="2">
      <formula>E$1 &gt; TODAY()</formula>
    </cfRule>
    <cfRule type="expression" dxfId="29" priority="3">
      <formula>E$1 &gt; TODAY() - 7</formula>
    </cfRule>
  </conditionalFormatting>
  <conditionalFormatting sqref="B7:B48">
    <cfRule type="expression" dxfId="28" priority="1">
      <formula>$B7 = TEXT(TODAY(),"DDDD")</formula>
    </cfRule>
  </conditionalFormatting>
  <conditionalFormatting sqref="E7:AB48">
    <cfRule type="containsText" dxfId="27" priority="29" operator="containsText" text="Race">
      <formula>NOT(ISERROR(SEARCH("Race",E7)))</formula>
    </cfRule>
    <cfRule type="containsText" dxfId="26" priority="30" operator="containsText" text="Reps">
      <formula>NOT(ISERROR(SEARCH("Reps",E7)))</formula>
    </cfRule>
    <cfRule type="containsText" dxfId="25" priority="31" operator="containsText" text="Intervals">
      <formula>NOT(ISERROR(SEARCH("Intervals",E7)))</formula>
    </cfRule>
    <cfRule type="containsText" dxfId="24" priority="32" operator="containsText" text="Long">
      <formula>NOT(ISERROR(SEARCH("Long",E7)))</formula>
    </cfRule>
    <cfRule type="containsText" dxfId="23" priority="33" operator="containsText" text="Hilly">
      <formula>NOT(ISERROR(SEARCH("Hilly",E7)))</formula>
    </cfRule>
    <cfRule type="containsText" dxfId="22" priority="34" operator="containsText" text="Fartlek">
      <formula>NOT(ISERROR(SEARCH("Fartlek",E7)))</formula>
    </cfRule>
    <cfRule type="containsText" dxfId="21" priority="35" operator="containsText" text="Tempo">
      <formula>NOT(ISERROR(SEARCH("Tempo",E7)))</formula>
    </cfRule>
    <cfRule type="containsText" dxfId="20" priority="36" operator="containsText" text="Subthreshold">
      <formula>NOT(ISERROR(SEARCH("Subthreshold",E7)))</formula>
    </cfRule>
    <cfRule type="containsText" dxfId="19" priority="37" operator="containsText" text="Steady">
      <formula>NOT(ISERROR(SEARCH("Steady",E7)))</formula>
    </cfRule>
    <cfRule type="containsText" dxfId="18" priority="38" operator="containsText" text="Drills">
      <formula>NOT(ISERROR(SEARCH("Drills",E7)))</formula>
    </cfRule>
    <cfRule type="containsText" dxfId="17" priority="39" operator="containsText" text="Strength">
      <formula>NOT(ISERROR(SEARCH("Strength",E7)))</formula>
    </cfRule>
    <cfRule type="containsText" dxfId="16" priority="40" operator="containsText" text="Maintenance">
      <formula>NOT(ISERROR(SEARCH("Maintenance",E7)))</formula>
    </cfRule>
    <cfRule type="containsText" dxfId="15" priority="41" operator="containsText" text="Easy">
      <formula>NOT(ISERROR(SEARCH("Easy",E7)))</formula>
    </cfRule>
    <cfRule type="containsText" dxfId="14" priority="42" operator="containsText" text="Alternative">
      <formula>NOT(ISERROR(SEARCH("Alternative",E7)))</formula>
    </cfRule>
    <cfRule type="containsText" dxfId="13" priority="43" operator="containsText" text="Recovery">
      <formula>NOT(ISERROR(SEARCH("Recovery",E7)))</formula>
    </cfRule>
    <cfRule type="containsText" dxfId="12" priority="44" operator="containsText" text="Rest">
      <formula>NOT(ISERROR(SEARCH("Rest",E7)))</formula>
    </cfRule>
  </conditionalFormatting>
  <printOptions horizontalCentered="1" verticalCentered="1"/>
  <pageMargins left="0.23622047244094491" right="0.23622047244094491" top="0.74803149606299213" bottom="0.74803149606299213" header="0.31496062992125984" footer="0.31496062992125984"/>
  <pageSetup paperSize="9" scale="61" fitToWidth="3" orientation="landscape" r:id="rId1"/>
  <headerFooter>
    <oddHeader>&amp;C&amp;24&amp;F</oddHeader>
  </headerFooter>
  <extLst>
    <ext xmlns:x14="http://schemas.microsoft.com/office/spreadsheetml/2009/9/main" uri="{78C0D931-6437-407d-A8EE-F0AAD7539E65}">
      <x14:conditionalFormattings>
        <x14:conditionalFormatting xmlns:xm="http://schemas.microsoft.com/office/excel/2006/main">
          <x14:cfRule type="containsText" priority="4" operator="containsText" text="Race" id="{4C00A517-7E05-457D-88EE-F5067DEEB422}">
            <xm:f>NOT(ISERROR(SEARCH("Race",'Program Planner'!D4)))</xm:f>
            <x14:dxf>
              <font>
                <color theme="0"/>
              </font>
              <fill>
                <patternFill>
                  <bgColor theme="8" tint="-0.499984740745262"/>
                </patternFill>
              </fill>
            </x14:dxf>
          </x14:cfRule>
          <x14:cfRule type="containsText" priority="5" operator="containsText" text="Taper" id="{837E84B1-47AA-44CF-8530-017C5182EB2E}">
            <xm:f>NOT(ISERROR(SEARCH("Taper",'Program Planner'!D4)))</xm:f>
            <x14:dxf>
              <font>
                <color theme="0"/>
              </font>
              <fill>
                <patternFill>
                  <bgColor theme="8" tint="-0.24994659260841701"/>
                </patternFill>
              </fill>
            </x14:dxf>
          </x14:cfRule>
          <x14:cfRule type="containsText" priority="6" operator="containsText" text="Speed" id="{CE802985-A070-45D3-AC74-5F7F57A7C518}">
            <xm:f>NOT(ISERROR(SEARCH("Speed",'Program Planner'!D4)))</xm:f>
            <x14:dxf>
              <fill>
                <patternFill>
                  <bgColor theme="8"/>
                </patternFill>
              </fill>
            </x14:dxf>
          </x14:cfRule>
          <x14:cfRule type="containsText" priority="7" operator="containsText" text="Strength" id="{0CD6C86F-9528-47B1-9B6B-7879CDC31516}">
            <xm:f>NOT(ISERROR(SEARCH("Strength",'Program Planner'!D4)))</xm:f>
            <x14:dxf>
              <fill>
                <patternFill>
                  <bgColor theme="8" tint="0.39994506668294322"/>
                </patternFill>
              </fill>
            </x14:dxf>
          </x14:cfRule>
          <x14:cfRule type="containsText" priority="8" operator="containsText" text="Base" id="{EFE29378-D883-4F3E-993A-7512890F2B02}">
            <xm:f>NOT(ISERROR(SEARCH("Base",'Program Planner'!D4)))</xm:f>
            <x14:dxf>
              <fill>
                <patternFill>
                  <bgColor theme="8" tint="0.59996337778862885"/>
                </patternFill>
              </fill>
            </x14:dxf>
          </x14:cfRule>
          <x14:cfRule type="containsText" priority="9" operator="containsText" text="Balance" id="{DE1412DD-BE52-4E05-A7D8-9F0B22384819}">
            <xm:f>NOT(ISERROR(SEARCH("Balance",'Program Planner'!D4)))</xm:f>
            <x14:dxf>
              <fill>
                <patternFill>
                  <bgColor theme="8" tint="0.59996337778862885"/>
                </patternFill>
              </fill>
            </x14:dxf>
          </x14:cfRule>
          <x14:cfRule type="containsText" priority="10" operator="containsText" text="Progression" id="{B3F9F79E-AAB4-4011-B185-D45DE484E3F1}">
            <xm:f>NOT(ISERROR(SEARCH("Progression",'Program Planner'!D4)))</xm:f>
            <x14:dxf>
              <fill>
                <patternFill>
                  <bgColor theme="8" tint="0.59996337778862885"/>
                </patternFill>
              </fill>
            </x14:dxf>
          </x14:cfRule>
          <x14:cfRule type="containsText" priority="11" operator="containsText" text="Endurance" id="{48EC296D-67A9-47D2-888C-E277D9D580AD}">
            <xm:f>NOT(ISERROR(SEARCH("Endurance",'Program Planner'!D4)))</xm:f>
            <x14:dxf>
              <fill>
                <patternFill>
                  <bgColor theme="8" tint="0.59996337778862885"/>
                </patternFill>
              </fill>
            </x14:dxf>
          </x14:cfRule>
          <x14:cfRule type="containsText" priority="12" operator="containsText" text="Maintain" id="{A1FACAC3-A292-467D-8848-47E136FFCC9B}">
            <xm:f>NOT(ISERROR(SEARCH("Maintain",'Program Planner'!D4)))</xm:f>
            <x14:dxf>
              <fill>
                <patternFill>
                  <bgColor theme="8" tint="0.79998168889431442"/>
                </patternFill>
              </fill>
            </x14:dxf>
          </x14:cfRule>
          <x14:cfRule type="containsText" priority="13" operator="containsText" text="Recovery" id="{41E408F2-4062-4AE4-9F4A-D10060AC0983}">
            <xm:f>NOT(ISERROR(SEARCH("Recovery",'Program Planner'!D4)))</xm:f>
            <x14:dxf>
              <fill>
                <patternFill>
                  <bgColor theme="8" tint="0.79998168889431442"/>
                </patternFill>
              </fill>
            </x14:dxf>
          </x14:cfRule>
          <xm:sqref>E4:AB4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rgb="FF00066B"/>
    <pageSetUpPr autoPageBreaks="0"/>
  </sheetPr>
  <dimension ref="B1:AL1345"/>
  <sheetViews>
    <sheetView showGridLines="0" showRowColHeaders="0" zoomScale="55" zoomScaleNormal="55" workbookViewId="0">
      <pane xSplit="3" ySplit="2" topLeftCell="D3" activePane="bottomRight" state="frozen"/>
      <selection pane="topRight" activeCell="D1" sqref="D1"/>
      <selection pane="bottomLeft" activeCell="A3" sqref="A3"/>
      <selection pane="bottomRight"/>
    </sheetView>
  </sheetViews>
  <sheetFormatPr defaultColWidth="9.1328125" defaultRowHeight="14.25" x14ac:dyDescent="0.45"/>
  <cols>
    <col min="1" max="1" width="1.3984375" style="74" customWidth="1"/>
    <col min="2" max="2" width="5.1328125" style="74" customWidth="1"/>
    <col min="3" max="3" width="5.1328125" style="176" customWidth="1"/>
    <col min="4" max="7" width="15.73046875" style="74" customWidth="1"/>
    <col min="8" max="8" width="2.86328125" style="75" customWidth="1"/>
    <col min="9" max="12" width="15.73046875" style="74" customWidth="1"/>
    <col min="13" max="13" width="2.73046875" style="74" customWidth="1"/>
    <col min="14" max="17" width="15.73046875" style="74" customWidth="1"/>
    <col min="18" max="18" width="2.73046875" style="74" customWidth="1"/>
    <col min="19" max="22" width="15.73046875" style="74" customWidth="1"/>
    <col min="23" max="23" width="2.73046875" style="74" customWidth="1"/>
    <col min="24" max="27" width="15.73046875" style="74" customWidth="1"/>
    <col min="28" max="28" width="2.73046875" style="74" customWidth="1"/>
    <col min="29" max="32" width="15.73046875" style="74" customWidth="1"/>
    <col min="33" max="33" width="2.73046875" style="74" customWidth="1"/>
    <col min="34" max="37" width="15.73046875" style="74" customWidth="1"/>
    <col min="38" max="16384" width="9.1328125" style="74"/>
  </cols>
  <sheetData>
    <row r="1" spans="2:38" ht="7.5" customHeight="1" thickBot="1" x14ac:dyDescent="0.5">
      <c r="B1" s="83"/>
      <c r="C1" s="83"/>
      <c r="D1" s="176"/>
      <c r="E1" s="176"/>
      <c r="F1" s="176"/>
      <c r="G1" s="176"/>
      <c r="H1" s="177"/>
      <c r="I1" s="176"/>
      <c r="J1" s="176"/>
      <c r="K1" s="176"/>
      <c r="L1" s="176"/>
      <c r="M1" s="176"/>
      <c r="N1" s="176"/>
      <c r="O1" s="176"/>
      <c r="P1" s="176"/>
      <c r="Q1" s="176"/>
      <c r="R1" s="176"/>
      <c r="S1" s="176"/>
      <c r="T1" s="176"/>
      <c r="U1" s="176"/>
      <c r="V1" s="176"/>
      <c r="W1" s="176"/>
      <c r="X1" s="176"/>
      <c r="Y1" s="176"/>
      <c r="Z1" s="176"/>
      <c r="AA1" s="176"/>
      <c r="AB1" s="176"/>
      <c r="AC1" s="176"/>
      <c r="AD1" s="176"/>
      <c r="AE1" s="176"/>
      <c r="AF1" s="176"/>
      <c r="AG1" s="176"/>
      <c r="AH1" s="176"/>
      <c r="AI1" s="176"/>
      <c r="AJ1" s="176"/>
      <c r="AK1" s="176"/>
      <c r="AL1" s="176"/>
    </row>
    <row r="2" spans="2:38" ht="18" customHeight="1" thickBot="1" x14ac:dyDescent="0.5">
      <c r="B2" s="335"/>
      <c r="C2" s="335"/>
      <c r="D2" s="1948">
        <f>plan_start_date</f>
        <v>43374</v>
      </c>
      <c r="E2" s="1949"/>
      <c r="F2" s="1949"/>
      <c r="G2" s="1950"/>
      <c r="H2" s="177"/>
      <c r="I2" s="1948">
        <f>D$2+1</f>
        <v>43375</v>
      </c>
      <c r="J2" s="1949"/>
      <c r="K2" s="1949"/>
      <c r="L2" s="1950"/>
      <c r="M2" s="176"/>
      <c r="N2" s="1948">
        <f>I$2+1</f>
        <v>43376</v>
      </c>
      <c r="O2" s="1949"/>
      <c r="P2" s="1949"/>
      <c r="Q2" s="1950"/>
      <c r="R2" s="176"/>
      <c r="S2" s="1948">
        <f>N$2+1</f>
        <v>43377</v>
      </c>
      <c r="T2" s="1949"/>
      <c r="U2" s="1949"/>
      <c r="V2" s="1950"/>
      <c r="W2" s="176"/>
      <c r="X2" s="1948">
        <f>S$2+1</f>
        <v>43378</v>
      </c>
      <c r="Y2" s="1949"/>
      <c r="Z2" s="1949"/>
      <c r="AA2" s="1950"/>
      <c r="AB2" s="176"/>
      <c r="AC2" s="1948">
        <f>X$2+1</f>
        <v>43379</v>
      </c>
      <c r="AD2" s="1949"/>
      <c r="AE2" s="1949"/>
      <c r="AF2" s="1950"/>
      <c r="AG2" s="176"/>
      <c r="AH2" s="1948">
        <f>AC$2+1</f>
        <v>43380</v>
      </c>
      <c r="AI2" s="1949"/>
      <c r="AJ2" s="1949"/>
      <c r="AK2" s="1950"/>
      <c r="AL2" s="176"/>
    </row>
    <row r="3" spans="2:38" ht="15" customHeight="1" thickBot="1" x14ac:dyDescent="0.5">
      <c r="B3" s="1941">
        <v>1</v>
      </c>
      <c r="C3" s="1944" t="str">
        <f ca="1">IF(INDEX(display_strategy,1,B3)="","", CONCATENATE(INDEX(display_strategy,1,B3),": ",HLOOKUP(INDEX(display_strategy,1,B3),strategies,4,TRUE)))</f>
        <v xml:space="preserve">Conservative Balance: Reduce training stress but maintain a good base level of conditioning and metabolism. </v>
      </c>
      <c r="D3" s="1418" t="str">
        <f ca="1">CONCATENATE("Strategy: ",INDEX(display_strategy,$B3))</f>
        <v>Strategy: Conservative Balance</v>
      </c>
      <c r="E3" s="1947">
        <f>plan_start_date + ($B3-1)*7 + (COLUMN(D$2)-2)/5</f>
        <v>43374.400000000001</v>
      </c>
      <c r="F3" s="1947"/>
      <c r="G3" s="1417" t="str">
        <f>CONCATENATE("Slot: ", ((WEEKDAY(E$3,2)*2-1)+IF(E4="Morning",0,1)))</f>
        <v>Slot: 1</v>
      </c>
      <c r="H3" s="177"/>
      <c r="I3" s="1418" t="str">
        <f ca="1">CONCATENATE("Strategy: ",INDEX(display_strategy,$B3))</f>
        <v>Strategy: Conservative Balance</v>
      </c>
      <c r="J3" s="1947">
        <f>plan_start_date + ($B3-1)*7 + (COLUMN(I$2)-2)/5</f>
        <v>43375.4</v>
      </c>
      <c r="K3" s="1947"/>
      <c r="L3" s="1417" t="str">
        <f>CONCATENATE("Slot: ", ((WEEKDAY(J$3,2)*2-1)+IF(J4="Morning",0,1)))</f>
        <v>Slot: 3</v>
      </c>
      <c r="M3" s="176"/>
      <c r="N3" s="1418" t="str">
        <f ca="1">CONCATENATE("Strategy: ",INDEX(display_strategy,$B3))</f>
        <v>Strategy: Conservative Balance</v>
      </c>
      <c r="O3" s="1947">
        <f>plan_start_date + ($B3-1)*7 + (COLUMN(N$2)-2)/5</f>
        <v>43376.4</v>
      </c>
      <c r="P3" s="1947"/>
      <c r="Q3" s="1417" t="str">
        <f>CONCATENATE("Slot: ", ((WEEKDAY(O$3,2)*2-1)+IF(O4="Morning",0,1)))</f>
        <v>Slot: 5</v>
      </c>
      <c r="R3" s="176"/>
      <c r="S3" s="1418" t="str">
        <f ca="1">CONCATENATE("Strategy: ",INDEX(display_strategy,$B3))</f>
        <v>Strategy: Conservative Balance</v>
      </c>
      <c r="T3" s="1947">
        <f>plan_start_date + ($B3-1)*7 + (COLUMN(S$2)-2)/5</f>
        <v>43377.4</v>
      </c>
      <c r="U3" s="1947"/>
      <c r="V3" s="1417" t="str">
        <f>CONCATENATE("Slot: ", ((WEEKDAY(T$3,2)*2-1)+IF(T4="Morning",0,1)))</f>
        <v>Slot: 7</v>
      </c>
      <c r="W3" s="176"/>
      <c r="X3" s="1418" t="str">
        <f ca="1">CONCATENATE("Strategy: ",INDEX(display_strategy,$B3))</f>
        <v>Strategy: Conservative Balance</v>
      </c>
      <c r="Y3" s="1947">
        <f>plan_start_date + ($B3-1)*7 + (COLUMN(X$2)-2)/5</f>
        <v>43378.400000000001</v>
      </c>
      <c r="Z3" s="1947"/>
      <c r="AA3" s="1417" t="str">
        <f>CONCATENATE("Slot: ", ((WEEKDAY(Y$3,2)*2-1)+IF(Y4="Morning",0,1)))</f>
        <v>Slot: 9</v>
      </c>
      <c r="AB3" s="176"/>
      <c r="AC3" s="1418" t="str">
        <f ca="1">CONCATENATE("Strategy: ",INDEX(display_strategy,$B3))</f>
        <v>Strategy: Conservative Balance</v>
      </c>
      <c r="AD3" s="1947">
        <f>plan_start_date + ($B3-1)*7 + (COLUMN(AC$2)-2)/5</f>
        <v>43379.4</v>
      </c>
      <c r="AE3" s="1947"/>
      <c r="AF3" s="1417" t="str">
        <f>CONCATENATE("Slot: ", ((WEEKDAY(AD$3,2)*2-1)+IF(AD4="Morning",0,1)))</f>
        <v>Slot: 11</v>
      </c>
      <c r="AG3" s="176"/>
      <c r="AH3" s="1418" t="str">
        <f ca="1">CONCATENATE("Strategy: ",INDEX(display_strategy,$B3))</f>
        <v>Strategy: Conservative Balance</v>
      </c>
      <c r="AI3" s="1947">
        <f>plan_start_date + ($B3-1)*7 + (COLUMN(AH$2)-2)/5</f>
        <v>43380.4</v>
      </c>
      <c r="AJ3" s="1947"/>
      <c r="AK3" s="1417" t="str">
        <f>CONCATENATE("Slot: ", ((WEEKDAY(AI$3,2)*2-1)+IF(AI4="Morning",0,1)))</f>
        <v>Slot: 13</v>
      </c>
      <c r="AL3" s="176"/>
    </row>
    <row r="4" spans="2:38" x14ac:dyDescent="0.45">
      <c r="B4" s="1942"/>
      <c r="C4" s="1945"/>
      <c r="D4" s="1413">
        <f>$B3</f>
        <v>1</v>
      </c>
      <c r="E4" s="1930" t="s">
        <v>351</v>
      </c>
      <c r="F4" s="1930"/>
      <c r="G4" s="1412">
        <f ca="1">INDEX(final_duration_session, ((WEEKDAY(E$3,2)*2-1)+IF(E4="Morning",0,1)), $D4)</f>
        <v>40</v>
      </c>
      <c r="H4" s="177"/>
      <c r="I4" s="1413">
        <f>$B3</f>
        <v>1</v>
      </c>
      <c r="J4" s="1930" t="s">
        <v>351</v>
      </c>
      <c r="K4" s="1930"/>
      <c r="L4" s="1412">
        <f ca="1">INDEX(final_duration_session, ((WEEKDAY(J$3,2)*2-1)+IF(J4="Morning",0,1)), $D4)</f>
        <v>40</v>
      </c>
      <c r="M4" s="177"/>
      <c r="N4" s="1413">
        <f>$B3</f>
        <v>1</v>
      </c>
      <c r="O4" s="1930" t="s">
        <v>351</v>
      </c>
      <c r="P4" s="1930"/>
      <c r="Q4" s="1412">
        <f ca="1">INDEX(final_duration_session, ((WEEKDAY(O$3,2)*2-1)+IF(O4="Morning",0,1)), $D4)</f>
        <v>0</v>
      </c>
      <c r="R4" s="177"/>
      <c r="S4" s="1413">
        <f>$B3</f>
        <v>1</v>
      </c>
      <c r="T4" s="1930" t="s">
        <v>351</v>
      </c>
      <c r="U4" s="1930"/>
      <c r="V4" s="1412">
        <f ca="1">INDEX(final_duration_session, ((WEEKDAY(T$3,2)*2-1)+IF(T4="Morning",0,1)), $D4)</f>
        <v>40</v>
      </c>
      <c r="W4" s="177"/>
      <c r="X4" s="1413">
        <f>$B3</f>
        <v>1</v>
      </c>
      <c r="Y4" s="1930" t="s">
        <v>351</v>
      </c>
      <c r="Z4" s="1930"/>
      <c r="AA4" s="1412">
        <f ca="1">INDEX(final_duration_session, ((WEEKDAY(Y$3,2)*2-1)+IF(Y4="Morning",0,1)), $D4)</f>
        <v>40</v>
      </c>
      <c r="AB4" s="177"/>
      <c r="AC4" s="1413">
        <f>$B3</f>
        <v>1</v>
      </c>
      <c r="AD4" s="1930" t="s">
        <v>351</v>
      </c>
      <c r="AE4" s="1930"/>
      <c r="AF4" s="1412">
        <f ca="1">INDEX(final_duration_session, ((WEEKDAY(AD$3,2)*2-1)+IF(AD4="Morning",0,1)), $D4)</f>
        <v>60</v>
      </c>
      <c r="AG4" s="177"/>
      <c r="AH4" s="1413">
        <f>$B3</f>
        <v>1</v>
      </c>
      <c r="AI4" s="1930" t="s">
        <v>351</v>
      </c>
      <c r="AJ4" s="1930"/>
      <c r="AK4" s="1412">
        <f ca="1">INDEX(final_duration_session, ((WEEKDAY(AI$3,2)*2-1)+IF(AI4="Morning",0,1)), $D4)</f>
        <v>135</v>
      </c>
      <c r="AL4" s="177"/>
    </row>
    <row r="5" spans="2:38" ht="15" customHeight="1" x14ac:dyDescent="0.45">
      <c r="B5" s="1942"/>
      <c r="C5" s="1945"/>
      <c r="D5" s="1931" t="str">
        <f ca="1">IF(G4&gt;0,INDEX(sessions_name,INDEX(plan_session_allocation,((WEEKDAY(E$3,2)*2-1)+IF(E4="Morning",0,1)),D4)),"")</f>
        <v>Easy</v>
      </c>
      <c r="E5" s="1932"/>
      <c r="F5" s="1932"/>
      <c r="G5" s="1933"/>
      <c r="H5" s="177"/>
      <c r="I5" s="1931" t="str">
        <f ca="1">IF(L4&gt;0,INDEX(sessions_name,INDEX(plan_session_allocation,((WEEKDAY(J$3,2)*2-1)+IF(J4="Morning",0,1)),I4)),"")</f>
        <v>Easy</v>
      </c>
      <c r="J5" s="1932"/>
      <c r="K5" s="1932"/>
      <c r="L5" s="1933"/>
      <c r="M5" s="177"/>
      <c r="N5" s="1931" t="str">
        <f ca="1">IF(Q4&gt;0,INDEX(sessions_name,INDEX(plan_session_allocation,((WEEKDAY(O$3,2)*2-1)+IF(O4="Morning",0,1)),N4)),"")</f>
        <v/>
      </c>
      <c r="O5" s="1932"/>
      <c r="P5" s="1932"/>
      <c r="Q5" s="1933"/>
      <c r="R5" s="177"/>
      <c r="S5" s="1931" t="str">
        <f ca="1">IF(V4&gt;0,INDEX(sessions_name,INDEX(plan_session_allocation,((WEEKDAY(T$3,2)*2-1)+IF(T4="Morning",0,1)),S4)),"")</f>
        <v>Easy</v>
      </c>
      <c r="T5" s="1932"/>
      <c r="U5" s="1932"/>
      <c r="V5" s="1933"/>
      <c r="W5" s="177"/>
      <c r="X5" s="1931" t="str">
        <f ca="1">IF(AA4&gt;0,INDEX(sessions_name,INDEX(plan_session_allocation,((WEEKDAY(Y$3,2)*2-1)+IF(Y4="Morning",0,1)),X4)),"")</f>
        <v>Easy</v>
      </c>
      <c r="Y5" s="1932"/>
      <c r="Z5" s="1932"/>
      <c r="AA5" s="1933"/>
      <c r="AB5" s="177"/>
      <c r="AC5" s="1931" t="str">
        <f ca="1">IF(AF4&gt;0,INDEX(sessions_name,INDEX(plan_session_allocation,((WEEKDAY(AD$3,2)*2-1)+IF(AD4="Morning",0,1)),AC4)),"")</f>
        <v>Drills</v>
      </c>
      <c r="AD5" s="1932"/>
      <c r="AE5" s="1932"/>
      <c r="AF5" s="1933"/>
      <c r="AG5" s="177"/>
      <c r="AH5" s="1931" t="str">
        <f ca="1">IF(AK4&gt;0,INDEX(sessions_name,INDEX(plan_session_allocation,((WEEKDAY(AI$3,2)*2-1)+IF(AI4="Morning",0,1)),AH4)),"")</f>
        <v>Long</v>
      </c>
      <c r="AI5" s="1932"/>
      <c r="AJ5" s="1932"/>
      <c r="AK5" s="1933"/>
      <c r="AL5" s="177"/>
    </row>
    <row r="6" spans="2:38" ht="15" customHeight="1" x14ac:dyDescent="0.45">
      <c r="B6" s="1942"/>
      <c r="C6" s="1945"/>
      <c r="D6" s="1934" t="str">
        <f ca="1">IF(G4&gt;0,CONCATENATE("Sport: ",INDEX(sessions_sport_primary,INDEX(plan_session_allocation,(WEEKDAY(E$3,2)*2-1)+IF(E4="Morning",0,1),D4))),"")</f>
        <v>Sport: Ride</v>
      </c>
      <c r="E6" s="1935"/>
      <c r="F6" s="1936">
        <f ca="1">IF(G4&gt;0,IFERROR(F7+F8+F9,""),"")</f>
        <v>40</v>
      </c>
      <c r="G6" s="1937"/>
      <c r="H6" s="177"/>
      <c r="I6" s="1934" t="str">
        <f ca="1">IF(L4&gt;0,CONCATENATE("Sport: ",INDEX(sessions_sport_primary,INDEX(plan_session_allocation,(WEEKDAY(J$3,2)*2-1)+IF(J4="Morning",0,1),I4))),"")</f>
        <v>Sport: Ride</v>
      </c>
      <c r="J6" s="1935"/>
      <c r="K6" s="1936">
        <f ca="1">IF(L4&gt;0,IFERROR(K7+K8+K9,""),"")</f>
        <v>40</v>
      </c>
      <c r="L6" s="1937"/>
      <c r="M6" s="177"/>
      <c r="N6" s="1934" t="str">
        <f ca="1">IF(Q4&gt;0,CONCATENATE("Sport: ",INDEX(sessions_sport_primary,INDEX(plan_session_allocation,(WEEKDAY(O$3,2)*2-1)+IF(O4="Morning",0,1),N4))),"")</f>
        <v/>
      </c>
      <c r="O6" s="1935"/>
      <c r="P6" s="1936" t="str">
        <f ca="1">IF(Q4&gt;0,IFERROR(P7+P8+P9,""),"")</f>
        <v/>
      </c>
      <c r="Q6" s="1937"/>
      <c r="R6" s="177"/>
      <c r="S6" s="1934" t="str">
        <f ca="1">IF(V4&gt;0,CONCATENATE("Sport: ",INDEX(sessions_sport_primary,INDEX(plan_session_allocation,(WEEKDAY(T$3,2)*2-1)+IF(T4="Morning",0,1),S4))),"")</f>
        <v>Sport: Ride</v>
      </c>
      <c r="T6" s="1935"/>
      <c r="U6" s="1936">
        <f ca="1">IF(V4&gt;0,IFERROR(U7+U8+U9,""),"")</f>
        <v>40</v>
      </c>
      <c r="V6" s="1937"/>
      <c r="W6" s="177"/>
      <c r="X6" s="1934" t="str">
        <f ca="1">IF(AA4&gt;0,CONCATENATE("Sport: ",INDEX(sessions_sport_primary,INDEX(plan_session_allocation,(WEEKDAY(Y$3,2)*2-1)+IF(Y4="Morning",0,1),X4))),"")</f>
        <v>Sport: Ride</v>
      </c>
      <c r="Y6" s="1935"/>
      <c r="Z6" s="1936">
        <f ca="1">IF(AA4&gt;0,IFERROR(Z7+Z8+Z9,""),"")</f>
        <v>40</v>
      </c>
      <c r="AA6" s="1937"/>
      <c r="AB6" s="177"/>
      <c r="AC6" s="1934" t="str">
        <f ca="1">IF(AF4&gt;0,CONCATENATE("Sport: ",INDEX(sessions_sport_primary,INDEX(plan_session_allocation,(WEEKDAY(AD$3,2)*2-1)+IF(AD4="Morning",0,1),AC4))),"")</f>
        <v>Sport: Run</v>
      </c>
      <c r="AD6" s="1935"/>
      <c r="AE6" s="1936">
        <f ca="1">IF(AF4&gt;0,IFERROR(AE7+AE8+AE9,""),"")</f>
        <v>60</v>
      </c>
      <c r="AF6" s="1937"/>
      <c r="AG6" s="177"/>
      <c r="AH6" s="1934" t="str">
        <f ca="1">IF(AK4&gt;0,CONCATENATE("Sport: ",INDEX(sessions_sport_primary,INDEX(plan_session_allocation,(WEEKDAY(AI$3,2)*2-1)+IF(AI4="Morning",0,1),AH4))),"")</f>
        <v>Sport: Ride</v>
      </c>
      <c r="AI6" s="1935"/>
      <c r="AJ6" s="1936">
        <f ca="1">IF(AK4&gt;0,IFERROR(AJ7+AJ8+AJ9,""),"")</f>
        <v>135</v>
      </c>
      <c r="AK6" s="1937"/>
      <c r="AL6" s="177"/>
    </row>
    <row r="7" spans="2:38" ht="15" customHeight="1" x14ac:dyDescent="0.45">
      <c r="B7" s="1942"/>
      <c r="C7" s="1945"/>
      <c r="D7" s="1922" t="str">
        <f ca="1">IF(G4&gt;0,CONCATENATE("HR Target: ",
INDEX(sessions_HR_primary,INDEX(plan_session_allocation,((WEEKDAY(E$3,2)*2-1)+IF(E4="Morning",0,1)),D4)),
IF(INDEX(sessions_HR_primary,INDEX(plan_session_allocation,((WEEKDAY(E$3,2)*2-1)+IF(E4="Morning",0,1)),D4))="N/A","",
" BPM")),"")</f>
        <v>HR Target: 138 BPM</v>
      </c>
      <c r="E7" s="1923"/>
      <c r="F7" s="1924">
        <f ca="1">IF(G4&gt;0,
INDEX(final_duration_effort,((WEEKDAY(E$3,2)*2-1)+IF(E4="Morning",0,1)),D4),"")</f>
        <v>40</v>
      </c>
      <c r="G7" s="1925"/>
      <c r="H7" s="177"/>
      <c r="I7" s="1922" t="str">
        <f ca="1">IF(L4&gt;0,CONCATENATE("HR Target: ",
INDEX(sessions_HR_primary,INDEX(plan_session_allocation,((WEEKDAY(J$3,2)*2-1)+IF(J4="Morning",0,1)),I4)),
IF(INDEX(sessions_HR_primary,INDEX(plan_session_allocation,((WEEKDAY(J$3,2)*2-1)+IF(J4="Morning",0,1)),I4))="N/A","",
" BPM")),"")</f>
        <v>HR Target: 138 BPM</v>
      </c>
      <c r="J7" s="1923"/>
      <c r="K7" s="1924">
        <f ca="1">IF(L4&gt;0,
INDEX(final_duration_effort,((WEEKDAY(J$3,2)*2-1)+IF(J4="Morning",0,1)),I4),"")</f>
        <v>40</v>
      </c>
      <c r="L7" s="1925"/>
      <c r="M7" s="177"/>
      <c r="N7" s="1922" t="str">
        <f ca="1">IF(Q4&gt;0,CONCATENATE("HR Target: ",
INDEX(sessions_HR_primary,INDEX(plan_session_allocation,((WEEKDAY(O$3,2)*2-1)+IF(O4="Morning",0,1)),N4)),
IF(INDEX(sessions_HR_primary,INDEX(plan_session_allocation,((WEEKDAY(O$3,2)*2-1)+IF(O4="Morning",0,1)),N4))="N/A","",
" BPM")),"")</f>
        <v/>
      </c>
      <c r="O7" s="1923"/>
      <c r="P7" s="1924" t="str">
        <f ca="1">IF(Q4&gt;0,
INDEX(final_duration_effort,((WEEKDAY(O$3,2)*2-1)+IF(O4="Morning",0,1)),N4),"")</f>
        <v/>
      </c>
      <c r="Q7" s="1925"/>
      <c r="R7" s="177"/>
      <c r="S7" s="1922" t="str">
        <f ca="1">IF(V4&gt;0,CONCATENATE("HR Target: ",
INDEX(sessions_HR_primary,INDEX(plan_session_allocation,((WEEKDAY(T$3,2)*2-1)+IF(T4="Morning",0,1)),S4)),
IF(INDEX(sessions_HR_primary,INDEX(plan_session_allocation,((WEEKDAY(T$3,2)*2-1)+IF(T4="Morning",0,1)),S4))="N/A","",
" BPM")),"")</f>
        <v>HR Target: 138 BPM</v>
      </c>
      <c r="T7" s="1923"/>
      <c r="U7" s="1924">
        <f ca="1">IF(V4&gt;0,
INDEX(final_duration_effort,((WEEKDAY(T$3,2)*2-1)+IF(T4="Morning",0,1)),S4),"")</f>
        <v>40</v>
      </c>
      <c r="V7" s="1925"/>
      <c r="W7" s="177"/>
      <c r="X7" s="1922" t="str">
        <f ca="1">IF(AA4&gt;0,CONCATENATE("HR Target: ",
INDEX(sessions_HR_primary,INDEX(plan_session_allocation,((WEEKDAY(Y$3,2)*2-1)+IF(Y4="Morning",0,1)),X4)),
IF(INDEX(sessions_HR_primary,INDEX(plan_session_allocation,((WEEKDAY(Y$3,2)*2-1)+IF(Y4="Morning",0,1)),X4))="N/A","",
" BPM")),"")</f>
        <v>HR Target: 138 BPM</v>
      </c>
      <c r="Y7" s="1923"/>
      <c r="Z7" s="1924">
        <f ca="1">IF(AA4&gt;0,
INDEX(final_duration_effort,((WEEKDAY(Y$3,2)*2-1)+IF(Y4="Morning",0,1)),X4),"")</f>
        <v>40</v>
      </c>
      <c r="AA7" s="1925"/>
      <c r="AB7" s="177"/>
      <c r="AC7" s="1922" t="str">
        <f ca="1">IF(AF4&gt;0,CONCATENATE("HR Target: ",
INDEX(sessions_HR_primary,INDEX(plan_session_allocation,((WEEKDAY(AD$3,2)*2-1)+IF(AD4="Morning",0,1)),AC4)),
IF(INDEX(sessions_HR_primary,INDEX(plan_session_allocation,((WEEKDAY(AD$3,2)*2-1)+IF(AD4="Morning",0,1)),AC4))="N/A","",
" BPM")),"")</f>
        <v>HR Target: 148 BPM</v>
      </c>
      <c r="AD7" s="1923"/>
      <c r="AE7" s="1924">
        <f ca="1">IF(AF4&gt;0,
INDEX(final_duration_effort,((WEEKDAY(AD$3,2)*2-1)+IF(AD4="Morning",0,1)),AC4),"")</f>
        <v>30</v>
      </c>
      <c r="AF7" s="1925"/>
      <c r="AG7" s="177"/>
      <c r="AH7" s="1922" t="str">
        <f ca="1">IF(AK4&gt;0,CONCATENATE("HR Target: ",
INDEX(sessions_HR_primary,INDEX(plan_session_allocation,((WEEKDAY(AI$3,2)*2-1)+IF(AI4="Morning",0,1)),AH4)),
IF(INDEX(sessions_HR_primary,INDEX(plan_session_allocation,((WEEKDAY(AI$3,2)*2-1)+IF(AI4="Morning",0,1)),AH4))="N/A","",
" BPM")),"")</f>
        <v>HR Target: 148 BPM</v>
      </c>
      <c r="AI7" s="1923"/>
      <c r="AJ7" s="1924">
        <f ca="1">IF(AK4&gt;0,
INDEX(final_duration_effort,((WEEKDAY(AI$3,2)*2-1)+IF(AI4="Morning",0,1)),AH4),"")</f>
        <v>135</v>
      </c>
      <c r="AK7" s="1925"/>
      <c r="AL7" s="177"/>
    </row>
    <row r="8" spans="2:38" s="81" customFormat="1" x14ac:dyDescent="0.45">
      <c r="B8" s="1942"/>
      <c r="C8" s="1945"/>
      <c r="D8" s="1926" t="str">
        <f ca="1">IF(G4&gt;0,CONCATENATE("HR Range: ",
INDEX(sessions_HR_range_primary,INDEX(plan_session_allocation,((WEEKDAY(E$3,2)*2-1)+IF(E4="Morning",0,1)),D4)),
IF(INDEX(sessions_HR_range_primary,INDEX(plan_session_allocation,((WEEKDAY(E$3,2)*2-1)+IF(E4="Morning",0,1)),D4))="N/A","",
" BPM")),"")</f>
        <v>HR Range: 129 - 148 BPM</v>
      </c>
      <c r="E8" s="1927"/>
      <c r="F8" s="1928">
        <f ca="1">IF(G4&gt;0,IF(
INDEX(sessions_recoveries,INDEX(plan_session_allocation,((WEEKDAY(E$3,2)*2-1)+IF(E4="Morning",0,1)),D4))="Yes",
VLOOKUP(INDEX(plan_duration_primary,((WEEKDAY(E$3,2)*2-1)+IF(E4="Morning",0,1)),D4),
INDIRECT(INDEX(sessions_intervals_code_primary,INDEX(plan_session_allocation,((WEEKDAY(E$3,2)*2-1)+IF(E4="Morning",0,1)),D4))),7,TRUE),0),"")</f>
        <v>0</v>
      </c>
      <c r="G8" s="1929"/>
      <c r="H8" s="178"/>
      <c r="I8" s="1926" t="str">
        <f ca="1">IF(L4&gt;0,CONCATENATE("HR Range: ",
INDEX(sessions_HR_range_primary,INDEX(plan_session_allocation,((WEEKDAY(J$3,2)*2-1)+IF(J4="Morning",0,1)),I4)),
IF(INDEX(sessions_HR_range_primary,INDEX(plan_session_allocation,((WEEKDAY(J$3,2)*2-1)+IF(J4="Morning",0,1)),I4))="N/A","",
" BPM")),"")</f>
        <v>HR Range: 129 - 148 BPM</v>
      </c>
      <c r="J8" s="1927"/>
      <c r="K8" s="1928">
        <f ca="1">IF(L4&gt;0,IF(
INDEX(sessions_recoveries,INDEX(plan_session_allocation,((WEEKDAY(J$3,2)*2-1)+IF(J4="Morning",0,1)),I4))="Yes",
VLOOKUP(INDEX(plan_duration_primary,((WEEKDAY(J$3,2)*2-1)+IF(J4="Morning",0,1)),I4),
INDIRECT(INDEX(sessions_intervals_code_primary,INDEX(plan_session_allocation,((WEEKDAY(J$3,2)*2-1)+IF(J4="Morning",0,1)),I4))),7,TRUE),0),"")</f>
        <v>0</v>
      </c>
      <c r="L8" s="1929"/>
      <c r="M8" s="178"/>
      <c r="N8" s="1926" t="str">
        <f ca="1">IF(Q4&gt;0,CONCATENATE("HR Range: ",
INDEX(sessions_HR_range_primary,INDEX(plan_session_allocation,((WEEKDAY(O$3,2)*2-1)+IF(O4="Morning",0,1)),N4)),
IF(INDEX(sessions_HR_range_primary,INDEX(plan_session_allocation,((WEEKDAY(O$3,2)*2-1)+IF(O4="Morning",0,1)),N4))="N/A","",
" BPM")),"")</f>
        <v/>
      </c>
      <c r="O8" s="1927"/>
      <c r="P8" s="1928" t="str">
        <f ca="1">IF(Q4&gt;0,IF(
INDEX(sessions_recoveries,INDEX(plan_session_allocation,((WEEKDAY(O$3,2)*2-1)+IF(O4="Morning",0,1)),N4))="Yes",
VLOOKUP(INDEX(plan_duration_primary,((WEEKDAY(O$3,2)*2-1)+IF(O4="Morning",0,1)),N4),
INDIRECT(INDEX(sessions_intervals_code_primary,INDEX(plan_session_allocation,((WEEKDAY(O$3,2)*2-1)+IF(O4="Morning",0,1)),N4))),7,TRUE),0),"")</f>
        <v/>
      </c>
      <c r="Q8" s="1929"/>
      <c r="R8" s="178"/>
      <c r="S8" s="1926" t="str">
        <f ca="1">IF(V4&gt;0,CONCATENATE("HR Range: ",
INDEX(sessions_HR_range_primary,INDEX(plan_session_allocation,((WEEKDAY(T$3,2)*2-1)+IF(T4="Morning",0,1)),S4)),
IF(INDEX(sessions_HR_range_primary,INDEX(plan_session_allocation,((WEEKDAY(T$3,2)*2-1)+IF(T4="Morning",0,1)),S4))="N/A","",
" BPM")),"")</f>
        <v>HR Range: 129 - 148 BPM</v>
      </c>
      <c r="T8" s="1927"/>
      <c r="U8" s="1928">
        <f ca="1">IF(V4&gt;0,IF(
INDEX(sessions_recoveries,INDEX(plan_session_allocation,((WEEKDAY(T$3,2)*2-1)+IF(T4="Morning",0,1)),S4))="Yes",
VLOOKUP(INDEX(plan_duration_primary,((WEEKDAY(T$3,2)*2-1)+IF(T4="Morning",0,1)),S4),
INDIRECT(INDEX(sessions_intervals_code_primary,INDEX(plan_session_allocation,((WEEKDAY(T$3,2)*2-1)+IF(T4="Morning",0,1)),S4))),7,TRUE),0),"")</f>
        <v>0</v>
      </c>
      <c r="V8" s="1929"/>
      <c r="W8" s="178"/>
      <c r="X8" s="1926" t="str">
        <f ca="1">IF(AA4&gt;0,CONCATENATE("HR Range: ",
INDEX(sessions_HR_range_primary,INDEX(plan_session_allocation,((WEEKDAY(Y$3,2)*2-1)+IF(Y4="Morning",0,1)),X4)),
IF(INDEX(sessions_HR_range_primary,INDEX(plan_session_allocation,((WEEKDAY(Y$3,2)*2-1)+IF(Y4="Morning",0,1)),X4))="N/A","",
" BPM")),"")</f>
        <v>HR Range: 129 - 148 BPM</v>
      </c>
      <c r="Y8" s="1927"/>
      <c r="Z8" s="1928">
        <f ca="1">IF(AA4&gt;0,IF(
INDEX(sessions_recoveries,INDEX(plan_session_allocation,((WEEKDAY(Y$3,2)*2-1)+IF(Y4="Morning",0,1)),X4))="Yes",
VLOOKUP(INDEX(plan_duration_primary,((WEEKDAY(Y$3,2)*2-1)+IF(Y4="Morning",0,1)),X4),
INDIRECT(INDEX(sessions_intervals_code_primary,INDEX(plan_session_allocation,((WEEKDAY(Y$3,2)*2-1)+IF(Y4="Morning",0,1)),X4))),7,TRUE),0),"")</f>
        <v>0</v>
      </c>
      <c r="AA8" s="1929"/>
      <c r="AB8" s="178"/>
      <c r="AC8" s="1926" t="str">
        <f ca="1">IF(AF4&gt;0,CONCATENATE("HR Range: ",
INDEX(sessions_HR_range_primary,INDEX(plan_session_allocation,((WEEKDAY(AD$3,2)*2-1)+IF(AD4="Morning",0,1)),AC4)),
IF(INDEX(sessions_HR_range_primary,INDEX(plan_session_allocation,((WEEKDAY(AD$3,2)*2-1)+IF(AD4="Morning",0,1)),AC4))="N/A","",
" BPM")),"")</f>
        <v>HR Range: 129 - 169 BPM</v>
      </c>
      <c r="AD8" s="1927"/>
      <c r="AE8" s="1928">
        <f ca="1">IF(AF4&gt;0,IF(
INDEX(sessions_recoveries,INDEX(plan_session_allocation,((WEEKDAY(AD$3,2)*2-1)+IF(AD4="Morning",0,1)),AC4))="Yes",
VLOOKUP(INDEX(plan_duration_primary,((WEEKDAY(AD$3,2)*2-1)+IF(AD4="Morning",0,1)),AC4),
INDIRECT(INDEX(sessions_intervals_code_primary,INDEX(plan_session_allocation,((WEEKDAY(AD$3,2)*2-1)+IF(AD4="Morning",0,1)),AC4))),7,TRUE),0),"")</f>
        <v>0</v>
      </c>
      <c r="AF8" s="1929"/>
      <c r="AG8" s="178"/>
      <c r="AH8" s="1926" t="str">
        <f ca="1">IF(AK4&gt;0,CONCATENATE("HR Range: ",
INDEX(sessions_HR_range_primary,INDEX(plan_session_allocation,((WEEKDAY(AI$3,2)*2-1)+IF(AI4="Morning",0,1)),AH4)),
IF(INDEX(sessions_HR_range_primary,INDEX(plan_session_allocation,((WEEKDAY(AI$3,2)*2-1)+IF(AI4="Morning",0,1)),AH4))="N/A","",
" BPM")),"")</f>
        <v>HR Range: 129 - 169 BPM</v>
      </c>
      <c r="AI8" s="1927"/>
      <c r="AJ8" s="1928">
        <f ca="1">IF(AK4&gt;0,IF(
INDEX(sessions_recoveries,INDEX(plan_session_allocation,((WEEKDAY(AI$3,2)*2-1)+IF(AI4="Morning",0,1)),AH4))="Yes",
VLOOKUP(INDEX(plan_duration_primary,((WEEKDAY(AI$3,2)*2-1)+IF(AI4="Morning",0,1)),AH4),
INDIRECT(INDEX(sessions_intervals_code_primary,INDEX(plan_session_allocation,((WEEKDAY(AI$3,2)*2-1)+IF(AI4="Morning",0,1)),AH4))),7,TRUE),0),"")</f>
        <v>0</v>
      </c>
      <c r="AK8" s="1929"/>
      <c r="AL8" s="178"/>
    </row>
    <row r="9" spans="2:38" s="81" customFormat="1" ht="15" customHeight="1" x14ac:dyDescent="0.45">
      <c r="B9" s="1942"/>
      <c r="C9" s="1945"/>
      <c r="D9" s="1909" t="str">
        <f ca="1">IF(G4&gt;0,CONCATENATE("Equivalent Pace: ",
TEXT(INDEX(sessions_pace_primary,INDEX(plan_session_allocation,(WEEKDAY(E$3,2)*2-1)+IF(E4="Morning",0,1),D4)),"m:ss"),
" min/km"
),"")</f>
        <v>Equivalent Pace: 4:39 min/km</v>
      </c>
      <c r="E9" s="1910"/>
      <c r="F9" s="1911">
        <f ca="1">IF(G4&gt;0, INDEX(final_duration_WU,((WEEKDAY(E$3,2)*2-1)+IF(E4="Morning",0,1)),D4)  + INDEX(final_duration_WD,((WEEKDAY(E$3,2)*2-1)+IF(E4="Morning",0,1)),D4), "")</f>
        <v>0</v>
      </c>
      <c r="G9" s="1912"/>
      <c r="H9" s="178"/>
      <c r="I9" s="1909" t="str">
        <f ca="1">IF(L4&gt;0,CONCATENATE("Equivalent Pace: ",
TEXT(INDEX(sessions_pace_primary,INDEX(plan_session_allocation,(WEEKDAY(J$3,2)*2-1)+IF(J4="Morning",0,1),I4)),"m:ss"),
" min/km"
),"")</f>
        <v>Equivalent Pace: 4:39 min/km</v>
      </c>
      <c r="J9" s="1910"/>
      <c r="K9" s="1911">
        <f ca="1">IF(L4&gt;0, INDEX(final_duration_WU,((WEEKDAY(J$3,2)*2-1)+IF(J4="Morning",0,1)),I4)  + INDEX(final_duration_WD,((WEEKDAY(J$3,2)*2-1)+IF(J4="Morning",0,1)),I4), "")</f>
        <v>0</v>
      </c>
      <c r="L9" s="1912"/>
      <c r="M9" s="178"/>
      <c r="N9" s="1909" t="str">
        <f ca="1">IF(Q4&gt;0,CONCATENATE("Equivalent Pace: ",
TEXT(INDEX(sessions_pace_primary,INDEX(plan_session_allocation,(WEEKDAY(O$3,2)*2-1)+IF(O4="Morning",0,1),N4)),"m:ss"),
" min/km"
),"")</f>
        <v/>
      </c>
      <c r="O9" s="1910"/>
      <c r="P9" s="1911" t="str">
        <f ca="1">IF(Q4&gt;0, INDEX(final_duration_WU,((WEEKDAY(O$3,2)*2-1)+IF(O4="Morning",0,1)),N4)  + INDEX(final_duration_WD,((WEEKDAY(O$3,2)*2-1)+IF(O4="Morning",0,1)),N4), "")</f>
        <v/>
      </c>
      <c r="Q9" s="1912"/>
      <c r="R9" s="178"/>
      <c r="S9" s="1909" t="str">
        <f ca="1">IF(V4&gt;0,CONCATENATE("Equivalent Pace: ",
TEXT(INDEX(sessions_pace_primary,INDEX(plan_session_allocation,(WEEKDAY(T$3,2)*2-1)+IF(T4="Morning",0,1),S4)),"m:ss"),
" min/km"
),"")</f>
        <v>Equivalent Pace: 4:39 min/km</v>
      </c>
      <c r="T9" s="1910"/>
      <c r="U9" s="1911">
        <f ca="1">IF(V4&gt;0, INDEX(final_duration_WU,((WEEKDAY(T$3,2)*2-1)+IF(T4="Morning",0,1)),S4)  + INDEX(final_duration_WD,((WEEKDAY(T$3,2)*2-1)+IF(T4="Morning",0,1)),S4), "")</f>
        <v>0</v>
      </c>
      <c r="V9" s="1912"/>
      <c r="W9" s="178"/>
      <c r="X9" s="1909" t="str">
        <f ca="1">IF(AA4&gt;0,CONCATENATE("Equivalent Pace: ",
TEXT(INDEX(sessions_pace_primary,INDEX(plan_session_allocation,(WEEKDAY(Y$3,2)*2-1)+IF(Y4="Morning",0,1),X4)),"m:ss"),
" min/km"
),"")</f>
        <v>Equivalent Pace: 4:39 min/km</v>
      </c>
      <c r="Y9" s="1910"/>
      <c r="Z9" s="1911">
        <f ca="1">IF(AA4&gt;0, INDEX(final_duration_WU,((WEEKDAY(Y$3,2)*2-1)+IF(Y4="Morning",0,1)),X4)  + INDEX(final_duration_WD,((WEEKDAY(Y$3,2)*2-1)+IF(Y4="Morning",0,1)),X4), "")</f>
        <v>0</v>
      </c>
      <c r="AA9" s="1912"/>
      <c r="AB9" s="178"/>
      <c r="AC9" s="1909" t="str">
        <f ca="1">IF(AF4&gt;0,CONCATENATE("Equivalent Pace: ",
TEXT(INDEX(sessions_pace_primary,INDEX(plan_session_allocation,(WEEKDAY(AD$3,2)*2-1)+IF(AD4="Morning",0,1),AC4)),"m:ss"),
" min/km"
),"")</f>
        <v>Equivalent Pace: 4:14 min/km</v>
      </c>
      <c r="AD9" s="1910"/>
      <c r="AE9" s="1911">
        <f ca="1">IF(AF4&gt;0, INDEX(final_duration_WU,((WEEKDAY(AD$3,2)*2-1)+IF(AD4="Morning",0,1)),AC4)  + INDEX(final_duration_WD,((WEEKDAY(AD$3,2)*2-1)+IF(AD4="Morning",0,1)),AC4), "")</f>
        <v>30</v>
      </c>
      <c r="AF9" s="1912"/>
      <c r="AG9" s="178"/>
      <c r="AH9" s="1909" t="str">
        <f ca="1">IF(AK4&gt;0,CONCATENATE("Equivalent Pace: ",
TEXT(INDEX(sessions_pace_primary,INDEX(plan_session_allocation,(WEEKDAY(AI$3,2)*2-1)+IF(AI4="Morning",0,1),AH4)),"m:ss"),
" min/km"
),"")</f>
        <v>Equivalent Pace: 4:14 min/km</v>
      </c>
      <c r="AI9" s="1910"/>
      <c r="AJ9" s="1911">
        <f ca="1">IF(AK4&gt;0, INDEX(final_duration_WU,((WEEKDAY(AI$3,2)*2-1)+IF(AI4="Morning",0,1)),AH4)  + INDEX(final_duration_WD,((WEEKDAY(AI$3,2)*2-1)+IF(AI4="Morning",0,1)),AH4), "")</f>
        <v>0</v>
      </c>
      <c r="AK9" s="1912"/>
      <c r="AL9" s="178"/>
    </row>
    <row r="10" spans="2:38" s="82" customFormat="1" ht="15" customHeight="1" x14ac:dyDescent="0.45">
      <c r="B10" s="1942"/>
      <c r="C10" s="1945"/>
      <c r="D10" s="1913" t="str">
        <f ca="1">IF(G4&gt;0,CONCATENATE(IFERROR(CONCATENATE(IF(INDEX(display_intervals_breakdown,((WEEKDAY(E$3,2)*2-1)+IF(E4="Morning",0,1)),D4)="","",CONCATENATE("Intervals/Reps Breakdown: 
",INDEX(display_intervals_breakdown,((WEEKDAY(E$3,2)*2-1)+IF(E4="Morning",0,1)),D4),"
")),"Session Description: 
",CONCATENATE(IF(INDEX(final_duration_secondary,((WEEKDAY(E$3,2)*2-1)+IF(E4="Morning",0,1)),D4)=0,"","1. "),
INDEX(sessions_description_primary,,INDEX(plan_session_allocation,((WEEKDAY(E$3,2)*2-1)+IF(E4="Morning",0,1)),D4)),IF(INDEX(final_duration_secondary,((WEEKDAY(E$3,2)*2-1)+IF(E4="Morning",0,1)),D4)=0,"","
2. "),
IF(INDEX(final_duration_secondary,((WEEKDAY(E$3,2)*2-1)+IF(E4="Morning",0,1)),D4)=0,"",INDEX(sessions_description_secondary,,INDEX(plan_session_allocation,((WEEKDAY(E$3,2)*2-1)+IF(E4="Morning",0,1)),D4))),IF(INDEX(final_duration_tertiary,((WEEKDAY(E$3,2)*2-1)+IF(E4="Morning",0,1)),D4)=0,"","
3. "),
IF(INDEX(final_duration_tertiary,((WEEKDAY(E$3,2)*2-1)+IF(E4="Morning",0,1)),D4)="","",INDEX(sessions_description_tertiary,,INDEX(plan_session_allocation,((WEEKDAY(E$3,2)*2-1)+IF(E4="Morning",0,1)),D4))),
IF(INDEX(display_nutrition_description,((WEEKDAY(E$3,2)*2-1)+IF(E4="Morning",0,1)),D4)="","",
CONCATENATE("
Meal Plan: ", INDEX(sessions_nutrition,,INDEX(plan_session_allocation,((WEEKDAY(E$3,2)*2-1)+IF(E4="Morning",0,1)),D4)), "
", INDEX(display_nutrition_description,((WEEKDAY(E$3,2)*2-1)+IF(E4="Morning",0,1)),D4)))
)),"")),"")</f>
        <v>Session Description: 
Stay at a comfortable and controlled intensity where you should be able to have a conversation without large pauses. Keep an even intensity and accept that your pace may change as the terrain changes.</v>
      </c>
      <c r="E10" s="1914"/>
      <c r="F10" s="1914"/>
      <c r="G10" s="1915"/>
      <c r="H10" s="180"/>
      <c r="I10" s="1913" t="str">
        <f ca="1">IF(L4&gt;0,CONCATENATE(IFERROR(CONCATENATE(IF(INDEX(display_intervals_breakdown,((WEEKDAY(J$3,2)*2-1)+IF(J4="Morning",0,1)),I4)="","",CONCATENATE("Intervals/Reps Breakdown: 
",INDEX(display_intervals_breakdown,((WEEKDAY(J$3,2)*2-1)+IF(J4="Morning",0,1)),I4),"
")),"Session Description: 
",CONCATENATE(IF(INDEX(final_duration_secondary,((WEEKDAY(J$3,2)*2-1)+IF(J4="Morning",0,1)),I4)=0,"","1. "),
INDEX(sessions_description_primary,,INDEX(plan_session_allocation,((WEEKDAY(J$3,2)*2-1)+IF(J4="Morning",0,1)),I4)),IF(INDEX(final_duration_secondary,((WEEKDAY(J$3,2)*2-1)+IF(J4="Morning",0,1)),I4)=0,"","
2. "),
IF(INDEX(final_duration_secondary,((WEEKDAY(J$3,2)*2-1)+IF(J4="Morning",0,1)),I4)=0,"",INDEX(sessions_description_secondary,,INDEX(plan_session_allocation,((WEEKDAY(J$3,2)*2-1)+IF(J4="Morning",0,1)),I4))),IF(INDEX(final_duration_tertiary,((WEEKDAY(J$3,2)*2-1)+IF(J4="Morning",0,1)),I4)=0,"","
3. "),
IF(INDEX(final_duration_tertiary,((WEEKDAY(J$3,2)*2-1)+IF(J4="Morning",0,1)),I4)="","",INDEX(sessions_description_tertiary,,INDEX(plan_session_allocation,((WEEKDAY(J$3,2)*2-1)+IF(J4="Morning",0,1)),I4))),
IF(INDEX(display_nutrition_description,((WEEKDAY(J$3,2)*2-1)+IF(J4="Morning",0,1)),I4)="","",
CONCATENATE("
Meal Plan: ", INDEX(sessions_nutrition,,INDEX(plan_session_allocation,((WEEKDAY(J$3,2)*2-1)+IF(J4="Morning",0,1)),I4)), "
", INDEX(display_nutrition_description,((WEEKDAY(J$3,2)*2-1)+IF(J4="Morning",0,1)),I4)))
)),"")),"")</f>
        <v>Session Description: 
Stay at a comfortable and controlled intensity where you should be able to have a conversation without large pauses. Keep an even intensity and accept that your pace may change as the terrain changes.</v>
      </c>
      <c r="J10" s="1914"/>
      <c r="K10" s="1914"/>
      <c r="L10" s="1915"/>
      <c r="M10" s="180"/>
      <c r="N10" s="1913" t="str">
        <f ca="1">IF(Q4&gt;0,CONCATENATE(IFERROR(CONCATENATE(IF(INDEX(display_intervals_breakdown,((WEEKDAY(O$3,2)*2-1)+IF(O4="Morning",0,1)),N4)="","",CONCATENATE("Intervals/Reps Breakdown: 
",INDEX(display_intervals_breakdown,((WEEKDAY(O$3,2)*2-1)+IF(O4="Morning",0,1)),N4),"
")),"Session Description: 
",CONCATENATE(IF(INDEX(final_duration_secondary,((WEEKDAY(O$3,2)*2-1)+IF(O4="Morning",0,1)),N4)=0,"","1. "),
INDEX(sessions_description_primary,,INDEX(plan_session_allocation,((WEEKDAY(O$3,2)*2-1)+IF(O4="Morning",0,1)),N4)),IF(INDEX(final_duration_secondary,((WEEKDAY(O$3,2)*2-1)+IF(O4="Morning",0,1)),N4)=0,"","
2. "),
IF(INDEX(final_duration_secondary,((WEEKDAY(O$3,2)*2-1)+IF(O4="Morning",0,1)),N4)=0,"",INDEX(sessions_description_secondary,,INDEX(plan_session_allocation,((WEEKDAY(O$3,2)*2-1)+IF(O4="Morning",0,1)),N4))),IF(INDEX(final_duration_tertiary,((WEEKDAY(O$3,2)*2-1)+IF(O4="Morning",0,1)),N4)=0,"","
3. "),
IF(INDEX(final_duration_tertiary,((WEEKDAY(O$3,2)*2-1)+IF(O4="Morning",0,1)),N4)="","",INDEX(sessions_description_tertiary,,INDEX(plan_session_allocation,((WEEKDAY(O$3,2)*2-1)+IF(O4="Morning",0,1)),N4))),
IF(INDEX(display_nutrition_description,((WEEKDAY(O$3,2)*2-1)+IF(O4="Morning",0,1)),N4)="","",
CONCATENATE("
Meal Plan: ", INDEX(sessions_nutrition,,INDEX(plan_session_allocation,((WEEKDAY(O$3,2)*2-1)+IF(O4="Morning",0,1)),N4)), "
", INDEX(display_nutrition_description,((WEEKDAY(O$3,2)*2-1)+IF(O4="Morning",0,1)),N4)))
)),"")),"")</f>
        <v/>
      </c>
      <c r="O10" s="1914"/>
      <c r="P10" s="1914"/>
      <c r="Q10" s="1915"/>
      <c r="R10" s="180"/>
      <c r="S10" s="1913" t="str">
        <f ca="1">IF(V4&gt;0,CONCATENATE(IFERROR(CONCATENATE(IF(INDEX(display_intervals_breakdown,((WEEKDAY(T$3,2)*2-1)+IF(T4="Morning",0,1)),S4)="","",CONCATENATE("Intervals/Reps Breakdown: 
",INDEX(display_intervals_breakdown,((WEEKDAY(T$3,2)*2-1)+IF(T4="Morning",0,1)),S4),"
")),"Session Description: 
",CONCATENATE(IF(INDEX(final_duration_secondary,((WEEKDAY(T$3,2)*2-1)+IF(T4="Morning",0,1)),S4)=0,"","1. "),
INDEX(sessions_description_primary,,INDEX(plan_session_allocation,((WEEKDAY(T$3,2)*2-1)+IF(T4="Morning",0,1)),S4)),IF(INDEX(final_duration_secondary,((WEEKDAY(T$3,2)*2-1)+IF(T4="Morning",0,1)),S4)=0,"","
2. "),
IF(INDEX(final_duration_secondary,((WEEKDAY(T$3,2)*2-1)+IF(T4="Morning",0,1)),S4)=0,"",INDEX(sessions_description_secondary,,INDEX(plan_session_allocation,((WEEKDAY(T$3,2)*2-1)+IF(T4="Morning",0,1)),S4))),IF(INDEX(final_duration_tertiary,((WEEKDAY(T$3,2)*2-1)+IF(T4="Morning",0,1)),S4)=0,"","
3. "),
IF(INDEX(final_duration_tertiary,((WEEKDAY(T$3,2)*2-1)+IF(T4="Morning",0,1)),S4)="","",INDEX(sessions_description_tertiary,,INDEX(plan_session_allocation,((WEEKDAY(T$3,2)*2-1)+IF(T4="Morning",0,1)),S4))),
IF(INDEX(display_nutrition_description,((WEEKDAY(T$3,2)*2-1)+IF(T4="Morning",0,1)),S4)="","",
CONCATENATE("
Meal Plan: ", INDEX(sessions_nutrition,,INDEX(plan_session_allocation,((WEEKDAY(T$3,2)*2-1)+IF(T4="Morning",0,1)),S4)), "
", INDEX(display_nutrition_description,((WEEKDAY(T$3,2)*2-1)+IF(T4="Morning",0,1)),S4)))
)),"")),"")</f>
        <v>Session Description: 
Stay at a comfortable and controlled intensity where you should be able to have a conversation without large pauses. Keep an even intensity and accept that your pace may change as the terrain changes.</v>
      </c>
      <c r="T10" s="1914"/>
      <c r="U10" s="1914"/>
      <c r="V10" s="1915"/>
      <c r="W10" s="180"/>
      <c r="X10" s="1913" t="str">
        <f ca="1">IF(AA4&gt;0,CONCATENATE(IFERROR(CONCATENATE(IF(INDEX(display_intervals_breakdown,((WEEKDAY(Y$3,2)*2-1)+IF(Y4="Morning",0,1)),X4)="","",CONCATENATE("Intervals/Reps Breakdown: 
",INDEX(display_intervals_breakdown,((WEEKDAY(Y$3,2)*2-1)+IF(Y4="Morning",0,1)),X4),"
")),"Session Description: 
",CONCATENATE(IF(INDEX(final_duration_secondary,((WEEKDAY(Y$3,2)*2-1)+IF(Y4="Morning",0,1)),X4)=0,"","1. "),
INDEX(sessions_description_primary,,INDEX(plan_session_allocation,((WEEKDAY(Y$3,2)*2-1)+IF(Y4="Morning",0,1)),X4)),IF(INDEX(final_duration_secondary,((WEEKDAY(Y$3,2)*2-1)+IF(Y4="Morning",0,1)),X4)=0,"","
2. "),
IF(INDEX(final_duration_secondary,((WEEKDAY(Y$3,2)*2-1)+IF(Y4="Morning",0,1)),X4)=0,"",INDEX(sessions_description_secondary,,INDEX(plan_session_allocation,((WEEKDAY(Y$3,2)*2-1)+IF(Y4="Morning",0,1)),X4))),IF(INDEX(final_duration_tertiary,((WEEKDAY(Y$3,2)*2-1)+IF(Y4="Morning",0,1)),X4)=0,"","
3. "),
IF(INDEX(final_duration_tertiary,((WEEKDAY(Y$3,2)*2-1)+IF(Y4="Morning",0,1)),X4)="","",INDEX(sessions_description_tertiary,,INDEX(plan_session_allocation,((WEEKDAY(Y$3,2)*2-1)+IF(Y4="Morning",0,1)),X4))),
IF(INDEX(display_nutrition_description,((WEEKDAY(Y$3,2)*2-1)+IF(Y4="Morning",0,1)),X4)="","",
CONCATENATE("
Meal Plan: ", INDEX(sessions_nutrition,,INDEX(plan_session_allocation,((WEEKDAY(Y$3,2)*2-1)+IF(Y4="Morning",0,1)),X4)), "
", INDEX(display_nutrition_description,((WEEKDAY(Y$3,2)*2-1)+IF(Y4="Morning",0,1)),X4)))
)),"")),"")</f>
        <v>Session Description: 
Stay at a comfortable and controlled intensity where you should be able to have a conversation without large pauses. Keep an even intensity and accept that your pace may change as the terrain changes.</v>
      </c>
      <c r="Y10" s="1914"/>
      <c r="Z10" s="1914"/>
      <c r="AA10" s="1915"/>
      <c r="AB10" s="180"/>
      <c r="AC10" s="1913" t="str">
        <f ca="1">IF(AF4&gt;0,CONCATENATE(IFERROR(CONCATENATE(IF(INDEX(display_intervals_breakdown,((WEEKDAY(AD$3,2)*2-1)+IF(AD4="Morning",0,1)),AC4)="","",CONCATENATE("Intervals/Reps Breakdown: 
",INDEX(display_intervals_breakdown,((WEEKDAY(AD$3,2)*2-1)+IF(AD4="Morning",0,1)),AC4),"
")),"Session Description: 
",CONCATENATE(IF(INDEX(final_duration_secondary,((WEEKDAY(AD$3,2)*2-1)+IF(AD4="Morning",0,1)),AC4)=0,"","1. "),
INDEX(sessions_description_primary,,INDEX(plan_session_allocation,((WEEKDAY(AD$3,2)*2-1)+IF(AD4="Morning",0,1)),AC4)),IF(INDEX(final_duration_secondary,((WEEKDAY(AD$3,2)*2-1)+IF(AD4="Morning",0,1)),AC4)=0,"","
2. "),
IF(INDEX(final_duration_secondary,((WEEKDAY(AD$3,2)*2-1)+IF(AD4="Morning",0,1)),AC4)=0,"",INDEX(sessions_description_secondary,,INDEX(plan_session_allocation,((WEEKDAY(AD$3,2)*2-1)+IF(AD4="Morning",0,1)),AC4))),IF(INDEX(final_duration_tertiary,((WEEKDAY(AD$3,2)*2-1)+IF(AD4="Morning",0,1)),AC4)=0,"","
3. "),
IF(INDEX(final_duration_tertiary,((WEEKDAY(AD$3,2)*2-1)+IF(AD4="Morning",0,1)),AC4)="","",INDEX(sessions_description_tertiary,,INDEX(plan_session_allocation,((WEEKDAY(AD$3,2)*2-1)+IF(AD4="Morning",0,1)),AC4))),
IF(INDEX(display_nutrition_description,((WEEKDAY(AD$3,2)*2-1)+IF(AD4="Morning",0,1)),AC4)="","",
CONCATENATE("
Meal Plan: ", INDEX(sessions_nutrition,,INDEX(plan_session_allocation,((WEEKDAY(AD$3,2)*2-1)+IF(AD4="Morning",0,1)),AC4)), "
", INDEX(display_nutrition_description,((WEEKDAY(AD$3,2)*2-1)+IF(AD4="Morning",0,1)),AC4)))
)),"")),"")</f>
        <v>Session Description: 
Perform a variety of specialised exercises to engage specific muscles and apply them in functional movements. These sessions must be learned with a coach first. Warm up and warm down for 10 minutes each.</v>
      </c>
      <c r="AD10" s="1914"/>
      <c r="AE10" s="1914"/>
      <c r="AF10" s="1915"/>
      <c r="AG10" s="180"/>
      <c r="AH10" s="1913" t="str">
        <f ca="1">IF(AK4&gt;0,CONCATENATE(IFERROR(CONCATENATE(IF(INDEX(display_intervals_breakdown,((WEEKDAY(AI$3,2)*2-1)+IF(AI4="Morning",0,1)),AH4)="","",CONCATENATE("Intervals/Reps Breakdown: 
",INDEX(display_intervals_breakdown,((WEEKDAY(AI$3,2)*2-1)+IF(AI4="Morning",0,1)),AH4),"
")),"Session Description: 
",CONCATENATE(IF(INDEX(final_duration_secondary,((WEEKDAY(AI$3,2)*2-1)+IF(AI4="Morning",0,1)),AH4)=0,"","1. "),
INDEX(sessions_description_primary,,INDEX(plan_session_allocation,((WEEKDAY(AI$3,2)*2-1)+IF(AI4="Morning",0,1)),AH4)),IF(INDEX(final_duration_secondary,((WEEKDAY(AI$3,2)*2-1)+IF(AI4="Morning",0,1)),AH4)=0,"","
2. "),
IF(INDEX(final_duration_secondary,((WEEKDAY(AI$3,2)*2-1)+IF(AI4="Morning",0,1)),AH4)=0,"",INDEX(sessions_description_secondary,,INDEX(plan_session_allocation,((WEEKDAY(AI$3,2)*2-1)+IF(AI4="Morning",0,1)),AH4))),IF(INDEX(final_duration_tertiary,((WEEKDAY(AI$3,2)*2-1)+IF(AI4="Morning",0,1)),AH4)=0,"","
3. "),
IF(INDEX(final_duration_tertiary,((WEEKDAY(AI$3,2)*2-1)+IF(AI4="Morning",0,1)),AH4)="","",INDEX(sessions_description_tertiary,,INDEX(plan_session_allocation,((WEEKDAY(AI$3,2)*2-1)+IF(AI4="Morning",0,1)),AH4))),
IF(INDEX(display_nutrition_description,((WEEKDAY(AI$3,2)*2-1)+IF(AI4="Morning",0,1)),AH4)="","",
CONCATENATE("
Meal Plan: ", INDEX(sessions_nutrition,,INDEX(plan_session_allocation,((WEEKDAY(AI$3,2)*2-1)+IF(AI4="Morning",0,1)),AH4)), "
", INDEX(display_nutrition_description,((WEEKDAY(AI$3,2)*2-1)+IF(AI4="Morning",0,1)),AH4)))
)),"")),"")</f>
        <v xml:space="preserve">Session Description: 
Fundamentally a steady, but you can be less strict at controlling your intensity as long as your average intensity is close to it's target by the end of the session </v>
      </c>
      <c r="AI10" s="1914"/>
      <c r="AJ10" s="1914"/>
      <c r="AK10" s="1915"/>
      <c r="AL10" s="180"/>
    </row>
    <row r="11" spans="2:38" s="180" customFormat="1" x14ac:dyDescent="0.45">
      <c r="B11" s="1942"/>
      <c r="C11" s="1945"/>
      <c r="D11" s="1916"/>
      <c r="E11" s="1917"/>
      <c r="F11" s="1917"/>
      <c r="G11" s="1918"/>
      <c r="I11" s="1916"/>
      <c r="J11" s="1917"/>
      <c r="K11" s="1917"/>
      <c r="L11" s="1918"/>
      <c r="N11" s="1916"/>
      <c r="O11" s="1917"/>
      <c r="P11" s="1917"/>
      <c r="Q11" s="1918"/>
      <c r="S11" s="1916"/>
      <c r="T11" s="1917"/>
      <c r="U11" s="1917"/>
      <c r="V11" s="1918"/>
      <c r="X11" s="1916"/>
      <c r="Y11" s="1917"/>
      <c r="Z11" s="1917"/>
      <c r="AA11" s="1918"/>
      <c r="AC11" s="1916"/>
      <c r="AD11" s="1917"/>
      <c r="AE11" s="1917"/>
      <c r="AF11" s="1918"/>
      <c r="AH11" s="1916"/>
      <c r="AI11" s="1917"/>
      <c r="AJ11" s="1917"/>
      <c r="AK11" s="1918"/>
    </row>
    <row r="12" spans="2:38" s="180" customFormat="1" x14ac:dyDescent="0.45">
      <c r="B12" s="1942"/>
      <c r="C12" s="1945"/>
      <c r="D12" s="1916"/>
      <c r="E12" s="1917"/>
      <c r="F12" s="1917"/>
      <c r="G12" s="1918"/>
      <c r="I12" s="1916"/>
      <c r="J12" s="1917"/>
      <c r="K12" s="1917"/>
      <c r="L12" s="1918"/>
      <c r="N12" s="1916"/>
      <c r="O12" s="1917"/>
      <c r="P12" s="1917"/>
      <c r="Q12" s="1918"/>
      <c r="S12" s="1916"/>
      <c r="T12" s="1917"/>
      <c r="U12" s="1917"/>
      <c r="V12" s="1918"/>
      <c r="X12" s="1916"/>
      <c r="Y12" s="1917"/>
      <c r="Z12" s="1917"/>
      <c r="AA12" s="1918"/>
      <c r="AC12" s="1916"/>
      <c r="AD12" s="1917"/>
      <c r="AE12" s="1917"/>
      <c r="AF12" s="1918"/>
      <c r="AH12" s="1916"/>
      <c r="AI12" s="1917"/>
      <c r="AJ12" s="1917"/>
      <c r="AK12" s="1918"/>
    </row>
    <row r="13" spans="2:38" s="82" customFormat="1" x14ac:dyDescent="0.45">
      <c r="B13" s="1942"/>
      <c r="C13" s="1945"/>
      <c r="D13" s="1916"/>
      <c r="E13" s="1917"/>
      <c r="F13" s="1917"/>
      <c r="G13" s="1918"/>
      <c r="H13" s="180"/>
      <c r="I13" s="1916"/>
      <c r="J13" s="1917"/>
      <c r="K13" s="1917"/>
      <c r="L13" s="1918"/>
      <c r="M13" s="180"/>
      <c r="N13" s="1916"/>
      <c r="O13" s="1917"/>
      <c r="P13" s="1917"/>
      <c r="Q13" s="1918"/>
      <c r="R13" s="180"/>
      <c r="S13" s="1916"/>
      <c r="T13" s="1917"/>
      <c r="U13" s="1917"/>
      <c r="V13" s="1918"/>
      <c r="W13" s="180"/>
      <c r="X13" s="1916"/>
      <c r="Y13" s="1917"/>
      <c r="Z13" s="1917"/>
      <c r="AA13" s="1918"/>
      <c r="AB13" s="180"/>
      <c r="AC13" s="1916"/>
      <c r="AD13" s="1917"/>
      <c r="AE13" s="1917"/>
      <c r="AF13" s="1918"/>
      <c r="AG13" s="180"/>
      <c r="AH13" s="1916"/>
      <c r="AI13" s="1917"/>
      <c r="AJ13" s="1917"/>
      <c r="AK13" s="1918"/>
      <c r="AL13" s="180"/>
    </row>
    <row r="14" spans="2:38" s="82" customFormat="1" x14ac:dyDescent="0.45">
      <c r="B14" s="1942"/>
      <c r="C14" s="1945"/>
      <c r="D14" s="1916"/>
      <c r="E14" s="1917"/>
      <c r="F14" s="1917"/>
      <c r="G14" s="1918"/>
      <c r="H14" s="180"/>
      <c r="I14" s="1916"/>
      <c r="J14" s="1917"/>
      <c r="K14" s="1917"/>
      <c r="L14" s="1918"/>
      <c r="M14" s="180"/>
      <c r="N14" s="1916"/>
      <c r="O14" s="1917"/>
      <c r="P14" s="1917"/>
      <c r="Q14" s="1918"/>
      <c r="R14" s="180"/>
      <c r="S14" s="1916"/>
      <c r="T14" s="1917"/>
      <c r="U14" s="1917"/>
      <c r="V14" s="1918"/>
      <c r="W14" s="180"/>
      <c r="X14" s="1916"/>
      <c r="Y14" s="1917"/>
      <c r="Z14" s="1917"/>
      <c r="AA14" s="1918"/>
      <c r="AB14" s="180"/>
      <c r="AC14" s="1916"/>
      <c r="AD14" s="1917"/>
      <c r="AE14" s="1917"/>
      <c r="AF14" s="1918"/>
      <c r="AG14" s="180"/>
      <c r="AH14" s="1916"/>
      <c r="AI14" s="1917"/>
      <c r="AJ14" s="1917"/>
      <c r="AK14" s="1918"/>
      <c r="AL14" s="180"/>
    </row>
    <row r="15" spans="2:38" s="82" customFormat="1" x14ac:dyDescent="0.45">
      <c r="B15" s="1942"/>
      <c r="C15" s="1945"/>
      <c r="D15" s="1916"/>
      <c r="E15" s="1917"/>
      <c r="F15" s="1917"/>
      <c r="G15" s="1918"/>
      <c r="H15" s="180"/>
      <c r="I15" s="1916"/>
      <c r="J15" s="1917"/>
      <c r="K15" s="1917"/>
      <c r="L15" s="1918"/>
      <c r="M15" s="180"/>
      <c r="N15" s="1916"/>
      <c r="O15" s="1917"/>
      <c r="P15" s="1917"/>
      <c r="Q15" s="1918"/>
      <c r="R15" s="180"/>
      <c r="S15" s="1916"/>
      <c r="T15" s="1917"/>
      <c r="U15" s="1917"/>
      <c r="V15" s="1918"/>
      <c r="W15" s="180"/>
      <c r="X15" s="1916"/>
      <c r="Y15" s="1917"/>
      <c r="Z15" s="1917"/>
      <c r="AA15" s="1918"/>
      <c r="AB15" s="180"/>
      <c r="AC15" s="1916"/>
      <c r="AD15" s="1917"/>
      <c r="AE15" s="1917"/>
      <c r="AF15" s="1918"/>
      <c r="AG15" s="180"/>
      <c r="AH15" s="1916"/>
      <c r="AI15" s="1917"/>
      <c r="AJ15" s="1917"/>
      <c r="AK15" s="1918"/>
      <c r="AL15" s="180"/>
    </row>
    <row r="16" spans="2:38" s="180" customFormat="1" x14ac:dyDescent="0.45">
      <c r="B16" s="1942"/>
      <c r="C16" s="1945"/>
      <c r="D16" s="1916"/>
      <c r="E16" s="1917"/>
      <c r="F16" s="1917"/>
      <c r="G16" s="1918"/>
      <c r="I16" s="1916"/>
      <c r="J16" s="1917"/>
      <c r="K16" s="1917"/>
      <c r="L16" s="1918"/>
      <c r="N16" s="1916"/>
      <c r="O16" s="1917"/>
      <c r="P16" s="1917"/>
      <c r="Q16" s="1918"/>
      <c r="S16" s="1916"/>
      <c r="T16" s="1917"/>
      <c r="U16" s="1917"/>
      <c r="V16" s="1918"/>
      <c r="X16" s="1916"/>
      <c r="Y16" s="1917"/>
      <c r="Z16" s="1917"/>
      <c r="AA16" s="1918"/>
      <c r="AC16" s="1916"/>
      <c r="AD16" s="1917"/>
      <c r="AE16" s="1917"/>
      <c r="AF16" s="1918"/>
      <c r="AH16" s="1916"/>
      <c r="AI16" s="1917"/>
      <c r="AJ16" s="1917"/>
      <c r="AK16" s="1918"/>
    </row>
    <row r="17" spans="2:38" s="82" customFormat="1" ht="15.75" customHeight="1" x14ac:dyDescent="0.45">
      <c r="B17" s="1942"/>
      <c r="C17" s="1945"/>
      <c r="D17" s="1916"/>
      <c r="E17" s="1917"/>
      <c r="F17" s="1917"/>
      <c r="G17" s="1918"/>
      <c r="H17" s="180"/>
      <c r="I17" s="1916"/>
      <c r="J17" s="1917"/>
      <c r="K17" s="1917"/>
      <c r="L17" s="1918"/>
      <c r="M17" s="180"/>
      <c r="N17" s="1916"/>
      <c r="O17" s="1917"/>
      <c r="P17" s="1917"/>
      <c r="Q17" s="1918"/>
      <c r="R17" s="180"/>
      <c r="S17" s="1916"/>
      <c r="T17" s="1917"/>
      <c r="U17" s="1917"/>
      <c r="V17" s="1918"/>
      <c r="W17" s="180"/>
      <c r="X17" s="1916"/>
      <c r="Y17" s="1917"/>
      <c r="Z17" s="1917"/>
      <c r="AA17" s="1918"/>
      <c r="AB17" s="180"/>
      <c r="AC17" s="1916"/>
      <c r="AD17" s="1917"/>
      <c r="AE17" s="1917"/>
      <c r="AF17" s="1918"/>
      <c r="AG17" s="180"/>
      <c r="AH17" s="1916"/>
      <c r="AI17" s="1917"/>
      <c r="AJ17" s="1917"/>
      <c r="AK17" s="1918"/>
      <c r="AL17" s="180"/>
    </row>
    <row r="18" spans="2:38" s="82" customFormat="1" x14ac:dyDescent="0.45">
      <c r="B18" s="1942"/>
      <c r="C18" s="1945"/>
      <c r="D18" s="1916"/>
      <c r="E18" s="1917"/>
      <c r="F18" s="1917"/>
      <c r="G18" s="1918"/>
      <c r="H18" s="180"/>
      <c r="I18" s="1916"/>
      <c r="J18" s="1917"/>
      <c r="K18" s="1917"/>
      <c r="L18" s="1918"/>
      <c r="M18" s="180"/>
      <c r="N18" s="1916"/>
      <c r="O18" s="1917"/>
      <c r="P18" s="1917"/>
      <c r="Q18" s="1918"/>
      <c r="R18" s="180"/>
      <c r="S18" s="1916"/>
      <c r="T18" s="1917"/>
      <c r="U18" s="1917"/>
      <c r="V18" s="1918"/>
      <c r="W18" s="180"/>
      <c r="X18" s="1916"/>
      <c r="Y18" s="1917"/>
      <c r="Z18" s="1917"/>
      <c r="AA18" s="1918"/>
      <c r="AB18" s="180"/>
      <c r="AC18" s="1916"/>
      <c r="AD18" s="1917"/>
      <c r="AE18" s="1917"/>
      <c r="AF18" s="1918"/>
      <c r="AG18" s="180"/>
      <c r="AH18" s="1916"/>
      <c r="AI18" s="1917"/>
      <c r="AJ18" s="1917"/>
      <c r="AK18" s="1918"/>
      <c r="AL18" s="180"/>
    </row>
    <row r="19" spans="2:38" s="82" customFormat="1" x14ac:dyDescent="0.45">
      <c r="B19" s="1942"/>
      <c r="C19" s="1945"/>
      <c r="D19" s="1916"/>
      <c r="E19" s="1917"/>
      <c r="F19" s="1917"/>
      <c r="G19" s="1918"/>
      <c r="H19" s="180"/>
      <c r="I19" s="1916"/>
      <c r="J19" s="1917"/>
      <c r="K19" s="1917"/>
      <c r="L19" s="1918"/>
      <c r="M19" s="180"/>
      <c r="N19" s="1916"/>
      <c r="O19" s="1917"/>
      <c r="P19" s="1917"/>
      <c r="Q19" s="1918"/>
      <c r="R19" s="180"/>
      <c r="S19" s="1916"/>
      <c r="T19" s="1917"/>
      <c r="U19" s="1917"/>
      <c r="V19" s="1918"/>
      <c r="W19" s="180"/>
      <c r="X19" s="1916"/>
      <c r="Y19" s="1917"/>
      <c r="Z19" s="1917"/>
      <c r="AA19" s="1918"/>
      <c r="AB19" s="180"/>
      <c r="AC19" s="1916"/>
      <c r="AD19" s="1917"/>
      <c r="AE19" s="1917"/>
      <c r="AF19" s="1918"/>
      <c r="AG19" s="180"/>
      <c r="AH19" s="1916"/>
      <c r="AI19" s="1917"/>
      <c r="AJ19" s="1917"/>
      <c r="AK19" s="1918"/>
      <c r="AL19" s="180"/>
    </row>
    <row r="20" spans="2:38" s="180" customFormat="1" x14ac:dyDescent="0.45">
      <c r="B20" s="1942"/>
      <c r="C20" s="1945"/>
      <c r="D20" s="1916"/>
      <c r="E20" s="1917"/>
      <c r="F20" s="1917"/>
      <c r="G20" s="1918"/>
      <c r="I20" s="1916"/>
      <c r="J20" s="1917"/>
      <c r="K20" s="1917"/>
      <c r="L20" s="1918"/>
      <c r="N20" s="1916"/>
      <c r="O20" s="1917"/>
      <c r="P20" s="1917"/>
      <c r="Q20" s="1918"/>
      <c r="S20" s="1916"/>
      <c r="T20" s="1917"/>
      <c r="U20" s="1917"/>
      <c r="V20" s="1918"/>
      <c r="X20" s="1916"/>
      <c r="Y20" s="1917"/>
      <c r="Z20" s="1917"/>
      <c r="AA20" s="1918"/>
      <c r="AC20" s="1916"/>
      <c r="AD20" s="1917"/>
      <c r="AE20" s="1917"/>
      <c r="AF20" s="1918"/>
      <c r="AH20" s="1916"/>
      <c r="AI20" s="1917"/>
      <c r="AJ20" s="1917"/>
      <c r="AK20" s="1918"/>
    </row>
    <row r="21" spans="2:38" s="82" customFormat="1" x14ac:dyDescent="0.45">
      <c r="B21" s="1942"/>
      <c r="C21" s="1945"/>
      <c r="D21" s="1916"/>
      <c r="E21" s="1917"/>
      <c r="F21" s="1917"/>
      <c r="G21" s="1918"/>
      <c r="H21" s="180"/>
      <c r="I21" s="1916"/>
      <c r="J21" s="1917"/>
      <c r="K21" s="1917"/>
      <c r="L21" s="1918"/>
      <c r="M21" s="180"/>
      <c r="N21" s="1916"/>
      <c r="O21" s="1917"/>
      <c r="P21" s="1917"/>
      <c r="Q21" s="1918"/>
      <c r="R21" s="180"/>
      <c r="S21" s="1916"/>
      <c r="T21" s="1917"/>
      <c r="U21" s="1917"/>
      <c r="V21" s="1918"/>
      <c r="W21" s="180"/>
      <c r="X21" s="1916"/>
      <c r="Y21" s="1917"/>
      <c r="Z21" s="1917"/>
      <c r="AA21" s="1918"/>
      <c r="AB21" s="180"/>
      <c r="AC21" s="1916"/>
      <c r="AD21" s="1917"/>
      <c r="AE21" s="1917"/>
      <c r="AF21" s="1918"/>
      <c r="AG21" s="180"/>
      <c r="AH21" s="1916"/>
      <c r="AI21" s="1917"/>
      <c r="AJ21" s="1917"/>
      <c r="AK21" s="1918"/>
      <c r="AL21" s="180"/>
    </row>
    <row r="22" spans="2:38" s="180" customFormat="1" x14ac:dyDescent="0.45">
      <c r="B22" s="1942"/>
      <c r="C22" s="1945"/>
      <c r="D22" s="1916"/>
      <c r="E22" s="1917"/>
      <c r="F22" s="1917"/>
      <c r="G22" s="1918"/>
      <c r="I22" s="1916"/>
      <c r="J22" s="1917"/>
      <c r="K22" s="1917"/>
      <c r="L22" s="1918"/>
      <c r="N22" s="1916"/>
      <c r="O22" s="1917"/>
      <c r="P22" s="1917"/>
      <c r="Q22" s="1918"/>
      <c r="S22" s="1916"/>
      <c r="T22" s="1917"/>
      <c r="U22" s="1917"/>
      <c r="V22" s="1918"/>
      <c r="X22" s="1916"/>
      <c r="Y22" s="1917"/>
      <c r="Z22" s="1917"/>
      <c r="AA22" s="1918"/>
      <c r="AC22" s="1916"/>
      <c r="AD22" s="1917"/>
      <c r="AE22" s="1917"/>
      <c r="AF22" s="1918"/>
      <c r="AH22" s="1916"/>
      <c r="AI22" s="1917"/>
      <c r="AJ22" s="1917"/>
      <c r="AK22" s="1918"/>
    </row>
    <row r="23" spans="2:38" s="82" customFormat="1" x14ac:dyDescent="0.45">
      <c r="B23" s="1942"/>
      <c r="C23" s="1945"/>
      <c r="D23" s="1919"/>
      <c r="E23" s="1920"/>
      <c r="F23" s="1920"/>
      <c r="G23" s="1921"/>
      <c r="H23" s="180"/>
      <c r="I23" s="1919"/>
      <c r="J23" s="1920"/>
      <c r="K23" s="1920"/>
      <c r="L23" s="1921"/>
      <c r="M23" s="180"/>
      <c r="N23" s="1919"/>
      <c r="O23" s="1920"/>
      <c r="P23" s="1920"/>
      <c r="Q23" s="1921"/>
      <c r="R23" s="180"/>
      <c r="S23" s="1919"/>
      <c r="T23" s="1920"/>
      <c r="U23" s="1920"/>
      <c r="V23" s="1921"/>
      <c r="W23" s="180"/>
      <c r="X23" s="1919"/>
      <c r="Y23" s="1920"/>
      <c r="Z23" s="1920"/>
      <c r="AA23" s="1921"/>
      <c r="AB23" s="180"/>
      <c r="AC23" s="1919"/>
      <c r="AD23" s="1920"/>
      <c r="AE23" s="1920"/>
      <c r="AF23" s="1921"/>
      <c r="AG23" s="180"/>
      <c r="AH23" s="1919"/>
      <c r="AI23" s="1920"/>
      <c r="AJ23" s="1920"/>
      <c r="AK23" s="1921"/>
      <c r="AL23" s="180"/>
    </row>
    <row r="24" spans="2:38" s="82" customFormat="1" ht="15" customHeight="1" x14ac:dyDescent="0.45">
      <c r="B24" s="1942"/>
      <c r="C24" s="1945"/>
      <c r="D24" s="1913" t="str">
        <f ca="1">IF(G4&gt;0,CONCATENATE("Session Aim: 
", CONCATENATE(IF(INDEX(final_duration_secondary,((WEEKDAY(E$3,2)*2-1)+IF(E4="Morning",0,1)),D4)=0, "", "1. "),
INDEX(sessions_aim_primary,, INDEX(plan_session_allocation,((WEEKDAY(E$3,2)*2-1)+IF(E4="Morning",0,1)),D4)), IF(INDEX(final_duration_secondary,((WEEKDAY(E$3,2)*2-1)+IF(E4="Morning",0,1)),D4)=0, "", "
2. "),
IF(INDEX(final_duration_secondary,((WEEKDAY(E$3,2)*2-1)+IF(E4="Morning",0,1)),D4)=0, "", INDEX(sessions_aim_secondary,, INDEX(plan_session_allocation,((WEEKDAY(E$3,2)*2-1)+IF(E4="Morning",0,1)),D4))), IF(INDEX(final_duration_tertiary,((WEEKDAY(E$3,2)*2-1)+IF(E4="Morning",0,1)),D4)=0, "", "
3. "),
IF(INDEX(final_duration_tertiary,((WEEKDAY(E$3,2)*2-1)+IF(E4="Morning",0,1)),D4)=0, "", INDEX(sessions_aim_tertiary,, INDEX(plan_session_allocation,((WEEKDAY(E$3,2)*2-1)+IF(E4="Morning",0,1)),D4))),
IF(INDEX(display_nutrition_description,((WEEKDAY(E$3,2)*2-1)+IF(E4="Morning",0,1)),D4)="","",
CONCATENATE("
Nutrition Aim:
", INDEX(sessions_aim_nutrition,,INDEX(plan_session_allocation,((WEEKDAY(E$3,2)*2-1)+IF(E4="Morning",0,1)),D4))
))
)),"")</f>
        <v xml:space="preserve">Session Aim: 
Improve aerobic fitness while minimising the chance of injury. </v>
      </c>
      <c r="E24" s="1914"/>
      <c r="F24" s="1914"/>
      <c r="G24" s="1915"/>
      <c r="H24" s="180"/>
      <c r="I24" s="1913" t="str">
        <f ca="1">IF(L4&gt;0,CONCATENATE("Session Aim: 
", CONCATENATE(IF(INDEX(final_duration_secondary,((WEEKDAY(J$3,2)*2-1)+IF(J4="Morning",0,1)),I4)=0, "", "1. "),
INDEX(sessions_aim_primary,, INDEX(plan_session_allocation,((WEEKDAY(J$3,2)*2-1)+IF(J4="Morning",0,1)),I4)), IF(INDEX(final_duration_secondary,((WEEKDAY(J$3,2)*2-1)+IF(J4="Morning",0,1)),I4)=0, "", "
2. "),
IF(INDEX(final_duration_secondary,((WEEKDAY(J$3,2)*2-1)+IF(J4="Morning",0,1)),I4)=0, "", INDEX(sessions_aim_secondary,, INDEX(plan_session_allocation,((WEEKDAY(J$3,2)*2-1)+IF(J4="Morning",0,1)),I4))), IF(INDEX(final_duration_tertiary,((WEEKDAY(J$3,2)*2-1)+IF(J4="Morning",0,1)),I4)=0, "", "
3. "),
IF(INDEX(final_duration_tertiary,((WEEKDAY(J$3,2)*2-1)+IF(J4="Morning",0,1)),I4)=0, "", INDEX(sessions_aim_tertiary,, INDEX(plan_session_allocation,((WEEKDAY(J$3,2)*2-1)+IF(J4="Morning",0,1)),I4))),
IF(INDEX(display_nutrition_description,((WEEKDAY(J$3,2)*2-1)+IF(J4="Morning",0,1)),I4)="","",
CONCATENATE("
Nutrition Aim:
", INDEX(sessions_aim_nutrition,,INDEX(plan_session_allocation,((WEEKDAY(J$3,2)*2-1)+IF(J4="Morning",0,1)),I4))
))
)),"")</f>
        <v xml:space="preserve">Session Aim: 
Improve aerobic fitness while minimising the chance of injury. </v>
      </c>
      <c r="J24" s="1914"/>
      <c r="K24" s="1914"/>
      <c r="L24" s="1915"/>
      <c r="M24" s="180"/>
      <c r="N24" s="1913" t="str">
        <f ca="1">IF(Q4&gt;0,CONCATENATE("Session Aim: 
", CONCATENATE(IF(INDEX(final_duration_secondary,((WEEKDAY(O$3,2)*2-1)+IF(O4="Morning",0,1)),N4)=0, "", "1. "),
INDEX(sessions_aim_primary,, INDEX(plan_session_allocation,((WEEKDAY(O$3,2)*2-1)+IF(O4="Morning",0,1)),N4)), IF(INDEX(final_duration_secondary,((WEEKDAY(O$3,2)*2-1)+IF(O4="Morning",0,1)),N4)=0, "", "
2. "),
IF(INDEX(final_duration_secondary,((WEEKDAY(O$3,2)*2-1)+IF(O4="Morning",0,1)),N4)=0, "", INDEX(sessions_aim_secondary,, INDEX(plan_session_allocation,((WEEKDAY(O$3,2)*2-1)+IF(O4="Morning",0,1)),N4))), IF(INDEX(final_duration_tertiary,((WEEKDAY(O$3,2)*2-1)+IF(O4="Morning",0,1)),N4)=0, "", "
3. "),
IF(INDEX(final_duration_tertiary,((WEEKDAY(O$3,2)*2-1)+IF(O4="Morning",0,1)),N4)=0, "", INDEX(sessions_aim_tertiary,, INDEX(plan_session_allocation,((WEEKDAY(O$3,2)*2-1)+IF(O4="Morning",0,1)),N4))),
IF(INDEX(display_nutrition_description,((WEEKDAY(O$3,2)*2-1)+IF(O4="Morning",0,1)),N4)="","",
CONCATENATE("
Nutrition Aim:
", INDEX(sessions_aim_nutrition,,INDEX(plan_session_allocation,((WEEKDAY(O$3,2)*2-1)+IF(O4="Morning",0,1)),N4))
))
)),"")</f>
        <v/>
      </c>
      <c r="O24" s="1914"/>
      <c r="P24" s="1914"/>
      <c r="Q24" s="1915"/>
      <c r="R24" s="180"/>
      <c r="S24" s="1913" t="str">
        <f ca="1">IF(V4&gt;0,CONCATENATE("Session Aim: 
", CONCATENATE(IF(INDEX(final_duration_secondary,((WEEKDAY(T$3,2)*2-1)+IF(T4="Morning",0,1)),S4)=0, "", "1. "),
INDEX(sessions_aim_primary,, INDEX(plan_session_allocation,((WEEKDAY(T$3,2)*2-1)+IF(T4="Morning",0,1)),S4)), IF(INDEX(final_duration_secondary,((WEEKDAY(T$3,2)*2-1)+IF(T4="Morning",0,1)),S4)=0, "", "
2. "),
IF(INDEX(final_duration_secondary,((WEEKDAY(T$3,2)*2-1)+IF(T4="Morning",0,1)),S4)=0, "", INDEX(sessions_aim_secondary,, INDEX(plan_session_allocation,((WEEKDAY(T$3,2)*2-1)+IF(T4="Morning",0,1)),S4))), IF(INDEX(final_duration_tertiary,((WEEKDAY(T$3,2)*2-1)+IF(T4="Morning",0,1)),S4)=0, "", "
3. "),
IF(INDEX(final_duration_tertiary,((WEEKDAY(T$3,2)*2-1)+IF(T4="Morning",0,1)),S4)=0, "", INDEX(sessions_aim_tertiary,, INDEX(plan_session_allocation,((WEEKDAY(T$3,2)*2-1)+IF(T4="Morning",0,1)),S4))),
IF(INDEX(display_nutrition_description,((WEEKDAY(T$3,2)*2-1)+IF(T4="Morning",0,1)),S4)="","",
CONCATENATE("
Nutrition Aim:
", INDEX(sessions_aim_nutrition,,INDEX(plan_session_allocation,((WEEKDAY(T$3,2)*2-1)+IF(T4="Morning",0,1)),S4))
))
)),"")</f>
        <v xml:space="preserve">Session Aim: 
Improve aerobic fitness while minimising the chance of injury. </v>
      </c>
      <c r="T24" s="1914"/>
      <c r="U24" s="1914"/>
      <c r="V24" s="1915"/>
      <c r="W24" s="180"/>
      <c r="X24" s="1913" t="str">
        <f ca="1">IF(AA4&gt;0,CONCATENATE("Session Aim: 
", CONCATENATE(IF(INDEX(final_duration_secondary,((WEEKDAY(Y$3,2)*2-1)+IF(Y4="Morning",0,1)),X4)=0, "", "1. "),
INDEX(sessions_aim_primary,, INDEX(plan_session_allocation,((WEEKDAY(Y$3,2)*2-1)+IF(Y4="Morning",0,1)),X4)), IF(INDEX(final_duration_secondary,((WEEKDAY(Y$3,2)*2-1)+IF(Y4="Morning",0,1)),X4)=0, "", "
2. "),
IF(INDEX(final_duration_secondary,((WEEKDAY(Y$3,2)*2-1)+IF(Y4="Morning",0,1)),X4)=0, "", INDEX(sessions_aim_secondary,, INDEX(plan_session_allocation,((WEEKDAY(Y$3,2)*2-1)+IF(Y4="Morning",0,1)),X4))), IF(INDEX(final_duration_tertiary,((WEEKDAY(Y$3,2)*2-1)+IF(Y4="Morning",0,1)),X4)=0, "", "
3. "),
IF(INDEX(final_duration_tertiary,((WEEKDAY(Y$3,2)*2-1)+IF(Y4="Morning",0,1)),X4)=0, "", INDEX(sessions_aim_tertiary,, INDEX(plan_session_allocation,((WEEKDAY(Y$3,2)*2-1)+IF(Y4="Morning",0,1)),X4))),
IF(INDEX(display_nutrition_description,((WEEKDAY(Y$3,2)*2-1)+IF(Y4="Morning",0,1)),X4)="","",
CONCATENATE("
Nutrition Aim:
", INDEX(sessions_aim_nutrition,,INDEX(plan_session_allocation,((WEEKDAY(Y$3,2)*2-1)+IF(Y4="Morning",0,1)),X4))
))
)),"")</f>
        <v xml:space="preserve">Session Aim: 
Improve aerobic fitness while minimising the chance of injury. </v>
      </c>
      <c r="Y24" s="1914"/>
      <c r="Z24" s="1914"/>
      <c r="AA24" s="1915"/>
      <c r="AB24" s="180"/>
      <c r="AC24" s="1913" t="str">
        <f ca="1">IF(AF4&gt;0,CONCATENATE("Session Aim: 
", CONCATENATE(IF(INDEX(final_duration_secondary,((WEEKDAY(AD$3,2)*2-1)+IF(AD4="Morning",0,1)),AC4)=0, "", "1. "),
INDEX(sessions_aim_primary,, INDEX(plan_session_allocation,((WEEKDAY(AD$3,2)*2-1)+IF(AD4="Morning",0,1)),AC4)), IF(INDEX(final_duration_secondary,((WEEKDAY(AD$3,2)*2-1)+IF(AD4="Morning",0,1)),AC4)=0, "", "
2. "),
IF(INDEX(final_duration_secondary,((WEEKDAY(AD$3,2)*2-1)+IF(AD4="Morning",0,1)),AC4)=0, "", INDEX(sessions_aim_secondary,, INDEX(plan_session_allocation,((WEEKDAY(AD$3,2)*2-1)+IF(AD4="Morning",0,1)),AC4))), IF(INDEX(final_duration_tertiary,((WEEKDAY(AD$3,2)*2-1)+IF(AD4="Morning",0,1)),AC4)=0, "", "
3. "),
IF(INDEX(final_duration_tertiary,((WEEKDAY(AD$3,2)*2-1)+IF(AD4="Morning",0,1)),AC4)=0, "", INDEX(sessions_aim_tertiary,, INDEX(plan_session_allocation,((WEEKDAY(AD$3,2)*2-1)+IF(AD4="Morning",0,1)),AC4))),
IF(INDEX(display_nutrition_description,((WEEKDAY(AD$3,2)*2-1)+IF(AD4="Morning",0,1)),AC4)="","",
CONCATENATE("
Nutrition Aim:
", INDEX(sessions_aim_nutrition,,INDEX(plan_session_allocation,((WEEKDAY(AD$3,2)*2-1)+IF(AD4="Morning",0,1)),AC4))
))
)),"")</f>
        <v xml:space="preserve">Session Aim: 
Improve running economy and injury resistance. </v>
      </c>
      <c r="AD24" s="1914"/>
      <c r="AE24" s="1914"/>
      <c r="AF24" s="1915"/>
      <c r="AG24" s="180"/>
      <c r="AH24" s="1913" t="str">
        <f ca="1">IF(AK4&gt;0,CONCATENATE("Session Aim: 
", CONCATENATE(IF(INDEX(final_duration_secondary,((WEEKDAY(AI$3,2)*2-1)+IF(AI4="Morning",0,1)),AH4)=0, "", "1. "),
INDEX(sessions_aim_primary,, INDEX(plan_session_allocation,((WEEKDAY(AI$3,2)*2-1)+IF(AI4="Morning",0,1)),AH4)), IF(INDEX(final_duration_secondary,((WEEKDAY(AI$3,2)*2-1)+IF(AI4="Morning",0,1)),AH4)=0, "", "
2. "),
IF(INDEX(final_duration_secondary,((WEEKDAY(AI$3,2)*2-1)+IF(AI4="Morning",0,1)),AH4)=0, "", INDEX(sessions_aim_secondary,, INDEX(plan_session_allocation,((WEEKDAY(AI$3,2)*2-1)+IF(AI4="Morning",0,1)),AH4))), IF(INDEX(final_duration_tertiary,((WEEKDAY(AI$3,2)*2-1)+IF(AI4="Morning",0,1)),AH4)=0, "", "
3. "),
IF(INDEX(final_duration_tertiary,((WEEKDAY(AI$3,2)*2-1)+IF(AI4="Morning",0,1)),AH4)=0, "", INDEX(sessions_aim_tertiary,, INDEX(plan_session_allocation,((WEEKDAY(AI$3,2)*2-1)+IF(AI4="Morning",0,1)),AH4))),
IF(INDEX(display_nutrition_description,((WEEKDAY(AI$3,2)*2-1)+IF(AI4="Morning",0,1)),AH4)="","",
CONCATENATE("
Nutrition Aim:
", INDEX(sessions_aim_nutrition,,INDEX(plan_session_allocation,((WEEKDAY(AI$3,2)*2-1)+IF(AI4="Morning",0,1)),AH4))
))
)),"")</f>
        <v xml:space="preserve">Session Aim: 
Improve aerobic fitness and energy utilisation. </v>
      </c>
      <c r="AI24" s="1914"/>
      <c r="AJ24" s="1914"/>
      <c r="AK24" s="1915"/>
      <c r="AL24" s="180"/>
    </row>
    <row r="25" spans="2:38" s="82" customFormat="1" x14ac:dyDescent="0.45">
      <c r="B25" s="1942"/>
      <c r="C25" s="1945"/>
      <c r="D25" s="1916"/>
      <c r="E25" s="1917"/>
      <c r="F25" s="1917"/>
      <c r="G25" s="1918"/>
      <c r="H25" s="180"/>
      <c r="I25" s="1916"/>
      <c r="J25" s="1917"/>
      <c r="K25" s="1917"/>
      <c r="L25" s="1918"/>
      <c r="M25" s="180"/>
      <c r="N25" s="1916"/>
      <c r="O25" s="1917"/>
      <c r="P25" s="1917"/>
      <c r="Q25" s="1918"/>
      <c r="R25" s="180"/>
      <c r="S25" s="1916"/>
      <c r="T25" s="1917"/>
      <c r="U25" s="1917"/>
      <c r="V25" s="1918"/>
      <c r="W25" s="180"/>
      <c r="X25" s="1916"/>
      <c r="Y25" s="1917"/>
      <c r="Z25" s="1917"/>
      <c r="AA25" s="1918"/>
      <c r="AB25" s="180"/>
      <c r="AC25" s="1916"/>
      <c r="AD25" s="1917"/>
      <c r="AE25" s="1917"/>
      <c r="AF25" s="1918"/>
      <c r="AG25" s="180"/>
      <c r="AH25" s="1916"/>
      <c r="AI25" s="1917"/>
      <c r="AJ25" s="1917"/>
      <c r="AK25" s="1918"/>
      <c r="AL25" s="180"/>
    </row>
    <row r="26" spans="2:38" s="180" customFormat="1" x14ac:dyDescent="0.45">
      <c r="B26" s="1942"/>
      <c r="C26" s="1945"/>
      <c r="D26" s="1916"/>
      <c r="E26" s="1917"/>
      <c r="F26" s="1917"/>
      <c r="G26" s="1918"/>
      <c r="I26" s="1916"/>
      <c r="J26" s="1917"/>
      <c r="K26" s="1917"/>
      <c r="L26" s="1918"/>
      <c r="N26" s="1916"/>
      <c r="O26" s="1917"/>
      <c r="P26" s="1917"/>
      <c r="Q26" s="1918"/>
      <c r="S26" s="1916"/>
      <c r="T26" s="1917"/>
      <c r="U26" s="1917"/>
      <c r="V26" s="1918"/>
      <c r="X26" s="1916"/>
      <c r="Y26" s="1917"/>
      <c r="Z26" s="1917"/>
      <c r="AA26" s="1918"/>
      <c r="AC26" s="1916"/>
      <c r="AD26" s="1917"/>
      <c r="AE26" s="1917"/>
      <c r="AF26" s="1918"/>
      <c r="AH26" s="1916"/>
      <c r="AI26" s="1917"/>
      <c r="AJ26" s="1917"/>
      <c r="AK26" s="1918"/>
    </row>
    <row r="27" spans="2:38" s="82" customFormat="1" x14ac:dyDescent="0.45">
      <c r="B27" s="1942"/>
      <c r="C27" s="1945"/>
      <c r="D27" s="1916"/>
      <c r="E27" s="1917"/>
      <c r="F27" s="1917"/>
      <c r="G27" s="1918"/>
      <c r="H27" s="180"/>
      <c r="I27" s="1916"/>
      <c r="J27" s="1917"/>
      <c r="K27" s="1917"/>
      <c r="L27" s="1918"/>
      <c r="M27" s="180"/>
      <c r="N27" s="1916"/>
      <c r="O27" s="1917"/>
      <c r="P27" s="1917"/>
      <c r="Q27" s="1918"/>
      <c r="R27" s="180"/>
      <c r="S27" s="1916"/>
      <c r="T27" s="1917"/>
      <c r="U27" s="1917"/>
      <c r="V27" s="1918"/>
      <c r="W27" s="180"/>
      <c r="X27" s="1916"/>
      <c r="Y27" s="1917"/>
      <c r="Z27" s="1917"/>
      <c r="AA27" s="1918"/>
      <c r="AB27" s="180"/>
      <c r="AC27" s="1916"/>
      <c r="AD27" s="1917"/>
      <c r="AE27" s="1917"/>
      <c r="AF27" s="1918"/>
      <c r="AG27" s="180"/>
      <c r="AH27" s="1916"/>
      <c r="AI27" s="1917"/>
      <c r="AJ27" s="1917"/>
      <c r="AK27" s="1918"/>
      <c r="AL27" s="180"/>
    </row>
    <row r="28" spans="2:38" s="82" customFormat="1" x14ac:dyDescent="0.45">
      <c r="B28" s="1942"/>
      <c r="C28" s="1945"/>
      <c r="D28" s="1916"/>
      <c r="E28" s="1917"/>
      <c r="F28" s="1917"/>
      <c r="G28" s="1918"/>
      <c r="H28" s="180"/>
      <c r="I28" s="1916"/>
      <c r="J28" s="1917"/>
      <c r="K28" s="1917"/>
      <c r="L28" s="1918"/>
      <c r="M28" s="180"/>
      <c r="N28" s="1916"/>
      <c r="O28" s="1917"/>
      <c r="P28" s="1917"/>
      <c r="Q28" s="1918"/>
      <c r="R28" s="180"/>
      <c r="S28" s="1916"/>
      <c r="T28" s="1917"/>
      <c r="U28" s="1917"/>
      <c r="V28" s="1918"/>
      <c r="W28" s="180"/>
      <c r="X28" s="1916"/>
      <c r="Y28" s="1917"/>
      <c r="Z28" s="1917"/>
      <c r="AA28" s="1918"/>
      <c r="AB28" s="180"/>
      <c r="AC28" s="1916"/>
      <c r="AD28" s="1917"/>
      <c r="AE28" s="1917"/>
      <c r="AF28" s="1918"/>
      <c r="AG28" s="180"/>
      <c r="AH28" s="1916"/>
      <c r="AI28" s="1917"/>
      <c r="AJ28" s="1917"/>
      <c r="AK28" s="1918"/>
      <c r="AL28" s="180"/>
    </row>
    <row r="29" spans="2:38" s="82" customFormat="1" x14ac:dyDescent="0.45">
      <c r="B29" s="1942"/>
      <c r="C29" s="1945"/>
      <c r="D29" s="1916"/>
      <c r="E29" s="1917"/>
      <c r="F29" s="1917"/>
      <c r="G29" s="1918"/>
      <c r="H29" s="180"/>
      <c r="I29" s="1916"/>
      <c r="J29" s="1917"/>
      <c r="K29" s="1917"/>
      <c r="L29" s="1918"/>
      <c r="M29" s="180"/>
      <c r="N29" s="1916"/>
      <c r="O29" s="1917"/>
      <c r="P29" s="1917"/>
      <c r="Q29" s="1918"/>
      <c r="R29" s="180"/>
      <c r="S29" s="1916"/>
      <c r="T29" s="1917"/>
      <c r="U29" s="1917"/>
      <c r="V29" s="1918"/>
      <c r="W29" s="180"/>
      <c r="X29" s="1916"/>
      <c r="Y29" s="1917"/>
      <c r="Z29" s="1917"/>
      <c r="AA29" s="1918"/>
      <c r="AB29" s="180"/>
      <c r="AC29" s="1916"/>
      <c r="AD29" s="1917"/>
      <c r="AE29" s="1917"/>
      <c r="AF29" s="1918"/>
      <c r="AG29" s="180"/>
      <c r="AH29" s="1916"/>
      <c r="AI29" s="1917"/>
      <c r="AJ29" s="1917"/>
      <c r="AK29" s="1918"/>
      <c r="AL29" s="180"/>
    </row>
    <row r="30" spans="2:38" s="82" customFormat="1" ht="14.65" thickBot="1" x14ac:dyDescent="0.5">
      <c r="B30" s="1942"/>
      <c r="C30" s="1945"/>
      <c r="D30" s="1938"/>
      <c r="E30" s="1939"/>
      <c r="F30" s="1939"/>
      <c r="G30" s="1940"/>
      <c r="H30" s="180"/>
      <c r="I30" s="1938"/>
      <c r="J30" s="1939"/>
      <c r="K30" s="1939"/>
      <c r="L30" s="1940"/>
      <c r="M30" s="180"/>
      <c r="N30" s="1938"/>
      <c r="O30" s="1939"/>
      <c r="P30" s="1939"/>
      <c r="Q30" s="1940"/>
      <c r="R30" s="180"/>
      <c r="S30" s="1938"/>
      <c r="T30" s="1939"/>
      <c r="U30" s="1939"/>
      <c r="V30" s="1940"/>
      <c r="W30" s="180"/>
      <c r="X30" s="1938"/>
      <c r="Y30" s="1939"/>
      <c r="Z30" s="1939"/>
      <c r="AA30" s="1940"/>
      <c r="AB30" s="180"/>
      <c r="AC30" s="1938"/>
      <c r="AD30" s="1939"/>
      <c r="AE30" s="1939"/>
      <c r="AF30" s="1940"/>
      <c r="AG30" s="180"/>
      <c r="AH30" s="1938"/>
      <c r="AI30" s="1939"/>
      <c r="AJ30" s="1939"/>
      <c r="AK30" s="1940"/>
      <c r="AL30" s="180"/>
    </row>
    <row r="31" spans="2:38" ht="15.75" customHeight="1" x14ac:dyDescent="0.45">
      <c r="B31" s="1942"/>
      <c r="C31" s="1945"/>
      <c r="D31" s="1415">
        <f>$B3</f>
        <v>1</v>
      </c>
      <c r="E31" s="1930" t="s">
        <v>352</v>
      </c>
      <c r="F31" s="1930"/>
      <c r="G31" s="1414">
        <f ca="1">INDEX(final_duration_session,((WEEKDAY(E$3,2)*2-1)+IF(E31="Morning",0,1)),$D31)</f>
        <v>60</v>
      </c>
      <c r="H31" s="177"/>
      <c r="I31" s="1415">
        <f>$B3</f>
        <v>1</v>
      </c>
      <c r="J31" s="1930" t="s">
        <v>352</v>
      </c>
      <c r="K31" s="1930"/>
      <c r="L31" s="1414">
        <f ca="1">INDEX(final_duration_session,((WEEKDAY(J$3,2)*2-1)+IF(J31="Morning",0,1)),$D31)</f>
        <v>55</v>
      </c>
      <c r="M31" s="177"/>
      <c r="N31" s="1415">
        <f>$B3</f>
        <v>1</v>
      </c>
      <c r="O31" s="1930" t="s">
        <v>352</v>
      </c>
      <c r="P31" s="1930"/>
      <c r="Q31" s="1414">
        <f ca="1">INDEX(final_duration_session,((WEEKDAY(O$3,2)*2-1)+IF(O31="Morning",0,1)),$D31)</f>
        <v>50</v>
      </c>
      <c r="R31" s="177"/>
      <c r="S31" s="1415">
        <f>$B3</f>
        <v>1</v>
      </c>
      <c r="T31" s="1930" t="s">
        <v>352</v>
      </c>
      <c r="U31" s="1930"/>
      <c r="V31" s="1414">
        <f ca="1">INDEX(final_duration_session,((WEEKDAY(T$3,2)*2-1)+IF(T31="Morning",0,1)),$D31)</f>
        <v>80</v>
      </c>
      <c r="W31" s="177"/>
      <c r="X31" s="1415">
        <f>$B3</f>
        <v>1</v>
      </c>
      <c r="Y31" s="1930" t="s">
        <v>352</v>
      </c>
      <c r="Z31" s="1930"/>
      <c r="AA31" s="1414">
        <f ca="1">INDEX(final_duration_session,((WEEKDAY(Y$3,2)*2-1)+IF(Y31="Morning",0,1)),$D31)</f>
        <v>60</v>
      </c>
      <c r="AB31" s="177"/>
      <c r="AC31" s="1415">
        <f>$B3</f>
        <v>1</v>
      </c>
      <c r="AD31" s="1930" t="s">
        <v>352</v>
      </c>
      <c r="AE31" s="1930"/>
      <c r="AF31" s="1414">
        <f ca="1">INDEX(final_duration_session,((WEEKDAY(AD$3,2)*2-1)+IF(AD31="Morning",0,1)),$D31)</f>
        <v>55</v>
      </c>
      <c r="AG31" s="177"/>
      <c r="AH31" s="1415">
        <f>$B3</f>
        <v>1</v>
      </c>
      <c r="AI31" s="1930" t="s">
        <v>352</v>
      </c>
      <c r="AJ31" s="1930"/>
      <c r="AK31" s="1414">
        <f ca="1">INDEX(final_duration_session,((WEEKDAY(AI$3,2)*2-1)+IF(AI31="Morning",0,1)),$D31)</f>
        <v>0</v>
      </c>
      <c r="AL31" s="177"/>
    </row>
    <row r="32" spans="2:38" ht="15" customHeight="1" x14ac:dyDescent="0.45">
      <c r="B32" s="1942"/>
      <c r="C32" s="1945"/>
      <c r="D32" s="1931" t="str">
        <f ca="1">IF(G31&gt;0,INDEX(sessions_name,INDEX(plan_session_allocation,((WEEKDAY(E$3,2)*2-1)+IF(E31="Morning",0,1)),D31)),"")</f>
        <v>Strength and Maintenance</v>
      </c>
      <c r="E32" s="1932"/>
      <c r="F32" s="1932"/>
      <c r="G32" s="1933"/>
      <c r="H32" s="177"/>
      <c r="I32" s="1931" t="str">
        <f ca="1">IF(L31&gt;0,INDEX(sessions_name,INDEX(plan_session_allocation,((WEEKDAY(J$3,2)*2-1)+IF(J31="Morning",0,1)),I31)),"")</f>
        <v>Hill Tempo</v>
      </c>
      <c r="J32" s="1932"/>
      <c r="K32" s="1932"/>
      <c r="L32" s="1933"/>
      <c r="M32" s="177"/>
      <c r="N32" s="1931" t="str">
        <f ca="1">IF(Q31&gt;0,INDEX(sessions_name,INDEX(plan_session_allocation,((WEEKDAY(O$3,2)*2-1)+IF(O31="Morning",0,1)),N31)),"")</f>
        <v xml:space="preserve">Easy </v>
      </c>
      <c r="O32" s="1932"/>
      <c r="P32" s="1932"/>
      <c r="Q32" s="1933"/>
      <c r="R32" s="177"/>
      <c r="S32" s="1931" t="str">
        <f ca="1">IF(V31&gt;0,INDEX(sessions_name,INDEX(plan_session_allocation,((WEEKDAY(T$3,2)*2-1)+IF(T31="Morning",0,1)),S31)),"")</f>
        <v>Steady</v>
      </c>
      <c r="T32" s="1932"/>
      <c r="U32" s="1932"/>
      <c r="V32" s="1933"/>
      <c r="W32" s="177"/>
      <c r="X32" s="1931" t="str">
        <f ca="1">IF(AA31&gt;0,INDEX(sessions_name,INDEX(plan_session_allocation,((WEEKDAY(Y$3,2)*2-1)+IF(Y31="Morning",0,1)),X31)),"")</f>
        <v>Strength and Maintenance</v>
      </c>
      <c r="Y32" s="1932"/>
      <c r="Z32" s="1932"/>
      <c r="AA32" s="1933"/>
      <c r="AB32" s="177"/>
      <c r="AC32" s="1931" t="str">
        <f ca="1">IF(AF31&gt;0,INDEX(sessions_name,INDEX(plan_session_allocation,((WEEKDAY(AD$3,2)*2-1)+IF(AD31="Morning",0,1)),AC31)),"")</f>
        <v>Easy</v>
      </c>
      <c r="AD32" s="1932"/>
      <c r="AE32" s="1932"/>
      <c r="AF32" s="1933"/>
      <c r="AG32" s="177"/>
      <c r="AH32" s="1931" t="str">
        <f ca="1">IF(AK31&gt;0,INDEX(sessions_name,INDEX(plan_session_allocation,((WEEKDAY(AI$3,2)*2-1)+IF(AI31="Morning",0,1)),AH31)),"")</f>
        <v/>
      </c>
      <c r="AI32" s="1932"/>
      <c r="AJ32" s="1932"/>
      <c r="AK32" s="1933"/>
      <c r="AL32" s="177"/>
    </row>
    <row r="33" spans="2:38" ht="15" customHeight="1" x14ac:dyDescent="0.45">
      <c r="B33" s="1942"/>
      <c r="C33" s="1945"/>
      <c r="D33" s="1934" t="str">
        <f ca="1">IF(G31&gt;0,CONCATENATE("Sport: ",INDEX(sessions_sport_primary,INDEX(plan_session_allocation,(WEEKDAY(E$3,2)*2-1)+IF(E31="Morning",0,1),D31))),"")</f>
        <v>Sport: Indoor</v>
      </c>
      <c r="E33" s="1935"/>
      <c r="F33" s="1936">
        <f ca="1">IF(G31&gt;0,IFERROR(F34+F35+F36,""),"")</f>
        <v>60</v>
      </c>
      <c r="G33" s="1937"/>
      <c r="H33" s="177"/>
      <c r="I33" s="1934" t="str">
        <f ca="1">IF(L31&gt;0,CONCATENATE("Sport: ",INDEX(sessions_sport_primary,INDEX(plan_session_allocation,(WEEKDAY(J$3,2)*2-1)+IF(J31="Morning",0,1),I31))),"")</f>
        <v>Sport: Hilly Trail Run</v>
      </c>
      <c r="J33" s="1935"/>
      <c r="K33" s="1936">
        <f ca="1">IF(L31&gt;0,IFERROR(K34+K35+K36,""),"")</f>
        <v>55</v>
      </c>
      <c r="L33" s="1937"/>
      <c r="M33" s="177"/>
      <c r="N33" s="1934" t="str">
        <f ca="1">IF(Q31&gt;0,CONCATENATE("Sport: ",INDEX(sessions_sport_primary,INDEX(plan_session_allocation,(WEEKDAY(O$3,2)*2-1)+IF(O31="Morning",0,1),N31))),"")</f>
        <v>Sport: Road Ride</v>
      </c>
      <c r="O33" s="1935"/>
      <c r="P33" s="1936">
        <f ca="1">IF(Q31&gt;0,IFERROR(P34+P35+P36,""),"")</f>
        <v>50</v>
      </c>
      <c r="Q33" s="1937"/>
      <c r="R33" s="177"/>
      <c r="S33" s="1934" t="str">
        <f ca="1">IF(V31&gt;0,CONCATENATE("Sport: ",INDEX(sessions_sport_primary,INDEX(plan_session_allocation,(WEEKDAY(T$3,2)*2-1)+IF(T31="Morning",0,1),S31))),"")</f>
        <v>Sport: Hilly Trail Run</v>
      </c>
      <c r="T33" s="1935"/>
      <c r="U33" s="1936">
        <f ca="1">IF(V31&gt;0,IFERROR(U34+U35+U36,""),"")</f>
        <v>80</v>
      </c>
      <c r="V33" s="1937"/>
      <c r="W33" s="177"/>
      <c r="X33" s="1934" t="str">
        <f ca="1">IF(AA31&gt;0,CONCATENATE("Sport: ",INDEX(sessions_sport_primary,INDEX(plan_session_allocation,(WEEKDAY(Y$3,2)*2-1)+IF(Y31="Morning",0,1),X31))),"")</f>
        <v>Sport: Indoor</v>
      </c>
      <c r="Y33" s="1935"/>
      <c r="Z33" s="1936">
        <f ca="1">IF(AA31&gt;0,IFERROR(Z34+Z35+Z36,""),"")</f>
        <v>60</v>
      </c>
      <c r="AA33" s="1937"/>
      <c r="AB33" s="177"/>
      <c r="AC33" s="1934" t="str">
        <f ca="1">IF(AF31&gt;0,CONCATENATE("Sport: ",INDEX(sessions_sport_primary,INDEX(plan_session_allocation,(WEEKDAY(AD$3,2)*2-1)+IF(AD31="Morning",0,1),AC31))),"")</f>
        <v>Sport: Run</v>
      </c>
      <c r="AD33" s="1935"/>
      <c r="AE33" s="1936">
        <f ca="1">IF(AF31&gt;0,IFERROR(AE34+AE35+AE36,""),"")</f>
        <v>55</v>
      </c>
      <c r="AF33" s="1937"/>
      <c r="AG33" s="177"/>
      <c r="AH33" s="1934" t="str">
        <f ca="1">IF(AK31&gt;0,CONCATENATE("Sport: ",INDEX(sessions_sport_primary,INDEX(plan_session_allocation,(WEEKDAY(AI$3,2)*2-1)+IF(AI31="Morning",0,1),AH31))),"")</f>
        <v/>
      </c>
      <c r="AI33" s="1935"/>
      <c r="AJ33" s="1936" t="str">
        <f ca="1">IF(AK31&gt;0,IFERROR(AJ34+AJ35+AJ36,""),"")</f>
        <v/>
      </c>
      <c r="AK33" s="1937"/>
      <c r="AL33" s="177"/>
    </row>
    <row r="34" spans="2:38" s="75" customFormat="1" ht="15" customHeight="1" x14ac:dyDescent="0.45">
      <c r="B34" s="1942"/>
      <c r="C34" s="1945"/>
      <c r="D34" s="1922" t="str">
        <f ca="1">IF(G31&gt;0,CONCATENATE("HR Target: ",
INDEX(sessions_HR_primary,INDEX(plan_session_allocation,((WEEKDAY(E$3,2)*2-1)+IF(E31="Morning",0,1)),D31)),
IF(INDEX(sessions_HR_primary,INDEX(plan_session_allocation,((WEEKDAY(E$3,2)*2-1)+IF(E31="Morning",0,1)),D31))="N/A","",
" BPM")),"")</f>
        <v>HR Target: N/A</v>
      </c>
      <c r="E34" s="1923"/>
      <c r="F34" s="1924">
        <f ca="1">IF(G31&gt;0,
INDEX(final_duration_effort,((WEEKDAY(E$3,2)*2-1)+IF(E31="Morning",0,1)),D31),"")</f>
        <v>60</v>
      </c>
      <c r="G34" s="1925"/>
      <c r="H34" s="177"/>
      <c r="I34" s="1922" t="str">
        <f ca="1">IF(L31&gt;0,CONCATENATE("HR Target: ",
INDEX(sessions_HR_primary,INDEX(plan_session_allocation,((WEEKDAY(J$3,2)*2-1)+IF(J31="Morning",0,1)),I31)),
IF(INDEX(sessions_HR_primary,INDEX(plan_session_allocation,((WEEKDAY(J$3,2)*2-1)+IF(J31="Morning",0,1)),I31))="N/A","",
" BPM")),"")</f>
        <v>HR Target: 177 BPM</v>
      </c>
      <c r="J34" s="1923"/>
      <c r="K34" s="1924">
        <f ca="1">IF(L31&gt;0,
INDEX(final_duration_effort,((WEEKDAY(J$3,2)*2-1)+IF(J31="Morning",0,1)),I31),"")</f>
        <v>25</v>
      </c>
      <c r="L34" s="1925"/>
      <c r="M34" s="177"/>
      <c r="N34" s="1922" t="str">
        <f ca="1">IF(Q31&gt;0,CONCATENATE("HR Target: ",
INDEX(sessions_HR_primary,INDEX(plan_session_allocation,((WEEKDAY(O$3,2)*2-1)+IF(O31="Morning",0,1)),N31)),
IF(INDEX(sessions_HR_primary,INDEX(plan_session_allocation,((WEEKDAY(O$3,2)*2-1)+IF(O31="Morning",0,1)),N31))="N/A","",
" BPM")),"")</f>
        <v>HR Target: 138 BPM</v>
      </c>
      <c r="O34" s="1923"/>
      <c r="P34" s="1924">
        <f ca="1">IF(Q31&gt;0,
INDEX(final_duration_effort,((WEEKDAY(O$3,2)*2-1)+IF(O31="Morning",0,1)),N31),"")</f>
        <v>50</v>
      </c>
      <c r="Q34" s="1925"/>
      <c r="R34" s="177"/>
      <c r="S34" s="1922" t="str">
        <f ca="1">IF(V31&gt;0,CONCATENATE("HR Target: ",
INDEX(sessions_HR_primary,INDEX(plan_session_allocation,((WEEKDAY(T$3,2)*2-1)+IF(T31="Morning",0,1)),S31)),
IF(INDEX(sessions_HR_primary,INDEX(plan_session_allocation,((WEEKDAY(T$3,2)*2-1)+IF(T31="Morning",0,1)),S31))="N/A","",
" BPM")),"")</f>
        <v>HR Target: 148 BPM</v>
      </c>
      <c r="T34" s="1923"/>
      <c r="U34" s="1924">
        <f ca="1">IF(V31&gt;0,
INDEX(final_duration_effort,((WEEKDAY(T$3,2)*2-1)+IF(T31="Morning",0,1)),S31),"")</f>
        <v>80</v>
      </c>
      <c r="V34" s="1925"/>
      <c r="W34" s="177"/>
      <c r="X34" s="1922" t="str">
        <f ca="1">IF(AA31&gt;0,CONCATENATE("HR Target: ",
INDEX(sessions_HR_primary,INDEX(plan_session_allocation,((WEEKDAY(Y$3,2)*2-1)+IF(Y31="Morning",0,1)),X31)),
IF(INDEX(sessions_HR_primary,INDEX(plan_session_allocation,((WEEKDAY(Y$3,2)*2-1)+IF(Y31="Morning",0,1)),X31))="N/A","",
" BPM")),"")</f>
        <v>HR Target: N/A</v>
      </c>
      <c r="Y34" s="1923"/>
      <c r="Z34" s="1924">
        <f ca="1">IF(AA31&gt;0,
INDEX(final_duration_effort,((WEEKDAY(Y$3,2)*2-1)+IF(Y31="Morning",0,1)),X31),"")</f>
        <v>60</v>
      </c>
      <c r="AA34" s="1925"/>
      <c r="AB34" s="177"/>
      <c r="AC34" s="1922" t="str">
        <f ca="1">IF(AF31&gt;0,CONCATENATE("HR Target: ",
INDEX(sessions_HR_primary,INDEX(plan_session_allocation,((WEEKDAY(AD$3,2)*2-1)+IF(AD31="Morning",0,1)),AC31)),
IF(INDEX(sessions_HR_primary,INDEX(plan_session_allocation,((WEEKDAY(AD$3,2)*2-1)+IF(AD31="Morning",0,1)),AC31))="N/A","",
" BPM")),"")</f>
        <v>HR Target: 138 BPM</v>
      </c>
      <c r="AD34" s="1923"/>
      <c r="AE34" s="1924">
        <f ca="1">IF(AF31&gt;0,
INDEX(final_duration_effort,((WEEKDAY(AD$3,2)*2-1)+IF(AD31="Morning",0,1)),AC31),"")</f>
        <v>55</v>
      </c>
      <c r="AF34" s="1925"/>
      <c r="AG34" s="177"/>
      <c r="AH34" s="1922" t="str">
        <f ca="1">IF(AK31&gt;0,CONCATENATE("HR Target: ",
INDEX(sessions_HR_primary,INDEX(plan_session_allocation,((WEEKDAY(AI$3,2)*2-1)+IF(AI31="Morning",0,1)),AH31)),
IF(INDEX(sessions_HR_primary,INDEX(plan_session_allocation,((WEEKDAY(AI$3,2)*2-1)+IF(AI31="Morning",0,1)),AH31))="N/A","",
" BPM")),"")</f>
        <v/>
      </c>
      <c r="AI34" s="1923"/>
      <c r="AJ34" s="1924" t="str">
        <f ca="1">IF(AK31&gt;0,
INDEX(final_duration_effort,((WEEKDAY(AI$3,2)*2-1)+IF(AI31="Morning",0,1)),AH31),"")</f>
        <v/>
      </c>
      <c r="AK34" s="1925"/>
      <c r="AL34" s="177"/>
    </row>
    <row r="35" spans="2:38" s="75" customFormat="1" ht="15" customHeight="1" x14ac:dyDescent="0.45">
      <c r="B35" s="1942"/>
      <c r="C35" s="1945"/>
      <c r="D35" s="1926" t="str">
        <f ca="1">IF(G31&gt;0,CONCATENATE("HR Range: ",
INDEX(sessions_HR_range_primary,INDEX(plan_session_allocation,((WEEKDAY(E$3,2)*2-1)+IF(E31="Morning",0,1)),D31)),
IF(INDEX(sessions_HR_range_primary,INDEX(plan_session_allocation,((WEEKDAY(E$3,2)*2-1)+IF(E31="Morning",0,1)),D31))="N/A","",
" BPM")),"")</f>
        <v>HR Range: N/A</v>
      </c>
      <c r="E35" s="1927"/>
      <c r="F35" s="1928">
        <f ca="1">IF(G31&gt;0,IF(
INDEX(sessions_recoveries,INDEX(plan_session_allocation,((WEEKDAY(E$3,2)*2-1)+IF(E31="Morning",0,1)),D31))="Yes",
VLOOKUP(INDEX(plan_duration_primary,((WEEKDAY(E$3,2)*2-1)+IF(E31="Morning",0,1)),D31),
INDIRECT(INDEX(sessions_intervals_code_primary,INDEX(plan_session_allocation,((WEEKDAY(E$3,2)*2-1)+IF(E31="Morning",0,1)),D31))),7,TRUE),0),"")</f>
        <v>0</v>
      </c>
      <c r="G35" s="1929"/>
      <c r="H35" s="177"/>
      <c r="I35" s="1926" t="str">
        <f ca="1">IF(L31&gt;0,CONCATENATE("HR Range: ",
INDEX(sessions_HR_range_primary,INDEX(plan_session_allocation,((WEEKDAY(J$3,2)*2-1)+IF(J31="Morning",0,1)),I31)),
IF(INDEX(sessions_HR_range_primary,INDEX(plan_session_allocation,((WEEKDAY(J$3,2)*2-1)+IF(J31="Morning",0,1)),I31))="N/A","",
" BPM")),"")</f>
        <v>HR Range: 173 - 180 BPM</v>
      </c>
      <c r="J35" s="1927"/>
      <c r="K35" s="1928">
        <f ca="1">IF(L31&gt;0,IF(
INDEX(sessions_recoveries,INDEX(plan_session_allocation,((WEEKDAY(J$3,2)*2-1)+IF(J31="Morning",0,1)),I31))="Yes",
VLOOKUP(INDEX(plan_duration_primary,((WEEKDAY(J$3,2)*2-1)+IF(J31="Morning",0,1)),I31),
INDIRECT(INDEX(sessions_intervals_code_primary,INDEX(plan_session_allocation,((WEEKDAY(J$3,2)*2-1)+IF(J31="Morning",0,1)),I31))),7,TRUE),0),"")</f>
        <v>0</v>
      </c>
      <c r="L35" s="1929"/>
      <c r="M35" s="177"/>
      <c r="N35" s="1926" t="str">
        <f ca="1">IF(Q31&gt;0,CONCATENATE("HR Range: ",
INDEX(sessions_HR_range_primary,INDEX(plan_session_allocation,((WEEKDAY(O$3,2)*2-1)+IF(O31="Morning",0,1)),N31)),
IF(INDEX(sessions_HR_range_primary,INDEX(plan_session_allocation,((WEEKDAY(O$3,2)*2-1)+IF(O31="Morning",0,1)),N31))="N/A","",
" BPM")),"")</f>
        <v>HR Range: 129 - 148 BPM</v>
      </c>
      <c r="O35" s="1927"/>
      <c r="P35" s="1928">
        <f ca="1">IF(Q31&gt;0,IF(
INDEX(sessions_recoveries,INDEX(plan_session_allocation,((WEEKDAY(O$3,2)*2-1)+IF(O31="Morning",0,1)),N31))="Yes",
VLOOKUP(INDEX(plan_duration_primary,((WEEKDAY(O$3,2)*2-1)+IF(O31="Morning",0,1)),N31),
INDIRECT(INDEX(sessions_intervals_code_primary,INDEX(plan_session_allocation,((WEEKDAY(O$3,2)*2-1)+IF(O31="Morning",0,1)),N31))),7,TRUE),0),"")</f>
        <v>0</v>
      </c>
      <c r="Q35" s="1929"/>
      <c r="R35" s="177"/>
      <c r="S35" s="1926" t="str">
        <f ca="1">IF(V31&gt;0,CONCATENATE("HR Range: ",
INDEX(sessions_HR_range_primary,INDEX(plan_session_allocation,((WEEKDAY(T$3,2)*2-1)+IF(T31="Morning",0,1)),S31)),
IF(INDEX(sessions_HR_range_primary,INDEX(plan_session_allocation,((WEEKDAY(T$3,2)*2-1)+IF(T31="Morning",0,1)),S31))="N/A","",
" BPM")),"")</f>
        <v>HR Range: 138 - 157 BPM</v>
      </c>
      <c r="T35" s="1927"/>
      <c r="U35" s="1928">
        <f ca="1">IF(V31&gt;0,IF(
INDEX(sessions_recoveries,INDEX(plan_session_allocation,((WEEKDAY(T$3,2)*2-1)+IF(T31="Morning",0,1)),S31))="Yes",
VLOOKUP(INDEX(plan_duration_primary,((WEEKDAY(T$3,2)*2-1)+IF(T31="Morning",0,1)),S31),
INDIRECT(INDEX(sessions_intervals_code_primary,INDEX(plan_session_allocation,((WEEKDAY(T$3,2)*2-1)+IF(T31="Morning",0,1)),S31))),7,TRUE),0),"")</f>
        <v>0</v>
      </c>
      <c r="V35" s="1929"/>
      <c r="W35" s="177"/>
      <c r="X35" s="1926" t="str">
        <f ca="1">IF(AA31&gt;0,CONCATENATE("HR Range: ",
INDEX(sessions_HR_range_primary,INDEX(plan_session_allocation,((WEEKDAY(Y$3,2)*2-1)+IF(Y31="Morning",0,1)),X31)),
IF(INDEX(sessions_HR_range_primary,INDEX(plan_session_allocation,((WEEKDAY(Y$3,2)*2-1)+IF(Y31="Morning",0,1)),X31))="N/A","",
" BPM")),"")</f>
        <v>HR Range: N/A</v>
      </c>
      <c r="Y35" s="1927"/>
      <c r="Z35" s="1928">
        <f ca="1">IF(AA31&gt;0,IF(
INDEX(sessions_recoveries,INDEX(plan_session_allocation,((WEEKDAY(Y$3,2)*2-1)+IF(Y31="Morning",0,1)),X31))="Yes",
VLOOKUP(INDEX(plan_duration_primary,((WEEKDAY(Y$3,2)*2-1)+IF(Y31="Morning",0,1)),X31),
INDIRECT(INDEX(sessions_intervals_code_primary,INDEX(plan_session_allocation,((WEEKDAY(Y$3,2)*2-1)+IF(Y31="Morning",0,1)),X31))),7,TRUE),0),"")</f>
        <v>0</v>
      </c>
      <c r="AA35" s="1929"/>
      <c r="AB35" s="177"/>
      <c r="AC35" s="1926" t="str">
        <f ca="1">IF(AF31&gt;0,CONCATENATE("HR Range: ",
INDEX(sessions_HR_range_primary,INDEX(plan_session_allocation,((WEEKDAY(AD$3,2)*2-1)+IF(AD31="Morning",0,1)),AC31)),
IF(INDEX(sessions_HR_range_primary,INDEX(plan_session_allocation,((WEEKDAY(AD$3,2)*2-1)+IF(AD31="Morning",0,1)),AC31))="N/A","",
" BPM")),"")</f>
        <v>HR Range: 129 - 148 BPM</v>
      </c>
      <c r="AD35" s="1927"/>
      <c r="AE35" s="1928">
        <f ca="1">IF(AF31&gt;0,IF(
INDEX(sessions_recoveries,INDEX(plan_session_allocation,((WEEKDAY(AD$3,2)*2-1)+IF(AD31="Morning",0,1)),AC31))="Yes",
VLOOKUP(INDEX(plan_duration_primary,((WEEKDAY(AD$3,2)*2-1)+IF(AD31="Morning",0,1)),AC31),
INDIRECT(INDEX(sessions_intervals_code_primary,INDEX(plan_session_allocation,((WEEKDAY(AD$3,2)*2-1)+IF(AD31="Morning",0,1)),AC31))),7,TRUE),0),"")</f>
        <v>0</v>
      </c>
      <c r="AF35" s="1929"/>
      <c r="AG35" s="177"/>
      <c r="AH35" s="1926" t="str">
        <f ca="1">IF(AK31&gt;0,CONCATENATE("HR Range: ",
INDEX(sessions_HR_range_primary,INDEX(plan_session_allocation,((WEEKDAY(AI$3,2)*2-1)+IF(AI31="Morning",0,1)),AH31)),
IF(INDEX(sessions_HR_range_primary,INDEX(plan_session_allocation,((WEEKDAY(AI$3,2)*2-1)+IF(AI31="Morning",0,1)),AH31))="N/A","",
" BPM")),"")</f>
        <v/>
      </c>
      <c r="AI35" s="1927"/>
      <c r="AJ35" s="1928" t="str">
        <f ca="1">IF(AK31&gt;0,IF(
INDEX(sessions_recoveries,INDEX(plan_session_allocation,((WEEKDAY(AI$3,2)*2-1)+IF(AI31="Morning",0,1)),AH31))="Yes",
VLOOKUP(INDEX(plan_duration_primary,((WEEKDAY(AI$3,2)*2-1)+IF(AI31="Morning",0,1)),AH31),
INDIRECT(INDEX(sessions_intervals_code_primary,INDEX(plan_session_allocation,((WEEKDAY(AI$3,2)*2-1)+IF(AI31="Morning",0,1)),AH31))),7,TRUE),0),"")</f>
        <v/>
      </c>
      <c r="AK35" s="1929"/>
      <c r="AL35" s="177"/>
    </row>
    <row r="36" spans="2:38" s="75" customFormat="1" ht="15" customHeight="1" x14ac:dyDescent="0.45">
      <c r="B36" s="1942"/>
      <c r="C36" s="1945"/>
      <c r="D36" s="1909" t="str">
        <f ca="1">IF(G31&gt;0,CONCATENATE("Equivalent Pace: ",
TEXT(INDEX(sessions_pace_primary,INDEX(plan_session_allocation,(WEEKDAY(E$3,2)*2-1)+IF(E31="Morning",0,1),D31)),"m:ss"),
" min/km"
),"")</f>
        <v>Equivalent Pace:  min/km</v>
      </c>
      <c r="E36" s="1910"/>
      <c r="F36" s="1911">
        <f ca="1">IF(G31&gt;0, INDEX(final_duration_WU,((WEEKDAY(E$3,2)*2-1)+IF(E31="Morning",0,1)),D31)  + INDEX(final_duration_WD,((WEEKDAY(E$3,2)*2-1)+IF(E31="Morning",0,1)),D31), "")</f>
        <v>0</v>
      </c>
      <c r="G36" s="1912"/>
      <c r="H36" s="177"/>
      <c r="I36" s="1909" t="str">
        <f ca="1">IF(L31&gt;0,CONCATENATE("Equivalent Pace: ",
TEXT(INDEX(sessions_pace_primary,INDEX(plan_session_allocation,(WEEKDAY(J$3,2)*2-1)+IF(J31="Morning",0,1),I31)),"m:ss"),
" min/km"
),"")</f>
        <v>Equivalent Pace: 3:21 min/km</v>
      </c>
      <c r="J36" s="1910"/>
      <c r="K36" s="1911">
        <f ca="1">IF(L31&gt;0, INDEX(final_duration_WU,((WEEKDAY(J$3,2)*2-1)+IF(J31="Morning",0,1)),I31)  + INDEX(final_duration_WD,((WEEKDAY(J$3,2)*2-1)+IF(J31="Morning",0,1)),I31), "")</f>
        <v>30</v>
      </c>
      <c r="L36" s="1912"/>
      <c r="M36" s="177"/>
      <c r="N36" s="1909" t="str">
        <f ca="1">IF(Q31&gt;0,CONCATENATE("Equivalent Pace: ",
TEXT(INDEX(sessions_pace_primary,INDEX(plan_session_allocation,(WEEKDAY(O$3,2)*2-1)+IF(O31="Morning",0,1),N31)),"m:ss"),
" min/km"
),"")</f>
        <v>Equivalent Pace: 4:39 min/km</v>
      </c>
      <c r="O36" s="1910"/>
      <c r="P36" s="1911">
        <f ca="1">IF(Q31&gt;0, INDEX(final_duration_WU,((WEEKDAY(O$3,2)*2-1)+IF(O31="Morning",0,1)),N31)  + INDEX(final_duration_WD,((WEEKDAY(O$3,2)*2-1)+IF(O31="Morning",0,1)),N31), "")</f>
        <v>0</v>
      </c>
      <c r="Q36" s="1912"/>
      <c r="R36" s="177"/>
      <c r="S36" s="1909" t="str">
        <f ca="1">IF(V31&gt;0,CONCATENATE("Equivalent Pace: ",
TEXT(INDEX(sessions_pace_primary,INDEX(plan_session_allocation,(WEEKDAY(T$3,2)*2-1)+IF(T31="Morning",0,1),S31)),"m:ss"),
" min/km"
),"")</f>
        <v>Equivalent Pace: 4:14 min/km</v>
      </c>
      <c r="T36" s="1910"/>
      <c r="U36" s="1911">
        <f ca="1">IF(V31&gt;0, INDEX(final_duration_WU,((WEEKDAY(T$3,2)*2-1)+IF(T31="Morning",0,1)),S31)  + INDEX(final_duration_WD,((WEEKDAY(T$3,2)*2-1)+IF(T31="Morning",0,1)),S31), "")</f>
        <v>0</v>
      </c>
      <c r="V36" s="1912"/>
      <c r="W36" s="177"/>
      <c r="X36" s="1909" t="str">
        <f ca="1">IF(AA31&gt;0,CONCATENATE("Equivalent Pace: ",
TEXT(INDEX(sessions_pace_primary,INDEX(plan_session_allocation,(WEEKDAY(Y$3,2)*2-1)+IF(Y31="Morning",0,1),X31)),"m:ss"),
" min/km"
),"")</f>
        <v>Equivalent Pace:  min/km</v>
      </c>
      <c r="Y36" s="1910"/>
      <c r="Z36" s="1911">
        <f ca="1">IF(AA31&gt;0, INDEX(final_duration_WU,((WEEKDAY(Y$3,2)*2-1)+IF(Y31="Morning",0,1)),X31)  + INDEX(final_duration_WD,((WEEKDAY(Y$3,2)*2-1)+IF(Y31="Morning",0,1)),X31), "")</f>
        <v>0</v>
      </c>
      <c r="AA36" s="1912"/>
      <c r="AB36" s="177"/>
      <c r="AC36" s="1909" t="str">
        <f ca="1">IF(AF31&gt;0,CONCATENATE("Equivalent Pace: ",
TEXT(INDEX(sessions_pace_primary,INDEX(plan_session_allocation,(WEEKDAY(AD$3,2)*2-1)+IF(AD31="Morning",0,1),AC31)),"m:ss"),
" min/km"
),"")</f>
        <v>Equivalent Pace: 4:39 min/km</v>
      </c>
      <c r="AD36" s="1910"/>
      <c r="AE36" s="1911">
        <f ca="1">IF(AF31&gt;0, INDEX(final_duration_WU,((WEEKDAY(AD$3,2)*2-1)+IF(AD31="Morning",0,1)),AC31)  + INDEX(final_duration_WD,((WEEKDAY(AD$3,2)*2-1)+IF(AD31="Morning",0,1)),AC31), "")</f>
        <v>0</v>
      </c>
      <c r="AF36" s="1912"/>
      <c r="AG36" s="177"/>
      <c r="AH36" s="1909" t="str">
        <f ca="1">IF(AK31&gt;0,CONCATENATE("Equivalent Pace: ",
TEXT(INDEX(sessions_pace_primary,INDEX(plan_session_allocation,(WEEKDAY(AI$3,2)*2-1)+IF(AI31="Morning",0,1),AH31)),"m:ss"),
" min/km"
),"")</f>
        <v/>
      </c>
      <c r="AI36" s="1910"/>
      <c r="AJ36" s="1911" t="str">
        <f ca="1">IF(AK31&gt;0, INDEX(final_duration_WU,((WEEKDAY(AI$3,2)*2-1)+IF(AI31="Morning",0,1)),AH31)  + INDEX(final_duration_WD,((WEEKDAY(AI$3,2)*2-1)+IF(AI31="Morning",0,1)),AH31), "")</f>
        <v/>
      </c>
      <c r="AK36" s="1912"/>
      <c r="AL36" s="177"/>
    </row>
    <row r="37" spans="2:38" ht="15" customHeight="1" x14ac:dyDescent="0.45">
      <c r="B37" s="1942"/>
      <c r="C37" s="1945"/>
      <c r="D37" s="1913" t="str">
        <f ca="1">IF(G31&gt;0,CONCATENATE(IFERROR(CONCATENATE(IF(INDEX(display_intervals_breakdown,((WEEKDAY(E$3,2)*2-1)+IF(E31="Morning",0,1)),D31)="","",CONCATENATE("Intervals/Reps Breakdown: 
",INDEX(display_intervals_breakdown,((WEEKDAY(E$3,2)*2-1)+IF(E31="Morning",0,1)),D31),"
")),"Session Description: 
",CONCATENATE(IF(INDEX(final_duration_secondary,((WEEKDAY(E$3,2)*2-1)+IF(E31="Morning",0,1)),D31)=0,"","1. "),
INDEX(sessions_description_primary,,INDEX(plan_session_allocation,((WEEKDAY(E$3,2)*2-1)+IF(E31="Morning",0,1)),D31)),IF(INDEX(final_duration_secondary,((WEEKDAY(E$3,2)*2-1)+IF(E31="Morning",0,1)),D31)=0,"","
2. "),
IF(INDEX(final_duration_secondary,((WEEKDAY(E$3,2)*2-1)+IF(E31="Morning",0,1)),D31)=0,"",INDEX(sessions_description_secondary,,INDEX(plan_session_allocation,((WEEKDAY(E$3,2)*2-1)+IF(E31="Morning",0,1)),D31))),IF(INDEX(final_duration_tertiary,((WEEKDAY(E$3,2)*2-1)+IF(E31="Morning",0,1)),D31)=0,"","
3. "),
IF(INDEX(final_duration_tertiary,((WEEKDAY(E$3,2)*2-1)+IF(E31="Morning",0,1)),D31)="","",INDEX(sessions_description_tertiary,,INDEX(plan_session_allocation,((WEEKDAY(E$3,2)*2-1)+IF(E31="Morning",0,1)),D31))),
IF(INDEX(display_nutrition_description,((WEEKDAY(E$3,2)*2-1)+IF(E31="Morning",0,1)),D31)="","",
CONCATENATE("
Meal Plan: ", INDEX(sessions_nutrition,,INDEX(plan_session_allocation,((WEEKDAY(E$3,2)*2-1)+IF(E31="Morning",0,1)),D31)), "
", INDEX(display_nutrition_description,((WEEKDAY(E$3,2)*2-1)+IF(E31="Morning",0,1)),D31)))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7" s="1914"/>
      <c r="F37" s="1914"/>
      <c r="G37" s="1915"/>
      <c r="H37" s="177"/>
      <c r="I37" s="1913" t="str">
        <f ca="1">IF(L31&gt;0,CONCATENATE(IFERROR(CONCATENATE(IF(INDEX(display_intervals_breakdown,((WEEKDAY(J$3,2)*2-1)+IF(J31="Morning",0,1)),I31)="","",CONCATENATE("Intervals/Reps Breakdown: 
",INDEX(display_intervals_breakdown,((WEEKDAY(J$3,2)*2-1)+IF(J31="Morning",0,1)),I31),"
")),"Session Description: 
",CONCATENATE(IF(INDEX(final_duration_secondary,((WEEKDAY(J$3,2)*2-1)+IF(J31="Morning",0,1)),I31)=0,"","1. "),
INDEX(sessions_description_primary,,INDEX(plan_session_allocation,((WEEKDAY(J$3,2)*2-1)+IF(J31="Morning",0,1)),I31)),IF(INDEX(final_duration_secondary,((WEEKDAY(J$3,2)*2-1)+IF(J31="Morning",0,1)),I31)=0,"","
2. "),
IF(INDEX(final_duration_secondary,((WEEKDAY(J$3,2)*2-1)+IF(J31="Morning",0,1)),I31)=0,"",INDEX(sessions_description_secondary,,INDEX(plan_session_allocation,((WEEKDAY(J$3,2)*2-1)+IF(J31="Morning",0,1)),I31))),IF(INDEX(final_duration_tertiary,((WEEKDAY(J$3,2)*2-1)+IF(J31="Morning",0,1)),I31)=0,"","
3. "),
IF(INDEX(final_duration_tertiary,((WEEKDAY(J$3,2)*2-1)+IF(J31="Morning",0,1)),I31)="","",INDEX(sessions_description_tertiary,,INDEX(plan_session_allocation,((WEEKDAY(J$3,2)*2-1)+IF(J31="Morning",0,1)),I31))),
IF(INDEX(display_nutrition_description,((WEEKDAY(J$3,2)*2-1)+IF(J31="Morning",0,1)),I31)="","",
CONCATENATE("
Meal Plan: ", INDEX(sessions_nutrition,,INDEX(plan_session_allocation,((WEEKDAY(J$3,2)*2-1)+IF(J31="Morning",0,1)),I31)), "
", INDEX(display_nutrition_description,((WEEKDAY(J$3,2)*2-1)+IF(J31="Morning",0,1)),I31)))
)),"")),"")</f>
        <v>Session Description: 
Accelerate to a fast pace which you should be able to hold for 50 minutes in a race situation. This will take concentration, but it's important to keep the intensity even, so do not start too hard. Warm up and warm down for 10 minutes each.</v>
      </c>
      <c r="J37" s="1914"/>
      <c r="K37" s="1914"/>
      <c r="L37" s="1915"/>
      <c r="M37" s="177"/>
      <c r="N37" s="1913" t="str">
        <f ca="1">IF(Q31&gt;0,CONCATENATE(IFERROR(CONCATENATE(IF(INDEX(display_intervals_breakdown,((WEEKDAY(O$3,2)*2-1)+IF(O31="Morning",0,1)),N31)="","",CONCATENATE("Intervals/Reps Breakdown: 
",INDEX(display_intervals_breakdown,((WEEKDAY(O$3,2)*2-1)+IF(O31="Morning",0,1)),N31),"
")),"Session Description: 
",CONCATENATE(IF(INDEX(final_duration_secondary,((WEEKDAY(O$3,2)*2-1)+IF(O31="Morning",0,1)),N31)=0,"","1. "),
INDEX(sessions_description_primary,,INDEX(plan_session_allocation,((WEEKDAY(O$3,2)*2-1)+IF(O31="Morning",0,1)),N31)),IF(INDEX(final_duration_secondary,((WEEKDAY(O$3,2)*2-1)+IF(O31="Morning",0,1)),N31)=0,"","
2. "),
IF(INDEX(final_duration_secondary,((WEEKDAY(O$3,2)*2-1)+IF(O31="Morning",0,1)),N31)=0,"",INDEX(sessions_description_secondary,,INDEX(plan_session_allocation,((WEEKDAY(O$3,2)*2-1)+IF(O31="Morning",0,1)),N31))),IF(INDEX(final_duration_tertiary,((WEEKDAY(O$3,2)*2-1)+IF(O31="Morning",0,1)),N31)=0,"","
3. "),
IF(INDEX(final_duration_tertiary,((WEEKDAY(O$3,2)*2-1)+IF(O31="Morning",0,1)),N31)="","",INDEX(sessions_description_tertiary,,INDEX(plan_session_allocation,((WEEKDAY(O$3,2)*2-1)+IF(O31="Morning",0,1)),N31))),
IF(INDEX(display_nutrition_description,((WEEKDAY(O$3,2)*2-1)+IF(O31="Morning",0,1)),N31)="","",
CONCATENATE("
Meal Plan: ", INDEX(sessions_nutrition,,INDEX(plan_session_allocation,((WEEKDAY(O$3,2)*2-1)+IF(O31="Morning",0,1)),N31)), "
", INDEX(display_nutrition_description,((WEEKDAY(O$3,2)*2-1)+IF(O31="Morning",0,1)),N31)))
)),"")),"")</f>
        <v>Session Description: 
Stay at a comfortable and controlled intensity where you should be able to have a conversation without large pauses. Keep an even intensity and accept that your pace may change as the terrain changes.</v>
      </c>
      <c r="O37" s="1914"/>
      <c r="P37" s="1914"/>
      <c r="Q37" s="1915"/>
      <c r="R37" s="177"/>
      <c r="S37" s="1913" t="str">
        <f ca="1">IF(V31&gt;0,CONCATENATE(IFERROR(CONCATENATE(IF(INDEX(display_intervals_breakdown,((WEEKDAY(T$3,2)*2-1)+IF(T31="Morning",0,1)),S31)="","",CONCATENATE("Intervals/Reps Breakdown: 
",INDEX(display_intervals_breakdown,((WEEKDAY(T$3,2)*2-1)+IF(T31="Morning",0,1)),S31),"
")),"Session Description: 
",CONCATENATE(IF(INDEX(final_duration_secondary,((WEEKDAY(T$3,2)*2-1)+IF(T31="Morning",0,1)),S31)=0,"","1. "),
INDEX(sessions_description_primary,,INDEX(plan_session_allocation,((WEEKDAY(T$3,2)*2-1)+IF(T31="Morning",0,1)),S31)),IF(INDEX(final_duration_secondary,((WEEKDAY(T$3,2)*2-1)+IF(T31="Morning",0,1)),S31)=0,"","
2. "),
IF(INDEX(final_duration_secondary,((WEEKDAY(T$3,2)*2-1)+IF(T31="Morning",0,1)),S31)=0,"",INDEX(sessions_description_secondary,,INDEX(plan_session_allocation,((WEEKDAY(T$3,2)*2-1)+IF(T31="Morning",0,1)),S31))),IF(INDEX(final_duration_tertiary,((WEEKDAY(T$3,2)*2-1)+IF(T31="Morning",0,1)),S31)=0,"","
3. "),
IF(INDEX(final_duration_tertiary,((WEEKDAY(T$3,2)*2-1)+IF(T31="Morning",0,1)),S31)="","",INDEX(sessions_description_tertiary,,INDEX(plan_session_allocation,((WEEKDAY(T$3,2)*2-1)+IF(T31="Morning",0,1)),S31))),
IF(INDEX(display_nutrition_description,((WEEKDAY(T$3,2)*2-1)+IF(T31="Morning",0,1)),S31)="","",
CONCATENATE("
Meal Plan: ", INDEX(sessions_nutrition,,INDEX(plan_session_allocation,((WEEKDAY(T$3,2)*2-1)+IF(T31="Morning",0,1)),S31)), "
", INDEX(display_nutrition_description,((WEEKDAY(T$3,2)*2-1)+IF(T31="Morning",0,1)),S31)))
)),"")),"")</f>
        <v>Session Description: 
Stay at a comfortable and controlled intensity where you should be able to have a conversation without large pauses. Keep an even intensity and accept that your pace may change as the terrain changes.</v>
      </c>
      <c r="T37" s="1914"/>
      <c r="U37" s="1914"/>
      <c r="V37" s="1915"/>
      <c r="W37" s="177"/>
      <c r="X37" s="1913" t="str">
        <f ca="1">IF(AA31&gt;0,CONCATENATE(IFERROR(CONCATENATE(IF(INDEX(display_intervals_breakdown,((WEEKDAY(Y$3,2)*2-1)+IF(Y31="Morning",0,1)),X31)="","",CONCATENATE("Intervals/Reps Breakdown: 
",INDEX(display_intervals_breakdown,((WEEKDAY(Y$3,2)*2-1)+IF(Y31="Morning",0,1)),X31),"
")),"Session Description: 
",CONCATENATE(IF(INDEX(final_duration_secondary,((WEEKDAY(Y$3,2)*2-1)+IF(Y31="Morning",0,1)),X31)=0,"","1. "),
INDEX(sessions_description_primary,,INDEX(plan_session_allocation,((WEEKDAY(Y$3,2)*2-1)+IF(Y31="Morning",0,1)),X31)),IF(INDEX(final_duration_secondary,((WEEKDAY(Y$3,2)*2-1)+IF(Y31="Morning",0,1)),X31)=0,"","
2. "),
IF(INDEX(final_duration_secondary,((WEEKDAY(Y$3,2)*2-1)+IF(Y31="Morning",0,1)),X31)=0,"",INDEX(sessions_description_secondary,,INDEX(plan_session_allocation,((WEEKDAY(Y$3,2)*2-1)+IF(Y31="Morning",0,1)),X31))),IF(INDEX(final_duration_tertiary,((WEEKDAY(Y$3,2)*2-1)+IF(Y31="Morning",0,1)),X31)=0,"","
3. "),
IF(INDEX(final_duration_tertiary,((WEEKDAY(Y$3,2)*2-1)+IF(Y31="Morning",0,1)),X31)="","",INDEX(sessions_description_tertiary,,INDEX(plan_session_allocation,((WEEKDAY(Y$3,2)*2-1)+IF(Y31="Morning",0,1)),X31))),
IF(INDEX(display_nutrition_description,((WEEKDAY(Y$3,2)*2-1)+IF(Y31="Morning",0,1)),X31)="","",
CONCATENATE("
Meal Plan: ", INDEX(sessions_nutrition,,INDEX(plan_session_allocation,((WEEKDAY(Y$3,2)*2-1)+IF(Y31="Morning",0,1)),X31)), "
", INDEX(display_nutrition_description,((WEEKDAY(Y$3,2)*2-1)+IF(Y31="Morning",0,1)),X31)))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7" s="1914"/>
      <c r="Z37" s="1914"/>
      <c r="AA37" s="1915"/>
      <c r="AB37" s="177"/>
      <c r="AC37" s="1913" t="str">
        <f ca="1">IF(AF31&gt;0,CONCATENATE(IFERROR(CONCATENATE(IF(INDEX(display_intervals_breakdown,((WEEKDAY(AD$3,2)*2-1)+IF(AD31="Morning",0,1)),AC31)="","",CONCATENATE("Intervals/Reps Breakdown: 
",INDEX(display_intervals_breakdown,((WEEKDAY(AD$3,2)*2-1)+IF(AD31="Morning",0,1)),AC31),"
")),"Session Description: 
",CONCATENATE(IF(INDEX(final_duration_secondary,((WEEKDAY(AD$3,2)*2-1)+IF(AD31="Morning",0,1)),AC31)=0,"","1. "),
INDEX(sessions_description_primary,,INDEX(plan_session_allocation,((WEEKDAY(AD$3,2)*2-1)+IF(AD31="Morning",0,1)),AC31)),IF(INDEX(final_duration_secondary,((WEEKDAY(AD$3,2)*2-1)+IF(AD31="Morning",0,1)),AC31)=0,"","
2. "),
IF(INDEX(final_duration_secondary,((WEEKDAY(AD$3,2)*2-1)+IF(AD31="Morning",0,1)),AC31)=0,"",INDEX(sessions_description_secondary,,INDEX(plan_session_allocation,((WEEKDAY(AD$3,2)*2-1)+IF(AD31="Morning",0,1)),AC31))),IF(INDEX(final_duration_tertiary,((WEEKDAY(AD$3,2)*2-1)+IF(AD31="Morning",0,1)),AC31)=0,"","
3. "),
IF(INDEX(final_duration_tertiary,((WEEKDAY(AD$3,2)*2-1)+IF(AD31="Morning",0,1)),AC31)="","",INDEX(sessions_description_tertiary,,INDEX(plan_session_allocation,((WEEKDAY(AD$3,2)*2-1)+IF(AD31="Morning",0,1)),AC31))),
IF(INDEX(display_nutrition_description,((WEEKDAY(AD$3,2)*2-1)+IF(AD31="Morning",0,1)),AC31)="","",
CONCATENATE("
Meal Plan: ", INDEX(sessions_nutrition,,INDEX(plan_session_allocation,((WEEKDAY(AD$3,2)*2-1)+IF(AD31="Morning",0,1)),AC31)), "
", INDEX(display_nutrition_description,((WEEKDAY(AD$3,2)*2-1)+IF(AD31="Morning",0,1)),AC31)))
)),"")),"")</f>
        <v>Session Description: 
Stay at a comfortable and controlled intensity where you should be able to have a conversation without large pauses. Keep an even intensity and accept that your pace may change as the terrain changes.</v>
      </c>
      <c r="AD37" s="1914"/>
      <c r="AE37" s="1914"/>
      <c r="AF37" s="1915"/>
      <c r="AG37" s="177"/>
      <c r="AH37" s="1913" t="str">
        <f ca="1">IF(AK31&gt;0,CONCATENATE(IFERROR(CONCATENATE(IF(INDEX(display_intervals_breakdown,((WEEKDAY(AI$3,2)*2-1)+IF(AI31="Morning",0,1)),AH31)="","",CONCATENATE("Intervals/Reps Breakdown: 
",INDEX(display_intervals_breakdown,((WEEKDAY(AI$3,2)*2-1)+IF(AI31="Morning",0,1)),AH31),"
")),"Session Description: 
",CONCATENATE(IF(INDEX(final_duration_secondary,((WEEKDAY(AI$3,2)*2-1)+IF(AI31="Morning",0,1)),AH31)=0,"","1. "),
INDEX(sessions_description_primary,,INDEX(plan_session_allocation,((WEEKDAY(AI$3,2)*2-1)+IF(AI31="Morning",0,1)),AH31)),IF(INDEX(final_duration_secondary,((WEEKDAY(AI$3,2)*2-1)+IF(AI31="Morning",0,1)),AH31)=0,"","
2. "),
IF(INDEX(final_duration_secondary,((WEEKDAY(AI$3,2)*2-1)+IF(AI31="Morning",0,1)),AH31)=0,"",INDEX(sessions_description_secondary,,INDEX(plan_session_allocation,((WEEKDAY(AI$3,2)*2-1)+IF(AI31="Morning",0,1)),AH31))),IF(INDEX(final_duration_tertiary,((WEEKDAY(AI$3,2)*2-1)+IF(AI31="Morning",0,1)),AH31)=0,"","
3. "),
IF(INDEX(final_duration_tertiary,((WEEKDAY(AI$3,2)*2-1)+IF(AI31="Morning",0,1)),AH31)="","",INDEX(sessions_description_tertiary,,INDEX(plan_session_allocation,((WEEKDAY(AI$3,2)*2-1)+IF(AI31="Morning",0,1)),AH31))),
IF(INDEX(display_nutrition_description,((WEEKDAY(AI$3,2)*2-1)+IF(AI31="Morning",0,1)),AH31)="","",
CONCATENATE("
Meal Plan: ", INDEX(sessions_nutrition,,INDEX(plan_session_allocation,((WEEKDAY(AI$3,2)*2-1)+IF(AI31="Morning",0,1)),AH31)), "
", INDEX(display_nutrition_description,((WEEKDAY(AI$3,2)*2-1)+IF(AI31="Morning",0,1)),AH31)))
)),"")),"")</f>
        <v/>
      </c>
      <c r="AI37" s="1914"/>
      <c r="AJ37" s="1914"/>
      <c r="AK37" s="1915"/>
      <c r="AL37" s="177"/>
    </row>
    <row r="38" spans="2:38" ht="15" customHeight="1" x14ac:dyDescent="0.45">
      <c r="B38" s="1942"/>
      <c r="C38" s="1945"/>
      <c r="D38" s="1916"/>
      <c r="E38" s="1917"/>
      <c r="F38" s="1917"/>
      <c r="G38" s="1918"/>
      <c r="H38" s="177"/>
      <c r="I38" s="1916"/>
      <c r="J38" s="1917"/>
      <c r="K38" s="1917"/>
      <c r="L38" s="1918"/>
      <c r="M38" s="177"/>
      <c r="N38" s="1916"/>
      <c r="O38" s="1917"/>
      <c r="P38" s="1917"/>
      <c r="Q38" s="1918"/>
      <c r="R38" s="177"/>
      <c r="S38" s="1916"/>
      <c r="T38" s="1917"/>
      <c r="U38" s="1917"/>
      <c r="V38" s="1918"/>
      <c r="W38" s="177"/>
      <c r="X38" s="1916"/>
      <c r="Y38" s="1917"/>
      <c r="Z38" s="1917"/>
      <c r="AA38" s="1918"/>
      <c r="AB38" s="177"/>
      <c r="AC38" s="1916"/>
      <c r="AD38" s="1917"/>
      <c r="AE38" s="1917"/>
      <c r="AF38" s="1918"/>
      <c r="AG38" s="177"/>
      <c r="AH38" s="1916"/>
      <c r="AI38" s="1917"/>
      <c r="AJ38" s="1917"/>
      <c r="AK38" s="1918"/>
      <c r="AL38" s="177"/>
    </row>
    <row r="39" spans="2:38" s="176" customFormat="1" ht="15" customHeight="1" x14ac:dyDescent="0.45">
      <c r="B39" s="1942"/>
      <c r="C39" s="1945"/>
      <c r="D39" s="1916"/>
      <c r="E39" s="1917"/>
      <c r="F39" s="1917"/>
      <c r="G39" s="1918"/>
      <c r="H39" s="177"/>
      <c r="I39" s="1916"/>
      <c r="J39" s="1917"/>
      <c r="K39" s="1917"/>
      <c r="L39" s="1918"/>
      <c r="M39" s="177"/>
      <c r="N39" s="1916"/>
      <c r="O39" s="1917"/>
      <c r="P39" s="1917"/>
      <c r="Q39" s="1918"/>
      <c r="R39" s="177"/>
      <c r="S39" s="1916"/>
      <c r="T39" s="1917"/>
      <c r="U39" s="1917"/>
      <c r="V39" s="1918"/>
      <c r="W39" s="177"/>
      <c r="X39" s="1916"/>
      <c r="Y39" s="1917"/>
      <c r="Z39" s="1917"/>
      <c r="AA39" s="1918"/>
      <c r="AB39" s="177"/>
      <c r="AC39" s="1916"/>
      <c r="AD39" s="1917"/>
      <c r="AE39" s="1917"/>
      <c r="AF39" s="1918"/>
      <c r="AG39" s="177"/>
      <c r="AH39" s="1916"/>
      <c r="AI39" s="1917"/>
      <c r="AJ39" s="1917"/>
      <c r="AK39" s="1918"/>
      <c r="AL39" s="177"/>
    </row>
    <row r="40" spans="2:38" x14ac:dyDescent="0.45">
      <c r="B40" s="1942"/>
      <c r="C40" s="1945"/>
      <c r="D40" s="1916"/>
      <c r="E40" s="1917"/>
      <c r="F40" s="1917"/>
      <c r="G40" s="1918"/>
      <c r="H40" s="177"/>
      <c r="I40" s="1916"/>
      <c r="J40" s="1917"/>
      <c r="K40" s="1917"/>
      <c r="L40" s="1918"/>
      <c r="M40" s="177"/>
      <c r="N40" s="1916"/>
      <c r="O40" s="1917"/>
      <c r="P40" s="1917"/>
      <c r="Q40" s="1918"/>
      <c r="R40" s="177"/>
      <c r="S40" s="1916"/>
      <c r="T40" s="1917"/>
      <c r="U40" s="1917"/>
      <c r="V40" s="1918"/>
      <c r="W40" s="177"/>
      <c r="X40" s="1916"/>
      <c r="Y40" s="1917"/>
      <c r="Z40" s="1917"/>
      <c r="AA40" s="1918"/>
      <c r="AB40" s="177"/>
      <c r="AC40" s="1916"/>
      <c r="AD40" s="1917"/>
      <c r="AE40" s="1917"/>
      <c r="AF40" s="1918"/>
      <c r="AG40" s="177"/>
      <c r="AH40" s="1916"/>
      <c r="AI40" s="1917"/>
      <c r="AJ40" s="1917"/>
      <c r="AK40" s="1918"/>
      <c r="AL40" s="177"/>
    </row>
    <row r="41" spans="2:38" x14ac:dyDescent="0.45">
      <c r="B41" s="1942"/>
      <c r="C41" s="1945"/>
      <c r="D41" s="1916"/>
      <c r="E41" s="1917"/>
      <c r="F41" s="1917"/>
      <c r="G41" s="1918"/>
      <c r="H41" s="177"/>
      <c r="I41" s="1916"/>
      <c r="J41" s="1917"/>
      <c r="K41" s="1917"/>
      <c r="L41" s="1918"/>
      <c r="M41" s="177"/>
      <c r="N41" s="1916"/>
      <c r="O41" s="1917"/>
      <c r="P41" s="1917"/>
      <c r="Q41" s="1918"/>
      <c r="R41" s="177"/>
      <c r="S41" s="1916"/>
      <c r="T41" s="1917"/>
      <c r="U41" s="1917"/>
      <c r="V41" s="1918"/>
      <c r="W41" s="177"/>
      <c r="X41" s="1916"/>
      <c r="Y41" s="1917"/>
      <c r="Z41" s="1917"/>
      <c r="AA41" s="1918"/>
      <c r="AB41" s="177"/>
      <c r="AC41" s="1916"/>
      <c r="AD41" s="1917"/>
      <c r="AE41" s="1917"/>
      <c r="AF41" s="1918"/>
      <c r="AG41" s="177"/>
      <c r="AH41" s="1916"/>
      <c r="AI41" s="1917"/>
      <c r="AJ41" s="1917"/>
      <c r="AK41" s="1918"/>
      <c r="AL41" s="177"/>
    </row>
    <row r="42" spans="2:38" s="176" customFormat="1" x14ac:dyDescent="0.45">
      <c r="B42" s="1942"/>
      <c r="C42" s="1945"/>
      <c r="D42" s="1916"/>
      <c r="E42" s="1917"/>
      <c r="F42" s="1917"/>
      <c r="G42" s="1918"/>
      <c r="H42" s="177"/>
      <c r="I42" s="1916"/>
      <c r="J42" s="1917"/>
      <c r="K42" s="1917"/>
      <c r="L42" s="1918"/>
      <c r="M42" s="177"/>
      <c r="N42" s="1916"/>
      <c r="O42" s="1917"/>
      <c r="P42" s="1917"/>
      <c r="Q42" s="1918"/>
      <c r="R42" s="177"/>
      <c r="S42" s="1916"/>
      <c r="T42" s="1917"/>
      <c r="U42" s="1917"/>
      <c r="V42" s="1918"/>
      <c r="W42" s="177"/>
      <c r="X42" s="1916"/>
      <c r="Y42" s="1917"/>
      <c r="Z42" s="1917"/>
      <c r="AA42" s="1918"/>
      <c r="AB42" s="177"/>
      <c r="AC42" s="1916"/>
      <c r="AD42" s="1917"/>
      <c r="AE42" s="1917"/>
      <c r="AF42" s="1918"/>
      <c r="AG42" s="177"/>
      <c r="AH42" s="1916"/>
      <c r="AI42" s="1917"/>
      <c r="AJ42" s="1917"/>
      <c r="AK42" s="1918"/>
      <c r="AL42" s="177"/>
    </row>
    <row r="43" spans="2:38" ht="15" customHeight="1" x14ac:dyDescent="0.45">
      <c r="B43" s="1942"/>
      <c r="C43" s="1945"/>
      <c r="D43" s="1916"/>
      <c r="E43" s="1917"/>
      <c r="F43" s="1917"/>
      <c r="G43" s="1918"/>
      <c r="H43" s="177"/>
      <c r="I43" s="1916"/>
      <c r="J43" s="1917"/>
      <c r="K43" s="1917"/>
      <c r="L43" s="1918"/>
      <c r="M43" s="177"/>
      <c r="N43" s="1916"/>
      <c r="O43" s="1917"/>
      <c r="P43" s="1917"/>
      <c r="Q43" s="1918"/>
      <c r="R43" s="177"/>
      <c r="S43" s="1916"/>
      <c r="T43" s="1917"/>
      <c r="U43" s="1917"/>
      <c r="V43" s="1918"/>
      <c r="W43" s="177"/>
      <c r="X43" s="1916"/>
      <c r="Y43" s="1917"/>
      <c r="Z43" s="1917"/>
      <c r="AA43" s="1918"/>
      <c r="AB43" s="177"/>
      <c r="AC43" s="1916"/>
      <c r="AD43" s="1917"/>
      <c r="AE43" s="1917"/>
      <c r="AF43" s="1918"/>
      <c r="AG43" s="177"/>
      <c r="AH43" s="1916"/>
      <c r="AI43" s="1917"/>
      <c r="AJ43" s="1917"/>
      <c r="AK43" s="1918"/>
      <c r="AL43" s="177"/>
    </row>
    <row r="44" spans="2:38" ht="15" customHeight="1" x14ac:dyDescent="0.45">
      <c r="B44" s="1942"/>
      <c r="C44" s="1945"/>
      <c r="D44" s="1916"/>
      <c r="E44" s="1917"/>
      <c r="F44" s="1917"/>
      <c r="G44" s="1918"/>
      <c r="H44" s="177"/>
      <c r="I44" s="1916"/>
      <c r="J44" s="1917"/>
      <c r="K44" s="1917"/>
      <c r="L44" s="1918"/>
      <c r="M44" s="177"/>
      <c r="N44" s="1916"/>
      <c r="O44" s="1917"/>
      <c r="P44" s="1917"/>
      <c r="Q44" s="1918"/>
      <c r="R44" s="177"/>
      <c r="S44" s="1916"/>
      <c r="T44" s="1917"/>
      <c r="U44" s="1917"/>
      <c r="V44" s="1918"/>
      <c r="W44" s="177"/>
      <c r="X44" s="1916"/>
      <c r="Y44" s="1917"/>
      <c r="Z44" s="1917"/>
      <c r="AA44" s="1918"/>
      <c r="AB44" s="177"/>
      <c r="AC44" s="1916"/>
      <c r="AD44" s="1917"/>
      <c r="AE44" s="1917"/>
      <c r="AF44" s="1918"/>
      <c r="AG44" s="177"/>
      <c r="AH44" s="1916"/>
      <c r="AI44" s="1917"/>
      <c r="AJ44" s="1917"/>
      <c r="AK44" s="1918"/>
      <c r="AL44" s="177"/>
    </row>
    <row r="45" spans="2:38" x14ac:dyDescent="0.45">
      <c r="B45" s="1942"/>
      <c r="C45" s="1945"/>
      <c r="D45" s="1916"/>
      <c r="E45" s="1917"/>
      <c r="F45" s="1917"/>
      <c r="G45" s="1918"/>
      <c r="H45" s="177"/>
      <c r="I45" s="1916"/>
      <c r="J45" s="1917"/>
      <c r="K45" s="1917"/>
      <c r="L45" s="1918"/>
      <c r="M45" s="177"/>
      <c r="N45" s="1916"/>
      <c r="O45" s="1917"/>
      <c r="P45" s="1917"/>
      <c r="Q45" s="1918"/>
      <c r="R45" s="177"/>
      <c r="S45" s="1916"/>
      <c r="T45" s="1917"/>
      <c r="U45" s="1917"/>
      <c r="V45" s="1918"/>
      <c r="W45" s="177"/>
      <c r="X45" s="1916"/>
      <c r="Y45" s="1917"/>
      <c r="Z45" s="1917"/>
      <c r="AA45" s="1918"/>
      <c r="AB45" s="177"/>
      <c r="AC45" s="1916"/>
      <c r="AD45" s="1917"/>
      <c r="AE45" s="1917"/>
      <c r="AF45" s="1918"/>
      <c r="AG45" s="177"/>
      <c r="AH45" s="1916"/>
      <c r="AI45" s="1917"/>
      <c r="AJ45" s="1917"/>
      <c r="AK45" s="1918"/>
      <c r="AL45" s="177"/>
    </row>
    <row r="46" spans="2:38" x14ac:dyDescent="0.45">
      <c r="B46" s="1942"/>
      <c r="C46" s="1945"/>
      <c r="D46" s="1916"/>
      <c r="E46" s="1917"/>
      <c r="F46" s="1917"/>
      <c r="G46" s="1918"/>
      <c r="H46" s="177"/>
      <c r="I46" s="1916"/>
      <c r="J46" s="1917"/>
      <c r="K46" s="1917"/>
      <c r="L46" s="1918"/>
      <c r="M46" s="177"/>
      <c r="N46" s="1916"/>
      <c r="O46" s="1917"/>
      <c r="P46" s="1917"/>
      <c r="Q46" s="1918"/>
      <c r="R46" s="177"/>
      <c r="S46" s="1916"/>
      <c r="T46" s="1917"/>
      <c r="U46" s="1917"/>
      <c r="V46" s="1918"/>
      <c r="W46" s="177"/>
      <c r="X46" s="1916"/>
      <c r="Y46" s="1917"/>
      <c r="Z46" s="1917"/>
      <c r="AA46" s="1918"/>
      <c r="AB46" s="177"/>
      <c r="AC46" s="1916"/>
      <c r="AD46" s="1917"/>
      <c r="AE46" s="1917"/>
      <c r="AF46" s="1918"/>
      <c r="AG46" s="177"/>
      <c r="AH46" s="1916"/>
      <c r="AI46" s="1917"/>
      <c r="AJ46" s="1917"/>
      <c r="AK46" s="1918"/>
      <c r="AL46" s="177"/>
    </row>
    <row r="47" spans="2:38" s="176" customFormat="1" x14ac:dyDescent="0.45">
      <c r="B47" s="1942"/>
      <c r="C47" s="1945"/>
      <c r="D47" s="1916"/>
      <c r="E47" s="1917"/>
      <c r="F47" s="1917"/>
      <c r="G47" s="1918"/>
      <c r="H47" s="177"/>
      <c r="I47" s="1916"/>
      <c r="J47" s="1917"/>
      <c r="K47" s="1917"/>
      <c r="L47" s="1918"/>
      <c r="M47" s="177"/>
      <c r="N47" s="1916"/>
      <c r="O47" s="1917"/>
      <c r="P47" s="1917"/>
      <c r="Q47" s="1918"/>
      <c r="R47" s="177"/>
      <c r="S47" s="1916"/>
      <c r="T47" s="1917"/>
      <c r="U47" s="1917"/>
      <c r="V47" s="1918"/>
      <c r="W47" s="177"/>
      <c r="X47" s="1916"/>
      <c r="Y47" s="1917"/>
      <c r="Z47" s="1917"/>
      <c r="AA47" s="1918"/>
      <c r="AB47" s="177"/>
      <c r="AC47" s="1916"/>
      <c r="AD47" s="1917"/>
      <c r="AE47" s="1917"/>
      <c r="AF47" s="1918"/>
      <c r="AG47" s="177"/>
      <c r="AH47" s="1916"/>
      <c r="AI47" s="1917"/>
      <c r="AJ47" s="1917"/>
      <c r="AK47" s="1918"/>
      <c r="AL47" s="177"/>
    </row>
    <row r="48" spans="2:38" s="176" customFormat="1" x14ac:dyDescent="0.45">
      <c r="B48" s="1942"/>
      <c r="C48" s="1945"/>
      <c r="D48" s="1916"/>
      <c r="E48" s="1917"/>
      <c r="F48" s="1917"/>
      <c r="G48" s="1918"/>
      <c r="H48" s="177"/>
      <c r="I48" s="1916"/>
      <c r="J48" s="1917"/>
      <c r="K48" s="1917"/>
      <c r="L48" s="1918"/>
      <c r="M48" s="177"/>
      <c r="N48" s="1916"/>
      <c r="O48" s="1917"/>
      <c r="P48" s="1917"/>
      <c r="Q48" s="1918"/>
      <c r="R48" s="177"/>
      <c r="S48" s="1916"/>
      <c r="T48" s="1917"/>
      <c r="U48" s="1917"/>
      <c r="V48" s="1918"/>
      <c r="W48" s="177"/>
      <c r="X48" s="1916"/>
      <c r="Y48" s="1917"/>
      <c r="Z48" s="1917"/>
      <c r="AA48" s="1918"/>
      <c r="AB48" s="177"/>
      <c r="AC48" s="1916"/>
      <c r="AD48" s="1917"/>
      <c r="AE48" s="1917"/>
      <c r="AF48" s="1918"/>
      <c r="AG48" s="177"/>
      <c r="AH48" s="1916"/>
      <c r="AI48" s="1917"/>
      <c r="AJ48" s="1917"/>
      <c r="AK48" s="1918"/>
      <c r="AL48" s="177"/>
    </row>
    <row r="49" spans="2:38" x14ac:dyDescent="0.45">
      <c r="B49" s="1942"/>
      <c r="C49" s="1945"/>
      <c r="D49" s="1916"/>
      <c r="E49" s="1917"/>
      <c r="F49" s="1917"/>
      <c r="G49" s="1918"/>
      <c r="H49" s="177"/>
      <c r="I49" s="1916"/>
      <c r="J49" s="1917"/>
      <c r="K49" s="1917"/>
      <c r="L49" s="1918"/>
      <c r="M49" s="177"/>
      <c r="N49" s="1916"/>
      <c r="O49" s="1917"/>
      <c r="P49" s="1917"/>
      <c r="Q49" s="1918"/>
      <c r="R49" s="177"/>
      <c r="S49" s="1916"/>
      <c r="T49" s="1917"/>
      <c r="U49" s="1917"/>
      <c r="V49" s="1918"/>
      <c r="W49" s="177"/>
      <c r="X49" s="1916"/>
      <c r="Y49" s="1917"/>
      <c r="Z49" s="1917"/>
      <c r="AA49" s="1918"/>
      <c r="AB49" s="177"/>
      <c r="AC49" s="1916"/>
      <c r="AD49" s="1917"/>
      <c r="AE49" s="1917"/>
      <c r="AF49" s="1918"/>
      <c r="AG49" s="177"/>
      <c r="AH49" s="1916"/>
      <c r="AI49" s="1917"/>
      <c r="AJ49" s="1917"/>
      <c r="AK49" s="1918"/>
      <c r="AL49" s="177"/>
    </row>
    <row r="50" spans="2:38" ht="15" customHeight="1" x14ac:dyDescent="0.45">
      <c r="B50" s="1942"/>
      <c r="C50" s="1945"/>
      <c r="D50" s="1919"/>
      <c r="E50" s="1920"/>
      <c r="F50" s="1920"/>
      <c r="G50" s="1921"/>
      <c r="H50" s="177"/>
      <c r="I50" s="1919"/>
      <c r="J50" s="1920"/>
      <c r="K50" s="1920"/>
      <c r="L50" s="1921"/>
      <c r="M50" s="177"/>
      <c r="N50" s="1919"/>
      <c r="O50" s="1920"/>
      <c r="P50" s="1920"/>
      <c r="Q50" s="1921"/>
      <c r="R50" s="177"/>
      <c r="S50" s="1919"/>
      <c r="T50" s="1920"/>
      <c r="U50" s="1920"/>
      <c r="V50" s="1921"/>
      <c r="W50" s="177"/>
      <c r="X50" s="1919"/>
      <c r="Y50" s="1920"/>
      <c r="Z50" s="1920"/>
      <c r="AA50" s="1921"/>
      <c r="AB50" s="177"/>
      <c r="AC50" s="1919"/>
      <c r="AD50" s="1920"/>
      <c r="AE50" s="1920"/>
      <c r="AF50" s="1921"/>
      <c r="AG50" s="177"/>
      <c r="AH50" s="1919"/>
      <c r="AI50" s="1920"/>
      <c r="AJ50" s="1920"/>
      <c r="AK50" s="1921"/>
      <c r="AL50" s="177"/>
    </row>
    <row r="51" spans="2:38" ht="15" customHeight="1" x14ac:dyDescent="0.45">
      <c r="B51" s="1942"/>
      <c r="C51" s="1945"/>
      <c r="D51" s="1913" t="str">
        <f ca="1">IF(G31&gt;0,CONCATENATE("Session Aim: 
", CONCATENATE(IF(INDEX(final_duration_secondary,((WEEKDAY(E$3,2)*2-1)+IF(E31="Morning",0,1)),D31)=0, "", "1. "),
INDEX(sessions_aim_primary,, INDEX(plan_session_allocation,((WEEKDAY(E$3,2)*2-1)+IF(E31="Morning",0,1)),D31)), IF(INDEX(final_duration_secondary,((WEEKDAY(E$3,2)*2-1)+IF(E31="Morning",0,1)),D31)=0, "", "
2. "),
IF(INDEX(final_duration_secondary,((WEEKDAY(E$3,2)*2-1)+IF(E31="Morning",0,1)),D31)=0, "", INDEX(sessions_aim_secondary,, INDEX(plan_session_allocation,((WEEKDAY(E$3,2)*2-1)+IF(E31="Morning",0,1)),D31))), IF(INDEX(final_duration_tertiary,((WEEKDAY(E$3,2)*2-1)+IF(E31="Morning",0,1)),D31)=0, "", "
3. "),
IF(INDEX(final_duration_tertiary,((WEEKDAY(E$3,2)*2-1)+IF(E31="Morning",0,1)),D31)=0, "", INDEX(sessions_aim_tertiary,, INDEX(plan_session_allocation,((WEEKDAY(E$3,2)*2-1)+IF(E31="Morning",0,1)),D31))),
IF(INDEX(display_nutrition_description,((WEEKDAY(E$3,2)*2-1)+IF(E31="Morning",0,1)),D31)="","",
CONCATENATE("
Nutrition Aim:
", INDEX(sessions_aim_nutrition,,INDEX(plan_session_allocation,((WEEKDAY(E$3,2)*2-1)+IF(E31="Morning",0,1)),D31))
))
)),"")</f>
        <v xml:space="preserve">Session Aim: 
1. Increase strength of specific muscle groups, running economy and injury resistance. 
2. Release tension that develops in soft tissue from training and non-training stresses. </v>
      </c>
      <c r="E51" s="1914"/>
      <c r="F51" s="1914"/>
      <c r="G51" s="1915"/>
      <c r="H51" s="177"/>
      <c r="I51" s="1913" t="str">
        <f ca="1">IF(L31&gt;0,CONCATENATE("Session Aim: 
", CONCATENATE(IF(INDEX(final_duration_secondary,((WEEKDAY(J$3,2)*2-1)+IF(J31="Morning",0,1)),I31)=0, "", "1. "),
INDEX(sessions_aim_primary,, INDEX(plan_session_allocation,((WEEKDAY(J$3,2)*2-1)+IF(J31="Morning",0,1)),I31)), IF(INDEX(final_duration_secondary,((WEEKDAY(J$3,2)*2-1)+IF(J31="Morning",0,1)),I31)=0, "", "
2. "),
IF(INDEX(final_duration_secondary,((WEEKDAY(J$3,2)*2-1)+IF(J31="Morning",0,1)),I31)=0, "", INDEX(sessions_aim_secondary,, INDEX(plan_session_allocation,((WEEKDAY(J$3,2)*2-1)+IF(J31="Morning",0,1)),I31))), IF(INDEX(final_duration_tertiary,((WEEKDAY(J$3,2)*2-1)+IF(J31="Morning",0,1)),I31)=0, "", "
3. "),
IF(INDEX(final_duration_tertiary,((WEEKDAY(J$3,2)*2-1)+IF(J31="Morning",0,1)),I31)=0, "", INDEX(sessions_aim_tertiary,, INDEX(plan_session_allocation,((WEEKDAY(J$3,2)*2-1)+IF(J31="Morning",0,1)),I31))),
IF(INDEX(display_nutrition_description,((WEEKDAY(J$3,2)*2-1)+IF(J31="Morning",0,1)),I31)="","",
CONCATENATE("
Nutrition Aim:
", INDEX(sessions_aim_nutrition,,INDEX(plan_session_allocation,((WEEKDAY(J$3,2)*2-1)+IF(J31="Morning",0,1)),I31))
))
)),"")</f>
        <v xml:space="preserve">Session Aim: 
Improve endurance by increasing lactate threshold and developing mental toughness. </v>
      </c>
      <c r="J51" s="1914"/>
      <c r="K51" s="1914"/>
      <c r="L51" s="1915"/>
      <c r="M51" s="177"/>
      <c r="N51" s="1913" t="str">
        <f ca="1">IF(Q31&gt;0,CONCATENATE("Session Aim: 
", CONCATENATE(IF(INDEX(final_duration_secondary,((WEEKDAY(O$3,2)*2-1)+IF(O31="Morning",0,1)),N31)=0, "", "1. "),
INDEX(sessions_aim_primary,, INDEX(plan_session_allocation,((WEEKDAY(O$3,2)*2-1)+IF(O31="Morning",0,1)),N31)), IF(INDEX(final_duration_secondary,((WEEKDAY(O$3,2)*2-1)+IF(O31="Morning",0,1)),N31)=0, "", "
2. "),
IF(INDEX(final_duration_secondary,((WEEKDAY(O$3,2)*2-1)+IF(O31="Morning",0,1)),N31)=0, "", INDEX(sessions_aim_secondary,, INDEX(plan_session_allocation,((WEEKDAY(O$3,2)*2-1)+IF(O31="Morning",0,1)),N31))), IF(INDEX(final_duration_tertiary,((WEEKDAY(O$3,2)*2-1)+IF(O31="Morning",0,1)),N31)=0, "", "
3. "),
IF(INDEX(final_duration_tertiary,((WEEKDAY(O$3,2)*2-1)+IF(O31="Morning",0,1)),N31)=0, "", INDEX(sessions_aim_tertiary,, INDEX(plan_session_allocation,((WEEKDAY(O$3,2)*2-1)+IF(O31="Morning",0,1)),N31))),
IF(INDEX(display_nutrition_description,((WEEKDAY(O$3,2)*2-1)+IF(O31="Morning",0,1)),N31)="","",
CONCATENATE("
Nutrition Aim:
", INDEX(sessions_aim_nutrition,,INDEX(plan_session_allocation,((WEEKDAY(O$3,2)*2-1)+IF(O31="Morning",0,1)),N31))
))
)),"")</f>
        <v xml:space="preserve">Session Aim: 
Improve aerobic fitness while minimising the chance of injury. </v>
      </c>
      <c r="O51" s="1914"/>
      <c r="P51" s="1914"/>
      <c r="Q51" s="1915"/>
      <c r="R51" s="177"/>
      <c r="S51" s="1913" t="str">
        <f ca="1">IF(V31&gt;0,CONCATENATE("Session Aim: 
", CONCATENATE(IF(INDEX(final_duration_secondary,((WEEKDAY(T$3,2)*2-1)+IF(T31="Morning",0,1)),S31)=0, "", "1. "),
INDEX(sessions_aim_primary,, INDEX(plan_session_allocation,((WEEKDAY(T$3,2)*2-1)+IF(T31="Morning",0,1)),S31)), IF(INDEX(final_duration_secondary,((WEEKDAY(T$3,2)*2-1)+IF(T31="Morning",0,1)),S31)=0, "", "
2. "),
IF(INDEX(final_duration_secondary,((WEEKDAY(T$3,2)*2-1)+IF(T31="Morning",0,1)),S31)=0, "", INDEX(sessions_aim_secondary,, INDEX(plan_session_allocation,((WEEKDAY(T$3,2)*2-1)+IF(T31="Morning",0,1)),S31))), IF(INDEX(final_duration_tertiary,((WEEKDAY(T$3,2)*2-1)+IF(T31="Morning",0,1)),S31)=0, "", "
3. "),
IF(INDEX(final_duration_tertiary,((WEEKDAY(T$3,2)*2-1)+IF(T31="Morning",0,1)),S31)=0, "", INDEX(sessions_aim_tertiary,, INDEX(plan_session_allocation,((WEEKDAY(T$3,2)*2-1)+IF(T31="Morning",0,1)),S31))),
IF(INDEX(display_nutrition_description,((WEEKDAY(T$3,2)*2-1)+IF(T31="Morning",0,1)),S31)="","",
CONCATENATE("
Nutrition Aim:
", INDEX(sessions_aim_nutrition,,INDEX(plan_session_allocation,((WEEKDAY(T$3,2)*2-1)+IF(T31="Morning",0,1)),S31))
))
)),"")</f>
        <v>Session Aim: 
Improve aerobic fitness at an optimal rate.</v>
      </c>
      <c r="T51" s="1914"/>
      <c r="U51" s="1914"/>
      <c r="V51" s="1915"/>
      <c r="W51" s="177"/>
      <c r="X51" s="1913" t="str">
        <f ca="1">IF(AA31&gt;0,CONCATENATE("Session Aim: 
", CONCATENATE(IF(INDEX(final_duration_secondary,((WEEKDAY(Y$3,2)*2-1)+IF(Y31="Morning",0,1)),X31)=0, "", "1. "),
INDEX(sessions_aim_primary,, INDEX(plan_session_allocation,((WEEKDAY(Y$3,2)*2-1)+IF(Y31="Morning",0,1)),X31)), IF(INDEX(final_duration_secondary,((WEEKDAY(Y$3,2)*2-1)+IF(Y31="Morning",0,1)),X31)=0, "", "
2. "),
IF(INDEX(final_duration_secondary,((WEEKDAY(Y$3,2)*2-1)+IF(Y31="Morning",0,1)),X31)=0, "", INDEX(sessions_aim_secondary,, INDEX(plan_session_allocation,((WEEKDAY(Y$3,2)*2-1)+IF(Y31="Morning",0,1)),X31))), IF(INDEX(final_duration_tertiary,((WEEKDAY(Y$3,2)*2-1)+IF(Y31="Morning",0,1)),X31)=0, "", "
3. "),
IF(INDEX(final_duration_tertiary,((WEEKDAY(Y$3,2)*2-1)+IF(Y31="Morning",0,1)),X31)=0, "", INDEX(sessions_aim_tertiary,, INDEX(plan_session_allocation,((WEEKDAY(Y$3,2)*2-1)+IF(Y31="Morning",0,1)),X31))),
IF(INDEX(display_nutrition_description,((WEEKDAY(Y$3,2)*2-1)+IF(Y31="Morning",0,1)),X31)="","",
CONCATENATE("
Nutrition Aim:
", INDEX(sessions_aim_nutrition,,INDEX(plan_session_allocation,((WEEKDAY(Y$3,2)*2-1)+IF(Y31="Morning",0,1)),X31))
))
)),"")</f>
        <v xml:space="preserve">Session Aim: 
1. Increase strength of specific muscle groups, running economy and injury resistance. 
2. Release tension that develops in soft tissue from training and non-training stresses. </v>
      </c>
      <c r="Y51" s="1914"/>
      <c r="Z51" s="1914"/>
      <c r="AA51" s="1915"/>
      <c r="AB51" s="177"/>
      <c r="AC51" s="1913" t="str">
        <f ca="1">IF(AF31&gt;0,CONCATENATE("Session Aim: 
", CONCATENATE(IF(INDEX(final_duration_secondary,((WEEKDAY(AD$3,2)*2-1)+IF(AD31="Morning",0,1)),AC31)=0, "", "1. "),
INDEX(sessions_aim_primary,, INDEX(plan_session_allocation,((WEEKDAY(AD$3,2)*2-1)+IF(AD31="Morning",0,1)),AC31)), IF(INDEX(final_duration_secondary,((WEEKDAY(AD$3,2)*2-1)+IF(AD31="Morning",0,1)),AC31)=0, "", "
2. "),
IF(INDEX(final_duration_secondary,((WEEKDAY(AD$3,2)*2-1)+IF(AD31="Morning",0,1)),AC31)=0, "", INDEX(sessions_aim_secondary,, INDEX(plan_session_allocation,((WEEKDAY(AD$3,2)*2-1)+IF(AD31="Morning",0,1)),AC31))), IF(INDEX(final_duration_tertiary,((WEEKDAY(AD$3,2)*2-1)+IF(AD31="Morning",0,1)),AC31)=0, "", "
3. "),
IF(INDEX(final_duration_tertiary,((WEEKDAY(AD$3,2)*2-1)+IF(AD31="Morning",0,1)),AC31)=0, "", INDEX(sessions_aim_tertiary,, INDEX(plan_session_allocation,((WEEKDAY(AD$3,2)*2-1)+IF(AD31="Morning",0,1)),AC31))),
IF(INDEX(display_nutrition_description,((WEEKDAY(AD$3,2)*2-1)+IF(AD31="Morning",0,1)),AC31)="","",
CONCATENATE("
Nutrition Aim:
", INDEX(sessions_aim_nutrition,,INDEX(plan_session_allocation,((WEEKDAY(AD$3,2)*2-1)+IF(AD31="Morning",0,1)),AC31))
))
)),"")</f>
        <v xml:space="preserve">Session Aim: 
Improve aerobic fitness while minimising the chance of injury. </v>
      </c>
      <c r="AD51" s="1914"/>
      <c r="AE51" s="1914"/>
      <c r="AF51" s="1915"/>
      <c r="AG51" s="177"/>
      <c r="AH51" s="1913" t="str">
        <f ca="1">IF(AK31&gt;0,CONCATENATE("Session Aim: 
", CONCATENATE(IF(INDEX(final_duration_secondary,((WEEKDAY(AI$3,2)*2-1)+IF(AI31="Morning",0,1)),AH31)=0, "", "1. "),
INDEX(sessions_aim_primary,, INDEX(plan_session_allocation,((WEEKDAY(AI$3,2)*2-1)+IF(AI31="Morning",0,1)),AH31)), IF(INDEX(final_duration_secondary,((WEEKDAY(AI$3,2)*2-1)+IF(AI31="Morning",0,1)),AH31)=0, "", "
2. "),
IF(INDEX(final_duration_secondary,((WEEKDAY(AI$3,2)*2-1)+IF(AI31="Morning",0,1)),AH31)=0, "", INDEX(sessions_aim_secondary,, INDEX(plan_session_allocation,((WEEKDAY(AI$3,2)*2-1)+IF(AI31="Morning",0,1)),AH31))), IF(INDEX(final_duration_tertiary,((WEEKDAY(AI$3,2)*2-1)+IF(AI31="Morning",0,1)),AH31)=0, "", "
3. "),
IF(INDEX(final_duration_tertiary,((WEEKDAY(AI$3,2)*2-1)+IF(AI31="Morning",0,1)),AH31)=0, "", INDEX(sessions_aim_tertiary,, INDEX(plan_session_allocation,((WEEKDAY(AI$3,2)*2-1)+IF(AI31="Morning",0,1)),AH31))),
IF(INDEX(display_nutrition_description,((WEEKDAY(AI$3,2)*2-1)+IF(AI31="Morning",0,1)),AH31)="","",
CONCATENATE("
Nutrition Aim:
", INDEX(sessions_aim_nutrition,,INDEX(plan_session_allocation,((WEEKDAY(AI$3,2)*2-1)+IF(AI31="Morning",0,1)),AH31))
))
)),"")</f>
        <v/>
      </c>
      <c r="AI51" s="1914"/>
      <c r="AJ51" s="1914"/>
      <c r="AK51" s="1915"/>
      <c r="AL51" s="177"/>
    </row>
    <row r="52" spans="2:38" x14ac:dyDescent="0.45">
      <c r="B52" s="1942"/>
      <c r="C52" s="1945"/>
      <c r="D52" s="1916"/>
      <c r="E52" s="1917"/>
      <c r="F52" s="1917"/>
      <c r="G52" s="1918"/>
      <c r="H52" s="177"/>
      <c r="I52" s="1916"/>
      <c r="J52" s="1917"/>
      <c r="K52" s="1917"/>
      <c r="L52" s="1918"/>
      <c r="M52" s="177"/>
      <c r="N52" s="1916"/>
      <c r="O52" s="1917"/>
      <c r="P52" s="1917"/>
      <c r="Q52" s="1918"/>
      <c r="R52" s="177"/>
      <c r="S52" s="1916"/>
      <c r="T52" s="1917"/>
      <c r="U52" s="1917"/>
      <c r="V52" s="1918"/>
      <c r="W52" s="177"/>
      <c r="X52" s="1916"/>
      <c r="Y52" s="1917"/>
      <c r="Z52" s="1917"/>
      <c r="AA52" s="1918"/>
      <c r="AB52" s="177"/>
      <c r="AC52" s="1916"/>
      <c r="AD52" s="1917"/>
      <c r="AE52" s="1917"/>
      <c r="AF52" s="1918"/>
      <c r="AG52" s="177"/>
      <c r="AH52" s="1916"/>
      <c r="AI52" s="1917"/>
      <c r="AJ52" s="1917"/>
      <c r="AK52" s="1918"/>
      <c r="AL52" s="177"/>
    </row>
    <row r="53" spans="2:38" x14ac:dyDescent="0.45">
      <c r="B53" s="1942"/>
      <c r="C53" s="1945"/>
      <c r="D53" s="1916"/>
      <c r="E53" s="1917"/>
      <c r="F53" s="1917"/>
      <c r="G53" s="1918"/>
      <c r="H53" s="177"/>
      <c r="I53" s="1916"/>
      <c r="J53" s="1917"/>
      <c r="K53" s="1917"/>
      <c r="L53" s="1918"/>
      <c r="M53" s="177"/>
      <c r="N53" s="1916"/>
      <c r="O53" s="1917"/>
      <c r="P53" s="1917"/>
      <c r="Q53" s="1918"/>
      <c r="R53" s="177"/>
      <c r="S53" s="1916"/>
      <c r="T53" s="1917"/>
      <c r="U53" s="1917"/>
      <c r="V53" s="1918"/>
      <c r="W53" s="177"/>
      <c r="X53" s="1916"/>
      <c r="Y53" s="1917"/>
      <c r="Z53" s="1917"/>
      <c r="AA53" s="1918"/>
      <c r="AB53" s="177"/>
      <c r="AC53" s="1916"/>
      <c r="AD53" s="1917"/>
      <c r="AE53" s="1917"/>
      <c r="AF53" s="1918"/>
      <c r="AG53" s="177"/>
      <c r="AH53" s="1916"/>
      <c r="AI53" s="1917"/>
      <c r="AJ53" s="1917"/>
      <c r="AK53" s="1918"/>
      <c r="AL53" s="177"/>
    </row>
    <row r="54" spans="2:38" x14ac:dyDescent="0.45">
      <c r="B54" s="1942"/>
      <c r="C54" s="1945"/>
      <c r="D54" s="1916"/>
      <c r="E54" s="1917"/>
      <c r="F54" s="1917"/>
      <c r="G54" s="1918"/>
      <c r="H54" s="177"/>
      <c r="I54" s="1916"/>
      <c r="J54" s="1917"/>
      <c r="K54" s="1917"/>
      <c r="L54" s="1918"/>
      <c r="M54" s="177"/>
      <c r="N54" s="1916"/>
      <c r="O54" s="1917"/>
      <c r="P54" s="1917"/>
      <c r="Q54" s="1918"/>
      <c r="R54" s="177"/>
      <c r="S54" s="1916"/>
      <c r="T54" s="1917"/>
      <c r="U54" s="1917"/>
      <c r="V54" s="1918"/>
      <c r="W54" s="177"/>
      <c r="X54" s="1916"/>
      <c r="Y54" s="1917"/>
      <c r="Z54" s="1917"/>
      <c r="AA54" s="1918"/>
      <c r="AB54" s="177"/>
      <c r="AC54" s="1916"/>
      <c r="AD54" s="1917"/>
      <c r="AE54" s="1917"/>
      <c r="AF54" s="1918"/>
      <c r="AG54" s="177"/>
      <c r="AH54" s="1916"/>
      <c r="AI54" s="1917"/>
      <c r="AJ54" s="1917"/>
      <c r="AK54" s="1918"/>
      <c r="AL54" s="177"/>
    </row>
    <row r="55" spans="2:38" x14ac:dyDescent="0.45">
      <c r="B55" s="1942"/>
      <c r="C55" s="1945"/>
      <c r="D55" s="1916"/>
      <c r="E55" s="1917"/>
      <c r="F55" s="1917"/>
      <c r="G55" s="1918"/>
      <c r="H55" s="177"/>
      <c r="I55" s="1916"/>
      <c r="J55" s="1917"/>
      <c r="K55" s="1917"/>
      <c r="L55" s="1918"/>
      <c r="M55" s="177"/>
      <c r="N55" s="1916"/>
      <c r="O55" s="1917"/>
      <c r="P55" s="1917"/>
      <c r="Q55" s="1918"/>
      <c r="R55" s="177"/>
      <c r="S55" s="1916"/>
      <c r="T55" s="1917"/>
      <c r="U55" s="1917"/>
      <c r="V55" s="1918"/>
      <c r="W55" s="177"/>
      <c r="X55" s="1916"/>
      <c r="Y55" s="1917"/>
      <c r="Z55" s="1917"/>
      <c r="AA55" s="1918"/>
      <c r="AB55" s="177"/>
      <c r="AC55" s="1916"/>
      <c r="AD55" s="1917"/>
      <c r="AE55" s="1917"/>
      <c r="AF55" s="1918"/>
      <c r="AG55" s="177"/>
      <c r="AH55" s="1916"/>
      <c r="AI55" s="1917"/>
      <c r="AJ55" s="1917"/>
      <c r="AK55" s="1918"/>
      <c r="AL55" s="177"/>
    </row>
    <row r="56" spans="2:38" x14ac:dyDescent="0.45">
      <c r="B56" s="1942"/>
      <c r="C56" s="1945"/>
      <c r="D56" s="1916"/>
      <c r="E56" s="1917"/>
      <c r="F56" s="1917"/>
      <c r="G56" s="1918"/>
      <c r="H56" s="177"/>
      <c r="I56" s="1916"/>
      <c r="J56" s="1917"/>
      <c r="K56" s="1917"/>
      <c r="L56" s="1918"/>
      <c r="M56" s="176"/>
      <c r="N56" s="1916"/>
      <c r="O56" s="1917"/>
      <c r="P56" s="1917"/>
      <c r="Q56" s="1918"/>
      <c r="R56" s="176"/>
      <c r="S56" s="1916"/>
      <c r="T56" s="1917"/>
      <c r="U56" s="1917"/>
      <c r="V56" s="1918"/>
      <c r="W56" s="176"/>
      <c r="X56" s="1916"/>
      <c r="Y56" s="1917"/>
      <c r="Z56" s="1917"/>
      <c r="AA56" s="1918"/>
      <c r="AB56" s="176"/>
      <c r="AC56" s="1916"/>
      <c r="AD56" s="1917"/>
      <c r="AE56" s="1917"/>
      <c r="AF56" s="1918"/>
      <c r="AG56" s="176"/>
      <c r="AH56" s="1916"/>
      <c r="AI56" s="1917"/>
      <c r="AJ56" s="1917"/>
      <c r="AK56" s="1918"/>
      <c r="AL56" s="176"/>
    </row>
    <row r="57" spans="2:38" ht="14.65" thickBot="1" x14ac:dyDescent="0.5">
      <c r="B57" s="1943"/>
      <c r="C57" s="1946"/>
      <c r="D57" s="1938"/>
      <c r="E57" s="1939"/>
      <c r="F57" s="1939"/>
      <c r="G57" s="1940"/>
      <c r="I57" s="1938"/>
      <c r="J57" s="1939"/>
      <c r="K57" s="1939"/>
      <c r="L57" s="1940"/>
      <c r="N57" s="1938"/>
      <c r="O57" s="1939"/>
      <c r="P57" s="1939"/>
      <c r="Q57" s="1940"/>
      <c r="S57" s="1938"/>
      <c r="T57" s="1939"/>
      <c r="U57" s="1939"/>
      <c r="V57" s="1940"/>
      <c r="X57" s="1938"/>
      <c r="Y57" s="1939"/>
      <c r="Z57" s="1939"/>
      <c r="AA57" s="1940"/>
      <c r="AC57" s="1938"/>
      <c r="AD57" s="1939"/>
      <c r="AE57" s="1939"/>
      <c r="AF57" s="1940"/>
      <c r="AH57" s="1938"/>
      <c r="AI57" s="1939"/>
      <c r="AJ57" s="1939"/>
      <c r="AK57" s="1940"/>
    </row>
    <row r="58" spans="2:38" ht="14.65" thickBot="1" x14ac:dyDescent="0.5"/>
    <row r="59" spans="2:38" s="176" customFormat="1" ht="15" customHeight="1" thickBot="1" x14ac:dyDescent="0.5">
      <c r="B59" s="1941">
        <v>2</v>
      </c>
      <c r="C59" s="1944" t="str">
        <f ca="1">IF(INDEX(display_strategy,1,B59)="","", CONCATENATE(INDEX(display_strategy,1,B59),": ",HLOOKUP(INDEX(display_strategy,1,B59),strategies,4,TRUE)))</f>
        <v xml:space="preserve">Conservative Balance: Reduce training stress but maintain a good base level of conditioning and metabolism. </v>
      </c>
      <c r="D59" s="1418" t="str">
        <f ca="1">CONCATENATE("Strategy: ",INDEX(display_strategy,$B59))</f>
        <v>Strategy: Conservative Balance</v>
      </c>
      <c r="E59" s="1947">
        <f>plan_start_date + ($B59-1)*7 + (COLUMN(D$2)-2)/5</f>
        <v>43381.4</v>
      </c>
      <c r="F59" s="1947"/>
      <c r="G59" s="1417" t="str">
        <f>CONCATENATE("Slot: ", ((WEEKDAY(E$3,2)*2-1)+IF(E60="Morning",0,1)))</f>
        <v>Slot: 1</v>
      </c>
      <c r="H59" s="177"/>
      <c r="I59" s="1418" t="str">
        <f ca="1">CONCATENATE("Strategy: ",INDEX(display_strategy,$B59))</f>
        <v>Strategy: Conservative Balance</v>
      </c>
      <c r="J59" s="1947">
        <f>plan_start_date + ($B59-1)*7 + (COLUMN(I$2)-2)/5</f>
        <v>43382.400000000001</v>
      </c>
      <c r="K59" s="1947"/>
      <c r="L59" s="1417" t="str">
        <f>CONCATENATE("Slot: ", ((WEEKDAY(J$3,2)*2-1)+IF(J60="Morning",0,1)))</f>
        <v>Slot: 3</v>
      </c>
      <c r="N59" s="1418" t="str">
        <f ca="1">CONCATENATE("Strategy: ",INDEX(display_strategy,$B59))</f>
        <v>Strategy: Conservative Balance</v>
      </c>
      <c r="O59" s="1947">
        <f>plan_start_date + ($B59-1)*7 + (COLUMN(N$2)-2)/5</f>
        <v>43383.4</v>
      </c>
      <c r="P59" s="1947"/>
      <c r="Q59" s="1417" t="str">
        <f>CONCATENATE("Slot: ", ((WEEKDAY(O$3,2)*2-1)+IF(O60="Morning",0,1)))</f>
        <v>Slot: 5</v>
      </c>
      <c r="S59" s="1418" t="str">
        <f ca="1">CONCATENATE("Strategy: ",INDEX(display_strategy,$B59))</f>
        <v>Strategy: Conservative Balance</v>
      </c>
      <c r="T59" s="1947">
        <f>plan_start_date + ($B59-1)*7 + (COLUMN(S$2)-2)/5</f>
        <v>43384.4</v>
      </c>
      <c r="U59" s="1947"/>
      <c r="V59" s="1417" t="str">
        <f>CONCATENATE("Slot: ", ((WEEKDAY(T$3,2)*2-1)+IF(T60="Morning",0,1)))</f>
        <v>Slot: 7</v>
      </c>
      <c r="X59" s="1418" t="str">
        <f ca="1">CONCATENATE("Strategy: ",INDEX(display_strategy,$B59))</f>
        <v>Strategy: Conservative Balance</v>
      </c>
      <c r="Y59" s="1947">
        <f>plan_start_date + ($B59-1)*7 + (COLUMN(X$2)-2)/5</f>
        <v>43385.4</v>
      </c>
      <c r="Z59" s="1947"/>
      <c r="AA59" s="1417" t="str">
        <f>CONCATENATE("Slot: ", ((WEEKDAY(Y$3,2)*2-1)+IF(Y60="Morning",0,1)))</f>
        <v>Slot: 9</v>
      </c>
      <c r="AC59" s="1418" t="str">
        <f ca="1">CONCATENATE("Strategy: ",INDEX(display_strategy,$B59))</f>
        <v>Strategy: Conservative Balance</v>
      </c>
      <c r="AD59" s="1947">
        <f>plan_start_date + ($B59-1)*7 + (COLUMN(AC$2)-2)/5</f>
        <v>43386.400000000001</v>
      </c>
      <c r="AE59" s="1947"/>
      <c r="AF59" s="1417" t="str">
        <f>CONCATENATE("Slot: ", ((WEEKDAY(AD$3,2)*2-1)+IF(AD60="Morning",0,1)))</f>
        <v>Slot: 11</v>
      </c>
      <c r="AH59" s="1418" t="str">
        <f ca="1">CONCATENATE("Strategy: ",INDEX(display_strategy,$B59))</f>
        <v>Strategy: Conservative Balance</v>
      </c>
      <c r="AI59" s="1947">
        <f>plan_start_date + ($B59-1)*7 + (COLUMN(AH$2)-2)/5</f>
        <v>43387.4</v>
      </c>
      <c r="AJ59" s="1947"/>
      <c r="AK59" s="1417" t="str">
        <f>CONCATENATE("Slot: ", ((WEEKDAY(AI$3,2)*2-1)+IF(AI60="Morning",0,1)))</f>
        <v>Slot: 13</v>
      </c>
    </row>
    <row r="60" spans="2:38" s="176" customFormat="1" x14ac:dyDescent="0.45">
      <c r="B60" s="1942"/>
      <c r="C60" s="1945"/>
      <c r="D60" s="1413">
        <f>$B59</f>
        <v>2</v>
      </c>
      <c r="E60" s="1930" t="s">
        <v>351</v>
      </c>
      <c r="F60" s="1930"/>
      <c r="G60" s="1412">
        <f ca="1">INDEX(final_duration_session, ((WEEKDAY(E$3,2)*2-1)+IF(E60="Morning",0,1)), $D60)</f>
        <v>40</v>
      </c>
      <c r="H60" s="177"/>
      <c r="I60" s="1413">
        <f>$B59</f>
        <v>2</v>
      </c>
      <c r="J60" s="1930" t="s">
        <v>351</v>
      </c>
      <c r="K60" s="1930"/>
      <c r="L60" s="1412">
        <f ca="1">INDEX(final_duration_session, ((WEEKDAY(J$3,2)*2-1)+IF(J60="Morning",0,1)), $D60)</f>
        <v>40</v>
      </c>
      <c r="M60" s="177"/>
      <c r="N60" s="1413">
        <f>$B59</f>
        <v>2</v>
      </c>
      <c r="O60" s="1930" t="s">
        <v>351</v>
      </c>
      <c r="P60" s="1930"/>
      <c r="Q60" s="1412">
        <f ca="1">INDEX(final_duration_session, ((WEEKDAY(O$3,2)*2-1)+IF(O60="Morning",0,1)), $D60)</f>
        <v>0</v>
      </c>
      <c r="R60" s="177"/>
      <c r="S60" s="1413">
        <f>$B59</f>
        <v>2</v>
      </c>
      <c r="T60" s="1930" t="s">
        <v>351</v>
      </c>
      <c r="U60" s="1930"/>
      <c r="V60" s="1412">
        <f ca="1">INDEX(final_duration_session, ((WEEKDAY(T$3,2)*2-1)+IF(T60="Morning",0,1)), $D60)</f>
        <v>40</v>
      </c>
      <c r="W60" s="177"/>
      <c r="X60" s="1413">
        <f>$B59</f>
        <v>2</v>
      </c>
      <c r="Y60" s="1930" t="s">
        <v>351</v>
      </c>
      <c r="Z60" s="1930"/>
      <c r="AA60" s="1412">
        <f ca="1">INDEX(final_duration_session, ((WEEKDAY(Y$3,2)*2-1)+IF(Y60="Morning",0,1)), $D60)</f>
        <v>40</v>
      </c>
      <c r="AB60" s="177"/>
      <c r="AC60" s="1413">
        <f>$B59</f>
        <v>2</v>
      </c>
      <c r="AD60" s="1930" t="s">
        <v>351</v>
      </c>
      <c r="AE60" s="1930"/>
      <c r="AF60" s="1412">
        <f ca="1">INDEX(final_duration_session, ((WEEKDAY(AD$3,2)*2-1)+IF(AD60="Morning",0,1)), $D60)</f>
        <v>60</v>
      </c>
      <c r="AG60" s="177"/>
      <c r="AH60" s="1413">
        <f>$B59</f>
        <v>2</v>
      </c>
      <c r="AI60" s="1930" t="s">
        <v>351</v>
      </c>
      <c r="AJ60" s="1930"/>
      <c r="AK60" s="1412">
        <f ca="1">INDEX(final_duration_session, ((WEEKDAY(AI$3,2)*2-1)+IF(AI60="Morning",0,1)), $D60)</f>
        <v>140</v>
      </c>
      <c r="AL60" s="177"/>
    </row>
    <row r="61" spans="2:38" s="176" customFormat="1" ht="15" customHeight="1" x14ac:dyDescent="0.45">
      <c r="B61" s="1942"/>
      <c r="C61" s="1945"/>
      <c r="D61" s="1931" t="str">
        <f ca="1">IF(G60&gt;0,INDEX(sessions_name,INDEX(plan_session_allocation,((WEEKDAY(E$3,2)*2-1)+IF(E60="Morning",0,1)),D60)),"")</f>
        <v>Easy</v>
      </c>
      <c r="E61" s="1932"/>
      <c r="F61" s="1932"/>
      <c r="G61" s="1933"/>
      <c r="H61" s="177"/>
      <c r="I61" s="1931" t="str">
        <f ca="1">IF(L60&gt;0,INDEX(sessions_name,INDEX(plan_session_allocation,((WEEKDAY(J$3,2)*2-1)+IF(J60="Morning",0,1)),I60)),"")</f>
        <v>Easy</v>
      </c>
      <c r="J61" s="1932"/>
      <c r="K61" s="1932"/>
      <c r="L61" s="1933"/>
      <c r="M61" s="177"/>
      <c r="N61" s="1931" t="str">
        <f ca="1">IF(Q60&gt;0,INDEX(sessions_name,INDEX(plan_session_allocation,((WEEKDAY(O$3,2)*2-1)+IF(O60="Morning",0,1)),N60)),"")</f>
        <v/>
      </c>
      <c r="O61" s="1932"/>
      <c r="P61" s="1932"/>
      <c r="Q61" s="1933"/>
      <c r="R61" s="177"/>
      <c r="S61" s="1931" t="str">
        <f ca="1">IF(V60&gt;0,INDEX(sessions_name,INDEX(plan_session_allocation,((WEEKDAY(T$3,2)*2-1)+IF(T60="Morning",0,1)),S60)),"")</f>
        <v>Easy</v>
      </c>
      <c r="T61" s="1932"/>
      <c r="U61" s="1932"/>
      <c r="V61" s="1933"/>
      <c r="W61" s="177"/>
      <c r="X61" s="1931" t="str">
        <f ca="1">IF(AA60&gt;0,INDEX(sessions_name,INDEX(plan_session_allocation,((WEEKDAY(Y$3,2)*2-1)+IF(Y60="Morning",0,1)),X60)),"")</f>
        <v>Easy</v>
      </c>
      <c r="Y61" s="1932"/>
      <c r="Z61" s="1932"/>
      <c r="AA61" s="1933"/>
      <c r="AB61" s="177"/>
      <c r="AC61" s="1931" t="str">
        <f ca="1">IF(AF60&gt;0,INDEX(sessions_name,INDEX(plan_session_allocation,((WEEKDAY(AD$3,2)*2-1)+IF(AD60="Morning",0,1)),AC60)),"")</f>
        <v>Drills</v>
      </c>
      <c r="AD61" s="1932"/>
      <c r="AE61" s="1932"/>
      <c r="AF61" s="1933"/>
      <c r="AG61" s="177"/>
      <c r="AH61" s="1931" t="str">
        <f ca="1">IF(AK60&gt;0,INDEX(sessions_name,INDEX(plan_session_allocation,((WEEKDAY(AI$3,2)*2-1)+IF(AI60="Morning",0,1)),AH60)),"")</f>
        <v>Long</v>
      </c>
      <c r="AI61" s="1932"/>
      <c r="AJ61" s="1932"/>
      <c r="AK61" s="1933"/>
      <c r="AL61" s="177"/>
    </row>
    <row r="62" spans="2:38" s="176" customFormat="1" ht="15" customHeight="1" x14ac:dyDescent="0.45">
      <c r="B62" s="1942"/>
      <c r="C62" s="1945"/>
      <c r="D62" s="1934" t="str">
        <f ca="1">IF(G60&gt;0,CONCATENATE("Sport: ",INDEX(sessions_sport_primary,INDEX(plan_session_allocation,(WEEKDAY(E$3,2)*2-1)+IF(E60="Morning",0,1),D60))),"")</f>
        <v>Sport: Ride</v>
      </c>
      <c r="E62" s="1935"/>
      <c r="F62" s="1936">
        <f ca="1">IF(G60&gt;0,IFERROR(F63+F64+F65,""),"")</f>
        <v>40</v>
      </c>
      <c r="G62" s="1937"/>
      <c r="H62" s="177"/>
      <c r="I62" s="1934" t="str">
        <f ca="1">IF(L60&gt;0,CONCATENATE("Sport: ",INDEX(sessions_sport_primary,INDEX(plan_session_allocation,(WEEKDAY(J$3,2)*2-1)+IF(J60="Morning",0,1),I60))),"")</f>
        <v>Sport: Ride</v>
      </c>
      <c r="J62" s="1935"/>
      <c r="K62" s="1936">
        <f ca="1">IF(L60&gt;0,IFERROR(K63+K64+K65,""),"")</f>
        <v>40</v>
      </c>
      <c r="L62" s="1937"/>
      <c r="M62" s="177"/>
      <c r="N62" s="1934" t="str">
        <f ca="1">IF(Q60&gt;0,CONCATENATE("Sport: ",INDEX(sessions_sport_primary,INDEX(plan_session_allocation,(WEEKDAY(O$3,2)*2-1)+IF(O60="Morning",0,1),N60))),"")</f>
        <v/>
      </c>
      <c r="O62" s="1935"/>
      <c r="P62" s="1936" t="str">
        <f ca="1">IF(Q60&gt;0,IFERROR(P63+P64+P65,""),"")</f>
        <v/>
      </c>
      <c r="Q62" s="1937"/>
      <c r="R62" s="177"/>
      <c r="S62" s="1934" t="str">
        <f ca="1">IF(V60&gt;0,CONCATENATE("Sport: ",INDEX(sessions_sport_primary,INDEX(plan_session_allocation,(WEEKDAY(T$3,2)*2-1)+IF(T60="Morning",0,1),S60))),"")</f>
        <v>Sport: Ride</v>
      </c>
      <c r="T62" s="1935"/>
      <c r="U62" s="1936">
        <f ca="1">IF(V60&gt;0,IFERROR(U63+U64+U65,""),"")</f>
        <v>40</v>
      </c>
      <c r="V62" s="1937"/>
      <c r="W62" s="177"/>
      <c r="X62" s="1934" t="str">
        <f ca="1">IF(AA60&gt;0,CONCATENATE("Sport: ",INDEX(sessions_sport_primary,INDEX(plan_session_allocation,(WEEKDAY(Y$3,2)*2-1)+IF(Y60="Morning",0,1),X60))),"")</f>
        <v>Sport: Ride</v>
      </c>
      <c r="Y62" s="1935"/>
      <c r="Z62" s="1936">
        <f ca="1">IF(AA60&gt;0,IFERROR(Z63+Z64+Z65,""),"")</f>
        <v>40</v>
      </c>
      <c r="AA62" s="1937"/>
      <c r="AB62" s="177"/>
      <c r="AC62" s="1934" t="str">
        <f ca="1">IF(AF60&gt;0,CONCATENATE("Sport: ",INDEX(sessions_sport_primary,INDEX(plan_session_allocation,(WEEKDAY(AD$3,2)*2-1)+IF(AD60="Morning",0,1),AC60))),"")</f>
        <v>Sport: Run</v>
      </c>
      <c r="AD62" s="1935"/>
      <c r="AE62" s="1936">
        <f ca="1">IF(AF60&gt;0,IFERROR(AE63+AE64+AE65,""),"")</f>
        <v>60</v>
      </c>
      <c r="AF62" s="1937"/>
      <c r="AG62" s="177"/>
      <c r="AH62" s="1934" t="str">
        <f ca="1">IF(AK60&gt;0,CONCATENATE("Sport: ",INDEX(sessions_sport_primary,INDEX(plan_session_allocation,(WEEKDAY(AI$3,2)*2-1)+IF(AI60="Morning",0,1),AH60))),"")</f>
        <v>Sport: Ride</v>
      </c>
      <c r="AI62" s="1935"/>
      <c r="AJ62" s="1936">
        <f ca="1">IF(AK60&gt;0,IFERROR(AJ63+AJ64+AJ65,""),"")</f>
        <v>140</v>
      </c>
      <c r="AK62" s="1937"/>
      <c r="AL62" s="177"/>
    </row>
    <row r="63" spans="2:38" s="176" customFormat="1" ht="15" customHeight="1" x14ac:dyDescent="0.45">
      <c r="B63" s="1942"/>
      <c r="C63" s="1945"/>
      <c r="D63" s="1922" t="str">
        <f ca="1">IF(G60&gt;0,CONCATENATE("HR Target: ",
INDEX(sessions_HR_primary,INDEX(plan_session_allocation,((WEEKDAY(E$3,2)*2-1)+IF(E60="Morning",0,1)),D60)),
IF(INDEX(sessions_HR_primary,INDEX(plan_session_allocation,((WEEKDAY(E$3,2)*2-1)+IF(E60="Morning",0,1)),D60))="N/A","",
" BPM")),"")</f>
        <v>HR Target: 138 BPM</v>
      </c>
      <c r="E63" s="1923"/>
      <c r="F63" s="1924">
        <f ca="1">IF(G60&gt;0,
INDEX(final_duration_effort,((WEEKDAY(E$3,2)*2-1)+IF(E60="Morning",0,1)),D60),"")</f>
        <v>40</v>
      </c>
      <c r="G63" s="1925"/>
      <c r="H63" s="177"/>
      <c r="I63" s="1922" t="str">
        <f ca="1">IF(L60&gt;0,CONCATENATE("HR Target: ",
INDEX(sessions_HR_primary,INDEX(plan_session_allocation,((WEEKDAY(J$3,2)*2-1)+IF(J60="Morning",0,1)),I60)),
IF(INDEX(sessions_HR_primary,INDEX(plan_session_allocation,((WEEKDAY(J$3,2)*2-1)+IF(J60="Morning",0,1)),I60))="N/A","",
" BPM")),"")</f>
        <v>HR Target: 138 BPM</v>
      </c>
      <c r="J63" s="1923"/>
      <c r="K63" s="1924">
        <f ca="1">IF(L60&gt;0,
INDEX(final_duration_effort,((WEEKDAY(J$3,2)*2-1)+IF(J60="Morning",0,1)),I60),"")</f>
        <v>40</v>
      </c>
      <c r="L63" s="1925"/>
      <c r="M63" s="177"/>
      <c r="N63" s="1922" t="str">
        <f ca="1">IF(Q60&gt;0,CONCATENATE("HR Target: ",
INDEX(sessions_HR_primary,INDEX(plan_session_allocation,((WEEKDAY(O$3,2)*2-1)+IF(O60="Morning",0,1)),N60)),
IF(INDEX(sessions_HR_primary,INDEX(plan_session_allocation,((WEEKDAY(O$3,2)*2-1)+IF(O60="Morning",0,1)),N60))="N/A","",
" BPM")),"")</f>
        <v/>
      </c>
      <c r="O63" s="1923"/>
      <c r="P63" s="1924" t="str">
        <f ca="1">IF(Q60&gt;0,
INDEX(final_duration_effort,((WEEKDAY(O$3,2)*2-1)+IF(O60="Morning",0,1)),N60),"")</f>
        <v/>
      </c>
      <c r="Q63" s="1925"/>
      <c r="R63" s="177"/>
      <c r="S63" s="1922" t="str">
        <f ca="1">IF(V60&gt;0,CONCATENATE("HR Target: ",
INDEX(sessions_HR_primary,INDEX(plan_session_allocation,((WEEKDAY(T$3,2)*2-1)+IF(T60="Morning",0,1)),S60)),
IF(INDEX(sessions_HR_primary,INDEX(plan_session_allocation,((WEEKDAY(T$3,2)*2-1)+IF(T60="Morning",0,1)),S60))="N/A","",
" BPM")),"")</f>
        <v>HR Target: 138 BPM</v>
      </c>
      <c r="T63" s="1923"/>
      <c r="U63" s="1924">
        <f ca="1">IF(V60&gt;0,
INDEX(final_duration_effort,((WEEKDAY(T$3,2)*2-1)+IF(T60="Morning",0,1)),S60),"")</f>
        <v>40</v>
      </c>
      <c r="V63" s="1925"/>
      <c r="W63" s="177"/>
      <c r="X63" s="1922" t="str">
        <f ca="1">IF(AA60&gt;0,CONCATENATE("HR Target: ",
INDEX(sessions_HR_primary,INDEX(plan_session_allocation,((WEEKDAY(Y$3,2)*2-1)+IF(Y60="Morning",0,1)),X60)),
IF(INDEX(sessions_HR_primary,INDEX(plan_session_allocation,((WEEKDAY(Y$3,2)*2-1)+IF(Y60="Morning",0,1)),X60))="N/A","",
" BPM")),"")</f>
        <v>HR Target: 138 BPM</v>
      </c>
      <c r="Y63" s="1923"/>
      <c r="Z63" s="1924">
        <f ca="1">IF(AA60&gt;0,
INDEX(final_duration_effort,((WEEKDAY(Y$3,2)*2-1)+IF(Y60="Morning",0,1)),X60),"")</f>
        <v>40</v>
      </c>
      <c r="AA63" s="1925"/>
      <c r="AB63" s="177"/>
      <c r="AC63" s="1922" t="str">
        <f ca="1">IF(AF60&gt;0,CONCATENATE("HR Target: ",
INDEX(sessions_HR_primary,INDEX(plan_session_allocation,((WEEKDAY(AD$3,2)*2-1)+IF(AD60="Morning",0,1)),AC60)),
IF(INDEX(sessions_HR_primary,INDEX(plan_session_allocation,((WEEKDAY(AD$3,2)*2-1)+IF(AD60="Morning",0,1)),AC60))="N/A","",
" BPM")),"")</f>
        <v>HR Target: 148 BPM</v>
      </c>
      <c r="AD63" s="1923"/>
      <c r="AE63" s="1924">
        <f ca="1">IF(AF60&gt;0,
INDEX(final_duration_effort,((WEEKDAY(AD$3,2)*2-1)+IF(AD60="Morning",0,1)),AC60),"")</f>
        <v>30</v>
      </c>
      <c r="AF63" s="1925"/>
      <c r="AG63" s="177"/>
      <c r="AH63" s="1922" t="str">
        <f ca="1">IF(AK60&gt;0,CONCATENATE("HR Target: ",
INDEX(sessions_HR_primary,INDEX(plan_session_allocation,((WEEKDAY(AI$3,2)*2-1)+IF(AI60="Morning",0,1)),AH60)),
IF(INDEX(sessions_HR_primary,INDEX(plan_session_allocation,((WEEKDAY(AI$3,2)*2-1)+IF(AI60="Morning",0,1)),AH60))="N/A","",
" BPM")),"")</f>
        <v>HR Target: 148 BPM</v>
      </c>
      <c r="AI63" s="1923"/>
      <c r="AJ63" s="1924">
        <f ca="1">IF(AK60&gt;0,
INDEX(final_duration_effort,((WEEKDAY(AI$3,2)*2-1)+IF(AI60="Morning",0,1)),AH60),"")</f>
        <v>140</v>
      </c>
      <c r="AK63" s="1925"/>
      <c r="AL63" s="177"/>
    </row>
    <row r="64" spans="2:38" s="179" customFormat="1" x14ac:dyDescent="0.45">
      <c r="B64" s="1942"/>
      <c r="C64" s="1945"/>
      <c r="D64" s="1926" t="str">
        <f ca="1">IF(G60&gt;0,CONCATENATE("HR Range: ",
INDEX(sessions_HR_range_primary,INDEX(plan_session_allocation,((WEEKDAY(E$3,2)*2-1)+IF(E60="Morning",0,1)),D60)),
IF(INDEX(sessions_HR_range_primary,INDEX(plan_session_allocation,((WEEKDAY(E$3,2)*2-1)+IF(E60="Morning",0,1)),D60))="N/A","",
" BPM")),"")</f>
        <v>HR Range: 129 - 148 BPM</v>
      </c>
      <c r="E64" s="1927"/>
      <c r="F64" s="1928">
        <f ca="1">IF(G60&gt;0,IF(
INDEX(sessions_recoveries,INDEX(plan_session_allocation,((WEEKDAY(E$3,2)*2-1)+IF(E60="Morning",0,1)),D60))="Yes",
VLOOKUP(INDEX(plan_duration_primary,((WEEKDAY(E$3,2)*2-1)+IF(E60="Morning",0,1)),D60),
INDIRECT(INDEX(sessions_intervals_code_primary,INDEX(plan_session_allocation,((WEEKDAY(E$3,2)*2-1)+IF(E60="Morning",0,1)),D60))),7,TRUE),0),"")</f>
        <v>0</v>
      </c>
      <c r="G64" s="1929"/>
      <c r="H64" s="178"/>
      <c r="I64" s="1926" t="str">
        <f ca="1">IF(L60&gt;0,CONCATENATE("HR Range: ",
INDEX(sessions_HR_range_primary,INDEX(plan_session_allocation,((WEEKDAY(J$3,2)*2-1)+IF(J60="Morning",0,1)),I60)),
IF(INDEX(sessions_HR_range_primary,INDEX(plan_session_allocation,((WEEKDAY(J$3,2)*2-1)+IF(J60="Morning",0,1)),I60))="N/A","",
" BPM")),"")</f>
        <v>HR Range: 129 - 148 BPM</v>
      </c>
      <c r="J64" s="1927"/>
      <c r="K64" s="1928">
        <f ca="1">IF(L60&gt;0,IF(
INDEX(sessions_recoveries,INDEX(plan_session_allocation,((WEEKDAY(J$3,2)*2-1)+IF(J60="Morning",0,1)),I60))="Yes",
VLOOKUP(INDEX(plan_duration_primary,((WEEKDAY(J$3,2)*2-1)+IF(J60="Morning",0,1)),I60),
INDIRECT(INDEX(sessions_intervals_code_primary,INDEX(plan_session_allocation,((WEEKDAY(J$3,2)*2-1)+IF(J60="Morning",0,1)),I60))),7,TRUE),0),"")</f>
        <v>0</v>
      </c>
      <c r="L64" s="1929"/>
      <c r="M64" s="178"/>
      <c r="N64" s="1926" t="str">
        <f ca="1">IF(Q60&gt;0,CONCATENATE("HR Range: ",
INDEX(sessions_HR_range_primary,INDEX(plan_session_allocation,((WEEKDAY(O$3,2)*2-1)+IF(O60="Morning",0,1)),N60)),
IF(INDEX(sessions_HR_range_primary,INDEX(plan_session_allocation,((WEEKDAY(O$3,2)*2-1)+IF(O60="Morning",0,1)),N60))="N/A","",
" BPM")),"")</f>
        <v/>
      </c>
      <c r="O64" s="1927"/>
      <c r="P64" s="1928" t="str">
        <f ca="1">IF(Q60&gt;0,IF(
INDEX(sessions_recoveries,INDEX(plan_session_allocation,((WEEKDAY(O$3,2)*2-1)+IF(O60="Morning",0,1)),N60))="Yes",
VLOOKUP(INDEX(plan_duration_primary,((WEEKDAY(O$3,2)*2-1)+IF(O60="Morning",0,1)),N60),
INDIRECT(INDEX(sessions_intervals_code_primary,INDEX(plan_session_allocation,((WEEKDAY(O$3,2)*2-1)+IF(O60="Morning",0,1)),N60))),7,TRUE),0),"")</f>
        <v/>
      </c>
      <c r="Q64" s="1929"/>
      <c r="R64" s="178"/>
      <c r="S64" s="1926" t="str">
        <f ca="1">IF(V60&gt;0,CONCATENATE("HR Range: ",
INDEX(sessions_HR_range_primary,INDEX(plan_session_allocation,((WEEKDAY(T$3,2)*2-1)+IF(T60="Morning",0,1)),S60)),
IF(INDEX(sessions_HR_range_primary,INDEX(plan_session_allocation,((WEEKDAY(T$3,2)*2-1)+IF(T60="Morning",0,1)),S60))="N/A","",
" BPM")),"")</f>
        <v>HR Range: 129 - 148 BPM</v>
      </c>
      <c r="T64" s="1927"/>
      <c r="U64" s="1928">
        <f ca="1">IF(V60&gt;0,IF(
INDEX(sessions_recoveries,INDEX(plan_session_allocation,((WEEKDAY(T$3,2)*2-1)+IF(T60="Morning",0,1)),S60))="Yes",
VLOOKUP(INDEX(plan_duration_primary,((WEEKDAY(T$3,2)*2-1)+IF(T60="Morning",0,1)),S60),
INDIRECT(INDEX(sessions_intervals_code_primary,INDEX(plan_session_allocation,((WEEKDAY(T$3,2)*2-1)+IF(T60="Morning",0,1)),S60))),7,TRUE),0),"")</f>
        <v>0</v>
      </c>
      <c r="V64" s="1929"/>
      <c r="W64" s="178"/>
      <c r="X64" s="1926" t="str">
        <f ca="1">IF(AA60&gt;0,CONCATENATE("HR Range: ",
INDEX(sessions_HR_range_primary,INDEX(plan_session_allocation,((WEEKDAY(Y$3,2)*2-1)+IF(Y60="Morning",0,1)),X60)),
IF(INDEX(sessions_HR_range_primary,INDEX(plan_session_allocation,((WEEKDAY(Y$3,2)*2-1)+IF(Y60="Morning",0,1)),X60))="N/A","",
" BPM")),"")</f>
        <v>HR Range: 129 - 148 BPM</v>
      </c>
      <c r="Y64" s="1927"/>
      <c r="Z64" s="1928">
        <f ca="1">IF(AA60&gt;0,IF(
INDEX(sessions_recoveries,INDEX(plan_session_allocation,((WEEKDAY(Y$3,2)*2-1)+IF(Y60="Morning",0,1)),X60))="Yes",
VLOOKUP(INDEX(plan_duration_primary,((WEEKDAY(Y$3,2)*2-1)+IF(Y60="Morning",0,1)),X60),
INDIRECT(INDEX(sessions_intervals_code_primary,INDEX(plan_session_allocation,((WEEKDAY(Y$3,2)*2-1)+IF(Y60="Morning",0,1)),X60))),7,TRUE),0),"")</f>
        <v>0</v>
      </c>
      <c r="AA64" s="1929"/>
      <c r="AB64" s="178"/>
      <c r="AC64" s="1926" t="str">
        <f ca="1">IF(AF60&gt;0,CONCATENATE("HR Range: ",
INDEX(sessions_HR_range_primary,INDEX(plan_session_allocation,((WEEKDAY(AD$3,2)*2-1)+IF(AD60="Morning",0,1)),AC60)),
IF(INDEX(sessions_HR_range_primary,INDEX(plan_session_allocation,((WEEKDAY(AD$3,2)*2-1)+IF(AD60="Morning",0,1)),AC60))="N/A","",
" BPM")),"")</f>
        <v>HR Range: 129 - 169 BPM</v>
      </c>
      <c r="AD64" s="1927"/>
      <c r="AE64" s="1928">
        <f ca="1">IF(AF60&gt;0,IF(
INDEX(sessions_recoveries,INDEX(plan_session_allocation,((WEEKDAY(AD$3,2)*2-1)+IF(AD60="Morning",0,1)),AC60))="Yes",
VLOOKUP(INDEX(plan_duration_primary,((WEEKDAY(AD$3,2)*2-1)+IF(AD60="Morning",0,1)),AC60),
INDIRECT(INDEX(sessions_intervals_code_primary,INDEX(plan_session_allocation,((WEEKDAY(AD$3,2)*2-1)+IF(AD60="Morning",0,1)),AC60))),7,TRUE),0),"")</f>
        <v>0</v>
      </c>
      <c r="AF64" s="1929"/>
      <c r="AG64" s="178"/>
      <c r="AH64" s="1926" t="str">
        <f ca="1">IF(AK60&gt;0,CONCATENATE("HR Range: ",
INDEX(sessions_HR_range_primary,INDEX(plan_session_allocation,((WEEKDAY(AI$3,2)*2-1)+IF(AI60="Morning",0,1)),AH60)),
IF(INDEX(sessions_HR_range_primary,INDEX(plan_session_allocation,((WEEKDAY(AI$3,2)*2-1)+IF(AI60="Morning",0,1)),AH60))="N/A","",
" BPM")),"")</f>
        <v>HR Range: 129 - 169 BPM</v>
      </c>
      <c r="AI64" s="1927"/>
      <c r="AJ64" s="1928">
        <f ca="1">IF(AK60&gt;0,IF(
INDEX(sessions_recoveries,INDEX(plan_session_allocation,((WEEKDAY(AI$3,2)*2-1)+IF(AI60="Morning",0,1)),AH60))="Yes",
VLOOKUP(INDEX(plan_duration_primary,((WEEKDAY(AI$3,2)*2-1)+IF(AI60="Morning",0,1)),AH60),
INDIRECT(INDEX(sessions_intervals_code_primary,INDEX(plan_session_allocation,((WEEKDAY(AI$3,2)*2-1)+IF(AI60="Morning",0,1)),AH60))),7,TRUE),0),"")</f>
        <v>0</v>
      </c>
      <c r="AK64" s="1929"/>
      <c r="AL64" s="178"/>
    </row>
    <row r="65" spans="2:38" s="179" customFormat="1" ht="15" customHeight="1" x14ac:dyDescent="0.45">
      <c r="B65" s="1942"/>
      <c r="C65" s="1945"/>
      <c r="D65" s="1909" t="str">
        <f ca="1">IF(G60&gt;0,CONCATENATE("Equivalent Pace: ",
TEXT(INDEX(sessions_pace_primary,INDEX(plan_session_allocation,(WEEKDAY(E$3,2)*2-1)+IF(E60="Morning",0,1),D60)),"m:ss"),
" min/km"
),"")</f>
        <v>Equivalent Pace: 4:39 min/km</v>
      </c>
      <c r="E65" s="1910"/>
      <c r="F65" s="1911">
        <f ca="1">IF(G60&gt;0, INDEX(final_duration_WU,((WEEKDAY(E$3,2)*2-1)+IF(E60="Morning",0,1)),D60)  + INDEX(final_duration_WD,((WEEKDAY(E$3,2)*2-1)+IF(E60="Morning",0,1)),D60), "")</f>
        <v>0</v>
      </c>
      <c r="G65" s="1912"/>
      <c r="H65" s="178"/>
      <c r="I65" s="1909" t="str">
        <f ca="1">IF(L60&gt;0,CONCATENATE("Equivalent Pace: ",
TEXT(INDEX(sessions_pace_primary,INDEX(plan_session_allocation,(WEEKDAY(J$3,2)*2-1)+IF(J60="Morning",0,1),I60)),"m:ss"),
" min/km"
),"")</f>
        <v>Equivalent Pace: 4:39 min/km</v>
      </c>
      <c r="J65" s="1910"/>
      <c r="K65" s="1911">
        <f ca="1">IF(L60&gt;0, INDEX(final_duration_WU,((WEEKDAY(J$3,2)*2-1)+IF(J60="Morning",0,1)),I60)  + INDEX(final_duration_WD,((WEEKDAY(J$3,2)*2-1)+IF(J60="Morning",0,1)),I60), "")</f>
        <v>0</v>
      </c>
      <c r="L65" s="1912"/>
      <c r="M65" s="178"/>
      <c r="N65" s="1909" t="str">
        <f ca="1">IF(Q60&gt;0,CONCATENATE("Equivalent Pace: ",
TEXT(INDEX(sessions_pace_primary,INDEX(plan_session_allocation,(WEEKDAY(O$3,2)*2-1)+IF(O60="Morning",0,1),N60)),"m:ss"),
" min/km"
),"")</f>
        <v/>
      </c>
      <c r="O65" s="1910"/>
      <c r="P65" s="1911" t="str">
        <f ca="1">IF(Q60&gt;0, INDEX(final_duration_WU,((WEEKDAY(O$3,2)*2-1)+IF(O60="Morning",0,1)),N60)  + INDEX(final_duration_WD,((WEEKDAY(O$3,2)*2-1)+IF(O60="Morning",0,1)),N60), "")</f>
        <v/>
      </c>
      <c r="Q65" s="1912"/>
      <c r="R65" s="178"/>
      <c r="S65" s="1909" t="str">
        <f ca="1">IF(V60&gt;0,CONCATENATE("Equivalent Pace: ",
TEXT(INDEX(sessions_pace_primary,INDEX(plan_session_allocation,(WEEKDAY(T$3,2)*2-1)+IF(T60="Morning",0,1),S60)),"m:ss"),
" min/km"
),"")</f>
        <v>Equivalent Pace: 4:39 min/km</v>
      </c>
      <c r="T65" s="1910"/>
      <c r="U65" s="1911">
        <f ca="1">IF(V60&gt;0, INDEX(final_duration_WU,((WEEKDAY(T$3,2)*2-1)+IF(T60="Morning",0,1)),S60)  + INDEX(final_duration_WD,((WEEKDAY(T$3,2)*2-1)+IF(T60="Morning",0,1)),S60), "")</f>
        <v>0</v>
      </c>
      <c r="V65" s="1912"/>
      <c r="W65" s="178"/>
      <c r="X65" s="1909" t="str">
        <f ca="1">IF(AA60&gt;0,CONCATENATE("Equivalent Pace: ",
TEXT(INDEX(sessions_pace_primary,INDEX(plan_session_allocation,(WEEKDAY(Y$3,2)*2-1)+IF(Y60="Morning",0,1),X60)),"m:ss"),
" min/km"
),"")</f>
        <v>Equivalent Pace: 4:39 min/km</v>
      </c>
      <c r="Y65" s="1910"/>
      <c r="Z65" s="1911">
        <f ca="1">IF(AA60&gt;0, INDEX(final_duration_WU,((WEEKDAY(Y$3,2)*2-1)+IF(Y60="Morning",0,1)),X60)  + INDEX(final_duration_WD,((WEEKDAY(Y$3,2)*2-1)+IF(Y60="Morning",0,1)),X60), "")</f>
        <v>0</v>
      </c>
      <c r="AA65" s="1912"/>
      <c r="AB65" s="178"/>
      <c r="AC65" s="1909" t="str">
        <f ca="1">IF(AF60&gt;0,CONCATENATE("Equivalent Pace: ",
TEXT(INDEX(sessions_pace_primary,INDEX(plan_session_allocation,(WEEKDAY(AD$3,2)*2-1)+IF(AD60="Morning",0,1),AC60)),"m:ss"),
" min/km"
),"")</f>
        <v>Equivalent Pace: 4:14 min/km</v>
      </c>
      <c r="AD65" s="1910"/>
      <c r="AE65" s="1911">
        <f ca="1">IF(AF60&gt;0, INDEX(final_duration_WU,((WEEKDAY(AD$3,2)*2-1)+IF(AD60="Morning",0,1)),AC60)  + INDEX(final_duration_WD,((WEEKDAY(AD$3,2)*2-1)+IF(AD60="Morning",0,1)),AC60), "")</f>
        <v>30</v>
      </c>
      <c r="AF65" s="1912"/>
      <c r="AG65" s="178"/>
      <c r="AH65" s="1909" t="str">
        <f ca="1">IF(AK60&gt;0,CONCATENATE("Equivalent Pace: ",
TEXT(INDEX(sessions_pace_primary,INDEX(plan_session_allocation,(WEEKDAY(AI$3,2)*2-1)+IF(AI60="Morning",0,1),AH60)),"m:ss"),
" min/km"
),"")</f>
        <v>Equivalent Pace: 4:14 min/km</v>
      </c>
      <c r="AI65" s="1910"/>
      <c r="AJ65" s="1911">
        <f ca="1">IF(AK60&gt;0, INDEX(final_duration_WU,((WEEKDAY(AI$3,2)*2-1)+IF(AI60="Morning",0,1)),AH60)  + INDEX(final_duration_WD,((WEEKDAY(AI$3,2)*2-1)+IF(AI60="Morning",0,1)),AH60), "")</f>
        <v>0</v>
      </c>
      <c r="AK65" s="1912"/>
      <c r="AL65" s="178"/>
    </row>
    <row r="66" spans="2:38" s="180" customFormat="1" ht="15" customHeight="1" x14ac:dyDescent="0.45">
      <c r="B66" s="1942"/>
      <c r="C66" s="1945"/>
      <c r="D66" s="1913" t="str">
        <f ca="1">IF(G60&gt;0,CONCATENATE(IFERROR(CONCATENATE(IF(INDEX(display_intervals_breakdown,((WEEKDAY(E$3,2)*2-1)+IF(E60="Morning",0,1)),D60)="","",CONCATENATE("Intervals/Reps Breakdown: 
",INDEX(display_intervals_breakdown,((WEEKDAY(E$3,2)*2-1)+IF(E60="Morning",0,1)),D60),"
")),"Session Description: 
",CONCATENATE(IF(INDEX(final_duration_secondary,((WEEKDAY(E$3,2)*2-1)+IF(E60="Morning",0,1)),D60)=0,"","1. "),
INDEX(sessions_description_primary,,INDEX(plan_session_allocation,((WEEKDAY(E$3,2)*2-1)+IF(E60="Morning",0,1)),D60)),IF(INDEX(final_duration_secondary,((WEEKDAY(E$3,2)*2-1)+IF(E60="Morning",0,1)),D60)=0,"","
2. "),
IF(INDEX(final_duration_secondary,((WEEKDAY(E$3,2)*2-1)+IF(E60="Morning",0,1)),D60)=0,"",INDEX(sessions_description_secondary,,INDEX(plan_session_allocation,((WEEKDAY(E$3,2)*2-1)+IF(E60="Morning",0,1)),D60))),IF(INDEX(final_duration_tertiary,((WEEKDAY(E$3,2)*2-1)+IF(E60="Morning",0,1)),D60)=0,"","
3. "),
IF(INDEX(final_duration_tertiary,((WEEKDAY(E$3,2)*2-1)+IF(E60="Morning",0,1)),D60)="","",INDEX(sessions_description_tertiary,,INDEX(plan_session_allocation,((WEEKDAY(E$3,2)*2-1)+IF(E60="Morning",0,1)),D60))),
IF(INDEX(display_nutrition_description,((WEEKDAY(E$3,2)*2-1)+IF(E60="Morning",0,1)),D60)="","",
CONCATENATE("
Meal Plan: ", INDEX(sessions_nutrition,,INDEX(plan_session_allocation,((WEEKDAY(E$3,2)*2-1)+IF(E60="Morning",0,1)),D60)), "
", INDEX(display_nutrition_description,((WEEKDAY(E$3,2)*2-1)+IF(E60="Morning",0,1)),D60)))
)),"")),"")</f>
        <v>Session Description: 
Stay at a comfortable and controlled intensity where you should be able to have a conversation without large pauses. Keep an even intensity and accept that your pace may change as the terrain changes.</v>
      </c>
      <c r="E66" s="1914"/>
      <c r="F66" s="1914"/>
      <c r="G66" s="1915"/>
      <c r="I66" s="1913" t="str">
        <f ca="1">IF(L60&gt;0,CONCATENATE(IFERROR(CONCATENATE(IF(INDEX(display_intervals_breakdown,((WEEKDAY(J$3,2)*2-1)+IF(J60="Morning",0,1)),I60)="","",CONCATENATE("Intervals/Reps Breakdown: 
",INDEX(display_intervals_breakdown,((WEEKDAY(J$3,2)*2-1)+IF(J60="Morning",0,1)),I60),"
")),"Session Description: 
",CONCATENATE(IF(INDEX(final_duration_secondary,((WEEKDAY(J$3,2)*2-1)+IF(J60="Morning",0,1)),I60)=0,"","1. "),
INDEX(sessions_description_primary,,INDEX(plan_session_allocation,((WEEKDAY(J$3,2)*2-1)+IF(J60="Morning",0,1)),I60)),IF(INDEX(final_duration_secondary,((WEEKDAY(J$3,2)*2-1)+IF(J60="Morning",0,1)),I60)=0,"","
2. "),
IF(INDEX(final_duration_secondary,((WEEKDAY(J$3,2)*2-1)+IF(J60="Morning",0,1)),I60)=0,"",INDEX(sessions_description_secondary,,INDEX(plan_session_allocation,((WEEKDAY(J$3,2)*2-1)+IF(J60="Morning",0,1)),I60))),IF(INDEX(final_duration_tertiary,((WEEKDAY(J$3,2)*2-1)+IF(J60="Morning",0,1)),I60)=0,"","
3. "),
IF(INDEX(final_duration_tertiary,((WEEKDAY(J$3,2)*2-1)+IF(J60="Morning",0,1)),I60)="","",INDEX(sessions_description_tertiary,,INDEX(plan_session_allocation,((WEEKDAY(J$3,2)*2-1)+IF(J60="Morning",0,1)),I60))),
IF(INDEX(display_nutrition_description,((WEEKDAY(J$3,2)*2-1)+IF(J60="Morning",0,1)),I60)="","",
CONCATENATE("
Meal Plan: ", INDEX(sessions_nutrition,,INDEX(plan_session_allocation,((WEEKDAY(J$3,2)*2-1)+IF(J60="Morning",0,1)),I60)), "
", INDEX(display_nutrition_description,((WEEKDAY(J$3,2)*2-1)+IF(J60="Morning",0,1)),I60)))
)),"")),"")</f>
        <v>Session Description: 
Stay at a comfortable and controlled intensity where you should be able to have a conversation without large pauses. Keep an even intensity and accept that your pace may change as the terrain changes.</v>
      </c>
      <c r="J66" s="1914"/>
      <c r="K66" s="1914"/>
      <c r="L66" s="1915"/>
      <c r="N66" s="1913" t="str">
        <f ca="1">IF(Q60&gt;0,CONCATENATE(IFERROR(CONCATENATE(IF(INDEX(display_intervals_breakdown,((WEEKDAY(O$3,2)*2-1)+IF(O60="Morning",0,1)),N60)="","",CONCATENATE("Intervals/Reps Breakdown: 
",INDEX(display_intervals_breakdown,((WEEKDAY(O$3,2)*2-1)+IF(O60="Morning",0,1)),N60),"
")),"Session Description: 
",CONCATENATE(IF(INDEX(final_duration_secondary,((WEEKDAY(O$3,2)*2-1)+IF(O60="Morning",0,1)),N60)=0,"","1. "),
INDEX(sessions_description_primary,,INDEX(plan_session_allocation,((WEEKDAY(O$3,2)*2-1)+IF(O60="Morning",0,1)),N60)),IF(INDEX(final_duration_secondary,((WEEKDAY(O$3,2)*2-1)+IF(O60="Morning",0,1)),N60)=0,"","
2. "),
IF(INDEX(final_duration_secondary,((WEEKDAY(O$3,2)*2-1)+IF(O60="Morning",0,1)),N60)=0,"",INDEX(sessions_description_secondary,,INDEX(plan_session_allocation,((WEEKDAY(O$3,2)*2-1)+IF(O60="Morning",0,1)),N60))),IF(INDEX(final_duration_tertiary,((WEEKDAY(O$3,2)*2-1)+IF(O60="Morning",0,1)),N60)=0,"","
3. "),
IF(INDEX(final_duration_tertiary,((WEEKDAY(O$3,2)*2-1)+IF(O60="Morning",0,1)),N60)="","",INDEX(sessions_description_tertiary,,INDEX(plan_session_allocation,((WEEKDAY(O$3,2)*2-1)+IF(O60="Morning",0,1)),N60))),
IF(INDEX(display_nutrition_description,((WEEKDAY(O$3,2)*2-1)+IF(O60="Morning",0,1)),N60)="","",
CONCATENATE("
Meal Plan: ", INDEX(sessions_nutrition,,INDEX(plan_session_allocation,((WEEKDAY(O$3,2)*2-1)+IF(O60="Morning",0,1)),N60)), "
", INDEX(display_nutrition_description,((WEEKDAY(O$3,2)*2-1)+IF(O60="Morning",0,1)),N60)))
)),"")),"")</f>
        <v/>
      </c>
      <c r="O66" s="1914"/>
      <c r="P66" s="1914"/>
      <c r="Q66" s="1915"/>
      <c r="S66" s="1913" t="str">
        <f ca="1">IF(V60&gt;0,CONCATENATE(IFERROR(CONCATENATE(IF(INDEX(display_intervals_breakdown,((WEEKDAY(T$3,2)*2-1)+IF(T60="Morning",0,1)),S60)="","",CONCATENATE("Intervals/Reps Breakdown: 
",INDEX(display_intervals_breakdown,((WEEKDAY(T$3,2)*2-1)+IF(T60="Morning",0,1)),S60),"
")),"Session Description: 
",CONCATENATE(IF(INDEX(final_duration_secondary,((WEEKDAY(T$3,2)*2-1)+IF(T60="Morning",0,1)),S60)=0,"","1. "),
INDEX(sessions_description_primary,,INDEX(plan_session_allocation,((WEEKDAY(T$3,2)*2-1)+IF(T60="Morning",0,1)),S60)),IF(INDEX(final_duration_secondary,((WEEKDAY(T$3,2)*2-1)+IF(T60="Morning",0,1)),S60)=0,"","
2. "),
IF(INDEX(final_duration_secondary,((WEEKDAY(T$3,2)*2-1)+IF(T60="Morning",0,1)),S60)=0,"",INDEX(sessions_description_secondary,,INDEX(plan_session_allocation,((WEEKDAY(T$3,2)*2-1)+IF(T60="Morning",0,1)),S60))),IF(INDEX(final_duration_tertiary,((WEEKDAY(T$3,2)*2-1)+IF(T60="Morning",0,1)),S60)=0,"","
3. "),
IF(INDEX(final_duration_tertiary,((WEEKDAY(T$3,2)*2-1)+IF(T60="Morning",0,1)),S60)="","",INDEX(sessions_description_tertiary,,INDEX(plan_session_allocation,((WEEKDAY(T$3,2)*2-1)+IF(T60="Morning",0,1)),S60))),
IF(INDEX(display_nutrition_description,((WEEKDAY(T$3,2)*2-1)+IF(T60="Morning",0,1)),S60)="","",
CONCATENATE("
Meal Plan: ", INDEX(sessions_nutrition,,INDEX(plan_session_allocation,((WEEKDAY(T$3,2)*2-1)+IF(T60="Morning",0,1)),S60)), "
", INDEX(display_nutrition_description,((WEEKDAY(T$3,2)*2-1)+IF(T60="Morning",0,1)),S60)))
)),"")),"")</f>
        <v>Session Description: 
Stay at a comfortable and controlled intensity where you should be able to have a conversation without large pauses. Keep an even intensity and accept that your pace may change as the terrain changes.</v>
      </c>
      <c r="T66" s="1914"/>
      <c r="U66" s="1914"/>
      <c r="V66" s="1915"/>
      <c r="X66" s="1913" t="str">
        <f ca="1">IF(AA60&gt;0,CONCATENATE(IFERROR(CONCATENATE(IF(INDEX(display_intervals_breakdown,((WEEKDAY(Y$3,2)*2-1)+IF(Y60="Morning",0,1)),X60)="","",CONCATENATE("Intervals/Reps Breakdown: 
",INDEX(display_intervals_breakdown,((WEEKDAY(Y$3,2)*2-1)+IF(Y60="Morning",0,1)),X60),"
")),"Session Description: 
",CONCATENATE(IF(INDEX(final_duration_secondary,((WEEKDAY(Y$3,2)*2-1)+IF(Y60="Morning",0,1)),X60)=0,"","1. "),
INDEX(sessions_description_primary,,INDEX(plan_session_allocation,((WEEKDAY(Y$3,2)*2-1)+IF(Y60="Morning",0,1)),X60)),IF(INDEX(final_duration_secondary,((WEEKDAY(Y$3,2)*2-1)+IF(Y60="Morning",0,1)),X60)=0,"","
2. "),
IF(INDEX(final_duration_secondary,((WEEKDAY(Y$3,2)*2-1)+IF(Y60="Morning",0,1)),X60)=0,"",INDEX(sessions_description_secondary,,INDEX(plan_session_allocation,((WEEKDAY(Y$3,2)*2-1)+IF(Y60="Morning",0,1)),X60))),IF(INDEX(final_duration_tertiary,((WEEKDAY(Y$3,2)*2-1)+IF(Y60="Morning",0,1)),X60)=0,"","
3. "),
IF(INDEX(final_duration_tertiary,((WEEKDAY(Y$3,2)*2-1)+IF(Y60="Morning",0,1)),X60)="","",INDEX(sessions_description_tertiary,,INDEX(plan_session_allocation,((WEEKDAY(Y$3,2)*2-1)+IF(Y60="Morning",0,1)),X60))),
IF(INDEX(display_nutrition_description,((WEEKDAY(Y$3,2)*2-1)+IF(Y60="Morning",0,1)),X60)="","",
CONCATENATE("
Meal Plan: ", INDEX(sessions_nutrition,,INDEX(plan_session_allocation,((WEEKDAY(Y$3,2)*2-1)+IF(Y60="Morning",0,1)),X60)), "
", INDEX(display_nutrition_description,((WEEKDAY(Y$3,2)*2-1)+IF(Y60="Morning",0,1)),X60)))
)),"")),"")</f>
        <v>Session Description: 
Stay at a comfortable and controlled intensity where you should be able to have a conversation without large pauses. Keep an even intensity and accept that your pace may change as the terrain changes.</v>
      </c>
      <c r="Y66" s="1914"/>
      <c r="Z66" s="1914"/>
      <c r="AA66" s="1915"/>
      <c r="AC66" s="1913" t="str">
        <f ca="1">IF(AF60&gt;0,CONCATENATE(IFERROR(CONCATENATE(IF(INDEX(display_intervals_breakdown,((WEEKDAY(AD$3,2)*2-1)+IF(AD60="Morning",0,1)),AC60)="","",CONCATENATE("Intervals/Reps Breakdown: 
",INDEX(display_intervals_breakdown,((WEEKDAY(AD$3,2)*2-1)+IF(AD60="Morning",0,1)),AC60),"
")),"Session Description: 
",CONCATENATE(IF(INDEX(final_duration_secondary,((WEEKDAY(AD$3,2)*2-1)+IF(AD60="Morning",0,1)),AC60)=0,"","1. "),
INDEX(sessions_description_primary,,INDEX(plan_session_allocation,((WEEKDAY(AD$3,2)*2-1)+IF(AD60="Morning",0,1)),AC60)),IF(INDEX(final_duration_secondary,((WEEKDAY(AD$3,2)*2-1)+IF(AD60="Morning",0,1)),AC60)=0,"","
2. "),
IF(INDEX(final_duration_secondary,((WEEKDAY(AD$3,2)*2-1)+IF(AD60="Morning",0,1)),AC60)=0,"",INDEX(sessions_description_secondary,,INDEX(plan_session_allocation,((WEEKDAY(AD$3,2)*2-1)+IF(AD60="Morning",0,1)),AC60))),IF(INDEX(final_duration_tertiary,((WEEKDAY(AD$3,2)*2-1)+IF(AD60="Morning",0,1)),AC60)=0,"","
3. "),
IF(INDEX(final_duration_tertiary,((WEEKDAY(AD$3,2)*2-1)+IF(AD60="Morning",0,1)),AC60)="","",INDEX(sessions_description_tertiary,,INDEX(plan_session_allocation,((WEEKDAY(AD$3,2)*2-1)+IF(AD60="Morning",0,1)),AC60))),
IF(INDEX(display_nutrition_description,((WEEKDAY(AD$3,2)*2-1)+IF(AD60="Morning",0,1)),AC60)="","",
CONCATENATE("
Meal Plan: ", INDEX(sessions_nutrition,,INDEX(plan_session_allocation,((WEEKDAY(AD$3,2)*2-1)+IF(AD60="Morning",0,1)),AC60)), "
", INDEX(display_nutrition_description,((WEEKDAY(AD$3,2)*2-1)+IF(AD60="Morning",0,1)),AC60)))
)),"")),"")</f>
        <v>Session Description: 
Perform a variety of specialised exercises to engage specific muscles and apply them in functional movements. These sessions must be learned with a coach first. Warm up and warm down for 10 minutes each.</v>
      </c>
      <c r="AD66" s="1914"/>
      <c r="AE66" s="1914"/>
      <c r="AF66" s="1915"/>
      <c r="AH66" s="1913" t="str">
        <f ca="1">IF(AK60&gt;0,CONCATENATE(IFERROR(CONCATENATE(IF(INDEX(display_intervals_breakdown,((WEEKDAY(AI$3,2)*2-1)+IF(AI60="Morning",0,1)),AH60)="","",CONCATENATE("Intervals/Reps Breakdown: 
",INDEX(display_intervals_breakdown,((WEEKDAY(AI$3,2)*2-1)+IF(AI60="Morning",0,1)),AH60),"
")),"Session Description: 
",CONCATENATE(IF(INDEX(final_duration_secondary,((WEEKDAY(AI$3,2)*2-1)+IF(AI60="Morning",0,1)),AH60)=0,"","1. "),
INDEX(sessions_description_primary,,INDEX(plan_session_allocation,((WEEKDAY(AI$3,2)*2-1)+IF(AI60="Morning",0,1)),AH60)),IF(INDEX(final_duration_secondary,((WEEKDAY(AI$3,2)*2-1)+IF(AI60="Morning",0,1)),AH60)=0,"","
2. "),
IF(INDEX(final_duration_secondary,((WEEKDAY(AI$3,2)*2-1)+IF(AI60="Morning",0,1)),AH60)=0,"",INDEX(sessions_description_secondary,,INDEX(plan_session_allocation,((WEEKDAY(AI$3,2)*2-1)+IF(AI60="Morning",0,1)),AH60))),IF(INDEX(final_duration_tertiary,((WEEKDAY(AI$3,2)*2-1)+IF(AI60="Morning",0,1)),AH60)=0,"","
3. "),
IF(INDEX(final_duration_tertiary,((WEEKDAY(AI$3,2)*2-1)+IF(AI60="Morning",0,1)),AH60)="","",INDEX(sessions_description_tertiary,,INDEX(plan_session_allocation,((WEEKDAY(AI$3,2)*2-1)+IF(AI60="Morning",0,1)),AH60))),
IF(INDEX(display_nutrition_description,((WEEKDAY(AI$3,2)*2-1)+IF(AI60="Morning",0,1)),AH60)="","",
CONCATENATE("
Meal Plan: ", INDEX(sessions_nutrition,,INDEX(plan_session_allocation,((WEEKDAY(AI$3,2)*2-1)+IF(AI60="Morning",0,1)),AH60)), "
", INDEX(display_nutrition_description,((WEEKDAY(AI$3,2)*2-1)+IF(AI60="Morning",0,1)),AH60)))
)),"")),"")</f>
        <v xml:space="preserve">Session Description: 
Fundamentally a steady, but you can be less strict at controlling your intensity as long as your average intensity is close to it's target by the end of the session </v>
      </c>
      <c r="AI66" s="1914"/>
      <c r="AJ66" s="1914"/>
      <c r="AK66" s="1915"/>
    </row>
    <row r="67" spans="2:38" s="180" customFormat="1" x14ac:dyDescent="0.45">
      <c r="B67" s="1942"/>
      <c r="C67" s="1945"/>
      <c r="D67" s="1916"/>
      <c r="E67" s="1917"/>
      <c r="F67" s="1917"/>
      <c r="G67" s="1918"/>
      <c r="I67" s="1916"/>
      <c r="J67" s="1917"/>
      <c r="K67" s="1917"/>
      <c r="L67" s="1918"/>
      <c r="N67" s="1916"/>
      <c r="O67" s="1917"/>
      <c r="P67" s="1917"/>
      <c r="Q67" s="1918"/>
      <c r="S67" s="1916"/>
      <c r="T67" s="1917"/>
      <c r="U67" s="1917"/>
      <c r="V67" s="1918"/>
      <c r="X67" s="1916"/>
      <c r="Y67" s="1917"/>
      <c r="Z67" s="1917"/>
      <c r="AA67" s="1918"/>
      <c r="AC67" s="1916"/>
      <c r="AD67" s="1917"/>
      <c r="AE67" s="1917"/>
      <c r="AF67" s="1918"/>
      <c r="AH67" s="1916"/>
      <c r="AI67" s="1917"/>
      <c r="AJ67" s="1917"/>
      <c r="AK67" s="1918"/>
    </row>
    <row r="68" spans="2:38" s="180" customFormat="1" x14ac:dyDescent="0.45">
      <c r="B68" s="1942"/>
      <c r="C68" s="1945"/>
      <c r="D68" s="1916"/>
      <c r="E68" s="1917"/>
      <c r="F68" s="1917"/>
      <c r="G68" s="1918"/>
      <c r="I68" s="1916"/>
      <c r="J68" s="1917"/>
      <c r="K68" s="1917"/>
      <c r="L68" s="1918"/>
      <c r="N68" s="1916"/>
      <c r="O68" s="1917"/>
      <c r="P68" s="1917"/>
      <c r="Q68" s="1918"/>
      <c r="S68" s="1916"/>
      <c r="T68" s="1917"/>
      <c r="U68" s="1917"/>
      <c r="V68" s="1918"/>
      <c r="X68" s="1916"/>
      <c r="Y68" s="1917"/>
      <c r="Z68" s="1917"/>
      <c r="AA68" s="1918"/>
      <c r="AC68" s="1916"/>
      <c r="AD68" s="1917"/>
      <c r="AE68" s="1917"/>
      <c r="AF68" s="1918"/>
      <c r="AH68" s="1916"/>
      <c r="AI68" s="1917"/>
      <c r="AJ68" s="1917"/>
      <c r="AK68" s="1918"/>
    </row>
    <row r="69" spans="2:38" s="180" customFormat="1" x14ac:dyDescent="0.45">
      <c r="B69" s="1942"/>
      <c r="C69" s="1945"/>
      <c r="D69" s="1916"/>
      <c r="E69" s="1917"/>
      <c r="F69" s="1917"/>
      <c r="G69" s="1918"/>
      <c r="I69" s="1916"/>
      <c r="J69" s="1917"/>
      <c r="K69" s="1917"/>
      <c r="L69" s="1918"/>
      <c r="N69" s="1916"/>
      <c r="O69" s="1917"/>
      <c r="P69" s="1917"/>
      <c r="Q69" s="1918"/>
      <c r="S69" s="1916"/>
      <c r="T69" s="1917"/>
      <c r="U69" s="1917"/>
      <c r="V69" s="1918"/>
      <c r="X69" s="1916"/>
      <c r="Y69" s="1917"/>
      <c r="Z69" s="1917"/>
      <c r="AA69" s="1918"/>
      <c r="AC69" s="1916"/>
      <c r="AD69" s="1917"/>
      <c r="AE69" s="1917"/>
      <c r="AF69" s="1918"/>
      <c r="AH69" s="1916"/>
      <c r="AI69" s="1917"/>
      <c r="AJ69" s="1917"/>
      <c r="AK69" s="1918"/>
    </row>
    <row r="70" spans="2:38" s="180" customFormat="1" x14ac:dyDescent="0.45">
      <c r="B70" s="1942"/>
      <c r="C70" s="1945"/>
      <c r="D70" s="1916"/>
      <c r="E70" s="1917"/>
      <c r="F70" s="1917"/>
      <c r="G70" s="1918"/>
      <c r="I70" s="1916"/>
      <c r="J70" s="1917"/>
      <c r="K70" s="1917"/>
      <c r="L70" s="1918"/>
      <c r="N70" s="1916"/>
      <c r="O70" s="1917"/>
      <c r="P70" s="1917"/>
      <c r="Q70" s="1918"/>
      <c r="S70" s="1916"/>
      <c r="T70" s="1917"/>
      <c r="U70" s="1917"/>
      <c r="V70" s="1918"/>
      <c r="X70" s="1916"/>
      <c r="Y70" s="1917"/>
      <c r="Z70" s="1917"/>
      <c r="AA70" s="1918"/>
      <c r="AC70" s="1916"/>
      <c r="AD70" s="1917"/>
      <c r="AE70" s="1917"/>
      <c r="AF70" s="1918"/>
      <c r="AH70" s="1916"/>
      <c r="AI70" s="1917"/>
      <c r="AJ70" s="1917"/>
      <c r="AK70" s="1918"/>
    </row>
    <row r="71" spans="2:38" s="180" customFormat="1" x14ac:dyDescent="0.45">
      <c r="B71" s="1942"/>
      <c r="C71" s="1945"/>
      <c r="D71" s="1916"/>
      <c r="E71" s="1917"/>
      <c r="F71" s="1917"/>
      <c r="G71" s="1918"/>
      <c r="I71" s="1916"/>
      <c r="J71" s="1917"/>
      <c r="K71" s="1917"/>
      <c r="L71" s="1918"/>
      <c r="N71" s="1916"/>
      <c r="O71" s="1917"/>
      <c r="P71" s="1917"/>
      <c r="Q71" s="1918"/>
      <c r="S71" s="1916"/>
      <c r="T71" s="1917"/>
      <c r="U71" s="1917"/>
      <c r="V71" s="1918"/>
      <c r="X71" s="1916"/>
      <c r="Y71" s="1917"/>
      <c r="Z71" s="1917"/>
      <c r="AA71" s="1918"/>
      <c r="AC71" s="1916"/>
      <c r="AD71" s="1917"/>
      <c r="AE71" s="1917"/>
      <c r="AF71" s="1918"/>
      <c r="AH71" s="1916"/>
      <c r="AI71" s="1917"/>
      <c r="AJ71" s="1917"/>
      <c r="AK71" s="1918"/>
    </row>
    <row r="72" spans="2:38" s="180" customFormat="1" x14ac:dyDescent="0.45">
      <c r="B72" s="1942"/>
      <c r="C72" s="1945"/>
      <c r="D72" s="1916"/>
      <c r="E72" s="1917"/>
      <c r="F72" s="1917"/>
      <c r="G72" s="1918"/>
      <c r="I72" s="1916"/>
      <c r="J72" s="1917"/>
      <c r="K72" s="1917"/>
      <c r="L72" s="1918"/>
      <c r="N72" s="1916"/>
      <c r="O72" s="1917"/>
      <c r="P72" s="1917"/>
      <c r="Q72" s="1918"/>
      <c r="S72" s="1916"/>
      <c r="T72" s="1917"/>
      <c r="U72" s="1917"/>
      <c r="V72" s="1918"/>
      <c r="X72" s="1916"/>
      <c r="Y72" s="1917"/>
      <c r="Z72" s="1917"/>
      <c r="AA72" s="1918"/>
      <c r="AC72" s="1916"/>
      <c r="AD72" s="1917"/>
      <c r="AE72" s="1917"/>
      <c r="AF72" s="1918"/>
      <c r="AH72" s="1916"/>
      <c r="AI72" s="1917"/>
      <c r="AJ72" s="1917"/>
      <c r="AK72" s="1918"/>
    </row>
    <row r="73" spans="2:38" s="180" customFormat="1" ht="15.75" customHeight="1" x14ac:dyDescent="0.45">
      <c r="B73" s="1942"/>
      <c r="C73" s="1945"/>
      <c r="D73" s="1916"/>
      <c r="E73" s="1917"/>
      <c r="F73" s="1917"/>
      <c r="G73" s="1918"/>
      <c r="I73" s="1916"/>
      <c r="J73" s="1917"/>
      <c r="K73" s="1917"/>
      <c r="L73" s="1918"/>
      <c r="N73" s="1916"/>
      <c r="O73" s="1917"/>
      <c r="P73" s="1917"/>
      <c r="Q73" s="1918"/>
      <c r="S73" s="1916"/>
      <c r="T73" s="1917"/>
      <c r="U73" s="1917"/>
      <c r="V73" s="1918"/>
      <c r="X73" s="1916"/>
      <c r="Y73" s="1917"/>
      <c r="Z73" s="1917"/>
      <c r="AA73" s="1918"/>
      <c r="AC73" s="1916"/>
      <c r="AD73" s="1917"/>
      <c r="AE73" s="1917"/>
      <c r="AF73" s="1918"/>
      <c r="AH73" s="1916"/>
      <c r="AI73" s="1917"/>
      <c r="AJ73" s="1917"/>
      <c r="AK73" s="1918"/>
    </row>
    <row r="74" spans="2:38" s="180" customFormat="1" x14ac:dyDescent="0.45">
      <c r="B74" s="1942"/>
      <c r="C74" s="1945"/>
      <c r="D74" s="1916"/>
      <c r="E74" s="1917"/>
      <c r="F74" s="1917"/>
      <c r="G74" s="1918"/>
      <c r="I74" s="1916"/>
      <c r="J74" s="1917"/>
      <c r="K74" s="1917"/>
      <c r="L74" s="1918"/>
      <c r="N74" s="1916"/>
      <c r="O74" s="1917"/>
      <c r="P74" s="1917"/>
      <c r="Q74" s="1918"/>
      <c r="S74" s="1916"/>
      <c r="T74" s="1917"/>
      <c r="U74" s="1917"/>
      <c r="V74" s="1918"/>
      <c r="X74" s="1916"/>
      <c r="Y74" s="1917"/>
      <c r="Z74" s="1917"/>
      <c r="AA74" s="1918"/>
      <c r="AC74" s="1916"/>
      <c r="AD74" s="1917"/>
      <c r="AE74" s="1917"/>
      <c r="AF74" s="1918"/>
      <c r="AH74" s="1916"/>
      <c r="AI74" s="1917"/>
      <c r="AJ74" s="1917"/>
      <c r="AK74" s="1918"/>
    </row>
    <row r="75" spans="2:38" s="180" customFormat="1" x14ac:dyDescent="0.45">
      <c r="B75" s="1942"/>
      <c r="C75" s="1945"/>
      <c r="D75" s="1916"/>
      <c r="E75" s="1917"/>
      <c r="F75" s="1917"/>
      <c r="G75" s="1918"/>
      <c r="I75" s="1916"/>
      <c r="J75" s="1917"/>
      <c r="K75" s="1917"/>
      <c r="L75" s="1918"/>
      <c r="N75" s="1916"/>
      <c r="O75" s="1917"/>
      <c r="P75" s="1917"/>
      <c r="Q75" s="1918"/>
      <c r="S75" s="1916"/>
      <c r="T75" s="1917"/>
      <c r="U75" s="1917"/>
      <c r="V75" s="1918"/>
      <c r="X75" s="1916"/>
      <c r="Y75" s="1917"/>
      <c r="Z75" s="1917"/>
      <c r="AA75" s="1918"/>
      <c r="AC75" s="1916"/>
      <c r="AD75" s="1917"/>
      <c r="AE75" s="1917"/>
      <c r="AF75" s="1918"/>
      <c r="AH75" s="1916"/>
      <c r="AI75" s="1917"/>
      <c r="AJ75" s="1917"/>
      <c r="AK75" s="1918"/>
    </row>
    <row r="76" spans="2:38" s="180" customFormat="1" x14ac:dyDescent="0.45">
      <c r="B76" s="1942"/>
      <c r="C76" s="1945"/>
      <c r="D76" s="1916"/>
      <c r="E76" s="1917"/>
      <c r="F76" s="1917"/>
      <c r="G76" s="1918"/>
      <c r="I76" s="1916"/>
      <c r="J76" s="1917"/>
      <c r="K76" s="1917"/>
      <c r="L76" s="1918"/>
      <c r="N76" s="1916"/>
      <c r="O76" s="1917"/>
      <c r="P76" s="1917"/>
      <c r="Q76" s="1918"/>
      <c r="S76" s="1916"/>
      <c r="T76" s="1917"/>
      <c r="U76" s="1917"/>
      <c r="V76" s="1918"/>
      <c r="X76" s="1916"/>
      <c r="Y76" s="1917"/>
      <c r="Z76" s="1917"/>
      <c r="AA76" s="1918"/>
      <c r="AC76" s="1916"/>
      <c r="AD76" s="1917"/>
      <c r="AE76" s="1917"/>
      <c r="AF76" s="1918"/>
      <c r="AH76" s="1916"/>
      <c r="AI76" s="1917"/>
      <c r="AJ76" s="1917"/>
      <c r="AK76" s="1918"/>
    </row>
    <row r="77" spans="2:38" s="180" customFormat="1" x14ac:dyDescent="0.45">
      <c r="B77" s="1942"/>
      <c r="C77" s="1945"/>
      <c r="D77" s="1916"/>
      <c r="E77" s="1917"/>
      <c r="F77" s="1917"/>
      <c r="G77" s="1918"/>
      <c r="I77" s="1916"/>
      <c r="J77" s="1917"/>
      <c r="K77" s="1917"/>
      <c r="L77" s="1918"/>
      <c r="N77" s="1916"/>
      <c r="O77" s="1917"/>
      <c r="P77" s="1917"/>
      <c r="Q77" s="1918"/>
      <c r="S77" s="1916"/>
      <c r="T77" s="1917"/>
      <c r="U77" s="1917"/>
      <c r="V77" s="1918"/>
      <c r="X77" s="1916"/>
      <c r="Y77" s="1917"/>
      <c r="Z77" s="1917"/>
      <c r="AA77" s="1918"/>
      <c r="AC77" s="1916"/>
      <c r="AD77" s="1917"/>
      <c r="AE77" s="1917"/>
      <c r="AF77" s="1918"/>
      <c r="AH77" s="1916"/>
      <c r="AI77" s="1917"/>
      <c r="AJ77" s="1917"/>
      <c r="AK77" s="1918"/>
    </row>
    <row r="78" spans="2:38" s="180" customFormat="1" x14ac:dyDescent="0.45">
      <c r="B78" s="1942"/>
      <c r="C78" s="1945"/>
      <c r="D78" s="1916"/>
      <c r="E78" s="1917"/>
      <c r="F78" s="1917"/>
      <c r="G78" s="1918"/>
      <c r="I78" s="1916"/>
      <c r="J78" s="1917"/>
      <c r="K78" s="1917"/>
      <c r="L78" s="1918"/>
      <c r="N78" s="1916"/>
      <c r="O78" s="1917"/>
      <c r="P78" s="1917"/>
      <c r="Q78" s="1918"/>
      <c r="S78" s="1916"/>
      <c r="T78" s="1917"/>
      <c r="U78" s="1917"/>
      <c r="V78" s="1918"/>
      <c r="X78" s="1916"/>
      <c r="Y78" s="1917"/>
      <c r="Z78" s="1917"/>
      <c r="AA78" s="1918"/>
      <c r="AC78" s="1916"/>
      <c r="AD78" s="1917"/>
      <c r="AE78" s="1917"/>
      <c r="AF78" s="1918"/>
      <c r="AH78" s="1916"/>
      <c r="AI78" s="1917"/>
      <c r="AJ78" s="1917"/>
      <c r="AK78" s="1918"/>
    </row>
    <row r="79" spans="2:38" s="180" customFormat="1" x14ac:dyDescent="0.45">
      <c r="B79" s="1942"/>
      <c r="C79" s="1945"/>
      <c r="D79" s="1919"/>
      <c r="E79" s="1920"/>
      <c r="F79" s="1920"/>
      <c r="G79" s="1921"/>
      <c r="I79" s="1919"/>
      <c r="J79" s="1920"/>
      <c r="K79" s="1920"/>
      <c r="L79" s="1921"/>
      <c r="N79" s="1919"/>
      <c r="O79" s="1920"/>
      <c r="P79" s="1920"/>
      <c r="Q79" s="1921"/>
      <c r="S79" s="1919"/>
      <c r="T79" s="1920"/>
      <c r="U79" s="1920"/>
      <c r="V79" s="1921"/>
      <c r="X79" s="1919"/>
      <c r="Y79" s="1920"/>
      <c r="Z79" s="1920"/>
      <c r="AA79" s="1921"/>
      <c r="AC79" s="1919"/>
      <c r="AD79" s="1920"/>
      <c r="AE79" s="1920"/>
      <c r="AF79" s="1921"/>
      <c r="AH79" s="1919"/>
      <c r="AI79" s="1920"/>
      <c r="AJ79" s="1920"/>
      <c r="AK79" s="1921"/>
    </row>
    <row r="80" spans="2:38" s="180" customFormat="1" ht="15" customHeight="1" x14ac:dyDescent="0.45">
      <c r="B80" s="1942"/>
      <c r="C80" s="1945"/>
      <c r="D80" s="1913" t="str">
        <f ca="1">IF(G60&gt;0,CONCATENATE("Session Aim: 
", CONCATENATE(IF(INDEX(final_duration_secondary,((WEEKDAY(E$3,2)*2-1)+IF(E60="Morning",0,1)),D60)=0, "", "1. "),
INDEX(sessions_aim_primary,, INDEX(plan_session_allocation,((WEEKDAY(E$3,2)*2-1)+IF(E60="Morning",0,1)),D60)), IF(INDEX(final_duration_secondary,((WEEKDAY(E$3,2)*2-1)+IF(E60="Morning",0,1)),D60)=0, "", "
2. "),
IF(INDEX(final_duration_secondary,((WEEKDAY(E$3,2)*2-1)+IF(E60="Morning",0,1)),D60)=0, "", INDEX(sessions_aim_secondary,, INDEX(plan_session_allocation,((WEEKDAY(E$3,2)*2-1)+IF(E60="Morning",0,1)),D60))), IF(INDEX(final_duration_tertiary,((WEEKDAY(E$3,2)*2-1)+IF(E60="Morning",0,1)),D60)=0, "", "
3. "),
IF(INDEX(final_duration_tertiary,((WEEKDAY(E$3,2)*2-1)+IF(E60="Morning",0,1)),D60)=0, "", INDEX(sessions_aim_tertiary,, INDEX(plan_session_allocation,((WEEKDAY(E$3,2)*2-1)+IF(E60="Morning",0,1)),D60))),
IF(INDEX(display_nutrition_description,((WEEKDAY(E$3,2)*2-1)+IF(E60="Morning",0,1)),D60)="","",
CONCATENATE("
Nutrition Aim:
", INDEX(sessions_aim_nutrition,,INDEX(plan_session_allocation,((WEEKDAY(E$3,2)*2-1)+IF(E60="Morning",0,1)),D60))
))
)),"")</f>
        <v xml:space="preserve">Session Aim: 
Improve aerobic fitness while minimising the chance of injury. </v>
      </c>
      <c r="E80" s="1914"/>
      <c r="F80" s="1914"/>
      <c r="G80" s="1915"/>
      <c r="I80" s="1913" t="str">
        <f ca="1">IF(L60&gt;0,CONCATENATE("Session Aim: 
", CONCATENATE(IF(INDEX(final_duration_secondary,((WEEKDAY(J$3,2)*2-1)+IF(J60="Morning",0,1)),I60)=0, "", "1. "),
INDEX(sessions_aim_primary,, INDEX(plan_session_allocation,((WEEKDAY(J$3,2)*2-1)+IF(J60="Morning",0,1)),I60)), IF(INDEX(final_duration_secondary,((WEEKDAY(J$3,2)*2-1)+IF(J60="Morning",0,1)),I60)=0, "", "
2. "),
IF(INDEX(final_duration_secondary,((WEEKDAY(J$3,2)*2-1)+IF(J60="Morning",0,1)),I60)=0, "", INDEX(sessions_aim_secondary,, INDEX(plan_session_allocation,((WEEKDAY(J$3,2)*2-1)+IF(J60="Morning",0,1)),I60))), IF(INDEX(final_duration_tertiary,((WEEKDAY(J$3,2)*2-1)+IF(J60="Morning",0,1)),I60)=0, "", "
3. "),
IF(INDEX(final_duration_tertiary,((WEEKDAY(J$3,2)*2-1)+IF(J60="Morning",0,1)),I60)=0, "", INDEX(sessions_aim_tertiary,, INDEX(plan_session_allocation,((WEEKDAY(J$3,2)*2-1)+IF(J60="Morning",0,1)),I60))),
IF(INDEX(display_nutrition_description,((WEEKDAY(J$3,2)*2-1)+IF(J60="Morning",0,1)),I60)="","",
CONCATENATE("
Nutrition Aim:
", INDEX(sessions_aim_nutrition,,INDEX(plan_session_allocation,((WEEKDAY(J$3,2)*2-1)+IF(J60="Morning",0,1)),I60))
))
)),"")</f>
        <v xml:space="preserve">Session Aim: 
Improve aerobic fitness while minimising the chance of injury. </v>
      </c>
      <c r="J80" s="1914"/>
      <c r="K80" s="1914"/>
      <c r="L80" s="1915"/>
      <c r="N80" s="1913" t="str">
        <f ca="1">IF(Q60&gt;0,CONCATENATE("Session Aim: 
", CONCATENATE(IF(INDEX(final_duration_secondary,((WEEKDAY(O$3,2)*2-1)+IF(O60="Morning",0,1)),N60)=0, "", "1. "),
INDEX(sessions_aim_primary,, INDEX(plan_session_allocation,((WEEKDAY(O$3,2)*2-1)+IF(O60="Morning",0,1)),N60)), IF(INDEX(final_duration_secondary,((WEEKDAY(O$3,2)*2-1)+IF(O60="Morning",0,1)),N60)=0, "", "
2. "),
IF(INDEX(final_duration_secondary,((WEEKDAY(O$3,2)*2-1)+IF(O60="Morning",0,1)),N60)=0, "", INDEX(sessions_aim_secondary,, INDEX(plan_session_allocation,((WEEKDAY(O$3,2)*2-1)+IF(O60="Morning",0,1)),N60))), IF(INDEX(final_duration_tertiary,((WEEKDAY(O$3,2)*2-1)+IF(O60="Morning",0,1)),N60)=0, "", "
3. "),
IF(INDEX(final_duration_tertiary,((WEEKDAY(O$3,2)*2-1)+IF(O60="Morning",0,1)),N60)=0, "", INDEX(sessions_aim_tertiary,, INDEX(plan_session_allocation,((WEEKDAY(O$3,2)*2-1)+IF(O60="Morning",0,1)),N60))),
IF(INDEX(display_nutrition_description,((WEEKDAY(O$3,2)*2-1)+IF(O60="Morning",0,1)),N60)="","",
CONCATENATE("
Nutrition Aim:
", INDEX(sessions_aim_nutrition,,INDEX(plan_session_allocation,((WEEKDAY(O$3,2)*2-1)+IF(O60="Morning",0,1)),N60))
))
)),"")</f>
        <v/>
      </c>
      <c r="O80" s="1914"/>
      <c r="P80" s="1914"/>
      <c r="Q80" s="1915"/>
      <c r="S80" s="1913" t="str">
        <f ca="1">IF(V60&gt;0,CONCATENATE("Session Aim: 
", CONCATENATE(IF(INDEX(final_duration_secondary,((WEEKDAY(T$3,2)*2-1)+IF(T60="Morning",0,1)),S60)=0, "", "1. "),
INDEX(sessions_aim_primary,, INDEX(plan_session_allocation,((WEEKDAY(T$3,2)*2-1)+IF(T60="Morning",0,1)),S60)), IF(INDEX(final_duration_secondary,((WEEKDAY(T$3,2)*2-1)+IF(T60="Morning",0,1)),S60)=0, "", "
2. "),
IF(INDEX(final_duration_secondary,((WEEKDAY(T$3,2)*2-1)+IF(T60="Morning",0,1)),S60)=0, "", INDEX(sessions_aim_secondary,, INDEX(plan_session_allocation,((WEEKDAY(T$3,2)*2-1)+IF(T60="Morning",0,1)),S60))), IF(INDEX(final_duration_tertiary,((WEEKDAY(T$3,2)*2-1)+IF(T60="Morning",0,1)),S60)=0, "", "
3. "),
IF(INDEX(final_duration_tertiary,((WEEKDAY(T$3,2)*2-1)+IF(T60="Morning",0,1)),S60)=0, "", INDEX(sessions_aim_tertiary,, INDEX(plan_session_allocation,((WEEKDAY(T$3,2)*2-1)+IF(T60="Morning",0,1)),S60))),
IF(INDEX(display_nutrition_description,((WEEKDAY(T$3,2)*2-1)+IF(T60="Morning",0,1)),S60)="","",
CONCATENATE("
Nutrition Aim:
", INDEX(sessions_aim_nutrition,,INDEX(plan_session_allocation,((WEEKDAY(T$3,2)*2-1)+IF(T60="Morning",0,1)),S60))
))
)),"")</f>
        <v xml:space="preserve">Session Aim: 
Improve aerobic fitness while minimising the chance of injury. </v>
      </c>
      <c r="T80" s="1914"/>
      <c r="U80" s="1914"/>
      <c r="V80" s="1915"/>
      <c r="X80" s="1913" t="str">
        <f ca="1">IF(AA60&gt;0,CONCATENATE("Session Aim: 
", CONCATENATE(IF(INDEX(final_duration_secondary,((WEEKDAY(Y$3,2)*2-1)+IF(Y60="Morning",0,1)),X60)=0, "", "1. "),
INDEX(sessions_aim_primary,, INDEX(plan_session_allocation,((WEEKDAY(Y$3,2)*2-1)+IF(Y60="Morning",0,1)),X60)), IF(INDEX(final_duration_secondary,((WEEKDAY(Y$3,2)*2-1)+IF(Y60="Morning",0,1)),X60)=0, "", "
2. "),
IF(INDEX(final_duration_secondary,((WEEKDAY(Y$3,2)*2-1)+IF(Y60="Morning",0,1)),X60)=0, "", INDEX(sessions_aim_secondary,, INDEX(plan_session_allocation,((WEEKDAY(Y$3,2)*2-1)+IF(Y60="Morning",0,1)),X60))), IF(INDEX(final_duration_tertiary,((WEEKDAY(Y$3,2)*2-1)+IF(Y60="Morning",0,1)),X60)=0, "", "
3. "),
IF(INDEX(final_duration_tertiary,((WEEKDAY(Y$3,2)*2-1)+IF(Y60="Morning",0,1)),X60)=0, "", INDEX(sessions_aim_tertiary,, INDEX(plan_session_allocation,((WEEKDAY(Y$3,2)*2-1)+IF(Y60="Morning",0,1)),X60))),
IF(INDEX(display_nutrition_description,((WEEKDAY(Y$3,2)*2-1)+IF(Y60="Morning",0,1)),X60)="","",
CONCATENATE("
Nutrition Aim:
", INDEX(sessions_aim_nutrition,,INDEX(plan_session_allocation,((WEEKDAY(Y$3,2)*2-1)+IF(Y60="Morning",0,1)),X60))
))
)),"")</f>
        <v xml:space="preserve">Session Aim: 
Improve aerobic fitness while minimising the chance of injury. </v>
      </c>
      <c r="Y80" s="1914"/>
      <c r="Z80" s="1914"/>
      <c r="AA80" s="1915"/>
      <c r="AC80" s="1913" t="str">
        <f ca="1">IF(AF60&gt;0,CONCATENATE("Session Aim: 
", CONCATENATE(IF(INDEX(final_duration_secondary,((WEEKDAY(AD$3,2)*2-1)+IF(AD60="Morning",0,1)),AC60)=0, "", "1. "),
INDEX(sessions_aim_primary,, INDEX(plan_session_allocation,((WEEKDAY(AD$3,2)*2-1)+IF(AD60="Morning",0,1)),AC60)), IF(INDEX(final_duration_secondary,((WEEKDAY(AD$3,2)*2-1)+IF(AD60="Morning",0,1)),AC60)=0, "", "
2. "),
IF(INDEX(final_duration_secondary,((WEEKDAY(AD$3,2)*2-1)+IF(AD60="Morning",0,1)),AC60)=0, "", INDEX(sessions_aim_secondary,, INDEX(plan_session_allocation,((WEEKDAY(AD$3,2)*2-1)+IF(AD60="Morning",0,1)),AC60))), IF(INDEX(final_duration_tertiary,((WEEKDAY(AD$3,2)*2-1)+IF(AD60="Morning",0,1)),AC60)=0, "", "
3. "),
IF(INDEX(final_duration_tertiary,((WEEKDAY(AD$3,2)*2-1)+IF(AD60="Morning",0,1)),AC60)=0, "", INDEX(sessions_aim_tertiary,, INDEX(plan_session_allocation,((WEEKDAY(AD$3,2)*2-1)+IF(AD60="Morning",0,1)),AC60))),
IF(INDEX(display_nutrition_description,((WEEKDAY(AD$3,2)*2-1)+IF(AD60="Morning",0,1)),AC60)="","",
CONCATENATE("
Nutrition Aim:
", INDEX(sessions_aim_nutrition,,INDEX(plan_session_allocation,((WEEKDAY(AD$3,2)*2-1)+IF(AD60="Morning",0,1)),AC60))
))
)),"")</f>
        <v xml:space="preserve">Session Aim: 
Improve running economy and injury resistance. </v>
      </c>
      <c r="AD80" s="1914"/>
      <c r="AE80" s="1914"/>
      <c r="AF80" s="1915"/>
      <c r="AH80" s="1913" t="str">
        <f ca="1">IF(AK60&gt;0,CONCATENATE("Session Aim: 
", CONCATENATE(IF(INDEX(final_duration_secondary,((WEEKDAY(AI$3,2)*2-1)+IF(AI60="Morning",0,1)),AH60)=0, "", "1. "),
INDEX(sessions_aim_primary,, INDEX(plan_session_allocation,((WEEKDAY(AI$3,2)*2-1)+IF(AI60="Morning",0,1)),AH60)), IF(INDEX(final_duration_secondary,((WEEKDAY(AI$3,2)*2-1)+IF(AI60="Morning",0,1)),AH60)=0, "", "
2. "),
IF(INDEX(final_duration_secondary,((WEEKDAY(AI$3,2)*2-1)+IF(AI60="Morning",0,1)),AH60)=0, "", INDEX(sessions_aim_secondary,, INDEX(plan_session_allocation,((WEEKDAY(AI$3,2)*2-1)+IF(AI60="Morning",0,1)),AH60))), IF(INDEX(final_duration_tertiary,((WEEKDAY(AI$3,2)*2-1)+IF(AI60="Morning",0,1)),AH60)=0, "", "
3. "),
IF(INDEX(final_duration_tertiary,((WEEKDAY(AI$3,2)*2-1)+IF(AI60="Morning",0,1)),AH60)=0, "", INDEX(sessions_aim_tertiary,, INDEX(plan_session_allocation,((WEEKDAY(AI$3,2)*2-1)+IF(AI60="Morning",0,1)),AH60))),
IF(INDEX(display_nutrition_description,((WEEKDAY(AI$3,2)*2-1)+IF(AI60="Morning",0,1)),AH60)="","",
CONCATENATE("
Nutrition Aim:
", INDEX(sessions_aim_nutrition,,INDEX(plan_session_allocation,((WEEKDAY(AI$3,2)*2-1)+IF(AI60="Morning",0,1)),AH60))
))
)),"")</f>
        <v xml:space="preserve">Session Aim: 
Improve aerobic fitness and energy utilisation. </v>
      </c>
      <c r="AI80" s="1914"/>
      <c r="AJ80" s="1914"/>
      <c r="AK80" s="1915"/>
    </row>
    <row r="81" spans="2:38" s="180" customFormat="1" x14ac:dyDescent="0.45">
      <c r="B81" s="1942"/>
      <c r="C81" s="1945"/>
      <c r="D81" s="1916"/>
      <c r="E81" s="1917"/>
      <c r="F81" s="1917"/>
      <c r="G81" s="1918"/>
      <c r="I81" s="1916"/>
      <c r="J81" s="1917"/>
      <c r="K81" s="1917"/>
      <c r="L81" s="1918"/>
      <c r="N81" s="1916"/>
      <c r="O81" s="1917"/>
      <c r="P81" s="1917"/>
      <c r="Q81" s="1918"/>
      <c r="S81" s="1916"/>
      <c r="T81" s="1917"/>
      <c r="U81" s="1917"/>
      <c r="V81" s="1918"/>
      <c r="X81" s="1916"/>
      <c r="Y81" s="1917"/>
      <c r="Z81" s="1917"/>
      <c r="AA81" s="1918"/>
      <c r="AC81" s="1916"/>
      <c r="AD81" s="1917"/>
      <c r="AE81" s="1917"/>
      <c r="AF81" s="1918"/>
      <c r="AH81" s="1916"/>
      <c r="AI81" s="1917"/>
      <c r="AJ81" s="1917"/>
      <c r="AK81" s="1918"/>
    </row>
    <row r="82" spans="2:38" s="180" customFormat="1" x14ac:dyDescent="0.45">
      <c r="B82" s="1942"/>
      <c r="C82" s="1945"/>
      <c r="D82" s="1916"/>
      <c r="E82" s="1917"/>
      <c r="F82" s="1917"/>
      <c r="G82" s="1918"/>
      <c r="I82" s="1916"/>
      <c r="J82" s="1917"/>
      <c r="K82" s="1917"/>
      <c r="L82" s="1918"/>
      <c r="N82" s="1916"/>
      <c r="O82" s="1917"/>
      <c r="P82" s="1917"/>
      <c r="Q82" s="1918"/>
      <c r="S82" s="1916"/>
      <c r="T82" s="1917"/>
      <c r="U82" s="1917"/>
      <c r="V82" s="1918"/>
      <c r="X82" s="1916"/>
      <c r="Y82" s="1917"/>
      <c r="Z82" s="1917"/>
      <c r="AA82" s="1918"/>
      <c r="AC82" s="1916"/>
      <c r="AD82" s="1917"/>
      <c r="AE82" s="1917"/>
      <c r="AF82" s="1918"/>
      <c r="AH82" s="1916"/>
      <c r="AI82" s="1917"/>
      <c r="AJ82" s="1917"/>
      <c r="AK82" s="1918"/>
    </row>
    <row r="83" spans="2:38" s="180" customFormat="1" x14ac:dyDescent="0.45">
      <c r="B83" s="1942"/>
      <c r="C83" s="1945"/>
      <c r="D83" s="1916"/>
      <c r="E83" s="1917"/>
      <c r="F83" s="1917"/>
      <c r="G83" s="1918"/>
      <c r="I83" s="1916"/>
      <c r="J83" s="1917"/>
      <c r="K83" s="1917"/>
      <c r="L83" s="1918"/>
      <c r="N83" s="1916"/>
      <c r="O83" s="1917"/>
      <c r="P83" s="1917"/>
      <c r="Q83" s="1918"/>
      <c r="S83" s="1916"/>
      <c r="T83" s="1917"/>
      <c r="U83" s="1917"/>
      <c r="V83" s="1918"/>
      <c r="X83" s="1916"/>
      <c r="Y83" s="1917"/>
      <c r="Z83" s="1917"/>
      <c r="AA83" s="1918"/>
      <c r="AC83" s="1916"/>
      <c r="AD83" s="1917"/>
      <c r="AE83" s="1917"/>
      <c r="AF83" s="1918"/>
      <c r="AH83" s="1916"/>
      <c r="AI83" s="1917"/>
      <c r="AJ83" s="1917"/>
      <c r="AK83" s="1918"/>
    </row>
    <row r="84" spans="2:38" s="180" customFormat="1" x14ac:dyDescent="0.45">
      <c r="B84" s="1942"/>
      <c r="C84" s="1945"/>
      <c r="D84" s="1916"/>
      <c r="E84" s="1917"/>
      <c r="F84" s="1917"/>
      <c r="G84" s="1918"/>
      <c r="I84" s="1916"/>
      <c r="J84" s="1917"/>
      <c r="K84" s="1917"/>
      <c r="L84" s="1918"/>
      <c r="N84" s="1916"/>
      <c r="O84" s="1917"/>
      <c r="P84" s="1917"/>
      <c r="Q84" s="1918"/>
      <c r="S84" s="1916"/>
      <c r="T84" s="1917"/>
      <c r="U84" s="1917"/>
      <c r="V84" s="1918"/>
      <c r="X84" s="1916"/>
      <c r="Y84" s="1917"/>
      <c r="Z84" s="1917"/>
      <c r="AA84" s="1918"/>
      <c r="AC84" s="1916"/>
      <c r="AD84" s="1917"/>
      <c r="AE84" s="1917"/>
      <c r="AF84" s="1918"/>
      <c r="AH84" s="1916"/>
      <c r="AI84" s="1917"/>
      <c r="AJ84" s="1917"/>
      <c r="AK84" s="1918"/>
    </row>
    <row r="85" spans="2:38" s="180" customFormat="1" x14ac:dyDescent="0.45">
      <c r="B85" s="1942"/>
      <c r="C85" s="1945"/>
      <c r="D85" s="1916"/>
      <c r="E85" s="1917"/>
      <c r="F85" s="1917"/>
      <c r="G85" s="1918"/>
      <c r="I85" s="1916"/>
      <c r="J85" s="1917"/>
      <c r="K85" s="1917"/>
      <c r="L85" s="1918"/>
      <c r="N85" s="1916"/>
      <c r="O85" s="1917"/>
      <c r="P85" s="1917"/>
      <c r="Q85" s="1918"/>
      <c r="S85" s="1916"/>
      <c r="T85" s="1917"/>
      <c r="U85" s="1917"/>
      <c r="V85" s="1918"/>
      <c r="X85" s="1916"/>
      <c r="Y85" s="1917"/>
      <c r="Z85" s="1917"/>
      <c r="AA85" s="1918"/>
      <c r="AC85" s="1916"/>
      <c r="AD85" s="1917"/>
      <c r="AE85" s="1917"/>
      <c r="AF85" s="1918"/>
      <c r="AH85" s="1916"/>
      <c r="AI85" s="1917"/>
      <c r="AJ85" s="1917"/>
      <c r="AK85" s="1918"/>
    </row>
    <row r="86" spans="2:38" s="180" customFormat="1" ht="14.65" thickBot="1" x14ac:dyDescent="0.5">
      <c r="B86" s="1942"/>
      <c r="C86" s="1945"/>
      <c r="D86" s="1938"/>
      <c r="E86" s="1939"/>
      <c r="F86" s="1939"/>
      <c r="G86" s="1940"/>
      <c r="I86" s="1938"/>
      <c r="J86" s="1939"/>
      <c r="K86" s="1939"/>
      <c r="L86" s="1940"/>
      <c r="N86" s="1938"/>
      <c r="O86" s="1939"/>
      <c r="P86" s="1939"/>
      <c r="Q86" s="1940"/>
      <c r="S86" s="1938"/>
      <c r="T86" s="1939"/>
      <c r="U86" s="1939"/>
      <c r="V86" s="1940"/>
      <c r="X86" s="1938"/>
      <c r="Y86" s="1939"/>
      <c r="Z86" s="1939"/>
      <c r="AA86" s="1940"/>
      <c r="AC86" s="1938"/>
      <c r="AD86" s="1939"/>
      <c r="AE86" s="1939"/>
      <c r="AF86" s="1940"/>
      <c r="AH86" s="1938"/>
      <c r="AI86" s="1939"/>
      <c r="AJ86" s="1939"/>
      <c r="AK86" s="1940"/>
    </row>
    <row r="87" spans="2:38" s="176" customFormat="1" ht="15.75" customHeight="1" x14ac:dyDescent="0.45">
      <c r="B87" s="1942"/>
      <c r="C87" s="1945"/>
      <c r="D87" s="1415">
        <f>$B59</f>
        <v>2</v>
      </c>
      <c r="E87" s="1930" t="s">
        <v>352</v>
      </c>
      <c r="F87" s="1930"/>
      <c r="G87" s="1414">
        <f ca="1">INDEX(final_duration_session,((WEEKDAY(E$3,2)*2-1)+IF(E87="Morning",0,1)),$D87)</f>
        <v>60</v>
      </c>
      <c r="H87" s="177"/>
      <c r="I87" s="1415">
        <f>$B59</f>
        <v>2</v>
      </c>
      <c r="J87" s="1930" t="s">
        <v>352</v>
      </c>
      <c r="K87" s="1930"/>
      <c r="L87" s="1414">
        <f ca="1">INDEX(final_duration_session,((WEEKDAY(J$3,2)*2-1)+IF(J87="Morning",0,1)),$D87)</f>
        <v>55</v>
      </c>
      <c r="M87" s="177"/>
      <c r="N87" s="1415">
        <f>$B59</f>
        <v>2</v>
      </c>
      <c r="O87" s="1930" t="s">
        <v>352</v>
      </c>
      <c r="P87" s="1930"/>
      <c r="Q87" s="1414">
        <f ca="1">INDEX(final_duration_session,((WEEKDAY(O$3,2)*2-1)+IF(O87="Morning",0,1)),$D87)</f>
        <v>70</v>
      </c>
      <c r="R87" s="177"/>
      <c r="S87" s="1415">
        <f>$B59</f>
        <v>2</v>
      </c>
      <c r="T87" s="1930" t="s">
        <v>352</v>
      </c>
      <c r="U87" s="1930"/>
      <c r="V87" s="1414">
        <f ca="1">INDEX(final_duration_session,((WEEKDAY(T$3,2)*2-1)+IF(T87="Morning",0,1)),$D87)</f>
        <v>85</v>
      </c>
      <c r="W87" s="177"/>
      <c r="X87" s="1415">
        <f>$B59</f>
        <v>2</v>
      </c>
      <c r="Y87" s="1930" t="s">
        <v>352</v>
      </c>
      <c r="Z87" s="1930"/>
      <c r="AA87" s="1414">
        <f ca="1">INDEX(final_duration_session,((WEEKDAY(Y$3,2)*2-1)+IF(Y87="Morning",0,1)),$D87)</f>
        <v>60</v>
      </c>
      <c r="AB87" s="177"/>
      <c r="AC87" s="1415">
        <f>$B59</f>
        <v>2</v>
      </c>
      <c r="AD87" s="1930" t="s">
        <v>352</v>
      </c>
      <c r="AE87" s="1930"/>
      <c r="AF87" s="1414">
        <f ca="1">INDEX(final_duration_session,((WEEKDAY(AD$3,2)*2-1)+IF(AD87="Morning",0,1)),$D87)</f>
        <v>55</v>
      </c>
      <c r="AG87" s="177"/>
      <c r="AH87" s="1415">
        <f>$B59</f>
        <v>2</v>
      </c>
      <c r="AI87" s="1930" t="s">
        <v>352</v>
      </c>
      <c r="AJ87" s="1930"/>
      <c r="AK87" s="1414">
        <f ca="1">INDEX(final_duration_session,((WEEKDAY(AI$3,2)*2-1)+IF(AI87="Morning",0,1)),$D87)</f>
        <v>0</v>
      </c>
      <c r="AL87" s="177"/>
    </row>
    <row r="88" spans="2:38" s="176" customFormat="1" ht="15" customHeight="1" x14ac:dyDescent="0.45">
      <c r="B88" s="1942"/>
      <c r="C88" s="1945"/>
      <c r="D88" s="1931" t="str">
        <f ca="1">IF(G87&gt;0,INDEX(sessions_name,INDEX(plan_session_allocation,((WEEKDAY(E$3,2)*2-1)+IF(E87="Morning",0,1)),D87)),"")</f>
        <v>Strength and Maintenance</v>
      </c>
      <c r="E88" s="1932"/>
      <c r="F88" s="1932"/>
      <c r="G88" s="1933"/>
      <c r="H88" s="177"/>
      <c r="I88" s="1931" t="str">
        <f ca="1">IF(L87&gt;0,INDEX(sessions_name,INDEX(plan_session_allocation,((WEEKDAY(J$3,2)*2-1)+IF(J87="Morning",0,1)),I87)),"")</f>
        <v>Hill Tempo</v>
      </c>
      <c r="J88" s="1932"/>
      <c r="K88" s="1932"/>
      <c r="L88" s="1933"/>
      <c r="M88" s="177"/>
      <c r="N88" s="1931" t="str">
        <f ca="1">IF(Q87&gt;0,INDEX(sessions_name,INDEX(plan_session_allocation,((WEEKDAY(O$3,2)*2-1)+IF(O87="Morning",0,1)),N87)),"")</f>
        <v xml:space="preserve">Easy </v>
      </c>
      <c r="O88" s="1932"/>
      <c r="P88" s="1932"/>
      <c r="Q88" s="1933"/>
      <c r="R88" s="177"/>
      <c r="S88" s="1931" t="str">
        <f ca="1">IF(V87&gt;0,INDEX(sessions_name,INDEX(plan_session_allocation,((WEEKDAY(T$3,2)*2-1)+IF(T87="Morning",0,1)),S87)),"")</f>
        <v>Steady</v>
      </c>
      <c r="T88" s="1932"/>
      <c r="U88" s="1932"/>
      <c r="V88" s="1933"/>
      <c r="W88" s="177"/>
      <c r="X88" s="1931" t="str">
        <f ca="1">IF(AA87&gt;0,INDEX(sessions_name,INDEX(plan_session_allocation,((WEEKDAY(Y$3,2)*2-1)+IF(Y87="Morning",0,1)),X87)),"")</f>
        <v>Strength and Maintenance</v>
      </c>
      <c r="Y88" s="1932"/>
      <c r="Z88" s="1932"/>
      <c r="AA88" s="1933"/>
      <c r="AB88" s="177"/>
      <c r="AC88" s="1931" t="str">
        <f ca="1">IF(AF87&gt;0,INDEX(sessions_name,INDEX(plan_session_allocation,((WEEKDAY(AD$3,2)*2-1)+IF(AD87="Morning",0,1)),AC87)),"")</f>
        <v>Easy</v>
      </c>
      <c r="AD88" s="1932"/>
      <c r="AE88" s="1932"/>
      <c r="AF88" s="1933"/>
      <c r="AG88" s="177"/>
      <c r="AH88" s="1931" t="str">
        <f ca="1">IF(AK87&gt;0,INDEX(sessions_name,INDEX(plan_session_allocation,((WEEKDAY(AI$3,2)*2-1)+IF(AI87="Morning",0,1)),AH87)),"")</f>
        <v/>
      </c>
      <c r="AI88" s="1932"/>
      <c r="AJ88" s="1932"/>
      <c r="AK88" s="1933"/>
      <c r="AL88" s="177"/>
    </row>
    <row r="89" spans="2:38" s="176" customFormat="1" ht="15" customHeight="1" x14ac:dyDescent="0.45">
      <c r="B89" s="1942"/>
      <c r="C89" s="1945"/>
      <c r="D89" s="1934" t="str">
        <f ca="1">IF(G87&gt;0,CONCATENATE("Sport: ",INDEX(sessions_sport_primary,INDEX(plan_session_allocation,(WEEKDAY(E$3,2)*2-1)+IF(E87="Morning",0,1),D87))),"")</f>
        <v>Sport: Indoor</v>
      </c>
      <c r="E89" s="1935"/>
      <c r="F89" s="1936">
        <f ca="1">IF(G87&gt;0,IFERROR(F90+F91+F92,""),"")</f>
        <v>60</v>
      </c>
      <c r="G89" s="1937"/>
      <c r="H89" s="177"/>
      <c r="I89" s="1934" t="str">
        <f ca="1">IF(L87&gt;0,CONCATENATE("Sport: ",INDEX(sessions_sport_primary,INDEX(plan_session_allocation,(WEEKDAY(J$3,2)*2-1)+IF(J87="Morning",0,1),I87))),"")</f>
        <v>Sport: Hilly Trail Run</v>
      </c>
      <c r="J89" s="1935"/>
      <c r="K89" s="1936">
        <f ca="1">IF(L87&gt;0,IFERROR(K90+K91+K92,""),"")</f>
        <v>55</v>
      </c>
      <c r="L89" s="1937"/>
      <c r="M89" s="177"/>
      <c r="N89" s="1934" t="str">
        <f ca="1">IF(Q87&gt;0,CONCATENATE("Sport: ",INDEX(sessions_sport_primary,INDEX(plan_session_allocation,(WEEKDAY(O$3,2)*2-1)+IF(O87="Morning",0,1),N87))),"")</f>
        <v>Sport: Road Ride</v>
      </c>
      <c r="O89" s="1935"/>
      <c r="P89" s="1936">
        <f ca="1">IF(Q87&gt;0,IFERROR(P90+P91+P92,""),"")</f>
        <v>70</v>
      </c>
      <c r="Q89" s="1937"/>
      <c r="R89" s="177"/>
      <c r="S89" s="1934" t="str">
        <f ca="1">IF(V87&gt;0,CONCATENATE("Sport: ",INDEX(sessions_sport_primary,INDEX(plan_session_allocation,(WEEKDAY(T$3,2)*2-1)+IF(T87="Morning",0,1),S87))),"")</f>
        <v>Sport: Hilly Trail Run</v>
      </c>
      <c r="T89" s="1935"/>
      <c r="U89" s="1936">
        <f ca="1">IF(V87&gt;0,IFERROR(U90+U91+U92,""),"")</f>
        <v>85</v>
      </c>
      <c r="V89" s="1937"/>
      <c r="W89" s="177"/>
      <c r="X89" s="1934" t="str">
        <f ca="1">IF(AA87&gt;0,CONCATENATE("Sport: ",INDEX(sessions_sport_primary,INDEX(plan_session_allocation,(WEEKDAY(Y$3,2)*2-1)+IF(Y87="Morning",0,1),X87))),"")</f>
        <v>Sport: Indoor</v>
      </c>
      <c r="Y89" s="1935"/>
      <c r="Z89" s="1936">
        <f ca="1">IF(AA87&gt;0,IFERROR(Z90+Z91+Z92,""),"")</f>
        <v>60</v>
      </c>
      <c r="AA89" s="1937"/>
      <c r="AB89" s="177"/>
      <c r="AC89" s="1934" t="str">
        <f ca="1">IF(AF87&gt;0,CONCATENATE("Sport: ",INDEX(sessions_sport_primary,INDEX(plan_session_allocation,(WEEKDAY(AD$3,2)*2-1)+IF(AD87="Morning",0,1),AC87))),"")</f>
        <v>Sport: Run</v>
      </c>
      <c r="AD89" s="1935"/>
      <c r="AE89" s="1936">
        <f ca="1">IF(AF87&gt;0,IFERROR(AE90+AE91+AE92,""),"")</f>
        <v>55</v>
      </c>
      <c r="AF89" s="1937"/>
      <c r="AG89" s="177"/>
      <c r="AH89" s="1934" t="str">
        <f ca="1">IF(AK87&gt;0,CONCATENATE("Sport: ",INDEX(sessions_sport_primary,INDEX(plan_session_allocation,(WEEKDAY(AI$3,2)*2-1)+IF(AI87="Morning",0,1),AH87))),"")</f>
        <v/>
      </c>
      <c r="AI89" s="1935"/>
      <c r="AJ89" s="1936" t="str">
        <f ca="1">IF(AK87&gt;0,IFERROR(AJ90+AJ91+AJ92,""),"")</f>
        <v/>
      </c>
      <c r="AK89" s="1937"/>
      <c r="AL89" s="177"/>
    </row>
    <row r="90" spans="2:38" s="177" customFormat="1" ht="15" customHeight="1" x14ac:dyDescent="0.45">
      <c r="B90" s="1942"/>
      <c r="C90" s="1945"/>
      <c r="D90" s="1922" t="str">
        <f ca="1">IF(G87&gt;0,CONCATENATE("HR Target: ",
INDEX(sessions_HR_primary,INDEX(plan_session_allocation,((WEEKDAY(E$3,2)*2-1)+IF(E87="Morning",0,1)),D87)),
IF(INDEX(sessions_HR_primary,INDEX(plan_session_allocation,((WEEKDAY(E$3,2)*2-1)+IF(E87="Morning",0,1)),D87))="N/A","",
" BPM")),"")</f>
        <v>HR Target: N/A</v>
      </c>
      <c r="E90" s="1923"/>
      <c r="F90" s="1924">
        <f ca="1">IF(G87&gt;0,
INDEX(final_duration_effort,((WEEKDAY(E$3,2)*2-1)+IF(E87="Morning",0,1)),D87),"")</f>
        <v>60</v>
      </c>
      <c r="G90" s="1925"/>
      <c r="I90" s="1922" t="str">
        <f ca="1">IF(L87&gt;0,CONCATENATE("HR Target: ",
INDEX(sessions_HR_primary,INDEX(plan_session_allocation,((WEEKDAY(J$3,2)*2-1)+IF(J87="Morning",0,1)),I87)),
IF(INDEX(sessions_HR_primary,INDEX(plan_session_allocation,((WEEKDAY(J$3,2)*2-1)+IF(J87="Morning",0,1)),I87))="N/A","",
" BPM")),"")</f>
        <v>HR Target: 177 BPM</v>
      </c>
      <c r="J90" s="1923"/>
      <c r="K90" s="1924">
        <f ca="1">IF(L87&gt;0,
INDEX(final_duration_effort,((WEEKDAY(J$3,2)*2-1)+IF(J87="Morning",0,1)),I87),"")</f>
        <v>25</v>
      </c>
      <c r="L90" s="1925"/>
      <c r="N90" s="1922" t="str">
        <f ca="1">IF(Q87&gt;0,CONCATENATE("HR Target: ",
INDEX(sessions_HR_primary,INDEX(plan_session_allocation,((WEEKDAY(O$3,2)*2-1)+IF(O87="Morning",0,1)),N87)),
IF(INDEX(sessions_HR_primary,INDEX(plan_session_allocation,((WEEKDAY(O$3,2)*2-1)+IF(O87="Morning",0,1)),N87))="N/A","",
" BPM")),"")</f>
        <v>HR Target: 138 BPM</v>
      </c>
      <c r="O90" s="1923"/>
      <c r="P90" s="1924">
        <f ca="1">IF(Q87&gt;0,
INDEX(final_duration_effort,((WEEKDAY(O$3,2)*2-1)+IF(O87="Morning",0,1)),N87),"")</f>
        <v>70</v>
      </c>
      <c r="Q90" s="1925"/>
      <c r="S90" s="1922" t="str">
        <f ca="1">IF(V87&gt;0,CONCATENATE("HR Target: ",
INDEX(sessions_HR_primary,INDEX(plan_session_allocation,((WEEKDAY(T$3,2)*2-1)+IF(T87="Morning",0,1)),S87)),
IF(INDEX(sessions_HR_primary,INDEX(plan_session_allocation,((WEEKDAY(T$3,2)*2-1)+IF(T87="Morning",0,1)),S87))="N/A","",
" BPM")),"")</f>
        <v>HR Target: 148 BPM</v>
      </c>
      <c r="T90" s="1923"/>
      <c r="U90" s="1924">
        <f ca="1">IF(V87&gt;0,
INDEX(final_duration_effort,((WEEKDAY(T$3,2)*2-1)+IF(T87="Morning",0,1)),S87),"")</f>
        <v>85</v>
      </c>
      <c r="V90" s="1925"/>
      <c r="X90" s="1922" t="str">
        <f ca="1">IF(AA87&gt;0,CONCATENATE("HR Target: ",
INDEX(sessions_HR_primary,INDEX(plan_session_allocation,((WEEKDAY(Y$3,2)*2-1)+IF(Y87="Morning",0,1)),X87)),
IF(INDEX(sessions_HR_primary,INDEX(plan_session_allocation,((WEEKDAY(Y$3,2)*2-1)+IF(Y87="Morning",0,1)),X87))="N/A","",
" BPM")),"")</f>
        <v>HR Target: N/A</v>
      </c>
      <c r="Y90" s="1923"/>
      <c r="Z90" s="1924">
        <f ca="1">IF(AA87&gt;0,
INDEX(final_duration_effort,((WEEKDAY(Y$3,2)*2-1)+IF(Y87="Morning",0,1)),X87),"")</f>
        <v>60</v>
      </c>
      <c r="AA90" s="1925"/>
      <c r="AC90" s="1922" t="str">
        <f ca="1">IF(AF87&gt;0,CONCATENATE("HR Target: ",
INDEX(sessions_HR_primary,INDEX(plan_session_allocation,((WEEKDAY(AD$3,2)*2-1)+IF(AD87="Morning",0,1)),AC87)),
IF(INDEX(sessions_HR_primary,INDEX(plan_session_allocation,((WEEKDAY(AD$3,2)*2-1)+IF(AD87="Morning",0,1)),AC87))="N/A","",
" BPM")),"")</f>
        <v>HR Target: 138 BPM</v>
      </c>
      <c r="AD90" s="1923"/>
      <c r="AE90" s="1924">
        <f ca="1">IF(AF87&gt;0,
INDEX(final_duration_effort,((WEEKDAY(AD$3,2)*2-1)+IF(AD87="Morning",0,1)),AC87),"")</f>
        <v>55</v>
      </c>
      <c r="AF90" s="1925"/>
      <c r="AH90" s="1922" t="str">
        <f ca="1">IF(AK87&gt;0,CONCATENATE("HR Target: ",
INDEX(sessions_HR_primary,INDEX(plan_session_allocation,((WEEKDAY(AI$3,2)*2-1)+IF(AI87="Morning",0,1)),AH87)),
IF(INDEX(sessions_HR_primary,INDEX(plan_session_allocation,((WEEKDAY(AI$3,2)*2-1)+IF(AI87="Morning",0,1)),AH87))="N/A","",
" BPM")),"")</f>
        <v/>
      </c>
      <c r="AI90" s="1923"/>
      <c r="AJ90" s="1924" t="str">
        <f ca="1">IF(AK87&gt;0,
INDEX(final_duration_effort,((WEEKDAY(AI$3,2)*2-1)+IF(AI87="Morning",0,1)),AH87),"")</f>
        <v/>
      </c>
      <c r="AK90" s="1925"/>
    </row>
    <row r="91" spans="2:38" s="177" customFormat="1" ht="15" customHeight="1" x14ac:dyDescent="0.45">
      <c r="B91" s="1942"/>
      <c r="C91" s="1945"/>
      <c r="D91" s="1926" t="str">
        <f ca="1">IF(G87&gt;0,CONCATENATE("HR Range: ",
INDEX(sessions_HR_range_primary,INDEX(plan_session_allocation,((WEEKDAY(E$3,2)*2-1)+IF(E87="Morning",0,1)),D87)),
IF(INDEX(sessions_HR_range_primary,INDEX(plan_session_allocation,((WEEKDAY(E$3,2)*2-1)+IF(E87="Morning",0,1)),D87))="N/A","",
" BPM")),"")</f>
        <v>HR Range: N/A</v>
      </c>
      <c r="E91" s="1927"/>
      <c r="F91" s="1928">
        <f ca="1">IF(G87&gt;0,IF(
INDEX(sessions_recoveries,INDEX(plan_session_allocation,((WEEKDAY(E$3,2)*2-1)+IF(E87="Morning",0,1)),D87))="Yes",
VLOOKUP(INDEX(plan_duration_primary,((WEEKDAY(E$3,2)*2-1)+IF(E87="Morning",0,1)),D87),
INDIRECT(INDEX(sessions_intervals_code_primary,INDEX(plan_session_allocation,((WEEKDAY(E$3,2)*2-1)+IF(E87="Morning",0,1)),D87))),7,TRUE),0),"")</f>
        <v>0</v>
      </c>
      <c r="G91" s="1929"/>
      <c r="I91" s="1926" t="str">
        <f ca="1">IF(L87&gt;0,CONCATENATE("HR Range: ",
INDEX(sessions_HR_range_primary,INDEX(plan_session_allocation,((WEEKDAY(J$3,2)*2-1)+IF(J87="Morning",0,1)),I87)),
IF(INDEX(sessions_HR_range_primary,INDEX(plan_session_allocation,((WEEKDAY(J$3,2)*2-1)+IF(J87="Morning",0,1)),I87))="N/A","",
" BPM")),"")</f>
        <v>HR Range: 173 - 180 BPM</v>
      </c>
      <c r="J91" s="1927"/>
      <c r="K91" s="1928">
        <f ca="1">IF(L87&gt;0,IF(
INDEX(sessions_recoveries,INDEX(plan_session_allocation,((WEEKDAY(J$3,2)*2-1)+IF(J87="Morning",0,1)),I87))="Yes",
VLOOKUP(INDEX(plan_duration_primary,((WEEKDAY(J$3,2)*2-1)+IF(J87="Morning",0,1)),I87),
INDIRECT(INDEX(sessions_intervals_code_primary,INDEX(plan_session_allocation,((WEEKDAY(J$3,2)*2-1)+IF(J87="Morning",0,1)),I87))),7,TRUE),0),"")</f>
        <v>0</v>
      </c>
      <c r="L91" s="1929"/>
      <c r="N91" s="1926" t="str">
        <f ca="1">IF(Q87&gt;0,CONCATENATE("HR Range: ",
INDEX(sessions_HR_range_primary,INDEX(plan_session_allocation,((WEEKDAY(O$3,2)*2-1)+IF(O87="Morning",0,1)),N87)),
IF(INDEX(sessions_HR_range_primary,INDEX(plan_session_allocation,((WEEKDAY(O$3,2)*2-1)+IF(O87="Morning",0,1)),N87))="N/A","",
" BPM")),"")</f>
        <v>HR Range: 129 - 148 BPM</v>
      </c>
      <c r="O91" s="1927"/>
      <c r="P91" s="1928">
        <f ca="1">IF(Q87&gt;0,IF(
INDEX(sessions_recoveries,INDEX(plan_session_allocation,((WEEKDAY(O$3,2)*2-1)+IF(O87="Morning",0,1)),N87))="Yes",
VLOOKUP(INDEX(plan_duration_primary,((WEEKDAY(O$3,2)*2-1)+IF(O87="Morning",0,1)),N87),
INDIRECT(INDEX(sessions_intervals_code_primary,INDEX(plan_session_allocation,((WEEKDAY(O$3,2)*2-1)+IF(O87="Morning",0,1)),N87))),7,TRUE),0),"")</f>
        <v>0</v>
      </c>
      <c r="Q91" s="1929"/>
      <c r="S91" s="1926" t="str">
        <f ca="1">IF(V87&gt;0,CONCATENATE("HR Range: ",
INDEX(sessions_HR_range_primary,INDEX(plan_session_allocation,((WEEKDAY(T$3,2)*2-1)+IF(T87="Morning",0,1)),S87)),
IF(INDEX(sessions_HR_range_primary,INDEX(plan_session_allocation,((WEEKDAY(T$3,2)*2-1)+IF(T87="Morning",0,1)),S87))="N/A","",
" BPM")),"")</f>
        <v>HR Range: 138 - 157 BPM</v>
      </c>
      <c r="T91" s="1927"/>
      <c r="U91" s="1928">
        <f ca="1">IF(V87&gt;0,IF(
INDEX(sessions_recoveries,INDEX(plan_session_allocation,((WEEKDAY(T$3,2)*2-1)+IF(T87="Morning",0,1)),S87))="Yes",
VLOOKUP(INDEX(plan_duration_primary,((WEEKDAY(T$3,2)*2-1)+IF(T87="Morning",0,1)),S87),
INDIRECT(INDEX(sessions_intervals_code_primary,INDEX(plan_session_allocation,((WEEKDAY(T$3,2)*2-1)+IF(T87="Morning",0,1)),S87))),7,TRUE),0),"")</f>
        <v>0</v>
      </c>
      <c r="V91" s="1929"/>
      <c r="X91" s="1926" t="str">
        <f ca="1">IF(AA87&gt;0,CONCATENATE("HR Range: ",
INDEX(sessions_HR_range_primary,INDEX(plan_session_allocation,((WEEKDAY(Y$3,2)*2-1)+IF(Y87="Morning",0,1)),X87)),
IF(INDEX(sessions_HR_range_primary,INDEX(plan_session_allocation,((WEEKDAY(Y$3,2)*2-1)+IF(Y87="Morning",0,1)),X87))="N/A","",
" BPM")),"")</f>
        <v>HR Range: N/A</v>
      </c>
      <c r="Y91" s="1927"/>
      <c r="Z91" s="1928">
        <f ca="1">IF(AA87&gt;0,IF(
INDEX(sessions_recoveries,INDEX(plan_session_allocation,((WEEKDAY(Y$3,2)*2-1)+IF(Y87="Morning",0,1)),X87))="Yes",
VLOOKUP(INDEX(plan_duration_primary,((WEEKDAY(Y$3,2)*2-1)+IF(Y87="Morning",0,1)),X87),
INDIRECT(INDEX(sessions_intervals_code_primary,INDEX(plan_session_allocation,((WEEKDAY(Y$3,2)*2-1)+IF(Y87="Morning",0,1)),X87))),7,TRUE),0),"")</f>
        <v>0</v>
      </c>
      <c r="AA91" s="1929"/>
      <c r="AC91" s="1926" t="str">
        <f ca="1">IF(AF87&gt;0,CONCATENATE("HR Range: ",
INDEX(sessions_HR_range_primary,INDEX(plan_session_allocation,((WEEKDAY(AD$3,2)*2-1)+IF(AD87="Morning",0,1)),AC87)),
IF(INDEX(sessions_HR_range_primary,INDEX(plan_session_allocation,((WEEKDAY(AD$3,2)*2-1)+IF(AD87="Morning",0,1)),AC87))="N/A","",
" BPM")),"")</f>
        <v>HR Range: 129 - 148 BPM</v>
      </c>
      <c r="AD91" s="1927"/>
      <c r="AE91" s="1928">
        <f ca="1">IF(AF87&gt;0,IF(
INDEX(sessions_recoveries,INDEX(plan_session_allocation,((WEEKDAY(AD$3,2)*2-1)+IF(AD87="Morning",0,1)),AC87))="Yes",
VLOOKUP(INDEX(plan_duration_primary,((WEEKDAY(AD$3,2)*2-1)+IF(AD87="Morning",0,1)),AC87),
INDIRECT(INDEX(sessions_intervals_code_primary,INDEX(plan_session_allocation,((WEEKDAY(AD$3,2)*2-1)+IF(AD87="Morning",0,1)),AC87))),7,TRUE),0),"")</f>
        <v>0</v>
      </c>
      <c r="AF91" s="1929"/>
      <c r="AH91" s="1926" t="str">
        <f ca="1">IF(AK87&gt;0,CONCATENATE("HR Range: ",
INDEX(sessions_HR_range_primary,INDEX(plan_session_allocation,((WEEKDAY(AI$3,2)*2-1)+IF(AI87="Morning",0,1)),AH87)),
IF(INDEX(sessions_HR_range_primary,INDEX(plan_session_allocation,((WEEKDAY(AI$3,2)*2-1)+IF(AI87="Morning",0,1)),AH87))="N/A","",
" BPM")),"")</f>
        <v/>
      </c>
      <c r="AI91" s="1927"/>
      <c r="AJ91" s="1928" t="str">
        <f ca="1">IF(AK87&gt;0,IF(
INDEX(sessions_recoveries,INDEX(plan_session_allocation,((WEEKDAY(AI$3,2)*2-1)+IF(AI87="Morning",0,1)),AH87))="Yes",
VLOOKUP(INDEX(plan_duration_primary,((WEEKDAY(AI$3,2)*2-1)+IF(AI87="Morning",0,1)),AH87),
INDIRECT(INDEX(sessions_intervals_code_primary,INDEX(plan_session_allocation,((WEEKDAY(AI$3,2)*2-1)+IF(AI87="Morning",0,1)),AH87))),7,TRUE),0),"")</f>
        <v/>
      </c>
      <c r="AK91" s="1929"/>
    </row>
    <row r="92" spans="2:38" s="177" customFormat="1" ht="15" customHeight="1" x14ac:dyDescent="0.45">
      <c r="B92" s="1942"/>
      <c r="C92" s="1945"/>
      <c r="D92" s="1909" t="str">
        <f ca="1">IF(G87&gt;0,CONCATENATE("Equivalent Pace: ",
TEXT(INDEX(sessions_pace_primary,INDEX(plan_session_allocation,(WEEKDAY(E$3,2)*2-1)+IF(E87="Morning",0,1),D87)),"m:ss"),
" min/km"
),"")</f>
        <v>Equivalent Pace:  min/km</v>
      </c>
      <c r="E92" s="1910"/>
      <c r="F92" s="1911">
        <f ca="1">IF(G87&gt;0, INDEX(final_duration_WU,((WEEKDAY(E$3,2)*2-1)+IF(E87="Morning",0,1)),D87)  + INDEX(final_duration_WD,((WEEKDAY(E$3,2)*2-1)+IF(E87="Morning",0,1)),D87), "")</f>
        <v>0</v>
      </c>
      <c r="G92" s="1912"/>
      <c r="I92" s="1909" t="str">
        <f ca="1">IF(L87&gt;0,CONCATENATE("Equivalent Pace: ",
TEXT(INDEX(sessions_pace_primary,INDEX(plan_session_allocation,(WEEKDAY(J$3,2)*2-1)+IF(J87="Morning",0,1),I87)),"m:ss"),
" min/km"
),"")</f>
        <v>Equivalent Pace: 3:21 min/km</v>
      </c>
      <c r="J92" s="1910"/>
      <c r="K92" s="1911">
        <f ca="1">IF(L87&gt;0, INDEX(final_duration_WU,((WEEKDAY(J$3,2)*2-1)+IF(J87="Morning",0,1)),I87)  + INDEX(final_duration_WD,((WEEKDAY(J$3,2)*2-1)+IF(J87="Morning",0,1)),I87), "")</f>
        <v>30</v>
      </c>
      <c r="L92" s="1912"/>
      <c r="N92" s="1909" t="str">
        <f ca="1">IF(Q87&gt;0,CONCATENATE("Equivalent Pace: ",
TEXT(INDEX(sessions_pace_primary,INDEX(plan_session_allocation,(WEEKDAY(O$3,2)*2-1)+IF(O87="Morning",0,1),N87)),"m:ss"),
" min/km"
),"")</f>
        <v>Equivalent Pace: 4:39 min/km</v>
      </c>
      <c r="O92" s="1910"/>
      <c r="P92" s="1911">
        <f ca="1">IF(Q87&gt;0, INDEX(final_duration_WU,((WEEKDAY(O$3,2)*2-1)+IF(O87="Morning",0,1)),N87)  + INDEX(final_duration_WD,((WEEKDAY(O$3,2)*2-1)+IF(O87="Morning",0,1)),N87), "")</f>
        <v>0</v>
      </c>
      <c r="Q92" s="1912"/>
      <c r="S92" s="1909" t="str">
        <f ca="1">IF(V87&gt;0,CONCATENATE("Equivalent Pace: ",
TEXT(INDEX(sessions_pace_primary,INDEX(plan_session_allocation,(WEEKDAY(T$3,2)*2-1)+IF(T87="Morning",0,1),S87)),"m:ss"),
" min/km"
),"")</f>
        <v>Equivalent Pace: 4:14 min/km</v>
      </c>
      <c r="T92" s="1910"/>
      <c r="U92" s="1911">
        <f ca="1">IF(V87&gt;0, INDEX(final_duration_WU,((WEEKDAY(T$3,2)*2-1)+IF(T87="Morning",0,1)),S87)  + INDEX(final_duration_WD,((WEEKDAY(T$3,2)*2-1)+IF(T87="Morning",0,1)),S87), "")</f>
        <v>0</v>
      </c>
      <c r="V92" s="1912"/>
      <c r="X92" s="1909" t="str">
        <f ca="1">IF(AA87&gt;0,CONCATENATE("Equivalent Pace: ",
TEXT(INDEX(sessions_pace_primary,INDEX(plan_session_allocation,(WEEKDAY(Y$3,2)*2-1)+IF(Y87="Morning",0,1),X87)),"m:ss"),
" min/km"
),"")</f>
        <v>Equivalent Pace:  min/km</v>
      </c>
      <c r="Y92" s="1910"/>
      <c r="Z92" s="1911">
        <f ca="1">IF(AA87&gt;0, INDEX(final_duration_WU,((WEEKDAY(Y$3,2)*2-1)+IF(Y87="Morning",0,1)),X87)  + INDEX(final_duration_WD,((WEEKDAY(Y$3,2)*2-1)+IF(Y87="Morning",0,1)),X87), "")</f>
        <v>0</v>
      </c>
      <c r="AA92" s="1912"/>
      <c r="AC92" s="1909" t="str">
        <f ca="1">IF(AF87&gt;0,CONCATENATE("Equivalent Pace: ",
TEXT(INDEX(sessions_pace_primary,INDEX(plan_session_allocation,(WEEKDAY(AD$3,2)*2-1)+IF(AD87="Morning",0,1),AC87)),"m:ss"),
" min/km"
),"")</f>
        <v>Equivalent Pace: 4:39 min/km</v>
      </c>
      <c r="AD92" s="1910"/>
      <c r="AE92" s="1911">
        <f ca="1">IF(AF87&gt;0, INDEX(final_duration_WU,((WEEKDAY(AD$3,2)*2-1)+IF(AD87="Morning",0,1)),AC87)  + INDEX(final_duration_WD,((WEEKDAY(AD$3,2)*2-1)+IF(AD87="Morning",0,1)),AC87), "")</f>
        <v>0</v>
      </c>
      <c r="AF92" s="1912"/>
      <c r="AH92" s="1909" t="str">
        <f ca="1">IF(AK87&gt;0,CONCATENATE("Equivalent Pace: ",
TEXT(INDEX(sessions_pace_primary,INDEX(plan_session_allocation,(WEEKDAY(AI$3,2)*2-1)+IF(AI87="Morning",0,1),AH87)),"m:ss"),
" min/km"
),"")</f>
        <v/>
      </c>
      <c r="AI92" s="1910"/>
      <c r="AJ92" s="1911" t="str">
        <f ca="1">IF(AK87&gt;0, INDEX(final_duration_WU,((WEEKDAY(AI$3,2)*2-1)+IF(AI87="Morning",0,1)),AH87)  + INDEX(final_duration_WD,((WEEKDAY(AI$3,2)*2-1)+IF(AI87="Morning",0,1)),AH87), "")</f>
        <v/>
      </c>
      <c r="AK92" s="1912"/>
    </row>
    <row r="93" spans="2:38" s="176" customFormat="1" ht="15" customHeight="1" x14ac:dyDescent="0.45">
      <c r="B93" s="1942"/>
      <c r="C93" s="1945"/>
      <c r="D93" s="1913" t="str">
        <f ca="1">IF(G87&gt;0,CONCATENATE(IFERROR(CONCATENATE(IF(INDEX(display_intervals_breakdown,((WEEKDAY(E$3,2)*2-1)+IF(E87="Morning",0,1)),D87)="","",CONCATENATE("Intervals/Reps Breakdown: 
",INDEX(display_intervals_breakdown,((WEEKDAY(E$3,2)*2-1)+IF(E87="Morning",0,1)),D87),"
")),"Session Description: 
",CONCATENATE(IF(INDEX(final_duration_secondary,((WEEKDAY(E$3,2)*2-1)+IF(E87="Morning",0,1)),D87)=0,"","1. "),
INDEX(sessions_description_primary,,INDEX(plan_session_allocation,((WEEKDAY(E$3,2)*2-1)+IF(E87="Morning",0,1)),D87)),IF(INDEX(final_duration_secondary,((WEEKDAY(E$3,2)*2-1)+IF(E87="Morning",0,1)),D87)=0,"","
2. "),
IF(INDEX(final_duration_secondary,((WEEKDAY(E$3,2)*2-1)+IF(E87="Morning",0,1)),D87)=0,"",INDEX(sessions_description_secondary,,INDEX(plan_session_allocation,((WEEKDAY(E$3,2)*2-1)+IF(E87="Morning",0,1)),D87))),IF(INDEX(final_duration_tertiary,((WEEKDAY(E$3,2)*2-1)+IF(E87="Morning",0,1)),D87)=0,"","
3. "),
IF(INDEX(final_duration_tertiary,((WEEKDAY(E$3,2)*2-1)+IF(E87="Morning",0,1)),D87)="","",INDEX(sessions_description_tertiary,,INDEX(plan_session_allocation,((WEEKDAY(E$3,2)*2-1)+IF(E87="Morning",0,1)),D87))),
IF(INDEX(display_nutrition_description,((WEEKDAY(E$3,2)*2-1)+IF(E87="Morning",0,1)),D87)="","",
CONCATENATE("
Meal Plan: ", INDEX(sessions_nutrition,,INDEX(plan_session_allocation,((WEEKDAY(E$3,2)*2-1)+IF(E87="Morning",0,1)),D87)), "
", INDEX(display_nutrition_description,((WEEKDAY(E$3,2)*2-1)+IF(E87="Morning",0,1)),D87)))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3" s="1914"/>
      <c r="F93" s="1914"/>
      <c r="G93" s="1915"/>
      <c r="H93" s="177"/>
      <c r="I93" s="1913" t="str">
        <f ca="1">IF(L87&gt;0,CONCATENATE(IFERROR(CONCATENATE(IF(INDEX(display_intervals_breakdown,((WEEKDAY(J$3,2)*2-1)+IF(J87="Morning",0,1)),I87)="","",CONCATENATE("Intervals/Reps Breakdown: 
",INDEX(display_intervals_breakdown,((WEEKDAY(J$3,2)*2-1)+IF(J87="Morning",0,1)),I87),"
")),"Session Description: 
",CONCATENATE(IF(INDEX(final_duration_secondary,((WEEKDAY(J$3,2)*2-1)+IF(J87="Morning",0,1)),I87)=0,"","1. "),
INDEX(sessions_description_primary,,INDEX(plan_session_allocation,((WEEKDAY(J$3,2)*2-1)+IF(J87="Morning",0,1)),I87)),IF(INDEX(final_duration_secondary,((WEEKDAY(J$3,2)*2-1)+IF(J87="Morning",0,1)),I87)=0,"","
2. "),
IF(INDEX(final_duration_secondary,((WEEKDAY(J$3,2)*2-1)+IF(J87="Morning",0,1)),I87)=0,"",INDEX(sessions_description_secondary,,INDEX(plan_session_allocation,((WEEKDAY(J$3,2)*2-1)+IF(J87="Morning",0,1)),I87))),IF(INDEX(final_duration_tertiary,((WEEKDAY(J$3,2)*2-1)+IF(J87="Morning",0,1)),I87)=0,"","
3. "),
IF(INDEX(final_duration_tertiary,((WEEKDAY(J$3,2)*2-1)+IF(J87="Morning",0,1)),I87)="","",INDEX(sessions_description_tertiary,,INDEX(plan_session_allocation,((WEEKDAY(J$3,2)*2-1)+IF(J87="Morning",0,1)),I87))),
IF(INDEX(display_nutrition_description,((WEEKDAY(J$3,2)*2-1)+IF(J87="Morning",0,1)),I87)="","",
CONCATENATE("
Meal Plan: ", INDEX(sessions_nutrition,,INDEX(plan_session_allocation,((WEEKDAY(J$3,2)*2-1)+IF(J87="Morning",0,1)),I87)), "
", INDEX(display_nutrition_description,((WEEKDAY(J$3,2)*2-1)+IF(J87="Morning",0,1)),I87)))
)),"")),"")</f>
        <v>Session Description: 
Accelerate to a fast pace which you should be able to hold for 50 minutes in a race situation. This will take concentration, but it's important to keep the intensity even, so do not start too hard. Warm up and warm down for 10 minutes each.</v>
      </c>
      <c r="J93" s="1914"/>
      <c r="K93" s="1914"/>
      <c r="L93" s="1915"/>
      <c r="M93" s="177"/>
      <c r="N93" s="1913" t="str">
        <f ca="1">IF(Q87&gt;0,CONCATENATE(IFERROR(CONCATENATE(IF(INDEX(display_intervals_breakdown,((WEEKDAY(O$3,2)*2-1)+IF(O87="Morning",0,1)),N87)="","",CONCATENATE("Intervals/Reps Breakdown: 
",INDEX(display_intervals_breakdown,((WEEKDAY(O$3,2)*2-1)+IF(O87="Morning",0,1)),N87),"
")),"Session Description: 
",CONCATENATE(IF(INDEX(final_duration_secondary,((WEEKDAY(O$3,2)*2-1)+IF(O87="Morning",0,1)),N87)=0,"","1. "),
INDEX(sessions_description_primary,,INDEX(plan_session_allocation,((WEEKDAY(O$3,2)*2-1)+IF(O87="Morning",0,1)),N87)),IF(INDEX(final_duration_secondary,((WEEKDAY(O$3,2)*2-1)+IF(O87="Morning",0,1)),N87)=0,"","
2. "),
IF(INDEX(final_duration_secondary,((WEEKDAY(O$3,2)*2-1)+IF(O87="Morning",0,1)),N87)=0,"",INDEX(sessions_description_secondary,,INDEX(plan_session_allocation,((WEEKDAY(O$3,2)*2-1)+IF(O87="Morning",0,1)),N87))),IF(INDEX(final_duration_tertiary,((WEEKDAY(O$3,2)*2-1)+IF(O87="Morning",0,1)),N87)=0,"","
3. "),
IF(INDEX(final_duration_tertiary,((WEEKDAY(O$3,2)*2-1)+IF(O87="Morning",0,1)),N87)="","",INDEX(sessions_description_tertiary,,INDEX(plan_session_allocation,((WEEKDAY(O$3,2)*2-1)+IF(O87="Morning",0,1)),N87))),
IF(INDEX(display_nutrition_description,((WEEKDAY(O$3,2)*2-1)+IF(O87="Morning",0,1)),N87)="","",
CONCATENATE("
Meal Plan: ", INDEX(sessions_nutrition,,INDEX(plan_session_allocation,((WEEKDAY(O$3,2)*2-1)+IF(O87="Morning",0,1)),N87)), "
", INDEX(display_nutrition_description,((WEEKDAY(O$3,2)*2-1)+IF(O87="Morning",0,1)),N87)))
)),"")),"")</f>
        <v>Session Description: 
Stay at a comfortable and controlled intensity where you should be able to have a conversation without large pauses. Keep an even intensity and accept that your pace may change as the terrain changes.</v>
      </c>
      <c r="O93" s="1914"/>
      <c r="P93" s="1914"/>
      <c r="Q93" s="1915"/>
      <c r="R93" s="177"/>
      <c r="S93" s="1913" t="str">
        <f ca="1">IF(V87&gt;0,CONCATENATE(IFERROR(CONCATENATE(IF(INDEX(display_intervals_breakdown,((WEEKDAY(T$3,2)*2-1)+IF(T87="Morning",0,1)),S87)="","",CONCATENATE("Intervals/Reps Breakdown: 
",INDEX(display_intervals_breakdown,((WEEKDAY(T$3,2)*2-1)+IF(T87="Morning",0,1)),S87),"
")),"Session Description: 
",CONCATENATE(IF(INDEX(final_duration_secondary,((WEEKDAY(T$3,2)*2-1)+IF(T87="Morning",0,1)),S87)=0,"","1. "),
INDEX(sessions_description_primary,,INDEX(plan_session_allocation,((WEEKDAY(T$3,2)*2-1)+IF(T87="Morning",0,1)),S87)),IF(INDEX(final_duration_secondary,((WEEKDAY(T$3,2)*2-1)+IF(T87="Morning",0,1)),S87)=0,"","
2. "),
IF(INDEX(final_duration_secondary,((WEEKDAY(T$3,2)*2-1)+IF(T87="Morning",0,1)),S87)=0,"",INDEX(sessions_description_secondary,,INDEX(plan_session_allocation,((WEEKDAY(T$3,2)*2-1)+IF(T87="Morning",0,1)),S87))),IF(INDEX(final_duration_tertiary,((WEEKDAY(T$3,2)*2-1)+IF(T87="Morning",0,1)),S87)=0,"","
3. "),
IF(INDEX(final_duration_tertiary,((WEEKDAY(T$3,2)*2-1)+IF(T87="Morning",0,1)),S87)="","",INDEX(sessions_description_tertiary,,INDEX(plan_session_allocation,((WEEKDAY(T$3,2)*2-1)+IF(T87="Morning",0,1)),S87))),
IF(INDEX(display_nutrition_description,((WEEKDAY(T$3,2)*2-1)+IF(T87="Morning",0,1)),S87)="","",
CONCATENATE("
Meal Plan: ", INDEX(sessions_nutrition,,INDEX(plan_session_allocation,((WEEKDAY(T$3,2)*2-1)+IF(T87="Morning",0,1)),S87)), "
", INDEX(display_nutrition_description,((WEEKDAY(T$3,2)*2-1)+IF(T87="Morning",0,1)),S87)))
)),"")),"")</f>
        <v>Session Description: 
Stay at a comfortable and controlled intensity where you should be able to have a conversation without large pauses. Keep an even intensity and accept that your pace may change as the terrain changes.</v>
      </c>
      <c r="T93" s="1914"/>
      <c r="U93" s="1914"/>
      <c r="V93" s="1915"/>
      <c r="W93" s="177"/>
      <c r="X93" s="1913" t="str">
        <f ca="1">IF(AA87&gt;0,CONCATENATE(IFERROR(CONCATENATE(IF(INDEX(display_intervals_breakdown,((WEEKDAY(Y$3,2)*2-1)+IF(Y87="Morning",0,1)),X87)="","",CONCATENATE("Intervals/Reps Breakdown: 
",INDEX(display_intervals_breakdown,((WEEKDAY(Y$3,2)*2-1)+IF(Y87="Morning",0,1)),X87),"
")),"Session Description: 
",CONCATENATE(IF(INDEX(final_duration_secondary,((WEEKDAY(Y$3,2)*2-1)+IF(Y87="Morning",0,1)),X87)=0,"","1. "),
INDEX(sessions_description_primary,,INDEX(plan_session_allocation,((WEEKDAY(Y$3,2)*2-1)+IF(Y87="Morning",0,1)),X87)),IF(INDEX(final_duration_secondary,((WEEKDAY(Y$3,2)*2-1)+IF(Y87="Morning",0,1)),X87)=0,"","
2. "),
IF(INDEX(final_duration_secondary,((WEEKDAY(Y$3,2)*2-1)+IF(Y87="Morning",0,1)),X87)=0,"",INDEX(sessions_description_secondary,,INDEX(plan_session_allocation,((WEEKDAY(Y$3,2)*2-1)+IF(Y87="Morning",0,1)),X87))),IF(INDEX(final_duration_tertiary,((WEEKDAY(Y$3,2)*2-1)+IF(Y87="Morning",0,1)),X87)=0,"","
3. "),
IF(INDEX(final_duration_tertiary,((WEEKDAY(Y$3,2)*2-1)+IF(Y87="Morning",0,1)),X87)="","",INDEX(sessions_description_tertiary,,INDEX(plan_session_allocation,((WEEKDAY(Y$3,2)*2-1)+IF(Y87="Morning",0,1)),X87))),
IF(INDEX(display_nutrition_description,((WEEKDAY(Y$3,2)*2-1)+IF(Y87="Morning",0,1)),X87)="","",
CONCATENATE("
Meal Plan: ", INDEX(sessions_nutrition,,INDEX(plan_session_allocation,((WEEKDAY(Y$3,2)*2-1)+IF(Y87="Morning",0,1)),X87)), "
", INDEX(display_nutrition_description,((WEEKDAY(Y$3,2)*2-1)+IF(Y87="Morning",0,1)),X87)))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93" s="1914"/>
      <c r="Z93" s="1914"/>
      <c r="AA93" s="1915"/>
      <c r="AB93" s="177"/>
      <c r="AC93" s="1913" t="str">
        <f ca="1">IF(AF87&gt;0,CONCATENATE(IFERROR(CONCATENATE(IF(INDEX(display_intervals_breakdown,((WEEKDAY(AD$3,2)*2-1)+IF(AD87="Morning",0,1)),AC87)="","",CONCATENATE("Intervals/Reps Breakdown: 
",INDEX(display_intervals_breakdown,((WEEKDAY(AD$3,2)*2-1)+IF(AD87="Morning",0,1)),AC87),"
")),"Session Description: 
",CONCATENATE(IF(INDEX(final_duration_secondary,((WEEKDAY(AD$3,2)*2-1)+IF(AD87="Morning",0,1)),AC87)=0,"","1. "),
INDEX(sessions_description_primary,,INDEX(plan_session_allocation,((WEEKDAY(AD$3,2)*2-1)+IF(AD87="Morning",0,1)),AC87)),IF(INDEX(final_duration_secondary,((WEEKDAY(AD$3,2)*2-1)+IF(AD87="Morning",0,1)),AC87)=0,"","
2. "),
IF(INDEX(final_duration_secondary,((WEEKDAY(AD$3,2)*2-1)+IF(AD87="Morning",0,1)),AC87)=0,"",INDEX(sessions_description_secondary,,INDEX(plan_session_allocation,((WEEKDAY(AD$3,2)*2-1)+IF(AD87="Morning",0,1)),AC87))),IF(INDEX(final_duration_tertiary,((WEEKDAY(AD$3,2)*2-1)+IF(AD87="Morning",0,1)),AC87)=0,"","
3. "),
IF(INDEX(final_duration_tertiary,((WEEKDAY(AD$3,2)*2-1)+IF(AD87="Morning",0,1)),AC87)="","",INDEX(sessions_description_tertiary,,INDEX(plan_session_allocation,((WEEKDAY(AD$3,2)*2-1)+IF(AD87="Morning",0,1)),AC87))),
IF(INDEX(display_nutrition_description,((WEEKDAY(AD$3,2)*2-1)+IF(AD87="Morning",0,1)),AC87)="","",
CONCATENATE("
Meal Plan: ", INDEX(sessions_nutrition,,INDEX(plan_session_allocation,((WEEKDAY(AD$3,2)*2-1)+IF(AD87="Morning",0,1)),AC87)), "
", INDEX(display_nutrition_description,((WEEKDAY(AD$3,2)*2-1)+IF(AD87="Morning",0,1)),AC87)))
)),"")),"")</f>
        <v>Session Description: 
Stay at a comfortable and controlled intensity where you should be able to have a conversation without large pauses. Keep an even intensity and accept that your pace may change as the terrain changes.</v>
      </c>
      <c r="AD93" s="1914"/>
      <c r="AE93" s="1914"/>
      <c r="AF93" s="1915"/>
      <c r="AG93" s="177"/>
      <c r="AH93" s="1913" t="str">
        <f ca="1">IF(AK87&gt;0,CONCATENATE(IFERROR(CONCATENATE(IF(INDEX(display_intervals_breakdown,((WEEKDAY(AI$3,2)*2-1)+IF(AI87="Morning",0,1)),AH87)="","",CONCATENATE("Intervals/Reps Breakdown: 
",INDEX(display_intervals_breakdown,((WEEKDAY(AI$3,2)*2-1)+IF(AI87="Morning",0,1)),AH87),"
")),"Session Description: 
",CONCATENATE(IF(INDEX(final_duration_secondary,((WEEKDAY(AI$3,2)*2-1)+IF(AI87="Morning",0,1)),AH87)=0,"","1. "),
INDEX(sessions_description_primary,,INDEX(plan_session_allocation,((WEEKDAY(AI$3,2)*2-1)+IF(AI87="Morning",0,1)),AH87)),IF(INDEX(final_duration_secondary,((WEEKDAY(AI$3,2)*2-1)+IF(AI87="Morning",0,1)),AH87)=0,"","
2. "),
IF(INDEX(final_duration_secondary,((WEEKDAY(AI$3,2)*2-1)+IF(AI87="Morning",0,1)),AH87)=0,"",INDEX(sessions_description_secondary,,INDEX(plan_session_allocation,((WEEKDAY(AI$3,2)*2-1)+IF(AI87="Morning",0,1)),AH87))),IF(INDEX(final_duration_tertiary,((WEEKDAY(AI$3,2)*2-1)+IF(AI87="Morning",0,1)),AH87)=0,"","
3. "),
IF(INDEX(final_duration_tertiary,((WEEKDAY(AI$3,2)*2-1)+IF(AI87="Morning",0,1)),AH87)="","",INDEX(sessions_description_tertiary,,INDEX(plan_session_allocation,((WEEKDAY(AI$3,2)*2-1)+IF(AI87="Morning",0,1)),AH87))),
IF(INDEX(display_nutrition_description,((WEEKDAY(AI$3,2)*2-1)+IF(AI87="Morning",0,1)),AH87)="","",
CONCATENATE("
Meal Plan: ", INDEX(sessions_nutrition,,INDEX(plan_session_allocation,((WEEKDAY(AI$3,2)*2-1)+IF(AI87="Morning",0,1)),AH87)), "
", INDEX(display_nutrition_description,((WEEKDAY(AI$3,2)*2-1)+IF(AI87="Morning",0,1)),AH87)))
)),"")),"")</f>
        <v/>
      </c>
      <c r="AI93" s="1914"/>
      <c r="AJ93" s="1914"/>
      <c r="AK93" s="1915"/>
      <c r="AL93" s="177"/>
    </row>
    <row r="94" spans="2:38" s="176" customFormat="1" ht="15" customHeight="1" x14ac:dyDescent="0.45">
      <c r="B94" s="1942"/>
      <c r="C94" s="1945"/>
      <c r="D94" s="1916"/>
      <c r="E94" s="1917"/>
      <c r="F94" s="1917"/>
      <c r="G94" s="1918"/>
      <c r="H94" s="177"/>
      <c r="I94" s="1916"/>
      <c r="J94" s="1917"/>
      <c r="K94" s="1917"/>
      <c r="L94" s="1918"/>
      <c r="M94" s="177"/>
      <c r="N94" s="1916"/>
      <c r="O94" s="1917"/>
      <c r="P94" s="1917"/>
      <c r="Q94" s="1918"/>
      <c r="R94" s="177"/>
      <c r="S94" s="1916"/>
      <c r="T94" s="1917"/>
      <c r="U94" s="1917"/>
      <c r="V94" s="1918"/>
      <c r="W94" s="177"/>
      <c r="X94" s="1916"/>
      <c r="Y94" s="1917"/>
      <c r="Z94" s="1917"/>
      <c r="AA94" s="1918"/>
      <c r="AB94" s="177"/>
      <c r="AC94" s="1916"/>
      <c r="AD94" s="1917"/>
      <c r="AE94" s="1917"/>
      <c r="AF94" s="1918"/>
      <c r="AG94" s="177"/>
      <c r="AH94" s="1916"/>
      <c r="AI94" s="1917"/>
      <c r="AJ94" s="1917"/>
      <c r="AK94" s="1918"/>
      <c r="AL94" s="177"/>
    </row>
    <row r="95" spans="2:38" s="176" customFormat="1" ht="15" customHeight="1" x14ac:dyDescent="0.45">
      <c r="B95" s="1942"/>
      <c r="C95" s="1945"/>
      <c r="D95" s="1916"/>
      <c r="E95" s="1917"/>
      <c r="F95" s="1917"/>
      <c r="G95" s="1918"/>
      <c r="H95" s="177"/>
      <c r="I95" s="1916"/>
      <c r="J95" s="1917"/>
      <c r="K95" s="1917"/>
      <c r="L95" s="1918"/>
      <c r="M95" s="177"/>
      <c r="N95" s="1916"/>
      <c r="O95" s="1917"/>
      <c r="P95" s="1917"/>
      <c r="Q95" s="1918"/>
      <c r="R95" s="177"/>
      <c r="S95" s="1916"/>
      <c r="T95" s="1917"/>
      <c r="U95" s="1917"/>
      <c r="V95" s="1918"/>
      <c r="W95" s="177"/>
      <c r="X95" s="1916"/>
      <c r="Y95" s="1917"/>
      <c r="Z95" s="1917"/>
      <c r="AA95" s="1918"/>
      <c r="AB95" s="177"/>
      <c r="AC95" s="1916"/>
      <c r="AD95" s="1917"/>
      <c r="AE95" s="1917"/>
      <c r="AF95" s="1918"/>
      <c r="AG95" s="177"/>
      <c r="AH95" s="1916"/>
      <c r="AI95" s="1917"/>
      <c r="AJ95" s="1917"/>
      <c r="AK95" s="1918"/>
      <c r="AL95" s="177"/>
    </row>
    <row r="96" spans="2:38" s="176" customFormat="1" x14ac:dyDescent="0.45">
      <c r="B96" s="1942"/>
      <c r="C96" s="1945"/>
      <c r="D96" s="1916"/>
      <c r="E96" s="1917"/>
      <c r="F96" s="1917"/>
      <c r="G96" s="1918"/>
      <c r="H96" s="177"/>
      <c r="I96" s="1916"/>
      <c r="J96" s="1917"/>
      <c r="K96" s="1917"/>
      <c r="L96" s="1918"/>
      <c r="M96" s="177"/>
      <c r="N96" s="1916"/>
      <c r="O96" s="1917"/>
      <c r="P96" s="1917"/>
      <c r="Q96" s="1918"/>
      <c r="R96" s="177"/>
      <c r="S96" s="1916"/>
      <c r="T96" s="1917"/>
      <c r="U96" s="1917"/>
      <c r="V96" s="1918"/>
      <c r="W96" s="177"/>
      <c r="X96" s="1916"/>
      <c r="Y96" s="1917"/>
      <c r="Z96" s="1917"/>
      <c r="AA96" s="1918"/>
      <c r="AB96" s="177"/>
      <c r="AC96" s="1916"/>
      <c r="AD96" s="1917"/>
      <c r="AE96" s="1917"/>
      <c r="AF96" s="1918"/>
      <c r="AG96" s="177"/>
      <c r="AH96" s="1916"/>
      <c r="AI96" s="1917"/>
      <c r="AJ96" s="1917"/>
      <c r="AK96" s="1918"/>
      <c r="AL96" s="177"/>
    </row>
    <row r="97" spans="2:38" s="176" customFormat="1" x14ac:dyDescent="0.45">
      <c r="B97" s="1942"/>
      <c r="C97" s="1945"/>
      <c r="D97" s="1916"/>
      <c r="E97" s="1917"/>
      <c r="F97" s="1917"/>
      <c r="G97" s="1918"/>
      <c r="H97" s="177"/>
      <c r="I97" s="1916"/>
      <c r="J97" s="1917"/>
      <c r="K97" s="1917"/>
      <c r="L97" s="1918"/>
      <c r="M97" s="177"/>
      <c r="N97" s="1916"/>
      <c r="O97" s="1917"/>
      <c r="P97" s="1917"/>
      <c r="Q97" s="1918"/>
      <c r="R97" s="177"/>
      <c r="S97" s="1916"/>
      <c r="T97" s="1917"/>
      <c r="U97" s="1917"/>
      <c r="V97" s="1918"/>
      <c r="W97" s="177"/>
      <c r="X97" s="1916"/>
      <c r="Y97" s="1917"/>
      <c r="Z97" s="1917"/>
      <c r="AA97" s="1918"/>
      <c r="AB97" s="177"/>
      <c r="AC97" s="1916"/>
      <c r="AD97" s="1917"/>
      <c r="AE97" s="1917"/>
      <c r="AF97" s="1918"/>
      <c r="AG97" s="177"/>
      <c r="AH97" s="1916"/>
      <c r="AI97" s="1917"/>
      <c r="AJ97" s="1917"/>
      <c r="AK97" s="1918"/>
      <c r="AL97" s="177"/>
    </row>
    <row r="98" spans="2:38" s="176" customFormat="1" x14ac:dyDescent="0.45">
      <c r="B98" s="1942"/>
      <c r="C98" s="1945"/>
      <c r="D98" s="1916"/>
      <c r="E98" s="1917"/>
      <c r="F98" s="1917"/>
      <c r="G98" s="1918"/>
      <c r="H98" s="177"/>
      <c r="I98" s="1916"/>
      <c r="J98" s="1917"/>
      <c r="K98" s="1917"/>
      <c r="L98" s="1918"/>
      <c r="M98" s="177"/>
      <c r="N98" s="1916"/>
      <c r="O98" s="1917"/>
      <c r="P98" s="1917"/>
      <c r="Q98" s="1918"/>
      <c r="R98" s="177"/>
      <c r="S98" s="1916"/>
      <c r="T98" s="1917"/>
      <c r="U98" s="1917"/>
      <c r="V98" s="1918"/>
      <c r="W98" s="177"/>
      <c r="X98" s="1916"/>
      <c r="Y98" s="1917"/>
      <c r="Z98" s="1917"/>
      <c r="AA98" s="1918"/>
      <c r="AB98" s="177"/>
      <c r="AC98" s="1916"/>
      <c r="AD98" s="1917"/>
      <c r="AE98" s="1917"/>
      <c r="AF98" s="1918"/>
      <c r="AG98" s="177"/>
      <c r="AH98" s="1916"/>
      <c r="AI98" s="1917"/>
      <c r="AJ98" s="1917"/>
      <c r="AK98" s="1918"/>
      <c r="AL98" s="177"/>
    </row>
    <row r="99" spans="2:38" s="176" customFormat="1" ht="15" customHeight="1" x14ac:dyDescent="0.45">
      <c r="B99" s="1942"/>
      <c r="C99" s="1945"/>
      <c r="D99" s="1916"/>
      <c r="E99" s="1917"/>
      <c r="F99" s="1917"/>
      <c r="G99" s="1918"/>
      <c r="H99" s="177"/>
      <c r="I99" s="1916"/>
      <c r="J99" s="1917"/>
      <c r="K99" s="1917"/>
      <c r="L99" s="1918"/>
      <c r="M99" s="177"/>
      <c r="N99" s="1916"/>
      <c r="O99" s="1917"/>
      <c r="P99" s="1917"/>
      <c r="Q99" s="1918"/>
      <c r="R99" s="177"/>
      <c r="S99" s="1916"/>
      <c r="T99" s="1917"/>
      <c r="U99" s="1917"/>
      <c r="V99" s="1918"/>
      <c r="W99" s="177"/>
      <c r="X99" s="1916"/>
      <c r="Y99" s="1917"/>
      <c r="Z99" s="1917"/>
      <c r="AA99" s="1918"/>
      <c r="AB99" s="177"/>
      <c r="AC99" s="1916"/>
      <c r="AD99" s="1917"/>
      <c r="AE99" s="1917"/>
      <c r="AF99" s="1918"/>
      <c r="AG99" s="177"/>
      <c r="AH99" s="1916"/>
      <c r="AI99" s="1917"/>
      <c r="AJ99" s="1917"/>
      <c r="AK99" s="1918"/>
      <c r="AL99" s="177"/>
    </row>
    <row r="100" spans="2:38" s="176" customFormat="1" ht="15" customHeight="1" x14ac:dyDescent="0.45">
      <c r="B100" s="1942"/>
      <c r="C100" s="1945"/>
      <c r="D100" s="1916"/>
      <c r="E100" s="1917"/>
      <c r="F100" s="1917"/>
      <c r="G100" s="1918"/>
      <c r="H100" s="177"/>
      <c r="I100" s="1916"/>
      <c r="J100" s="1917"/>
      <c r="K100" s="1917"/>
      <c r="L100" s="1918"/>
      <c r="M100" s="177"/>
      <c r="N100" s="1916"/>
      <c r="O100" s="1917"/>
      <c r="P100" s="1917"/>
      <c r="Q100" s="1918"/>
      <c r="R100" s="177"/>
      <c r="S100" s="1916"/>
      <c r="T100" s="1917"/>
      <c r="U100" s="1917"/>
      <c r="V100" s="1918"/>
      <c r="W100" s="177"/>
      <c r="X100" s="1916"/>
      <c r="Y100" s="1917"/>
      <c r="Z100" s="1917"/>
      <c r="AA100" s="1918"/>
      <c r="AB100" s="177"/>
      <c r="AC100" s="1916"/>
      <c r="AD100" s="1917"/>
      <c r="AE100" s="1917"/>
      <c r="AF100" s="1918"/>
      <c r="AG100" s="177"/>
      <c r="AH100" s="1916"/>
      <c r="AI100" s="1917"/>
      <c r="AJ100" s="1917"/>
      <c r="AK100" s="1918"/>
      <c r="AL100" s="177"/>
    </row>
    <row r="101" spans="2:38" s="176" customFormat="1" x14ac:dyDescent="0.45">
      <c r="B101" s="1942"/>
      <c r="C101" s="1945"/>
      <c r="D101" s="1916"/>
      <c r="E101" s="1917"/>
      <c r="F101" s="1917"/>
      <c r="G101" s="1918"/>
      <c r="H101" s="177"/>
      <c r="I101" s="1916"/>
      <c r="J101" s="1917"/>
      <c r="K101" s="1917"/>
      <c r="L101" s="1918"/>
      <c r="M101" s="177"/>
      <c r="N101" s="1916"/>
      <c r="O101" s="1917"/>
      <c r="P101" s="1917"/>
      <c r="Q101" s="1918"/>
      <c r="R101" s="177"/>
      <c r="S101" s="1916"/>
      <c r="T101" s="1917"/>
      <c r="U101" s="1917"/>
      <c r="V101" s="1918"/>
      <c r="W101" s="177"/>
      <c r="X101" s="1916"/>
      <c r="Y101" s="1917"/>
      <c r="Z101" s="1917"/>
      <c r="AA101" s="1918"/>
      <c r="AB101" s="177"/>
      <c r="AC101" s="1916"/>
      <c r="AD101" s="1917"/>
      <c r="AE101" s="1917"/>
      <c r="AF101" s="1918"/>
      <c r="AG101" s="177"/>
      <c r="AH101" s="1916"/>
      <c r="AI101" s="1917"/>
      <c r="AJ101" s="1917"/>
      <c r="AK101" s="1918"/>
      <c r="AL101" s="177"/>
    </row>
    <row r="102" spans="2:38" s="176" customFormat="1" x14ac:dyDescent="0.45">
      <c r="B102" s="1942"/>
      <c r="C102" s="1945"/>
      <c r="D102" s="1916"/>
      <c r="E102" s="1917"/>
      <c r="F102" s="1917"/>
      <c r="G102" s="1918"/>
      <c r="H102" s="177"/>
      <c r="I102" s="1916"/>
      <c r="J102" s="1917"/>
      <c r="K102" s="1917"/>
      <c r="L102" s="1918"/>
      <c r="M102" s="177"/>
      <c r="N102" s="1916"/>
      <c r="O102" s="1917"/>
      <c r="P102" s="1917"/>
      <c r="Q102" s="1918"/>
      <c r="R102" s="177"/>
      <c r="S102" s="1916"/>
      <c r="T102" s="1917"/>
      <c r="U102" s="1917"/>
      <c r="V102" s="1918"/>
      <c r="W102" s="177"/>
      <c r="X102" s="1916"/>
      <c r="Y102" s="1917"/>
      <c r="Z102" s="1917"/>
      <c r="AA102" s="1918"/>
      <c r="AB102" s="177"/>
      <c r="AC102" s="1916"/>
      <c r="AD102" s="1917"/>
      <c r="AE102" s="1917"/>
      <c r="AF102" s="1918"/>
      <c r="AG102" s="177"/>
      <c r="AH102" s="1916"/>
      <c r="AI102" s="1917"/>
      <c r="AJ102" s="1917"/>
      <c r="AK102" s="1918"/>
      <c r="AL102" s="177"/>
    </row>
    <row r="103" spans="2:38" s="176" customFormat="1" x14ac:dyDescent="0.45">
      <c r="B103" s="1942"/>
      <c r="C103" s="1945"/>
      <c r="D103" s="1916"/>
      <c r="E103" s="1917"/>
      <c r="F103" s="1917"/>
      <c r="G103" s="1918"/>
      <c r="H103" s="177"/>
      <c r="I103" s="1916"/>
      <c r="J103" s="1917"/>
      <c r="K103" s="1917"/>
      <c r="L103" s="1918"/>
      <c r="M103" s="177"/>
      <c r="N103" s="1916"/>
      <c r="O103" s="1917"/>
      <c r="P103" s="1917"/>
      <c r="Q103" s="1918"/>
      <c r="R103" s="177"/>
      <c r="S103" s="1916"/>
      <c r="T103" s="1917"/>
      <c r="U103" s="1917"/>
      <c r="V103" s="1918"/>
      <c r="W103" s="177"/>
      <c r="X103" s="1916"/>
      <c r="Y103" s="1917"/>
      <c r="Z103" s="1917"/>
      <c r="AA103" s="1918"/>
      <c r="AB103" s="177"/>
      <c r="AC103" s="1916"/>
      <c r="AD103" s="1917"/>
      <c r="AE103" s="1917"/>
      <c r="AF103" s="1918"/>
      <c r="AG103" s="177"/>
      <c r="AH103" s="1916"/>
      <c r="AI103" s="1917"/>
      <c r="AJ103" s="1917"/>
      <c r="AK103" s="1918"/>
      <c r="AL103" s="177"/>
    </row>
    <row r="104" spans="2:38" s="176" customFormat="1" x14ac:dyDescent="0.45">
      <c r="B104" s="1942"/>
      <c r="C104" s="1945"/>
      <c r="D104" s="1916"/>
      <c r="E104" s="1917"/>
      <c r="F104" s="1917"/>
      <c r="G104" s="1918"/>
      <c r="H104" s="177"/>
      <c r="I104" s="1916"/>
      <c r="J104" s="1917"/>
      <c r="K104" s="1917"/>
      <c r="L104" s="1918"/>
      <c r="M104" s="177"/>
      <c r="N104" s="1916"/>
      <c r="O104" s="1917"/>
      <c r="P104" s="1917"/>
      <c r="Q104" s="1918"/>
      <c r="R104" s="177"/>
      <c r="S104" s="1916"/>
      <c r="T104" s="1917"/>
      <c r="U104" s="1917"/>
      <c r="V104" s="1918"/>
      <c r="W104" s="177"/>
      <c r="X104" s="1916"/>
      <c r="Y104" s="1917"/>
      <c r="Z104" s="1917"/>
      <c r="AA104" s="1918"/>
      <c r="AB104" s="177"/>
      <c r="AC104" s="1916"/>
      <c r="AD104" s="1917"/>
      <c r="AE104" s="1917"/>
      <c r="AF104" s="1918"/>
      <c r="AG104" s="177"/>
      <c r="AH104" s="1916"/>
      <c r="AI104" s="1917"/>
      <c r="AJ104" s="1917"/>
      <c r="AK104" s="1918"/>
      <c r="AL104" s="177"/>
    </row>
    <row r="105" spans="2:38" s="176" customFormat="1" x14ac:dyDescent="0.45">
      <c r="B105" s="1942"/>
      <c r="C105" s="1945"/>
      <c r="D105" s="1916"/>
      <c r="E105" s="1917"/>
      <c r="F105" s="1917"/>
      <c r="G105" s="1918"/>
      <c r="H105" s="177"/>
      <c r="I105" s="1916"/>
      <c r="J105" s="1917"/>
      <c r="K105" s="1917"/>
      <c r="L105" s="1918"/>
      <c r="M105" s="177"/>
      <c r="N105" s="1916"/>
      <c r="O105" s="1917"/>
      <c r="P105" s="1917"/>
      <c r="Q105" s="1918"/>
      <c r="R105" s="177"/>
      <c r="S105" s="1916"/>
      <c r="T105" s="1917"/>
      <c r="U105" s="1917"/>
      <c r="V105" s="1918"/>
      <c r="W105" s="177"/>
      <c r="X105" s="1916"/>
      <c r="Y105" s="1917"/>
      <c r="Z105" s="1917"/>
      <c r="AA105" s="1918"/>
      <c r="AB105" s="177"/>
      <c r="AC105" s="1916"/>
      <c r="AD105" s="1917"/>
      <c r="AE105" s="1917"/>
      <c r="AF105" s="1918"/>
      <c r="AG105" s="177"/>
      <c r="AH105" s="1916"/>
      <c r="AI105" s="1917"/>
      <c r="AJ105" s="1917"/>
      <c r="AK105" s="1918"/>
      <c r="AL105" s="177"/>
    </row>
    <row r="106" spans="2:38" s="176" customFormat="1" ht="15" customHeight="1" x14ac:dyDescent="0.45">
      <c r="B106" s="1942"/>
      <c r="C106" s="1945"/>
      <c r="D106" s="1919"/>
      <c r="E106" s="1920"/>
      <c r="F106" s="1920"/>
      <c r="G106" s="1921"/>
      <c r="H106" s="177"/>
      <c r="I106" s="1919"/>
      <c r="J106" s="1920"/>
      <c r="K106" s="1920"/>
      <c r="L106" s="1921"/>
      <c r="M106" s="177"/>
      <c r="N106" s="1919"/>
      <c r="O106" s="1920"/>
      <c r="P106" s="1920"/>
      <c r="Q106" s="1921"/>
      <c r="R106" s="177"/>
      <c r="S106" s="1919"/>
      <c r="T106" s="1920"/>
      <c r="U106" s="1920"/>
      <c r="V106" s="1921"/>
      <c r="W106" s="177"/>
      <c r="X106" s="1919"/>
      <c r="Y106" s="1920"/>
      <c r="Z106" s="1920"/>
      <c r="AA106" s="1921"/>
      <c r="AB106" s="177"/>
      <c r="AC106" s="1919"/>
      <c r="AD106" s="1920"/>
      <c r="AE106" s="1920"/>
      <c r="AF106" s="1921"/>
      <c r="AG106" s="177"/>
      <c r="AH106" s="1919"/>
      <c r="AI106" s="1920"/>
      <c r="AJ106" s="1920"/>
      <c r="AK106" s="1921"/>
      <c r="AL106" s="177"/>
    </row>
    <row r="107" spans="2:38" s="176" customFormat="1" ht="15" customHeight="1" x14ac:dyDescent="0.45">
      <c r="B107" s="1942"/>
      <c r="C107" s="1945"/>
      <c r="D107" s="1913" t="str">
        <f ca="1">IF(G87&gt;0,CONCATENATE("Session Aim: 
", CONCATENATE(IF(INDEX(final_duration_secondary,((WEEKDAY(E$3,2)*2-1)+IF(E87="Morning",0,1)),D87)=0, "", "1. "),
INDEX(sessions_aim_primary,, INDEX(plan_session_allocation,((WEEKDAY(E$3,2)*2-1)+IF(E87="Morning",0,1)),D87)), IF(INDEX(final_duration_secondary,((WEEKDAY(E$3,2)*2-1)+IF(E87="Morning",0,1)),D87)=0, "", "
2. "),
IF(INDEX(final_duration_secondary,((WEEKDAY(E$3,2)*2-1)+IF(E87="Morning",0,1)),D87)=0, "", INDEX(sessions_aim_secondary,, INDEX(plan_session_allocation,((WEEKDAY(E$3,2)*2-1)+IF(E87="Morning",0,1)),D87))), IF(INDEX(final_duration_tertiary,((WEEKDAY(E$3,2)*2-1)+IF(E87="Morning",0,1)),D87)=0, "", "
3. "),
IF(INDEX(final_duration_tertiary,((WEEKDAY(E$3,2)*2-1)+IF(E87="Morning",0,1)),D87)=0, "", INDEX(sessions_aim_tertiary,, INDEX(plan_session_allocation,((WEEKDAY(E$3,2)*2-1)+IF(E87="Morning",0,1)),D87))),
IF(INDEX(display_nutrition_description,((WEEKDAY(E$3,2)*2-1)+IF(E87="Morning",0,1)),D87)="","",
CONCATENATE("
Nutrition Aim:
", INDEX(sessions_aim_nutrition,,INDEX(plan_session_allocation,((WEEKDAY(E$3,2)*2-1)+IF(E87="Morning",0,1)),D87))
))
)),"")</f>
        <v xml:space="preserve">Session Aim: 
1. Increase strength of specific muscle groups, running economy and injury resistance. 
2. Release tension that develops in soft tissue from training and non-training stresses. </v>
      </c>
      <c r="E107" s="1914"/>
      <c r="F107" s="1914"/>
      <c r="G107" s="1915"/>
      <c r="H107" s="177"/>
      <c r="I107" s="1913" t="str">
        <f ca="1">IF(L87&gt;0,CONCATENATE("Session Aim: 
", CONCATENATE(IF(INDEX(final_duration_secondary,((WEEKDAY(J$3,2)*2-1)+IF(J87="Morning",0,1)),I87)=0, "", "1. "),
INDEX(sessions_aim_primary,, INDEX(plan_session_allocation,((WEEKDAY(J$3,2)*2-1)+IF(J87="Morning",0,1)),I87)), IF(INDEX(final_duration_secondary,((WEEKDAY(J$3,2)*2-1)+IF(J87="Morning",0,1)),I87)=0, "", "
2. "),
IF(INDEX(final_duration_secondary,((WEEKDAY(J$3,2)*2-1)+IF(J87="Morning",0,1)),I87)=0, "", INDEX(sessions_aim_secondary,, INDEX(plan_session_allocation,((WEEKDAY(J$3,2)*2-1)+IF(J87="Morning",0,1)),I87))), IF(INDEX(final_duration_tertiary,((WEEKDAY(J$3,2)*2-1)+IF(J87="Morning",0,1)),I87)=0, "", "
3. "),
IF(INDEX(final_duration_tertiary,((WEEKDAY(J$3,2)*2-1)+IF(J87="Morning",0,1)),I87)=0, "", INDEX(sessions_aim_tertiary,, INDEX(plan_session_allocation,((WEEKDAY(J$3,2)*2-1)+IF(J87="Morning",0,1)),I87))),
IF(INDEX(display_nutrition_description,((WEEKDAY(J$3,2)*2-1)+IF(J87="Morning",0,1)),I87)="","",
CONCATENATE("
Nutrition Aim:
", INDEX(sessions_aim_nutrition,,INDEX(plan_session_allocation,((WEEKDAY(J$3,2)*2-1)+IF(J87="Morning",0,1)),I87))
))
)),"")</f>
        <v xml:space="preserve">Session Aim: 
Improve endurance by increasing lactate threshold and developing mental toughness. </v>
      </c>
      <c r="J107" s="1914"/>
      <c r="K107" s="1914"/>
      <c r="L107" s="1915"/>
      <c r="M107" s="177"/>
      <c r="N107" s="1913" t="str">
        <f ca="1">IF(Q87&gt;0,CONCATENATE("Session Aim: 
", CONCATENATE(IF(INDEX(final_duration_secondary,((WEEKDAY(O$3,2)*2-1)+IF(O87="Morning",0,1)),N87)=0, "", "1. "),
INDEX(sessions_aim_primary,, INDEX(plan_session_allocation,((WEEKDAY(O$3,2)*2-1)+IF(O87="Morning",0,1)),N87)), IF(INDEX(final_duration_secondary,((WEEKDAY(O$3,2)*2-1)+IF(O87="Morning",0,1)),N87)=0, "", "
2. "),
IF(INDEX(final_duration_secondary,((WEEKDAY(O$3,2)*2-1)+IF(O87="Morning",0,1)),N87)=0, "", INDEX(sessions_aim_secondary,, INDEX(plan_session_allocation,((WEEKDAY(O$3,2)*2-1)+IF(O87="Morning",0,1)),N87))), IF(INDEX(final_duration_tertiary,((WEEKDAY(O$3,2)*2-1)+IF(O87="Morning",0,1)),N87)=0, "", "
3. "),
IF(INDEX(final_duration_tertiary,((WEEKDAY(O$3,2)*2-1)+IF(O87="Morning",0,1)),N87)=0, "", INDEX(sessions_aim_tertiary,, INDEX(plan_session_allocation,((WEEKDAY(O$3,2)*2-1)+IF(O87="Morning",0,1)),N87))),
IF(INDEX(display_nutrition_description,((WEEKDAY(O$3,2)*2-1)+IF(O87="Morning",0,1)),N87)="","",
CONCATENATE("
Nutrition Aim:
", INDEX(sessions_aim_nutrition,,INDEX(plan_session_allocation,((WEEKDAY(O$3,2)*2-1)+IF(O87="Morning",0,1)),N87))
))
)),"")</f>
        <v xml:space="preserve">Session Aim: 
Improve aerobic fitness while minimising the chance of injury. </v>
      </c>
      <c r="O107" s="1914"/>
      <c r="P107" s="1914"/>
      <c r="Q107" s="1915"/>
      <c r="R107" s="177"/>
      <c r="S107" s="1913" t="str">
        <f ca="1">IF(V87&gt;0,CONCATENATE("Session Aim: 
", CONCATENATE(IF(INDEX(final_duration_secondary,((WEEKDAY(T$3,2)*2-1)+IF(T87="Morning",0,1)),S87)=0, "", "1. "),
INDEX(sessions_aim_primary,, INDEX(plan_session_allocation,((WEEKDAY(T$3,2)*2-1)+IF(T87="Morning",0,1)),S87)), IF(INDEX(final_duration_secondary,((WEEKDAY(T$3,2)*2-1)+IF(T87="Morning",0,1)),S87)=0, "", "
2. "),
IF(INDEX(final_duration_secondary,((WEEKDAY(T$3,2)*2-1)+IF(T87="Morning",0,1)),S87)=0, "", INDEX(sessions_aim_secondary,, INDEX(plan_session_allocation,((WEEKDAY(T$3,2)*2-1)+IF(T87="Morning",0,1)),S87))), IF(INDEX(final_duration_tertiary,((WEEKDAY(T$3,2)*2-1)+IF(T87="Morning",0,1)),S87)=0, "", "
3. "),
IF(INDEX(final_duration_tertiary,((WEEKDAY(T$3,2)*2-1)+IF(T87="Morning",0,1)),S87)=0, "", INDEX(sessions_aim_tertiary,, INDEX(plan_session_allocation,((WEEKDAY(T$3,2)*2-1)+IF(T87="Morning",0,1)),S87))),
IF(INDEX(display_nutrition_description,((WEEKDAY(T$3,2)*2-1)+IF(T87="Morning",0,1)),S87)="","",
CONCATENATE("
Nutrition Aim:
", INDEX(sessions_aim_nutrition,,INDEX(plan_session_allocation,((WEEKDAY(T$3,2)*2-1)+IF(T87="Morning",0,1)),S87))
))
)),"")</f>
        <v>Session Aim: 
Improve aerobic fitness at an optimal rate.</v>
      </c>
      <c r="T107" s="1914"/>
      <c r="U107" s="1914"/>
      <c r="V107" s="1915"/>
      <c r="W107" s="177"/>
      <c r="X107" s="1913" t="str">
        <f ca="1">IF(AA87&gt;0,CONCATENATE("Session Aim: 
", CONCATENATE(IF(INDEX(final_duration_secondary,((WEEKDAY(Y$3,2)*2-1)+IF(Y87="Morning",0,1)),X87)=0, "", "1. "),
INDEX(sessions_aim_primary,, INDEX(plan_session_allocation,((WEEKDAY(Y$3,2)*2-1)+IF(Y87="Morning",0,1)),X87)), IF(INDEX(final_duration_secondary,((WEEKDAY(Y$3,2)*2-1)+IF(Y87="Morning",0,1)),X87)=0, "", "
2. "),
IF(INDEX(final_duration_secondary,((WEEKDAY(Y$3,2)*2-1)+IF(Y87="Morning",0,1)),X87)=0, "", INDEX(sessions_aim_secondary,, INDEX(plan_session_allocation,((WEEKDAY(Y$3,2)*2-1)+IF(Y87="Morning",0,1)),X87))), IF(INDEX(final_duration_tertiary,((WEEKDAY(Y$3,2)*2-1)+IF(Y87="Morning",0,1)),X87)=0, "", "
3. "),
IF(INDEX(final_duration_tertiary,((WEEKDAY(Y$3,2)*2-1)+IF(Y87="Morning",0,1)),X87)=0, "", INDEX(sessions_aim_tertiary,, INDEX(plan_session_allocation,((WEEKDAY(Y$3,2)*2-1)+IF(Y87="Morning",0,1)),X87))),
IF(INDEX(display_nutrition_description,((WEEKDAY(Y$3,2)*2-1)+IF(Y87="Morning",0,1)),X87)="","",
CONCATENATE("
Nutrition Aim:
", INDEX(sessions_aim_nutrition,,INDEX(plan_session_allocation,((WEEKDAY(Y$3,2)*2-1)+IF(Y87="Morning",0,1)),X87))
))
)),"")</f>
        <v xml:space="preserve">Session Aim: 
1. Increase strength of specific muscle groups, running economy and injury resistance. 
2. Release tension that develops in soft tissue from training and non-training stresses. </v>
      </c>
      <c r="Y107" s="1914"/>
      <c r="Z107" s="1914"/>
      <c r="AA107" s="1915"/>
      <c r="AB107" s="177"/>
      <c r="AC107" s="1913" t="str">
        <f ca="1">IF(AF87&gt;0,CONCATENATE("Session Aim: 
", CONCATENATE(IF(INDEX(final_duration_secondary,((WEEKDAY(AD$3,2)*2-1)+IF(AD87="Morning",0,1)),AC87)=0, "", "1. "),
INDEX(sessions_aim_primary,, INDEX(plan_session_allocation,((WEEKDAY(AD$3,2)*2-1)+IF(AD87="Morning",0,1)),AC87)), IF(INDEX(final_duration_secondary,((WEEKDAY(AD$3,2)*2-1)+IF(AD87="Morning",0,1)),AC87)=0, "", "
2. "),
IF(INDEX(final_duration_secondary,((WEEKDAY(AD$3,2)*2-1)+IF(AD87="Morning",0,1)),AC87)=0, "", INDEX(sessions_aim_secondary,, INDEX(plan_session_allocation,((WEEKDAY(AD$3,2)*2-1)+IF(AD87="Morning",0,1)),AC87))), IF(INDEX(final_duration_tertiary,((WEEKDAY(AD$3,2)*2-1)+IF(AD87="Morning",0,1)),AC87)=0, "", "
3. "),
IF(INDEX(final_duration_tertiary,((WEEKDAY(AD$3,2)*2-1)+IF(AD87="Morning",0,1)),AC87)=0, "", INDEX(sessions_aim_tertiary,, INDEX(plan_session_allocation,((WEEKDAY(AD$3,2)*2-1)+IF(AD87="Morning",0,1)),AC87))),
IF(INDEX(display_nutrition_description,((WEEKDAY(AD$3,2)*2-1)+IF(AD87="Morning",0,1)),AC87)="","",
CONCATENATE("
Nutrition Aim:
", INDEX(sessions_aim_nutrition,,INDEX(plan_session_allocation,((WEEKDAY(AD$3,2)*2-1)+IF(AD87="Morning",0,1)),AC87))
))
)),"")</f>
        <v xml:space="preserve">Session Aim: 
Improve aerobic fitness while minimising the chance of injury. </v>
      </c>
      <c r="AD107" s="1914"/>
      <c r="AE107" s="1914"/>
      <c r="AF107" s="1915"/>
      <c r="AG107" s="177"/>
      <c r="AH107" s="1913" t="str">
        <f ca="1">IF(AK87&gt;0,CONCATENATE("Session Aim: 
", CONCATENATE(IF(INDEX(final_duration_secondary,((WEEKDAY(AI$3,2)*2-1)+IF(AI87="Morning",0,1)),AH87)=0, "", "1. "),
INDEX(sessions_aim_primary,, INDEX(plan_session_allocation,((WEEKDAY(AI$3,2)*2-1)+IF(AI87="Morning",0,1)),AH87)), IF(INDEX(final_duration_secondary,((WEEKDAY(AI$3,2)*2-1)+IF(AI87="Morning",0,1)),AH87)=0, "", "
2. "),
IF(INDEX(final_duration_secondary,((WEEKDAY(AI$3,2)*2-1)+IF(AI87="Morning",0,1)),AH87)=0, "", INDEX(sessions_aim_secondary,, INDEX(plan_session_allocation,((WEEKDAY(AI$3,2)*2-1)+IF(AI87="Morning",0,1)),AH87))), IF(INDEX(final_duration_tertiary,((WEEKDAY(AI$3,2)*2-1)+IF(AI87="Morning",0,1)),AH87)=0, "", "
3. "),
IF(INDEX(final_duration_tertiary,((WEEKDAY(AI$3,2)*2-1)+IF(AI87="Morning",0,1)),AH87)=0, "", INDEX(sessions_aim_tertiary,, INDEX(plan_session_allocation,((WEEKDAY(AI$3,2)*2-1)+IF(AI87="Morning",0,1)),AH87))),
IF(INDEX(display_nutrition_description,((WEEKDAY(AI$3,2)*2-1)+IF(AI87="Morning",0,1)),AH87)="","",
CONCATENATE("
Nutrition Aim:
", INDEX(sessions_aim_nutrition,,INDEX(plan_session_allocation,((WEEKDAY(AI$3,2)*2-1)+IF(AI87="Morning",0,1)),AH87))
))
)),"")</f>
        <v/>
      </c>
      <c r="AI107" s="1914"/>
      <c r="AJ107" s="1914"/>
      <c r="AK107" s="1915"/>
      <c r="AL107" s="177"/>
    </row>
    <row r="108" spans="2:38" s="176" customFormat="1" x14ac:dyDescent="0.45">
      <c r="B108" s="1942"/>
      <c r="C108" s="1945"/>
      <c r="D108" s="1916"/>
      <c r="E108" s="1917"/>
      <c r="F108" s="1917"/>
      <c r="G108" s="1918"/>
      <c r="H108" s="177"/>
      <c r="I108" s="1916"/>
      <c r="J108" s="1917"/>
      <c r="K108" s="1917"/>
      <c r="L108" s="1918"/>
      <c r="M108" s="177"/>
      <c r="N108" s="1916"/>
      <c r="O108" s="1917"/>
      <c r="P108" s="1917"/>
      <c r="Q108" s="1918"/>
      <c r="R108" s="177"/>
      <c r="S108" s="1916"/>
      <c r="T108" s="1917"/>
      <c r="U108" s="1917"/>
      <c r="V108" s="1918"/>
      <c r="W108" s="177"/>
      <c r="X108" s="1916"/>
      <c r="Y108" s="1917"/>
      <c r="Z108" s="1917"/>
      <c r="AA108" s="1918"/>
      <c r="AB108" s="177"/>
      <c r="AC108" s="1916"/>
      <c r="AD108" s="1917"/>
      <c r="AE108" s="1917"/>
      <c r="AF108" s="1918"/>
      <c r="AG108" s="177"/>
      <c r="AH108" s="1916"/>
      <c r="AI108" s="1917"/>
      <c r="AJ108" s="1917"/>
      <c r="AK108" s="1918"/>
      <c r="AL108" s="177"/>
    </row>
    <row r="109" spans="2:38" s="176" customFormat="1" x14ac:dyDescent="0.45">
      <c r="B109" s="1942"/>
      <c r="C109" s="1945"/>
      <c r="D109" s="1916"/>
      <c r="E109" s="1917"/>
      <c r="F109" s="1917"/>
      <c r="G109" s="1918"/>
      <c r="H109" s="177"/>
      <c r="I109" s="1916"/>
      <c r="J109" s="1917"/>
      <c r="K109" s="1917"/>
      <c r="L109" s="1918"/>
      <c r="M109" s="177"/>
      <c r="N109" s="1916"/>
      <c r="O109" s="1917"/>
      <c r="P109" s="1917"/>
      <c r="Q109" s="1918"/>
      <c r="R109" s="177"/>
      <c r="S109" s="1916"/>
      <c r="T109" s="1917"/>
      <c r="U109" s="1917"/>
      <c r="V109" s="1918"/>
      <c r="W109" s="177"/>
      <c r="X109" s="1916"/>
      <c r="Y109" s="1917"/>
      <c r="Z109" s="1917"/>
      <c r="AA109" s="1918"/>
      <c r="AB109" s="177"/>
      <c r="AC109" s="1916"/>
      <c r="AD109" s="1917"/>
      <c r="AE109" s="1917"/>
      <c r="AF109" s="1918"/>
      <c r="AG109" s="177"/>
      <c r="AH109" s="1916"/>
      <c r="AI109" s="1917"/>
      <c r="AJ109" s="1917"/>
      <c r="AK109" s="1918"/>
      <c r="AL109" s="177"/>
    </row>
    <row r="110" spans="2:38" s="176" customFormat="1" x14ac:dyDescent="0.45">
      <c r="B110" s="1942"/>
      <c r="C110" s="1945"/>
      <c r="D110" s="1916"/>
      <c r="E110" s="1917"/>
      <c r="F110" s="1917"/>
      <c r="G110" s="1918"/>
      <c r="H110" s="177"/>
      <c r="I110" s="1916"/>
      <c r="J110" s="1917"/>
      <c r="K110" s="1917"/>
      <c r="L110" s="1918"/>
      <c r="M110" s="177"/>
      <c r="N110" s="1916"/>
      <c r="O110" s="1917"/>
      <c r="P110" s="1917"/>
      <c r="Q110" s="1918"/>
      <c r="R110" s="177"/>
      <c r="S110" s="1916"/>
      <c r="T110" s="1917"/>
      <c r="U110" s="1917"/>
      <c r="V110" s="1918"/>
      <c r="W110" s="177"/>
      <c r="X110" s="1916"/>
      <c r="Y110" s="1917"/>
      <c r="Z110" s="1917"/>
      <c r="AA110" s="1918"/>
      <c r="AB110" s="177"/>
      <c r="AC110" s="1916"/>
      <c r="AD110" s="1917"/>
      <c r="AE110" s="1917"/>
      <c r="AF110" s="1918"/>
      <c r="AG110" s="177"/>
      <c r="AH110" s="1916"/>
      <c r="AI110" s="1917"/>
      <c r="AJ110" s="1917"/>
      <c r="AK110" s="1918"/>
      <c r="AL110" s="177"/>
    </row>
    <row r="111" spans="2:38" s="176" customFormat="1" x14ac:dyDescent="0.45">
      <c r="B111" s="1942"/>
      <c r="C111" s="1945"/>
      <c r="D111" s="1916"/>
      <c r="E111" s="1917"/>
      <c r="F111" s="1917"/>
      <c r="G111" s="1918"/>
      <c r="H111" s="177"/>
      <c r="I111" s="1916"/>
      <c r="J111" s="1917"/>
      <c r="K111" s="1917"/>
      <c r="L111" s="1918"/>
      <c r="M111" s="177"/>
      <c r="N111" s="1916"/>
      <c r="O111" s="1917"/>
      <c r="P111" s="1917"/>
      <c r="Q111" s="1918"/>
      <c r="R111" s="177"/>
      <c r="S111" s="1916"/>
      <c r="T111" s="1917"/>
      <c r="U111" s="1917"/>
      <c r="V111" s="1918"/>
      <c r="W111" s="177"/>
      <c r="X111" s="1916"/>
      <c r="Y111" s="1917"/>
      <c r="Z111" s="1917"/>
      <c r="AA111" s="1918"/>
      <c r="AB111" s="177"/>
      <c r="AC111" s="1916"/>
      <c r="AD111" s="1917"/>
      <c r="AE111" s="1917"/>
      <c r="AF111" s="1918"/>
      <c r="AG111" s="177"/>
      <c r="AH111" s="1916"/>
      <c r="AI111" s="1917"/>
      <c r="AJ111" s="1917"/>
      <c r="AK111" s="1918"/>
      <c r="AL111" s="177"/>
    </row>
    <row r="112" spans="2:38" s="176" customFormat="1" x14ac:dyDescent="0.45">
      <c r="B112" s="1942"/>
      <c r="C112" s="1945"/>
      <c r="D112" s="1916"/>
      <c r="E112" s="1917"/>
      <c r="F112" s="1917"/>
      <c r="G112" s="1918"/>
      <c r="H112" s="177"/>
      <c r="I112" s="1916"/>
      <c r="J112" s="1917"/>
      <c r="K112" s="1917"/>
      <c r="L112" s="1918"/>
      <c r="N112" s="1916"/>
      <c r="O112" s="1917"/>
      <c r="P112" s="1917"/>
      <c r="Q112" s="1918"/>
      <c r="S112" s="1916"/>
      <c r="T112" s="1917"/>
      <c r="U112" s="1917"/>
      <c r="V112" s="1918"/>
      <c r="X112" s="1916"/>
      <c r="Y112" s="1917"/>
      <c r="Z112" s="1917"/>
      <c r="AA112" s="1918"/>
      <c r="AC112" s="1916"/>
      <c r="AD112" s="1917"/>
      <c r="AE112" s="1917"/>
      <c r="AF112" s="1918"/>
      <c r="AH112" s="1916"/>
      <c r="AI112" s="1917"/>
      <c r="AJ112" s="1917"/>
      <c r="AK112" s="1918"/>
    </row>
    <row r="113" spans="2:38" s="176" customFormat="1" ht="14.65" thickBot="1" x14ac:dyDescent="0.5">
      <c r="B113" s="1943"/>
      <c r="C113" s="1946"/>
      <c r="D113" s="1938"/>
      <c r="E113" s="1939"/>
      <c r="F113" s="1939"/>
      <c r="G113" s="1940"/>
      <c r="H113" s="177"/>
      <c r="I113" s="1938"/>
      <c r="J113" s="1939"/>
      <c r="K113" s="1939"/>
      <c r="L113" s="1940"/>
      <c r="N113" s="1938"/>
      <c r="O113" s="1939"/>
      <c r="P113" s="1939"/>
      <c r="Q113" s="1940"/>
      <c r="S113" s="1938"/>
      <c r="T113" s="1939"/>
      <c r="U113" s="1939"/>
      <c r="V113" s="1940"/>
      <c r="X113" s="1938"/>
      <c r="Y113" s="1939"/>
      <c r="Z113" s="1939"/>
      <c r="AA113" s="1940"/>
      <c r="AC113" s="1938"/>
      <c r="AD113" s="1939"/>
      <c r="AE113" s="1939"/>
      <c r="AF113" s="1940"/>
      <c r="AH113" s="1938"/>
      <c r="AI113" s="1939"/>
      <c r="AJ113" s="1939"/>
      <c r="AK113" s="1940"/>
    </row>
    <row r="114" spans="2:38" s="176" customFormat="1" ht="14.65" thickBot="1" x14ac:dyDescent="0.5">
      <c r="H114" s="177"/>
    </row>
    <row r="115" spans="2:38" s="176" customFormat="1" ht="15" customHeight="1" thickBot="1" x14ac:dyDescent="0.5">
      <c r="B115" s="1941">
        <v>3</v>
      </c>
      <c r="C115" s="1944" t="str">
        <f ca="1">IF(INDEX(display_strategy,1,B115)="","", CONCATENATE(INDEX(display_strategy,1,B115),": ",HLOOKUP(INDEX(display_strategy,1,B115),strategies,4,TRUE)))</f>
        <v xml:space="preserve">Conservative Balance: Reduce training stress but maintain a good base level of conditioning and metabolism. </v>
      </c>
      <c r="D115" s="1418" t="str">
        <f ca="1">CONCATENATE("Strategy: ",INDEX(display_strategy,$B115))</f>
        <v>Strategy: Conservative Balance</v>
      </c>
      <c r="E115" s="1947">
        <f>plan_start_date + ($B115-1)*7 + (COLUMN(D$2)-2)/5</f>
        <v>43388.4</v>
      </c>
      <c r="F115" s="1947"/>
      <c r="G115" s="1417" t="str">
        <f>CONCATENATE("Slot: ", ((WEEKDAY(E$3,2)*2-1)+IF(E116="Morning",0,1)))</f>
        <v>Slot: 1</v>
      </c>
      <c r="H115" s="177"/>
      <c r="I115" s="1418" t="str">
        <f ca="1">CONCATENATE("Strategy: ",INDEX(display_strategy,$B115))</f>
        <v>Strategy: Conservative Balance</v>
      </c>
      <c r="J115" s="1947">
        <f>plan_start_date + ($B115-1)*7 + (COLUMN(I$2)-2)/5</f>
        <v>43389.4</v>
      </c>
      <c r="K115" s="1947"/>
      <c r="L115" s="1417" t="str">
        <f>CONCATENATE("Slot: ", ((WEEKDAY(J$3,2)*2-1)+IF(J116="Morning",0,1)))</f>
        <v>Slot: 3</v>
      </c>
      <c r="N115" s="1418" t="str">
        <f ca="1">CONCATENATE("Strategy: ",INDEX(display_strategy,$B115))</f>
        <v>Strategy: Conservative Balance</v>
      </c>
      <c r="O115" s="1947">
        <f>plan_start_date + ($B115-1)*7 + (COLUMN(N$2)-2)/5</f>
        <v>43390.400000000001</v>
      </c>
      <c r="P115" s="1947"/>
      <c r="Q115" s="1417" t="str">
        <f>CONCATENATE("Slot: ", ((WEEKDAY(O$3,2)*2-1)+IF(O116="Morning",0,1)))</f>
        <v>Slot: 5</v>
      </c>
      <c r="S115" s="1418" t="str">
        <f ca="1">CONCATENATE("Strategy: ",INDEX(display_strategy,$B115))</f>
        <v>Strategy: Conservative Balance</v>
      </c>
      <c r="T115" s="1947">
        <f>plan_start_date + ($B115-1)*7 + (COLUMN(S$2)-2)/5</f>
        <v>43391.4</v>
      </c>
      <c r="U115" s="1947"/>
      <c r="V115" s="1417" t="str">
        <f>CONCATENATE("Slot: ", ((WEEKDAY(T$3,2)*2-1)+IF(T116="Morning",0,1)))</f>
        <v>Slot: 7</v>
      </c>
      <c r="X115" s="1418" t="str">
        <f ca="1">CONCATENATE("Strategy: ",INDEX(display_strategy,$B115))</f>
        <v>Strategy: Conservative Balance</v>
      </c>
      <c r="Y115" s="1947">
        <f>plan_start_date + ($B115-1)*7 + (COLUMN(X$2)-2)/5</f>
        <v>43392.4</v>
      </c>
      <c r="Z115" s="1947"/>
      <c r="AA115" s="1417" t="str">
        <f>CONCATENATE("Slot: ", ((WEEKDAY(Y$3,2)*2-1)+IF(Y116="Morning",0,1)))</f>
        <v>Slot: 9</v>
      </c>
      <c r="AC115" s="1418" t="str">
        <f ca="1">CONCATENATE("Strategy: ",INDEX(display_strategy,$B115))</f>
        <v>Strategy: Conservative Balance</v>
      </c>
      <c r="AD115" s="1947">
        <f>plan_start_date + ($B115-1)*7 + (COLUMN(AC$2)-2)/5</f>
        <v>43393.4</v>
      </c>
      <c r="AE115" s="1947"/>
      <c r="AF115" s="1417" t="str">
        <f>CONCATENATE("Slot: ", ((WEEKDAY(AD$3,2)*2-1)+IF(AD116="Morning",0,1)))</f>
        <v>Slot: 11</v>
      </c>
      <c r="AH115" s="1418" t="str">
        <f ca="1">CONCATENATE("Strategy: ",INDEX(display_strategy,$B115))</f>
        <v>Strategy: Conservative Balance</v>
      </c>
      <c r="AI115" s="1947">
        <f>plan_start_date + ($B115-1)*7 + (COLUMN(AH$2)-2)/5</f>
        <v>43394.400000000001</v>
      </c>
      <c r="AJ115" s="1947"/>
      <c r="AK115" s="1417" t="str">
        <f>CONCATENATE("Slot: ", ((WEEKDAY(AI$3,2)*2-1)+IF(AI116="Morning",0,1)))</f>
        <v>Slot: 13</v>
      </c>
    </row>
    <row r="116" spans="2:38" s="176" customFormat="1" x14ac:dyDescent="0.45">
      <c r="B116" s="1942"/>
      <c r="C116" s="1945"/>
      <c r="D116" s="1413">
        <f>$B115</f>
        <v>3</v>
      </c>
      <c r="E116" s="1930" t="s">
        <v>351</v>
      </c>
      <c r="F116" s="1930"/>
      <c r="G116" s="1412">
        <f ca="1">INDEX(final_duration_session, ((WEEKDAY(E$3,2)*2-1)+IF(E116="Morning",0,1)), $D116)</f>
        <v>40</v>
      </c>
      <c r="H116" s="177"/>
      <c r="I116" s="1413">
        <f>$B115</f>
        <v>3</v>
      </c>
      <c r="J116" s="1930" t="s">
        <v>351</v>
      </c>
      <c r="K116" s="1930"/>
      <c r="L116" s="1412">
        <f ca="1">INDEX(final_duration_session, ((WEEKDAY(J$3,2)*2-1)+IF(J116="Morning",0,1)), $D116)</f>
        <v>40</v>
      </c>
      <c r="M116" s="177"/>
      <c r="N116" s="1413">
        <f>$B115</f>
        <v>3</v>
      </c>
      <c r="O116" s="1930" t="s">
        <v>351</v>
      </c>
      <c r="P116" s="1930"/>
      <c r="Q116" s="1412">
        <f ca="1">INDEX(final_duration_session, ((WEEKDAY(O$3,2)*2-1)+IF(O116="Morning",0,1)), $D116)</f>
        <v>0</v>
      </c>
      <c r="R116" s="177"/>
      <c r="S116" s="1413">
        <f>$B115</f>
        <v>3</v>
      </c>
      <c r="T116" s="1930" t="s">
        <v>351</v>
      </c>
      <c r="U116" s="1930"/>
      <c r="V116" s="1412">
        <f ca="1">INDEX(final_duration_session, ((WEEKDAY(T$3,2)*2-1)+IF(T116="Morning",0,1)), $D116)</f>
        <v>40</v>
      </c>
      <c r="W116" s="177"/>
      <c r="X116" s="1413">
        <f>$B115</f>
        <v>3</v>
      </c>
      <c r="Y116" s="1930" t="s">
        <v>351</v>
      </c>
      <c r="Z116" s="1930"/>
      <c r="AA116" s="1412">
        <f ca="1">INDEX(final_duration_session, ((WEEKDAY(Y$3,2)*2-1)+IF(Y116="Morning",0,1)), $D116)</f>
        <v>40</v>
      </c>
      <c r="AB116" s="177"/>
      <c r="AC116" s="1413">
        <f>$B115</f>
        <v>3</v>
      </c>
      <c r="AD116" s="1930" t="s">
        <v>351</v>
      </c>
      <c r="AE116" s="1930"/>
      <c r="AF116" s="1412">
        <f ca="1">INDEX(final_duration_session, ((WEEKDAY(AD$3,2)*2-1)+IF(AD116="Morning",0,1)), $D116)</f>
        <v>60</v>
      </c>
      <c r="AG116" s="177"/>
      <c r="AH116" s="1413">
        <f>$B115</f>
        <v>3</v>
      </c>
      <c r="AI116" s="1930" t="s">
        <v>351</v>
      </c>
      <c r="AJ116" s="1930"/>
      <c r="AK116" s="1412">
        <f ca="1">INDEX(final_duration_session, ((WEEKDAY(AI$3,2)*2-1)+IF(AI116="Morning",0,1)), $D116)</f>
        <v>145</v>
      </c>
      <c r="AL116" s="177"/>
    </row>
    <row r="117" spans="2:38" s="176" customFormat="1" ht="15" customHeight="1" x14ac:dyDescent="0.45">
      <c r="B117" s="1942"/>
      <c r="C117" s="1945"/>
      <c r="D117" s="1931" t="str">
        <f ca="1">IF(G116&gt;0,INDEX(sessions_name,INDEX(plan_session_allocation,((WEEKDAY(E$3,2)*2-1)+IF(E116="Morning",0,1)),D116)),"")</f>
        <v>Easy</v>
      </c>
      <c r="E117" s="1932"/>
      <c r="F117" s="1932"/>
      <c r="G117" s="1933"/>
      <c r="H117" s="177"/>
      <c r="I117" s="1931" t="str">
        <f ca="1">IF(L116&gt;0,INDEX(sessions_name,INDEX(plan_session_allocation,((WEEKDAY(J$3,2)*2-1)+IF(J116="Morning",0,1)),I116)),"")</f>
        <v>Easy</v>
      </c>
      <c r="J117" s="1932"/>
      <c r="K117" s="1932"/>
      <c r="L117" s="1933"/>
      <c r="M117" s="177"/>
      <c r="N117" s="1931" t="str">
        <f ca="1">IF(Q116&gt;0,INDEX(sessions_name,INDEX(plan_session_allocation,((WEEKDAY(O$3,2)*2-1)+IF(O116="Morning",0,1)),N116)),"")</f>
        <v/>
      </c>
      <c r="O117" s="1932"/>
      <c r="P117" s="1932"/>
      <c r="Q117" s="1933"/>
      <c r="R117" s="177"/>
      <c r="S117" s="1931" t="str">
        <f ca="1">IF(V116&gt;0,INDEX(sessions_name,INDEX(plan_session_allocation,((WEEKDAY(T$3,2)*2-1)+IF(T116="Morning",0,1)),S116)),"")</f>
        <v>Easy</v>
      </c>
      <c r="T117" s="1932"/>
      <c r="U117" s="1932"/>
      <c r="V117" s="1933"/>
      <c r="W117" s="177"/>
      <c r="X117" s="1931" t="str">
        <f ca="1">IF(AA116&gt;0,INDEX(sessions_name,INDEX(plan_session_allocation,((WEEKDAY(Y$3,2)*2-1)+IF(Y116="Morning",0,1)),X116)),"")</f>
        <v>Easy</v>
      </c>
      <c r="Y117" s="1932"/>
      <c r="Z117" s="1932"/>
      <c r="AA117" s="1933"/>
      <c r="AB117" s="177"/>
      <c r="AC117" s="1931" t="str">
        <f ca="1">IF(AF116&gt;0,INDEX(sessions_name,INDEX(plan_session_allocation,((WEEKDAY(AD$3,2)*2-1)+IF(AD116="Morning",0,1)),AC116)),"")</f>
        <v>Drills</v>
      </c>
      <c r="AD117" s="1932"/>
      <c r="AE117" s="1932"/>
      <c r="AF117" s="1933"/>
      <c r="AG117" s="177"/>
      <c r="AH117" s="1931" t="str">
        <f ca="1">IF(AK116&gt;0,INDEX(sessions_name,INDEX(plan_session_allocation,((WEEKDAY(AI$3,2)*2-1)+IF(AI116="Morning",0,1)),AH116)),"")</f>
        <v>Long</v>
      </c>
      <c r="AI117" s="1932"/>
      <c r="AJ117" s="1932"/>
      <c r="AK117" s="1933"/>
      <c r="AL117" s="177"/>
    </row>
    <row r="118" spans="2:38" s="176" customFormat="1" ht="15" customHeight="1" x14ac:dyDescent="0.45">
      <c r="B118" s="1942"/>
      <c r="C118" s="1945"/>
      <c r="D118" s="1934" t="str">
        <f ca="1">IF(G116&gt;0,CONCATENATE("Sport: ",INDEX(sessions_sport_primary,INDEX(plan_session_allocation,(WEEKDAY(E$3,2)*2-1)+IF(E116="Morning",0,1),D116))),"")</f>
        <v>Sport: Ride</v>
      </c>
      <c r="E118" s="1935"/>
      <c r="F118" s="1936">
        <f ca="1">IF(G116&gt;0,IFERROR(F119+F120+F121,""),"")</f>
        <v>40</v>
      </c>
      <c r="G118" s="1937"/>
      <c r="H118" s="177"/>
      <c r="I118" s="1934" t="str">
        <f ca="1">IF(L116&gt;0,CONCATENATE("Sport: ",INDEX(sessions_sport_primary,INDEX(plan_session_allocation,(WEEKDAY(J$3,2)*2-1)+IF(J116="Morning",0,1),I116))),"")</f>
        <v>Sport: Ride</v>
      </c>
      <c r="J118" s="1935"/>
      <c r="K118" s="1936">
        <f ca="1">IF(L116&gt;0,IFERROR(K119+K120+K121,""),"")</f>
        <v>40</v>
      </c>
      <c r="L118" s="1937"/>
      <c r="M118" s="177"/>
      <c r="N118" s="1934" t="str">
        <f ca="1">IF(Q116&gt;0,CONCATENATE("Sport: ",INDEX(sessions_sport_primary,INDEX(plan_session_allocation,(WEEKDAY(O$3,2)*2-1)+IF(O116="Morning",0,1),N116))),"")</f>
        <v/>
      </c>
      <c r="O118" s="1935"/>
      <c r="P118" s="1936" t="str">
        <f ca="1">IF(Q116&gt;0,IFERROR(P119+P120+P121,""),"")</f>
        <v/>
      </c>
      <c r="Q118" s="1937"/>
      <c r="R118" s="177"/>
      <c r="S118" s="1934" t="str">
        <f ca="1">IF(V116&gt;0,CONCATENATE("Sport: ",INDEX(sessions_sport_primary,INDEX(plan_session_allocation,(WEEKDAY(T$3,2)*2-1)+IF(T116="Morning",0,1),S116))),"")</f>
        <v>Sport: Ride</v>
      </c>
      <c r="T118" s="1935"/>
      <c r="U118" s="1936">
        <f ca="1">IF(V116&gt;0,IFERROR(U119+U120+U121,""),"")</f>
        <v>40</v>
      </c>
      <c r="V118" s="1937"/>
      <c r="W118" s="177"/>
      <c r="X118" s="1934" t="str">
        <f ca="1">IF(AA116&gt;0,CONCATENATE("Sport: ",INDEX(sessions_sport_primary,INDEX(plan_session_allocation,(WEEKDAY(Y$3,2)*2-1)+IF(Y116="Morning",0,1),X116))),"")</f>
        <v>Sport: Ride</v>
      </c>
      <c r="Y118" s="1935"/>
      <c r="Z118" s="1936">
        <f ca="1">IF(AA116&gt;0,IFERROR(Z119+Z120+Z121,""),"")</f>
        <v>40</v>
      </c>
      <c r="AA118" s="1937"/>
      <c r="AB118" s="177"/>
      <c r="AC118" s="1934" t="str">
        <f ca="1">IF(AF116&gt;0,CONCATENATE("Sport: ",INDEX(sessions_sport_primary,INDEX(plan_session_allocation,(WEEKDAY(AD$3,2)*2-1)+IF(AD116="Morning",0,1),AC116))),"")</f>
        <v>Sport: Run</v>
      </c>
      <c r="AD118" s="1935"/>
      <c r="AE118" s="1936">
        <f ca="1">IF(AF116&gt;0,IFERROR(AE119+AE120+AE121,""),"")</f>
        <v>60</v>
      </c>
      <c r="AF118" s="1937"/>
      <c r="AG118" s="177"/>
      <c r="AH118" s="1934" t="str">
        <f ca="1">IF(AK116&gt;0,CONCATENATE("Sport: ",INDEX(sessions_sport_primary,INDEX(plan_session_allocation,(WEEKDAY(AI$3,2)*2-1)+IF(AI116="Morning",0,1),AH116))),"")</f>
        <v>Sport: Ride</v>
      </c>
      <c r="AI118" s="1935"/>
      <c r="AJ118" s="1936">
        <f ca="1">IF(AK116&gt;0,IFERROR(AJ119+AJ120+AJ121,""),"")</f>
        <v>145</v>
      </c>
      <c r="AK118" s="1937"/>
      <c r="AL118" s="177"/>
    </row>
    <row r="119" spans="2:38" s="176" customFormat="1" ht="15" customHeight="1" x14ac:dyDescent="0.45">
      <c r="B119" s="1942"/>
      <c r="C119" s="1945"/>
      <c r="D119" s="1922" t="str">
        <f ca="1">IF(G116&gt;0,CONCATENATE("HR Target: ",
INDEX(sessions_HR_primary,INDEX(plan_session_allocation,((WEEKDAY(E$3,2)*2-1)+IF(E116="Morning",0,1)),D116)),
IF(INDEX(sessions_HR_primary,INDEX(plan_session_allocation,((WEEKDAY(E$3,2)*2-1)+IF(E116="Morning",0,1)),D116))="N/A","",
" BPM")),"")</f>
        <v>HR Target: 138 BPM</v>
      </c>
      <c r="E119" s="1923"/>
      <c r="F119" s="1924">
        <f ca="1">IF(G116&gt;0,
INDEX(final_duration_effort,((WEEKDAY(E$3,2)*2-1)+IF(E116="Morning",0,1)),D116),"")</f>
        <v>40</v>
      </c>
      <c r="G119" s="1925"/>
      <c r="H119" s="177"/>
      <c r="I119" s="1922" t="str">
        <f ca="1">IF(L116&gt;0,CONCATENATE("HR Target: ",
INDEX(sessions_HR_primary,INDEX(plan_session_allocation,((WEEKDAY(J$3,2)*2-1)+IF(J116="Morning",0,1)),I116)),
IF(INDEX(sessions_HR_primary,INDEX(plan_session_allocation,((WEEKDAY(J$3,2)*2-1)+IF(J116="Morning",0,1)),I116))="N/A","",
" BPM")),"")</f>
        <v>HR Target: 138 BPM</v>
      </c>
      <c r="J119" s="1923"/>
      <c r="K119" s="1924">
        <f ca="1">IF(L116&gt;0,
INDEX(final_duration_effort,((WEEKDAY(J$3,2)*2-1)+IF(J116="Morning",0,1)),I116),"")</f>
        <v>40</v>
      </c>
      <c r="L119" s="1925"/>
      <c r="M119" s="177"/>
      <c r="N119" s="1922" t="str">
        <f ca="1">IF(Q116&gt;0,CONCATENATE("HR Target: ",
INDEX(sessions_HR_primary,INDEX(plan_session_allocation,((WEEKDAY(O$3,2)*2-1)+IF(O116="Morning",0,1)),N116)),
IF(INDEX(sessions_HR_primary,INDEX(plan_session_allocation,((WEEKDAY(O$3,2)*2-1)+IF(O116="Morning",0,1)),N116))="N/A","",
" BPM")),"")</f>
        <v/>
      </c>
      <c r="O119" s="1923"/>
      <c r="P119" s="1924" t="str">
        <f ca="1">IF(Q116&gt;0,
INDEX(final_duration_effort,((WEEKDAY(O$3,2)*2-1)+IF(O116="Morning",0,1)),N116),"")</f>
        <v/>
      </c>
      <c r="Q119" s="1925"/>
      <c r="R119" s="177"/>
      <c r="S119" s="1922" t="str">
        <f ca="1">IF(V116&gt;0,CONCATENATE("HR Target: ",
INDEX(sessions_HR_primary,INDEX(plan_session_allocation,((WEEKDAY(T$3,2)*2-1)+IF(T116="Morning",0,1)),S116)),
IF(INDEX(sessions_HR_primary,INDEX(plan_session_allocation,((WEEKDAY(T$3,2)*2-1)+IF(T116="Morning",0,1)),S116))="N/A","",
" BPM")),"")</f>
        <v>HR Target: 138 BPM</v>
      </c>
      <c r="T119" s="1923"/>
      <c r="U119" s="1924">
        <f ca="1">IF(V116&gt;0,
INDEX(final_duration_effort,((WEEKDAY(T$3,2)*2-1)+IF(T116="Morning",0,1)),S116),"")</f>
        <v>40</v>
      </c>
      <c r="V119" s="1925"/>
      <c r="W119" s="177"/>
      <c r="X119" s="1922" t="str">
        <f ca="1">IF(AA116&gt;0,CONCATENATE("HR Target: ",
INDEX(sessions_HR_primary,INDEX(plan_session_allocation,((WEEKDAY(Y$3,2)*2-1)+IF(Y116="Morning",0,1)),X116)),
IF(INDEX(sessions_HR_primary,INDEX(plan_session_allocation,((WEEKDAY(Y$3,2)*2-1)+IF(Y116="Morning",0,1)),X116))="N/A","",
" BPM")),"")</f>
        <v>HR Target: 138 BPM</v>
      </c>
      <c r="Y119" s="1923"/>
      <c r="Z119" s="1924">
        <f ca="1">IF(AA116&gt;0,
INDEX(final_duration_effort,((WEEKDAY(Y$3,2)*2-1)+IF(Y116="Morning",0,1)),X116),"")</f>
        <v>40</v>
      </c>
      <c r="AA119" s="1925"/>
      <c r="AB119" s="177"/>
      <c r="AC119" s="1922" t="str">
        <f ca="1">IF(AF116&gt;0,CONCATENATE("HR Target: ",
INDEX(sessions_HR_primary,INDEX(plan_session_allocation,((WEEKDAY(AD$3,2)*2-1)+IF(AD116="Morning",0,1)),AC116)),
IF(INDEX(sessions_HR_primary,INDEX(plan_session_allocation,((WEEKDAY(AD$3,2)*2-1)+IF(AD116="Morning",0,1)),AC116))="N/A","",
" BPM")),"")</f>
        <v>HR Target: 148 BPM</v>
      </c>
      <c r="AD119" s="1923"/>
      <c r="AE119" s="1924">
        <f ca="1">IF(AF116&gt;0,
INDEX(final_duration_effort,((WEEKDAY(AD$3,2)*2-1)+IF(AD116="Morning",0,1)),AC116),"")</f>
        <v>30</v>
      </c>
      <c r="AF119" s="1925"/>
      <c r="AG119" s="177"/>
      <c r="AH119" s="1922" t="str">
        <f ca="1">IF(AK116&gt;0,CONCATENATE("HR Target: ",
INDEX(sessions_HR_primary,INDEX(plan_session_allocation,((WEEKDAY(AI$3,2)*2-1)+IF(AI116="Morning",0,1)),AH116)),
IF(INDEX(sessions_HR_primary,INDEX(plan_session_allocation,((WEEKDAY(AI$3,2)*2-1)+IF(AI116="Morning",0,1)),AH116))="N/A","",
" BPM")),"")</f>
        <v>HR Target: 148 BPM</v>
      </c>
      <c r="AI119" s="1923"/>
      <c r="AJ119" s="1924">
        <f ca="1">IF(AK116&gt;0,
INDEX(final_duration_effort,((WEEKDAY(AI$3,2)*2-1)+IF(AI116="Morning",0,1)),AH116),"")</f>
        <v>145</v>
      </c>
      <c r="AK119" s="1925"/>
      <c r="AL119" s="177"/>
    </row>
    <row r="120" spans="2:38" s="179" customFormat="1" x14ac:dyDescent="0.45">
      <c r="B120" s="1942"/>
      <c r="C120" s="1945"/>
      <c r="D120" s="1926" t="str">
        <f ca="1">IF(G116&gt;0,CONCATENATE("HR Range: ",
INDEX(sessions_HR_range_primary,INDEX(plan_session_allocation,((WEEKDAY(E$3,2)*2-1)+IF(E116="Morning",0,1)),D116)),
IF(INDEX(sessions_HR_range_primary,INDEX(plan_session_allocation,((WEEKDAY(E$3,2)*2-1)+IF(E116="Morning",0,1)),D116))="N/A","",
" BPM")),"")</f>
        <v>HR Range: 129 - 148 BPM</v>
      </c>
      <c r="E120" s="1927"/>
      <c r="F120" s="1928">
        <f ca="1">IF(G116&gt;0,IF(
INDEX(sessions_recoveries,INDEX(plan_session_allocation,((WEEKDAY(E$3,2)*2-1)+IF(E116="Morning",0,1)),D116))="Yes",
VLOOKUP(INDEX(plan_duration_primary,((WEEKDAY(E$3,2)*2-1)+IF(E116="Morning",0,1)),D116),
INDIRECT(INDEX(sessions_intervals_code_primary,INDEX(plan_session_allocation,((WEEKDAY(E$3,2)*2-1)+IF(E116="Morning",0,1)),D116))),7,TRUE),0),"")</f>
        <v>0</v>
      </c>
      <c r="G120" s="1929"/>
      <c r="H120" s="178"/>
      <c r="I120" s="1926" t="str">
        <f ca="1">IF(L116&gt;0,CONCATENATE("HR Range: ",
INDEX(sessions_HR_range_primary,INDEX(plan_session_allocation,((WEEKDAY(J$3,2)*2-1)+IF(J116="Morning",0,1)),I116)),
IF(INDEX(sessions_HR_range_primary,INDEX(plan_session_allocation,((WEEKDAY(J$3,2)*2-1)+IF(J116="Morning",0,1)),I116))="N/A","",
" BPM")),"")</f>
        <v>HR Range: 129 - 148 BPM</v>
      </c>
      <c r="J120" s="1927"/>
      <c r="K120" s="1928">
        <f ca="1">IF(L116&gt;0,IF(
INDEX(sessions_recoveries,INDEX(plan_session_allocation,((WEEKDAY(J$3,2)*2-1)+IF(J116="Morning",0,1)),I116))="Yes",
VLOOKUP(INDEX(plan_duration_primary,((WEEKDAY(J$3,2)*2-1)+IF(J116="Morning",0,1)),I116),
INDIRECT(INDEX(sessions_intervals_code_primary,INDEX(plan_session_allocation,((WEEKDAY(J$3,2)*2-1)+IF(J116="Morning",0,1)),I116))),7,TRUE),0),"")</f>
        <v>0</v>
      </c>
      <c r="L120" s="1929"/>
      <c r="M120" s="178"/>
      <c r="N120" s="1926" t="str">
        <f ca="1">IF(Q116&gt;0,CONCATENATE("HR Range: ",
INDEX(sessions_HR_range_primary,INDEX(plan_session_allocation,((WEEKDAY(O$3,2)*2-1)+IF(O116="Morning",0,1)),N116)),
IF(INDEX(sessions_HR_range_primary,INDEX(plan_session_allocation,((WEEKDAY(O$3,2)*2-1)+IF(O116="Morning",0,1)),N116))="N/A","",
" BPM")),"")</f>
        <v/>
      </c>
      <c r="O120" s="1927"/>
      <c r="P120" s="1928" t="str">
        <f ca="1">IF(Q116&gt;0,IF(
INDEX(sessions_recoveries,INDEX(plan_session_allocation,((WEEKDAY(O$3,2)*2-1)+IF(O116="Morning",0,1)),N116))="Yes",
VLOOKUP(INDEX(plan_duration_primary,((WEEKDAY(O$3,2)*2-1)+IF(O116="Morning",0,1)),N116),
INDIRECT(INDEX(sessions_intervals_code_primary,INDEX(plan_session_allocation,((WEEKDAY(O$3,2)*2-1)+IF(O116="Morning",0,1)),N116))),7,TRUE),0),"")</f>
        <v/>
      </c>
      <c r="Q120" s="1929"/>
      <c r="R120" s="178"/>
      <c r="S120" s="1926" t="str">
        <f ca="1">IF(V116&gt;0,CONCATENATE("HR Range: ",
INDEX(sessions_HR_range_primary,INDEX(plan_session_allocation,((WEEKDAY(T$3,2)*2-1)+IF(T116="Morning",0,1)),S116)),
IF(INDEX(sessions_HR_range_primary,INDEX(plan_session_allocation,((WEEKDAY(T$3,2)*2-1)+IF(T116="Morning",0,1)),S116))="N/A","",
" BPM")),"")</f>
        <v>HR Range: 129 - 148 BPM</v>
      </c>
      <c r="T120" s="1927"/>
      <c r="U120" s="1928">
        <f ca="1">IF(V116&gt;0,IF(
INDEX(sessions_recoveries,INDEX(plan_session_allocation,((WEEKDAY(T$3,2)*2-1)+IF(T116="Morning",0,1)),S116))="Yes",
VLOOKUP(INDEX(plan_duration_primary,((WEEKDAY(T$3,2)*2-1)+IF(T116="Morning",0,1)),S116),
INDIRECT(INDEX(sessions_intervals_code_primary,INDEX(plan_session_allocation,((WEEKDAY(T$3,2)*2-1)+IF(T116="Morning",0,1)),S116))),7,TRUE),0),"")</f>
        <v>0</v>
      </c>
      <c r="V120" s="1929"/>
      <c r="W120" s="178"/>
      <c r="X120" s="1926" t="str">
        <f ca="1">IF(AA116&gt;0,CONCATENATE("HR Range: ",
INDEX(sessions_HR_range_primary,INDEX(plan_session_allocation,((WEEKDAY(Y$3,2)*2-1)+IF(Y116="Morning",0,1)),X116)),
IF(INDEX(sessions_HR_range_primary,INDEX(plan_session_allocation,((WEEKDAY(Y$3,2)*2-1)+IF(Y116="Morning",0,1)),X116))="N/A","",
" BPM")),"")</f>
        <v>HR Range: 129 - 148 BPM</v>
      </c>
      <c r="Y120" s="1927"/>
      <c r="Z120" s="1928">
        <f ca="1">IF(AA116&gt;0,IF(
INDEX(sessions_recoveries,INDEX(plan_session_allocation,((WEEKDAY(Y$3,2)*2-1)+IF(Y116="Morning",0,1)),X116))="Yes",
VLOOKUP(INDEX(plan_duration_primary,((WEEKDAY(Y$3,2)*2-1)+IF(Y116="Morning",0,1)),X116),
INDIRECT(INDEX(sessions_intervals_code_primary,INDEX(plan_session_allocation,((WEEKDAY(Y$3,2)*2-1)+IF(Y116="Morning",0,1)),X116))),7,TRUE),0),"")</f>
        <v>0</v>
      </c>
      <c r="AA120" s="1929"/>
      <c r="AB120" s="178"/>
      <c r="AC120" s="1926" t="str">
        <f ca="1">IF(AF116&gt;0,CONCATENATE("HR Range: ",
INDEX(sessions_HR_range_primary,INDEX(plan_session_allocation,((WEEKDAY(AD$3,2)*2-1)+IF(AD116="Morning",0,1)),AC116)),
IF(INDEX(sessions_HR_range_primary,INDEX(plan_session_allocation,((WEEKDAY(AD$3,2)*2-1)+IF(AD116="Morning",0,1)),AC116))="N/A","",
" BPM")),"")</f>
        <v>HR Range: 129 - 169 BPM</v>
      </c>
      <c r="AD120" s="1927"/>
      <c r="AE120" s="1928">
        <f ca="1">IF(AF116&gt;0,IF(
INDEX(sessions_recoveries,INDEX(plan_session_allocation,((WEEKDAY(AD$3,2)*2-1)+IF(AD116="Morning",0,1)),AC116))="Yes",
VLOOKUP(INDEX(plan_duration_primary,((WEEKDAY(AD$3,2)*2-1)+IF(AD116="Morning",0,1)),AC116),
INDIRECT(INDEX(sessions_intervals_code_primary,INDEX(plan_session_allocation,((WEEKDAY(AD$3,2)*2-1)+IF(AD116="Morning",0,1)),AC116))),7,TRUE),0),"")</f>
        <v>0</v>
      </c>
      <c r="AF120" s="1929"/>
      <c r="AG120" s="178"/>
      <c r="AH120" s="1926" t="str">
        <f ca="1">IF(AK116&gt;0,CONCATENATE("HR Range: ",
INDEX(sessions_HR_range_primary,INDEX(plan_session_allocation,((WEEKDAY(AI$3,2)*2-1)+IF(AI116="Morning",0,1)),AH116)),
IF(INDEX(sessions_HR_range_primary,INDEX(plan_session_allocation,((WEEKDAY(AI$3,2)*2-1)+IF(AI116="Morning",0,1)),AH116))="N/A","",
" BPM")),"")</f>
        <v>HR Range: 129 - 169 BPM</v>
      </c>
      <c r="AI120" s="1927"/>
      <c r="AJ120" s="1928">
        <f ca="1">IF(AK116&gt;0,IF(
INDEX(sessions_recoveries,INDEX(plan_session_allocation,((WEEKDAY(AI$3,2)*2-1)+IF(AI116="Morning",0,1)),AH116))="Yes",
VLOOKUP(INDEX(plan_duration_primary,((WEEKDAY(AI$3,2)*2-1)+IF(AI116="Morning",0,1)),AH116),
INDIRECT(INDEX(sessions_intervals_code_primary,INDEX(plan_session_allocation,((WEEKDAY(AI$3,2)*2-1)+IF(AI116="Morning",0,1)),AH116))),7,TRUE),0),"")</f>
        <v>0</v>
      </c>
      <c r="AK120" s="1929"/>
      <c r="AL120" s="178"/>
    </row>
    <row r="121" spans="2:38" s="179" customFormat="1" ht="15" customHeight="1" x14ac:dyDescent="0.45">
      <c r="B121" s="1942"/>
      <c r="C121" s="1945"/>
      <c r="D121" s="1909" t="str">
        <f ca="1">IF(G116&gt;0,CONCATENATE("Equivalent Pace: ",
TEXT(INDEX(sessions_pace_primary,INDEX(plan_session_allocation,(WEEKDAY(E$3,2)*2-1)+IF(E116="Morning",0,1),D116)),"m:ss"),
" min/km"
),"")</f>
        <v>Equivalent Pace: 4:39 min/km</v>
      </c>
      <c r="E121" s="1910"/>
      <c r="F121" s="1911">
        <f ca="1">IF(G116&gt;0, INDEX(final_duration_WU,((WEEKDAY(E$3,2)*2-1)+IF(E116="Morning",0,1)),D116)  + INDEX(final_duration_WD,((WEEKDAY(E$3,2)*2-1)+IF(E116="Morning",0,1)),D116), "")</f>
        <v>0</v>
      </c>
      <c r="G121" s="1912"/>
      <c r="H121" s="178"/>
      <c r="I121" s="1909" t="str">
        <f ca="1">IF(L116&gt;0,CONCATENATE("Equivalent Pace: ",
TEXT(INDEX(sessions_pace_primary,INDEX(plan_session_allocation,(WEEKDAY(J$3,2)*2-1)+IF(J116="Morning",0,1),I116)),"m:ss"),
" min/km"
),"")</f>
        <v>Equivalent Pace: 4:39 min/km</v>
      </c>
      <c r="J121" s="1910"/>
      <c r="K121" s="1911">
        <f ca="1">IF(L116&gt;0, INDEX(final_duration_WU,((WEEKDAY(J$3,2)*2-1)+IF(J116="Morning",0,1)),I116)  + INDEX(final_duration_WD,((WEEKDAY(J$3,2)*2-1)+IF(J116="Morning",0,1)),I116), "")</f>
        <v>0</v>
      </c>
      <c r="L121" s="1912"/>
      <c r="M121" s="178"/>
      <c r="N121" s="1909" t="str">
        <f ca="1">IF(Q116&gt;0,CONCATENATE("Equivalent Pace: ",
TEXT(INDEX(sessions_pace_primary,INDEX(plan_session_allocation,(WEEKDAY(O$3,2)*2-1)+IF(O116="Morning",0,1),N116)),"m:ss"),
" min/km"
),"")</f>
        <v/>
      </c>
      <c r="O121" s="1910"/>
      <c r="P121" s="1911" t="str">
        <f ca="1">IF(Q116&gt;0, INDEX(final_duration_WU,((WEEKDAY(O$3,2)*2-1)+IF(O116="Morning",0,1)),N116)  + INDEX(final_duration_WD,((WEEKDAY(O$3,2)*2-1)+IF(O116="Morning",0,1)),N116), "")</f>
        <v/>
      </c>
      <c r="Q121" s="1912"/>
      <c r="R121" s="178"/>
      <c r="S121" s="1909" t="str">
        <f ca="1">IF(V116&gt;0,CONCATENATE("Equivalent Pace: ",
TEXT(INDEX(sessions_pace_primary,INDEX(plan_session_allocation,(WEEKDAY(T$3,2)*2-1)+IF(T116="Morning",0,1),S116)),"m:ss"),
" min/km"
),"")</f>
        <v>Equivalent Pace: 4:39 min/km</v>
      </c>
      <c r="T121" s="1910"/>
      <c r="U121" s="1911">
        <f ca="1">IF(V116&gt;0, INDEX(final_duration_WU,((WEEKDAY(T$3,2)*2-1)+IF(T116="Morning",0,1)),S116)  + INDEX(final_duration_WD,((WEEKDAY(T$3,2)*2-1)+IF(T116="Morning",0,1)),S116), "")</f>
        <v>0</v>
      </c>
      <c r="V121" s="1912"/>
      <c r="W121" s="178"/>
      <c r="X121" s="1909" t="str">
        <f ca="1">IF(AA116&gt;0,CONCATENATE("Equivalent Pace: ",
TEXT(INDEX(sessions_pace_primary,INDEX(plan_session_allocation,(WEEKDAY(Y$3,2)*2-1)+IF(Y116="Morning",0,1),X116)),"m:ss"),
" min/km"
),"")</f>
        <v>Equivalent Pace: 4:39 min/km</v>
      </c>
      <c r="Y121" s="1910"/>
      <c r="Z121" s="1911">
        <f ca="1">IF(AA116&gt;0, INDEX(final_duration_WU,((WEEKDAY(Y$3,2)*2-1)+IF(Y116="Morning",0,1)),X116)  + INDEX(final_duration_WD,((WEEKDAY(Y$3,2)*2-1)+IF(Y116="Morning",0,1)),X116), "")</f>
        <v>0</v>
      </c>
      <c r="AA121" s="1912"/>
      <c r="AB121" s="178"/>
      <c r="AC121" s="1909" t="str">
        <f ca="1">IF(AF116&gt;0,CONCATENATE("Equivalent Pace: ",
TEXT(INDEX(sessions_pace_primary,INDEX(plan_session_allocation,(WEEKDAY(AD$3,2)*2-1)+IF(AD116="Morning",0,1),AC116)),"m:ss"),
" min/km"
),"")</f>
        <v>Equivalent Pace: 4:14 min/km</v>
      </c>
      <c r="AD121" s="1910"/>
      <c r="AE121" s="1911">
        <f ca="1">IF(AF116&gt;0, INDEX(final_duration_WU,((WEEKDAY(AD$3,2)*2-1)+IF(AD116="Morning",0,1)),AC116)  + INDEX(final_duration_WD,((WEEKDAY(AD$3,2)*2-1)+IF(AD116="Morning",0,1)),AC116), "")</f>
        <v>30</v>
      </c>
      <c r="AF121" s="1912"/>
      <c r="AG121" s="178"/>
      <c r="AH121" s="1909" t="str">
        <f ca="1">IF(AK116&gt;0,CONCATENATE("Equivalent Pace: ",
TEXT(INDEX(sessions_pace_primary,INDEX(plan_session_allocation,(WEEKDAY(AI$3,2)*2-1)+IF(AI116="Morning",0,1),AH116)),"m:ss"),
" min/km"
),"")</f>
        <v>Equivalent Pace: 4:14 min/km</v>
      </c>
      <c r="AI121" s="1910"/>
      <c r="AJ121" s="1911">
        <f ca="1">IF(AK116&gt;0, INDEX(final_duration_WU,((WEEKDAY(AI$3,2)*2-1)+IF(AI116="Morning",0,1)),AH116)  + INDEX(final_duration_WD,((WEEKDAY(AI$3,2)*2-1)+IF(AI116="Morning",0,1)),AH116), "")</f>
        <v>0</v>
      </c>
      <c r="AK121" s="1912"/>
      <c r="AL121" s="178"/>
    </row>
    <row r="122" spans="2:38" s="180" customFormat="1" ht="15" customHeight="1" x14ac:dyDescent="0.45">
      <c r="B122" s="1942"/>
      <c r="C122" s="1945"/>
      <c r="D122" s="1913" t="str">
        <f ca="1">IF(G116&gt;0,CONCATENATE(IFERROR(CONCATENATE(IF(INDEX(display_intervals_breakdown,((WEEKDAY(E$3,2)*2-1)+IF(E116="Morning",0,1)),D116)="","",CONCATENATE("Intervals/Reps Breakdown: 
",INDEX(display_intervals_breakdown,((WEEKDAY(E$3,2)*2-1)+IF(E116="Morning",0,1)),D116),"
")),"Session Description: 
",CONCATENATE(IF(INDEX(final_duration_secondary,((WEEKDAY(E$3,2)*2-1)+IF(E116="Morning",0,1)),D116)=0,"","1. "),
INDEX(sessions_description_primary,,INDEX(plan_session_allocation,((WEEKDAY(E$3,2)*2-1)+IF(E116="Morning",0,1)),D116)),IF(INDEX(final_duration_secondary,((WEEKDAY(E$3,2)*2-1)+IF(E116="Morning",0,1)),D116)=0,"","
2. "),
IF(INDEX(final_duration_secondary,((WEEKDAY(E$3,2)*2-1)+IF(E116="Morning",0,1)),D116)=0,"",INDEX(sessions_description_secondary,,INDEX(plan_session_allocation,((WEEKDAY(E$3,2)*2-1)+IF(E116="Morning",0,1)),D116))),IF(INDEX(final_duration_tertiary,((WEEKDAY(E$3,2)*2-1)+IF(E116="Morning",0,1)),D116)=0,"","
3. "),
IF(INDEX(final_duration_tertiary,((WEEKDAY(E$3,2)*2-1)+IF(E116="Morning",0,1)),D116)="","",INDEX(sessions_description_tertiary,,INDEX(plan_session_allocation,((WEEKDAY(E$3,2)*2-1)+IF(E116="Morning",0,1)),D116))),
IF(INDEX(display_nutrition_description,((WEEKDAY(E$3,2)*2-1)+IF(E116="Morning",0,1)),D116)="","",
CONCATENATE("
Meal Plan: ", INDEX(sessions_nutrition,,INDEX(plan_session_allocation,((WEEKDAY(E$3,2)*2-1)+IF(E116="Morning",0,1)),D116)), "
", INDEX(display_nutrition_description,((WEEKDAY(E$3,2)*2-1)+IF(E116="Morning",0,1)),D116)))
)),"")),"")</f>
        <v>Session Description: 
Stay at a comfortable and controlled intensity where you should be able to have a conversation without large pauses. Keep an even intensity and accept that your pace may change as the terrain changes.</v>
      </c>
      <c r="E122" s="1914"/>
      <c r="F122" s="1914"/>
      <c r="G122" s="1915"/>
      <c r="I122" s="1913" t="str">
        <f ca="1">IF(L116&gt;0,CONCATENATE(IFERROR(CONCATENATE(IF(INDEX(display_intervals_breakdown,((WEEKDAY(J$3,2)*2-1)+IF(J116="Morning",0,1)),I116)="","",CONCATENATE("Intervals/Reps Breakdown: 
",INDEX(display_intervals_breakdown,((WEEKDAY(J$3,2)*2-1)+IF(J116="Morning",0,1)),I116),"
")),"Session Description: 
",CONCATENATE(IF(INDEX(final_duration_secondary,((WEEKDAY(J$3,2)*2-1)+IF(J116="Morning",0,1)),I116)=0,"","1. "),
INDEX(sessions_description_primary,,INDEX(plan_session_allocation,((WEEKDAY(J$3,2)*2-1)+IF(J116="Morning",0,1)),I116)),IF(INDEX(final_duration_secondary,((WEEKDAY(J$3,2)*2-1)+IF(J116="Morning",0,1)),I116)=0,"","
2. "),
IF(INDEX(final_duration_secondary,((WEEKDAY(J$3,2)*2-1)+IF(J116="Morning",0,1)),I116)=0,"",INDEX(sessions_description_secondary,,INDEX(plan_session_allocation,((WEEKDAY(J$3,2)*2-1)+IF(J116="Morning",0,1)),I116))),IF(INDEX(final_duration_tertiary,((WEEKDAY(J$3,2)*2-1)+IF(J116="Morning",0,1)),I116)=0,"","
3. "),
IF(INDEX(final_duration_tertiary,((WEEKDAY(J$3,2)*2-1)+IF(J116="Morning",0,1)),I116)="","",INDEX(sessions_description_tertiary,,INDEX(plan_session_allocation,((WEEKDAY(J$3,2)*2-1)+IF(J116="Morning",0,1)),I116))),
IF(INDEX(display_nutrition_description,((WEEKDAY(J$3,2)*2-1)+IF(J116="Morning",0,1)),I116)="","",
CONCATENATE("
Meal Plan: ", INDEX(sessions_nutrition,,INDEX(plan_session_allocation,((WEEKDAY(J$3,2)*2-1)+IF(J116="Morning",0,1)),I116)), "
", INDEX(display_nutrition_description,((WEEKDAY(J$3,2)*2-1)+IF(J116="Morning",0,1)),I116)))
)),"")),"")</f>
        <v>Session Description: 
Stay at a comfortable and controlled intensity where you should be able to have a conversation without large pauses. Keep an even intensity and accept that your pace may change as the terrain changes.</v>
      </c>
      <c r="J122" s="1914"/>
      <c r="K122" s="1914"/>
      <c r="L122" s="1915"/>
      <c r="N122" s="1913" t="str">
        <f ca="1">IF(Q116&gt;0,CONCATENATE(IFERROR(CONCATENATE(IF(INDEX(display_intervals_breakdown,((WEEKDAY(O$3,2)*2-1)+IF(O116="Morning",0,1)),N116)="","",CONCATENATE("Intervals/Reps Breakdown: 
",INDEX(display_intervals_breakdown,((WEEKDAY(O$3,2)*2-1)+IF(O116="Morning",0,1)),N116),"
")),"Session Description: 
",CONCATENATE(IF(INDEX(final_duration_secondary,((WEEKDAY(O$3,2)*2-1)+IF(O116="Morning",0,1)),N116)=0,"","1. "),
INDEX(sessions_description_primary,,INDEX(plan_session_allocation,((WEEKDAY(O$3,2)*2-1)+IF(O116="Morning",0,1)),N116)),IF(INDEX(final_duration_secondary,((WEEKDAY(O$3,2)*2-1)+IF(O116="Morning",0,1)),N116)=0,"","
2. "),
IF(INDEX(final_duration_secondary,((WEEKDAY(O$3,2)*2-1)+IF(O116="Morning",0,1)),N116)=0,"",INDEX(sessions_description_secondary,,INDEX(plan_session_allocation,((WEEKDAY(O$3,2)*2-1)+IF(O116="Morning",0,1)),N116))),IF(INDEX(final_duration_tertiary,((WEEKDAY(O$3,2)*2-1)+IF(O116="Morning",0,1)),N116)=0,"","
3. "),
IF(INDEX(final_duration_tertiary,((WEEKDAY(O$3,2)*2-1)+IF(O116="Morning",0,1)),N116)="","",INDEX(sessions_description_tertiary,,INDEX(plan_session_allocation,((WEEKDAY(O$3,2)*2-1)+IF(O116="Morning",0,1)),N116))),
IF(INDEX(display_nutrition_description,((WEEKDAY(O$3,2)*2-1)+IF(O116="Morning",0,1)),N116)="","",
CONCATENATE("
Meal Plan: ", INDEX(sessions_nutrition,,INDEX(plan_session_allocation,((WEEKDAY(O$3,2)*2-1)+IF(O116="Morning",0,1)),N116)), "
", INDEX(display_nutrition_description,((WEEKDAY(O$3,2)*2-1)+IF(O116="Morning",0,1)),N116)))
)),"")),"")</f>
        <v/>
      </c>
      <c r="O122" s="1914"/>
      <c r="P122" s="1914"/>
      <c r="Q122" s="1915"/>
      <c r="S122" s="1913" t="str">
        <f ca="1">IF(V116&gt;0,CONCATENATE(IFERROR(CONCATENATE(IF(INDEX(display_intervals_breakdown,((WEEKDAY(T$3,2)*2-1)+IF(T116="Morning",0,1)),S116)="","",CONCATENATE("Intervals/Reps Breakdown: 
",INDEX(display_intervals_breakdown,((WEEKDAY(T$3,2)*2-1)+IF(T116="Morning",0,1)),S116),"
")),"Session Description: 
",CONCATENATE(IF(INDEX(final_duration_secondary,((WEEKDAY(T$3,2)*2-1)+IF(T116="Morning",0,1)),S116)=0,"","1. "),
INDEX(sessions_description_primary,,INDEX(plan_session_allocation,((WEEKDAY(T$3,2)*2-1)+IF(T116="Morning",0,1)),S116)),IF(INDEX(final_duration_secondary,((WEEKDAY(T$3,2)*2-1)+IF(T116="Morning",0,1)),S116)=0,"","
2. "),
IF(INDEX(final_duration_secondary,((WEEKDAY(T$3,2)*2-1)+IF(T116="Morning",0,1)),S116)=0,"",INDEX(sessions_description_secondary,,INDEX(plan_session_allocation,((WEEKDAY(T$3,2)*2-1)+IF(T116="Morning",0,1)),S116))),IF(INDEX(final_duration_tertiary,((WEEKDAY(T$3,2)*2-1)+IF(T116="Morning",0,1)),S116)=0,"","
3. "),
IF(INDEX(final_duration_tertiary,((WEEKDAY(T$3,2)*2-1)+IF(T116="Morning",0,1)),S116)="","",INDEX(sessions_description_tertiary,,INDEX(plan_session_allocation,((WEEKDAY(T$3,2)*2-1)+IF(T116="Morning",0,1)),S116))),
IF(INDEX(display_nutrition_description,((WEEKDAY(T$3,2)*2-1)+IF(T116="Morning",0,1)),S116)="","",
CONCATENATE("
Meal Plan: ", INDEX(sessions_nutrition,,INDEX(plan_session_allocation,((WEEKDAY(T$3,2)*2-1)+IF(T116="Morning",0,1)),S116)), "
", INDEX(display_nutrition_description,((WEEKDAY(T$3,2)*2-1)+IF(T116="Morning",0,1)),S116)))
)),"")),"")</f>
        <v>Session Description: 
Stay at a comfortable and controlled intensity where you should be able to have a conversation without large pauses. Keep an even intensity and accept that your pace may change as the terrain changes.</v>
      </c>
      <c r="T122" s="1914"/>
      <c r="U122" s="1914"/>
      <c r="V122" s="1915"/>
      <c r="X122" s="1913" t="str">
        <f ca="1">IF(AA116&gt;0,CONCATENATE(IFERROR(CONCATENATE(IF(INDEX(display_intervals_breakdown,((WEEKDAY(Y$3,2)*2-1)+IF(Y116="Morning",0,1)),X116)="","",CONCATENATE("Intervals/Reps Breakdown: 
",INDEX(display_intervals_breakdown,((WEEKDAY(Y$3,2)*2-1)+IF(Y116="Morning",0,1)),X116),"
")),"Session Description: 
",CONCATENATE(IF(INDEX(final_duration_secondary,((WEEKDAY(Y$3,2)*2-1)+IF(Y116="Morning",0,1)),X116)=0,"","1. "),
INDEX(sessions_description_primary,,INDEX(plan_session_allocation,((WEEKDAY(Y$3,2)*2-1)+IF(Y116="Morning",0,1)),X116)),IF(INDEX(final_duration_secondary,((WEEKDAY(Y$3,2)*2-1)+IF(Y116="Morning",0,1)),X116)=0,"","
2. "),
IF(INDEX(final_duration_secondary,((WEEKDAY(Y$3,2)*2-1)+IF(Y116="Morning",0,1)),X116)=0,"",INDEX(sessions_description_secondary,,INDEX(plan_session_allocation,((WEEKDAY(Y$3,2)*2-1)+IF(Y116="Morning",0,1)),X116))),IF(INDEX(final_duration_tertiary,((WEEKDAY(Y$3,2)*2-1)+IF(Y116="Morning",0,1)),X116)=0,"","
3. "),
IF(INDEX(final_duration_tertiary,((WEEKDAY(Y$3,2)*2-1)+IF(Y116="Morning",0,1)),X116)="","",INDEX(sessions_description_tertiary,,INDEX(plan_session_allocation,((WEEKDAY(Y$3,2)*2-1)+IF(Y116="Morning",0,1)),X116))),
IF(INDEX(display_nutrition_description,((WEEKDAY(Y$3,2)*2-1)+IF(Y116="Morning",0,1)),X116)="","",
CONCATENATE("
Meal Plan: ", INDEX(sessions_nutrition,,INDEX(plan_session_allocation,((WEEKDAY(Y$3,2)*2-1)+IF(Y116="Morning",0,1)),X116)), "
", INDEX(display_nutrition_description,((WEEKDAY(Y$3,2)*2-1)+IF(Y116="Morning",0,1)),X116)))
)),"")),"")</f>
        <v>Session Description: 
Stay at a comfortable and controlled intensity where you should be able to have a conversation without large pauses. Keep an even intensity and accept that your pace may change as the terrain changes.</v>
      </c>
      <c r="Y122" s="1914"/>
      <c r="Z122" s="1914"/>
      <c r="AA122" s="1915"/>
      <c r="AC122" s="1913" t="str">
        <f ca="1">IF(AF116&gt;0,CONCATENATE(IFERROR(CONCATENATE(IF(INDEX(display_intervals_breakdown,((WEEKDAY(AD$3,2)*2-1)+IF(AD116="Morning",0,1)),AC116)="","",CONCATENATE("Intervals/Reps Breakdown: 
",INDEX(display_intervals_breakdown,((WEEKDAY(AD$3,2)*2-1)+IF(AD116="Morning",0,1)),AC116),"
")),"Session Description: 
",CONCATENATE(IF(INDEX(final_duration_secondary,((WEEKDAY(AD$3,2)*2-1)+IF(AD116="Morning",0,1)),AC116)=0,"","1. "),
INDEX(sessions_description_primary,,INDEX(plan_session_allocation,((WEEKDAY(AD$3,2)*2-1)+IF(AD116="Morning",0,1)),AC116)),IF(INDEX(final_duration_secondary,((WEEKDAY(AD$3,2)*2-1)+IF(AD116="Morning",0,1)),AC116)=0,"","
2. "),
IF(INDEX(final_duration_secondary,((WEEKDAY(AD$3,2)*2-1)+IF(AD116="Morning",0,1)),AC116)=0,"",INDEX(sessions_description_secondary,,INDEX(plan_session_allocation,((WEEKDAY(AD$3,2)*2-1)+IF(AD116="Morning",0,1)),AC116))),IF(INDEX(final_duration_tertiary,((WEEKDAY(AD$3,2)*2-1)+IF(AD116="Morning",0,1)),AC116)=0,"","
3. "),
IF(INDEX(final_duration_tertiary,((WEEKDAY(AD$3,2)*2-1)+IF(AD116="Morning",0,1)),AC116)="","",INDEX(sessions_description_tertiary,,INDEX(plan_session_allocation,((WEEKDAY(AD$3,2)*2-1)+IF(AD116="Morning",0,1)),AC116))),
IF(INDEX(display_nutrition_description,((WEEKDAY(AD$3,2)*2-1)+IF(AD116="Morning",0,1)),AC116)="","",
CONCATENATE("
Meal Plan: ", INDEX(sessions_nutrition,,INDEX(plan_session_allocation,((WEEKDAY(AD$3,2)*2-1)+IF(AD116="Morning",0,1)),AC116)), "
", INDEX(display_nutrition_description,((WEEKDAY(AD$3,2)*2-1)+IF(AD116="Morning",0,1)),AC116)))
)),"")),"")</f>
        <v>Session Description: 
Perform a variety of specialised exercises to engage specific muscles and apply them in functional movements. These sessions must be learned with a coach first. Warm up and warm down for 10 minutes each.</v>
      </c>
      <c r="AD122" s="1914"/>
      <c r="AE122" s="1914"/>
      <c r="AF122" s="1915"/>
      <c r="AH122" s="1913" t="str">
        <f ca="1">IF(AK116&gt;0,CONCATENATE(IFERROR(CONCATENATE(IF(INDEX(display_intervals_breakdown,((WEEKDAY(AI$3,2)*2-1)+IF(AI116="Morning",0,1)),AH116)="","",CONCATENATE("Intervals/Reps Breakdown: 
",INDEX(display_intervals_breakdown,((WEEKDAY(AI$3,2)*2-1)+IF(AI116="Morning",0,1)),AH116),"
")),"Session Description: 
",CONCATENATE(IF(INDEX(final_duration_secondary,((WEEKDAY(AI$3,2)*2-1)+IF(AI116="Morning",0,1)),AH116)=0,"","1. "),
INDEX(sessions_description_primary,,INDEX(plan_session_allocation,((WEEKDAY(AI$3,2)*2-1)+IF(AI116="Morning",0,1)),AH116)),IF(INDEX(final_duration_secondary,((WEEKDAY(AI$3,2)*2-1)+IF(AI116="Morning",0,1)),AH116)=0,"","
2. "),
IF(INDEX(final_duration_secondary,((WEEKDAY(AI$3,2)*2-1)+IF(AI116="Morning",0,1)),AH116)=0,"",INDEX(sessions_description_secondary,,INDEX(plan_session_allocation,((WEEKDAY(AI$3,2)*2-1)+IF(AI116="Morning",0,1)),AH116))),IF(INDEX(final_duration_tertiary,((WEEKDAY(AI$3,2)*2-1)+IF(AI116="Morning",0,1)),AH116)=0,"","
3. "),
IF(INDEX(final_duration_tertiary,((WEEKDAY(AI$3,2)*2-1)+IF(AI116="Morning",0,1)),AH116)="","",INDEX(sessions_description_tertiary,,INDEX(plan_session_allocation,((WEEKDAY(AI$3,2)*2-1)+IF(AI116="Morning",0,1)),AH116))),
IF(INDEX(display_nutrition_description,((WEEKDAY(AI$3,2)*2-1)+IF(AI116="Morning",0,1)),AH116)="","",
CONCATENATE("
Meal Plan: ", INDEX(sessions_nutrition,,INDEX(plan_session_allocation,((WEEKDAY(AI$3,2)*2-1)+IF(AI116="Morning",0,1)),AH116)), "
", INDEX(display_nutrition_description,((WEEKDAY(AI$3,2)*2-1)+IF(AI116="Morning",0,1)),AH116)))
)),"")),"")</f>
        <v xml:space="preserve">Session Description: 
Fundamentally a steady, but you can be less strict at controlling your intensity as long as your average intensity is close to it's target by the end of the session </v>
      </c>
      <c r="AI122" s="1914"/>
      <c r="AJ122" s="1914"/>
      <c r="AK122" s="1915"/>
    </row>
    <row r="123" spans="2:38" s="180" customFormat="1" x14ac:dyDescent="0.45">
      <c r="B123" s="1942"/>
      <c r="C123" s="1945"/>
      <c r="D123" s="1916"/>
      <c r="E123" s="1917"/>
      <c r="F123" s="1917"/>
      <c r="G123" s="1918"/>
      <c r="I123" s="1916"/>
      <c r="J123" s="1917"/>
      <c r="K123" s="1917"/>
      <c r="L123" s="1918"/>
      <c r="N123" s="1916"/>
      <c r="O123" s="1917"/>
      <c r="P123" s="1917"/>
      <c r="Q123" s="1918"/>
      <c r="S123" s="1916"/>
      <c r="T123" s="1917"/>
      <c r="U123" s="1917"/>
      <c r="V123" s="1918"/>
      <c r="X123" s="1916"/>
      <c r="Y123" s="1917"/>
      <c r="Z123" s="1917"/>
      <c r="AA123" s="1918"/>
      <c r="AC123" s="1916"/>
      <c r="AD123" s="1917"/>
      <c r="AE123" s="1917"/>
      <c r="AF123" s="1918"/>
      <c r="AH123" s="1916"/>
      <c r="AI123" s="1917"/>
      <c r="AJ123" s="1917"/>
      <c r="AK123" s="1918"/>
    </row>
    <row r="124" spans="2:38" s="180" customFormat="1" x14ac:dyDescent="0.45">
      <c r="B124" s="1942"/>
      <c r="C124" s="1945"/>
      <c r="D124" s="1916"/>
      <c r="E124" s="1917"/>
      <c r="F124" s="1917"/>
      <c r="G124" s="1918"/>
      <c r="I124" s="1916"/>
      <c r="J124" s="1917"/>
      <c r="K124" s="1917"/>
      <c r="L124" s="1918"/>
      <c r="N124" s="1916"/>
      <c r="O124" s="1917"/>
      <c r="P124" s="1917"/>
      <c r="Q124" s="1918"/>
      <c r="S124" s="1916"/>
      <c r="T124" s="1917"/>
      <c r="U124" s="1917"/>
      <c r="V124" s="1918"/>
      <c r="X124" s="1916"/>
      <c r="Y124" s="1917"/>
      <c r="Z124" s="1917"/>
      <c r="AA124" s="1918"/>
      <c r="AC124" s="1916"/>
      <c r="AD124" s="1917"/>
      <c r="AE124" s="1917"/>
      <c r="AF124" s="1918"/>
      <c r="AH124" s="1916"/>
      <c r="AI124" s="1917"/>
      <c r="AJ124" s="1917"/>
      <c r="AK124" s="1918"/>
    </row>
    <row r="125" spans="2:38" s="180" customFormat="1" x14ac:dyDescent="0.45">
      <c r="B125" s="1942"/>
      <c r="C125" s="1945"/>
      <c r="D125" s="1916"/>
      <c r="E125" s="1917"/>
      <c r="F125" s="1917"/>
      <c r="G125" s="1918"/>
      <c r="I125" s="1916"/>
      <c r="J125" s="1917"/>
      <c r="K125" s="1917"/>
      <c r="L125" s="1918"/>
      <c r="N125" s="1916"/>
      <c r="O125" s="1917"/>
      <c r="P125" s="1917"/>
      <c r="Q125" s="1918"/>
      <c r="S125" s="1916"/>
      <c r="T125" s="1917"/>
      <c r="U125" s="1917"/>
      <c r="V125" s="1918"/>
      <c r="X125" s="1916"/>
      <c r="Y125" s="1917"/>
      <c r="Z125" s="1917"/>
      <c r="AA125" s="1918"/>
      <c r="AC125" s="1916"/>
      <c r="AD125" s="1917"/>
      <c r="AE125" s="1917"/>
      <c r="AF125" s="1918"/>
      <c r="AH125" s="1916"/>
      <c r="AI125" s="1917"/>
      <c r="AJ125" s="1917"/>
      <c r="AK125" s="1918"/>
    </row>
    <row r="126" spans="2:38" s="180" customFormat="1" x14ac:dyDescent="0.45">
      <c r="B126" s="1942"/>
      <c r="C126" s="1945"/>
      <c r="D126" s="1916"/>
      <c r="E126" s="1917"/>
      <c r="F126" s="1917"/>
      <c r="G126" s="1918"/>
      <c r="I126" s="1916"/>
      <c r="J126" s="1917"/>
      <c r="K126" s="1917"/>
      <c r="L126" s="1918"/>
      <c r="N126" s="1916"/>
      <c r="O126" s="1917"/>
      <c r="P126" s="1917"/>
      <c r="Q126" s="1918"/>
      <c r="S126" s="1916"/>
      <c r="T126" s="1917"/>
      <c r="U126" s="1917"/>
      <c r="V126" s="1918"/>
      <c r="X126" s="1916"/>
      <c r="Y126" s="1917"/>
      <c r="Z126" s="1917"/>
      <c r="AA126" s="1918"/>
      <c r="AC126" s="1916"/>
      <c r="AD126" s="1917"/>
      <c r="AE126" s="1917"/>
      <c r="AF126" s="1918"/>
      <c r="AH126" s="1916"/>
      <c r="AI126" s="1917"/>
      <c r="AJ126" s="1917"/>
      <c r="AK126" s="1918"/>
    </row>
    <row r="127" spans="2:38" s="180" customFormat="1" x14ac:dyDescent="0.45">
      <c r="B127" s="1942"/>
      <c r="C127" s="1945"/>
      <c r="D127" s="1916"/>
      <c r="E127" s="1917"/>
      <c r="F127" s="1917"/>
      <c r="G127" s="1918"/>
      <c r="I127" s="1916"/>
      <c r="J127" s="1917"/>
      <c r="K127" s="1917"/>
      <c r="L127" s="1918"/>
      <c r="N127" s="1916"/>
      <c r="O127" s="1917"/>
      <c r="P127" s="1917"/>
      <c r="Q127" s="1918"/>
      <c r="S127" s="1916"/>
      <c r="T127" s="1917"/>
      <c r="U127" s="1917"/>
      <c r="V127" s="1918"/>
      <c r="X127" s="1916"/>
      <c r="Y127" s="1917"/>
      <c r="Z127" s="1917"/>
      <c r="AA127" s="1918"/>
      <c r="AC127" s="1916"/>
      <c r="AD127" s="1917"/>
      <c r="AE127" s="1917"/>
      <c r="AF127" s="1918"/>
      <c r="AH127" s="1916"/>
      <c r="AI127" s="1917"/>
      <c r="AJ127" s="1917"/>
      <c r="AK127" s="1918"/>
    </row>
    <row r="128" spans="2:38" s="180" customFormat="1" x14ac:dyDescent="0.45">
      <c r="B128" s="1942"/>
      <c r="C128" s="1945"/>
      <c r="D128" s="1916"/>
      <c r="E128" s="1917"/>
      <c r="F128" s="1917"/>
      <c r="G128" s="1918"/>
      <c r="I128" s="1916"/>
      <c r="J128" s="1917"/>
      <c r="K128" s="1917"/>
      <c r="L128" s="1918"/>
      <c r="N128" s="1916"/>
      <c r="O128" s="1917"/>
      <c r="P128" s="1917"/>
      <c r="Q128" s="1918"/>
      <c r="S128" s="1916"/>
      <c r="T128" s="1917"/>
      <c r="U128" s="1917"/>
      <c r="V128" s="1918"/>
      <c r="X128" s="1916"/>
      <c r="Y128" s="1917"/>
      <c r="Z128" s="1917"/>
      <c r="AA128" s="1918"/>
      <c r="AC128" s="1916"/>
      <c r="AD128" s="1917"/>
      <c r="AE128" s="1917"/>
      <c r="AF128" s="1918"/>
      <c r="AH128" s="1916"/>
      <c r="AI128" s="1917"/>
      <c r="AJ128" s="1917"/>
      <c r="AK128" s="1918"/>
    </row>
    <row r="129" spans="2:38" s="180" customFormat="1" ht="15.75" customHeight="1" x14ac:dyDescent="0.45">
      <c r="B129" s="1942"/>
      <c r="C129" s="1945"/>
      <c r="D129" s="1916"/>
      <c r="E129" s="1917"/>
      <c r="F129" s="1917"/>
      <c r="G129" s="1918"/>
      <c r="I129" s="1916"/>
      <c r="J129" s="1917"/>
      <c r="K129" s="1917"/>
      <c r="L129" s="1918"/>
      <c r="N129" s="1916"/>
      <c r="O129" s="1917"/>
      <c r="P129" s="1917"/>
      <c r="Q129" s="1918"/>
      <c r="S129" s="1916"/>
      <c r="T129" s="1917"/>
      <c r="U129" s="1917"/>
      <c r="V129" s="1918"/>
      <c r="X129" s="1916"/>
      <c r="Y129" s="1917"/>
      <c r="Z129" s="1917"/>
      <c r="AA129" s="1918"/>
      <c r="AC129" s="1916"/>
      <c r="AD129" s="1917"/>
      <c r="AE129" s="1917"/>
      <c r="AF129" s="1918"/>
      <c r="AH129" s="1916"/>
      <c r="AI129" s="1917"/>
      <c r="AJ129" s="1917"/>
      <c r="AK129" s="1918"/>
    </row>
    <row r="130" spans="2:38" s="180" customFormat="1" x14ac:dyDescent="0.45">
      <c r="B130" s="1942"/>
      <c r="C130" s="1945"/>
      <c r="D130" s="1916"/>
      <c r="E130" s="1917"/>
      <c r="F130" s="1917"/>
      <c r="G130" s="1918"/>
      <c r="I130" s="1916"/>
      <c r="J130" s="1917"/>
      <c r="K130" s="1917"/>
      <c r="L130" s="1918"/>
      <c r="N130" s="1916"/>
      <c r="O130" s="1917"/>
      <c r="P130" s="1917"/>
      <c r="Q130" s="1918"/>
      <c r="S130" s="1916"/>
      <c r="T130" s="1917"/>
      <c r="U130" s="1917"/>
      <c r="V130" s="1918"/>
      <c r="X130" s="1916"/>
      <c r="Y130" s="1917"/>
      <c r="Z130" s="1917"/>
      <c r="AA130" s="1918"/>
      <c r="AC130" s="1916"/>
      <c r="AD130" s="1917"/>
      <c r="AE130" s="1917"/>
      <c r="AF130" s="1918"/>
      <c r="AH130" s="1916"/>
      <c r="AI130" s="1917"/>
      <c r="AJ130" s="1917"/>
      <c r="AK130" s="1918"/>
    </row>
    <row r="131" spans="2:38" s="180" customFormat="1" x14ac:dyDescent="0.45">
      <c r="B131" s="1942"/>
      <c r="C131" s="1945"/>
      <c r="D131" s="1916"/>
      <c r="E131" s="1917"/>
      <c r="F131" s="1917"/>
      <c r="G131" s="1918"/>
      <c r="I131" s="1916"/>
      <c r="J131" s="1917"/>
      <c r="K131" s="1917"/>
      <c r="L131" s="1918"/>
      <c r="N131" s="1916"/>
      <c r="O131" s="1917"/>
      <c r="P131" s="1917"/>
      <c r="Q131" s="1918"/>
      <c r="S131" s="1916"/>
      <c r="T131" s="1917"/>
      <c r="U131" s="1917"/>
      <c r="V131" s="1918"/>
      <c r="X131" s="1916"/>
      <c r="Y131" s="1917"/>
      <c r="Z131" s="1917"/>
      <c r="AA131" s="1918"/>
      <c r="AC131" s="1916"/>
      <c r="AD131" s="1917"/>
      <c r="AE131" s="1917"/>
      <c r="AF131" s="1918"/>
      <c r="AH131" s="1916"/>
      <c r="AI131" s="1917"/>
      <c r="AJ131" s="1917"/>
      <c r="AK131" s="1918"/>
    </row>
    <row r="132" spans="2:38" s="180" customFormat="1" x14ac:dyDescent="0.45">
      <c r="B132" s="1942"/>
      <c r="C132" s="1945"/>
      <c r="D132" s="1916"/>
      <c r="E132" s="1917"/>
      <c r="F132" s="1917"/>
      <c r="G132" s="1918"/>
      <c r="I132" s="1916"/>
      <c r="J132" s="1917"/>
      <c r="K132" s="1917"/>
      <c r="L132" s="1918"/>
      <c r="N132" s="1916"/>
      <c r="O132" s="1917"/>
      <c r="P132" s="1917"/>
      <c r="Q132" s="1918"/>
      <c r="S132" s="1916"/>
      <c r="T132" s="1917"/>
      <c r="U132" s="1917"/>
      <c r="V132" s="1918"/>
      <c r="X132" s="1916"/>
      <c r="Y132" s="1917"/>
      <c r="Z132" s="1917"/>
      <c r="AA132" s="1918"/>
      <c r="AC132" s="1916"/>
      <c r="AD132" s="1917"/>
      <c r="AE132" s="1917"/>
      <c r="AF132" s="1918"/>
      <c r="AH132" s="1916"/>
      <c r="AI132" s="1917"/>
      <c r="AJ132" s="1917"/>
      <c r="AK132" s="1918"/>
    </row>
    <row r="133" spans="2:38" s="180" customFormat="1" x14ac:dyDescent="0.45">
      <c r="B133" s="1942"/>
      <c r="C133" s="1945"/>
      <c r="D133" s="1916"/>
      <c r="E133" s="1917"/>
      <c r="F133" s="1917"/>
      <c r="G133" s="1918"/>
      <c r="I133" s="1916"/>
      <c r="J133" s="1917"/>
      <c r="K133" s="1917"/>
      <c r="L133" s="1918"/>
      <c r="N133" s="1916"/>
      <c r="O133" s="1917"/>
      <c r="P133" s="1917"/>
      <c r="Q133" s="1918"/>
      <c r="S133" s="1916"/>
      <c r="T133" s="1917"/>
      <c r="U133" s="1917"/>
      <c r="V133" s="1918"/>
      <c r="X133" s="1916"/>
      <c r="Y133" s="1917"/>
      <c r="Z133" s="1917"/>
      <c r="AA133" s="1918"/>
      <c r="AC133" s="1916"/>
      <c r="AD133" s="1917"/>
      <c r="AE133" s="1917"/>
      <c r="AF133" s="1918"/>
      <c r="AH133" s="1916"/>
      <c r="AI133" s="1917"/>
      <c r="AJ133" s="1917"/>
      <c r="AK133" s="1918"/>
    </row>
    <row r="134" spans="2:38" s="180" customFormat="1" x14ac:dyDescent="0.45">
      <c r="B134" s="1942"/>
      <c r="C134" s="1945"/>
      <c r="D134" s="1916"/>
      <c r="E134" s="1917"/>
      <c r="F134" s="1917"/>
      <c r="G134" s="1918"/>
      <c r="I134" s="1916"/>
      <c r="J134" s="1917"/>
      <c r="K134" s="1917"/>
      <c r="L134" s="1918"/>
      <c r="N134" s="1916"/>
      <c r="O134" s="1917"/>
      <c r="P134" s="1917"/>
      <c r="Q134" s="1918"/>
      <c r="S134" s="1916"/>
      <c r="T134" s="1917"/>
      <c r="U134" s="1917"/>
      <c r="V134" s="1918"/>
      <c r="X134" s="1916"/>
      <c r="Y134" s="1917"/>
      <c r="Z134" s="1917"/>
      <c r="AA134" s="1918"/>
      <c r="AC134" s="1916"/>
      <c r="AD134" s="1917"/>
      <c r="AE134" s="1917"/>
      <c r="AF134" s="1918"/>
      <c r="AH134" s="1916"/>
      <c r="AI134" s="1917"/>
      <c r="AJ134" s="1917"/>
      <c r="AK134" s="1918"/>
    </row>
    <row r="135" spans="2:38" s="180" customFormat="1" x14ac:dyDescent="0.45">
      <c r="B135" s="1942"/>
      <c r="C135" s="1945"/>
      <c r="D135" s="1919"/>
      <c r="E135" s="1920"/>
      <c r="F135" s="1920"/>
      <c r="G135" s="1921"/>
      <c r="I135" s="1919"/>
      <c r="J135" s="1920"/>
      <c r="K135" s="1920"/>
      <c r="L135" s="1921"/>
      <c r="N135" s="1919"/>
      <c r="O135" s="1920"/>
      <c r="P135" s="1920"/>
      <c r="Q135" s="1921"/>
      <c r="S135" s="1919"/>
      <c r="T135" s="1920"/>
      <c r="U135" s="1920"/>
      <c r="V135" s="1921"/>
      <c r="X135" s="1919"/>
      <c r="Y135" s="1920"/>
      <c r="Z135" s="1920"/>
      <c r="AA135" s="1921"/>
      <c r="AC135" s="1919"/>
      <c r="AD135" s="1920"/>
      <c r="AE135" s="1920"/>
      <c r="AF135" s="1921"/>
      <c r="AH135" s="1919"/>
      <c r="AI135" s="1920"/>
      <c r="AJ135" s="1920"/>
      <c r="AK135" s="1921"/>
    </row>
    <row r="136" spans="2:38" s="180" customFormat="1" ht="15" customHeight="1" x14ac:dyDescent="0.45">
      <c r="B136" s="1942"/>
      <c r="C136" s="1945"/>
      <c r="D136" s="1913" t="str">
        <f ca="1">IF(G116&gt;0,CONCATENATE("Session Aim: 
", CONCATENATE(IF(INDEX(final_duration_secondary,((WEEKDAY(E$3,2)*2-1)+IF(E116="Morning",0,1)),D116)=0, "", "1. "),
INDEX(sessions_aim_primary,, INDEX(plan_session_allocation,((WEEKDAY(E$3,2)*2-1)+IF(E116="Morning",0,1)),D116)), IF(INDEX(final_duration_secondary,((WEEKDAY(E$3,2)*2-1)+IF(E116="Morning",0,1)),D116)=0, "", "
2. "),
IF(INDEX(final_duration_secondary,((WEEKDAY(E$3,2)*2-1)+IF(E116="Morning",0,1)),D116)=0, "", INDEX(sessions_aim_secondary,, INDEX(plan_session_allocation,((WEEKDAY(E$3,2)*2-1)+IF(E116="Morning",0,1)),D116))), IF(INDEX(final_duration_tertiary,((WEEKDAY(E$3,2)*2-1)+IF(E116="Morning",0,1)),D116)=0, "", "
3. "),
IF(INDEX(final_duration_tertiary,((WEEKDAY(E$3,2)*2-1)+IF(E116="Morning",0,1)),D116)=0, "", INDEX(sessions_aim_tertiary,, INDEX(plan_session_allocation,((WEEKDAY(E$3,2)*2-1)+IF(E116="Morning",0,1)),D116))),
IF(INDEX(display_nutrition_description,((WEEKDAY(E$3,2)*2-1)+IF(E116="Morning",0,1)),D116)="","",
CONCATENATE("
Nutrition Aim:
", INDEX(sessions_aim_nutrition,,INDEX(plan_session_allocation,((WEEKDAY(E$3,2)*2-1)+IF(E116="Morning",0,1)),D116))
))
)),"")</f>
        <v xml:space="preserve">Session Aim: 
Improve aerobic fitness while minimising the chance of injury. </v>
      </c>
      <c r="E136" s="1914"/>
      <c r="F136" s="1914"/>
      <c r="G136" s="1915"/>
      <c r="I136" s="1913" t="str">
        <f ca="1">IF(L116&gt;0,CONCATENATE("Session Aim: 
", CONCATENATE(IF(INDEX(final_duration_secondary,((WEEKDAY(J$3,2)*2-1)+IF(J116="Morning",0,1)),I116)=0, "", "1. "),
INDEX(sessions_aim_primary,, INDEX(plan_session_allocation,((WEEKDAY(J$3,2)*2-1)+IF(J116="Morning",0,1)),I116)), IF(INDEX(final_duration_secondary,((WEEKDAY(J$3,2)*2-1)+IF(J116="Morning",0,1)),I116)=0, "", "
2. "),
IF(INDEX(final_duration_secondary,((WEEKDAY(J$3,2)*2-1)+IF(J116="Morning",0,1)),I116)=0, "", INDEX(sessions_aim_secondary,, INDEX(plan_session_allocation,((WEEKDAY(J$3,2)*2-1)+IF(J116="Morning",0,1)),I116))), IF(INDEX(final_duration_tertiary,((WEEKDAY(J$3,2)*2-1)+IF(J116="Morning",0,1)),I116)=0, "", "
3. "),
IF(INDEX(final_duration_tertiary,((WEEKDAY(J$3,2)*2-1)+IF(J116="Morning",0,1)),I116)=0, "", INDEX(sessions_aim_tertiary,, INDEX(plan_session_allocation,((WEEKDAY(J$3,2)*2-1)+IF(J116="Morning",0,1)),I116))),
IF(INDEX(display_nutrition_description,((WEEKDAY(J$3,2)*2-1)+IF(J116="Morning",0,1)),I116)="","",
CONCATENATE("
Nutrition Aim:
", INDEX(sessions_aim_nutrition,,INDEX(plan_session_allocation,((WEEKDAY(J$3,2)*2-1)+IF(J116="Morning",0,1)),I116))
))
)),"")</f>
        <v xml:space="preserve">Session Aim: 
Improve aerobic fitness while minimising the chance of injury. </v>
      </c>
      <c r="J136" s="1914"/>
      <c r="K136" s="1914"/>
      <c r="L136" s="1915"/>
      <c r="N136" s="1913" t="str">
        <f ca="1">IF(Q116&gt;0,CONCATENATE("Session Aim: 
", CONCATENATE(IF(INDEX(final_duration_secondary,((WEEKDAY(O$3,2)*2-1)+IF(O116="Morning",0,1)),N116)=0, "", "1. "),
INDEX(sessions_aim_primary,, INDEX(plan_session_allocation,((WEEKDAY(O$3,2)*2-1)+IF(O116="Morning",0,1)),N116)), IF(INDEX(final_duration_secondary,((WEEKDAY(O$3,2)*2-1)+IF(O116="Morning",0,1)),N116)=0, "", "
2. "),
IF(INDEX(final_duration_secondary,((WEEKDAY(O$3,2)*2-1)+IF(O116="Morning",0,1)),N116)=0, "", INDEX(sessions_aim_secondary,, INDEX(plan_session_allocation,((WEEKDAY(O$3,2)*2-1)+IF(O116="Morning",0,1)),N116))), IF(INDEX(final_duration_tertiary,((WEEKDAY(O$3,2)*2-1)+IF(O116="Morning",0,1)),N116)=0, "", "
3. "),
IF(INDEX(final_duration_tertiary,((WEEKDAY(O$3,2)*2-1)+IF(O116="Morning",0,1)),N116)=0, "", INDEX(sessions_aim_tertiary,, INDEX(plan_session_allocation,((WEEKDAY(O$3,2)*2-1)+IF(O116="Morning",0,1)),N116))),
IF(INDEX(display_nutrition_description,((WEEKDAY(O$3,2)*2-1)+IF(O116="Morning",0,1)),N116)="","",
CONCATENATE("
Nutrition Aim:
", INDEX(sessions_aim_nutrition,,INDEX(plan_session_allocation,((WEEKDAY(O$3,2)*2-1)+IF(O116="Morning",0,1)),N116))
))
)),"")</f>
        <v/>
      </c>
      <c r="O136" s="1914"/>
      <c r="P136" s="1914"/>
      <c r="Q136" s="1915"/>
      <c r="S136" s="1913" t="str">
        <f ca="1">IF(V116&gt;0,CONCATENATE("Session Aim: 
", CONCATENATE(IF(INDEX(final_duration_secondary,((WEEKDAY(T$3,2)*2-1)+IF(T116="Morning",0,1)),S116)=0, "", "1. "),
INDEX(sessions_aim_primary,, INDEX(plan_session_allocation,((WEEKDAY(T$3,2)*2-1)+IF(T116="Morning",0,1)),S116)), IF(INDEX(final_duration_secondary,((WEEKDAY(T$3,2)*2-1)+IF(T116="Morning",0,1)),S116)=0, "", "
2. "),
IF(INDEX(final_duration_secondary,((WEEKDAY(T$3,2)*2-1)+IF(T116="Morning",0,1)),S116)=0, "", INDEX(sessions_aim_secondary,, INDEX(plan_session_allocation,((WEEKDAY(T$3,2)*2-1)+IF(T116="Morning",0,1)),S116))), IF(INDEX(final_duration_tertiary,((WEEKDAY(T$3,2)*2-1)+IF(T116="Morning",0,1)),S116)=0, "", "
3. "),
IF(INDEX(final_duration_tertiary,((WEEKDAY(T$3,2)*2-1)+IF(T116="Morning",0,1)),S116)=0, "", INDEX(sessions_aim_tertiary,, INDEX(plan_session_allocation,((WEEKDAY(T$3,2)*2-1)+IF(T116="Morning",0,1)),S116))),
IF(INDEX(display_nutrition_description,((WEEKDAY(T$3,2)*2-1)+IF(T116="Morning",0,1)),S116)="","",
CONCATENATE("
Nutrition Aim:
", INDEX(sessions_aim_nutrition,,INDEX(plan_session_allocation,((WEEKDAY(T$3,2)*2-1)+IF(T116="Morning",0,1)),S116))
))
)),"")</f>
        <v xml:space="preserve">Session Aim: 
Improve aerobic fitness while minimising the chance of injury. </v>
      </c>
      <c r="T136" s="1914"/>
      <c r="U136" s="1914"/>
      <c r="V136" s="1915"/>
      <c r="X136" s="1913" t="str">
        <f ca="1">IF(AA116&gt;0,CONCATENATE("Session Aim: 
", CONCATENATE(IF(INDEX(final_duration_secondary,((WEEKDAY(Y$3,2)*2-1)+IF(Y116="Morning",0,1)),X116)=0, "", "1. "),
INDEX(sessions_aim_primary,, INDEX(plan_session_allocation,((WEEKDAY(Y$3,2)*2-1)+IF(Y116="Morning",0,1)),X116)), IF(INDEX(final_duration_secondary,((WEEKDAY(Y$3,2)*2-1)+IF(Y116="Morning",0,1)),X116)=0, "", "
2. "),
IF(INDEX(final_duration_secondary,((WEEKDAY(Y$3,2)*2-1)+IF(Y116="Morning",0,1)),X116)=0, "", INDEX(sessions_aim_secondary,, INDEX(plan_session_allocation,((WEEKDAY(Y$3,2)*2-1)+IF(Y116="Morning",0,1)),X116))), IF(INDEX(final_duration_tertiary,((WEEKDAY(Y$3,2)*2-1)+IF(Y116="Morning",0,1)),X116)=0, "", "
3. "),
IF(INDEX(final_duration_tertiary,((WEEKDAY(Y$3,2)*2-1)+IF(Y116="Morning",0,1)),X116)=0, "", INDEX(sessions_aim_tertiary,, INDEX(plan_session_allocation,((WEEKDAY(Y$3,2)*2-1)+IF(Y116="Morning",0,1)),X116))),
IF(INDEX(display_nutrition_description,((WEEKDAY(Y$3,2)*2-1)+IF(Y116="Morning",0,1)),X116)="","",
CONCATENATE("
Nutrition Aim:
", INDEX(sessions_aim_nutrition,,INDEX(plan_session_allocation,((WEEKDAY(Y$3,2)*2-1)+IF(Y116="Morning",0,1)),X116))
))
)),"")</f>
        <v xml:space="preserve">Session Aim: 
Improve aerobic fitness while minimising the chance of injury. </v>
      </c>
      <c r="Y136" s="1914"/>
      <c r="Z136" s="1914"/>
      <c r="AA136" s="1915"/>
      <c r="AC136" s="1913" t="str">
        <f ca="1">IF(AF116&gt;0,CONCATENATE("Session Aim: 
", CONCATENATE(IF(INDEX(final_duration_secondary,((WEEKDAY(AD$3,2)*2-1)+IF(AD116="Morning",0,1)),AC116)=0, "", "1. "),
INDEX(sessions_aim_primary,, INDEX(plan_session_allocation,((WEEKDAY(AD$3,2)*2-1)+IF(AD116="Morning",0,1)),AC116)), IF(INDEX(final_duration_secondary,((WEEKDAY(AD$3,2)*2-1)+IF(AD116="Morning",0,1)),AC116)=0, "", "
2. "),
IF(INDEX(final_duration_secondary,((WEEKDAY(AD$3,2)*2-1)+IF(AD116="Morning",0,1)),AC116)=0, "", INDEX(sessions_aim_secondary,, INDEX(plan_session_allocation,((WEEKDAY(AD$3,2)*2-1)+IF(AD116="Morning",0,1)),AC116))), IF(INDEX(final_duration_tertiary,((WEEKDAY(AD$3,2)*2-1)+IF(AD116="Morning",0,1)),AC116)=0, "", "
3. "),
IF(INDEX(final_duration_tertiary,((WEEKDAY(AD$3,2)*2-1)+IF(AD116="Morning",0,1)),AC116)=0, "", INDEX(sessions_aim_tertiary,, INDEX(plan_session_allocation,((WEEKDAY(AD$3,2)*2-1)+IF(AD116="Morning",0,1)),AC116))),
IF(INDEX(display_nutrition_description,((WEEKDAY(AD$3,2)*2-1)+IF(AD116="Morning",0,1)),AC116)="","",
CONCATENATE("
Nutrition Aim:
", INDEX(sessions_aim_nutrition,,INDEX(plan_session_allocation,((WEEKDAY(AD$3,2)*2-1)+IF(AD116="Morning",0,1)),AC116))
))
)),"")</f>
        <v xml:space="preserve">Session Aim: 
Improve running economy and injury resistance. </v>
      </c>
      <c r="AD136" s="1914"/>
      <c r="AE136" s="1914"/>
      <c r="AF136" s="1915"/>
      <c r="AH136" s="1913" t="str">
        <f ca="1">IF(AK116&gt;0,CONCATENATE("Session Aim: 
", CONCATENATE(IF(INDEX(final_duration_secondary,((WEEKDAY(AI$3,2)*2-1)+IF(AI116="Morning",0,1)),AH116)=0, "", "1. "),
INDEX(sessions_aim_primary,, INDEX(plan_session_allocation,((WEEKDAY(AI$3,2)*2-1)+IF(AI116="Morning",0,1)),AH116)), IF(INDEX(final_duration_secondary,((WEEKDAY(AI$3,2)*2-1)+IF(AI116="Morning",0,1)),AH116)=0, "", "
2. "),
IF(INDEX(final_duration_secondary,((WEEKDAY(AI$3,2)*2-1)+IF(AI116="Morning",0,1)),AH116)=0, "", INDEX(sessions_aim_secondary,, INDEX(plan_session_allocation,((WEEKDAY(AI$3,2)*2-1)+IF(AI116="Morning",0,1)),AH116))), IF(INDEX(final_duration_tertiary,((WEEKDAY(AI$3,2)*2-1)+IF(AI116="Morning",0,1)),AH116)=0, "", "
3. "),
IF(INDEX(final_duration_tertiary,((WEEKDAY(AI$3,2)*2-1)+IF(AI116="Morning",0,1)),AH116)=0, "", INDEX(sessions_aim_tertiary,, INDEX(plan_session_allocation,((WEEKDAY(AI$3,2)*2-1)+IF(AI116="Morning",0,1)),AH116))),
IF(INDEX(display_nutrition_description,((WEEKDAY(AI$3,2)*2-1)+IF(AI116="Morning",0,1)),AH116)="","",
CONCATENATE("
Nutrition Aim:
", INDEX(sessions_aim_nutrition,,INDEX(plan_session_allocation,((WEEKDAY(AI$3,2)*2-1)+IF(AI116="Morning",0,1)),AH116))
))
)),"")</f>
        <v xml:space="preserve">Session Aim: 
Improve aerobic fitness and energy utilisation. </v>
      </c>
      <c r="AI136" s="1914"/>
      <c r="AJ136" s="1914"/>
      <c r="AK136" s="1915"/>
    </row>
    <row r="137" spans="2:38" s="180" customFormat="1" x14ac:dyDescent="0.45">
      <c r="B137" s="1942"/>
      <c r="C137" s="1945"/>
      <c r="D137" s="1916"/>
      <c r="E137" s="1917"/>
      <c r="F137" s="1917"/>
      <c r="G137" s="1918"/>
      <c r="I137" s="1916"/>
      <c r="J137" s="1917"/>
      <c r="K137" s="1917"/>
      <c r="L137" s="1918"/>
      <c r="N137" s="1916"/>
      <c r="O137" s="1917"/>
      <c r="P137" s="1917"/>
      <c r="Q137" s="1918"/>
      <c r="S137" s="1916"/>
      <c r="T137" s="1917"/>
      <c r="U137" s="1917"/>
      <c r="V137" s="1918"/>
      <c r="X137" s="1916"/>
      <c r="Y137" s="1917"/>
      <c r="Z137" s="1917"/>
      <c r="AA137" s="1918"/>
      <c r="AC137" s="1916"/>
      <c r="AD137" s="1917"/>
      <c r="AE137" s="1917"/>
      <c r="AF137" s="1918"/>
      <c r="AH137" s="1916"/>
      <c r="AI137" s="1917"/>
      <c r="AJ137" s="1917"/>
      <c r="AK137" s="1918"/>
    </row>
    <row r="138" spans="2:38" s="180" customFormat="1" x14ac:dyDescent="0.45">
      <c r="B138" s="1942"/>
      <c r="C138" s="1945"/>
      <c r="D138" s="1916"/>
      <c r="E138" s="1917"/>
      <c r="F138" s="1917"/>
      <c r="G138" s="1918"/>
      <c r="I138" s="1916"/>
      <c r="J138" s="1917"/>
      <c r="K138" s="1917"/>
      <c r="L138" s="1918"/>
      <c r="N138" s="1916"/>
      <c r="O138" s="1917"/>
      <c r="P138" s="1917"/>
      <c r="Q138" s="1918"/>
      <c r="S138" s="1916"/>
      <c r="T138" s="1917"/>
      <c r="U138" s="1917"/>
      <c r="V138" s="1918"/>
      <c r="X138" s="1916"/>
      <c r="Y138" s="1917"/>
      <c r="Z138" s="1917"/>
      <c r="AA138" s="1918"/>
      <c r="AC138" s="1916"/>
      <c r="AD138" s="1917"/>
      <c r="AE138" s="1917"/>
      <c r="AF138" s="1918"/>
      <c r="AH138" s="1916"/>
      <c r="AI138" s="1917"/>
      <c r="AJ138" s="1917"/>
      <c r="AK138" s="1918"/>
    </row>
    <row r="139" spans="2:38" s="180" customFormat="1" x14ac:dyDescent="0.45">
      <c r="B139" s="1942"/>
      <c r="C139" s="1945"/>
      <c r="D139" s="1916"/>
      <c r="E139" s="1917"/>
      <c r="F139" s="1917"/>
      <c r="G139" s="1918"/>
      <c r="I139" s="1916"/>
      <c r="J139" s="1917"/>
      <c r="K139" s="1917"/>
      <c r="L139" s="1918"/>
      <c r="N139" s="1916"/>
      <c r="O139" s="1917"/>
      <c r="P139" s="1917"/>
      <c r="Q139" s="1918"/>
      <c r="S139" s="1916"/>
      <c r="T139" s="1917"/>
      <c r="U139" s="1917"/>
      <c r="V139" s="1918"/>
      <c r="X139" s="1916"/>
      <c r="Y139" s="1917"/>
      <c r="Z139" s="1917"/>
      <c r="AA139" s="1918"/>
      <c r="AC139" s="1916"/>
      <c r="AD139" s="1917"/>
      <c r="AE139" s="1917"/>
      <c r="AF139" s="1918"/>
      <c r="AH139" s="1916"/>
      <c r="AI139" s="1917"/>
      <c r="AJ139" s="1917"/>
      <c r="AK139" s="1918"/>
    </row>
    <row r="140" spans="2:38" s="180" customFormat="1" x14ac:dyDescent="0.45">
      <c r="B140" s="1942"/>
      <c r="C140" s="1945"/>
      <c r="D140" s="1916"/>
      <c r="E140" s="1917"/>
      <c r="F140" s="1917"/>
      <c r="G140" s="1918"/>
      <c r="I140" s="1916"/>
      <c r="J140" s="1917"/>
      <c r="K140" s="1917"/>
      <c r="L140" s="1918"/>
      <c r="N140" s="1916"/>
      <c r="O140" s="1917"/>
      <c r="P140" s="1917"/>
      <c r="Q140" s="1918"/>
      <c r="S140" s="1916"/>
      <c r="T140" s="1917"/>
      <c r="U140" s="1917"/>
      <c r="V140" s="1918"/>
      <c r="X140" s="1916"/>
      <c r="Y140" s="1917"/>
      <c r="Z140" s="1917"/>
      <c r="AA140" s="1918"/>
      <c r="AC140" s="1916"/>
      <c r="AD140" s="1917"/>
      <c r="AE140" s="1917"/>
      <c r="AF140" s="1918"/>
      <c r="AH140" s="1916"/>
      <c r="AI140" s="1917"/>
      <c r="AJ140" s="1917"/>
      <c r="AK140" s="1918"/>
    </row>
    <row r="141" spans="2:38" s="180" customFormat="1" x14ac:dyDescent="0.45">
      <c r="B141" s="1942"/>
      <c r="C141" s="1945"/>
      <c r="D141" s="1916"/>
      <c r="E141" s="1917"/>
      <c r="F141" s="1917"/>
      <c r="G141" s="1918"/>
      <c r="I141" s="1916"/>
      <c r="J141" s="1917"/>
      <c r="K141" s="1917"/>
      <c r="L141" s="1918"/>
      <c r="N141" s="1916"/>
      <c r="O141" s="1917"/>
      <c r="P141" s="1917"/>
      <c r="Q141" s="1918"/>
      <c r="S141" s="1916"/>
      <c r="T141" s="1917"/>
      <c r="U141" s="1917"/>
      <c r="V141" s="1918"/>
      <c r="X141" s="1916"/>
      <c r="Y141" s="1917"/>
      <c r="Z141" s="1917"/>
      <c r="AA141" s="1918"/>
      <c r="AC141" s="1916"/>
      <c r="AD141" s="1917"/>
      <c r="AE141" s="1917"/>
      <c r="AF141" s="1918"/>
      <c r="AH141" s="1916"/>
      <c r="AI141" s="1917"/>
      <c r="AJ141" s="1917"/>
      <c r="AK141" s="1918"/>
    </row>
    <row r="142" spans="2:38" s="180" customFormat="1" ht="14.65" thickBot="1" x14ac:dyDescent="0.5">
      <c r="B142" s="1942"/>
      <c r="C142" s="1945"/>
      <c r="D142" s="1938"/>
      <c r="E142" s="1939"/>
      <c r="F142" s="1939"/>
      <c r="G142" s="1940"/>
      <c r="I142" s="1938"/>
      <c r="J142" s="1939"/>
      <c r="K142" s="1939"/>
      <c r="L142" s="1940"/>
      <c r="N142" s="1938"/>
      <c r="O142" s="1939"/>
      <c r="P142" s="1939"/>
      <c r="Q142" s="1940"/>
      <c r="S142" s="1938"/>
      <c r="T142" s="1939"/>
      <c r="U142" s="1939"/>
      <c r="V142" s="1940"/>
      <c r="X142" s="1938"/>
      <c r="Y142" s="1939"/>
      <c r="Z142" s="1939"/>
      <c r="AA142" s="1940"/>
      <c r="AC142" s="1938"/>
      <c r="AD142" s="1939"/>
      <c r="AE142" s="1939"/>
      <c r="AF142" s="1940"/>
      <c r="AH142" s="1938"/>
      <c r="AI142" s="1939"/>
      <c r="AJ142" s="1939"/>
      <c r="AK142" s="1940"/>
    </row>
    <row r="143" spans="2:38" s="176" customFormat="1" ht="15.75" customHeight="1" x14ac:dyDescent="0.45">
      <c r="B143" s="1942"/>
      <c r="C143" s="1945"/>
      <c r="D143" s="1415">
        <f>$B115</f>
        <v>3</v>
      </c>
      <c r="E143" s="1930" t="s">
        <v>352</v>
      </c>
      <c r="F143" s="1930"/>
      <c r="G143" s="1414">
        <f ca="1">INDEX(final_duration_session,((WEEKDAY(E$3,2)*2-1)+IF(E143="Morning",0,1)),$D143)</f>
        <v>60</v>
      </c>
      <c r="H143" s="177"/>
      <c r="I143" s="1415">
        <f>$B115</f>
        <v>3</v>
      </c>
      <c r="J143" s="1930" t="s">
        <v>352</v>
      </c>
      <c r="K143" s="1930"/>
      <c r="L143" s="1414">
        <f ca="1">INDEX(final_duration_session,((WEEKDAY(J$3,2)*2-1)+IF(J143="Morning",0,1)),$D143)</f>
        <v>55</v>
      </c>
      <c r="M143" s="177"/>
      <c r="N143" s="1415">
        <f>$B115</f>
        <v>3</v>
      </c>
      <c r="O143" s="1930" t="s">
        <v>352</v>
      </c>
      <c r="P143" s="1930"/>
      <c r="Q143" s="1414">
        <f ca="1">INDEX(final_duration_session,((WEEKDAY(O$3,2)*2-1)+IF(O143="Morning",0,1)),$D143)</f>
        <v>85</v>
      </c>
      <c r="R143" s="177"/>
      <c r="S143" s="1415">
        <f>$B115</f>
        <v>3</v>
      </c>
      <c r="T143" s="1930" t="s">
        <v>352</v>
      </c>
      <c r="U143" s="1930"/>
      <c r="V143" s="1414">
        <f ca="1">INDEX(final_duration_session,((WEEKDAY(T$3,2)*2-1)+IF(T143="Morning",0,1)),$D143)</f>
        <v>90</v>
      </c>
      <c r="W143" s="177"/>
      <c r="X143" s="1415">
        <f>$B115</f>
        <v>3</v>
      </c>
      <c r="Y143" s="1930" t="s">
        <v>352</v>
      </c>
      <c r="Z143" s="1930"/>
      <c r="AA143" s="1414">
        <f ca="1">INDEX(final_duration_session,((WEEKDAY(Y$3,2)*2-1)+IF(Y143="Morning",0,1)),$D143)</f>
        <v>60</v>
      </c>
      <c r="AB143" s="177"/>
      <c r="AC143" s="1415">
        <f>$B115</f>
        <v>3</v>
      </c>
      <c r="AD143" s="1930" t="s">
        <v>352</v>
      </c>
      <c r="AE143" s="1930"/>
      <c r="AF143" s="1414">
        <f ca="1">INDEX(final_duration_session,((WEEKDAY(AD$3,2)*2-1)+IF(AD143="Morning",0,1)),$D143)</f>
        <v>60</v>
      </c>
      <c r="AG143" s="177"/>
      <c r="AH143" s="1415">
        <f>$B115</f>
        <v>3</v>
      </c>
      <c r="AI143" s="1930" t="s">
        <v>352</v>
      </c>
      <c r="AJ143" s="1930"/>
      <c r="AK143" s="1414">
        <f ca="1">INDEX(final_duration_session,((WEEKDAY(AI$3,2)*2-1)+IF(AI143="Morning",0,1)),$D143)</f>
        <v>0</v>
      </c>
      <c r="AL143" s="177"/>
    </row>
    <row r="144" spans="2:38" s="176" customFormat="1" ht="15" customHeight="1" x14ac:dyDescent="0.45">
      <c r="B144" s="1942"/>
      <c r="C144" s="1945"/>
      <c r="D144" s="1931" t="str">
        <f ca="1">IF(G143&gt;0,INDEX(sessions_name,INDEX(plan_session_allocation,((WEEKDAY(E$3,2)*2-1)+IF(E143="Morning",0,1)),D143)),"")</f>
        <v>Strength and Maintenance</v>
      </c>
      <c r="E144" s="1932"/>
      <c r="F144" s="1932"/>
      <c r="G144" s="1933"/>
      <c r="H144" s="177"/>
      <c r="I144" s="1931" t="str">
        <f ca="1">IF(L143&gt;0,INDEX(sessions_name,INDEX(plan_session_allocation,((WEEKDAY(J$3,2)*2-1)+IF(J143="Morning",0,1)),I143)),"")</f>
        <v>Hill Tempo</v>
      </c>
      <c r="J144" s="1932"/>
      <c r="K144" s="1932"/>
      <c r="L144" s="1933"/>
      <c r="M144" s="177"/>
      <c r="N144" s="1931" t="str">
        <f ca="1">IF(Q143&gt;0,INDEX(sessions_name,INDEX(plan_session_allocation,((WEEKDAY(O$3,2)*2-1)+IF(O143="Morning",0,1)),N143)),"")</f>
        <v xml:space="preserve">Easy </v>
      </c>
      <c r="O144" s="1932"/>
      <c r="P144" s="1932"/>
      <c r="Q144" s="1933"/>
      <c r="R144" s="177"/>
      <c r="S144" s="1931" t="str">
        <f ca="1">IF(V143&gt;0,INDEX(sessions_name,INDEX(plan_session_allocation,((WEEKDAY(T$3,2)*2-1)+IF(T143="Morning",0,1)),S143)),"")</f>
        <v>Steady</v>
      </c>
      <c r="T144" s="1932"/>
      <c r="U144" s="1932"/>
      <c r="V144" s="1933"/>
      <c r="W144" s="177"/>
      <c r="X144" s="1931" t="str">
        <f ca="1">IF(AA143&gt;0,INDEX(sessions_name,INDEX(plan_session_allocation,((WEEKDAY(Y$3,2)*2-1)+IF(Y143="Morning",0,1)),X143)),"")</f>
        <v>Strength and Maintenance</v>
      </c>
      <c r="Y144" s="1932"/>
      <c r="Z144" s="1932"/>
      <c r="AA144" s="1933"/>
      <c r="AB144" s="177"/>
      <c r="AC144" s="1931" t="str">
        <f ca="1">IF(AF143&gt;0,INDEX(sessions_name,INDEX(plan_session_allocation,((WEEKDAY(AD$3,2)*2-1)+IF(AD143="Morning",0,1)),AC143)),"")</f>
        <v>Easy</v>
      </c>
      <c r="AD144" s="1932"/>
      <c r="AE144" s="1932"/>
      <c r="AF144" s="1933"/>
      <c r="AG144" s="177"/>
      <c r="AH144" s="1931" t="str">
        <f ca="1">IF(AK143&gt;0,INDEX(sessions_name,INDEX(plan_session_allocation,((WEEKDAY(AI$3,2)*2-1)+IF(AI143="Morning",0,1)),AH143)),"")</f>
        <v/>
      </c>
      <c r="AI144" s="1932"/>
      <c r="AJ144" s="1932"/>
      <c r="AK144" s="1933"/>
      <c r="AL144" s="177"/>
    </row>
    <row r="145" spans="2:38" s="176" customFormat="1" ht="15" customHeight="1" x14ac:dyDescent="0.45">
      <c r="B145" s="1942"/>
      <c r="C145" s="1945"/>
      <c r="D145" s="1934" t="str">
        <f ca="1">IF(G143&gt;0,CONCATENATE("Sport: ",INDEX(sessions_sport_primary,INDEX(plan_session_allocation,(WEEKDAY(E$3,2)*2-1)+IF(E143="Morning",0,1),D143))),"")</f>
        <v>Sport: Indoor</v>
      </c>
      <c r="E145" s="1935"/>
      <c r="F145" s="1936">
        <f ca="1">IF(G143&gt;0,IFERROR(F146+F147+F148,""),"")</f>
        <v>60</v>
      </c>
      <c r="G145" s="1937"/>
      <c r="H145" s="177"/>
      <c r="I145" s="1934" t="str">
        <f ca="1">IF(L143&gt;0,CONCATENATE("Sport: ",INDEX(sessions_sport_primary,INDEX(plan_session_allocation,(WEEKDAY(J$3,2)*2-1)+IF(J143="Morning",0,1),I143))),"")</f>
        <v>Sport: Hilly Trail Run</v>
      </c>
      <c r="J145" s="1935"/>
      <c r="K145" s="1936">
        <f ca="1">IF(L143&gt;0,IFERROR(K146+K147+K148,""),"")</f>
        <v>55</v>
      </c>
      <c r="L145" s="1937"/>
      <c r="M145" s="177"/>
      <c r="N145" s="1934" t="str">
        <f ca="1">IF(Q143&gt;0,CONCATENATE("Sport: ",INDEX(sessions_sport_primary,INDEX(plan_session_allocation,(WEEKDAY(O$3,2)*2-1)+IF(O143="Morning",0,1),N143))),"")</f>
        <v>Sport: Road Ride</v>
      </c>
      <c r="O145" s="1935"/>
      <c r="P145" s="1936">
        <f ca="1">IF(Q143&gt;0,IFERROR(P146+P147+P148,""),"")</f>
        <v>85</v>
      </c>
      <c r="Q145" s="1937"/>
      <c r="R145" s="177"/>
      <c r="S145" s="1934" t="str">
        <f ca="1">IF(V143&gt;0,CONCATENATE("Sport: ",INDEX(sessions_sport_primary,INDEX(plan_session_allocation,(WEEKDAY(T$3,2)*2-1)+IF(T143="Morning",0,1),S143))),"")</f>
        <v>Sport: Hilly Trail Run</v>
      </c>
      <c r="T145" s="1935"/>
      <c r="U145" s="1936">
        <f ca="1">IF(V143&gt;0,IFERROR(U146+U147+U148,""),"")</f>
        <v>90</v>
      </c>
      <c r="V145" s="1937"/>
      <c r="W145" s="177"/>
      <c r="X145" s="1934" t="str">
        <f ca="1">IF(AA143&gt;0,CONCATENATE("Sport: ",INDEX(sessions_sport_primary,INDEX(plan_session_allocation,(WEEKDAY(Y$3,2)*2-1)+IF(Y143="Morning",0,1),X143))),"")</f>
        <v>Sport: Indoor</v>
      </c>
      <c r="Y145" s="1935"/>
      <c r="Z145" s="1936">
        <f ca="1">IF(AA143&gt;0,IFERROR(Z146+Z147+Z148,""),"")</f>
        <v>60</v>
      </c>
      <c r="AA145" s="1937"/>
      <c r="AB145" s="177"/>
      <c r="AC145" s="1934" t="str">
        <f ca="1">IF(AF143&gt;0,CONCATENATE("Sport: ",INDEX(sessions_sport_primary,INDEX(plan_session_allocation,(WEEKDAY(AD$3,2)*2-1)+IF(AD143="Morning",0,1),AC143))),"")</f>
        <v>Sport: Run</v>
      </c>
      <c r="AD145" s="1935"/>
      <c r="AE145" s="1936">
        <f ca="1">IF(AF143&gt;0,IFERROR(AE146+AE147+AE148,""),"")</f>
        <v>60</v>
      </c>
      <c r="AF145" s="1937"/>
      <c r="AG145" s="177"/>
      <c r="AH145" s="1934" t="str">
        <f ca="1">IF(AK143&gt;0,CONCATENATE("Sport: ",INDEX(sessions_sport_primary,INDEX(plan_session_allocation,(WEEKDAY(AI$3,2)*2-1)+IF(AI143="Morning",0,1),AH143))),"")</f>
        <v/>
      </c>
      <c r="AI145" s="1935"/>
      <c r="AJ145" s="1936" t="str">
        <f ca="1">IF(AK143&gt;0,IFERROR(AJ146+AJ147+AJ148,""),"")</f>
        <v/>
      </c>
      <c r="AK145" s="1937"/>
      <c r="AL145" s="177"/>
    </row>
    <row r="146" spans="2:38" s="177" customFormat="1" ht="15" customHeight="1" x14ac:dyDescent="0.45">
      <c r="B146" s="1942"/>
      <c r="C146" s="1945"/>
      <c r="D146" s="1922" t="str">
        <f ca="1">IF(G143&gt;0,CONCATENATE("HR Target: ",
INDEX(sessions_HR_primary,INDEX(plan_session_allocation,((WEEKDAY(E$3,2)*2-1)+IF(E143="Morning",0,1)),D143)),
IF(INDEX(sessions_HR_primary,INDEX(plan_session_allocation,((WEEKDAY(E$3,2)*2-1)+IF(E143="Morning",0,1)),D143))="N/A","",
" BPM")),"")</f>
        <v>HR Target: N/A</v>
      </c>
      <c r="E146" s="1923"/>
      <c r="F146" s="1924">
        <f ca="1">IF(G143&gt;0,
INDEX(final_duration_effort,((WEEKDAY(E$3,2)*2-1)+IF(E143="Morning",0,1)),D143),"")</f>
        <v>60</v>
      </c>
      <c r="G146" s="1925"/>
      <c r="I146" s="1922" t="str">
        <f ca="1">IF(L143&gt;0,CONCATENATE("HR Target: ",
INDEX(sessions_HR_primary,INDEX(plan_session_allocation,((WEEKDAY(J$3,2)*2-1)+IF(J143="Morning",0,1)),I143)),
IF(INDEX(sessions_HR_primary,INDEX(plan_session_allocation,((WEEKDAY(J$3,2)*2-1)+IF(J143="Morning",0,1)),I143))="N/A","",
" BPM")),"")</f>
        <v>HR Target: 177 BPM</v>
      </c>
      <c r="J146" s="1923"/>
      <c r="K146" s="1924">
        <f ca="1">IF(L143&gt;0,
INDEX(final_duration_effort,((WEEKDAY(J$3,2)*2-1)+IF(J143="Morning",0,1)),I143),"")</f>
        <v>25</v>
      </c>
      <c r="L146" s="1925"/>
      <c r="N146" s="1922" t="str">
        <f ca="1">IF(Q143&gt;0,CONCATENATE("HR Target: ",
INDEX(sessions_HR_primary,INDEX(plan_session_allocation,((WEEKDAY(O$3,2)*2-1)+IF(O143="Morning",0,1)),N143)),
IF(INDEX(sessions_HR_primary,INDEX(plan_session_allocation,((WEEKDAY(O$3,2)*2-1)+IF(O143="Morning",0,1)),N143))="N/A","",
" BPM")),"")</f>
        <v>HR Target: 138 BPM</v>
      </c>
      <c r="O146" s="1923"/>
      <c r="P146" s="1924">
        <f ca="1">IF(Q143&gt;0,
INDEX(final_duration_effort,((WEEKDAY(O$3,2)*2-1)+IF(O143="Morning",0,1)),N143),"")</f>
        <v>85</v>
      </c>
      <c r="Q146" s="1925"/>
      <c r="S146" s="1922" t="str">
        <f ca="1">IF(V143&gt;0,CONCATENATE("HR Target: ",
INDEX(sessions_HR_primary,INDEX(plan_session_allocation,((WEEKDAY(T$3,2)*2-1)+IF(T143="Morning",0,1)),S143)),
IF(INDEX(sessions_HR_primary,INDEX(plan_session_allocation,((WEEKDAY(T$3,2)*2-1)+IF(T143="Morning",0,1)),S143))="N/A","",
" BPM")),"")</f>
        <v>HR Target: 148 BPM</v>
      </c>
      <c r="T146" s="1923"/>
      <c r="U146" s="1924">
        <f ca="1">IF(V143&gt;0,
INDEX(final_duration_effort,((WEEKDAY(T$3,2)*2-1)+IF(T143="Morning",0,1)),S143),"")</f>
        <v>90</v>
      </c>
      <c r="V146" s="1925"/>
      <c r="X146" s="1922" t="str">
        <f ca="1">IF(AA143&gt;0,CONCATENATE("HR Target: ",
INDEX(sessions_HR_primary,INDEX(plan_session_allocation,((WEEKDAY(Y$3,2)*2-1)+IF(Y143="Morning",0,1)),X143)),
IF(INDEX(sessions_HR_primary,INDEX(plan_session_allocation,((WEEKDAY(Y$3,2)*2-1)+IF(Y143="Morning",0,1)),X143))="N/A","",
" BPM")),"")</f>
        <v>HR Target: N/A</v>
      </c>
      <c r="Y146" s="1923"/>
      <c r="Z146" s="1924">
        <f ca="1">IF(AA143&gt;0,
INDEX(final_duration_effort,((WEEKDAY(Y$3,2)*2-1)+IF(Y143="Morning",0,1)),X143),"")</f>
        <v>60</v>
      </c>
      <c r="AA146" s="1925"/>
      <c r="AC146" s="1922" t="str">
        <f ca="1">IF(AF143&gt;0,CONCATENATE("HR Target: ",
INDEX(sessions_HR_primary,INDEX(plan_session_allocation,((WEEKDAY(AD$3,2)*2-1)+IF(AD143="Morning",0,1)),AC143)),
IF(INDEX(sessions_HR_primary,INDEX(plan_session_allocation,((WEEKDAY(AD$3,2)*2-1)+IF(AD143="Morning",0,1)),AC143))="N/A","",
" BPM")),"")</f>
        <v>HR Target: 138 BPM</v>
      </c>
      <c r="AD146" s="1923"/>
      <c r="AE146" s="1924">
        <f ca="1">IF(AF143&gt;0,
INDEX(final_duration_effort,((WEEKDAY(AD$3,2)*2-1)+IF(AD143="Morning",0,1)),AC143),"")</f>
        <v>60</v>
      </c>
      <c r="AF146" s="1925"/>
      <c r="AH146" s="1922" t="str">
        <f ca="1">IF(AK143&gt;0,CONCATENATE("HR Target: ",
INDEX(sessions_HR_primary,INDEX(plan_session_allocation,((WEEKDAY(AI$3,2)*2-1)+IF(AI143="Morning",0,1)),AH143)),
IF(INDEX(sessions_HR_primary,INDEX(plan_session_allocation,((WEEKDAY(AI$3,2)*2-1)+IF(AI143="Morning",0,1)),AH143))="N/A","",
" BPM")),"")</f>
        <v/>
      </c>
      <c r="AI146" s="1923"/>
      <c r="AJ146" s="1924" t="str">
        <f ca="1">IF(AK143&gt;0,
INDEX(final_duration_effort,((WEEKDAY(AI$3,2)*2-1)+IF(AI143="Morning",0,1)),AH143),"")</f>
        <v/>
      </c>
      <c r="AK146" s="1925"/>
    </row>
    <row r="147" spans="2:38" s="177" customFormat="1" ht="15" customHeight="1" x14ac:dyDescent="0.45">
      <c r="B147" s="1942"/>
      <c r="C147" s="1945"/>
      <c r="D147" s="1926" t="str">
        <f ca="1">IF(G143&gt;0,CONCATENATE("HR Range: ",
INDEX(sessions_HR_range_primary,INDEX(plan_session_allocation,((WEEKDAY(E$3,2)*2-1)+IF(E143="Morning",0,1)),D143)),
IF(INDEX(sessions_HR_range_primary,INDEX(plan_session_allocation,((WEEKDAY(E$3,2)*2-1)+IF(E143="Morning",0,1)),D143))="N/A","",
" BPM")),"")</f>
        <v>HR Range: N/A</v>
      </c>
      <c r="E147" s="1927"/>
      <c r="F147" s="1928">
        <f ca="1">IF(G143&gt;0,IF(
INDEX(sessions_recoveries,INDEX(plan_session_allocation,((WEEKDAY(E$3,2)*2-1)+IF(E143="Morning",0,1)),D143))="Yes",
VLOOKUP(INDEX(plan_duration_primary,((WEEKDAY(E$3,2)*2-1)+IF(E143="Morning",0,1)),D143),
INDIRECT(INDEX(sessions_intervals_code_primary,INDEX(plan_session_allocation,((WEEKDAY(E$3,2)*2-1)+IF(E143="Morning",0,1)),D143))),7,TRUE),0),"")</f>
        <v>0</v>
      </c>
      <c r="G147" s="1929"/>
      <c r="I147" s="1926" t="str">
        <f ca="1">IF(L143&gt;0,CONCATENATE("HR Range: ",
INDEX(sessions_HR_range_primary,INDEX(plan_session_allocation,((WEEKDAY(J$3,2)*2-1)+IF(J143="Morning",0,1)),I143)),
IF(INDEX(sessions_HR_range_primary,INDEX(plan_session_allocation,((WEEKDAY(J$3,2)*2-1)+IF(J143="Morning",0,1)),I143))="N/A","",
" BPM")),"")</f>
        <v>HR Range: 173 - 180 BPM</v>
      </c>
      <c r="J147" s="1927"/>
      <c r="K147" s="1928">
        <f ca="1">IF(L143&gt;0,IF(
INDEX(sessions_recoveries,INDEX(plan_session_allocation,((WEEKDAY(J$3,2)*2-1)+IF(J143="Morning",0,1)),I143))="Yes",
VLOOKUP(INDEX(plan_duration_primary,((WEEKDAY(J$3,2)*2-1)+IF(J143="Morning",0,1)),I143),
INDIRECT(INDEX(sessions_intervals_code_primary,INDEX(plan_session_allocation,((WEEKDAY(J$3,2)*2-1)+IF(J143="Morning",0,1)),I143))),7,TRUE),0),"")</f>
        <v>0</v>
      </c>
      <c r="L147" s="1929"/>
      <c r="N147" s="1926" t="str">
        <f ca="1">IF(Q143&gt;0,CONCATENATE("HR Range: ",
INDEX(sessions_HR_range_primary,INDEX(plan_session_allocation,((WEEKDAY(O$3,2)*2-1)+IF(O143="Morning",0,1)),N143)),
IF(INDEX(sessions_HR_range_primary,INDEX(plan_session_allocation,((WEEKDAY(O$3,2)*2-1)+IF(O143="Morning",0,1)),N143))="N/A","",
" BPM")),"")</f>
        <v>HR Range: 129 - 148 BPM</v>
      </c>
      <c r="O147" s="1927"/>
      <c r="P147" s="1928">
        <f ca="1">IF(Q143&gt;0,IF(
INDEX(sessions_recoveries,INDEX(plan_session_allocation,((WEEKDAY(O$3,2)*2-1)+IF(O143="Morning",0,1)),N143))="Yes",
VLOOKUP(INDEX(plan_duration_primary,((WEEKDAY(O$3,2)*2-1)+IF(O143="Morning",0,1)),N143),
INDIRECT(INDEX(sessions_intervals_code_primary,INDEX(plan_session_allocation,((WEEKDAY(O$3,2)*2-1)+IF(O143="Morning",0,1)),N143))),7,TRUE),0),"")</f>
        <v>0</v>
      </c>
      <c r="Q147" s="1929"/>
      <c r="S147" s="1926" t="str">
        <f ca="1">IF(V143&gt;0,CONCATENATE("HR Range: ",
INDEX(sessions_HR_range_primary,INDEX(plan_session_allocation,((WEEKDAY(T$3,2)*2-1)+IF(T143="Morning",0,1)),S143)),
IF(INDEX(sessions_HR_range_primary,INDEX(plan_session_allocation,((WEEKDAY(T$3,2)*2-1)+IF(T143="Morning",0,1)),S143))="N/A","",
" BPM")),"")</f>
        <v>HR Range: 138 - 157 BPM</v>
      </c>
      <c r="T147" s="1927"/>
      <c r="U147" s="1928">
        <f ca="1">IF(V143&gt;0,IF(
INDEX(sessions_recoveries,INDEX(plan_session_allocation,((WEEKDAY(T$3,2)*2-1)+IF(T143="Morning",0,1)),S143))="Yes",
VLOOKUP(INDEX(plan_duration_primary,((WEEKDAY(T$3,2)*2-1)+IF(T143="Morning",0,1)),S143),
INDIRECT(INDEX(sessions_intervals_code_primary,INDEX(plan_session_allocation,((WEEKDAY(T$3,2)*2-1)+IF(T143="Morning",0,1)),S143))),7,TRUE),0),"")</f>
        <v>0</v>
      </c>
      <c r="V147" s="1929"/>
      <c r="X147" s="1926" t="str">
        <f ca="1">IF(AA143&gt;0,CONCATENATE("HR Range: ",
INDEX(sessions_HR_range_primary,INDEX(plan_session_allocation,((WEEKDAY(Y$3,2)*2-1)+IF(Y143="Morning",0,1)),X143)),
IF(INDEX(sessions_HR_range_primary,INDEX(plan_session_allocation,((WEEKDAY(Y$3,2)*2-1)+IF(Y143="Morning",0,1)),X143))="N/A","",
" BPM")),"")</f>
        <v>HR Range: N/A</v>
      </c>
      <c r="Y147" s="1927"/>
      <c r="Z147" s="1928">
        <f ca="1">IF(AA143&gt;0,IF(
INDEX(sessions_recoveries,INDEX(plan_session_allocation,((WEEKDAY(Y$3,2)*2-1)+IF(Y143="Morning",0,1)),X143))="Yes",
VLOOKUP(INDEX(plan_duration_primary,((WEEKDAY(Y$3,2)*2-1)+IF(Y143="Morning",0,1)),X143),
INDIRECT(INDEX(sessions_intervals_code_primary,INDEX(plan_session_allocation,((WEEKDAY(Y$3,2)*2-1)+IF(Y143="Morning",0,1)),X143))),7,TRUE),0),"")</f>
        <v>0</v>
      </c>
      <c r="AA147" s="1929"/>
      <c r="AC147" s="1926" t="str">
        <f ca="1">IF(AF143&gt;0,CONCATENATE("HR Range: ",
INDEX(sessions_HR_range_primary,INDEX(plan_session_allocation,((WEEKDAY(AD$3,2)*2-1)+IF(AD143="Morning",0,1)),AC143)),
IF(INDEX(sessions_HR_range_primary,INDEX(plan_session_allocation,((WEEKDAY(AD$3,2)*2-1)+IF(AD143="Morning",0,1)),AC143))="N/A","",
" BPM")),"")</f>
        <v>HR Range: 129 - 148 BPM</v>
      </c>
      <c r="AD147" s="1927"/>
      <c r="AE147" s="1928">
        <f ca="1">IF(AF143&gt;0,IF(
INDEX(sessions_recoveries,INDEX(plan_session_allocation,((WEEKDAY(AD$3,2)*2-1)+IF(AD143="Morning",0,1)),AC143))="Yes",
VLOOKUP(INDEX(plan_duration_primary,((WEEKDAY(AD$3,2)*2-1)+IF(AD143="Morning",0,1)),AC143),
INDIRECT(INDEX(sessions_intervals_code_primary,INDEX(plan_session_allocation,((WEEKDAY(AD$3,2)*2-1)+IF(AD143="Morning",0,1)),AC143))),7,TRUE),0),"")</f>
        <v>0</v>
      </c>
      <c r="AF147" s="1929"/>
      <c r="AH147" s="1926" t="str">
        <f ca="1">IF(AK143&gt;0,CONCATENATE("HR Range: ",
INDEX(sessions_HR_range_primary,INDEX(plan_session_allocation,((WEEKDAY(AI$3,2)*2-1)+IF(AI143="Morning",0,1)),AH143)),
IF(INDEX(sessions_HR_range_primary,INDEX(plan_session_allocation,((WEEKDAY(AI$3,2)*2-1)+IF(AI143="Morning",0,1)),AH143))="N/A","",
" BPM")),"")</f>
        <v/>
      </c>
      <c r="AI147" s="1927"/>
      <c r="AJ147" s="1928" t="str">
        <f ca="1">IF(AK143&gt;0,IF(
INDEX(sessions_recoveries,INDEX(plan_session_allocation,((WEEKDAY(AI$3,2)*2-1)+IF(AI143="Morning",0,1)),AH143))="Yes",
VLOOKUP(INDEX(plan_duration_primary,((WEEKDAY(AI$3,2)*2-1)+IF(AI143="Morning",0,1)),AH143),
INDIRECT(INDEX(sessions_intervals_code_primary,INDEX(plan_session_allocation,((WEEKDAY(AI$3,2)*2-1)+IF(AI143="Morning",0,1)),AH143))),7,TRUE),0),"")</f>
        <v/>
      </c>
      <c r="AK147" s="1929"/>
    </row>
    <row r="148" spans="2:38" s="177" customFormat="1" ht="15" customHeight="1" x14ac:dyDescent="0.45">
      <c r="B148" s="1942"/>
      <c r="C148" s="1945"/>
      <c r="D148" s="1909" t="str">
        <f ca="1">IF(G143&gt;0,CONCATENATE("Equivalent Pace: ",
TEXT(INDEX(sessions_pace_primary,INDEX(plan_session_allocation,(WEEKDAY(E$3,2)*2-1)+IF(E143="Morning",0,1),D143)),"m:ss"),
" min/km"
),"")</f>
        <v>Equivalent Pace:  min/km</v>
      </c>
      <c r="E148" s="1910"/>
      <c r="F148" s="1911">
        <f ca="1">IF(G143&gt;0, INDEX(final_duration_WU,((WEEKDAY(E$3,2)*2-1)+IF(E143="Morning",0,1)),D143)  + INDEX(final_duration_WD,((WEEKDAY(E$3,2)*2-1)+IF(E143="Morning",0,1)),D143), "")</f>
        <v>0</v>
      </c>
      <c r="G148" s="1912"/>
      <c r="I148" s="1909" t="str">
        <f ca="1">IF(L143&gt;0,CONCATENATE("Equivalent Pace: ",
TEXT(INDEX(sessions_pace_primary,INDEX(plan_session_allocation,(WEEKDAY(J$3,2)*2-1)+IF(J143="Morning",0,1),I143)),"m:ss"),
" min/km"
),"")</f>
        <v>Equivalent Pace: 3:21 min/km</v>
      </c>
      <c r="J148" s="1910"/>
      <c r="K148" s="1911">
        <f ca="1">IF(L143&gt;0, INDEX(final_duration_WU,((WEEKDAY(J$3,2)*2-1)+IF(J143="Morning",0,1)),I143)  + INDEX(final_duration_WD,((WEEKDAY(J$3,2)*2-1)+IF(J143="Morning",0,1)),I143), "")</f>
        <v>30</v>
      </c>
      <c r="L148" s="1912"/>
      <c r="N148" s="1909" t="str">
        <f ca="1">IF(Q143&gt;0,CONCATENATE("Equivalent Pace: ",
TEXT(INDEX(sessions_pace_primary,INDEX(plan_session_allocation,(WEEKDAY(O$3,2)*2-1)+IF(O143="Morning",0,1),N143)),"m:ss"),
" min/km"
),"")</f>
        <v>Equivalent Pace: 4:39 min/km</v>
      </c>
      <c r="O148" s="1910"/>
      <c r="P148" s="1911">
        <f ca="1">IF(Q143&gt;0, INDEX(final_duration_WU,((WEEKDAY(O$3,2)*2-1)+IF(O143="Morning",0,1)),N143)  + INDEX(final_duration_WD,((WEEKDAY(O$3,2)*2-1)+IF(O143="Morning",0,1)),N143), "")</f>
        <v>0</v>
      </c>
      <c r="Q148" s="1912"/>
      <c r="S148" s="1909" t="str">
        <f ca="1">IF(V143&gt;0,CONCATENATE("Equivalent Pace: ",
TEXT(INDEX(sessions_pace_primary,INDEX(plan_session_allocation,(WEEKDAY(T$3,2)*2-1)+IF(T143="Morning",0,1),S143)),"m:ss"),
" min/km"
),"")</f>
        <v>Equivalent Pace: 4:14 min/km</v>
      </c>
      <c r="T148" s="1910"/>
      <c r="U148" s="1911">
        <f ca="1">IF(V143&gt;0, INDEX(final_duration_WU,((WEEKDAY(T$3,2)*2-1)+IF(T143="Morning",0,1)),S143)  + INDEX(final_duration_WD,((WEEKDAY(T$3,2)*2-1)+IF(T143="Morning",0,1)),S143), "")</f>
        <v>0</v>
      </c>
      <c r="V148" s="1912"/>
      <c r="X148" s="1909" t="str">
        <f ca="1">IF(AA143&gt;0,CONCATENATE("Equivalent Pace: ",
TEXT(INDEX(sessions_pace_primary,INDEX(plan_session_allocation,(WEEKDAY(Y$3,2)*2-1)+IF(Y143="Morning",0,1),X143)),"m:ss"),
" min/km"
),"")</f>
        <v>Equivalent Pace:  min/km</v>
      </c>
      <c r="Y148" s="1910"/>
      <c r="Z148" s="1911">
        <f ca="1">IF(AA143&gt;0, INDEX(final_duration_WU,((WEEKDAY(Y$3,2)*2-1)+IF(Y143="Morning",0,1)),X143)  + INDEX(final_duration_WD,((WEEKDAY(Y$3,2)*2-1)+IF(Y143="Morning",0,1)),X143), "")</f>
        <v>0</v>
      </c>
      <c r="AA148" s="1912"/>
      <c r="AC148" s="1909" t="str">
        <f ca="1">IF(AF143&gt;0,CONCATENATE("Equivalent Pace: ",
TEXT(INDEX(sessions_pace_primary,INDEX(plan_session_allocation,(WEEKDAY(AD$3,2)*2-1)+IF(AD143="Morning",0,1),AC143)),"m:ss"),
" min/km"
),"")</f>
        <v>Equivalent Pace: 4:39 min/km</v>
      </c>
      <c r="AD148" s="1910"/>
      <c r="AE148" s="1911">
        <f ca="1">IF(AF143&gt;0, INDEX(final_duration_WU,((WEEKDAY(AD$3,2)*2-1)+IF(AD143="Morning",0,1)),AC143)  + INDEX(final_duration_WD,((WEEKDAY(AD$3,2)*2-1)+IF(AD143="Morning",0,1)),AC143), "")</f>
        <v>0</v>
      </c>
      <c r="AF148" s="1912"/>
      <c r="AH148" s="1909" t="str">
        <f ca="1">IF(AK143&gt;0,CONCATENATE("Equivalent Pace: ",
TEXT(INDEX(sessions_pace_primary,INDEX(plan_session_allocation,(WEEKDAY(AI$3,2)*2-1)+IF(AI143="Morning",0,1),AH143)),"m:ss"),
" min/km"
),"")</f>
        <v/>
      </c>
      <c r="AI148" s="1910"/>
      <c r="AJ148" s="1911" t="str">
        <f ca="1">IF(AK143&gt;0, INDEX(final_duration_WU,((WEEKDAY(AI$3,2)*2-1)+IF(AI143="Morning",0,1)),AH143)  + INDEX(final_duration_WD,((WEEKDAY(AI$3,2)*2-1)+IF(AI143="Morning",0,1)),AH143), "")</f>
        <v/>
      </c>
      <c r="AK148" s="1912"/>
    </row>
    <row r="149" spans="2:38" s="176" customFormat="1" ht="15" customHeight="1" x14ac:dyDescent="0.45">
      <c r="B149" s="1942"/>
      <c r="C149" s="1945"/>
      <c r="D149" s="1913" t="str">
        <f ca="1">IF(G143&gt;0,CONCATENATE(IFERROR(CONCATENATE(IF(INDEX(display_intervals_breakdown,((WEEKDAY(E$3,2)*2-1)+IF(E143="Morning",0,1)),D143)="","",CONCATENATE("Intervals/Reps Breakdown: 
",INDEX(display_intervals_breakdown,((WEEKDAY(E$3,2)*2-1)+IF(E143="Morning",0,1)),D143),"
")),"Session Description: 
",CONCATENATE(IF(INDEX(final_duration_secondary,((WEEKDAY(E$3,2)*2-1)+IF(E143="Morning",0,1)),D143)=0,"","1. "),
INDEX(sessions_description_primary,,INDEX(plan_session_allocation,((WEEKDAY(E$3,2)*2-1)+IF(E143="Morning",0,1)),D143)),IF(INDEX(final_duration_secondary,((WEEKDAY(E$3,2)*2-1)+IF(E143="Morning",0,1)),D143)=0,"","
2. "),
IF(INDEX(final_duration_secondary,((WEEKDAY(E$3,2)*2-1)+IF(E143="Morning",0,1)),D143)=0,"",INDEX(sessions_description_secondary,,INDEX(plan_session_allocation,((WEEKDAY(E$3,2)*2-1)+IF(E143="Morning",0,1)),D143))),IF(INDEX(final_duration_tertiary,((WEEKDAY(E$3,2)*2-1)+IF(E143="Morning",0,1)),D143)=0,"","
3. "),
IF(INDEX(final_duration_tertiary,((WEEKDAY(E$3,2)*2-1)+IF(E143="Morning",0,1)),D143)="","",INDEX(sessions_description_tertiary,,INDEX(plan_session_allocation,((WEEKDAY(E$3,2)*2-1)+IF(E143="Morning",0,1)),D143))),
IF(INDEX(display_nutrition_description,((WEEKDAY(E$3,2)*2-1)+IF(E143="Morning",0,1)),D143)="","",
CONCATENATE("
Meal Plan: ", INDEX(sessions_nutrition,,INDEX(plan_session_allocation,((WEEKDAY(E$3,2)*2-1)+IF(E143="Morning",0,1)),D143)), "
", INDEX(display_nutrition_description,((WEEKDAY(E$3,2)*2-1)+IF(E143="Morning",0,1)),D143)))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149" s="1914"/>
      <c r="F149" s="1914"/>
      <c r="G149" s="1915"/>
      <c r="H149" s="177"/>
      <c r="I149" s="1913" t="str">
        <f ca="1">IF(L143&gt;0,CONCATENATE(IFERROR(CONCATENATE(IF(INDEX(display_intervals_breakdown,((WEEKDAY(J$3,2)*2-1)+IF(J143="Morning",0,1)),I143)="","",CONCATENATE("Intervals/Reps Breakdown: 
",INDEX(display_intervals_breakdown,((WEEKDAY(J$3,2)*2-1)+IF(J143="Morning",0,1)),I143),"
")),"Session Description: 
",CONCATENATE(IF(INDEX(final_duration_secondary,((WEEKDAY(J$3,2)*2-1)+IF(J143="Morning",0,1)),I143)=0,"","1. "),
INDEX(sessions_description_primary,,INDEX(plan_session_allocation,((WEEKDAY(J$3,2)*2-1)+IF(J143="Morning",0,1)),I143)),IF(INDEX(final_duration_secondary,((WEEKDAY(J$3,2)*2-1)+IF(J143="Morning",0,1)),I143)=0,"","
2. "),
IF(INDEX(final_duration_secondary,((WEEKDAY(J$3,2)*2-1)+IF(J143="Morning",0,1)),I143)=0,"",INDEX(sessions_description_secondary,,INDEX(plan_session_allocation,((WEEKDAY(J$3,2)*2-1)+IF(J143="Morning",0,1)),I143))),IF(INDEX(final_duration_tertiary,((WEEKDAY(J$3,2)*2-1)+IF(J143="Morning",0,1)),I143)=0,"","
3. "),
IF(INDEX(final_duration_tertiary,((WEEKDAY(J$3,2)*2-1)+IF(J143="Morning",0,1)),I143)="","",INDEX(sessions_description_tertiary,,INDEX(plan_session_allocation,((WEEKDAY(J$3,2)*2-1)+IF(J143="Morning",0,1)),I143))),
IF(INDEX(display_nutrition_description,((WEEKDAY(J$3,2)*2-1)+IF(J143="Morning",0,1)),I143)="","",
CONCATENATE("
Meal Plan: ", INDEX(sessions_nutrition,,INDEX(plan_session_allocation,((WEEKDAY(J$3,2)*2-1)+IF(J143="Morning",0,1)),I143)), "
", INDEX(display_nutrition_description,((WEEKDAY(J$3,2)*2-1)+IF(J143="Morning",0,1)),I143)))
)),"")),"")</f>
        <v>Session Description: 
Accelerate to a fast pace which you should be able to hold for 50 minutes in a race situation. This will take concentration, but it's important to keep the intensity even, so do not start too hard. Warm up and warm down for 10 minutes each.</v>
      </c>
      <c r="J149" s="1914"/>
      <c r="K149" s="1914"/>
      <c r="L149" s="1915"/>
      <c r="M149" s="177"/>
      <c r="N149" s="1913" t="str">
        <f ca="1">IF(Q143&gt;0,CONCATENATE(IFERROR(CONCATENATE(IF(INDEX(display_intervals_breakdown,((WEEKDAY(O$3,2)*2-1)+IF(O143="Morning",0,1)),N143)="","",CONCATENATE("Intervals/Reps Breakdown: 
",INDEX(display_intervals_breakdown,((WEEKDAY(O$3,2)*2-1)+IF(O143="Morning",0,1)),N143),"
")),"Session Description: 
",CONCATENATE(IF(INDEX(final_duration_secondary,((WEEKDAY(O$3,2)*2-1)+IF(O143="Morning",0,1)),N143)=0,"","1. "),
INDEX(sessions_description_primary,,INDEX(plan_session_allocation,((WEEKDAY(O$3,2)*2-1)+IF(O143="Morning",0,1)),N143)),IF(INDEX(final_duration_secondary,((WEEKDAY(O$3,2)*2-1)+IF(O143="Morning",0,1)),N143)=0,"","
2. "),
IF(INDEX(final_duration_secondary,((WEEKDAY(O$3,2)*2-1)+IF(O143="Morning",0,1)),N143)=0,"",INDEX(sessions_description_secondary,,INDEX(plan_session_allocation,((WEEKDAY(O$3,2)*2-1)+IF(O143="Morning",0,1)),N143))),IF(INDEX(final_duration_tertiary,((WEEKDAY(O$3,2)*2-1)+IF(O143="Morning",0,1)),N143)=0,"","
3. "),
IF(INDEX(final_duration_tertiary,((WEEKDAY(O$3,2)*2-1)+IF(O143="Morning",0,1)),N143)="","",INDEX(sessions_description_tertiary,,INDEX(plan_session_allocation,((WEEKDAY(O$3,2)*2-1)+IF(O143="Morning",0,1)),N143))),
IF(INDEX(display_nutrition_description,((WEEKDAY(O$3,2)*2-1)+IF(O143="Morning",0,1)),N143)="","",
CONCATENATE("
Meal Plan: ", INDEX(sessions_nutrition,,INDEX(plan_session_allocation,((WEEKDAY(O$3,2)*2-1)+IF(O143="Morning",0,1)),N143)), "
", INDEX(display_nutrition_description,((WEEKDAY(O$3,2)*2-1)+IF(O143="Morning",0,1)),N143)))
)),"")),"")</f>
        <v>Session Description: 
Stay at a comfortable and controlled intensity where you should be able to have a conversation without large pauses. Keep an even intensity and accept that your pace may change as the terrain changes.</v>
      </c>
      <c r="O149" s="1914"/>
      <c r="P149" s="1914"/>
      <c r="Q149" s="1915"/>
      <c r="R149" s="177"/>
      <c r="S149" s="1913" t="str">
        <f ca="1">IF(V143&gt;0,CONCATENATE(IFERROR(CONCATENATE(IF(INDEX(display_intervals_breakdown,((WEEKDAY(T$3,2)*2-1)+IF(T143="Morning",0,1)),S143)="","",CONCATENATE("Intervals/Reps Breakdown: 
",INDEX(display_intervals_breakdown,((WEEKDAY(T$3,2)*2-1)+IF(T143="Morning",0,1)),S143),"
")),"Session Description: 
",CONCATENATE(IF(INDEX(final_duration_secondary,((WEEKDAY(T$3,2)*2-1)+IF(T143="Morning",0,1)),S143)=0,"","1. "),
INDEX(sessions_description_primary,,INDEX(plan_session_allocation,((WEEKDAY(T$3,2)*2-1)+IF(T143="Morning",0,1)),S143)),IF(INDEX(final_duration_secondary,((WEEKDAY(T$3,2)*2-1)+IF(T143="Morning",0,1)),S143)=0,"","
2. "),
IF(INDEX(final_duration_secondary,((WEEKDAY(T$3,2)*2-1)+IF(T143="Morning",0,1)),S143)=0,"",INDEX(sessions_description_secondary,,INDEX(plan_session_allocation,((WEEKDAY(T$3,2)*2-1)+IF(T143="Morning",0,1)),S143))),IF(INDEX(final_duration_tertiary,((WEEKDAY(T$3,2)*2-1)+IF(T143="Morning",0,1)),S143)=0,"","
3. "),
IF(INDEX(final_duration_tertiary,((WEEKDAY(T$3,2)*2-1)+IF(T143="Morning",0,1)),S143)="","",INDEX(sessions_description_tertiary,,INDEX(plan_session_allocation,((WEEKDAY(T$3,2)*2-1)+IF(T143="Morning",0,1)),S143))),
IF(INDEX(display_nutrition_description,((WEEKDAY(T$3,2)*2-1)+IF(T143="Morning",0,1)),S143)="","",
CONCATENATE("
Meal Plan: ", INDEX(sessions_nutrition,,INDEX(plan_session_allocation,((WEEKDAY(T$3,2)*2-1)+IF(T143="Morning",0,1)),S143)), "
", INDEX(display_nutrition_description,((WEEKDAY(T$3,2)*2-1)+IF(T143="Morning",0,1)),S143)))
)),"")),"")</f>
        <v>Session Description: 
Stay at a comfortable and controlled intensity where you should be able to have a conversation without large pauses. Keep an even intensity and accept that your pace may change as the terrain changes.</v>
      </c>
      <c r="T149" s="1914"/>
      <c r="U149" s="1914"/>
      <c r="V149" s="1915"/>
      <c r="W149" s="177"/>
      <c r="X149" s="1913" t="str">
        <f ca="1">IF(AA143&gt;0,CONCATENATE(IFERROR(CONCATENATE(IF(INDEX(display_intervals_breakdown,((WEEKDAY(Y$3,2)*2-1)+IF(Y143="Morning",0,1)),X143)="","",CONCATENATE("Intervals/Reps Breakdown: 
",INDEX(display_intervals_breakdown,((WEEKDAY(Y$3,2)*2-1)+IF(Y143="Morning",0,1)),X143),"
")),"Session Description: 
",CONCATENATE(IF(INDEX(final_duration_secondary,((WEEKDAY(Y$3,2)*2-1)+IF(Y143="Morning",0,1)),X143)=0,"","1. "),
INDEX(sessions_description_primary,,INDEX(plan_session_allocation,((WEEKDAY(Y$3,2)*2-1)+IF(Y143="Morning",0,1)),X143)),IF(INDEX(final_duration_secondary,((WEEKDAY(Y$3,2)*2-1)+IF(Y143="Morning",0,1)),X143)=0,"","
2. "),
IF(INDEX(final_duration_secondary,((WEEKDAY(Y$3,2)*2-1)+IF(Y143="Morning",0,1)),X143)=0,"",INDEX(sessions_description_secondary,,INDEX(plan_session_allocation,((WEEKDAY(Y$3,2)*2-1)+IF(Y143="Morning",0,1)),X143))),IF(INDEX(final_duration_tertiary,((WEEKDAY(Y$3,2)*2-1)+IF(Y143="Morning",0,1)),X143)=0,"","
3. "),
IF(INDEX(final_duration_tertiary,((WEEKDAY(Y$3,2)*2-1)+IF(Y143="Morning",0,1)),X143)="","",INDEX(sessions_description_tertiary,,INDEX(plan_session_allocation,((WEEKDAY(Y$3,2)*2-1)+IF(Y143="Morning",0,1)),X143))),
IF(INDEX(display_nutrition_description,((WEEKDAY(Y$3,2)*2-1)+IF(Y143="Morning",0,1)),X143)="","",
CONCATENATE("
Meal Plan: ", INDEX(sessions_nutrition,,INDEX(plan_session_allocation,((WEEKDAY(Y$3,2)*2-1)+IF(Y143="Morning",0,1)),X143)), "
", INDEX(display_nutrition_description,((WEEKDAY(Y$3,2)*2-1)+IF(Y143="Morning",0,1)),X143)))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149" s="1914"/>
      <c r="Z149" s="1914"/>
      <c r="AA149" s="1915"/>
      <c r="AB149" s="177"/>
      <c r="AC149" s="1913" t="str">
        <f ca="1">IF(AF143&gt;0,CONCATENATE(IFERROR(CONCATENATE(IF(INDEX(display_intervals_breakdown,((WEEKDAY(AD$3,2)*2-1)+IF(AD143="Morning",0,1)),AC143)="","",CONCATENATE("Intervals/Reps Breakdown: 
",INDEX(display_intervals_breakdown,((WEEKDAY(AD$3,2)*2-1)+IF(AD143="Morning",0,1)),AC143),"
")),"Session Description: 
",CONCATENATE(IF(INDEX(final_duration_secondary,((WEEKDAY(AD$3,2)*2-1)+IF(AD143="Morning",0,1)),AC143)=0,"","1. "),
INDEX(sessions_description_primary,,INDEX(plan_session_allocation,((WEEKDAY(AD$3,2)*2-1)+IF(AD143="Morning",0,1)),AC143)),IF(INDEX(final_duration_secondary,((WEEKDAY(AD$3,2)*2-1)+IF(AD143="Morning",0,1)),AC143)=0,"","
2. "),
IF(INDEX(final_duration_secondary,((WEEKDAY(AD$3,2)*2-1)+IF(AD143="Morning",0,1)),AC143)=0,"",INDEX(sessions_description_secondary,,INDEX(plan_session_allocation,((WEEKDAY(AD$3,2)*2-1)+IF(AD143="Morning",0,1)),AC143))),IF(INDEX(final_duration_tertiary,((WEEKDAY(AD$3,2)*2-1)+IF(AD143="Morning",0,1)),AC143)=0,"","
3. "),
IF(INDEX(final_duration_tertiary,((WEEKDAY(AD$3,2)*2-1)+IF(AD143="Morning",0,1)),AC143)="","",INDEX(sessions_description_tertiary,,INDEX(plan_session_allocation,((WEEKDAY(AD$3,2)*2-1)+IF(AD143="Morning",0,1)),AC143))),
IF(INDEX(display_nutrition_description,((WEEKDAY(AD$3,2)*2-1)+IF(AD143="Morning",0,1)),AC143)="","",
CONCATENATE("
Meal Plan: ", INDEX(sessions_nutrition,,INDEX(plan_session_allocation,((WEEKDAY(AD$3,2)*2-1)+IF(AD143="Morning",0,1)),AC143)), "
", INDEX(display_nutrition_description,((WEEKDAY(AD$3,2)*2-1)+IF(AD143="Morning",0,1)),AC143)))
)),"")),"")</f>
        <v>Session Description: 
Stay at a comfortable and controlled intensity where you should be able to have a conversation without large pauses. Keep an even intensity and accept that your pace may change as the terrain changes.</v>
      </c>
      <c r="AD149" s="1914"/>
      <c r="AE149" s="1914"/>
      <c r="AF149" s="1915"/>
      <c r="AG149" s="177"/>
      <c r="AH149" s="1913" t="str">
        <f ca="1">IF(AK143&gt;0,CONCATENATE(IFERROR(CONCATENATE(IF(INDEX(display_intervals_breakdown,((WEEKDAY(AI$3,2)*2-1)+IF(AI143="Morning",0,1)),AH143)="","",CONCATENATE("Intervals/Reps Breakdown: 
",INDEX(display_intervals_breakdown,((WEEKDAY(AI$3,2)*2-1)+IF(AI143="Morning",0,1)),AH143),"
")),"Session Description: 
",CONCATENATE(IF(INDEX(final_duration_secondary,((WEEKDAY(AI$3,2)*2-1)+IF(AI143="Morning",0,1)),AH143)=0,"","1. "),
INDEX(sessions_description_primary,,INDEX(plan_session_allocation,((WEEKDAY(AI$3,2)*2-1)+IF(AI143="Morning",0,1)),AH143)),IF(INDEX(final_duration_secondary,((WEEKDAY(AI$3,2)*2-1)+IF(AI143="Morning",0,1)),AH143)=0,"","
2. "),
IF(INDEX(final_duration_secondary,((WEEKDAY(AI$3,2)*2-1)+IF(AI143="Morning",0,1)),AH143)=0,"",INDEX(sessions_description_secondary,,INDEX(plan_session_allocation,((WEEKDAY(AI$3,2)*2-1)+IF(AI143="Morning",0,1)),AH143))),IF(INDEX(final_duration_tertiary,((WEEKDAY(AI$3,2)*2-1)+IF(AI143="Morning",0,1)),AH143)=0,"","
3. "),
IF(INDEX(final_duration_tertiary,((WEEKDAY(AI$3,2)*2-1)+IF(AI143="Morning",0,1)),AH143)="","",INDEX(sessions_description_tertiary,,INDEX(plan_session_allocation,((WEEKDAY(AI$3,2)*2-1)+IF(AI143="Morning",0,1)),AH143))),
IF(INDEX(display_nutrition_description,((WEEKDAY(AI$3,2)*2-1)+IF(AI143="Morning",0,1)),AH143)="","",
CONCATENATE("
Meal Plan: ", INDEX(sessions_nutrition,,INDEX(plan_session_allocation,((WEEKDAY(AI$3,2)*2-1)+IF(AI143="Morning",0,1)),AH143)), "
", INDEX(display_nutrition_description,((WEEKDAY(AI$3,2)*2-1)+IF(AI143="Morning",0,1)),AH143)))
)),"")),"")</f>
        <v/>
      </c>
      <c r="AI149" s="1914"/>
      <c r="AJ149" s="1914"/>
      <c r="AK149" s="1915"/>
      <c r="AL149" s="177"/>
    </row>
    <row r="150" spans="2:38" s="176" customFormat="1" ht="15" customHeight="1" x14ac:dyDescent="0.45">
      <c r="B150" s="1942"/>
      <c r="C150" s="1945"/>
      <c r="D150" s="1916"/>
      <c r="E150" s="1917"/>
      <c r="F150" s="1917"/>
      <c r="G150" s="1918"/>
      <c r="H150" s="177"/>
      <c r="I150" s="1916"/>
      <c r="J150" s="1917"/>
      <c r="K150" s="1917"/>
      <c r="L150" s="1918"/>
      <c r="M150" s="177"/>
      <c r="N150" s="1916"/>
      <c r="O150" s="1917"/>
      <c r="P150" s="1917"/>
      <c r="Q150" s="1918"/>
      <c r="R150" s="177"/>
      <c r="S150" s="1916"/>
      <c r="T150" s="1917"/>
      <c r="U150" s="1917"/>
      <c r="V150" s="1918"/>
      <c r="W150" s="177"/>
      <c r="X150" s="1916"/>
      <c r="Y150" s="1917"/>
      <c r="Z150" s="1917"/>
      <c r="AA150" s="1918"/>
      <c r="AB150" s="177"/>
      <c r="AC150" s="1916"/>
      <c r="AD150" s="1917"/>
      <c r="AE150" s="1917"/>
      <c r="AF150" s="1918"/>
      <c r="AG150" s="177"/>
      <c r="AH150" s="1916"/>
      <c r="AI150" s="1917"/>
      <c r="AJ150" s="1917"/>
      <c r="AK150" s="1918"/>
      <c r="AL150" s="177"/>
    </row>
    <row r="151" spans="2:38" s="176" customFormat="1" ht="15" customHeight="1" x14ac:dyDescent="0.45">
      <c r="B151" s="1942"/>
      <c r="C151" s="1945"/>
      <c r="D151" s="1916"/>
      <c r="E151" s="1917"/>
      <c r="F151" s="1917"/>
      <c r="G151" s="1918"/>
      <c r="H151" s="177"/>
      <c r="I151" s="1916"/>
      <c r="J151" s="1917"/>
      <c r="K151" s="1917"/>
      <c r="L151" s="1918"/>
      <c r="M151" s="177"/>
      <c r="N151" s="1916"/>
      <c r="O151" s="1917"/>
      <c r="P151" s="1917"/>
      <c r="Q151" s="1918"/>
      <c r="R151" s="177"/>
      <c r="S151" s="1916"/>
      <c r="T151" s="1917"/>
      <c r="U151" s="1917"/>
      <c r="V151" s="1918"/>
      <c r="W151" s="177"/>
      <c r="X151" s="1916"/>
      <c r="Y151" s="1917"/>
      <c r="Z151" s="1917"/>
      <c r="AA151" s="1918"/>
      <c r="AB151" s="177"/>
      <c r="AC151" s="1916"/>
      <c r="AD151" s="1917"/>
      <c r="AE151" s="1917"/>
      <c r="AF151" s="1918"/>
      <c r="AG151" s="177"/>
      <c r="AH151" s="1916"/>
      <c r="AI151" s="1917"/>
      <c r="AJ151" s="1917"/>
      <c r="AK151" s="1918"/>
      <c r="AL151" s="177"/>
    </row>
    <row r="152" spans="2:38" s="176" customFormat="1" x14ac:dyDescent="0.45">
      <c r="B152" s="1942"/>
      <c r="C152" s="1945"/>
      <c r="D152" s="1916"/>
      <c r="E152" s="1917"/>
      <c r="F152" s="1917"/>
      <c r="G152" s="1918"/>
      <c r="H152" s="177"/>
      <c r="I152" s="1916"/>
      <c r="J152" s="1917"/>
      <c r="K152" s="1917"/>
      <c r="L152" s="1918"/>
      <c r="M152" s="177"/>
      <c r="N152" s="1916"/>
      <c r="O152" s="1917"/>
      <c r="P152" s="1917"/>
      <c r="Q152" s="1918"/>
      <c r="R152" s="177"/>
      <c r="S152" s="1916"/>
      <c r="T152" s="1917"/>
      <c r="U152" s="1917"/>
      <c r="V152" s="1918"/>
      <c r="W152" s="177"/>
      <c r="X152" s="1916"/>
      <c r="Y152" s="1917"/>
      <c r="Z152" s="1917"/>
      <c r="AA152" s="1918"/>
      <c r="AB152" s="177"/>
      <c r="AC152" s="1916"/>
      <c r="AD152" s="1917"/>
      <c r="AE152" s="1917"/>
      <c r="AF152" s="1918"/>
      <c r="AG152" s="177"/>
      <c r="AH152" s="1916"/>
      <c r="AI152" s="1917"/>
      <c r="AJ152" s="1917"/>
      <c r="AK152" s="1918"/>
      <c r="AL152" s="177"/>
    </row>
    <row r="153" spans="2:38" s="176" customFormat="1" x14ac:dyDescent="0.45">
      <c r="B153" s="1942"/>
      <c r="C153" s="1945"/>
      <c r="D153" s="1916"/>
      <c r="E153" s="1917"/>
      <c r="F153" s="1917"/>
      <c r="G153" s="1918"/>
      <c r="H153" s="177"/>
      <c r="I153" s="1916"/>
      <c r="J153" s="1917"/>
      <c r="K153" s="1917"/>
      <c r="L153" s="1918"/>
      <c r="M153" s="177"/>
      <c r="N153" s="1916"/>
      <c r="O153" s="1917"/>
      <c r="P153" s="1917"/>
      <c r="Q153" s="1918"/>
      <c r="R153" s="177"/>
      <c r="S153" s="1916"/>
      <c r="T153" s="1917"/>
      <c r="U153" s="1917"/>
      <c r="V153" s="1918"/>
      <c r="W153" s="177"/>
      <c r="X153" s="1916"/>
      <c r="Y153" s="1917"/>
      <c r="Z153" s="1917"/>
      <c r="AA153" s="1918"/>
      <c r="AB153" s="177"/>
      <c r="AC153" s="1916"/>
      <c r="AD153" s="1917"/>
      <c r="AE153" s="1917"/>
      <c r="AF153" s="1918"/>
      <c r="AG153" s="177"/>
      <c r="AH153" s="1916"/>
      <c r="AI153" s="1917"/>
      <c r="AJ153" s="1917"/>
      <c r="AK153" s="1918"/>
      <c r="AL153" s="177"/>
    </row>
    <row r="154" spans="2:38" s="176" customFormat="1" x14ac:dyDescent="0.45">
      <c r="B154" s="1942"/>
      <c r="C154" s="1945"/>
      <c r="D154" s="1916"/>
      <c r="E154" s="1917"/>
      <c r="F154" s="1917"/>
      <c r="G154" s="1918"/>
      <c r="H154" s="177"/>
      <c r="I154" s="1916"/>
      <c r="J154" s="1917"/>
      <c r="K154" s="1917"/>
      <c r="L154" s="1918"/>
      <c r="M154" s="177"/>
      <c r="N154" s="1916"/>
      <c r="O154" s="1917"/>
      <c r="P154" s="1917"/>
      <c r="Q154" s="1918"/>
      <c r="R154" s="177"/>
      <c r="S154" s="1916"/>
      <c r="T154" s="1917"/>
      <c r="U154" s="1917"/>
      <c r="V154" s="1918"/>
      <c r="W154" s="177"/>
      <c r="X154" s="1916"/>
      <c r="Y154" s="1917"/>
      <c r="Z154" s="1917"/>
      <c r="AA154" s="1918"/>
      <c r="AB154" s="177"/>
      <c r="AC154" s="1916"/>
      <c r="AD154" s="1917"/>
      <c r="AE154" s="1917"/>
      <c r="AF154" s="1918"/>
      <c r="AG154" s="177"/>
      <c r="AH154" s="1916"/>
      <c r="AI154" s="1917"/>
      <c r="AJ154" s="1917"/>
      <c r="AK154" s="1918"/>
      <c r="AL154" s="177"/>
    </row>
    <row r="155" spans="2:38" s="176" customFormat="1" ht="15" customHeight="1" x14ac:dyDescent="0.45">
      <c r="B155" s="1942"/>
      <c r="C155" s="1945"/>
      <c r="D155" s="1916"/>
      <c r="E155" s="1917"/>
      <c r="F155" s="1917"/>
      <c r="G155" s="1918"/>
      <c r="H155" s="177"/>
      <c r="I155" s="1916"/>
      <c r="J155" s="1917"/>
      <c r="K155" s="1917"/>
      <c r="L155" s="1918"/>
      <c r="M155" s="177"/>
      <c r="N155" s="1916"/>
      <c r="O155" s="1917"/>
      <c r="P155" s="1917"/>
      <c r="Q155" s="1918"/>
      <c r="R155" s="177"/>
      <c r="S155" s="1916"/>
      <c r="T155" s="1917"/>
      <c r="U155" s="1917"/>
      <c r="V155" s="1918"/>
      <c r="W155" s="177"/>
      <c r="X155" s="1916"/>
      <c r="Y155" s="1917"/>
      <c r="Z155" s="1917"/>
      <c r="AA155" s="1918"/>
      <c r="AB155" s="177"/>
      <c r="AC155" s="1916"/>
      <c r="AD155" s="1917"/>
      <c r="AE155" s="1917"/>
      <c r="AF155" s="1918"/>
      <c r="AG155" s="177"/>
      <c r="AH155" s="1916"/>
      <c r="AI155" s="1917"/>
      <c r="AJ155" s="1917"/>
      <c r="AK155" s="1918"/>
      <c r="AL155" s="177"/>
    </row>
    <row r="156" spans="2:38" s="176" customFormat="1" ht="15" customHeight="1" x14ac:dyDescent="0.45">
      <c r="B156" s="1942"/>
      <c r="C156" s="1945"/>
      <c r="D156" s="1916"/>
      <c r="E156" s="1917"/>
      <c r="F156" s="1917"/>
      <c r="G156" s="1918"/>
      <c r="H156" s="177"/>
      <c r="I156" s="1916"/>
      <c r="J156" s="1917"/>
      <c r="K156" s="1917"/>
      <c r="L156" s="1918"/>
      <c r="M156" s="177"/>
      <c r="N156" s="1916"/>
      <c r="O156" s="1917"/>
      <c r="P156" s="1917"/>
      <c r="Q156" s="1918"/>
      <c r="R156" s="177"/>
      <c r="S156" s="1916"/>
      <c r="T156" s="1917"/>
      <c r="U156" s="1917"/>
      <c r="V156" s="1918"/>
      <c r="W156" s="177"/>
      <c r="X156" s="1916"/>
      <c r="Y156" s="1917"/>
      <c r="Z156" s="1917"/>
      <c r="AA156" s="1918"/>
      <c r="AB156" s="177"/>
      <c r="AC156" s="1916"/>
      <c r="AD156" s="1917"/>
      <c r="AE156" s="1917"/>
      <c r="AF156" s="1918"/>
      <c r="AG156" s="177"/>
      <c r="AH156" s="1916"/>
      <c r="AI156" s="1917"/>
      <c r="AJ156" s="1917"/>
      <c r="AK156" s="1918"/>
      <c r="AL156" s="177"/>
    </row>
    <row r="157" spans="2:38" s="176" customFormat="1" x14ac:dyDescent="0.45">
      <c r="B157" s="1942"/>
      <c r="C157" s="1945"/>
      <c r="D157" s="1916"/>
      <c r="E157" s="1917"/>
      <c r="F157" s="1917"/>
      <c r="G157" s="1918"/>
      <c r="H157" s="177"/>
      <c r="I157" s="1916"/>
      <c r="J157" s="1917"/>
      <c r="K157" s="1917"/>
      <c r="L157" s="1918"/>
      <c r="M157" s="177"/>
      <c r="N157" s="1916"/>
      <c r="O157" s="1917"/>
      <c r="P157" s="1917"/>
      <c r="Q157" s="1918"/>
      <c r="R157" s="177"/>
      <c r="S157" s="1916"/>
      <c r="T157" s="1917"/>
      <c r="U157" s="1917"/>
      <c r="V157" s="1918"/>
      <c r="W157" s="177"/>
      <c r="X157" s="1916"/>
      <c r="Y157" s="1917"/>
      <c r="Z157" s="1917"/>
      <c r="AA157" s="1918"/>
      <c r="AB157" s="177"/>
      <c r="AC157" s="1916"/>
      <c r="AD157" s="1917"/>
      <c r="AE157" s="1917"/>
      <c r="AF157" s="1918"/>
      <c r="AG157" s="177"/>
      <c r="AH157" s="1916"/>
      <c r="AI157" s="1917"/>
      <c r="AJ157" s="1917"/>
      <c r="AK157" s="1918"/>
      <c r="AL157" s="177"/>
    </row>
    <row r="158" spans="2:38" s="176" customFormat="1" x14ac:dyDescent="0.45">
      <c r="B158" s="1942"/>
      <c r="C158" s="1945"/>
      <c r="D158" s="1916"/>
      <c r="E158" s="1917"/>
      <c r="F158" s="1917"/>
      <c r="G158" s="1918"/>
      <c r="H158" s="177"/>
      <c r="I158" s="1916"/>
      <c r="J158" s="1917"/>
      <c r="K158" s="1917"/>
      <c r="L158" s="1918"/>
      <c r="M158" s="177"/>
      <c r="N158" s="1916"/>
      <c r="O158" s="1917"/>
      <c r="P158" s="1917"/>
      <c r="Q158" s="1918"/>
      <c r="R158" s="177"/>
      <c r="S158" s="1916"/>
      <c r="T158" s="1917"/>
      <c r="U158" s="1917"/>
      <c r="V158" s="1918"/>
      <c r="W158" s="177"/>
      <c r="X158" s="1916"/>
      <c r="Y158" s="1917"/>
      <c r="Z158" s="1917"/>
      <c r="AA158" s="1918"/>
      <c r="AB158" s="177"/>
      <c r="AC158" s="1916"/>
      <c r="AD158" s="1917"/>
      <c r="AE158" s="1917"/>
      <c r="AF158" s="1918"/>
      <c r="AG158" s="177"/>
      <c r="AH158" s="1916"/>
      <c r="AI158" s="1917"/>
      <c r="AJ158" s="1917"/>
      <c r="AK158" s="1918"/>
      <c r="AL158" s="177"/>
    </row>
    <row r="159" spans="2:38" s="176" customFormat="1" x14ac:dyDescent="0.45">
      <c r="B159" s="1942"/>
      <c r="C159" s="1945"/>
      <c r="D159" s="1916"/>
      <c r="E159" s="1917"/>
      <c r="F159" s="1917"/>
      <c r="G159" s="1918"/>
      <c r="H159" s="177"/>
      <c r="I159" s="1916"/>
      <c r="J159" s="1917"/>
      <c r="K159" s="1917"/>
      <c r="L159" s="1918"/>
      <c r="M159" s="177"/>
      <c r="N159" s="1916"/>
      <c r="O159" s="1917"/>
      <c r="P159" s="1917"/>
      <c r="Q159" s="1918"/>
      <c r="R159" s="177"/>
      <c r="S159" s="1916"/>
      <c r="T159" s="1917"/>
      <c r="U159" s="1917"/>
      <c r="V159" s="1918"/>
      <c r="W159" s="177"/>
      <c r="X159" s="1916"/>
      <c r="Y159" s="1917"/>
      <c r="Z159" s="1917"/>
      <c r="AA159" s="1918"/>
      <c r="AB159" s="177"/>
      <c r="AC159" s="1916"/>
      <c r="AD159" s="1917"/>
      <c r="AE159" s="1917"/>
      <c r="AF159" s="1918"/>
      <c r="AG159" s="177"/>
      <c r="AH159" s="1916"/>
      <c r="AI159" s="1917"/>
      <c r="AJ159" s="1917"/>
      <c r="AK159" s="1918"/>
      <c r="AL159" s="177"/>
    </row>
    <row r="160" spans="2:38" s="176" customFormat="1" x14ac:dyDescent="0.45">
      <c r="B160" s="1942"/>
      <c r="C160" s="1945"/>
      <c r="D160" s="1916"/>
      <c r="E160" s="1917"/>
      <c r="F160" s="1917"/>
      <c r="G160" s="1918"/>
      <c r="H160" s="177"/>
      <c r="I160" s="1916"/>
      <c r="J160" s="1917"/>
      <c r="K160" s="1917"/>
      <c r="L160" s="1918"/>
      <c r="M160" s="177"/>
      <c r="N160" s="1916"/>
      <c r="O160" s="1917"/>
      <c r="P160" s="1917"/>
      <c r="Q160" s="1918"/>
      <c r="R160" s="177"/>
      <c r="S160" s="1916"/>
      <c r="T160" s="1917"/>
      <c r="U160" s="1917"/>
      <c r="V160" s="1918"/>
      <c r="W160" s="177"/>
      <c r="X160" s="1916"/>
      <c r="Y160" s="1917"/>
      <c r="Z160" s="1917"/>
      <c r="AA160" s="1918"/>
      <c r="AB160" s="177"/>
      <c r="AC160" s="1916"/>
      <c r="AD160" s="1917"/>
      <c r="AE160" s="1917"/>
      <c r="AF160" s="1918"/>
      <c r="AG160" s="177"/>
      <c r="AH160" s="1916"/>
      <c r="AI160" s="1917"/>
      <c r="AJ160" s="1917"/>
      <c r="AK160" s="1918"/>
      <c r="AL160" s="177"/>
    </row>
    <row r="161" spans="2:38" s="176" customFormat="1" x14ac:dyDescent="0.45">
      <c r="B161" s="1942"/>
      <c r="C161" s="1945"/>
      <c r="D161" s="1916"/>
      <c r="E161" s="1917"/>
      <c r="F161" s="1917"/>
      <c r="G161" s="1918"/>
      <c r="H161" s="177"/>
      <c r="I161" s="1916"/>
      <c r="J161" s="1917"/>
      <c r="K161" s="1917"/>
      <c r="L161" s="1918"/>
      <c r="M161" s="177"/>
      <c r="N161" s="1916"/>
      <c r="O161" s="1917"/>
      <c r="P161" s="1917"/>
      <c r="Q161" s="1918"/>
      <c r="R161" s="177"/>
      <c r="S161" s="1916"/>
      <c r="T161" s="1917"/>
      <c r="U161" s="1917"/>
      <c r="V161" s="1918"/>
      <c r="W161" s="177"/>
      <c r="X161" s="1916"/>
      <c r="Y161" s="1917"/>
      <c r="Z161" s="1917"/>
      <c r="AA161" s="1918"/>
      <c r="AB161" s="177"/>
      <c r="AC161" s="1916"/>
      <c r="AD161" s="1917"/>
      <c r="AE161" s="1917"/>
      <c r="AF161" s="1918"/>
      <c r="AG161" s="177"/>
      <c r="AH161" s="1916"/>
      <c r="AI161" s="1917"/>
      <c r="AJ161" s="1917"/>
      <c r="AK161" s="1918"/>
      <c r="AL161" s="177"/>
    </row>
    <row r="162" spans="2:38" s="176" customFormat="1" ht="15" customHeight="1" x14ac:dyDescent="0.45">
      <c r="B162" s="1942"/>
      <c r="C162" s="1945"/>
      <c r="D162" s="1919"/>
      <c r="E162" s="1920"/>
      <c r="F162" s="1920"/>
      <c r="G162" s="1921"/>
      <c r="H162" s="177"/>
      <c r="I162" s="1919"/>
      <c r="J162" s="1920"/>
      <c r="K162" s="1920"/>
      <c r="L162" s="1921"/>
      <c r="M162" s="177"/>
      <c r="N162" s="1919"/>
      <c r="O162" s="1920"/>
      <c r="P162" s="1920"/>
      <c r="Q162" s="1921"/>
      <c r="R162" s="177"/>
      <c r="S162" s="1919"/>
      <c r="T162" s="1920"/>
      <c r="U162" s="1920"/>
      <c r="V162" s="1921"/>
      <c r="W162" s="177"/>
      <c r="X162" s="1919"/>
      <c r="Y162" s="1920"/>
      <c r="Z162" s="1920"/>
      <c r="AA162" s="1921"/>
      <c r="AB162" s="177"/>
      <c r="AC162" s="1919"/>
      <c r="AD162" s="1920"/>
      <c r="AE162" s="1920"/>
      <c r="AF162" s="1921"/>
      <c r="AG162" s="177"/>
      <c r="AH162" s="1919"/>
      <c r="AI162" s="1920"/>
      <c r="AJ162" s="1920"/>
      <c r="AK162" s="1921"/>
      <c r="AL162" s="177"/>
    </row>
    <row r="163" spans="2:38" s="176" customFormat="1" ht="15" customHeight="1" x14ac:dyDescent="0.45">
      <c r="B163" s="1942"/>
      <c r="C163" s="1945"/>
      <c r="D163" s="1913" t="str">
        <f ca="1">IF(G143&gt;0,CONCATENATE("Session Aim: 
", CONCATENATE(IF(INDEX(final_duration_secondary,((WEEKDAY(E$3,2)*2-1)+IF(E143="Morning",0,1)),D143)=0, "", "1. "),
INDEX(sessions_aim_primary,, INDEX(plan_session_allocation,((WEEKDAY(E$3,2)*2-1)+IF(E143="Morning",0,1)),D143)), IF(INDEX(final_duration_secondary,((WEEKDAY(E$3,2)*2-1)+IF(E143="Morning",0,1)),D143)=0, "", "
2. "),
IF(INDEX(final_duration_secondary,((WEEKDAY(E$3,2)*2-1)+IF(E143="Morning",0,1)),D143)=0, "", INDEX(sessions_aim_secondary,, INDEX(plan_session_allocation,((WEEKDAY(E$3,2)*2-1)+IF(E143="Morning",0,1)),D143))), IF(INDEX(final_duration_tertiary,((WEEKDAY(E$3,2)*2-1)+IF(E143="Morning",0,1)),D143)=0, "", "
3. "),
IF(INDEX(final_duration_tertiary,((WEEKDAY(E$3,2)*2-1)+IF(E143="Morning",0,1)),D143)=0, "", INDEX(sessions_aim_tertiary,, INDEX(plan_session_allocation,((WEEKDAY(E$3,2)*2-1)+IF(E143="Morning",0,1)),D143))),
IF(INDEX(display_nutrition_description,((WEEKDAY(E$3,2)*2-1)+IF(E143="Morning",0,1)),D143)="","",
CONCATENATE("
Nutrition Aim:
", INDEX(sessions_aim_nutrition,,INDEX(plan_session_allocation,((WEEKDAY(E$3,2)*2-1)+IF(E143="Morning",0,1)),D143))
))
)),"")</f>
        <v xml:space="preserve">Session Aim: 
1. Increase strength of specific muscle groups, running economy and injury resistance. 
2. Release tension that develops in soft tissue from training and non-training stresses. </v>
      </c>
      <c r="E163" s="1914"/>
      <c r="F163" s="1914"/>
      <c r="G163" s="1915"/>
      <c r="H163" s="177"/>
      <c r="I163" s="1913" t="str">
        <f ca="1">IF(L143&gt;0,CONCATENATE("Session Aim: 
", CONCATENATE(IF(INDEX(final_duration_secondary,((WEEKDAY(J$3,2)*2-1)+IF(J143="Morning",0,1)),I143)=0, "", "1. "),
INDEX(sessions_aim_primary,, INDEX(plan_session_allocation,((WEEKDAY(J$3,2)*2-1)+IF(J143="Morning",0,1)),I143)), IF(INDEX(final_duration_secondary,((WEEKDAY(J$3,2)*2-1)+IF(J143="Morning",0,1)),I143)=0, "", "
2. "),
IF(INDEX(final_duration_secondary,((WEEKDAY(J$3,2)*2-1)+IF(J143="Morning",0,1)),I143)=0, "", INDEX(sessions_aim_secondary,, INDEX(plan_session_allocation,((WEEKDAY(J$3,2)*2-1)+IF(J143="Morning",0,1)),I143))), IF(INDEX(final_duration_tertiary,((WEEKDAY(J$3,2)*2-1)+IF(J143="Morning",0,1)),I143)=0, "", "
3. "),
IF(INDEX(final_duration_tertiary,((WEEKDAY(J$3,2)*2-1)+IF(J143="Morning",0,1)),I143)=0, "", INDEX(sessions_aim_tertiary,, INDEX(plan_session_allocation,((WEEKDAY(J$3,2)*2-1)+IF(J143="Morning",0,1)),I143))),
IF(INDEX(display_nutrition_description,((WEEKDAY(J$3,2)*2-1)+IF(J143="Morning",0,1)),I143)="","",
CONCATENATE("
Nutrition Aim:
", INDEX(sessions_aim_nutrition,,INDEX(plan_session_allocation,((WEEKDAY(J$3,2)*2-1)+IF(J143="Morning",0,1)),I143))
))
)),"")</f>
        <v xml:space="preserve">Session Aim: 
Improve endurance by increasing lactate threshold and developing mental toughness. </v>
      </c>
      <c r="J163" s="1914"/>
      <c r="K163" s="1914"/>
      <c r="L163" s="1915"/>
      <c r="M163" s="177"/>
      <c r="N163" s="1913" t="str">
        <f ca="1">IF(Q143&gt;0,CONCATENATE("Session Aim: 
", CONCATENATE(IF(INDEX(final_duration_secondary,((WEEKDAY(O$3,2)*2-1)+IF(O143="Morning",0,1)),N143)=0, "", "1. "),
INDEX(sessions_aim_primary,, INDEX(plan_session_allocation,((WEEKDAY(O$3,2)*2-1)+IF(O143="Morning",0,1)),N143)), IF(INDEX(final_duration_secondary,((WEEKDAY(O$3,2)*2-1)+IF(O143="Morning",0,1)),N143)=0, "", "
2. "),
IF(INDEX(final_duration_secondary,((WEEKDAY(O$3,2)*2-1)+IF(O143="Morning",0,1)),N143)=0, "", INDEX(sessions_aim_secondary,, INDEX(plan_session_allocation,((WEEKDAY(O$3,2)*2-1)+IF(O143="Morning",0,1)),N143))), IF(INDEX(final_duration_tertiary,((WEEKDAY(O$3,2)*2-1)+IF(O143="Morning",0,1)),N143)=0, "", "
3. "),
IF(INDEX(final_duration_tertiary,((WEEKDAY(O$3,2)*2-1)+IF(O143="Morning",0,1)),N143)=0, "", INDEX(sessions_aim_tertiary,, INDEX(plan_session_allocation,((WEEKDAY(O$3,2)*2-1)+IF(O143="Morning",0,1)),N143))),
IF(INDEX(display_nutrition_description,((WEEKDAY(O$3,2)*2-1)+IF(O143="Morning",0,1)),N143)="","",
CONCATENATE("
Nutrition Aim:
", INDEX(sessions_aim_nutrition,,INDEX(plan_session_allocation,((WEEKDAY(O$3,2)*2-1)+IF(O143="Morning",0,1)),N143))
))
)),"")</f>
        <v xml:space="preserve">Session Aim: 
Improve aerobic fitness while minimising the chance of injury. </v>
      </c>
      <c r="O163" s="1914"/>
      <c r="P163" s="1914"/>
      <c r="Q163" s="1915"/>
      <c r="R163" s="177"/>
      <c r="S163" s="1913" t="str">
        <f ca="1">IF(V143&gt;0,CONCATENATE("Session Aim: 
", CONCATENATE(IF(INDEX(final_duration_secondary,((WEEKDAY(T$3,2)*2-1)+IF(T143="Morning",0,1)),S143)=0, "", "1. "),
INDEX(sessions_aim_primary,, INDEX(plan_session_allocation,((WEEKDAY(T$3,2)*2-1)+IF(T143="Morning",0,1)),S143)), IF(INDEX(final_duration_secondary,((WEEKDAY(T$3,2)*2-1)+IF(T143="Morning",0,1)),S143)=0, "", "
2. "),
IF(INDEX(final_duration_secondary,((WEEKDAY(T$3,2)*2-1)+IF(T143="Morning",0,1)),S143)=0, "", INDEX(sessions_aim_secondary,, INDEX(plan_session_allocation,((WEEKDAY(T$3,2)*2-1)+IF(T143="Morning",0,1)),S143))), IF(INDEX(final_duration_tertiary,((WEEKDAY(T$3,2)*2-1)+IF(T143="Morning",0,1)),S143)=0, "", "
3. "),
IF(INDEX(final_duration_tertiary,((WEEKDAY(T$3,2)*2-1)+IF(T143="Morning",0,1)),S143)=0, "", INDEX(sessions_aim_tertiary,, INDEX(plan_session_allocation,((WEEKDAY(T$3,2)*2-1)+IF(T143="Morning",0,1)),S143))),
IF(INDEX(display_nutrition_description,((WEEKDAY(T$3,2)*2-1)+IF(T143="Morning",0,1)),S143)="","",
CONCATENATE("
Nutrition Aim:
", INDEX(sessions_aim_nutrition,,INDEX(plan_session_allocation,((WEEKDAY(T$3,2)*2-1)+IF(T143="Morning",0,1)),S143))
))
)),"")</f>
        <v>Session Aim: 
Improve aerobic fitness at an optimal rate.</v>
      </c>
      <c r="T163" s="1914"/>
      <c r="U163" s="1914"/>
      <c r="V163" s="1915"/>
      <c r="W163" s="177"/>
      <c r="X163" s="1913" t="str">
        <f ca="1">IF(AA143&gt;0,CONCATENATE("Session Aim: 
", CONCATENATE(IF(INDEX(final_duration_secondary,((WEEKDAY(Y$3,2)*2-1)+IF(Y143="Morning",0,1)),X143)=0, "", "1. "),
INDEX(sessions_aim_primary,, INDEX(plan_session_allocation,((WEEKDAY(Y$3,2)*2-1)+IF(Y143="Morning",0,1)),X143)), IF(INDEX(final_duration_secondary,((WEEKDAY(Y$3,2)*2-1)+IF(Y143="Morning",0,1)),X143)=0, "", "
2. "),
IF(INDEX(final_duration_secondary,((WEEKDAY(Y$3,2)*2-1)+IF(Y143="Morning",0,1)),X143)=0, "", INDEX(sessions_aim_secondary,, INDEX(plan_session_allocation,((WEEKDAY(Y$3,2)*2-1)+IF(Y143="Morning",0,1)),X143))), IF(INDEX(final_duration_tertiary,((WEEKDAY(Y$3,2)*2-1)+IF(Y143="Morning",0,1)),X143)=0, "", "
3. "),
IF(INDEX(final_duration_tertiary,((WEEKDAY(Y$3,2)*2-1)+IF(Y143="Morning",0,1)),X143)=0, "", INDEX(sessions_aim_tertiary,, INDEX(plan_session_allocation,((WEEKDAY(Y$3,2)*2-1)+IF(Y143="Morning",0,1)),X143))),
IF(INDEX(display_nutrition_description,((WEEKDAY(Y$3,2)*2-1)+IF(Y143="Morning",0,1)),X143)="","",
CONCATENATE("
Nutrition Aim:
", INDEX(sessions_aim_nutrition,,INDEX(plan_session_allocation,((WEEKDAY(Y$3,2)*2-1)+IF(Y143="Morning",0,1)),X143))
))
)),"")</f>
        <v xml:space="preserve">Session Aim: 
1. Increase strength of specific muscle groups, running economy and injury resistance. 
2. Release tension that develops in soft tissue from training and non-training stresses. </v>
      </c>
      <c r="Y163" s="1914"/>
      <c r="Z163" s="1914"/>
      <c r="AA163" s="1915"/>
      <c r="AB163" s="177"/>
      <c r="AC163" s="1913" t="str">
        <f ca="1">IF(AF143&gt;0,CONCATENATE("Session Aim: 
", CONCATENATE(IF(INDEX(final_duration_secondary,((WEEKDAY(AD$3,2)*2-1)+IF(AD143="Morning",0,1)),AC143)=0, "", "1. "),
INDEX(sessions_aim_primary,, INDEX(plan_session_allocation,((WEEKDAY(AD$3,2)*2-1)+IF(AD143="Morning",0,1)),AC143)), IF(INDEX(final_duration_secondary,((WEEKDAY(AD$3,2)*2-1)+IF(AD143="Morning",0,1)),AC143)=0, "", "
2. "),
IF(INDEX(final_duration_secondary,((WEEKDAY(AD$3,2)*2-1)+IF(AD143="Morning",0,1)),AC143)=0, "", INDEX(sessions_aim_secondary,, INDEX(plan_session_allocation,((WEEKDAY(AD$3,2)*2-1)+IF(AD143="Morning",0,1)),AC143))), IF(INDEX(final_duration_tertiary,((WEEKDAY(AD$3,2)*2-1)+IF(AD143="Morning",0,1)),AC143)=0, "", "
3. "),
IF(INDEX(final_duration_tertiary,((WEEKDAY(AD$3,2)*2-1)+IF(AD143="Morning",0,1)),AC143)=0, "", INDEX(sessions_aim_tertiary,, INDEX(plan_session_allocation,((WEEKDAY(AD$3,2)*2-1)+IF(AD143="Morning",0,1)),AC143))),
IF(INDEX(display_nutrition_description,((WEEKDAY(AD$3,2)*2-1)+IF(AD143="Morning",0,1)),AC143)="","",
CONCATENATE("
Nutrition Aim:
", INDEX(sessions_aim_nutrition,,INDEX(plan_session_allocation,((WEEKDAY(AD$3,2)*2-1)+IF(AD143="Morning",0,1)),AC143))
))
)),"")</f>
        <v xml:space="preserve">Session Aim: 
Improve aerobic fitness while minimising the chance of injury. </v>
      </c>
      <c r="AD163" s="1914"/>
      <c r="AE163" s="1914"/>
      <c r="AF163" s="1915"/>
      <c r="AG163" s="177"/>
      <c r="AH163" s="1913" t="str">
        <f ca="1">IF(AK143&gt;0,CONCATENATE("Session Aim: 
", CONCATENATE(IF(INDEX(final_duration_secondary,((WEEKDAY(AI$3,2)*2-1)+IF(AI143="Morning",0,1)),AH143)=0, "", "1. "),
INDEX(sessions_aim_primary,, INDEX(plan_session_allocation,((WEEKDAY(AI$3,2)*2-1)+IF(AI143="Morning",0,1)),AH143)), IF(INDEX(final_duration_secondary,((WEEKDAY(AI$3,2)*2-1)+IF(AI143="Morning",0,1)),AH143)=0, "", "
2. "),
IF(INDEX(final_duration_secondary,((WEEKDAY(AI$3,2)*2-1)+IF(AI143="Morning",0,1)),AH143)=0, "", INDEX(sessions_aim_secondary,, INDEX(plan_session_allocation,((WEEKDAY(AI$3,2)*2-1)+IF(AI143="Morning",0,1)),AH143))), IF(INDEX(final_duration_tertiary,((WEEKDAY(AI$3,2)*2-1)+IF(AI143="Morning",0,1)),AH143)=0, "", "
3. "),
IF(INDEX(final_duration_tertiary,((WEEKDAY(AI$3,2)*2-1)+IF(AI143="Morning",0,1)),AH143)=0, "", INDEX(sessions_aim_tertiary,, INDEX(plan_session_allocation,((WEEKDAY(AI$3,2)*2-1)+IF(AI143="Morning",0,1)),AH143))),
IF(INDEX(display_nutrition_description,((WEEKDAY(AI$3,2)*2-1)+IF(AI143="Morning",0,1)),AH143)="","",
CONCATENATE("
Nutrition Aim:
", INDEX(sessions_aim_nutrition,,INDEX(plan_session_allocation,((WEEKDAY(AI$3,2)*2-1)+IF(AI143="Morning",0,1)),AH143))
))
)),"")</f>
        <v/>
      </c>
      <c r="AI163" s="1914"/>
      <c r="AJ163" s="1914"/>
      <c r="AK163" s="1915"/>
      <c r="AL163" s="177"/>
    </row>
    <row r="164" spans="2:38" s="176" customFormat="1" x14ac:dyDescent="0.45">
      <c r="B164" s="1942"/>
      <c r="C164" s="1945"/>
      <c r="D164" s="1916"/>
      <c r="E164" s="1917"/>
      <c r="F164" s="1917"/>
      <c r="G164" s="1918"/>
      <c r="H164" s="177"/>
      <c r="I164" s="1916"/>
      <c r="J164" s="1917"/>
      <c r="K164" s="1917"/>
      <c r="L164" s="1918"/>
      <c r="M164" s="177"/>
      <c r="N164" s="1916"/>
      <c r="O164" s="1917"/>
      <c r="P164" s="1917"/>
      <c r="Q164" s="1918"/>
      <c r="R164" s="177"/>
      <c r="S164" s="1916"/>
      <c r="T164" s="1917"/>
      <c r="U164" s="1917"/>
      <c r="V164" s="1918"/>
      <c r="W164" s="177"/>
      <c r="X164" s="1916"/>
      <c r="Y164" s="1917"/>
      <c r="Z164" s="1917"/>
      <c r="AA164" s="1918"/>
      <c r="AB164" s="177"/>
      <c r="AC164" s="1916"/>
      <c r="AD164" s="1917"/>
      <c r="AE164" s="1917"/>
      <c r="AF164" s="1918"/>
      <c r="AG164" s="177"/>
      <c r="AH164" s="1916"/>
      <c r="AI164" s="1917"/>
      <c r="AJ164" s="1917"/>
      <c r="AK164" s="1918"/>
      <c r="AL164" s="177"/>
    </row>
    <row r="165" spans="2:38" s="176" customFormat="1" x14ac:dyDescent="0.45">
      <c r="B165" s="1942"/>
      <c r="C165" s="1945"/>
      <c r="D165" s="1916"/>
      <c r="E165" s="1917"/>
      <c r="F165" s="1917"/>
      <c r="G165" s="1918"/>
      <c r="H165" s="177"/>
      <c r="I165" s="1916"/>
      <c r="J165" s="1917"/>
      <c r="K165" s="1917"/>
      <c r="L165" s="1918"/>
      <c r="M165" s="177"/>
      <c r="N165" s="1916"/>
      <c r="O165" s="1917"/>
      <c r="P165" s="1917"/>
      <c r="Q165" s="1918"/>
      <c r="R165" s="177"/>
      <c r="S165" s="1916"/>
      <c r="T165" s="1917"/>
      <c r="U165" s="1917"/>
      <c r="V165" s="1918"/>
      <c r="W165" s="177"/>
      <c r="X165" s="1916"/>
      <c r="Y165" s="1917"/>
      <c r="Z165" s="1917"/>
      <c r="AA165" s="1918"/>
      <c r="AB165" s="177"/>
      <c r="AC165" s="1916"/>
      <c r="AD165" s="1917"/>
      <c r="AE165" s="1917"/>
      <c r="AF165" s="1918"/>
      <c r="AG165" s="177"/>
      <c r="AH165" s="1916"/>
      <c r="AI165" s="1917"/>
      <c r="AJ165" s="1917"/>
      <c r="AK165" s="1918"/>
      <c r="AL165" s="177"/>
    </row>
    <row r="166" spans="2:38" s="176" customFormat="1" x14ac:dyDescent="0.45">
      <c r="B166" s="1942"/>
      <c r="C166" s="1945"/>
      <c r="D166" s="1916"/>
      <c r="E166" s="1917"/>
      <c r="F166" s="1917"/>
      <c r="G166" s="1918"/>
      <c r="H166" s="177"/>
      <c r="I166" s="1916"/>
      <c r="J166" s="1917"/>
      <c r="K166" s="1917"/>
      <c r="L166" s="1918"/>
      <c r="M166" s="177"/>
      <c r="N166" s="1916"/>
      <c r="O166" s="1917"/>
      <c r="P166" s="1917"/>
      <c r="Q166" s="1918"/>
      <c r="R166" s="177"/>
      <c r="S166" s="1916"/>
      <c r="T166" s="1917"/>
      <c r="U166" s="1917"/>
      <c r="V166" s="1918"/>
      <c r="W166" s="177"/>
      <c r="X166" s="1916"/>
      <c r="Y166" s="1917"/>
      <c r="Z166" s="1917"/>
      <c r="AA166" s="1918"/>
      <c r="AB166" s="177"/>
      <c r="AC166" s="1916"/>
      <c r="AD166" s="1917"/>
      <c r="AE166" s="1917"/>
      <c r="AF166" s="1918"/>
      <c r="AG166" s="177"/>
      <c r="AH166" s="1916"/>
      <c r="AI166" s="1917"/>
      <c r="AJ166" s="1917"/>
      <c r="AK166" s="1918"/>
      <c r="AL166" s="177"/>
    </row>
    <row r="167" spans="2:38" s="176" customFormat="1" x14ac:dyDescent="0.45">
      <c r="B167" s="1942"/>
      <c r="C167" s="1945"/>
      <c r="D167" s="1916"/>
      <c r="E167" s="1917"/>
      <c r="F167" s="1917"/>
      <c r="G167" s="1918"/>
      <c r="H167" s="177"/>
      <c r="I167" s="1916"/>
      <c r="J167" s="1917"/>
      <c r="K167" s="1917"/>
      <c r="L167" s="1918"/>
      <c r="M167" s="177"/>
      <c r="N167" s="1916"/>
      <c r="O167" s="1917"/>
      <c r="P167" s="1917"/>
      <c r="Q167" s="1918"/>
      <c r="R167" s="177"/>
      <c r="S167" s="1916"/>
      <c r="T167" s="1917"/>
      <c r="U167" s="1917"/>
      <c r="V167" s="1918"/>
      <c r="W167" s="177"/>
      <c r="X167" s="1916"/>
      <c r="Y167" s="1917"/>
      <c r="Z167" s="1917"/>
      <c r="AA167" s="1918"/>
      <c r="AB167" s="177"/>
      <c r="AC167" s="1916"/>
      <c r="AD167" s="1917"/>
      <c r="AE167" s="1917"/>
      <c r="AF167" s="1918"/>
      <c r="AG167" s="177"/>
      <c r="AH167" s="1916"/>
      <c r="AI167" s="1917"/>
      <c r="AJ167" s="1917"/>
      <c r="AK167" s="1918"/>
      <c r="AL167" s="177"/>
    </row>
    <row r="168" spans="2:38" s="176" customFormat="1" x14ac:dyDescent="0.45">
      <c r="B168" s="1942"/>
      <c r="C168" s="1945"/>
      <c r="D168" s="1916"/>
      <c r="E168" s="1917"/>
      <c r="F168" s="1917"/>
      <c r="G168" s="1918"/>
      <c r="H168" s="177"/>
      <c r="I168" s="1916"/>
      <c r="J168" s="1917"/>
      <c r="K168" s="1917"/>
      <c r="L168" s="1918"/>
      <c r="N168" s="1916"/>
      <c r="O168" s="1917"/>
      <c r="P168" s="1917"/>
      <c r="Q168" s="1918"/>
      <c r="S168" s="1916"/>
      <c r="T168" s="1917"/>
      <c r="U168" s="1917"/>
      <c r="V168" s="1918"/>
      <c r="X168" s="1916"/>
      <c r="Y168" s="1917"/>
      <c r="Z168" s="1917"/>
      <c r="AA168" s="1918"/>
      <c r="AC168" s="1916"/>
      <c r="AD168" s="1917"/>
      <c r="AE168" s="1917"/>
      <c r="AF168" s="1918"/>
      <c r="AH168" s="1916"/>
      <c r="AI168" s="1917"/>
      <c r="AJ168" s="1917"/>
      <c r="AK168" s="1918"/>
    </row>
    <row r="169" spans="2:38" s="176" customFormat="1" ht="14.65" thickBot="1" x14ac:dyDescent="0.5">
      <c r="B169" s="1943"/>
      <c r="C169" s="1946"/>
      <c r="D169" s="1938"/>
      <c r="E169" s="1939"/>
      <c r="F169" s="1939"/>
      <c r="G169" s="1940"/>
      <c r="H169" s="177"/>
      <c r="I169" s="1938"/>
      <c r="J169" s="1939"/>
      <c r="K169" s="1939"/>
      <c r="L169" s="1940"/>
      <c r="N169" s="1938"/>
      <c r="O169" s="1939"/>
      <c r="P169" s="1939"/>
      <c r="Q169" s="1940"/>
      <c r="S169" s="1938"/>
      <c r="T169" s="1939"/>
      <c r="U169" s="1939"/>
      <c r="V169" s="1940"/>
      <c r="X169" s="1938"/>
      <c r="Y169" s="1939"/>
      <c r="Z169" s="1939"/>
      <c r="AA169" s="1940"/>
      <c r="AC169" s="1938"/>
      <c r="AD169" s="1939"/>
      <c r="AE169" s="1939"/>
      <c r="AF169" s="1940"/>
      <c r="AH169" s="1938"/>
      <c r="AI169" s="1939"/>
      <c r="AJ169" s="1939"/>
      <c r="AK169" s="1940"/>
    </row>
    <row r="170" spans="2:38" s="176" customFormat="1" ht="14.65" thickBot="1" x14ac:dyDescent="0.5">
      <c r="H170" s="177"/>
    </row>
    <row r="171" spans="2:38" s="176" customFormat="1" ht="15" customHeight="1" thickBot="1" x14ac:dyDescent="0.5">
      <c r="B171" s="1941">
        <v>4</v>
      </c>
      <c r="C171" s="1944" t="str">
        <f ca="1">IF(INDEX(display_strategy,1,B171)="","", CONCATENATE(INDEX(display_strategy,1,B171),": ",HLOOKUP(INDEX(display_strategy,1,B171),strategies,4,TRUE)))</f>
        <v xml:space="preserve">Conservative Balance: Reduce training stress but maintain a good base level of conditioning and metabolism. </v>
      </c>
      <c r="D171" s="1418" t="str">
        <f ca="1">CONCATENATE("Strategy: ",INDEX(display_strategy,$B171))</f>
        <v>Strategy: Conservative Balance</v>
      </c>
      <c r="E171" s="1947">
        <f>plan_start_date + ($B171-1)*7 + (COLUMN(D$2)-2)/5</f>
        <v>43395.4</v>
      </c>
      <c r="F171" s="1947"/>
      <c r="G171" s="1417" t="str">
        <f>CONCATENATE("Slot: ", ((WEEKDAY(E$3,2)*2-1)+IF(E172="Morning",0,1)))</f>
        <v>Slot: 1</v>
      </c>
      <c r="H171" s="177"/>
      <c r="I171" s="1418" t="str">
        <f ca="1">CONCATENATE("Strategy: ",INDEX(display_strategy,$B171))</f>
        <v>Strategy: Conservative Balance</v>
      </c>
      <c r="J171" s="1947">
        <f>plan_start_date + ($B171-1)*7 + (COLUMN(I$2)-2)/5</f>
        <v>43396.4</v>
      </c>
      <c r="K171" s="1947"/>
      <c r="L171" s="1417" t="str">
        <f>CONCATENATE("Slot: ", ((WEEKDAY(J$3,2)*2-1)+IF(J172="Morning",0,1)))</f>
        <v>Slot: 3</v>
      </c>
      <c r="N171" s="1418" t="str">
        <f ca="1">CONCATENATE("Strategy: ",INDEX(display_strategy,$B171))</f>
        <v>Strategy: Conservative Balance</v>
      </c>
      <c r="O171" s="1947">
        <f>plan_start_date + ($B171-1)*7 + (COLUMN(N$2)-2)/5</f>
        <v>43397.4</v>
      </c>
      <c r="P171" s="1947"/>
      <c r="Q171" s="1417" t="str">
        <f>CONCATENATE("Slot: ", ((WEEKDAY(O$3,2)*2-1)+IF(O172="Morning",0,1)))</f>
        <v>Slot: 5</v>
      </c>
      <c r="S171" s="1418" t="str">
        <f ca="1">CONCATENATE("Strategy: ",INDEX(display_strategy,$B171))</f>
        <v>Strategy: Conservative Balance</v>
      </c>
      <c r="T171" s="1947">
        <f>plan_start_date + ($B171-1)*7 + (COLUMN(S$2)-2)/5</f>
        <v>43398.400000000001</v>
      </c>
      <c r="U171" s="1947"/>
      <c r="V171" s="1417" t="str">
        <f>CONCATENATE("Slot: ", ((WEEKDAY(T$3,2)*2-1)+IF(T172="Morning",0,1)))</f>
        <v>Slot: 7</v>
      </c>
      <c r="X171" s="1418" t="str">
        <f ca="1">CONCATENATE("Strategy: ",INDEX(display_strategy,$B171))</f>
        <v>Strategy: Conservative Balance</v>
      </c>
      <c r="Y171" s="1947">
        <f>plan_start_date + ($B171-1)*7 + (COLUMN(X$2)-2)/5</f>
        <v>43399.4</v>
      </c>
      <c r="Z171" s="1947"/>
      <c r="AA171" s="1417" t="str">
        <f>CONCATENATE("Slot: ", ((WEEKDAY(Y$3,2)*2-1)+IF(Y172="Morning",0,1)))</f>
        <v>Slot: 9</v>
      </c>
      <c r="AC171" s="1418" t="str">
        <f ca="1">CONCATENATE("Strategy: ",INDEX(display_strategy,$B171))</f>
        <v>Strategy: Conservative Balance</v>
      </c>
      <c r="AD171" s="1947">
        <f>plan_start_date + ($B171-1)*7 + (COLUMN(AC$2)-2)/5</f>
        <v>43400.4</v>
      </c>
      <c r="AE171" s="1947"/>
      <c r="AF171" s="1417" t="str">
        <f>CONCATENATE("Slot: ", ((WEEKDAY(AD$3,2)*2-1)+IF(AD172="Morning",0,1)))</f>
        <v>Slot: 11</v>
      </c>
      <c r="AH171" s="1418" t="str">
        <f ca="1">CONCATENATE("Strategy: ",INDEX(display_strategy,$B171))</f>
        <v>Strategy: Conservative Balance</v>
      </c>
      <c r="AI171" s="1947">
        <f>plan_start_date + ($B171-1)*7 + (COLUMN(AH$2)-2)/5</f>
        <v>43401.4</v>
      </c>
      <c r="AJ171" s="1947"/>
      <c r="AK171" s="1417" t="str">
        <f>CONCATENATE("Slot: ", ((WEEKDAY(AI$3,2)*2-1)+IF(AI172="Morning",0,1)))</f>
        <v>Slot: 13</v>
      </c>
    </row>
    <row r="172" spans="2:38" s="176" customFormat="1" x14ac:dyDescent="0.45">
      <c r="B172" s="1942"/>
      <c r="C172" s="1945"/>
      <c r="D172" s="1413">
        <f>$B171</f>
        <v>4</v>
      </c>
      <c r="E172" s="1930" t="s">
        <v>351</v>
      </c>
      <c r="F172" s="1930"/>
      <c r="G172" s="1412">
        <f ca="1">INDEX(final_duration_session, ((WEEKDAY(E$3,2)*2-1)+IF(E172="Morning",0,1)), $D172)</f>
        <v>40</v>
      </c>
      <c r="H172" s="177"/>
      <c r="I172" s="1413">
        <f>$B171</f>
        <v>4</v>
      </c>
      <c r="J172" s="1930" t="s">
        <v>351</v>
      </c>
      <c r="K172" s="1930"/>
      <c r="L172" s="1412">
        <f ca="1">INDEX(final_duration_session, ((WEEKDAY(J$3,2)*2-1)+IF(J172="Morning",0,1)), $D172)</f>
        <v>40</v>
      </c>
      <c r="M172" s="177"/>
      <c r="N172" s="1413">
        <f>$B171</f>
        <v>4</v>
      </c>
      <c r="O172" s="1930" t="s">
        <v>351</v>
      </c>
      <c r="P172" s="1930"/>
      <c r="Q172" s="1412">
        <f ca="1">INDEX(final_duration_session, ((WEEKDAY(O$3,2)*2-1)+IF(O172="Morning",0,1)), $D172)</f>
        <v>0</v>
      </c>
      <c r="R172" s="177"/>
      <c r="S172" s="1413">
        <f>$B171</f>
        <v>4</v>
      </c>
      <c r="T172" s="1930" t="s">
        <v>351</v>
      </c>
      <c r="U172" s="1930"/>
      <c r="V172" s="1412">
        <f ca="1">INDEX(final_duration_session, ((WEEKDAY(T$3,2)*2-1)+IF(T172="Morning",0,1)), $D172)</f>
        <v>40</v>
      </c>
      <c r="W172" s="177"/>
      <c r="X172" s="1413">
        <f>$B171</f>
        <v>4</v>
      </c>
      <c r="Y172" s="1930" t="s">
        <v>351</v>
      </c>
      <c r="Z172" s="1930"/>
      <c r="AA172" s="1412">
        <f ca="1">INDEX(final_duration_session, ((WEEKDAY(Y$3,2)*2-1)+IF(Y172="Morning",0,1)), $D172)</f>
        <v>40</v>
      </c>
      <c r="AB172" s="177"/>
      <c r="AC172" s="1413">
        <f>$B171</f>
        <v>4</v>
      </c>
      <c r="AD172" s="1930" t="s">
        <v>351</v>
      </c>
      <c r="AE172" s="1930"/>
      <c r="AF172" s="1412">
        <f ca="1">INDEX(final_duration_session, ((WEEKDAY(AD$3,2)*2-1)+IF(AD172="Morning",0,1)), $D172)</f>
        <v>80</v>
      </c>
      <c r="AG172" s="177"/>
      <c r="AH172" s="1413">
        <f>$B171</f>
        <v>4</v>
      </c>
      <c r="AI172" s="1930" t="s">
        <v>351</v>
      </c>
      <c r="AJ172" s="1930"/>
      <c r="AK172" s="1412">
        <f ca="1">INDEX(final_duration_session, ((WEEKDAY(AI$3,2)*2-1)+IF(AI172="Morning",0,1)), $D172)</f>
        <v>155</v>
      </c>
      <c r="AL172" s="177"/>
    </row>
    <row r="173" spans="2:38" s="176" customFormat="1" ht="15" customHeight="1" x14ac:dyDescent="0.45">
      <c r="B173" s="1942"/>
      <c r="C173" s="1945"/>
      <c r="D173" s="1931" t="str">
        <f ca="1">IF(G172&gt;0,INDEX(sessions_name,INDEX(plan_session_allocation,((WEEKDAY(E$3,2)*2-1)+IF(E172="Morning",0,1)),D172)),"")</f>
        <v>Easy</v>
      </c>
      <c r="E173" s="1932"/>
      <c r="F173" s="1932"/>
      <c r="G173" s="1933"/>
      <c r="H173" s="177"/>
      <c r="I173" s="1931" t="str">
        <f ca="1">IF(L172&gt;0,INDEX(sessions_name,INDEX(plan_session_allocation,((WEEKDAY(J$3,2)*2-1)+IF(J172="Morning",0,1)),I172)),"")</f>
        <v>Easy</v>
      </c>
      <c r="J173" s="1932"/>
      <c r="K173" s="1932"/>
      <c r="L173" s="1933"/>
      <c r="M173" s="177"/>
      <c r="N173" s="1931" t="str">
        <f ca="1">IF(Q172&gt;0,INDEX(sessions_name,INDEX(plan_session_allocation,((WEEKDAY(O$3,2)*2-1)+IF(O172="Morning",0,1)),N172)),"")</f>
        <v/>
      </c>
      <c r="O173" s="1932"/>
      <c r="P173" s="1932"/>
      <c r="Q173" s="1933"/>
      <c r="R173" s="177"/>
      <c r="S173" s="1931" t="str">
        <f ca="1">IF(V172&gt;0,INDEX(sessions_name,INDEX(plan_session_allocation,((WEEKDAY(T$3,2)*2-1)+IF(T172="Morning",0,1)),S172)),"")</f>
        <v>Easy</v>
      </c>
      <c r="T173" s="1932"/>
      <c r="U173" s="1932"/>
      <c r="V173" s="1933"/>
      <c r="W173" s="177"/>
      <c r="X173" s="1931" t="str">
        <f ca="1">IF(AA172&gt;0,INDEX(sessions_name,INDEX(plan_session_allocation,((WEEKDAY(Y$3,2)*2-1)+IF(Y172="Morning",0,1)),X172)),"")</f>
        <v>Easy</v>
      </c>
      <c r="Y173" s="1932"/>
      <c r="Z173" s="1932"/>
      <c r="AA173" s="1933"/>
      <c r="AB173" s="177"/>
      <c r="AC173" s="1931" t="str">
        <f ca="1">IF(AF172&gt;0,INDEX(sessions_name,INDEX(plan_session_allocation,((WEEKDAY(AD$3,2)*2-1)+IF(AD172="Morning",0,1)),AC172)),"")</f>
        <v>Drills</v>
      </c>
      <c r="AD173" s="1932"/>
      <c r="AE173" s="1932"/>
      <c r="AF173" s="1933"/>
      <c r="AG173" s="177"/>
      <c r="AH173" s="1931" t="str">
        <f ca="1">IF(AK172&gt;0,INDEX(sessions_name,INDEX(plan_session_allocation,((WEEKDAY(AI$3,2)*2-1)+IF(AI172="Morning",0,1)),AH172)),"")</f>
        <v>Long</v>
      </c>
      <c r="AI173" s="1932"/>
      <c r="AJ173" s="1932"/>
      <c r="AK173" s="1933"/>
      <c r="AL173" s="177"/>
    </row>
    <row r="174" spans="2:38" s="176" customFormat="1" ht="15" customHeight="1" x14ac:dyDescent="0.45">
      <c r="B174" s="1942"/>
      <c r="C174" s="1945"/>
      <c r="D174" s="1934" t="str">
        <f ca="1">IF(G172&gt;0,CONCATENATE("Sport: ",INDEX(sessions_sport_primary,INDEX(plan_session_allocation,(WEEKDAY(E$3,2)*2-1)+IF(E172="Morning",0,1),D172))),"")</f>
        <v>Sport: Ride</v>
      </c>
      <c r="E174" s="1935"/>
      <c r="F174" s="1936">
        <f ca="1">IF(G172&gt;0,IFERROR(F175+F176+F177,""),"")</f>
        <v>40</v>
      </c>
      <c r="G174" s="1937"/>
      <c r="H174" s="177"/>
      <c r="I174" s="1934" t="str">
        <f ca="1">IF(L172&gt;0,CONCATENATE("Sport: ",INDEX(sessions_sport_primary,INDEX(plan_session_allocation,(WEEKDAY(J$3,2)*2-1)+IF(J172="Morning",0,1),I172))),"")</f>
        <v>Sport: Ride</v>
      </c>
      <c r="J174" s="1935"/>
      <c r="K174" s="1936">
        <f ca="1">IF(L172&gt;0,IFERROR(K175+K176+K177,""),"")</f>
        <v>40</v>
      </c>
      <c r="L174" s="1937"/>
      <c r="M174" s="177"/>
      <c r="N174" s="1934" t="str">
        <f ca="1">IF(Q172&gt;0,CONCATENATE("Sport: ",INDEX(sessions_sport_primary,INDEX(plan_session_allocation,(WEEKDAY(O$3,2)*2-1)+IF(O172="Morning",0,1),N172))),"")</f>
        <v/>
      </c>
      <c r="O174" s="1935"/>
      <c r="P174" s="1936" t="str">
        <f ca="1">IF(Q172&gt;0,IFERROR(P175+P176+P177,""),"")</f>
        <v/>
      </c>
      <c r="Q174" s="1937"/>
      <c r="R174" s="177"/>
      <c r="S174" s="1934" t="str">
        <f ca="1">IF(V172&gt;0,CONCATENATE("Sport: ",INDEX(sessions_sport_primary,INDEX(plan_session_allocation,(WEEKDAY(T$3,2)*2-1)+IF(T172="Morning",0,1),S172))),"")</f>
        <v>Sport: Ride</v>
      </c>
      <c r="T174" s="1935"/>
      <c r="U174" s="1936">
        <f ca="1">IF(V172&gt;0,IFERROR(U175+U176+U177,""),"")</f>
        <v>40</v>
      </c>
      <c r="V174" s="1937"/>
      <c r="W174" s="177"/>
      <c r="X174" s="1934" t="str">
        <f ca="1">IF(AA172&gt;0,CONCATENATE("Sport: ",INDEX(sessions_sport_primary,INDEX(plan_session_allocation,(WEEKDAY(Y$3,2)*2-1)+IF(Y172="Morning",0,1),X172))),"")</f>
        <v>Sport: Ride</v>
      </c>
      <c r="Y174" s="1935"/>
      <c r="Z174" s="1936">
        <f ca="1">IF(AA172&gt;0,IFERROR(Z175+Z176+Z177,""),"")</f>
        <v>40</v>
      </c>
      <c r="AA174" s="1937"/>
      <c r="AB174" s="177"/>
      <c r="AC174" s="1934" t="str">
        <f ca="1">IF(AF172&gt;0,CONCATENATE("Sport: ",INDEX(sessions_sport_primary,INDEX(plan_session_allocation,(WEEKDAY(AD$3,2)*2-1)+IF(AD172="Morning",0,1),AC172))),"")</f>
        <v>Sport: Run</v>
      </c>
      <c r="AD174" s="1935"/>
      <c r="AE174" s="1936">
        <f ca="1">IF(AF172&gt;0,IFERROR(AE175+AE176+AE177,""),"")</f>
        <v>80</v>
      </c>
      <c r="AF174" s="1937"/>
      <c r="AG174" s="177"/>
      <c r="AH174" s="1934" t="str">
        <f ca="1">IF(AK172&gt;0,CONCATENATE("Sport: ",INDEX(sessions_sport_primary,INDEX(plan_session_allocation,(WEEKDAY(AI$3,2)*2-1)+IF(AI172="Morning",0,1),AH172))),"")</f>
        <v>Sport: Hilly Trail Run</v>
      </c>
      <c r="AI174" s="1935"/>
      <c r="AJ174" s="1936">
        <f ca="1">IF(AK172&gt;0,IFERROR(AJ175+AJ176+AJ177,""),"")</f>
        <v>155</v>
      </c>
      <c r="AK174" s="1937"/>
      <c r="AL174" s="177"/>
    </row>
    <row r="175" spans="2:38" s="176" customFormat="1" ht="15" customHeight="1" x14ac:dyDescent="0.45">
      <c r="B175" s="1942"/>
      <c r="C175" s="1945"/>
      <c r="D175" s="1922" t="str">
        <f ca="1">IF(G172&gt;0,CONCATENATE("HR Target: ",
INDEX(sessions_HR_primary,INDEX(plan_session_allocation,((WEEKDAY(E$3,2)*2-1)+IF(E172="Morning",0,1)),D172)),
IF(INDEX(sessions_HR_primary,INDEX(plan_session_allocation,((WEEKDAY(E$3,2)*2-1)+IF(E172="Morning",0,1)),D172))="N/A","",
" BPM")),"")</f>
        <v>HR Target: 138 BPM</v>
      </c>
      <c r="E175" s="1923"/>
      <c r="F175" s="1924">
        <f ca="1">IF(G172&gt;0,
INDEX(final_duration_effort,((WEEKDAY(E$3,2)*2-1)+IF(E172="Morning",0,1)),D172),"")</f>
        <v>40</v>
      </c>
      <c r="G175" s="1925"/>
      <c r="H175" s="177"/>
      <c r="I175" s="1922" t="str">
        <f ca="1">IF(L172&gt;0,CONCATENATE("HR Target: ",
INDEX(sessions_HR_primary,INDEX(plan_session_allocation,((WEEKDAY(J$3,2)*2-1)+IF(J172="Morning",0,1)),I172)),
IF(INDEX(sessions_HR_primary,INDEX(plan_session_allocation,((WEEKDAY(J$3,2)*2-1)+IF(J172="Morning",0,1)),I172))="N/A","",
" BPM")),"")</f>
        <v>HR Target: 138 BPM</v>
      </c>
      <c r="J175" s="1923"/>
      <c r="K175" s="1924">
        <f ca="1">IF(L172&gt;0,
INDEX(final_duration_effort,((WEEKDAY(J$3,2)*2-1)+IF(J172="Morning",0,1)),I172),"")</f>
        <v>40</v>
      </c>
      <c r="L175" s="1925"/>
      <c r="M175" s="177"/>
      <c r="N175" s="1922" t="str">
        <f ca="1">IF(Q172&gt;0,CONCATENATE("HR Target: ",
INDEX(sessions_HR_primary,INDEX(plan_session_allocation,((WEEKDAY(O$3,2)*2-1)+IF(O172="Morning",0,1)),N172)),
IF(INDEX(sessions_HR_primary,INDEX(plan_session_allocation,((WEEKDAY(O$3,2)*2-1)+IF(O172="Morning",0,1)),N172))="N/A","",
" BPM")),"")</f>
        <v/>
      </c>
      <c r="O175" s="1923"/>
      <c r="P175" s="1924" t="str">
        <f ca="1">IF(Q172&gt;0,
INDEX(final_duration_effort,((WEEKDAY(O$3,2)*2-1)+IF(O172="Morning",0,1)),N172),"")</f>
        <v/>
      </c>
      <c r="Q175" s="1925"/>
      <c r="R175" s="177"/>
      <c r="S175" s="1922" t="str">
        <f ca="1">IF(V172&gt;0,CONCATENATE("HR Target: ",
INDEX(sessions_HR_primary,INDEX(plan_session_allocation,((WEEKDAY(T$3,2)*2-1)+IF(T172="Morning",0,1)),S172)),
IF(INDEX(sessions_HR_primary,INDEX(plan_session_allocation,((WEEKDAY(T$3,2)*2-1)+IF(T172="Morning",0,1)),S172))="N/A","",
" BPM")),"")</f>
        <v>HR Target: 138 BPM</v>
      </c>
      <c r="T175" s="1923"/>
      <c r="U175" s="1924">
        <f ca="1">IF(V172&gt;0,
INDEX(final_duration_effort,((WEEKDAY(T$3,2)*2-1)+IF(T172="Morning",0,1)),S172),"")</f>
        <v>40</v>
      </c>
      <c r="V175" s="1925"/>
      <c r="W175" s="177"/>
      <c r="X175" s="1922" t="str">
        <f ca="1">IF(AA172&gt;0,CONCATENATE("HR Target: ",
INDEX(sessions_HR_primary,INDEX(plan_session_allocation,((WEEKDAY(Y$3,2)*2-1)+IF(Y172="Morning",0,1)),X172)),
IF(INDEX(sessions_HR_primary,INDEX(plan_session_allocation,((WEEKDAY(Y$3,2)*2-1)+IF(Y172="Morning",0,1)),X172))="N/A","",
" BPM")),"")</f>
        <v>HR Target: 138 BPM</v>
      </c>
      <c r="Y175" s="1923"/>
      <c r="Z175" s="1924">
        <f ca="1">IF(AA172&gt;0,
INDEX(final_duration_effort,((WEEKDAY(Y$3,2)*2-1)+IF(Y172="Morning",0,1)),X172),"")</f>
        <v>40</v>
      </c>
      <c r="AA175" s="1925"/>
      <c r="AB175" s="177"/>
      <c r="AC175" s="1922" t="str">
        <f ca="1">IF(AF172&gt;0,CONCATENATE("HR Target: ",
INDEX(sessions_HR_primary,INDEX(plan_session_allocation,((WEEKDAY(AD$3,2)*2-1)+IF(AD172="Morning",0,1)),AC172)),
IF(INDEX(sessions_HR_primary,INDEX(plan_session_allocation,((WEEKDAY(AD$3,2)*2-1)+IF(AD172="Morning",0,1)),AC172))="N/A","",
" BPM")),"")</f>
        <v>HR Target: 148 BPM</v>
      </c>
      <c r="AD175" s="1923"/>
      <c r="AE175" s="1924">
        <f ca="1">IF(AF172&gt;0,
INDEX(final_duration_effort,((WEEKDAY(AD$3,2)*2-1)+IF(AD172="Morning",0,1)),AC172),"")</f>
        <v>65</v>
      </c>
      <c r="AF175" s="1925"/>
      <c r="AG175" s="177"/>
      <c r="AH175" s="1922" t="str">
        <f ca="1">IF(AK172&gt;0,CONCATENATE("HR Target: ",
INDEX(sessions_HR_primary,INDEX(plan_session_allocation,((WEEKDAY(AI$3,2)*2-1)+IF(AI172="Morning",0,1)),AH172)),
IF(INDEX(sessions_HR_primary,INDEX(plan_session_allocation,((WEEKDAY(AI$3,2)*2-1)+IF(AI172="Morning",0,1)),AH172))="N/A","",
" BPM")),"")</f>
        <v>HR Target: 148 BPM</v>
      </c>
      <c r="AI175" s="1923"/>
      <c r="AJ175" s="1924">
        <f ca="1">IF(AK172&gt;0,
INDEX(final_duration_effort,((WEEKDAY(AI$3,2)*2-1)+IF(AI172="Morning",0,1)),AH172),"")</f>
        <v>155</v>
      </c>
      <c r="AK175" s="1925"/>
      <c r="AL175" s="177"/>
    </row>
    <row r="176" spans="2:38" s="179" customFormat="1" x14ac:dyDescent="0.45">
      <c r="B176" s="1942"/>
      <c r="C176" s="1945"/>
      <c r="D176" s="1926" t="str">
        <f ca="1">IF(G172&gt;0,CONCATENATE("HR Range: ",
INDEX(sessions_HR_range_primary,INDEX(plan_session_allocation,((WEEKDAY(E$3,2)*2-1)+IF(E172="Morning",0,1)),D172)),
IF(INDEX(sessions_HR_range_primary,INDEX(plan_session_allocation,((WEEKDAY(E$3,2)*2-1)+IF(E172="Morning",0,1)),D172))="N/A","",
" BPM")),"")</f>
        <v>HR Range: 129 - 148 BPM</v>
      </c>
      <c r="E176" s="1927"/>
      <c r="F176" s="1928">
        <f ca="1">IF(G172&gt;0,IF(
INDEX(sessions_recoveries,INDEX(plan_session_allocation,((WEEKDAY(E$3,2)*2-1)+IF(E172="Morning",0,1)),D172))="Yes",
VLOOKUP(INDEX(plan_duration_primary,((WEEKDAY(E$3,2)*2-1)+IF(E172="Morning",0,1)),D172),
INDIRECT(INDEX(sessions_intervals_code_primary,INDEX(plan_session_allocation,((WEEKDAY(E$3,2)*2-1)+IF(E172="Morning",0,1)),D172))),7,TRUE),0),"")</f>
        <v>0</v>
      </c>
      <c r="G176" s="1929"/>
      <c r="H176" s="178"/>
      <c r="I176" s="1926" t="str">
        <f ca="1">IF(L172&gt;0,CONCATENATE("HR Range: ",
INDEX(sessions_HR_range_primary,INDEX(plan_session_allocation,((WEEKDAY(J$3,2)*2-1)+IF(J172="Morning",0,1)),I172)),
IF(INDEX(sessions_HR_range_primary,INDEX(plan_session_allocation,((WEEKDAY(J$3,2)*2-1)+IF(J172="Morning",0,1)),I172))="N/A","",
" BPM")),"")</f>
        <v>HR Range: 129 - 148 BPM</v>
      </c>
      <c r="J176" s="1927"/>
      <c r="K176" s="1928">
        <f ca="1">IF(L172&gt;0,IF(
INDEX(sessions_recoveries,INDEX(plan_session_allocation,((WEEKDAY(J$3,2)*2-1)+IF(J172="Morning",0,1)),I172))="Yes",
VLOOKUP(INDEX(plan_duration_primary,((WEEKDAY(J$3,2)*2-1)+IF(J172="Morning",0,1)),I172),
INDIRECT(INDEX(sessions_intervals_code_primary,INDEX(plan_session_allocation,((WEEKDAY(J$3,2)*2-1)+IF(J172="Morning",0,1)),I172))),7,TRUE),0),"")</f>
        <v>0</v>
      </c>
      <c r="L176" s="1929"/>
      <c r="M176" s="178"/>
      <c r="N176" s="1926" t="str">
        <f ca="1">IF(Q172&gt;0,CONCATENATE("HR Range: ",
INDEX(sessions_HR_range_primary,INDEX(plan_session_allocation,((WEEKDAY(O$3,2)*2-1)+IF(O172="Morning",0,1)),N172)),
IF(INDEX(sessions_HR_range_primary,INDEX(plan_session_allocation,((WEEKDAY(O$3,2)*2-1)+IF(O172="Morning",0,1)),N172))="N/A","",
" BPM")),"")</f>
        <v/>
      </c>
      <c r="O176" s="1927"/>
      <c r="P176" s="1928" t="str">
        <f ca="1">IF(Q172&gt;0,IF(
INDEX(sessions_recoveries,INDEX(plan_session_allocation,((WEEKDAY(O$3,2)*2-1)+IF(O172="Morning",0,1)),N172))="Yes",
VLOOKUP(INDEX(plan_duration_primary,((WEEKDAY(O$3,2)*2-1)+IF(O172="Morning",0,1)),N172),
INDIRECT(INDEX(sessions_intervals_code_primary,INDEX(plan_session_allocation,((WEEKDAY(O$3,2)*2-1)+IF(O172="Morning",0,1)),N172))),7,TRUE),0),"")</f>
        <v/>
      </c>
      <c r="Q176" s="1929"/>
      <c r="R176" s="178"/>
      <c r="S176" s="1926" t="str">
        <f ca="1">IF(V172&gt;0,CONCATENATE("HR Range: ",
INDEX(sessions_HR_range_primary,INDEX(plan_session_allocation,((WEEKDAY(T$3,2)*2-1)+IF(T172="Morning",0,1)),S172)),
IF(INDEX(sessions_HR_range_primary,INDEX(plan_session_allocation,((WEEKDAY(T$3,2)*2-1)+IF(T172="Morning",0,1)),S172))="N/A","",
" BPM")),"")</f>
        <v>HR Range: 129 - 148 BPM</v>
      </c>
      <c r="T176" s="1927"/>
      <c r="U176" s="1928">
        <f ca="1">IF(V172&gt;0,IF(
INDEX(sessions_recoveries,INDEX(plan_session_allocation,((WEEKDAY(T$3,2)*2-1)+IF(T172="Morning",0,1)),S172))="Yes",
VLOOKUP(INDEX(plan_duration_primary,((WEEKDAY(T$3,2)*2-1)+IF(T172="Morning",0,1)),S172),
INDIRECT(INDEX(sessions_intervals_code_primary,INDEX(plan_session_allocation,((WEEKDAY(T$3,2)*2-1)+IF(T172="Morning",0,1)),S172))),7,TRUE),0),"")</f>
        <v>0</v>
      </c>
      <c r="V176" s="1929"/>
      <c r="W176" s="178"/>
      <c r="X176" s="1926" t="str">
        <f ca="1">IF(AA172&gt;0,CONCATENATE("HR Range: ",
INDEX(sessions_HR_range_primary,INDEX(plan_session_allocation,((WEEKDAY(Y$3,2)*2-1)+IF(Y172="Morning",0,1)),X172)),
IF(INDEX(sessions_HR_range_primary,INDEX(plan_session_allocation,((WEEKDAY(Y$3,2)*2-1)+IF(Y172="Morning",0,1)),X172))="N/A","",
" BPM")),"")</f>
        <v>HR Range: 129 - 148 BPM</v>
      </c>
      <c r="Y176" s="1927"/>
      <c r="Z176" s="1928">
        <f ca="1">IF(AA172&gt;0,IF(
INDEX(sessions_recoveries,INDEX(plan_session_allocation,((WEEKDAY(Y$3,2)*2-1)+IF(Y172="Morning",0,1)),X172))="Yes",
VLOOKUP(INDEX(plan_duration_primary,((WEEKDAY(Y$3,2)*2-1)+IF(Y172="Morning",0,1)),X172),
INDIRECT(INDEX(sessions_intervals_code_primary,INDEX(plan_session_allocation,((WEEKDAY(Y$3,2)*2-1)+IF(Y172="Morning",0,1)),X172))),7,TRUE),0),"")</f>
        <v>0</v>
      </c>
      <c r="AA176" s="1929"/>
      <c r="AB176" s="178"/>
      <c r="AC176" s="1926" t="str">
        <f ca="1">IF(AF172&gt;0,CONCATENATE("HR Range: ",
INDEX(sessions_HR_range_primary,INDEX(plan_session_allocation,((WEEKDAY(AD$3,2)*2-1)+IF(AD172="Morning",0,1)),AC172)),
IF(INDEX(sessions_HR_range_primary,INDEX(plan_session_allocation,((WEEKDAY(AD$3,2)*2-1)+IF(AD172="Morning",0,1)),AC172))="N/A","",
" BPM")),"")</f>
        <v>HR Range: 129 - 169 BPM</v>
      </c>
      <c r="AD176" s="1927"/>
      <c r="AE176" s="1928">
        <f ca="1">IF(AF172&gt;0,IF(
INDEX(sessions_recoveries,INDEX(plan_session_allocation,((WEEKDAY(AD$3,2)*2-1)+IF(AD172="Morning",0,1)),AC172))="Yes",
VLOOKUP(INDEX(plan_duration_primary,((WEEKDAY(AD$3,2)*2-1)+IF(AD172="Morning",0,1)),AC172),
INDIRECT(INDEX(sessions_intervals_code_primary,INDEX(plan_session_allocation,((WEEKDAY(AD$3,2)*2-1)+IF(AD172="Morning",0,1)),AC172))),7,TRUE),0),"")</f>
        <v>0</v>
      </c>
      <c r="AF176" s="1929"/>
      <c r="AG176" s="178"/>
      <c r="AH176" s="1926" t="str">
        <f ca="1">IF(AK172&gt;0,CONCATENATE("HR Range: ",
INDEX(sessions_HR_range_primary,INDEX(plan_session_allocation,((WEEKDAY(AI$3,2)*2-1)+IF(AI172="Morning",0,1)),AH172)),
IF(INDEX(sessions_HR_range_primary,INDEX(plan_session_allocation,((WEEKDAY(AI$3,2)*2-1)+IF(AI172="Morning",0,1)),AH172))="N/A","",
" BPM")),"")</f>
        <v>HR Range: 129 - 169 BPM</v>
      </c>
      <c r="AI176" s="1927"/>
      <c r="AJ176" s="1928">
        <f ca="1">IF(AK172&gt;0,IF(
INDEX(sessions_recoveries,INDEX(plan_session_allocation,((WEEKDAY(AI$3,2)*2-1)+IF(AI172="Morning",0,1)),AH172))="Yes",
VLOOKUP(INDEX(plan_duration_primary,((WEEKDAY(AI$3,2)*2-1)+IF(AI172="Morning",0,1)),AH172),
INDIRECT(INDEX(sessions_intervals_code_primary,INDEX(plan_session_allocation,((WEEKDAY(AI$3,2)*2-1)+IF(AI172="Morning",0,1)),AH172))),7,TRUE),0),"")</f>
        <v>0</v>
      </c>
      <c r="AK176" s="1929"/>
      <c r="AL176" s="178"/>
    </row>
    <row r="177" spans="2:38" s="179" customFormat="1" ht="15" customHeight="1" x14ac:dyDescent="0.45">
      <c r="B177" s="1942"/>
      <c r="C177" s="1945"/>
      <c r="D177" s="1909" t="str">
        <f ca="1">IF(G172&gt;0,CONCATENATE("Equivalent Pace: ",
TEXT(INDEX(sessions_pace_primary,INDEX(plan_session_allocation,(WEEKDAY(E$3,2)*2-1)+IF(E172="Morning",0,1),D172)),"m:ss"),
" min/km"
),"")</f>
        <v>Equivalent Pace: 4:39 min/km</v>
      </c>
      <c r="E177" s="1910"/>
      <c r="F177" s="1911">
        <f ca="1">IF(G172&gt;0, INDEX(final_duration_WU,((WEEKDAY(E$3,2)*2-1)+IF(E172="Morning",0,1)),D172)  + INDEX(final_duration_WD,((WEEKDAY(E$3,2)*2-1)+IF(E172="Morning",0,1)),D172), "")</f>
        <v>0</v>
      </c>
      <c r="G177" s="1912"/>
      <c r="H177" s="178"/>
      <c r="I177" s="1909" t="str">
        <f ca="1">IF(L172&gt;0,CONCATENATE("Equivalent Pace: ",
TEXT(INDEX(sessions_pace_primary,INDEX(plan_session_allocation,(WEEKDAY(J$3,2)*2-1)+IF(J172="Morning",0,1),I172)),"m:ss"),
" min/km"
),"")</f>
        <v>Equivalent Pace: 4:39 min/km</v>
      </c>
      <c r="J177" s="1910"/>
      <c r="K177" s="1911">
        <f ca="1">IF(L172&gt;0, INDEX(final_duration_WU,((WEEKDAY(J$3,2)*2-1)+IF(J172="Morning",0,1)),I172)  + INDEX(final_duration_WD,((WEEKDAY(J$3,2)*2-1)+IF(J172="Morning",0,1)),I172), "")</f>
        <v>0</v>
      </c>
      <c r="L177" s="1912"/>
      <c r="M177" s="178"/>
      <c r="N177" s="1909" t="str">
        <f ca="1">IF(Q172&gt;0,CONCATENATE("Equivalent Pace: ",
TEXT(INDEX(sessions_pace_primary,INDEX(plan_session_allocation,(WEEKDAY(O$3,2)*2-1)+IF(O172="Morning",0,1),N172)),"m:ss"),
" min/km"
),"")</f>
        <v/>
      </c>
      <c r="O177" s="1910"/>
      <c r="P177" s="1911" t="str">
        <f ca="1">IF(Q172&gt;0, INDEX(final_duration_WU,((WEEKDAY(O$3,2)*2-1)+IF(O172="Morning",0,1)),N172)  + INDEX(final_duration_WD,((WEEKDAY(O$3,2)*2-1)+IF(O172="Morning",0,1)),N172), "")</f>
        <v/>
      </c>
      <c r="Q177" s="1912"/>
      <c r="R177" s="178"/>
      <c r="S177" s="1909" t="str">
        <f ca="1">IF(V172&gt;0,CONCATENATE("Equivalent Pace: ",
TEXT(INDEX(sessions_pace_primary,INDEX(plan_session_allocation,(WEEKDAY(T$3,2)*2-1)+IF(T172="Morning",0,1),S172)),"m:ss"),
" min/km"
),"")</f>
        <v>Equivalent Pace: 4:39 min/km</v>
      </c>
      <c r="T177" s="1910"/>
      <c r="U177" s="1911">
        <f ca="1">IF(V172&gt;0, INDEX(final_duration_WU,((WEEKDAY(T$3,2)*2-1)+IF(T172="Morning",0,1)),S172)  + INDEX(final_duration_WD,((WEEKDAY(T$3,2)*2-1)+IF(T172="Morning",0,1)),S172), "")</f>
        <v>0</v>
      </c>
      <c r="V177" s="1912"/>
      <c r="W177" s="178"/>
      <c r="X177" s="1909" t="str">
        <f ca="1">IF(AA172&gt;0,CONCATENATE("Equivalent Pace: ",
TEXT(INDEX(sessions_pace_primary,INDEX(plan_session_allocation,(WEEKDAY(Y$3,2)*2-1)+IF(Y172="Morning",0,1),X172)),"m:ss"),
" min/km"
),"")</f>
        <v>Equivalent Pace: 4:39 min/km</v>
      </c>
      <c r="Y177" s="1910"/>
      <c r="Z177" s="1911">
        <f ca="1">IF(AA172&gt;0, INDEX(final_duration_WU,((WEEKDAY(Y$3,2)*2-1)+IF(Y172="Morning",0,1)),X172)  + INDEX(final_duration_WD,((WEEKDAY(Y$3,2)*2-1)+IF(Y172="Morning",0,1)),X172), "")</f>
        <v>0</v>
      </c>
      <c r="AA177" s="1912"/>
      <c r="AB177" s="178"/>
      <c r="AC177" s="1909" t="str">
        <f ca="1">IF(AF172&gt;0,CONCATENATE("Equivalent Pace: ",
TEXT(INDEX(sessions_pace_primary,INDEX(plan_session_allocation,(WEEKDAY(AD$3,2)*2-1)+IF(AD172="Morning",0,1),AC172)),"m:ss"),
" min/km"
),"")</f>
        <v>Equivalent Pace: 4:14 min/km</v>
      </c>
      <c r="AD177" s="1910"/>
      <c r="AE177" s="1911">
        <f ca="1">IF(AF172&gt;0, INDEX(final_duration_WU,((WEEKDAY(AD$3,2)*2-1)+IF(AD172="Morning",0,1)),AC172)  + INDEX(final_duration_WD,((WEEKDAY(AD$3,2)*2-1)+IF(AD172="Morning",0,1)),AC172), "")</f>
        <v>15</v>
      </c>
      <c r="AF177" s="1912"/>
      <c r="AG177" s="178"/>
      <c r="AH177" s="1909" t="str">
        <f ca="1">IF(AK172&gt;0,CONCATENATE("Equivalent Pace: ",
TEXT(INDEX(sessions_pace_primary,INDEX(plan_session_allocation,(WEEKDAY(AI$3,2)*2-1)+IF(AI172="Morning",0,1),AH172)),"m:ss"),
" min/km"
),"")</f>
        <v>Equivalent Pace: 4:14 min/km</v>
      </c>
      <c r="AI177" s="1910"/>
      <c r="AJ177" s="1911">
        <f ca="1">IF(AK172&gt;0, INDEX(final_duration_WU,((WEEKDAY(AI$3,2)*2-1)+IF(AI172="Morning",0,1)),AH172)  + INDEX(final_duration_WD,((WEEKDAY(AI$3,2)*2-1)+IF(AI172="Morning",0,1)),AH172), "")</f>
        <v>0</v>
      </c>
      <c r="AK177" s="1912"/>
      <c r="AL177" s="178"/>
    </row>
    <row r="178" spans="2:38" s="180" customFormat="1" ht="15" customHeight="1" x14ac:dyDescent="0.45">
      <c r="B178" s="1942"/>
      <c r="C178" s="1945"/>
      <c r="D178" s="1913" t="str">
        <f ca="1">IF(G172&gt;0,CONCATENATE(IFERROR(CONCATENATE(IF(INDEX(display_intervals_breakdown,((WEEKDAY(E$3,2)*2-1)+IF(E172="Morning",0,1)),D172)="","",CONCATENATE("Intervals/Reps Breakdown: 
",INDEX(display_intervals_breakdown,((WEEKDAY(E$3,2)*2-1)+IF(E172="Morning",0,1)),D172),"
")),"Session Description: 
",CONCATENATE(IF(INDEX(final_duration_secondary,((WEEKDAY(E$3,2)*2-1)+IF(E172="Morning",0,1)),D172)=0,"","1. "),
INDEX(sessions_description_primary,,INDEX(plan_session_allocation,((WEEKDAY(E$3,2)*2-1)+IF(E172="Morning",0,1)),D172)),IF(INDEX(final_duration_secondary,((WEEKDAY(E$3,2)*2-1)+IF(E172="Morning",0,1)),D172)=0,"","
2. "),
IF(INDEX(final_duration_secondary,((WEEKDAY(E$3,2)*2-1)+IF(E172="Morning",0,1)),D172)=0,"",INDEX(sessions_description_secondary,,INDEX(plan_session_allocation,((WEEKDAY(E$3,2)*2-1)+IF(E172="Morning",0,1)),D172))),IF(INDEX(final_duration_tertiary,((WEEKDAY(E$3,2)*2-1)+IF(E172="Morning",0,1)),D172)=0,"","
3. "),
IF(INDEX(final_duration_tertiary,((WEEKDAY(E$3,2)*2-1)+IF(E172="Morning",0,1)),D172)="","",INDEX(sessions_description_tertiary,,INDEX(plan_session_allocation,((WEEKDAY(E$3,2)*2-1)+IF(E172="Morning",0,1)),D172))),
IF(INDEX(display_nutrition_description,((WEEKDAY(E$3,2)*2-1)+IF(E172="Morning",0,1)),D172)="","",
CONCATENATE("
Meal Plan: ", INDEX(sessions_nutrition,,INDEX(plan_session_allocation,((WEEKDAY(E$3,2)*2-1)+IF(E172="Morning",0,1)),D172)), "
", INDEX(display_nutrition_description,((WEEKDAY(E$3,2)*2-1)+IF(E172="Morning",0,1)),D172)))
)),"")),"")</f>
        <v>Session Description: 
Stay at a comfortable and controlled intensity where you should be able to have a conversation without large pauses. Keep an even intensity and accept that your pace may change as the terrain changes.</v>
      </c>
      <c r="E178" s="1914"/>
      <c r="F178" s="1914"/>
      <c r="G178" s="1915"/>
      <c r="I178" s="1913" t="str">
        <f ca="1">IF(L172&gt;0,CONCATENATE(IFERROR(CONCATENATE(IF(INDEX(display_intervals_breakdown,((WEEKDAY(J$3,2)*2-1)+IF(J172="Morning",0,1)),I172)="","",CONCATENATE("Intervals/Reps Breakdown: 
",INDEX(display_intervals_breakdown,((WEEKDAY(J$3,2)*2-1)+IF(J172="Morning",0,1)),I172),"
")),"Session Description: 
",CONCATENATE(IF(INDEX(final_duration_secondary,((WEEKDAY(J$3,2)*2-1)+IF(J172="Morning",0,1)),I172)=0,"","1. "),
INDEX(sessions_description_primary,,INDEX(plan_session_allocation,((WEEKDAY(J$3,2)*2-1)+IF(J172="Morning",0,1)),I172)),IF(INDEX(final_duration_secondary,((WEEKDAY(J$3,2)*2-1)+IF(J172="Morning",0,1)),I172)=0,"","
2. "),
IF(INDEX(final_duration_secondary,((WEEKDAY(J$3,2)*2-1)+IF(J172="Morning",0,1)),I172)=0,"",INDEX(sessions_description_secondary,,INDEX(plan_session_allocation,((WEEKDAY(J$3,2)*2-1)+IF(J172="Morning",0,1)),I172))),IF(INDEX(final_duration_tertiary,((WEEKDAY(J$3,2)*2-1)+IF(J172="Morning",0,1)),I172)=0,"","
3. "),
IF(INDEX(final_duration_tertiary,((WEEKDAY(J$3,2)*2-1)+IF(J172="Morning",0,1)),I172)="","",INDEX(sessions_description_tertiary,,INDEX(plan_session_allocation,((WEEKDAY(J$3,2)*2-1)+IF(J172="Morning",0,1)),I172))),
IF(INDEX(display_nutrition_description,((WEEKDAY(J$3,2)*2-1)+IF(J172="Morning",0,1)),I172)="","",
CONCATENATE("
Meal Plan: ", INDEX(sessions_nutrition,,INDEX(plan_session_allocation,((WEEKDAY(J$3,2)*2-1)+IF(J172="Morning",0,1)),I172)), "
", INDEX(display_nutrition_description,((WEEKDAY(J$3,2)*2-1)+IF(J172="Morning",0,1)),I172)))
)),"")),"")</f>
        <v>Session Description: 
Stay at a comfortable and controlled intensity where you should be able to have a conversation without large pauses. Keep an even intensity and accept that your pace may change as the terrain changes.</v>
      </c>
      <c r="J178" s="1914"/>
      <c r="K178" s="1914"/>
      <c r="L178" s="1915"/>
      <c r="N178" s="1913" t="str">
        <f ca="1">IF(Q172&gt;0,CONCATENATE(IFERROR(CONCATENATE(IF(INDEX(display_intervals_breakdown,((WEEKDAY(O$3,2)*2-1)+IF(O172="Morning",0,1)),N172)="","",CONCATENATE("Intervals/Reps Breakdown: 
",INDEX(display_intervals_breakdown,((WEEKDAY(O$3,2)*2-1)+IF(O172="Morning",0,1)),N172),"
")),"Session Description: 
",CONCATENATE(IF(INDEX(final_duration_secondary,((WEEKDAY(O$3,2)*2-1)+IF(O172="Morning",0,1)),N172)=0,"","1. "),
INDEX(sessions_description_primary,,INDEX(plan_session_allocation,((WEEKDAY(O$3,2)*2-1)+IF(O172="Morning",0,1)),N172)),IF(INDEX(final_duration_secondary,((WEEKDAY(O$3,2)*2-1)+IF(O172="Morning",0,1)),N172)=0,"","
2. "),
IF(INDEX(final_duration_secondary,((WEEKDAY(O$3,2)*2-1)+IF(O172="Morning",0,1)),N172)=0,"",INDEX(sessions_description_secondary,,INDEX(plan_session_allocation,((WEEKDAY(O$3,2)*2-1)+IF(O172="Morning",0,1)),N172))),IF(INDEX(final_duration_tertiary,((WEEKDAY(O$3,2)*2-1)+IF(O172="Morning",0,1)),N172)=0,"","
3. "),
IF(INDEX(final_duration_tertiary,((WEEKDAY(O$3,2)*2-1)+IF(O172="Morning",0,1)),N172)="","",INDEX(sessions_description_tertiary,,INDEX(plan_session_allocation,((WEEKDAY(O$3,2)*2-1)+IF(O172="Morning",0,1)),N172))),
IF(INDEX(display_nutrition_description,((WEEKDAY(O$3,2)*2-1)+IF(O172="Morning",0,1)),N172)="","",
CONCATENATE("
Meal Plan: ", INDEX(sessions_nutrition,,INDEX(plan_session_allocation,((WEEKDAY(O$3,2)*2-1)+IF(O172="Morning",0,1)),N172)), "
", INDEX(display_nutrition_description,((WEEKDAY(O$3,2)*2-1)+IF(O172="Morning",0,1)),N172)))
)),"")),"")</f>
        <v/>
      </c>
      <c r="O178" s="1914"/>
      <c r="P178" s="1914"/>
      <c r="Q178" s="1915"/>
      <c r="S178" s="1913" t="str">
        <f ca="1">IF(V172&gt;0,CONCATENATE(IFERROR(CONCATENATE(IF(INDEX(display_intervals_breakdown,((WEEKDAY(T$3,2)*2-1)+IF(T172="Morning",0,1)),S172)="","",CONCATENATE("Intervals/Reps Breakdown: 
",INDEX(display_intervals_breakdown,((WEEKDAY(T$3,2)*2-1)+IF(T172="Morning",0,1)),S172),"
")),"Session Description: 
",CONCATENATE(IF(INDEX(final_duration_secondary,((WEEKDAY(T$3,2)*2-1)+IF(T172="Morning",0,1)),S172)=0,"","1. "),
INDEX(sessions_description_primary,,INDEX(plan_session_allocation,((WEEKDAY(T$3,2)*2-1)+IF(T172="Morning",0,1)),S172)),IF(INDEX(final_duration_secondary,((WEEKDAY(T$3,2)*2-1)+IF(T172="Morning",0,1)),S172)=0,"","
2. "),
IF(INDEX(final_duration_secondary,((WEEKDAY(T$3,2)*2-1)+IF(T172="Morning",0,1)),S172)=0,"",INDEX(sessions_description_secondary,,INDEX(plan_session_allocation,((WEEKDAY(T$3,2)*2-1)+IF(T172="Morning",0,1)),S172))),IF(INDEX(final_duration_tertiary,((WEEKDAY(T$3,2)*2-1)+IF(T172="Morning",0,1)),S172)=0,"","
3. "),
IF(INDEX(final_duration_tertiary,((WEEKDAY(T$3,2)*2-1)+IF(T172="Morning",0,1)),S172)="","",INDEX(sessions_description_tertiary,,INDEX(plan_session_allocation,((WEEKDAY(T$3,2)*2-1)+IF(T172="Morning",0,1)),S172))),
IF(INDEX(display_nutrition_description,((WEEKDAY(T$3,2)*2-1)+IF(T172="Morning",0,1)),S172)="","",
CONCATENATE("
Meal Plan: ", INDEX(sessions_nutrition,,INDEX(plan_session_allocation,((WEEKDAY(T$3,2)*2-1)+IF(T172="Morning",0,1)),S172)), "
", INDEX(display_nutrition_description,((WEEKDAY(T$3,2)*2-1)+IF(T172="Morning",0,1)),S172)))
)),"")),"")</f>
        <v>Session Description: 
Stay at a comfortable and controlled intensity where you should be able to have a conversation without large pauses. Keep an even intensity and accept that your pace may change as the terrain changes.</v>
      </c>
      <c r="T178" s="1914"/>
      <c r="U178" s="1914"/>
      <c r="V178" s="1915"/>
      <c r="X178" s="1913" t="str">
        <f ca="1">IF(AA172&gt;0,CONCATENATE(IFERROR(CONCATENATE(IF(INDEX(display_intervals_breakdown,((WEEKDAY(Y$3,2)*2-1)+IF(Y172="Morning",0,1)),X172)="","",CONCATENATE("Intervals/Reps Breakdown: 
",INDEX(display_intervals_breakdown,((WEEKDAY(Y$3,2)*2-1)+IF(Y172="Morning",0,1)),X172),"
")),"Session Description: 
",CONCATENATE(IF(INDEX(final_duration_secondary,((WEEKDAY(Y$3,2)*2-1)+IF(Y172="Morning",0,1)),X172)=0,"","1. "),
INDEX(sessions_description_primary,,INDEX(plan_session_allocation,((WEEKDAY(Y$3,2)*2-1)+IF(Y172="Morning",0,1)),X172)),IF(INDEX(final_duration_secondary,((WEEKDAY(Y$3,2)*2-1)+IF(Y172="Morning",0,1)),X172)=0,"","
2. "),
IF(INDEX(final_duration_secondary,((WEEKDAY(Y$3,2)*2-1)+IF(Y172="Morning",0,1)),X172)=0,"",INDEX(sessions_description_secondary,,INDEX(plan_session_allocation,((WEEKDAY(Y$3,2)*2-1)+IF(Y172="Morning",0,1)),X172))),IF(INDEX(final_duration_tertiary,((WEEKDAY(Y$3,2)*2-1)+IF(Y172="Morning",0,1)),X172)=0,"","
3. "),
IF(INDEX(final_duration_tertiary,((WEEKDAY(Y$3,2)*2-1)+IF(Y172="Morning",0,1)),X172)="","",INDEX(sessions_description_tertiary,,INDEX(plan_session_allocation,((WEEKDAY(Y$3,2)*2-1)+IF(Y172="Morning",0,1)),X172))),
IF(INDEX(display_nutrition_description,((WEEKDAY(Y$3,2)*2-1)+IF(Y172="Morning",0,1)),X172)="","",
CONCATENATE("
Meal Plan: ", INDEX(sessions_nutrition,,INDEX(plan_session_allocation,((WEEKDAY(Y$3,2)*2-1)+IF(Y172="Morning",0,1)),X172)), "
", INDEX(display_nutrition_description,((WEEKDAY(Y$3,2)*2-1)+IF(Y172="Morning",0,1)),X172)))
)),"")),"")</f>
        <v>Session Description: 
Stay at a comfortable and controlled intensity where you should be able to have a conversation without large pauses. Keep an even intensity and accept that your pace may change as the terrain changes.</v>
      </c>
      <c r="Y178" s="1914"/>
      <c r="Z178" s="1914"/>
      <c r="AA178" s="1915"/>
      <c r="AC178" s="1913" t="str">
        <f ca="1">IF(AF172&gt;0,CONCATENATE(IFERROR(CONCATENATE(IF(INDEX(display_intervals_breakdown,((WEEKDAY(AD$3,2)*2-1)+IF(AD172="Morning",0,1)),AC172)="","",CONCATENATE("Intervals/Reps Breakdown: 
",INDEX(display_intervals_breakdown,((WEEKDAY(AD$3,2)*2-1)+IF(AD172="Morning",0,1)),AC172),"
")),"Session Description: 
",CONCATENATE(IF(INDEX(final_duration_secondary,((WEEKDAY(AD$3,2)*2-1)+IF(AD172="Morning",0,1)),AC172)=0,"","1. "),
INDEX(sessions_description_primary,,INDEX(plan_session_allocation,((WEEKDAY(AD$3,2)*2-1)+IF(AD172="Morning",0,1)),AC172)),IF(INDEX(final_duration_secondary,((WEEKDAY(AD$3,2)*2-1)+IF(AD172="Morning",0,1)),AC172)=0,"","
2. "),
IF(INDEX(final_duration_secondary,((WEEKDAY(AD$3,2)*2-1)+IF(AD172="Morning",0,1)),AC172)=0,"",INDEX(sessions_description_secondary,,INDEX(plan_session_allocation,((WEEKDAY(AD$3,2)*2-1)+IF(AD172="Morning",0,1)),AC172))),IF(INDEX(final_duration_tertiary,((WEEKDAY(AD$3,2)*2-1)+IF(AD172="Morning",0,1)),AC172)=0,"","
3. "),
IF(INDEX(final_duration_tertiary,((WEEKDAY(AD$3,2)*2-1)+IF(AD172="Morning",0,1)),AC172)="","",INDEX(sessions_description_tertiary,,INDEX(plan_session_allocation,((WEEKDAY(AD$3,2)*2-1)+IF(AD172="Morning",0,1)),AC172))),
IF(INDEX(display_nutrition_description,((WEEKDAY(AD$3,2)*2-1)+IF(AD172="Morning",0,1)),AC172)="","",
CONCATENATE("
Meal Plan: ", INDEX(sessions_nutrition,,INDEX(plan_session_allocation,((WEEKDAY(AD$3,2)*2-1)+IF(AD172="Morning",0,1)),AC172)), "
", INDEX(display_nutrition_description,((WEEKDAY(AD$3,2)*2-1)+IF(AD172="Morning",0,1)),AC172)))
)),"")),"")</f>
        <v>Session Description: 
1. Perform a variety of specialised exercises to engage specific muscles and apply them in functional movements. These sessions must be learned with a coach first. Warm up and warm down for 10 minutes each.
2. Stay at a comfortable and controlled intensity where you should be able to have a conversation without large pauses. Keep an even intensity and accept that your pace may change as the terrain changes.</v>
      </c>
      <c r="AD178" s="1914"/>
      <c r="AE178" s="1914"/>
      <c r="AF178" s="1915"/>
      <c r="AH178" s="1913" t="str">
        <f ca="1">IF(AK172&gt;0,CONCATENATE(IFERROR(CONCATENATE(IF(INDEX(display_intervals_breakdown,((WEEKDAY(AI$3,2)*2-1)+IF(AI172="Morning",0,1)),AH172)="","",CONCATENATE("Intervals/Reps Breakdown: 
",INDEX(display_intervals_breakdown,((WEEKDAY(AI$3,2)*2-1)+IF(AI172="Morning",0,1)),AH172),"
")),"Session Description: 
",CONCATENATE(IF(INDEX(final_duration_secondary,((WEEKDAY(AI$3,2)*2-1)+IF(AI172="Morning",0,1)),AH172)=0,"","1. "),
INDEX(sessions_description_primary,,INDEX(plan_session_allocation,((WEEKDAY(AI$3,2)*2-1)+IF(AI172="Morning",0,1)),AH172)),IF(INDEX(final_duration_secondary,((WEEKDAY(AI$3,2)*2-1)+IF(AI172="Morning",0,1)),AH172)=0,"","
2. "),
IF(INDEX(final_duration_secondary,((WEEKDAY(AI$3,2)*2-1)+IF(AI172="Morning",0,1)),AH172)=0,"",INDEX(sessions_description_secondary,,INDEX(plan_session_allocation,((WEEKDAY(AI$3,2)*2-1)+IF(AI172="Morning",0,1)),AH172))),IF(INDEX(final_duration_tertiary,((WEEKDAY(AI$3,2)*2-1)+IF(AI172="Morning",0,1)),AH172)=0,"","
3. "),
IF(INDEX(final_duration_tertiary,((WEEKDAY(AI$3,2)*2-1)+IF(AI172="Morning",0,1)),AH172)="","",INDEX(sessions_description_tertiary,,INDEX(plan_session_allocation,((WEEKDAY(AI$3,2)*2-1)+IF(AI172="Morning",0,1)),AH172))),
IF(INDEX(display_nutrition_description,((WEEKDAY(AI$3,2)*2-1)+IF(AI172="Morning",0,1)),AH172)="","",
CONCATENATE("
Meal Plan: ", INDEX(sessions_nutrition,,INDEX(plan_session_allocation,((WEEKDAY(AI$3,2)*2-1)+IF(AI172="Morning",0,1)),AH172)), "
", INDEX(display_nutrition_description,((WEEKDAY(AI$3,2)*2-1)+IF(AI172="Morning",0,1)),AH172)))
)),"")),"")</f>
        <v xml:space="preserve">Session Description: 
Fundamentally a steady, but you can be less strict at controlling your intensity as long as your average intensity is close to it's target by the end of the session </v>
      </c>
      <c r="AI178" s="1914"/>
      <c r="AJ178" s="1914"/>
      <c r="AK178" s="1915"/>
    </row>
    <row r="179" spans="2:38" s="180" customFormat="1" x14ac:dyDescent="0.45">
      <c r="B179" s="1942"/>
      <c r="C179" s="1945"/>
      <c r="D179" s="1916"/>
      <c r="E179" s="1917"/>
      <c r="F179" s="1917"/>
      <c r="G179" s="1918"/>
      <c r="I179" s="1916"/>
      <c r="J179" s="1917"/>
      <c r="K179" s="1917"/>
      <c r="L179" s="1918"/>
      <c r="N179" s="1916"/>
      <c r="O179" s="1917"/>
      <c r="P179" s="1917"/>
      <c r="Q179" s="1918"/>
      <c r="S179" s="1916"/>
      <c r="T179" s="1917"/>
      <c r="U179" s="1917"/>
      <c r="V179" s="1918"/>
      <c r="X179" s="1916"/>
      <c r="Y179" s="1917"/>
      <c r="Z179" s="1917"/>
      <c r="AA179" s="1918"/>
      <c r="AC179" s="1916"/>
      <c r="AD179" s="1917"/>
      <c r="AE179" s="1917"/>
      <c r="AF179" s="1918"/>
      <c r="AH179" s="1916"/>
      <c r="AI179" s="1917"/>
      <c r="AJ179" s="1917"/>
      <c r="AK179" s="1918"/>
    </row>
    <row r="180" spans="2:38" s="180" customFormat="1" x14ac:dyDescent="0.45">
      <c r="B180" s="1942"/>
      <c r="C180" s="1945"/>
      <c r="D180" s="1916"/>
      <c r="E180" s="1917"/>
      <c r="F180" s="1917"/>
      <c r="G180" s="1918"/>
      <c r="I180" s="1916"/>
      <c r="J180" s="1917"/>
      <c r="K180" s="1917"/>
      <c r="L180" s="1918"/>
      <c r="N180" s="1916"/>
      <c r="O180" s="1917"/>
      <c r="P180" s="1917"/>
      <c r="Q180" s="1918"/>
      <c r="S180" s="1916"/>
      <c r="T180" s="1917"/>
      <c r="U180" s="1917"/>
      <c r="V180" s="1918"/>
      <c r="X180" s="1916"/>
      <c r="Y180" s="1917"/>
      <c r="Z180" s="1917"/>
      <c r="AA180" s="1918"/>
      <c r="AC180" s="1916"/>
      <c r="AD180" s="1917"/>
      <c r="AE180" s="1917"/>
      <c r="AF180" s="1918"/>
      <c r="AH180" s="1916"/>
      <c r="AI180" s="1917"/>
      <c r="AJ180" s="1917"/>
      <c r="AK180" s="1918"/>
    </row>
    <row r="181" spans="2:38" s="180" customFormat="1" x14ac:dyDescent="0.45">
      <c r="B181" s="1942"/>
      <c r="C181" s="1945"/>
      <c r="D181" s="1916"/>
      <c r="E181" s="1917"/>
      <c r="F181" s="1917"/>
      <c r="G181" s="1918"/>
      <c r="I181" s="1916"/>
      <c r="J181" s="1917"/>
      <c r="K181" s="1917"/>
      <c r="L181" s="1918"/>
      <c r="N181" s="1916"/>
      <c r="O181" s="1917"/>
      <c r="P181" s="1917"/>
      <c r="Q181" s="1918"/>
      <c r="S181" s="1916"/>
      <c r="T181" s="1917"/>
      <c r="U181" s="1917"/>
      <c r="V181" s="1918"/>
      <c r="X181" s="1916"/>
      <c r="Y181" s="1917"/>
      <c r="Z181" s="1917"/>
      <c r="AA181" s="1918"/>
      <c r="AC181" s="1916"/>
      <c r="AD181" s="1917"/>
      <c r="AE181" s="1917"/>
      <c r="AF181" s="1918"/>
      <c r="AH181" s="1916"/>
      <c r="AI181" s="1917"/>
      <c r="AJ181" s="1917"/>
      <c r="AK181" s="1918"/>
    </row>
    <row r="182" spans="2:38" s="180" customFormat="1" x14ac:dyDescent="0.45">
      <c r="B182" s="1942"/>
      <c r="C182" s="1945"/>
      <c r="D182" s="1916"/>
      <c r="E182" s="1917"/>
      <c r="F182" s="1917"/>
      <c r="G182" s="1918"/>
      <c r="I182" s="1916"/>
      <c r="J182" s="1917"/>
      <c r="K182" s="1917"/>
      <c r="L182" s="1918"/>
      <c r="N182" s="1916"/>
      <c r="O182" s="1917"/>
      <c r="P182" s="1917"/>
      <c r="Q182" s="1918"/>
      <c r="S182" s="1916"/>
      <c r="T182" s="1917"/>
      <c r="U182" s="1917"/>
      <c r="V182" s="1918"/>
      <c r="X182" s="1916"/>
      <c r="Y182" s="1917"/>
      <c r="Z182" s="1917"/>
      <c r="AA182" s="1918"/>
      <c r="AC182" s="1916"/>
      <c r="AD182" s="1917"/>
      <c r="AE182" s="1917"/>
      <c r="AF182" s="1918"/>
      <c r="AH182" s="1916"/>
      <c r="AI182" s="1917"/>
      <c r="AJ182" s="1917"/>
      <c r="AK182" s="1918"/>
    </row>
    <row r="183" spans="2:38" s="180" customFormat="1" x14ac:dyDescent="0.45">
      <c r="B183" s="1942"/>
      <c r="C183" s="1945"/>
      <c r="D183" s="1916"/>
      <c r="E183" s="1917"/>
      <c r="F183" s="1917"/>
      <c r="G183" s="1918"/>
      <c r="I183" s="1916"/>
      <c r="J183" s="1917"/>
      <c r="K183" s="1917"/>
      <c r="L183" s="1918"/>
      <c r="N183" s="1916"/>
      <c r="O183" s="1917"/>
      <c r="P183" s="1917"/>
      <c r="Q183" s="1918"/>
      <c r="S183" s="1916"/>
      <c r="T183" s="1917"/>
      <c r="U183" s="1917"/>
      <c r="V183" s="1918"/>
      <c r="X183" s="1916"/>
      <c r="Y183" s="1917"/>
      <c r="Z183" s="1917"/>
      <c r="AA183" s="1918"/>
      <c r="AC183" s="1916"/>
      <c r="AD183" s="1917"/>
      <c r="AE183" s="1917"/>
      <c r="AF183" s="1918"/>
      <c r="AH183" s="1916"/>
      <c r="AI183" s="1917"/>
      <c r="AJ183" s="1917"/>
      <c r="AK183" s="1918"/>
    </row>
    <row r="184" spans="2:38" s="180" customFormat="1" x14ac:dyDescent="0.45">
      <c r="B184" s="1942"/>
      <c r="C184" s="1945"/>
      <c r="D184" s="1916"/>
      <c r="E184" s="1917"/>
      <c r="F184" s="1917"/>
      <c r="G184" s="1918"/>
      <c r="I184" s="1916"/>
      <c r="J184" s="1917"/>
      <c r="K184" s="1917"/>
      <c r="L184" s="1918"/>
      <c r="N184" s="1916"/>
      <c r="O184" s="1917"/>
      <c r="P184" s="1917"/>
      <c r="Q184" s="1918"/>
      <c r="S184" s="1916"/>
      <c r="T184" s="1917"/>
      <c r="U184" s="1917"/>
      <c r="V184" s="1918"/>
      <c r="X184" s="1916"/>
      <c r="Y184" s="1917"/>
      <c r="Z184" s="1917"/>
      <c r="AA184" s="1918"/>
      <c r="AC184" s="1916"/>
      <c r="AD184" s="1917"/>
      <c r="AE184" s="1917"/>
      <c r="AF184" s="1918"/>
      <c r="AH184" s="1916"/>
      <c r="AI184" s="1917"/>
      <c r="AJ184" s="1917"/>
      <c r="AK184" s="1918"/>
    </row>
    <row r="185" spans="2:38" s="180" customFormat="1" ht="15.75" customHeight="1" x14ac:dyDescent="0.45">
      <c r="B185" s="1942"/>
      <c r="C185" s="1945"/>
      <c r="D185" s="1916"/>
      <c r="E185" s="1917"/>
      <c r="F185" s="1917"/>
      <c r="G185" s="1918"/>
      <c r="I185" s="1916"/>
      <c r="J185" s="1917"/>
      <c r="K185" s="1917"/>
      <c r="L185" s="1918"/>
      <c r="N185" s="1916"/>
      <c r="O185" s="1917"/>
      <c r="P185" s="1917"/>
      <c r="Q185" s="1918"/>
      <c r="S185" s="1916"/>
      <c r="T185" s="1917"/>
      <c r="U185" s="1917"/>
      <c r="V185" s="1918"/>
      <c r="X185" s="1916"/>
      <c r="Y185" s="1917"/>
      <c r="Z185" s="1917"/>
      <c r="AA185" s="1918"/>
      <c r="AC185" s="1916"/>
      <c r="AD185" s="1917"/>
      <c r="AE185" s="1917"/>
      <c r="AF185" s="1918"/>
      <c r="AH185" s="1916"/>
      <c r="AI185" s="1917"/>
      <c r="AJ185" s="1917"/>
      <c r="AK185" s="1918"/>
    </row>
    <row r="186" spans="2:38" s="180" customFormat="1" x14ac:dyDescent="0.45">
      <c r="B186" s="1942"/>
      <c r="C186" s="1945"/>
      <c r="D186" s="1916"/>
      <c r="E186" s="1917"/>
      <c r="F186" s="1917"/>
      <c r="G186" s="1918"/>
      <c r="I186" s="1916"/>
      <c r="J186" s="1917"/>
      <c r="K186" s="1917"/>
      <c r="L186" s="1918"/>
      <c r="N186" s="1916"/>
      <c r="O186" s="1917"/>
      <c r="P186" s="1917"/>
      <c r="Q186" s="1918"/>
      <c r="S186" s="1916"/>
      <c r="T186" s="1917"/>
      <c r="U186" s="1917"/>
      <c r="V186" s="1918"/>
      <c r="X186" s="1916"/>
      <c r="Y186" s="1917"/>
      <c r="Z186" s="1917"/>
      <c r="AA186" s="1918"/>
      <c r="AC186" s="1916"/>
      <c r="AD186" s="1917"/>
      <c r="AE186" s="1917"/>
      <c r="AF186" s="1918"/>
      <c r="AH186" s="1916"/>
      <c r="AI186" s="1917"/>
      <c r="AJ186" s="1917"/>
      <c r="AK186" s="1918"/>
    </row>
    <row r="187" spans="2:38" s="180" customFormat="1" x14ac:dyDescent="0.45">
      <c r="B187" s="1942"/>
      <c r="C187" s="1945"/>
      <c r="D187" s="1916"/>
      <c r="E187" s="1917"/>
      <c r="F187" s="1917"/>
      <c r="G187" s="1918"/>
      <c r="I187" s="1916"/>
      <c r="J187" s="1917"/>
      <c r="K187" s="1917"/>
      <c r="L187" s="1918"/>
      <c r="N187" s="1916"/>
      <c r="O187" s="1917"/>
      <c r="P187" s="1917"/>
      <c r="Q187" s="1918"/>
      <c r="S187" s="1916"/>
      <c r="T187" s="1917"/>
      <c r="U187" s="1917"/>
      <c r="V187" s="1918"/>
      <c r="X187" s="1916"/>
      <c r="Y187" s="1917"/>
      <c r="Z187" s="1917"/>
      <c r="AA187" s="1918"/>
      <c r="AC187" s="1916"/>
      <c r="AD187" s="1917"/>
      <c r="AE187" s="1917"/>
      <c r="AF187" s="1918"/>
      <c r="AH187" s="1916"/>
      <c r="AI187" s="1917"/>
      <c r="AJ187" s="1917"/>
      <c r="AK187" s="1918"/>
    </row>
    <row r="188" spans="2:38" s="180" customFormat="1" x14ac:dyDescent="0.45">
      <c r="B188" s="1942"/>
      <c r="C188" s="1945"/>
      <c r="D188" s="1916"/>
      <c r="E188" s="1917"/>
      <c r="F188" s="1917"/>
      <c r="G188" s="1918"/>
      <c r="I188" s="1916"/>
      <c r="J188" s="1917"/>
      <c r="K188" s="1917"/>
      <c r="L188" s="1918"/>
      <c r="N188" s="1916"/>
      <c r="O188" s="1917"/>
      <c r="P188" s="1917"/>
      <c r="Q188" s="1918"/>
      <c r="S188" s="1916"/>
      <c r="T188" s="1917"/>
      <c r="U188" s="1917"/>
      <c r="V188" s="1918"/>
      <c r="X188" s="1916"/>
      <c r="Y188" s="1917"/>
      <c r="Z188" s="1917"/>
      <c r="AA188" s="1918"/>
      <c r="AC188" s="1916"/>
      <c r="AD188" s="1917"/>
      <c r="AE188" s="1917"/>
      <c r="AF188" s="1918"/>
      <c r="AH188" s="1916"/>
      <c r="AI188" s="1917"/>
      <c r="AJ188" s="1917"/>
      <c r="AK188" s="1918"/>
    </row>
    <row r="189" spans="2:38" s="180" customFormat="1" x14ac:dyDescent="0.45">
      <c r="B189" s="1942"/>
      <c r="C189" s="1945"/>
      <c r="D189" s="1916"/>
      <c r="E189" s="1917"/>
      <c r="F189" s="1917"/>
      <c r="G189" s="1918"/>
      <c r="I189" s="1916"/>
      <c r="J189" s="1917"/>
      <c r="K189" s="1917"/>
      <c r="L189" s="1918"/>
      <c r="N189" s="1916"/>
      <c r="O189" s="1917"/>
      <c r="P189" s="1917"/>
      <c r="Q189" s="1918"/>
      <c r="S189" s="1916"/>
      <c r="T189" s="1917"/>
      <c r="U189" s="1917"/>
      <c r="V189" s="1918"/>
      <c r="X189" s="1916"/>
      <c r="Y189" s="1917"/>
      <c r="Z189" s="1917"/>
      <c r="AA189" s="1918"/>
      <c r="AC189" s="1916"/>
      <c r="AD189" s="1917"/>
      <c r="AE189" s="1917"/>
      <c r="AF189" s="1918"/>
      <c r="AH189" s="1916"/>
      <c r="AI189" s="1917"/>
      <c r="AJ189" s="1917"/>
      <c r="AK189" s="1918"/>
    </row>
    <row r="190" spans="2:38" s="180" customFormat="1" x14ac:dyDescent="0.45">
      <c r="B190" s="1942"/>
      <c r="C190" s="1945"/>
      <c r="D190" s="1916"/>
      <c r="E190" s="1917"/>
      <c r="F190" s="1917"/>
      <c r="G190" s="1918"/>
      <c r="I190" s="1916"/>
      <c r="J190" s="1917"/>
      <c r="K190" s="1917"/>
      <c r="L190" s="1918"/>
      <c r="N190" s="1916"/>
      <c r="O190" s="1917"/>
      <c r="P190" s="1917"/>
      <c r="Q190" s="1918"/>
      <c r="S190" s="1916"/>
      <c r="T190" s="1917"/>
      <c r="U190" s="1917"/>
      <c r="V190" s="1918"/>
      <c r="X190" s="1916"/>
      <c r="Y190" s="1917"/>
      <c r="Z190" s="1917"/>
      <c r="AA190" s="1918"/>
      <c r="AC190" s="1916"/>
      <c r="AD190" s="1917"/>
      <c r="AE190" s="1917"/>
      <c r="AF190" s="1918"/>
      <c r="AH190" s="1916"/>
      <c r="AI190" s="1917"/>
      <c r="AJ190" s="1917"/>
      <c r="AK190" s="1918"/>
    </row>
    <row r="191" spans="2:38" s="180" customFormat="1" x14ac:dyDescent="0.45">
      <c r="B191" s="1942"/>
      <c r="C191" s="1945"/>
      <c r="D191" s="1919"/>
      <c r="E191" s="1920"/>
      <c r="F191" s="1920"/>
      <c r="G191" s="1921"/>
      <c r="I191" s="1919"/>
      <c r="J191" s="1920"/>
      <c r="K191" s="1920"/>
      <c r="L191" s="1921"/>
      <c r="N191" s="1919"/>
      <c r="O191" s="1920"/>
      <c r="P191" s="1920"/>
      <c r="Q191" s="1921"/>
      <c r="S191" s="1919"/>
      <c r="T191" s="1920"/>
      <c r="U191" s="1920"/>
      <c r="V191" s="1921"/>
      <c r="X191" s="1919"/>
      <c r="Y191" s="1920"/>
      <c r="Z191" s="1920"/>
      <c r="AA191" s="1921"/>
      <c r="AC191" s="1919"/>
      <c r="AD191" s="1920"/>
      <c r="AE191" s="1920"/>
      <c r="AF191" s="1921"/>
      <c r="AH191" s="1919"/>
      <c r="AI191" s="1920"/>
      <c r="AJ191" s="1920"/>
      <c r="AK191" s="1921"/>
    </row>
    <row r="192" spans="2:38" s="180" customFormat="1" ht="15" customHeight="1" x14ac:dyDescent="0.45">
      <c r="B192" s="1942"/>
      <c r="C192" s="1945"/>
      <c r="D192" s="1913" t="str">
        <f ca="1">IF(G172&gt;0,CONCATENATE("Session Aim: 
", CONCATENATE(IF(INDEX(final_duration_secondary,((WEEKDAY(E$3,2)*2-1)+IF(E172="Morning",0,1)),D172)=0, "", "1. "),
INDEX(sessions_aim_primary,, INDEX(plan_session_allocation,((WEEKDAY(E$3,2)*2-1)+IF(E172="Morning",0,1)),D172)), IF(INDEX(final_duration_secondary,((WEEKDAY(E$3,2)*2-1)+IF(E172="Morning",0,1)),D172)=0, "", "
2. "),
IF(INDEX(final_duration_secondary,((WEEKDAY(E$3,2)*2-1)+IF(E172="Morning",0,1)),D172)=0, "", INDEX(sessions_aim_secondary,, INDEX(plan_session_allocation,((WEEKDAY(E$3,2)*2-1)+IF(E172="Morning",0,1)),D172))), IF(INDEX(final_duration_tertiary,((WEEKDAY(E$3,2)*2-1)+IF(E172="Morning",0,1)),D172)=0, "", "
3. "),
IF(INDEX(final_duration_tertiary,((WEEKDAY(E$3,2)*2-1)+IF(E172="Morning",0,1)),D172)=0, "", INDEX(sessions_aim_tertiary,, INDEX(plan_session_allocation,((WEEKDAY(E$3,2)*2-1)+IF(E172="Morning",0,1)),D172))),
IF(INDEX(display_nutrition_description,((WEEKDAY(E$3,2)*2-1)+IF(E172="Morning",0,1)),D172)="","",
CONCATENATE("
Nutrition Aim:
", INDEX(sessions_aim_nutrition,,INDEX(plan_session_allocation,((WEEKDAY(E$3,2)*2-1)+IF(E172="Morning",0,1)),D172))
))
)),"")</f>
        <v xml:space="preserve">Session Aim: 
Improve aerobic fitness while minimising the chance of injury. </v>
      </c>
      <c r="E192" s="1914"/>
      <c r="F192" s="1914"/>
      <c r="G192" s="1915"/>
      <c r="I192" s="1913" t="str">
        <f ca="1">IF(L172&gt;0,CONCATENATE("Session Aim: 
", CONCATENATE(IF(INDEX(final_duration_secondary,((WEEKDAY(J$3,2)*2-1)+IF(J172="Morning",0,1)),I172)=0, "", "1. "),
INDEX(sessions_aim_primary,, INDEX(plan_session_allocation,((WEEKDAY(J$3,2)*2-1)+IF(J172="Morning",0,1)),I172)), IF(INDEX(final_duration_secondary,((WEEKDAY(J$3,2)*2-1)+IF(J172="Morning",0,1)),I172)=0, "", "
2. "),
IF(INDEX(final_duration_secondary,((WEEKDAY(J$3,2)*2-1)+IF(J172="Morning",0,1)),I172)=0, "", INDEX(sessions_aim_secondary,, INDEX(plan_session_allocation,((WEEKDAY(J$3,2)*2-1)+IF(J172="Morning",0,1)),I172))), IF(INDEX(final_duration_tertiary,((WEEKDAY(J$3,2)*2-1)+IF(J172="Morning",0,1)),I172)=0, "", "
3. "),
IF(INDEX(final_duration_tertiary,((WEEKDAY(J$3,2)*2-1)+IF(J172="Morning",0,1)),I172)=0, "", INDEX(sessions_aim_tertiary,, INDEX(plan_session_allocation,((WEEKDAY(J$3,2)*2-1)+IF(J172="Morning",0,1)),I172))),
IF(INDEX(display_nutrition_description,((WEEKDAY(J$3,2)*2-1)+IF(J172="Morning",0,1)),I172)="","",
CONCATENATE("
Nutrition Aim:
", INDEX(sessions_aim_nutrition,,INDEX(plan_session_allocation,((WEEKDAY(J$3,2)*2-1)+IF(J172="Morning",0,1)),I172))
))
)),"")</f>
        <v xml:space="preserve">Session Aim: 
Improve aerobic fitness while minimising the chance of injury. </v>
      </c>
      <c r="J192" s="1914"/>
      <c r="K192" s="1914"/>
      <c r="L192" s="1915"/>
      <c r="N192" s="1913" t="str">
        <f ca="1">IF(Q172&gt;0,CONCATENATE("Session Aim: 
", CONCATENATE(IF(INDEX(final_duration_secondary,((WEEKDAY(O$3,2)*2-1)+IF(O172="Morning",0,1)),N172)=0, "", "1. "),
INDEX(sessions_aim_primary,, INDEX(plan_session_allocation,((WEEKDAY(O$3,2)*2-1)+IF(O172="Morning",0,1)),N172)), IF(INDEX(final_duration_secondary,((WEEKDAY(O$3,2)*2-1)+IF(O172="Morning",0,1)),N172)=0, "", "
2. "),
IF(INDEX(final_duration_secondary,((WEEKDAY(O$3,2)*2-1)+IF(O172="Morning",0,1)),N172)=0, "", INDEX(sessions_aim_secondary,, INDEX(plan_session_allocation,((WEEKDAY(O$3,2)*2-1)+IF(O172="Morning",0,1)),N172))), IF(INDEX(final_duration_tertiary,((WEEKDAY(O$3,2)*2-1)+IF(O172="Morning",0,1)),N172)=0, "", "
3. "),
IF(INDEX(final_duration_tertiary,((WEEKDAY(O$3,2)*2-1)+IF(O172="Morning",0,1)),N172)=0, "", INDEX(sessions_aim_tertiary,, INDEX(plan_session_allocation,((WEEKDAY(O$3,2)*2-1)+IF(O172="Morning",0,1)),N172))),
IF(INDEX(display_nutrition_description,((WEEKDAY(O$3,2)*2-1)+IF(O172="Morning",0,1)),N172)="","",
CONCATENATE("
Nutrition Aim:
", INDEX(sessions_aim_nutrition,,INDEX(plan_session_allocation,((WEEKDAY(O$3,2)*2-1)+IF(O172="Morning",0,1)),N172))
))
)),"")</f>
        <v/>
      </c>
      <c r="O192" s="1914"/>
      <c r="P192" s="1914"/>
      <c r="Q192" s="1915"/>
      <c r="S192" s="1913" t="str">
        <f ca="1">IF(V172&gt;0,CONCATENATE("Session Aim: 
", CONCATENATE(IF(INDEX(final_duration_secondary,((WEEKDAY(T$3,2)*2-1)+IF(T172="Morning",0,1)),S172)=0, "", "1. "),
INDEX(sessions_aim_primary,, INDEX(plan_session_allocation,((WEEKDAY(T$3,2)*2-1)+IF(T172="Morning",0,1)),S172)), IF(INDEX(final_duration_secondary,((WEEKDAY(T$3,2)*2-1)+IF(T172="Morning",0,1)),S172)=0, "", "
2. "),
IF(INDEX(final_duration_secondary,((WEEKDAY(T$3,2)*2-1)+IF(T172="Morning",0,1)),S172)=0, "", INDEX(sessions_aim_secondary,, INDEX(plan_session_allocation,((WEEKDAY(T$3,2)*2-1)+IF(T172="Morning",0,1)),S172))), IF(INDEX(final_duration_tertiary,((WEEKDAY(T$3,2)*2-1)+IF(T172="Morning",0,1)),S172)=0, "", "
3. "),
IF(INDEX(final_duration_tertiary,((WEEKDAY(T$3,2)*2-1)+IF(T172="Morning",0,1)),S172)=0, "", INDEX(sessions_aim_tertiary,, INDEX(plan_session_allocation,((WEEKDAY(T$3,2)*2-1)+IF(T172="Morning",0,1)),S172))),
IF(INDEX(display_nutrition_description,((WEEKDAY(T$3,2)*2-1)+IF(T172="Morning",0,1)),S172)="","",
CONCATENATE("
Nutrition Aim:
", INDEX(sessions_aim_nutrition,,INDEX(plan_session_allocation,((WEEKDAY(T$3,2)*2-1)+IF(T172="Morning",0,1)),S172))
))
)),"")</f>
        <v xml:space="preserve">Session Aim: 
Improve aerobic fitness while minimising the chance of injury. </v>
      </c>
      <c r="T192" s="1914"/>
      <c r="U192" s="1914"/>
      <c r="V192" s="1915"/>
      <c r="X192" s="1913" t="str">
        <f ca="1">IF(AA172&gt;0,CONCATENATE("Session Aim: 
", CONCATENATE(IF(INDEX(final_duration_secondary,((WEEKDAY(Y$3,2)*2-1)+IF(Y172="Morning",0,1)),X172)=0, "", "1. "),
INDEX(sessions_aim_primary,, INDEX(plan_session_allocation,((WEEKDAY(Y$3,2)*2-1)+IF(Y172="Morning",0,1)),X172)), IF(INDEX(final_duration_secondary,((WEEKDAY(Y$3,2)*2-1)+IF(Y172="Morning",0,1)),X172)=0, "", "
2. "),
IF(INDEX(final_duration_secondary,((WEEKDAY(Y$3,2)*2-1)+IF(Y172="Morning",0,1)),X172)=0, "", INDEX(sessions_aim_secondary,, INDEX(plan_session_allocation,((WEEKDAY(Y$3,2)*2-1)+IF(Y172="Morning",0,1)),X172))), IF(INDEX(final_duration_tertiary,((WEEKDAY(Y$3,2)*2-1)+IF(Y172="Morning",0,1)),X172)=0, "", "
3. "),
IF(INDEX(final_duration_tertiary,((WEEKDAY(Y$3,2)*2-1)+IF(Y172="Morning",0,1)),X172)=0, "", INDEX(sessions_aim_tertiary,, INDEX(plan_session_allocation,((WEEKDAY(Y$3,2)*2-1)+IF(Y172="Morning",0,1)),X172))),
IF(INDEX(display_nutrition_description,((WEEKDAY(Y$3,2)*2-1)+IF(Y172="Morning",0,1)),X172)="","",
CONCATENATE("
Nutrition Aim:
", INDEX(sessions_aim_nutrition,,INDEX(plan_session_allocation,((WEEKDAY(Y$3,2)*2-1)+IF(Y172="Morning",0,1)),X172))
))
)),"")</f>
        <v xml:space="preserve">Session Aim: 
Improve aerobic fitness while minimising the chance of injury. </v>
      </c>
      <c r="Y192" s="1914"/>
      <c r="Z192" s="1914"/>
      <c r="AA192" s="1915"/>
      <c r="AC192" s="1913" t="str">
        <f ca="1">IF(AF172&gt;0,CONCATENATE("Session Aim: 
", CONCATENATE(IF(INDEX(final_duration_secondary,((WEEKDAY(AD$3,2)*2-1)+IF(AD172="Morning",0,1)),AC172)=0, "", "1. "),
INDEX(sessions_aim_primary,, INDEX(plan_session_allocation,((WEEKDAY(AD$3,2)*2-1)+IF(AD172="Morning",0,1)),AC172)), IF(INDEX(final_duration_secondary,((WEEKDAY(AD$3,2)*2-1)+IF(AD172="Morning",0,1)),AC172)=0, "", "
2. "),
IF(INDEX(final_duration_secondary,((WEEKDAY(AD$3,2)*2-1)+IF(AD172="Morning",0,1)),AC172)=0, "", INDEX(sessions_aim_secondary,, INDEX(plan_session_allocation,((WEEKDAY(AD$3,2)*2-1)+IF(AD172="Morning",0,1)),AC172))), IF(INDEX(final_duration_tertiary,((WEEKDAY(AD$3,2)*2-1)+IF(AD172="Morning",0,1)),AC172)=0, "", "
3. "),
IF(INDEX(final_duration_tertiary,((WEEKDAY(AD$3,2)*2-1)+IF(AD172="Morning",0,1)),AC172)=0, "", INDEX(sessions_aim_tertiary,, INDEX(plan_session_allocation,((WEEKDAY(AD$3,2)*2-1)+IF(AD172="Morning",0,1)),AC172))),
IF(INDEX(display_nutrition_description,((WEEKDAY(AD$3,2)*2-1)+IF(AD172="Morning",0,1)),AC172)="","",
CONCATENATE("
Nutrition Aim:
", INDEX(sessions_aim_nutrition,,INDEX(plan_session_allocation,((WEEKDAY(AD$3,2)*2-1)+IF(AD172="Morning",0,1)),AC172))
))
)),"")</f>
        <v xml:space="preserve">Session Aim: 
1. Improve running economy and injury resistance. 
2. Improve aerobic fitness while minimising the chance of injury. </v>
      </c>
      <c r="AD192" s="1914"/>
      <c r="AE192" s="1914"/>
      <c r="AF192" s="1915"/>
      <c r="AH192" s="1913" t="str">
        <f ca="1">IF(AK172&gt;0,CONCATENATE("Session Aim: 
", CONCATENATE(IF(INDEX(final_duration_secondary,((WEEKDAY(AI$3,2)*2-1)+IF(AI172="Morning",0,1)),AH172)=0, "", "1. "),
INDEX(sessions_aim_primary,, INDEX(plan_session_allocation,((WEEKDAY(AI$3,2)*2-1)+IF(AI172="Morning",0,1)),AH172)), IF(INDEX(final_duration_secondary,((WEEKDAY(AI$3,2)*2-1)+IF(AI172="Morning",0,1)),AH172)=0, "", "
2. "),
IF(INDEX(final_duration_secondary,((WEEKDAY(AI$3,2)*2-1)+IF(AI172="Morning",0,1)),AH172)=0, "", INDEX(sessions_aim_secondary,, INDEX(plan_session_allocation,((WEEKDAY(AI$3,2)*2-1)+IF(AI172="Morning",0,1)),AH172))), IF(INDEX(final_duration_tertiary,((WEEKDAY(AI$3,2)*2-1)+IF(AI172="Morning",0,1)),AH172)=0, "", "
3. "),
IF(INDEX(final_duration_tertiary,((WEEKDAY(AI$3,2)*2-1)+IF(AI172="Morning",0,1)),AH172)=0, "", INDEX(sessions_aim_tertiary,, INDEX(plan_session_allocation,((WEEKDAY(AI$3,2)*2-1)+IF(AI172="Morning",0,1)),AH172))),
IF(INDEX(display_nutrition_description,((WEEKDAY(AI$3,2)*2-1)+IF(AI172="Morning",0,1)),AH172)="","",
CONCATENATE("
Nutrition Aim:
", INDEX(sessions_aim_nutrition,,INDEX(plan_session_allocation,((WEEKDAY(AI$3,2)*2-1)+IF(AI172="Morning",0,1)),AH172))
))
)),"")</f>
        <v xml:space="preserve">Session Aim: 
Improve aerobic fitness and energy utilisation. </v>
      </c>
      <c r="AI192" s="1914"/>
      <c r="AJ192" s="1914"/>
      <c r="AK192" s="1915"/>
    </row>
    <row r="193" spans="2:38" s="180" customFormat="1" x14ac:dyDescent="0.45">
      <c r="B193" s="1942"/>
      <c r="C193" s="1945"/>
      <c r="D193" s="1916"/>
      <c r="E193" s="1917"/>
      <c r="F193" s="1917"/>
      <c r="G193" s="1918"/>
      <c r="I193" s="1916"/>
      <c r="J193" s="1917"/>
      <c r="K193" s="1917"/>
      <c r="L193" s="1918"/>
      <c r="N193" s="1916"/>
      <c r="O193" s="1917"/>
      <c r="P193" s="1917"/>
      <c r="Q193" s="1918"/>
      <c r="S193" s="1916"/>
      <c r="T193" s="1917"/>
      <c r="U193" s="1917"/>
      <c r="V193" s="1918"/>
      <c r="X193" s="1916"/>
      <c r="Y193" s="1917"/>
      <c r="Z193" s="1917"/>
      <c r="AA193" s="1918"/>
      <c r="AC193" s="1916"/>
      <c r="AD193" s="1917"/>
      <c r="AE193" s="1917"/>
      <c r="AF193" s="1918"/>
      <c r="AH193" s="1916"/>
      <c r="AI193" s="1917"/>
      <c r="AJ193" s="1917"/>
      <c r="AK193" s="1918"/>
    </row>
    <row r="194" spans="2:38" s="180" customFormat="1" x14ac:dyDescent="0.45">
      <c r="B194" s="1942"/>
      <c r="C194" s="1945"/>
      <c r="D194" s="1916"/>
      <c r="E194" s="1917"/>
      <c r="F194" s="1917"/>
      <c r="G194" s="1918"/>
      <c r="I194" s="1916"/>
      <c r="J194" s="1917"/>
      <c r="K194" s="1917"/>
      <c r="L194" s="1918"/>
      <c r="N194" s="1916"/>
      <c r="O194" s="1917"/>
      <c r="P194" s="1917"/>
      <c r="Q194" s="1918"/>
      <c r="S194" s="1916"/>
      <c r="T194" s="1917"/>
      <c r="U194" s="1917"/>
      <c r="V194" s="1918"/>
      <c r="X194" s="1916"/>
      <c r="Y194" s="1917"/>
      <c r="Z194" s="1917"/>
      <c r="AA194" s="1918"/>
      <c r="AC194" s="1916"/>
      <c r="AD194" s="1917"/>
      <c r="AE194" s="1917"/>
      <c r="AF194" s="1918"/>
      <c r="AH194" s="1916"/>
      <c r="AI194" s="1917"/>
      <c r="AJ194" s="1917"/>
      <c r="AK194" s="1918"/>
    </row>
    <row r="195" spans="2:38" s="180" customFormat="1" x14ac:dyDescent="0.45">
      <c r="B195" s="1942"/>
      <c r="C195" s="1945"/>
      <c r="D195" s="1916"/>
      <c r="E195" s="1917"/>
      <c r="F195" s="1917"/>
      <c r="G195" s="1918"/>
      <c r="I195" s="1916"/>
      <c r="J195" s="1917"/>
      <c r="K195" s="1917"/>
      <c r="L195" s="1918"/>
      <c r="N195" s="1916"/>
      <c r="O195" s="1917"/>
      <c r="P195" s="1917"/>
      <c r="Q195" s="1918"/>
      <c r="S195" s="1916"/>
      <c r="T195" s="1917"/>
      <c r="U195" s="1917"/>
      <c r="V195" s="1918"/>
      <c r="X195" s="1916"/>
      <c r="Y195" s="1917"/>
      <c r="Z195" s="1917"/>
      <c r="AA195" s="1918"/>
      <c r="AC195" s="1916"/>
      <c r="AD195" s="1917"/>
      <c r="AE195" s="1917"/>
      <c r="AF195" s="1918"/>
      <c r="AH195" s="1916"/>
      <c r="AI195" s="1917"/>
      <c r="AJ195" s="1917"/>
      <c r="AK195" s="1918"/>
    </row>
    <row r="196" spans="2:38" s="180" customFormat="1" x14ac:dyDescent="0.45">
      <c r="B196" s="1942"/>
      <c r="C196" s="1945"/>
      <c r="D196" s="1916"/>
      <c r="E196" s="1917"/>
      <c r="F196" s="1917"/>
      <c r="G196" s="1918"/>
      <c r="I196" s="1916"/>
      <c r="J196" s="1917"/>
      <c r="K196" s="1917"/>
      <c r="L196" s="1918"/>
      <c r="N196" s="1916"/>
      <c r="O196" s="1917"/>
      <c r="P196" s="1917"/>
      <c r="Q196" s="1918"/>
      <c r="S196" s="1916"/>
      <c r="T196" s="1917"/>
      <c r="U196" s="1917"/>
      <c r="V196" s="1918"/>
      <c r="X196" s="1916"/>
      <c r="Y196" s="1917"/>
      <c r="Z196" s="1917"/>
      <c r="AA196" s="1918"/>
      <c r="AC196" s="1916"/>
      <c r="AD196" s="1917"/>
      <c r="AE196" s="1917"/>
      <c r="AF196" s="1918"/>
      <c r="AH196" s="1916"/>
      <c r="AI196" s="1917"/>
      <c r="AJ196" s="1917"/>
      <c r="AK196" s="1918"/>
    </row>
    <row r="197" spans="2:38" s="180" customFormat="1" x14ac:dyDescent="0.45">
      <c r="B197" s="1942"/>
      <c r="C197" s="1945"/>
      <c r="D197" s="1916"/>
      <c r="E197" s="1917"/>
      <c r="F197" s="1917"/>
      <c r="G197" s="1918"/>
      <c r="I197" s="1916"/>
      <c r="J197" s="1917"/>
      <c r="K197" s="1917"/>
      <c r="L197" s="1918"/>
      <c r="N197" s="1916"/>
      <c r="O197" s="1917"/>
      <c r="P197" s="1917"/>
      <c r="Q197" s="1918"/>
      <c r="S197" s="1916"/>
      <c r="T197" s="1917"/>
      <c r="U197" s="1917"/>
      <c r="V197" s="1918"/>
      <c r="X197" s="1916"/>
      <c r="Y197" s="1917"/>
      <c r="Z197" s="1917"/>
      <c r="AA197" s="1918"/>
      <c r="AC197" s="1916"/>
      <c r="AD197" s="1917"/>
      <c r="AE197" s="1917"/>
      <c r="AF197" s="1918"/>
      <c r="AH197" s="1916"/>
      <c r="AI197" s="1917"/>
      <c r="AJ197" s="1917"/>
      <c r="AK197" s="1918"/>
    </row>
    <row r="198" spans="2:38" s="180" customFormat="1" ht="14.65" thickBot="1" x14ac:dyDescent="0.5">
      <c r="B198" s="1942"/>
      <c r="C198" s="1945"/>
      <c r="D198" s="1938"/>
      <c r="E198" s="1939"/>
      <c r="F198" s="1939"/>
      <c r="G198" s="1940"/>
      <c r="I198" s="1938"/>
      <c r="J198" s="1939"/>
      <c r="K198" s="1939"/>
      <c r="L198" s="1940"/>
      <c r="N198" s="1938"/>
      <c r="O198" s="1939"/>
      <c r="P198" s="1939"/>
      <c r="Q198" s="1940"/>
      <c r="S198" s="1938"/>
      <c r="T198" s="1939"/>
      <c r="U198" s="1939"/>
      <c r="V198" s="1940"/>
      <c r="X198" s="1938"/>
      <c r="Y198" s="1939"/>
      <c r="Z198" s="1939"/>
      <c r="AA198" s="1940"/>
      <c r="AC198" s="1938"/>
      <c r="AD198" s="1939"/>
      <c r="AE198" s="1939"/>
      <c r="AF198" s="1940"/>
      <c r="AH198" s="1938"/>
      <c r="AI198" s="1939"/>
      <c r="AJ198" s="1939"/>
      <c r="AK198" s="1940"/>
    </row>
    <row r="199" spans="2:38" s="176" customFormat="1" ht="15.75" customHeight="1" x14ac:dyDescent="0.45">
      <c r="B199" s="1942"/>
      <c r="C199" s="1945"/>
      <c r="D199" s="1415">
        <f>$B171</f>
        <v>4</v>
      </c>
      <c r="E199" s="1930" t="s">
        <v>352</v>
      </c>
      <c r="F199" s="1930"/>
      <c r="G199" s="1414">
        <f ca="1">INDEX(final_duration_session,((WEEKDAY(E$3,2)*2-1)+IF(E199="Morning",0,1)),$D199)</f>
        <v>60</v>
      </c>
      <c r="H199" s="177"/>
      <c r="I199" s="1415">
        <f>$B171</f>
        <v>4</v>
      </c>
      <c r="J199" s="1930" t="s">
        <v>352</v>
      </c>
      <c r="K199" s="1930"/>
      <c r="L199" s="1414">
        <f ca="1">INDEX(final_duration_session,((WEEKDAY(J$3,2)*2-1)+IF(J199="Morning",0,1)),$D199)</f>
        <v>55</v>
      </c>
      <c r="M199" s="177"/>
      <c r="N199" s="1415">
        <f>$B171</f>
        <v>4</v>
      </c>
      <c r="O199" s="1930" t="s">
        <v>352</v>
      </c>
      <c r="P199" s="1930"/>
      <c r="Q199" s="1414">
        <f ca="1">INDEX(final_duration_session,((WEEKDAY(O$3,2)*2-1)+IF(O199="Morning",0,1)),$D199)</f>
        <v>75</v>
      </c>
      <c r="R199" s="177"/>
      <c r="S199" s="1415">
        <f>$B171</f>
        <v>4</v>
      </c>
      <c r="T199" s="1930" t="s">
        <v>352</v>
      </c>
      <c r="U199" s="1930"/>
      <c r="V199" s="1414">
        <f ca="1">INDEX(final_duration_session,((WEEKDAY(T$3,2)*2-1)+IF(T199="Morning",0,1)),$D199)</f>
        <v>90</v>
      </c>
      <c r="W199" s="177"/>
      <c r="X199" s="1415">
        <f>$B171</f>
        <v>4</v>
      </c>
      <c r="Y199" s="1930" t="s">
        <v>352</v>
      </c>
      <c r="Z199" s="1930"/>
      <c r="AA199" s="1414">
        <f ca="1">INDEX(final_duration_session,((WEEKDAY(Y$3,2)*2-1)+IF(Y199="Morning",0,1)),$D199)</f>
        <v>60</v>
      </c>
      <c r="AB199" s="177"/>
      <c r="AC199" s="1415">
        <f>$B171</f>
        <v>4</v>
      </c>
      <c r="AD199" s="1930" t="s">
        <v>352</v>
      </c>
      <c r="AE199" s="1930"/>
      <c r="AF199" s="1414">
        <f ca="1">INDEX(final_duration_session,((WEEKDAY(AD$3,2)*2-1)+IF(AD199="Morning",0,1)),$D199)</f>
        <v>60</v>
      </c>
      <c r="AG199" s="177"/>
      <c r="AH199" s="1415">
        <f>$B171</f>
        <v>4</v>
      </c>
      <c r="AI199" s="1930" t="s">
        <v>352</v>
      </c>
      <c r="AJ199" s="1930"/>
      <c r="AK199" s="1414">
        <f ca="1">INDEX(final_duration_session,((WEEKDAY(AI$3,2)*2-1)+IF(AI199="Morning",0,1)),$D199)</f>
        <v>0</v>
      </c>
      <c r="AL199" s="177"/>
    </row>
    <row r="200" spans="2:38" s="176" customFormat="1" ht="15" customHeight="1" x14ac:dyDescent="0.45">
      <c r="B200" s="1942"/>
      <c r="C200" s="1945"/>
      <c r="D200" s="1931" t="str">
        <f ca="1">IF(G199&gt;0,INDEX(sessions_name,INDEX(plan_session_allocation,((WEEKDAY(E$3,2)*2-1)+IF(E199="Morning",0,1)),D199)),"")</f>
        <v>Strength and Maintenance</v>
      </c>
      <c r="E200" s="1932"/>
      <c r="F200" s="1932"/>
      <c r="G200" s="1933"/>
      <c r="H200" s="177"/>
      <c r="I200" s="1931" t="str">
        <f ca="1">IF(L199&gt;0,INDEX(sessions_name,INDEX(plan_session_allocation,((WEEKDAY(J$3,2)*2-1)+IF(J199="Morning",0,1)),I199)),"")</f>
        <v>Hill Tempo</v>
      </c>
      <c r="J200" s="1932"/>
      <c r="K200" s="1932"/>
      <c r="L200" s="1933"/>
      <c r="M200" s="177"/>
      <c r="N200" s="1931" t="str">
        <f ca="1">IF(Q199&gt;0,INDEX(sessions_name,INDEX(plan_session_allocation,((WEEKDAY(O$3,2)*2-1)+IF(O199="Morning",0,1)),N199)),"")</f>
        <v xml:space="preserve">Easy </v>
      </c>
      <c r="O200" s="1932"/>
      <c r="P200" s="1932"/>
      <c r="Q200" s="1933"/>
      <c r="R200" s="177"/>
      <c r="S200" s="1931" t="str">
        <f ca="1">IF(V199&gt;0,INDEX(sessions_name,INDEX(plan_session_allocation,((WEEKDAY(T$3,2)*2-1)+IF(T199="Morning",0,1)),S199)),"")</f>
        <v>Steady</v>
      </c>
      <c r="T200" s="1932"/>
      <c r="U200" s="1932"/>
      <c r="V200" s="1933"/>
      <c r="W200" s="177"/>
      <c r="X200" s="1931" t="str">
        <f ca="1">IF(AA199&gt;0,INDEX(sessions_name,INDEX(plan_session_allocation,((WEEKDAY(Y$3,2)*2-1)+IF(Y199="Morning",0,1)),X199)),"")</f>
        <v>Strength and Maintenance</v>
      </c>
      <c r="Y200" s="1932"/>
      <c r="Z200" s="1932"/>
      <c r="AA200" s="1933"/>
      <c r="AB200" s="177"/>
      <c r="AC200" s="1931" t="str">
        <f ca="1">IF(AF199&gt;0,INDEX(sessions_name,INDEX(plan_session_allocation,((WEEKDAY(AD$3,2)*2-1)+IF(AD199="Morning",0,1)),AC199)),"")</f>
        <v>Easy</v>
      </c>
      <c r="AD200" s="1932"/>
      <c r="AE200" s="1932"/>
      <c r="AF200" s="1933"/>
      <c r="AG200" s="177"/>
      <c r="AH200" s="1931" t="str">
        <f ca="1">IF(AK199&gt;0,INDEX(sessions_name,INDEX(plan_session_allocation,((WEEKDAY(AI$3,2)*2-1)+IF(AI199="Morning",0,1)),AH199)),"")</f>
        <v/>
      </c>
      <c r="AI200" s="1932"/>
      <c r="AJ200" s="1932"/>
      <c r="AK200" s="1933"/>
      <c r="AL200" s="177"/>
    </row>
    <row r="201" spans="2:38" s="176" customFormat="1" ht="15" customHeight="1" x14ac:dyDescent="0.45">
      <c r="B201" s="1942"/>
      <c r="C201" s="1945"/>
      <c r="D201" s="1934" t="str">
        <f ca="1">IF(G199&gt;0,CONCATENATE("Sport: ",INDEX(sessions_sport_primary,INDEX(plan_session_allocation,(WEEKDAY(E$3,2)*2-1)+IF(E199="Morning",0,1),D199))),"")</f>
        <v>Sport: Indoor</v>
      </c>
      <c r="E201" s="1935"/>
      <c r="F201" s="1936">
        <f ca="1">IF(G199&gt;0,IFERROR(F202+F203+F204,""),"")</f>
        <v>60</v>
      </c>
      <c r="G201" s="1937"/>
      <c r="H201" s="177"/>
      <c r="I201" s="1934" t="str">
        <f ca="1">IF(L199&gt;0,CONCATENATE("Sport: ",INDEX(sessions_sport_primary,INDEX(plan_session_allocation,(WEEKDAY(J$3,2)*2-1)+IF(J199="Morning",0,1),I199))),"")</f>
        <v>Sport: Hilly Trail Run</v>
      </c>
      <c r="J201" s="1935"/>
      <c r="K201" s="1936">
        <f ca="1">IF(L199&gt;0,IFERROR(K202+K203+K204,""),"")</f>
        <v>55</v>
      </c>
      <c r="L201" s="1937"/>
      <c r="M201" s="177"/>
      <c r="N201" s="1934" t="str">
        <f ca="1">IF(Q199&gt;0,CONCATENATE("Sport: ",INDEX(sessions_sport_primary,INDEX(plan_session_allocation,(WEEKDAY(O$3,2)*2-1)+IF(O199="Morning",0,1),N199))),"")</f>
        <v>Sport: Road Ride</v>
      </c>
      <c r="O201" s="1935"/>
      <c r="P201" s="1936">
        <f ca="1">IF(Q199&gt;0,IFERROR(P202+P203+P204,""),"")</f>
        <v>75</v>
      </c>
      <c r="Q201" s="1937"/>
      <c r="R201" s="177"/>
      <c r="S201" s="1934" t="str">
        <f ca="1">IF(V199&gt;0,CONCATENATE("Sport: ",INDEX(sessions_sport_primary,INDEX(plan_session_allocation,(WEEKDAY(T$3,2)*2-1)+IF(T199="Morning",0,1),S199))),"")</f>
        <v>Sport: Hilly Trail Run</v>
      </c>
      <c r="T201" s="1935"/>
      <c r="U201" s="1936">
        <f ca="1">IF(V199&gt;0,IFERROR(U202+U203+U204,""),"")</f>
        <v>90</v>
      </c>
      <c r="V201" s="1937"/>
      <c r="W201" s="177"/>
      <c r="X201" s="1934" t="str">
        <f ca="1">IF(AA199&gt;0,CONCATENATE("Sport: ",INDEX(sessions_sport_primary,INDEX(plan_session_allocation,(WEEKDAY(Y$3,2)*2-1)+IF(Y199="Morning",0,1),X199))),"")</f>
        <v>Sport: Indoor</v>
      </c>
      <c r="Y201" s="1935"/>
      <c r="Z201" s="1936">
        <f ca="1">IF(AA199&gt;0,IFERROR(Z202+Z203+Z204,""),"")</f>
        <v>60</v>
      </c>
      <c r="AA201" s="1937"/>
      <c r="AB201" s="177"/>
      <c r="AC201" s="1934" t="str">
        <f ca="1">IF(AF199&gt;0,CONCATENATE("Sport: ",INDEX(sessions_sport_primary,INDEX(plan_session_allocation,(WEEKDAY(AD$3,2)*2-1)+IF(AD199="Morning",0,1),AC199))),"")</f>
        <v>Sport: Run</v>
      </c>
      <c r="AD201" s="1935"/>
      <c r="AE201" s="1936">
        <f ca="1">IF(AF199&gt;0,IFERROR(AE202+AE203+AE204,""),"")</f>
        <v>60</v>
      </c>
      <c r="AF201" s="1937"/>
      <c r="AG201" s="177"/>
      <c r="AH201" s="1934" t="str">
        <f ca="1">IF(AK199&gt;0,CONCATENATE("Sport: ",INDEX(sessions_sport_primary,INDEX(plan_session_allocation,(WEEKDAY(AI$3,2)*2-1)+IF(AI199="Morning",0,1),AH199))),"")</f>
        <v/>
      </c>
      <c r="AI201" s="1935"/>
      <c r="AJ201" s="1936" t="str">
        <f ca="1">IF(AK199&gt;0,IFERROR(AJ202+AJ203+AJ204,""),"")</f>
        <v/>
      </c>
      <c r="AK201" s="1937"/>
      <c r="AL201" s="177"/>
    </row>
    <row r="202" spans="2:38" s="177" customFormat="1" ht="15" customHeight="1" x14ac:dyDescent="0.45">
      <c r="B202" s="1942"/>
      <c r="C202" s="1945"/>
      <c r="D202" s="1922" t="str">
        <f ca="1">IF(G199&gt;0,CONCATENATE("HR Target: ",
INDEX(sessions_HR_primary,INDEX(plan_session_allocation,((WEEKDAY(E$3,2)*2-1)+IF(E199="Morning",0,1)),D199)),
IF(INDEX(sessions_HR_primary,INDEX(plan_session_allocation,((WEEKDAY(E$3,2)*2-1)+IF(E199="Morning",0,1)),D199))="N/A","",
" BPM")),"")</f>
        <v>HR Target: N/A</v>
      </c>
      <c r="E202" s="1923"/>
      <c r="F202" s="1924">
        <f ca="1">IF(G199&gt;0,
INDEX(final_duration_effort,((WEEKDAY(E$3,2)*2-1)+IF(E199="Morning",0,1)),D199),"")</f>
        <v>60</v>
      </c>
      <c r="G202" s="1925"/>
      <c r="I202" s="1922" t="str">
        <f ca="1">IF(L199&gt;0,CONCATENATE("HR Target: ",
INDEX(sessions_HR_primary,INDEX(plan_session_allocation,((WEEKDAY(J$3,2)*2-1)+IF(J199="Morning",0,1)),I199)),
IF(INDEX(sessions_HR_primary,INDEX(plan_session_allocation,((WEEKDAY(J$3,2)*2-1)+IF(J199="Morning",0,1)),I199))="N/A","",
" BPM")),"")</f>
        <v>HR Target: 177 BPM</v>
      </c>
      <c r="J202" s="1923"/>
      <c r="K202" s="1924">
        <f ca="1">IF(L199&gt;0,
INDEX(final_duration_effort,((WEEKDAY(J$3,2)*2-1)+IF(J199="Morning",0,1)),I199),"")</f>
        <v>25</v>
      </c>
      <c r="L202" s="1925"/>
      <c r="N202" s="1922" t="str">
        <f ca="1">IF(Q199&gt;0,CONCATENATE("HR Target: ",
INDEX(sessions_HR_primary,INDEX(plan_session_allocation,((WEEKDAY(O$3,2)*2-1)+IF(O199="Morning",0,1)),N199)),
IF(INDEX(sessions_HR_primary,INDEX(plan_session_allocation,((WEEKDAY(O$3,2)*2-1)+IF(O199="Morning",0,1)),N199))="N/A","",
" BPM")),"")</f>
        <v>HR Target: 138 BPM</v>
      </c>
      <c r="O202" s="1923"/>
      <c r="P202" s="1924">
        <f ca="1">IF(Q199&gt;0,
INDEX(final_duration_effort,((WEEKDAY(O$3,2)*2-1)+IF(O199="Morning",0,1)),N199),"")</f>
        <v>75</v>
      </c>
      <c r="Q202" s="1925"/>
      <c r="S202" s="1922" t="str">
        <f ca="1">IF(V199&gt;0,CONCATENATE("HR Target: ",
INDEX(sessions_HR_primary,INDEX(plan_session_allocation,((WEEKDAY(T$3,2)*2-1)+IF(T199="Morning",0,1)),S199)),
IF(INDEX(sessions_HR_primary,INDEX(plan_session_allocation,((WEEKDAY(T$3,2)*2-1)+IF(T199="Morning",0,1)),S199))="N/A","",
" BPM")),"")</f>
        <v>HR Target: 148 BPM</v>
      </c>
      <c r="T202" s="1923"/>
      <c r="U202" s="1924">
        <f ca="1">IF(V199&gt;0,
INDEX(final_duration_effort,((WEEKDAY(T$3,2)*2-1)+IF(T199="Morning",0,1)),S199),"")</f>
        <v>90</v>
      </c>
      <c r="V202" s="1925"/>
      <c r="X202" s="1922" t="str">
        <f ca="1">IF(AA199&gt;0,CONCATENATE("HR Target: ",
INDEX(sessions_HR_primary,INDEX(plan_session_allocation,((WEEKDAY(Y$3,2)*2-1)+IF(Y199="Morning",0,1)),X199)),
IF(INDEX(sessions_HR_primary,INDEX(plan_session_allocation,((WEEKDAY(Y$3,2)*2-1)+IF(Y199="Morning",0,1)),X199))="N/A","",
" BPM")),"")</f>
        <v>HR Target: N/A</v>
      </c>
      <c r="Y202" s="1923"/>
      <c r="Z202" s="1924">
        <f ca="1">IF(AA199&gt;0,
INDEX(final_duration_effort,((WEEKDAY(Y$3,2)*2-1)+IF(Y199="Morning",0,1)),X199),"")</f>
        <v>60</v>
      </c>
      <c r="AA202" s="1925"/>
      <c r="AC202" s="1922" t="str">
        <f ca="1">IF(AF199&gt;0,CONCATENATE("HR Target: ",
INDEX(sessions_HR_primary,INDEX(plan_session_allocation,((WEEKDAY(AD$3,2)*2-1)+IF(AD199="Morning",0,1)),AC199)),
IF(INDEX(sessions_HR_primary,INDEX(plan_session_allocation,((WEEKDAY(AD$3,2)*2-1)+IF(AD199="Morning",0,1)),AC199))="N/A","",
" BPM")),"")</f>
        <v>HR Target: 138 BPM</v>
      </c>
      <c r="AD202" s="1923"/>
      <c r="AE202" s="1924">
        <f ca="1">IF(AF199&gt;0,
INDEX(final_duration_effort,((WEEKDAY(AD$3,2)*2-1)+IF(AD199="Morning",0,1)),AC199),"")</f>
        <v>60</v>
      </c>
      <c r="AF202" s="1925"/>
      <c r="AH202" s="1922" t="str">
        <f ca="1">IF(AK199&gt;0,CONCATENATE("HR Target: ",
INDEX(sessions_HR_primary,INDEX(plan_session_allocation,((WEEKDAY(AI$3,2)*2-1)+IF(AI199="Morning",0,1)),AH199)),
IF(INDEX(sessions_HR_primary,INDEX(plan_session_allocation,((WEEKDAY(AI$3,2)*2-1)+IF(AI199="Morning",0,1)),AH199))="N/A","",
" BPM")),"")</f>
        <v/>
      </c>
      <c r="AI202" s="1923"/>
      <c r="AJ202" s="1924" t="str">
        <f ca="1">IF(AK199&gt;0,
INDEX(final_duration_effort,((WEEKDAY(AI$3,2)*2-1)+IF(AI199="Morning",0,1)),AH199),"")</f>
        <v/>
      </c>
      <c r="AK202" s="1925"/>
    </row>
    <row r="203" spans="2:38" s="177" customFormat="1" ht="15" customHeight="1" x14ac:dyDescent="0.45">
      <c r="B203" s="1942"/>
      <c r="C203" s="1945"/>
      <c r="D203" s="1926" t="str">
        <f ca="1">IF(G199&gt;0,CONCATENATE("HR Range: ",
INDEX(sessions_HR_range_primary,INDEX(plan_session_allocation,((WEEKDAY(E$3,2)*2-1)+IF(E199="Morning",0,1)),D199)),
IF(INDEX(sessions_HR_range_primary,INDEX(plan_session_allocation,((WEEKDAY(E$3,2)*2-1)+IF(E199="Morning",0,1)),D199))="N/A","",
" BPM")),"")</f>
        <v>HR Range: N/A</v>
      </c>
      <c r="E203" s="1927"/>
      <c r="F203" s="1928">
        <f ca="1">IF(G199&gt;0,IF(
INDEX(sessions_recoveries,INDEX(plan_session_allocation,((WEEKDAY(E$3,2)*2-1)+IF(E199="Morning",0,1)),D199))="Yes",
VLOOKUP(INDEX(plan_duration_primary,((WEEKDAY(E$3,2)*2-1)+IF(E199="Morning",0,1)),D199),
INDIRECT(INDEX(sessions_intervals_code_primary,INDEX(plan_session_allocation,((WEEKDAY(E$3,2)*2-1)+IF(E199="Morning",0,1)),D199))),7,TRUE),0),"")</f>
        <v>0</v>
      </c>
      <c r="G203" s="1929"/>
      <c r="I203" s="1926" t="str">
        <f ca="1">IF(L199&gt;0,CONCATENATE("HR Range: ",
INDEX(sessions_HR_range_primary,INDEX(plan_session_allocation,((WEEKDAY(J$3,2)*2-1)+IF(J199="Morning",0,1)),I199)),
IF(INDEX(sessions_HR_range_primary,INDEX(plan_session_allocation,((WEEKDAY(J$3,2)*2-1)+IF(J199="Morning",0,1)),I199))="N/A","",
" BPM")),"")</f>
        <v>HR Range: 173 - 180 BPM</v>
      </c>
      <c r="J203" s="1927"/>
      <c r="K203" s="1928">
        <f ca="1">IF(L199&gt;0,IF(
INDEX(sessions_recoveries,INDEX(plan_session_allocation,((WEEKDAY(J$3,2)*2-1)+IF(J199="Morning",0,1)),I199))="Yes",
VLOOKUP(INDEX(plan_duration_primary,((WEEKDAY(J$3,2)*2-1)+IF(J199="Morning",0,1)),I199),
INDIRECT(INDEX(sessions_intervals_code_primary,INDEX(plan_session_allocation,((WEEKDAY(J$3,2)*2-1)+IF(J199="Morning",0,1)),I199))),7,TRUE),0),"")</f>
        <v>0</v>
      </c>
      <c r="L203" s="1929"/>
      <c r="N203" s="1926" t="str">
        <f ca="1">IF(Q199&gt;0,CONCATENATE("HR Range: ",
INDEX(sessions_HR_range_primary,INDEX(plan_session_allocation,((WEEKDAY(O$3,2)*2-1)+IF(O199="Morning",0,1)),N199)),
IF(INDEX(sessions_HR_range_primary,INDEX(plan_session_allocation,((WEEKDAY(O$3,2)*2-1)+IF(O199="Morning",0,1)),N199))="N/A","",
" BPM")),"")</f>
        <v>HR Range: 129 - 148 BPM</v>
      </c>
      <c r="O203" s="1927"/>
      <c r="P203" s="1928">
        <f ca="1">IF(Q199&gt;0,IF(
INDEX(sessions_recoveries,INDEX(plan_session_allocation,((WEEKDAY(O$3,2)*2-1)+IF(O199="Morning",0,1)),N199))="Yes",
VLOOKUP(INDEX(plan_duration_primary,((WEEKDAY(O$3,2)*2-1)+IF(O199="Morning",0,1)),N199),
INDIRECT(INDEX(sessions_intervals_code_primary,INDEX(plan_session_allocation,((WEEKDAY(O$3,2)*2-1)+IF(O199="Morning",0,1)),N199))),7,TRUE),0),"")</f>
        <v>0</v>
      </c>
      <c r="Q203" s="1929"/>
      <c r="S203" s="1926" t="str">
        <f ca="1">IF(V199&gt;0,CONCATENATE("HR Range: ",
INDEX(sessions_HR_range_primary,INDEX(plan_session_allocation,((WEEKDAY(T$3,2)*2-1)+IF(T199="Morning",0,1)),S199)),
IF(INDEX(sessions_HR_range_primary,INDEX(plan_session_allocation,((WEEKDAY(T$3,2)*2-1)+IF(T199="Morning",0,1)),S199))="N/A","",
" BPM")),"")</f>
        <v>HR Range: 138 - 157 BPM</v>
      </c>
      <c r="T203" s="1927"/>
      <c r="U203" s="1928">
        <f ca="1">IF(V199&gt;0,IF(
INDEX(sessions_recoveries,INDEX(plan_session_allocation,((WEEKDAY(T$3,2)*2-1)+IF(T199="Morning",0,1)),S199))="Yes",
VLOOKUP(INDEX(plan_duration_primary,((WEEKDAY(T$3,2)*2-1)+IF(T199="Morning",0,1)),S199),
INDIRECT(INDEX(sessions_intervals_code_primary,INDEX(plan_session_allocation,((WEEKDAY(T$3,2)*2-1)+IF(T199="Morning",0,1)),S199))),7,TRUE),0),"")</f>
        <v>0</v>
      </c>
      <c r="V203" s="1929"/>
      <c r="X203" s="1926" t="str">
        <f ca="1">IF(AA199&gt;0,CONCATENATE("HR Range: ",
INDEX(sessions_HR_range_primary,INDEX(plan_session_allocation,((WEEKDAY(Y$3,2)*2-1)+IF(Y199="Morning",0,1)),X199)),
IF(INDEX(sessions_HR_range_primary,INDEX(plan_session_allocation,((WEEKDAY(Y$3,2)*2-1)+IF(Y199="Morning",0,1)),X199))="N/A","",
" BPM")),"")</f>
        <v>HR Range: N/A</v>
      </c>
      <c r="Y203" s="1927"/>
      <c r="Z203" s="1928">
        <f ca="1">IF(AA199&gt;0,IF(
INDEX(sessions_recoveries,INDEX(plan_session_allocation,((WEEKDAY(Y$3,2)*2-1)+IF(Y199="Morning",0,1)),X199))="Yes",
VLOOKUP(INDEX(plan_duration_primary,((WEEKDAY(Y$3,2)*2-1)+IF(Y199="Morning",0,1)),X199),
INDIRECT(INDEX(sessions_intervals_code_primary,INDEX(plan_session_allocation,((WEEKDAY(Y$3,2)*2-1)+IF(Y199="Morning",0,1)),X199))),7,TRUE),0),"")</f>
        <v>0</v>
      </c>
      <c r="AA203" s="1929"/>
      <c r="AC203" s="1926" t="str">
        <f ca="1">IF(AF199&gt;0,CONCATENATE("HR Range: ",
INDEX(sessions_HR_range_primary,INDEX(plan_session_allocation,((WEEKDAY(AD$3,2)*2-1)+IF(AD199="Morning",0,1)),AC199)),
IF(INDEX(sessions_HR_range_primary,INDEX(plan_session_allocation,((WEEKDAY(AD$3,2)*2-1)+IF(AD199="Morning",0,1)),AC199))="N/A","",
" BPM")),"")</f>
        <v>HR Range: 129 - 148 BPM</v>
      </c>
      <c r="AD203" s="1927"/>
      <c r="AE203" s="1928">
        <f ca="1">IF(AF199&gt;0,IF(
INDEX(sessions_recoveries,INDEX(plan_session_allocation,((WEEKDAY(AD$3,2)*2-1)+IF(AD199="Morning",0,1)),AC199))="Yes",
VLOOKUP(INDEX(plan_duration_primary,((WEEKDAY(AD$3,2)*2-1)+IF(AD199="Morning",0,1)),AC199),
INDIRECT(INDEX(sessions_intervals_code_primary,INDEX(plan_session_allocation,((WEEKDAY(AD$3,2)*2-1)+IF(AD199="Morning",0,1)),AC199))),7,TRUE),0),"")</f>
        <v>0</v>
      </c>
      <c r="AF203" s="1929"/>
      <c r="AH203" s="1926" t="str">
        <f ca="1">IF(AK199&gt;0,CONCATENATE("HR Range: ",
INDEX(sessions_HR_range_primary,INDEX(plan_session_allocation,((WEEKDAY(AI$3,2)*2-1)+IF(AI199="Morning",0,1)),AH199)),
IF(INDEX(sessions_HR_range_primary,INDEX(plan_session_allocation,((WEEKDAY(AI$3,2)*2-1)+IF(AI199="Morning",0,1)),AH199))="N/A","",
" BPM")),"")</f>
        <v/>
      </c>
      <c r="AI203" s="1927"/>
      <c r="AJ203" s="1928" t="str">
        <f ca="1">IF(AK199&gt;0,IF(
INDEX(sessions_recoveries,INDEX(plan_session_allocation,((WEEKDAY(AI$3,2)*2-1)+IF(AI199="Morning",0,1)),AH199))="Yes",
VLOOKUP(INDEX(plan_duration_primary,((WEEKDAY(AI$3,2)*2-1)+IF(AI199="Morning",0,1)),AH199),
INDIRECT(INDEX(sessions_intervals_code_primary,INDEX(plan_session_allocation,((WEEKDAY(AI$3,2)*2-1)+IF(AI199="Morning",0,1)),AH199))),7,TRUE),0),"")</f>
        <v/>
      </c>
      <c r="AK203" s="1929"/>
    </row>
    <row r="204" spans="2:38" s="177" customFormat="1" ht="15" customHeight="1" x14ac:dyDescent="0.45">
      <c r="B204" s="1942"/>
      <c r="C204" s="1945"/>
      <c r="D204" s="1909" t="str">
        <f ca="1">IF(G199&gt;0,CONCATENATE("Equivalent Pace: ",
TEXT(INDEX(sessions_pace_primary,INDEX(plan_session_allocation,(WEEKDAY(E$3,2)*2-1)+IF(E199="Morning",0,1),D199)),"m:ss"),
" min/km"
),"")</f>
        <v>Equivalent Pace:  min/km</v>
      </c>
      <c r="E204" s="1910"/>
      <c r="F204" s="1911">
        <f ca="1">IF(G199&gt;0, INDEX(final_duration_WU,((WEEKDAY(E$3,2)*2-1)+IF(E199="Morning",0,1)),D199)  + INDEX(final_duration_WD,((WEEKDAY(E$3,2)*2-1)+IF(E199="Morning",0,1)),D199), "")</f>
        <v>0</v>
      </c>
      <c r="G204" s="1912"/>
      <c r="I204" s="1909" t="str">
        <f ca="1">IF(L199&gt;0,CONCATENATE("Equivalent Pace: ",
TEXT(INDEX(sessions_pace_primary,INDEX(plan_session_allocation,(WEEKDAY(J$3,2)*2-1)+IF(J199="Morning",0,1),I199)),"m:ss"),
" min/km"
),"")</f>
        <v>Equivalent Pace: 3:21 min/km</v>
      </c>
      <c r="J204" s="1910"/>
      <c r="K204" s="1911">
        <f ca="1">IF(L199&gt;0, INDEX(final_duration_WU,((WEEKDAY(J$3,2)*2-1)+IF(J199="Morning",0,1)),I199)  + INDEX(final_duration_WD,((WEEKDAY(J$3,2)*2-1)+IF(J199="Morning",0,1)),I199), "")</f>
        <v>30</v>
      </c>
      <c r="L204" s="1912"/>
      <c r="N204" s="1909" t="str">
        <f ca="1">IF(Q199&gt;0,CONCATENATE("Equivalent Pace: ",
TEXT(INDEX(sessions_pace_primary,INDEX(plan_session_allocation,(WEEKDAY(O$3,2)*2-1)+IF(O199="Morning",0,1),N199)),"m:ss"),
" min/km"
),"")</f>
        <v>Equivalent Pace: 4:39 min/km</v>
      </c>
      <c r="O204" s="1910"/>
      <c r="P204" s="1911">
        <f ca="1">IF(Q199&gt;0, INDEX(final_duration_WU,((WEEKDAY(O$3,2)*2-1)+IF(O199="Morning",0,1)),N199)  + INDEX(final_duration_WD,((WEEKDAY(O$3,2)*2-1)+IF(O199="Morning",0,1)),N199), "")</f>
        <v>0</v>
      </c>
      <c r="Q204" s="1912"/>
      <c r="S204" s="1909" t="str">
        <f ca="1">IF(V199&gt;0,CONCATENATE("Equivalent Pace: ",
TEXT(INDEX(sessions_pace_primary,INDEX(plan_session_allocation,(WEEKDAY(T$3,2)*2-1)+IF(T199="Morning",0,1),S199)),"m:ss"),
" min/km"
),"")</f>
        <v>Equivalent Pace: 4:14 min/km</v>
      </c>
      <c r="T204" s="1910"/>
      <c r="U204" s="1911">
        <f ca="1">IF(V199&gt;0, INDEX(final_duration_WU,((WEEKDAY(T$3,2)*2-1)+IF(T199="Morning",0,1)),S199)  + INDEX(final_duration_WD,((WEEKDAY(T$3,2)*2-1)+IF(T199="Morning",0,1)),S199), "")</f>
        <v>0</v>
      </c>
      <c r="V204" s="1912"/>
      <c r="X204" s="1909" t="str">
        <f ca="1">IF(AA199&gt;0,CONCATENATE("Equivalent Pace: ",
TEXT(INDEX(sessions_pace_primary,INDEX(plan_session_allocation,(WEEKDAY(Y$3,2)*2-1)+IF(Y199="Morning",0,1),X199)),"m:ss"),
" min/km"
),"")</f>
        <v>Equivalent Pace:  min/km</v>
      </c>
      <c r="Y204" s="1910"/>
      <c r="Z204" s="1911">
        <f ca="1">IF(AA199&gt;0, INDEX(final_duration_WU,((WEEKDAY(Y$3,2)*2-1)+IF(Y199="Morning",0,1)),X199)  + INDEX(final_duration_WD,((WEEKDAY(Y$3,2)*2-1)+IF(Y199="Morning",0,1)),X199), "")</f>
        <v>0</v>
      </c>
      <c r="AA204" s="1912"/>
      <c r="AC204" s="1909" t="str">
        <f ca="1">IF(AF199&gt;0,CONCATENATE("Equivalent Pace: ",
TEXT(INDEX(sessions_pace_primary,INDEX(plan_session_allocation,(WEEKDAY(AD$3,2)*2-1)+IF(AD199="Morning",0,1),AC199)),"m:ss"),
" min/km"
),"")</f>
        <v>Equivalent Pace: 4:39 min/km</v>
      </c>
      <c r="AD204" s="1910"/>
      <c r="AE204" s="1911">
        <f ca="1">IF(AF199&gt;0, INDEX(final_duration_WU,((WEEKDAY(AD$3,2)*2-1)+IF(AD199="Morning",0,1)),AC199)  + INDEX(final_duration_WD,((WEEKDAY(AD$3,2)*2-1)+IF(AD199="Morning",0,1)),AC199), "")</f>
        <v>0</v>
      </c>
      <c r="AF204" s="1912"/>
      <c r="AH204" s="1909" t="str">
        <f ca="1">IF(AK199&gt;0,CONCATENATE("Equivalent Pace: ",
TEXT(INDEX(sessions_pace_primary,INDEX(plan_session_allocation,(WEEKDAY(AI$3,2)*2-1)+IF(AI199="Morning",0,1),AH199)),"m:ss"),
" min/km"
),"")</f>
        <v/>
      </c>
      <c r="AI204" s="1910"/>
      <c r="AJ204" s="1911" t="str">
        <f ca="1">IF(AK199&gt;0, INDEX(final_duration_WU,((WEEKDAY(AI$3,2)*2-1)+IF(AI199="Morning",0,1)),AH199)  + INDEX(final_duration_WD,((WEEKDAY(AI$3,2)*2-1)+IF(AI199="Morning",0,1)),AH199), "")</f>
        <v/>
      </c>
      <c r="AK204" s="1912"/>
    </row>
    <row r="205" spans="2:38" s="176" customFormat="1" ht="15" customHeight="1" x14ac:dyDescent="0.45">
      <c r="B205" s="1942"/>
      <c r="C205" s="1945"/>
      <c r="D205" s="1913" t="str">
        <f ca="1">IF(G199&gt;0,CONCATENATE(IFERROR(CONCATENATE(IF(INDEX(display_intervals_breakdown,((WEEKDAY(E$3,2)*2-1)+IF(E199="Morning",0,1)),D199)="","",CONCATENATE("Intervals/Reps Breakdown: 
",INDEX(display_intervals_breakdown,((WEEKDAY(E$3,2)*2-1)+IF(E199="Morning",0,1)),D199),"
")),"Session Description: 
",CONCATENATE(IF(INDEX(final_duration_secondary,((WEEKDAY(E$3,2)*2-1)+IF(E199="Morning",0,1)),D199)=0,"","1. "),
INDEX(sessions_description_primary,,INDEX(plan_session_allocation,((WEEKDAY(E$3,2)*2-1)+IF(E199="Morning",0,1)),D199)),IF(INDEX(final_duration_secondary,((WEEKDAY(E$3,2)*2-1)+IF(E199="Morning",0,1)),D199)=0,"","
2. "),
IF(INDEX(final_duration_secondary,((WEEKDAY(E$3,2)*2-1)+IF(E199="Morning",0,1)),D199)=0,"",INDEX(sessions_description_secondary,,INDEX(plan_session_allocation,((WEEKDAY(E$3,2)*2-1)+IF(E199="Morning",0,1)),D199))),IF(INDEX(final_duration_tertiary,((WEEKDAY(E$3,2)*2-1)+IF(E199="Morning",0,1)),D199)=0,"","
3. "),
IF(INDEX(final_duration_tertiary,((WEEKDAY(E$3,2)*2-1)+IF(E199="Morning",0,1)),D199)="","",INDEX(sessions_description_tertiary,,INDEX(plan_session_allocation,((WEEKDAY(E$3,2)*2-1)+IF(E199="Morning",0,1)),D199))),
IF(INDEX(display_nutrition_description,((WEEKDAY(E$3,2)*2-1)+IF(E199="Morning",0,1)),D199)="","",
CONCATENATE("
Meal Plan: ", INDEX(sessions_nutrition,,INDEX(plan_session_allocation,((WEEKDAY(E$3,2)*2-1)+IF(E199="Morning",0,1)),D199)), "
", INDEX(display_nutrition_description,((WEEKDAY(E$3,2)*2-1)+IF(E199="Morning",0,1)),D199)))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205" s="1914"/>
      <c r="F205" s="1914"/>
      <c r="G205" s="1915"/>
      <c r="H205" s="177"/>
      <c r="I205" s="1913" t="str">
        <f ca="1">IF(L199&gt;0,CONCATENATE(IFERROR(CONCATENATE(IF(INDEX(display_intervals_breakdown,((WEEKDAY(J$3,2)*2-1)+IF(J199="Morning",0,1)),I199)="","",CONCATENATE("Intervals/Reps Breakdown: 
",INDEX(display_intervals_breakdown,((WEEKDAY(J$3,2)*2-1)+IF(J199="Morning",0,1)),I199),"
")),"Session Description: 
",CONCATENATE(IF(INDEX(final_duration_secondary,((WEEKDAY(J$3,2)*2-1)+IF(J199="Morning",0,1)),I199)=0,"","1. "),
INDEX(sessions_description_primary,,INDEX(plan_session_allocation,((WEEKDAY(J$3,2)*2-1)+IF(J199="Morning",0,1)),I199)),IF(INDEX(final_duration_secondary,((WEEKDAY(J$3,2)*2-1)+IF(J199="Morning",0,1)),I199)=0,"","
2. "),
IF(INDEX(final_duration_secondary,((WEEKDAY(J$3,2)*2-1)+IF(J199="Morning",0,1)),I199)=0,"",INDEX(sessions_description_secondary,,INDEX(plan_session_allocation,((WEEKDAY(J$3,2)*2-1)+IF(J199="Morning",0,1)),I199))),IF(INDEX(final_duration_tertiary,((WEEKDAY(J$3,2)*2-1)+IF(J199="Morning",0,1)),I199)=0,"","
3. "),
IF(INDEX(final_duration_tertiary,((WEEKDAY(J$3,2)*2-1)+IF(J199="Morning",0,1)),I199)="","",INDEX(sessions_description_tertiary,,INDEX(plan_session_allocation,((WEEKDAY(J$3,2)*2-1)+IF(J199="Morning",0,1)),I199))),
IF(INDEX(display_nutrition_description,((WEEKDAY(J$3,2)*2-1)+IF(J199="Morning",0,1)),I199)="","",
CONCATENATE("
Meal Plan: ", INDEX(sessions_nutrition,,INDEX(plan_session_allocation,((WEEKDAY(J$3,2)*2-1)+IF(J199="Morning",0,1)),I199)), "
", INDEX(display_nutrition_description,((WEEKDAY(J$3,2)*2-1)+IF(J199="Morning",0,1)),I199)))
)),"")),"")</f>
        <v>Session Description: 
Accelerate to a fast pace which you should be able to hold for 50 minutes in a race situation. This will take concentration, but it's important to keep the intensity even, so do not start too hard. Warm up and warm down for 10 minutes each.</v>
      </c>
      <c r="J205" s="1914"/>
      <c r="K205" s="1914"/>
      <c r="L205" s="1915"/>
      <c r="M205" s="177"/>
      <c r="N205" s="1913" t="str">
        <f ca="1">IF(Q199&gt;0,CONCATENATE(IFERROR(CONCATENATE(IF(INDEX(display_intervals_breakdown,((WEEKDAY(O$3,2)*2-1)+IF(O199="Morning",0,1)),N199)="","",CONCATENATE("Intervals/Reps Breakdown: 
",INDEX(display_intervals_breakdown,((WEEKDAY(O$3,2)*2-1)+IF(O199="Morning",0,1)),N199),"
")),"Session Description: 
",CONCATENATE(IF(INDEX(final_duration_secondary,((WEEKDAY(O$3,2)*2-1)+IF(O199="Morning",0,1)),N199)=0,"","1. "),
INDEX(sessions_description_primary,,INDEX(plan_session_allocation,((WEEKDAY(O$3,2)*2-1)+IF(O199="Morning",0,1)),N199)),IF(INDEX(final_duration_secondary,((WEEKDAY(O$3,2)*2-1)+IF(O199="Morning",0,1)),N199)=0,"","
2. "),
IF(INDEX(final_duration_secondary,((WEEKDAY(O$3,2)*2-1)+IF(O199="Morning",0,1)),N199)=0,"",INDEX(sessions_description_secondary,,INDEX(plan_session_allocation,((WEEKDAY(O$3,2)*2-1)+IF(O199="Morning",0,1)),N199))),IF(INDEX(final_duration_tertiary,((WEEKDAY(O$3,2)*2-1)+IF(O199="Morning",0,1)),N199)=0,"","
3. "),
IF(INDEX(final_duration_tertiary,((WEEKDAY(O$3,2)*2-1)+IF(O199="Morning",0,1)),N199)="","",INDEX(sessions_description_tertiary,,INDEX(plan_session_allocation,((WEEKDAY(O$3,2)*2-1)+IF(O199="Morning",0,1)),N199))),
IF(INDEX(display_nutrition_description,((WEEKDAY(O$3,2)*2-1)+IF(O199="Morning",0,1)),N199)="","",
CONCATENATE("
Meal Plan: ", INDEX(sessions_nutrition,,INDEX(plan_session_allocation,((WEEKDAY(O$3,2)*2-1)+IF(O199="Morning",0,1)),N199)), "
", INDEX(display_nutrition_description,((WEEKDAY(O$3,2)*2-1)+IF(O199="Morning",0,1)),N199)))
)),"")),"")</f>
        <v>Session Description: 
Stay at a comfortable and controlled intensity where you should be able to have a conversation without large pauses. Keep an even intensity and accept that your pace may change as the terrain changes.</v>
      </c>
      <c r="O205" s="1914"/>
      <c r="P205" s="1914"/>
      <c r="Q205" s="1915"/>
      <c r="R205" s="177"/>
      <c r="S205" s="1913" t="str">
        <f ca="1">IF(V199&gt;0,CONCATENATE(IFERROR(CONCATENATE(IF(INDEX(display_intervals_breakdown,((WEEKDAY(T$3,2)*2-1)+IF(T199="Morning",0,1)),S199)="","",CONCATENATE("Intervals/Reps Breakdown: 
",INDEX(display_intervals_breakdown,((WEEKDAY(T$3,2)*2-1)+IF(T199="Morning",0,1)),S199),"
")),"Session Description: 
",CONCATENATE(IF(INDEX(final_duration_secondary,((WEEKDAY(T$3,2)*2-1)+IF(T199="Morning",0,1)),S199)=0,"","1. "),
INDEX(sessions_description_primary,,INDEX(plan_session_allocation,((WEEKDAY(T$3,2)*2-1)+IF(T199="Morning",0,1)),S199)),IF(INDEX(final_duration_secondary,((WEEKDAY(T$3,2)*2-1)+IF(T199="Morning",0,1)),S199)=0,"","
2. "),
IF(INDEX(final_duration_secondary,((WEEKDAY(T$3,2)*2-1)+IF(T199="Morning",0,1)),S199)=0,"",INDEX(sessions_description_secondary,,INDEX(plan_session_allocation,((WEEKDAY(T$3,2)*2-1)+IF(T199="Morning",0,1)),S199))),IF(INDEX(final_duration_tertiary,((WEEKDAY(T$3,2)*2-1)+IF(T199="Morning",0,1)),S199)=0,"","
3. "),
IF(INDEX(final_duration_tertiary,((WEEKDAY(T$3,2)*2-1)+IF(T199="Morning",0,1)),S199)="","",INDEX(sessions_description_tertiary,,INDEX(plan_session_allocation,((WEEKDAY(T$3,2)*2-1)+IF(T199="Morning",0,1)),S199))),
IF(INDEX(display_nutrition_description,((WEEKDAY(T$3,2)*2-1)+IF(T199="Morning",0,1)),S199)="","",
CONCATENATE("
Meal Plan: ", INDEX(sessions_nutrition,,INDEX(plan_session_allocation,((WEEKDAY(T$3,2)*2-1)+IF(T199="Morning",0,1)),S199)), "
", INDEX(display_nutrition_description,((WEEKDAY(T$3,2)*2-1)+IF(T199="Morning",0,1)),S199)))
)),"")),"")</f>
        <v>Session Description: 
Stay at a comfortable and controlled intensity where you should be able to have a conversation without large pauses. Keep an even intensity and accept that your pace may change as the terrain changes.</v>
      </c>
      <c r="T205" s="1914"/>
      <c r="U205" s="1914"/>
      <c r="V205" s="1915"/>
      <c r="W205" s="177"/>
      <c r="X205" s="1913" t="str">
        <f ca="1">IF(AA199&gt;0,CONCATENATE(IFERROR(CONCATENATE(IF(INDEX(display_intervals_breakdown,((WEEKDAY(Y$3,2)*2-1)+IF(Y199="Morning",0,1)),X199)="","",CONCATENATE("Intervals/Reps Breakdown: 
",INDEX(display_intervals_breakdown,((WEEKDAY(Y$3,2)*2-1)+IF(Y199="Morning",0,1)),X199),"
")),"Session Description: 
",CONCATENATE(IF(INDEX(final_duration_secondary,((WEEKDAY(Y$3,2)*2-1)+IF(Y199="Morning",0,1)),X199)=0,"","1. "),
INDEX(sessions_description_primary,,INDEX(plan_session_allocation,((WEEKDAY(Y$3,2)*2-1)+IF(Y199="Morning",0,1)),X199)),IF(INDEX(final_duration_secondary,((WEEKDAY(Y$3,2)*2-1)+IF(Y199="Morning",0,1)),X199)=0,"","
2. "),
IF(INDEX(final_duration_secondary,((WEEKDAY(Y$3,2)*2-1)+IF(Y199="Morning",0,1)),X199)=0,"",INDEX(sessions_description_secondary,,INDEX(plan_session_allocation,((WEEKDAY(Y$3,2)*2-1)+IF(Y199="Morning",0,1)),X199))),IF(INDEX(final_duration_tertiary,((WEEKDAY(Y$3,2)*2-1)+IF(Y199="Morning",0,1)),X199)=0,"","
3. "),
IF(INDEX(final_duration_tertiary,((WEEKDAY(Y$3,2)*2-1)+IF(Y199="Morning",0,1)),X199)="","",INDEX(sessions_description_tertiary,,INDEX(plan_session_allocation,((WEEKDAY(Y$3,2)*2-1)+IF(Y199="Morning",0,1)),X199))),
IF(INDEX(display_nutrition_description,((WEEKDAY(Y$3,2)*2-1)+IF(Y199="Morning",0,1)),X199)="","",
CONCATENATE("
Meal Plan: ", INDEX(sessions_nutrition,,INDEX(plan_session_allocation,((WEEKDAY(Y$3,2)*2-1)+IF(Y199="Morning",0,1)),X199)), "
", INDEX(display_nutrition_description,((WEEKDAY(Y$3,2)*2-1)+IF(Y199="Morning",0,1)),X199)))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205" s="1914"/>
      <c r="Z205" s="1914"/>
      <c r="AA205" s="1915"/>
      <c r="AB205" s="177"/>
      <c r="AC205" s="1913" t="str">
        <f ca="1">IF(AF199&gt;0,CONCATENATE(IFERROR(CONCATENATE(IF(INDEX(display_intervals_breakdown,((WEEKDAY(AD$3,2)*2-1)+IF(AD199="Morning",0,1)),AC199)="","",CONCATENATE("Intervals/Reps Breakdown: 
",INDEX(display_intervals_breakdown,((WEEKDAY(AD$3,2)*2-1)+IF(AD199="Morning",0,1)),AC199),"
")),"Session Description: 
",CONCATENATE(IF(INDEX(final_duration_secondary,((WEEKDAY(AD$3,2)*2-1)+IF(AD199="Morning",0,1)),AC199)=0,"","1. "),
INDEX(sessions_description_primary,,INDEX(plan_session_allocation,((WEEKDAY(AD$3,2)*2-1)+IF(AD199="Morning",0,1)),AC199)),IF(INDEX(final_duration_secondary,((WEEKDAY(AD$3,2)*2-1)+IF(AD199="Morning",0,1)),AC199)=0,"","
2. "),
IF(INDEX(final_duration_secondary,((WEEKDAY(AD$3,2)*2-1)+IF(AD199="Morning",0,1)),AC199)=0,"",INDEX(sessions_description_secondary,,INDEX(plan_session_allocation,((WEEKDAY(AD$3,2)*2-1)+IF(AD199="Morning",0,1)),AC199))),IF(INDEX(final_duration_tertiary,((WEEKDAY(AD$3,2)*2-1)+IF(AD199="Morning",0,1)),AC199)=0,"","
3. "),
IF(INDEX(final_duration_tertiary,((WEEKDAY(AD$3,2)*2-1)+IF(AD199="Morning",0,1)),AC199)="","",INDEX(sessions_description_tertiary,,INDEX(plan_session_allocation,((WEEKDAY(AD$3,2)*2-1)+IF(AD199="Morning",0,1)),AC199))),
IF(INDEX(display_nutrition_description,((WEEKDAY(AD$3,2)*2-1)+IF(AD199="Morning",0,1)),AC199)="","",
CONCATENATE("
Meal Plan: ", INDEX(sessions_nutrition,,INDEX(plan_session_allocation,((WEEKDAY(AD$3,2)*2-1)+IF(AD199="Morning",0,1)),AC199)), "
", INDEX(display_nutrition_description,((WEEKDAY(AD$3,2)*2-1)+IF(AD199="Morning",0,1)),AC199)))
)),"")),"")</f>
        <v>Session Description: 
Stay at a comfortable and controlled intensity where you should be able to have a conversation without large pauses. Keep an even intensity and accept that your pace may change as the terrain changes.</v>
      </c>
      <c r="AD205" s="1914"/>
      <c r="AE205" s="1914"/>
      <c r="AF205" s="1915"/>
      <c r="AG205" s="177"/>
      <c r="AH205" s="1913" t="str">
        <f ca="1">IF(AK199&gt;0,CONCATENATE(IFERROR(CONCATENATE(IF(INDEX(display_intervals_breakdown,((WEEKDAY(AI$3,2)*2-1)+IF(AI199="Morning",0,1)),AH199)="","",CONCATENATE("Intervals/Reps Breakdown: 
",INDEX(display_intervals_breakdown,((WEEKDAY(AI$3,2)*2-1)+IF(AI199="Morning",0,1)),AH199),"
")),"Session Description: 
",CONCATENATE(IF(INDEX(final_duration_secondary,((WEEKDAY(AI$3,2)*2-1)+IF(AI199="Morning",0,1)),AH199)=0,"","1. "),
INDEX(sessions_description_primary,,INDEX(plan_session_allocation,((WEEKDAY(AI$3,2)*2-1)+IF(AI199="Morning",0,1)),AH199)),IF(INDEX(final_duration_secondary,((WEEKDAY(AI$3,2)*2-1)+IF(AI199="Morning",0,1)),AH199)=0,"","
2. "),
IF(INDEX(final_duration_secondary,((WEEKDAY(AI$3,2)*2-1)+IF(AI199="Morning",0,1)),AH199)=0,"",INDEX(sessions_description_secondary,,INDEX(plan_session_allocation,((WEEKDAY(AI$3,2)*2-1)+IF(AI199="Morning",0,1)),AH199))),IF(INDEX(final_duration_tertiary,((WEEKDAY(AI$3,2)*2-1)+IF(AI199="Morning",0,1)),AH199)=0,"","
3. "),
IF(INDEX(final_duration_tertiary,((WEEKDAY(AI$3,2)*2-1)+IF(AI199="Morning",0,1)),AH199)="","",INDEX(sessions_description_tertiary,,INDEX(plan_session_allocation,((WEEKDAY(AI$3,2)*2-1)+IF(AI199="Morning",0,1)),AH199))),
IF(INDEX(display_nutrition_description,((WEEKDAY(AI$3,2)*2-1)+IF(AI199="Morning",0,1)),AH199)="","",
CONCATENATE("
Meal Plan: ", INDEX(sessions_nutrition,,INDEX(plan_session_allocation,((WEEKDAY(AI$3,2)*2-1)+IF(AI199="Morning",0,1)),AH199)), "
", INDEX(display_nutrition_description,((WEEKDAY(AI$3,2)*2-1)+IF(AI199="Morning",0,1)),AH199)))
)),"")),"")</f>
        <v/>
      </c>
      <c r="AI205" s="1914"/>
      <c r="AJ205" s="1914"/>
      <c r="AK205" s="1915"/>
      <c r="AL205" s="177"/>
    </row>
    <row r="206" spans="2:38" s="176" customFormat="1" ht="15" customHeight="1" x14ac:dyDescent="0.45">
      <c r="B206" s="1942"/>
      <c r="C206" s="1945"/>
      <c r="D206" s="1916"/>
      <c r="E206" s="1917"/>
      <c r="F206" s="1917"/>
      <c r="G206" s="1918"/>
      <c r="H206" s="177"/>
      <c r="I206" s="1916"/>
      <c r="J206" s="1917"/>
      <c r="K206" s="1917"/>
      <c r="L206" s="1918"/>
      <c r="M206" s="177"/>
      <c r="N206" s="1916"/>
      <c r="O206" s="1917"/>
      <c r="P206" s="1917"/>
      <c r="Q206" s="1918"/>
      <c r="R206" s="177"/>
      <c r="S206" s="1916"/>
      <c r="T206" s="1917"/>
      <c r="U206" s="1917"/>
      <c r="V206" s="1918"/>
      <c r="W206" s="177"/>
      <c r="X206" s="1916"/>
      <c r="Y206" s="1917"/>
      <c r="Z206" s="1917"/>
      <c r="AA206" s="1918"/>
      <c r="AB206" s="177"/>
      <c r="AC206" s="1916"/>
      <c r="AD206" s="1917"/>
      <c r="AE206" s="1917"/>
      <c r="AF206" s="1918"/>
      <c r="AG206" s="177"/>
      <c r="AH206" s="1916"/>
      <c r="AI206" s="1917"/>
      <c r="AJ206" s="1917"/>
      <c r="AK206" s="1918"/>
      <c r="AL206" s="177"/>
    </row>
    <row r="207" spans="2:38" s="176" customFormat="1" ht="15" customHeight="1" x14ac:dyDescent="0.45">
      <c r="B207" s="1942"/>
      <c r="C207" s="1945"/>
      <c r="D207" s="1916"/>
      <c r="E207" s="1917"/>
      <c r="F207" s="1917"/>
      <c r="G207" s="1918"/>
      <c r="H207" s="177"/>
      <c r="I207" s="1916"/>
      <c r="J207" s="1917"/>
      <c r="K207" s="1917"/>
      <c r="L207" s="1918"/>
      <c r="M207" s="177"/>
      <c r="N207" s="1916"/>
      <c r="O207" s="1917"/>
      <c r="P207" s="1917"/>
      <c r="Q207" s="1918"/>
      <c r="R207" s="177"/>
      <c r="S207" s="1916"/>
      <c r="T207" s="1917"/>
      <c r="U207" s="1917"/>
      <c r="V207" s="1918"/>
      <c r="W207" s="177"/>
      <c r="X207" s="1916"/>
      <c r="Y207" s="1917"/>
      <c r="Z207" s="1917"/>
      <c r="AA207" s="1918"/>
      <c r="AB207" s="177"/>
      <c r="AC207" s="1916"/>
      <c r="AD207" s="1917"/>
      <c r="AE207" s="1917"/>
      <c r="AF207" s="1918"/>
      <c r="AG207" s="177"/>
      <c r="AH207" s="1916"/>
      <c r="AI207" s="1917"/>
      <c r="AJ207" s="1917"/>
      <c r="AK207" s="1918"/>
      <c r="AL207" s="177"/>
    </row>
    <row r="208" spans="2:38" s="176" customFormat="1" x14ac:dyDescent="0.45">
      <c r="B208" s="1942"/>
      <c r="C208" s="1945"/>
      <c r="D208" s="1916"/>
      <c r="E208" s="1917"/>
      <c r="F208" s="1917"/>
      <c r="G208" s="1918"/>
      <c r="H208" s="177"/>
      <c r="I208" s="1916"/>
      <c r="J208" s="1917"/>
      <c r="K208" s="1917"/>
      <c r="L208" s="1918"/>
      <c r="M208" s="177"/>
      <c r="N208" s="1916"/>
      <c r="O208" s="1917"/>
      <c r="P208" s="1917"/>
      <c r="Q208" s="1918"/>
      <c r="R208" s="177"/>
      <c r="S208" s="1916"/>
      <c r="T208" s="1917"/>
      <c r="U208" s="1917"/>
      <c r="V208" s="1918"/>
      <c r="W208" s="177"/>
      <c r="X208" s="1916"/>
      <c r="Y208" s="1917"/>
      <c r="Z208" s="1917"/>
      <c r="AA208" s="1918"/>
      <c r="AB208" s="177"/>
      <c r="AC208" s="1916"/>
      <c r="AD208" s="1917"/>
      <c r="AE208" s="1917"/>
      <c r="AF208" s="1918"/>
      <c r="AG208" s="177"/>
      <c r="AH208" s="1916"/>
      <c r="AI208" s="1917"/>
      <c r="AJ208" s="1917"/>
      <c r="AK208" s="1918"/>
      <c r="AL208" s="177"/>
    </row>
    <row r="209" spans="2:38" s="176" customFormat="1" x14ac:dyDescent="0.45">
      <c r="B209" s="1942"/>
      <c r="C209" s="1945"/>
      <c r="D209" s="1916"/>
      <c r="E209" s="1917"/>
      <c r="F209" s="1917"/>
      <c r="G209" s="1918"/>
      <c r="H209" s="177"/>
      <c r="I209" s="1916"/>
      <c r="J209" s="1917"/>
      <c r="K209" s="1917"/>
      <c r="L209" s="1918"/>
      <c r="M209" s="177"/>
      <c r="N209" s="1916"/>
      <c r="O209" s="1917"/>
      <c r="P209" s="1917"/>
      <c r="Q209" s="1918"/>
      <c r="R209" s="177"/>
      <c r="S209" s="1916"/>
      <c r="T209" s="1917"/>
      <c r="U209" s="1917"/>
      <c r="V209" s="1918"/>
      <c r="W209" s="177"/>
      <c r="X209" s="1916"/>
      <c r="Y209" s="1917"/>
      <c r="Z209" s="1917"/>
      <c r="AA209" s="1918"/>
      <c r="AB209" s="177"/>
      <c r="AC209" s="1916"/>
      <c r="AD209" s="1917"/>
      <c r="AE209" s="1917"/>
      <c r="AF209" s="1918"/>
      <c r="AG209" s="177"/>
      <c r="AH209" s="1916"/>
      <c r="AI209" s="1917"/>
      <c r="AJ209" s="1917"/>
      <c r="AK209" s="1918"/>
      <c r="AL209" s="177"/>
    </row>
    <row r="210" spans="2:38" s="176" customFormat="1" x14ac:dyDescent="0.45">
      <c r="B210" s="1942"/>
      <c r="C210" s="1945"/>
      <c r="D210" s="1916"/>
      <c r="E210" s="1917"/>
      <c r="F210" s="1917"/>
      <c r="G210" s="1918"/>
      <c r="H210" s="177"/>
      <c r="I210" s="1916"/>
      <c r="J210" s="1917"/>
      <c r="K210" s="1917"/>
      <c r="L210" s="1918"/>
      <c r="M210" s="177"/>
      <c r="N210" s="1916"/>
      <c r="O210" s="1917"/>
      <c r="P210" s="1917"/>
      <c r="Q210" s="1918"/>
      <c r="R210" s="177"/>
      <c r="S210" s="1916"/>
      <c r="T210" s="1917"/>
      <c r="U210" s="1917"/>
      <c r="V210" s="1918"/>
      <c r="W210" s="177"/>
      <c r="X210" s="1916"/>
      <c r="Y210" s="1917"/>
      <c r="Z210" s="1917"/>
      <c r="AA210" s="1918"/>
      <c r="AB210" s="177"/>
      <c r="AC210" s="1916"/>
      <c r="AD210" s="1917"/>
      <c r="AE210" s="1917"/>
      <c r="AF210" s="1918"/>
      <c r="AG210" s="177"/>
      <c r="AH210" s="1916"/>
      <c r="AI210" s="1917"/>
      <c r="AJ210" s="1917"/>
      <c r="AK210" s="1918"/>
      <c r="AL210" s="177"/>
    </row>
    <row r="211" spans="2:38" s="176" customFormat="1" ht="15" customHeight="1" x14ac:dyDescent="0.45">
      <c r="B211" s="1942"/>
      <c r="C211" s="1945"/>
      <c r="D211" s="1916"/>
      <c r="E211" s="1917"/>
      <c r="F211" s="1917"/>
      <c r="G211" s="1918"/>
      <c r="H211" s="177"/>
      <c r="I211" s="1916"/>
      <c r="J211" s="1917"/>
      <c r="K211" s="1917"/>
      <c r="L211" s="1918"/>
      <c r="M211" s="177"/>
      <c r="N211" s="1916"/>
      <c r="O211" s="1917"/>
      <c r="P211" s="1917"/>
      <c r="Q211" s="1918"/>
      <c r="R211" s="177"/>
      <c r="S211" s="1916"/>
      <c r="T211" s="1917"/>
      <c r="U211" s="1917"/>
      <c r="V211" s="1918"/>
      <c r="W211" s="177"/>
      <c r="X211" s="1916"/>
      <c r="Y211" s="1917"/>
      <c r="Z211" s="1917"/>
      <c r="AA211" s="1918"/>
      <c r="AB211" s="177"/>
      <c r="AC211" s="1916"/>
      <c r="AD211" s="1917"/>
      <c r="AE211" s="1917"/>
      <c r="AF211" s="1918"/>
      <c r="AG211" s="177"/>
      <c r="AH211" s="1916"/>
      <c r="AI211" s="1917"/>
      <c r="AJ211" s="1917"/>
      <c r="AK211" s="1918"/>
      <c r="AL211" s="177"/>
    </row>
    <row r="212" spans="2:38" s="176" customFormat="1" ht="15" customHeight="1" x14ac:dyDescent="0.45">
      <c r="B212" s="1942"/>
      <c r="C212" s="1945"/>
      <c r="D212" s="1916"/>
      <c r="E212" s="1917"/>
      <c r="F212" s="1917"/>
      <c r="G212" s="1918"/>
      <c r="H212" s="177"/>
      <c r="I212" s="1916"/>
      <c r="J212" s="1917"/>
      <c r="K212" s="1917"/>
      <c r="L212" s="1918"/>
      <c r="M212" s="177"/>
      <c r="N212" s="1916"/>
      <c r="O212" s="1917"/>
      <c r="P212" s="1917"/>
      <c r="Q212" s="1918"/>
      <c r="R212" s="177"/>
      <c r="S212" s="1916"/>
      <c r="T212" s="1917"/>
      <c r="U212" s="1917"/>
      <c r="V212" s="1918"/>
      <c r="W212" s="177"/>
      <c r="X212" s="1916"/>
      <c r="Y212" s="1917"/>
      <c r="Z212" s="1917"/>
      <c r="AA212" s="1918"/>
      <c r="AB212" s="177"/>
      <c r="AC212" s="1916"/>
      <c r="AD212" s="1917"/>
      <c r="AE212" s="1917"/>
      <c r="AF212" s="1918"/>
      <c r="AG212" s="177"/>
      <c r="AH212" s="1916"/>
      <c r="AI212" s="1917"/>
      <c r="AJ212" s="1917"/>
      <c r="AK212" s="1918"/>
      <c r="AL212" s="177"/>
    </row>
    <row r="213" spans="2:38" s="176" customFormat="1" x14ac:dyDescent="0.45">
      <c r="B213" s="1942"/>
      <c r="C213" s="1945"/>
      <c r="D213" s="1916"/>
      <c r="E213" s="1917"/>
      <c r="F213" s="1917"/>
      <c r="G213" s="1918"/>
      <c r="H213" s="177"/>
      <c r="I213" s="1916"/>
      <c r="J213" s="1917"/>
      <c r="K213" s="1917"/>
      <c r="L213" s="1918"/>
      <c r="M213" s="177"/>
      <c r="N213" s="1916"/>
      <c r="O213" s="1917"/>
      <c r="P213" s="1917"/>
      <c r="Q213" s="1918"/>
      <c r="R213" s="177"/>
      <c r="S213" s="1916"/>
      <c r="T213" s="1917"/>
      <c r="U213" s="1917"/>
      <c r="V213" s="1918"/>
      <c r="W213" s="177"/>
      <c r="X213" s="1916"/>
      <c r="Y213" s="1917"/>
      <c r="Z213" s="1917"/>
      <c r="AA213" s="1918"/>
      <c r="AB213" s="177"/>
      <c r="AC213" s="1916"/>
      <c r="AD213" s="1917"/>
      <c r="AE213" s="1917"/>
      <c r="AF213" s="1918"/>
      <c r="AG213" s="177"/>
      <c r="AH213" s="1916"/>
      <c r="AI213" s="1917"/>
      <c r="AJ213" s="1917"/>
      <c r="AK213" s="1918"/>
      <c r="AL213" s="177"/>
    </row>
    <row r="214" spans="2:38" s="176" customFormat="1" x14ac:dyDescent="0.45">
      <c r="B214" s="1942"/>
      <c r="C214" s="1945"/>
      <c r="D214" s="1916"/>
      <c r="E214" s="1917"/>
      <c r="F214" s="1917"/>
      <c r="G214" s="1918"/>
      <c r="H214" s="177"/>
      <c r="I214" s="1916"/>
      <c r="J214" s="1917"/>
      <c r="K214" s="1917"/>
      <c r="L214" s="1918"/>
      <c r="M214" s="177"/>
      <c r="N214" s="1916"/>
      <c r="O214" s="1917"/>
      <c r="P214" s="1917"/>
      <c r="Q214" s="1918"/>
      <c r="R214" s="177"/>
      <c r="S214" s="1916"/>
      <c r="T214" s="1917"/>
      <c r="U214" s="1917"/>
      <c r="V214" s="1918"/>
      <c r="W214" s="177"/>
      <c r="X214" s="1916"/>
      <c r="Y214" s="1917"/>
      <c r="Z214" s="1917"/>
      <c r="AA214" s="1918"/>
      <c r="AB214" s="177"/>
      <c r="AC214" s="1916"/>
      <c r="AD214" s="1917"/>
      <c r="AE214" s="1917"/>
      <c r="AF214" s="1918"/>
      <c r="AG214" s="177"/>
      <c r="AH214" s="1916"/>
      <c r="AI214" s="1917"/>
      <c r="AJ214" s="1917"/>
      <c r="AK214" s="1918"/>
      <c r="AL214" s="177"/>
    </row>
    <row r="215" spans="2:38" s="176" customFormat="1" x14ac:dyDescent="0.45">
      <c r="B215" s="1942"/>
      <c r="C215" s="1945"/>
      <c r="D215" s="1916"/>
      <c r="E215" s="1917"/>
      <c r="F215" s="1917"/>
      <c r="G215" s="1918"/>
      <c r="H215" s="177"/>
      <c r="I215" s="1916"/>
      <c r="J215" s="1917"/>
      <c r="K215" s="1917"/>
      <c r="L215" s="1918"/>
      <c r="M215" s="177"/>
      <c r="N215" s="1916"/>
      <c r="O215" s="1917"/>
      <c r="P215" s="1917"/>
      <c r="Q215" s="1918"/>
      <c r="R215" s="177"/>
      <c r="S215" s="1916"/>
      <c r="T215" s="1917"/>
      <c r="U215" s="1917"/>
      <c r="V215" s="1918"/>
      <c r="W215" s="177"/>
      <c r="X215" s="1916"/>
      <c r="Y215" s="1917"/>
      <c r="Z215" s="1917"/>
      <c r="AA215" s="1918"/>
      <c r="AB215" s="177"/>
      <c r="AC215" s="1916"/>
      <c r="AD215" s="1917"/>
      <c r="AE215" s="1917"/>
      <c r="AF215" s="1918"/>
      <c r="AG215" s="177"/>
      <c r="AH215" s="1916"/>
      <c r="AI215" s="1917"/>
      <c r="AJ215" s="1917"/>
      <c r="AK215" s="1918"/>
      <c r="AL215" s="177"/>
    </row>
    <row r="216" spans="2:38" s="176" customFormat="1" x14ac:dyDescent="0.45">
      <c r="B216" s="1942"/>
      <c r="C216" s="1945"/>
      <c r="D216" s="1916"/>
      <c r="E216" s="1917"/>
      <c r="F216" s="1917"/>
      <c r="G216" s="1918"/>
      <c r="H216" s="177"/>
      <c r="I216" s="1916"/>
      <c r="J216" s="1917"/>
      <c r="K216" s="1917"/>
      <c r="L216" s="1918"/>
      <c r="M216" s="177"/>
      <c r="N216" s="1916"/>
      <c r="O216" s="1917"/>
      <c r="P216" s="1917"/>
      <c r="Q216" s="1918"/>
      <c r="R216" s="177"/>
      <c r="S216" s="1916"/>
      <c r="T216" s="1917"/>
      <c r="U216" s="1917"/>
      <c r="V216" s="1918"/>
      <c r="W216" s="177"/>
      <c r="X216" s="1916"/>
      <c r="Y216" s="1917"/>
      <c r="Z216" s="1917"/>
      <c r="AA216" s="1918"/>
      <c r="AB216" s="177"/>
      <c r="AC216" s="1916"/>
      <c r="AD216" s="1917"/>
      <c r="AE216" s="1917"/>
      <c r="AF216" s="1918"/>
      <c r="AG216" s="177"/>
      <c r="AH216" s="1916"/>
      <c r="AI216" s="1917"/>
      <c r="AJ216" s="1917"/>
      <c r="AK216" s="1918"/>
      <c r="AL216" s="177"/>
    </row>
    <row r="217" spans="2:38" s="176" customFormat="1" x14ac:dyDescent="0.45">
      <c r="B217" s="1942"/>
      <c r="C217" s="1945"/>
      <c r="D217" s="1916"/>
      <c r="E217" s="1917"/>
      <c r="F217" s="1917"/>
      <c r="G217" s="1918"/>
      <c r="H217" s="177"/>
      <c r="I217" s="1916"/>
      <c r="J217" s="1917"/>
      <c r="K217" s="1917"/>
      <c r="L217" s="1918"/>
      <c r="M217" s="177"/>
      <c r="N217" s="1916"/>
      <c r="O217" s="1917"/>
      <c r="P217" s="1917"/>
      <c r="Q217" s="1918"/>
      <c r="R217" s="177"/>
      <c r="S217" s="1916"/>
      <c r="T217" s="1917"/>
      <c r="U217" s="1917"/>
      <c r="V217" s="1918"/>
      <c r="W217" s="177"/>
      <c r="X217" s="1916"/>
      <c r="Y217" s="1917"/>
      <c r="Z217" s="1917"/>
      <c r="AA217" s="1918"/>
      <c r="AB217" s="177"/>
      <c r="AC217" s="1916"/>
      <c r="AD217" s="1917"/>
      <c r="AE217" s="1917"/>
      <c r="AF217" s="1918"/>
      <c r="AG217" s="177"/>
      <c r="AH217" s="1916"/>
      <c r="AI217" s="1917"/>
      <c r="AJ217" s="1917"/>
      <c r="AK217" s="1918"/>
      <c r="AL217" s="177"/>
    </row>
    <row r="218" spans="2:38" s="176" customFormat="1" ht="15" customHeight="1" x14ac:dyDescent="0.45">
      <c r="B218" s="1942"/>
      <c r="C218" s="1945"/>
      <c r="D218" s="1919"/>
      <c r="E218" s="1920"/>
      <c r="F218" s="1920"/>
      <c r="G218" s="1921"/>
      <c r="H218" s="177"/>
      <c r="I218" s="1919"/>
      <c r="J218" s="1920"/>
      <c r="K218" s="1920"/>
      <c r="L218" s="1921"/>
      <c r="M218" s="177"/>
      <c r="N218" s="1919"/>
      <c r="O218" s="1920"/>
      <c r="P218" s="1920"/>
      <c r="Q218" s="1921"/>
      <c r="R218" s="177"/>
      <c r="S218" s="1919"/>
      <c r="T218" s="1920"/>
      <c r="U218" s="1920"/>
      <c r="V218" s="1921"/>
      <c r="W218" s="177"/>
      <c r="X218" s="1919"/>
      <c r="Y218" s="1920"/>
      <c r="Z218" s="1920"/>
      <c r="AA218" s="1921"/>
      <c r="AB218" s="177"/>
      <c r="AC218" s="1919"/>
      <c r="AD218" s="1920"/>
      <c r="AE218" s="1920"/>
      <c r="AF218" s="1921"/>
      <c r="AG218" s="177"/>
      <c r="AH218" s="1919"/>
      <c r="AI218" s="1920"/>
      <c r="AJ218" s="1920"/>
      <c r="AK218" s="1921"/>
      <c r="AL218" s="177"/>
    </row>
    <row r="219" spans="2:38" s="176" customFormat="1" ht="15" customHeight="1" x14ac:dyDescent="0.45">
      <c r="B219" s="1942"/>
      <c r="C219" s="1945"/>
      <c r="D219" s="1913" t="str">
        <f ca="1">IF(G199&gt;0,CONCATENATE("Session Aim: 
", CONCATENATE(IF(INDEX(final_duration_secondary,((WEEKDAY(E$3,2)*2-1)+IF(E199="Morning",0,1)),D199)=0, "", "1. "),
INDEX(sessions_aim_primary,, INDEX(plan_session_allocation,((WEEKDAY(E$3,2)*2-1)+IF(E199="Morning",0,1)),D199)), IF(INDEX(final_duration_secondary,((WEEKDAY(E$3,2)*2-1)+IF(E199="Morning",0,1)),D199)=0, "", "
2. "),
IF(INDEX(final_duration_secondary,((WEEKDAY(E$3,2)*2-1)+IF(E199="Morning",0,1)),D199)=0, "", INDEX(sessions_aim_secondary,, INDEX(plan_session_allocation,((WEEKDAY(E$3,2)*2-1)+IF(E199="Morning",0,1)),D199))), IF(INDEX(final_duration_tertiary,((WEEKDAY(E$3,2)*2-1)+IF(E199="Morning",0,1)),D199)=0, "", "
3. "),
IF(INDEX(final_duration_tertiary,((WEEKDAY(E$3,2)*2-1)+IF(E199="Morning",0,1)),D199)=0, "", INDEX(sessions_aim_tertiary,, INDEX(plan_session_allocation,((WEEKDAY(E$3,2)*2-1)+IF(E199="Morning",0,1)),D199))),
IF(INDEX(display_nutrition_description,((WEEKDAY(E$3,2)*2-1)+IF(E199="Morning",0,1)),D199)="","",
CONCATENATE("
Nutrition Aim:
", INDEX(sessions_aim_nutrition,,INDEX(plan_session_allocation,((WEEKDAY(E$3,2)*2-1)+IF(E199="Morning",0,1)),D199))
))
)),"")</f>
        <v xml:space="preserve">Session Aim: 
1. Increase strength of specific muscle groups, running economy and injury resistance. 
2. Release tension that develops in soft tissue from training and non-training stresses. </v>
      </c>
      <c r="E219" s="1914"/>
      <c r="F219" s="1914"/>
      <c r="G219" s="1915"/>
      <c r="H219" s="177"/>
      <c r="I219" s="1913" t="str">
        <f ca="1">IF(L199&gt;0,CONCATENATE("Session Aim: 
", CONCATENATE(IF(INDEX(final_duration_secondary,((WEEKDAY(J$3,2)*2-1)+IF(J199="Morning",0,1)),I199)=0, "", "1. "),
INDEX(sessions_aim_primary,, INDEX(plan_session_allocation,((WEEKDAY(J$3,2)*2-1)+IF(J199="Morning",0,1)),I199)), IF(INDEX(final_duration_secondary,((WEEKDAY(J$3,2)*2-1)+IF(J199="Morning",0,1)),I199)=0, "", "
2. "),
IF(INDEX(final_duration_secondary,((WEEKDAY(J$3,2)*2-1)+IF(J199="Morning",0,1)),I199)=0, "", INDEX(sessions_aim_secondary,, INDEX(plan_session_allocation,((WEEKDAY(J$3,2)*2-1)+IF(J199="Morning",0,1)),I199))), IF(INDEX(final_duration_tertiary,((WEEKDAY(J$3,2)*2-1)+IF(J199="Morning",0,1)),I199)=0, "", "
3. "),
IF(INDEX(final_duration_tertiary,((WEEKDAY(J$3,2)*2-1)+IF(J199="Morning",0,1)),I199)=0, "", INDEX(sessions_aim_tertiary,, INDEX(plan_session_allocation,((WEEKDAY(J$3,2)*2-1)+IF(J199="Morning",0,1)),I199))),
IF(INDEX(display_nutrition_description,((WEEKDAY(J$3,2)*2-1)+IF(J199="Morning",0,1)),I199)="","",
CONCATENATE("
Nutrition Aim:
", INDEX(sessions_aim_nutrition,,INDEX(plan_session_allocation,((WEEKDAY(J$3,2)*2-1)+IF(J199="Morning",0,1)),I199))
))
)),"")</f>
        <v xml:space="preserve">Session Aim: 
Improve endurance by increasing lactate threshold and developing mental toughness. </v>
      </c>
      <c r="J219" s="1914"/>
      <c r="K219" s="1914"/>
      <c r="L219" s="1915"/>
      <c r="M219" s="177"/>
      <c r="N219" s="1913" t="str">
        <f ca="1">IF(Q199&gt;0,CONCATENATE("Session Aim: 
", CONCATENATE(IF(INDEX(final_duration_secondary,((WEEKDAY(O$3,2)*2-1)+IF(O199="Morning",0,1)),N199)=0, "", "1. "),
INDEX(sessions_aim_primary,, INDEX(plan_session_allocation,((WEEKDAY(O$3,2)*2-1)+IF(O199="Morning",0,1)),N199)), IF(INDEX(final_duration_secondary,((WEEKDAY(O$3,2)*2-1)+IF(O199="Morning",0,1)),N199)=0, "", "
2. "),
IF(INDEX(final_duration_secondary,((WEEKDAY(O$3,2)*2-1)+IF(O199="Morning",0,1)),N199)=0, "", INDEX(sessions_aim_secondary,, INDEX(plan_session_allocation,((WEEKDAY(O$3,2)*2-1)+IF(O199="Morning",0,1)),N199))), IF(INDEX(final_duration_tertiary,((WEEKDAY(O$3,2)*2-1)+IF(O199="Morning",0,1)),N199)=0, "", "
3. "),
IF(INDEX(final_duration_tertiary,((WEEKDAY(O$3,2)*2-1)+IF(O199="Morning",0,1)),N199)=0, "", INDEX(sessions_aim_tertiary,, INDEX(plan_session_allocation,((WEEKDAY(O$3,2)*2-1)+IF(O199="Morning",0,1)),N199))),
IF(INDEX(display_nutrition_description,((WEEKDAY(O$3,2)*2-1)+IF(O199="Morning",0,1)),N199)="","",
CONCATENATE("
Nutrition Aim:
", INDEX(sessions_aim_nutrition,,INDEX(plan_session_allocation,((WEEKDAY(O$3,2)*2-1)+IF(O199="Morning",0,1)),N199))
))
)),"")</f>
        <v xml:space="preserve">Session Aim: 
Improve aerobic fitness while minimising the chance of injury. </v>
      </c>
      <c r="O219" s="1914"/>
      <c r="P219" s="1914"/>
      <c r="Q219" s="1915"/>
      <c r="R219" s="177"/>
      <c r="S219" s="1913" t="str">
        <f ca="1">IF(V199&gt;0,CONCATENATE("Session Aim: 
", CONCATENATE(IF(INDEX(final_duration_secondary,((WEEKDAY(T$3,2)*2-1)+IF(T199="Morning",0,1)),S199)=0, "", "1. "),
INDEX(sessions_aim_primary,, INDEX(plan_session_allocation,((WEEKDAY(T$3,2)*2-1)+IF(T199="Morning",0,1)),S199)), IF(INDEX(final_duration_secondary,((WEEKDAY(T$3,2)*2-1)+IF(T199="Morning",0,1)),S199)=0, "", "
2. "),
IF(INDEX(final_duration_secondary,((WEEKDAY(T$3,2)*2-1)+IF(T199="Morning",0,1)),S199)=0, "", INDEX(sessions_aim_secondary,, INDEX(plan_session_allocation,((WEEKDAY(T$3,2)*2-1)+IF(T199="Morning",0,1)),S199))), IF(INDEX(final_duration_tertiary,((WEEKDAY(T$3,2)*2-1)+IF(T199="Morning",0,1)),S199)=0, "", "
3. "),
IF(INDEX(final_duration_tertiary,((WEEKDAY(T$3,2)*2-1)+IF(T199="Morning",0,1)),S199)=0, "", INDEX(sessions_aim_tertiary,, INDEX(plan_session_allocation,((WEEKDAY(T$3,2)*2-1)+IF(T199="Morning",0,1)),S199))),
IF(INDEX(display_nutrition_description,((WEEKDAY(T$3,2)*2-1)+IF(T199="Morning",0,1)),S199)="","",
CONCATENATE("
Nutrition Aim:
", INDEX(sessions_aim_nutrition,,INDEX(plan_session_allocation,((WEEKDAY(T$3,2)*2-1)+IF(T199="Morning",0,1)),S199))
))
)),"")</f>
        <v>Session Aim: 
Improve aerobic fitness at an optimal rate.</v>
      </c>
      <c r="T219" s="1914"/>
      <c r="U219" s="1914"/>
      <c r="V219" s="1915"/>
      <c r="W219" s="177"/>
      <c r="X219" s="1913" t="str">
        <f ca="1">IF(AA199&gt;0,CONCATENATE("Session Aim: 
", CONCATENATE(IF(INDEX(final_duration_secondary,((WEEKDAY(Y$3,2)*2-1)+IF(Y199="Morning",0,1)),X199)=0, "", "1. "),
INDEX(sessions_aim_primary,, INDEX(plan_session_allocation,((WEEKDAY(Y$3,2)*2-1)+IF(Y199="Morning",0,1)),X199)), IF(INDEX(final_duration_secondary,((WEEKDAY(Y$3,2)*2-1)+IF(Y199="Morning",0,1)),X199)=0, "", "
2. "),
IF(INDEX(final_duration_secondary,((WEEKDAY(Y$3,2)*2-1)+IF(Y199="Morning",0,1)),X199)=0, "", INDEX(sessions_aim_secondary,, INDEX(plan_session_allocation,((WEEKDAY(Y$3,2)*2-1)+IF(Y199="Morning",0,1)),X199))), IF(INDEX(final_duration_tertiary,((WEEKDAY(Y$3,2)*2-1)+IF(Y199="Morning",0,1)),X199)=0, "", "
3. "),
IF(INDEX(final_duration_tertiary,((WEEKDAY(Y$3,2)*2-1)+IF(Y199="Morning",0,1)),X199)=0, "", INDEX(sessions_aim_tertiary,, INDEX(plan_session_allocation,((WEEKDAY(Y$3,2)*2-1)+IF(Y199="Morning",0,1)),X199))),
IF(INDEX(display_nutrition_description,((WEEKDAY(Y$3,2)*2-1)+IF(Y199="Morning",0,1)),X199)="","",
CONCATENATE("
Nutrition Aim:
", INDEX(sessions_aim_nutrition,,INDEX(plan_session_allocation,((WEEKDAY(Y$3,2)*2-1)+IF(Y199="Morning",0,1)),X199))
))
)),"")</f>
        <v xml:space="preserve">Session Aim: 
1. Increase strength of specific muscle groups, running economy and injury resistance. 
2. Release tension that develops in soft tissue from training and non-training stresses. </v>
      </c>
      <c r="Y219" s="1914"/>
      <c r="Z219" s="1914"/>
      <c r="AA219" s="1915"/>
      <c r="AB219" s="177"/>
      <c r="AC219" s="1913" t="str">
        <f ca="1">IF(AF199&gt;0,CONCATENATE("Session Aim: 
", CONCATENATE(IF(INDEX(final_duration_secondary,((WEEKDAY(AD$3,2)*2-1)+IF(AD199="Morning",0,1)),AC199)=0, "", "1. "),
INDEX(sessions_aim_primary,, INDEX(plan_session_allocation,((WEEKDAY(AD$3,2)*2-1)+IF(AD199="Morning",0,1)),AC199)), IF(INDEX(final_duration_secondary,((WEEKDAY(AD$3,2)*2-1)+IF(AD199="Morning",0,1)),AC199)=0, "", "
2. "),
IF(INDEX(final_duration_secondary,((WEEKDAY(AD$3,2)*2-1)+IF(AD199="Morning",0,1)),AC199)=0, "", INDEX(sessions_aim_secondary,, INDEX(plan_session_allocation,((WEEKDAY(AD$3,2)*2-1)+IF(AD199="Morning",0,1)),AC199))), IF(INDEX(final_duration_tertiary,((WEEKDAY(AD$3,2)*2-1)+IF(AD199="Morning",0,1)),AC199)=0, "", "
3. "),
IF(INDEX(final_duration_tertiary,((WEEKDAY(AD$3,2)*2-1)+IF(AD199="Morning",0,1)),AC199)=0, "", INDEX(sessions_aim_tertiary,, INDEX(plan_session_allocation,((WEEKDAY(AD$3,2)*2-1)+IF(AD199="Morning",0,1)),AC199))),
IF(INDEX(display_nutrition_description,((WEEKDAY(AD$3,2)*2-1)+IF(AD199="Morning",0,1)),AC199)="","",
CONCATENATE("
Nutrition Aim:
", INDEX(sessions_aim_nutrition,,INDEX(plan_session_allocation,((WEEKDAY(AD$3,2)*2-1)+IF(AD199="Morning",0,1)),AC199))
))
)),"")</f>
        <v xml:space="preserve">Session Aim: 
Improve aerobic fitness while minimising the chance of injury. </v>
      </c>
      <c r="AD219" s="1914"/>
      <c r="AE219" s="1914"/>
      <c r="AF219" s="1915"/>
      <c r="AG219" s="177"/>
      <c r="AH219" s="1913" t="str">
        <f ca="1">IF(AK199&gt;0,CONCATENATE("Session Aim: 
", CONCATENATE(IF(INDEX(final_duration_secondary,((WEEKDAY(AI$3,2)*2-1)+IF(AI199="Morning",0,1)),AH199)=0, "", "1. "),
INDEX(sessions_aim_primary,, INDEX(plan_session_allocation,((WEEKDAY(AI$3,2)*2-1)+IF(AI199="Morning",0,1)),AH199)), IF(INDEX(final_duration_secondary,((WEEKDAY(AI$3,2)*2-1)+IF(AI199="Morning",0,1)),AH199)=0, "", "
2. "),
IF(INDEX(final_duration_secondary,((WEEKDAY(AI$3,2)*2-1)+IF(AI199="Morning",0,1)),AH199)=0, "", INDEX(sessions_aim_secondary,, INDEX(plan_session_allocation,((WEEKDAY(AI$3,2)*2-1)+IF(AI199="Morning",0,1)),AH199))), IF(INDEX(final_duration_tertiary,((WEEKDAY(AI$3,2)*2-1)+IF(AI199="Morning",0,1)),AH199)=0, "", "
3. "),
IF(INDEX(final_duration_tertiary,((WEEKDAY(AI$3,2)*2-1)+IF(AI199="Morning",0,1)),AH199)=0, "", INDEX(sessions_aim_tertiary,, INDEX(plan_session_allocation,((WEEKDAY(AI$3,2)*2-1)+IF(AI199="Morning",0,1)),AH199))),
IF(INDEX(display_nutrition_description,((WEEKDAY(AI$3,2)*2-1)+IF(AI199="Morning",0,1)),AH199)="","",
CONCATENATE("
Nutrition Aim:
", INDEX(sessions_aim_nutrition,,INDEX(plan_session_allocation,((WEEKDAY(AI$3,2)*2-1)+IF(AI199="Morning",0,1)),AH199))
))
)),"")</f>
        <v/>
      </c>
      <c r="AI219" s="1914"/>
      <c r="AJ219" s="1914"/>
      <c r="AK219" s="1915"/>
      <c r="AL219" s="177"/>
    </row>
    <row r="220" spans="2:38" s="176" customFormat="1" x14ac:dyDescent="0.45">
      <c r="B220" s="1942"/>
      <c r="C220" s="1945"/>
      <c r="D220" s="1916"/>
      <c r="E220" s="1917"/>
      <c r="F220" s="1917"/>
      <c r="G220" s="1918"/>
      <c r="H220" s="177"/>
      <c r="I220" s="1916"/>
      <c r="J220" s="1917"/>
      <c r="K220" s="1917"/>
      <c r="L220" s="1918"/>
      <c r="M220" s="177"/>
      <c r="N220" s="1916"/>
      <c r="O220" s="1917"/>
      <c r="P220" s="1917"/>
      <c r="Q220" s="1918"/>
      <c r="R220" s="177"/>
      <c r="S220" s="1916"/>
      <c r="T220" s="1917"/>
      <c r="U220" s="1917"/>
      <c r="V220" s="1918"/>
      <c r="W220" s="177"/>
      <c r="X220" s="1916"/>
      <c r="Y220" s="1917"/>
      <c r="Z220" s="1917"/>
      <c r="AA220" s="1918"/>
      <c r="AB220" s="177"/>
      <c r="AC220" s="1916"/>
      <c r="AD220" s="1917"/>
      <c r="AE220" s="1917"/>
      <c r="AF220" s="1918"/>
      <c r="AG220" s="177"/>
      <c r="AH220" s="1916"/>
      <c r="AI220" s="1917"/>
      <c r="AJ220" s="1917"/>
      <c r="AK220" s="1918"/>
      <c r="AL220" s="177"/>
    </row>
    <row r="221" spans="2:38" s="176" customFormat="1" x14ac:dyDescent="0.45">
      <c r="B221" s="1942"/>
      <c r="C221" s="1945"/>
      <c r="D221" s="1916"/>
      <c r="E221" s="1917"/>
      <c r="F221" s="1917"/>
      <c r="G221" s="1918"/>
      <c r="H221" s="177"/>
      <c r="I221" s="1916"/>
      <c r="J221" s="1917"/>
      <c r="K221" s="1917"/>
      <c r="L221" s="1918"/>
      <c r="M221" s="177"/>
      <c r="N221" s="1916"/>
      <c r="O221" s="1917"/>
      <c r="P221" s="1917"/>
      <c r="Q221" s="1918"/>
      <c r="R221" s="177"/>
      <c r="S221" s="1916"/>
      <c r="T221" s="1917"/>
      <c r="U221" s="1917"/>
      <c r="V221" s="1918"/>
      <c r="W221" s="177"/>
      <c r="X221" s="1916"/>
      <c r="Y221" s="1917"/>
      <c r="Z221" s="1917"/>
      <c r="AA221" s="1918"/>
      <c r="AB221" s="177"/>
      <c r="AC221" s="1916"/>
      <c r="AD221" s="1917"/>
      <c r="AE221" s="1917"/>
      <c r="AF221" s="1918"/>
      <c r="AG221" s="177"/>
      <c r="AH221" s="1916"/>
      <c r="AI221" s="1917"/>
      <c r="AJ221" s="1917"/>
      <c r="AK221" s="1918"/>
      <c r="AL221" s="177"/>
    </row>
    <row r="222" spans="2:38" s="176" customFormat="1" x14ac:dyDescent="0.45">
      <c r="B222" s="1942"/>
      <c r="C222" s="1945"/>
      <c r="D222" s="1916"/>
      <c r="E222" s="1917"/>
      <c r="F222" s="1917"/>
      <c r="G222" s="1918"/>
      <c r="H222" s="177"/>
      <c r="I222" s="1916"/>
      <c r="J222" s="1917"/>
      <c r="K222" s="1917"/>
      <c r="L222" s="1918"/>
      <c r="M222" s="177"/>
      <c r="N222" s="1916"/>
      <c r="O222" s="1917"/>
      <c r="P222" s="1917"/>
      <c r="Q222" s="1918"/>
      <c r="R222" s="177"/>
      <c r="S222" s="1916"/>
      <c r="T222" s="1917"/>
      <c r="U222" s="1917"/>
      <c r="V222" s="1918"/>
      <c r="W222" s="177"/>
      <c r="X222" s="1916"/>
      <c r="Y222" s="1917"/>
      <c r="Z222" s="1917"/>
      <c r="AA222" s="1918"/>
      <c r="AB222" s="177"/>
      <c r="AC222" s="1916"/>
      <c r="AD222" s="1917"/>
      <c r="AE222" s="1917"/>
      <c r="AF222" s="1918"/>
      <c r="AG222" s="177"/>
      <c r="AH222" s="1916"/>
      <c r="AI222" s="1917"/>
      <c r="AJ222" s="1917"/>
      <c r="AK222" s="1918"/>
      <c r="AL222" s="177"/>
    </row>
    <row r="223" spans="2:38" s="176" customFormat="1" x14ac:dyDescent="0.45">
      <c r="B223" s="1942"/>
      <c r="C223" s="1945"/>
      <c r="D223" s="1916"/>
      <c r="E223" s="1917"/>
      <c r="F223" s="1917"/>
      <c r="G223" s="1918"/>
      <c r="H223" s="177"/>
      <c r="I223" s="1916"/>
      <c r="J223" s="1917"/>
      <c r="K223" s="1917"/>
      <c r="L223" s="1918"/>
      <c r="M223" s="177"/>
      <c r="N223" s="1916"/>
      <c r="O223" s="1917"/>
      <c r="P223" s="1917"/>
      <c r="Q223" s="1918"/>
      <c r="R223" s="177"/>
      <c r="S223" s="1916"/>
      <c r="T223" s="1917"/>
      <c r="U223" s="1917"/>
      <c r="V223" s="1918"/>
      <c r="W223" s="177"/>
      <c r="X223" s="1916"/>
      <c r="Y223" s="1917"/>
      <c r="Z223" s="1917"/>
      <c r="AA223" s="1918"/>
      <c r="AB223" s="177"/>
      <c r="AC223" s="1916"/>
      <c r="AD223" s="1917"/>
      <c r="AE223" s="1917"/>
      <c r="AF223" s="1918"/>
      <c r="AG223" s="177"/>
      <c r="AH223" s="1916"/>
      <c r="AI223" s="1917"/>
      <c r="AJ223" s="1917"/>
      <c r="AK223" s="1918"/>
      <c r="AL223" s="177"/>
    </row>
    <row r="224" spans="2:38" s="176" customFormat="1" x14ac:dyDescent="0.45">
      <c r="B224" s="1942"/>
      <c r="C224" s="1945"/>
      <c r="D224" s="1916"/>
      <c r="E224" s="1917"/>
      <c r="F224" s="1917"/>
      <c r="G224" s="1918"/>
      <c r="H224" s="177"/>
      <c r="I224" s="1916"/>
      <c r="J224" s="1917"/>
      <c r="K224" s="1917"/>
      <c r="L224" s="1918"/>
      <c r="N224" s="1916"/>
      <c r="O224" s="1917"/>
      <c r="P224" s="1917"/>
      <c r="Q224" s="1918"/>
      <c r="S224" s="1916"/>
      <c r="T224" s="1917"/>
      <c r="U224" s="1917"/>
      <c r="V224" s="1918"/>
      <c r="X224" s="1916"/>
      <c r="Y224" s="1917"/>
      <c r="Z224" s="1917"/>
      <c r="AA224" s="1918"/>
      <c r="AC224" s="1916"/>
      <c r="AD224" s="1917"/>
      <c r="AE224" s="1917"/>
      <c r="AF224" s="1918"/>
      <c r="AH224" s="1916"/>
      <c r="AI224" s="1917"/>
      <c r="AJ224" s="1917"/>
      <c r="AK224" s="1918"/>
    </row>
    <row r="225" spans="2:38" s="176" customFormat="1" ht="14.65" thickBot="1" x14ac:dyDescent="0.5">
      <c r="B225" s="1943"/>
      <c r="C225" s="1946"/>
      <c r="D225" s="1938"/>
      <c r="E225" s="1939"/>
      <c r="F225" s="1939"/>
      <c r="G225" s="1940"/>
      <c r="H225" s="177"/>
      <c r="I225" s="1938"/>
      <c r="J225" s="1939"/>
      <c r="K225" s="1939"/>
      <c r="L225" s="1940"/>
      <c r="N225" s="1938"/>
      <c r="O225" s="1939"/>
      <c r="P225" s="1939"/>
      <c r="Q225" s="1940"/>
      <c r="S225" s="1938"/>
      <c r="T225" s="1939"/>
      <c r="U225" s="1939"/>
      <c r="V225" s="1940"/>
      <c r="X225" s="1938"/>
      <c r="Y225" s="1939"/>
      <c r="Z225" s="1939"/>
      <c r="AA225" s="1940"/>
      <c r="AC225" s="1938"/>
      <c r="AD225" s="1939"/>
      <c r="AE225" s="1939"/>
      <c r="AF225" s="1940"/>
      <c r="AH225" s="1938"/>
      <c r="AI225" s="1939"/>
      <c r="AJ225" s="1939"/>
      <c r="AK225" s="1940"/>
    </row>
    <row r="226" spans="2:38" s="176" customFormat="1" ht="14.65" thickBot="1" x14ac:dyDescent="0.5">
      <c r="H226" s="177"/>
    </row>
    <row r="227" spans="2:38" s="176" customFormat="1" ht="15" customHeight="1" thickBot="1" x14ac:dyDescent="0.5">
      <c r="B227" s="1941">
        <v>5</v>
      </c>
      <c r="C227" s="1944" t="str">
        <f ca="1">IF(INDEX(display_strategy,1,B227)="","", CONCATENATE(INDEX(display_strategy,1,B227),": ",HLOOKUP(INDEX(display_strategy,1,B227),strategies,4,TRUE)))</f>
        <v xml:space="preserve">Conservative Balance: Reduce training stress but maintain a good base level of conditioning and metabolism. </v>
      </c>
      <c r="D227" s="1418" t="str">
        <f ca="1">CONCATENATE("Strategy: ",INDEX(display_strategy,$B227))</f>
        <v>Strategy: Conservative Balance</v>
      </c>
      <c r="E227" s="1947">
        <f>plan_start_date + ($B227-1)*7 + (COLUMN(D$2)-2)/5</f>
        <v>43402.400000000001</v>
      </c>
      <c r="F227" s="1947"/>
      <c r="G227" s="1417" t="str">
        <f>CONCATENATE("Slot: ", ((WEEKDAY(E$3,2)*2-1)+IF(E228="Morning",0,1)))</f>
        <v>Slot: 1</v>
      </c>
      <c r="H227" s="177"/>
      <c r="I227" s="1418" t="str">
        <f ca="1">CONCATENATE("Strategy: ",INDEX(display_strategy,$B227))</f>
        <v>Strategy: Conservative Balance</v>
      </c>
      <c r="J227" s="1947">
        <f>plan_start_date + ($B227-1)*7 + (COLUMN(I$2)-2)/5</f>
        <v>43403.4</v>
      </c>
      <c r="K227" s="1947"/>
      <c r="L227" s="1417" t="str">
        <f>CONCATENATE("Slot: ", ((WEEKDAY(J$3,2)*2-1)+IF(J228="Morning",0,1)))</f>
        <v>Slot: 3</v>
      </c>
      <c r="N227" s="1418" t="str">
        <f ca="1">CONCATENATE("Strategy: ",INDEX(display_strategy,$B227))</f>
        <v>Strategy: Conservative Balance</v>
      </c>
      <c r="O227" s="1947">
        <f>plan_start_date + ($B227-1)*7 + (COLUMN(N$2)-2)/5</f>
        <v>43404.4</v>
      </c>
      <c r="P227" s="1947"/>
      <c r="Q227" s="1417" t="str">
        <f>CONCATENATE("Slot: ", ((WEEKDAY(O$3,2)*2-1)+IF(O228="Morning",0,1)))</f>
        <v>Slot: 5</v>
      </c>
      <c r="S227" s="1418" t="str">
        <f ca="1">CONCATENATE("Strategy: ",INDEX(display_strategy,$B227))</f>
        <v>Strategy: Conservative Balance</v>
      </c>
      <c r="T227" s="1947">
        <f>plan_start_date + ($B227-1)*7 + (COLUMN(S$2)-2)/5</f>
        <v>43405.4</v>
      </c>
      <c r="U227" s="1947"/>
      <c r="V227" s="1417" t="str">
        <f>CONCATENATE("Slot: ", ((WEEKDAY(T$3,2)*2-1)+IF(T228="Morning",0,1)))</f>
        <v>Slot: 7</v>
      </c>
      <c r="X227" s="1418" t="str">
        <f ca="1">CONCATENATE("Strategy: ",INDEX(display_strategy,$B227))</f>
        <v>Strategy: Conservative Balance</v>
      </c>
      <c r="Y227" s="1947">
        <f>plan_start_date + ($B227-1)*7 + (COLUMN(X$2)-2)/5</f>
        <v>43406.400000000001</v>
      </c>
      <c r="Z227" s="1947"/>
      <c r="AA227" s="1417" t="str">
        <f>CONCATENATE("Slot: ", ((WEEKDAY(Y$3,2)*2-1)+IF(Y228="Morning",0,1)))</f>
        <v>Slot: 9</v>
      </c>
      <c r="AC227" s="1418" t="str">
        <f ca="1">CONCATENATE("Strategy: ",INDEX(display_strategy,$B227))</f>
        <v>Strategy: Conservative Balance</v>
      </c>
      <c r="AD227" s="1947">
        <f>plan_start_date + ($B227-1)*7 + (COLUMN(AC$2)-2)/5</f>
        <v>43407.4</v>
      </c>
      <c r="AE227" s="1947"/>
      <c r="AF227" s="1417" t="str">
        <f>CONCATENATE("Slot: ", ((WEEKDAY(AD$3,2)*2-1)+IF(AD228="Morning",0,1)))</f>
        <v>Slot: 11</v>
      </c>
      <c r="AH227" s="1418" t="str">
        <f ca="1">CONCATENATE("Strategy: ",INDEX(display_strategy,$B227))</f>
        <v>Strategy: Conservative Balance</v>
      </c>
      <c r="AI227" s="1947">
        <f>plan_start_date + ($B227-1)*7 + (COLUMN(AH$2)-2)/5</f>
        <v>43408.4</v>
      </c>
      <c r="AJ227" s="1947"/>
      <c r="AK227" s="1417" t="str">
        <f>CONCATENATE("Slot: ", ((WEEKDAY(AI$3,2)*2-1)+IF(AI228="Morning",0,1)))</f>
        <v>Slot: 13</v>
      </c>
    </row>
    <row r="228" spans="2:38" s="176" customFormat="1" x14ac:dyDescent="0.45">
      <c r="B228" s="1942"/>
      <c r="C228" s="1945"/>
      <c r="D228" s="1413">
        <f>$B227</f>
        <v>5</v>
      </c>
      <c r="E228" s="1930" t="s">
        <v>351</v>
      </c>
      <c r="F228" s="1930"/>
      <c r="G228" s="1412">
        <f ca="1">INDEX(final_duration_session, ((WEEKDAY(E$3,2)*2-1)+IF(E228="Morning",0,1)), $D228)</f>
        <v>40</v>
      </c>
      <c r="H228" s="177"/>
      <c r="I228" s="1413">
        <f>$B227</f>
        <v>5</v>
      </c>
      <c r="J228" s="1930" t="s">
        <v>351</v>
      </c>
      <c r="K228" s="1930"/>
      <c r="L228" s="1412">
        <f ca="1">INDEX(final_duration_session, ((WEEKDAY(J$3,2)*2-1)+IF(J228="Morning",0,1)), $D228)</f>
        <v>40</v>
      </c>
      <c r="M228" s="177"/>
      <c r="N228" s="1413">
        <f>$B227</f>
        <v>5</v>
      </c>
      <c r="O228" s="1930" t="s">
        <v>351</v>
      </c>
      <c r="P228" s="1930"/>
      <c r="Q228" s="1412">
        <f ca="1">INDEX(final_duration_session, ((WEEKDAY(O$3,2)*2-1)+IF(O228="Morning",0,1)), $D228)</f>
        <v>0</v>
      </c>
      <c r="R228" s="177"/>
      <c r="S228" s="1413">
        <f>$B227</f>
        <v>5</v>
      </c>
      <c r="T228" s="1930" t="s">
        <v>351</v>
      </c>
      <c r="U228" s="1930"/>
      <c r="V228" s="1412">
        <f ca="1">INDEX(final_duration_session, ((WEEKDAY(T$3,2)*2-1)+IF(T228="Morning",0,1)), $D228)</f>
        <v>40</v>
      </c>
      <c r="W228" s="177"/>
      <c r="X228" s="1413">
        <f>$B227</f>
        <v>5</v>
      </c>
      <c r="Y228" s="1930" t="s">
        <v>351</v>
      </c>
      <c r="Z228" s="1930"/>
      <c r="AA228" s="1412">
        <f ca="1">INDEX(final_duration_session, ((WEEKDAY(Y$3,2)*2-1)+IF(Y228="Morning",0,1)), $D228)</f>
        <v>40</v>
      </c>
      <c r="AB228" s="177"/>
      <c r="AC228" s="1413">
        <f>$B227</f>
        <v>5</v>
      </c>
      <c r="AD228" s="1930" t="s">
        <v>351</v>
      </c>
      <c r="AE228" s="1930"/>
      <c r="AF228" s="1412">
        <f ca="1">INDEX(final_duration_session, ((WEEKDAY(AD$3,2)*2-1)+IF(AD228="Morning",0,1)), $D228)</f>
        <v>85</v>
      </c>
      <c r="AG228" s="177"/>
      <c r="AH228" s="1413">
        <f>$B227</f>
        <v>5</v>
      </c>
      <c r="AI228" s="1930" t="s">
        <v>351</v>
      </c>
      <c r="AJ228" s="1930"/>
      <c r="AK228" s="1412">
        <f ca="1">INDEX(final_duration_session, ((WEEKDAY(AI$3,2)*2-1)+IF(AI228="Morning",0,1)), $D228)</f>
        <v>160</v>
      </c>
      <c r="AL228" s="177"/>
    </row>
    <row r="229" spans="2:38" s="176" customFormat="1" ht="15" customHeight="1" x14ac:dyDescent="0.45">
      <c r="B229" s="1942"/>
      <c r="C229" s="1945"/>
      <c r="D229" s="1931" t="str">
        <f ca="1">IF(G228&gt;0,INDEX(sessions_name,INDEX(plan_session_allocation,((WEEKDAY(E$3,2)*2-1)+IF(E228="Morning",0,1)),D228)),"")</f>
        <v>Easy</v>
      </c>
      <c r="E229" s="1932"/>
      <c r="F229" s="1932"/>
      <c r="G229" s="1933"/>
      <c r="H229" s="177"/>
      <c r="I229" s="1931" t="str">
        <f ca="1">IF(L228&gt;0,INDEX(sessions_name,INDEX(plan_session_allocation,((WEEKDAY(J$3,2)*2-1)+IF(J228="Morning",0,1)),I228)),"")</f>
        <v>Easy</v>
      </c>
      <c r="J229" s="1932"/>
      <c r="K229" s="1932"/>
      <c r="L229" s="1933"/>
      <c r="M229" s="177"/>
      <c r="N229" s="1931" t="str">
        <f ca="1">IF(Q228&gt;0,INDEX(sessions_name,INDEX(plan_session_allocation,((WEEKDAY(O$3,2)*2-1)+IF(O228="Morning",0,1)),N228)),"")</f>
        <v/>
      </c>
      <c r="O229" s="1932"/>
      <c r="P229" s="1932"/>
      <c r="Q229" s="1933"/>
      <c r="R229" s="177"/>
      <c r="S229" s="1931" t="str">
        <f ca="1">IF(V228&gt;0,INDEX(sessions_name,INDEX(plan_session_allocation,((WEEKDAY(T$3,2)*2-1)+IF(T228="Morning",0,1)),S228)),"")</f>
        <v>Easy</v>
      </c>
      <c r="T229" s="1932"/>
      <c r="U229" s="1932"/>
      <c r="V229" s="1933"/>
      <c r="W229" s="177"/>
      <c r="X229" s="1931" t="str">
        <f ca="1">IF(AA228&gt;0,INDEX(sessions_name,INDEX(plan_session_allocation,((WEEKDAY(Y$3,2)*2-1)+IF(Y228="Morning",0,1)),X228)),"")</f>
        <v>Easy</v>
      </c>
      <c r="Y229" s="1932"/>
      <c r="Z229" s="1932"/>
      <c r="AA229" s="1933"/>
      <c r="AB229" s="177"/>
      <c r="AC229" s="1931" t="str">
        <f ca="1">IF(AF228&gt;0,INDEX(sessions_name,INDEX(plan_session_allocation,((WEEKDAY(AD$3,2)*2-1)+IF(AD228="Morning",0,1)),AC228)),"")</f>
        <v>Drills</v>
      </c>
      <c r="AD229" s="1932"/>
      <c r="AE229" s="1932"/>
      <c r="AF229" s="1933"/>
      <c r="AG229" s="177"/>
      <c r="AH229" s="1931" t="str">
        <f ca="1">IF(AK228&gt;0,INDEX(sessions_name,INDEX(plan_session_allocation,((WEEKDAY(AI$3,2)*2-1)+IF(AI228="Morning",0,1)),AH228)),"")</f>
        <v>Long</v>
      </c>
      <c r="AI229" s="1932"/>
      <c r="AJ229" s="1932"/>
      <c r="AK229" s="1933"/>
      <c r="AL229" s="177"/>
    </row>
    <row r="230" spans="2:38" s="176" customFormat="1" ht="15" customHeight="1" x14ac:dyDescent="0.45">
      <c r="B230" s="1942"/>
      <c r="C230" s="1945"/>
      <c r="D230" s="1934" t="str">
        <f ca="1">IF(G228&gt;0,CONCATENATE("Sport: ",INDEX(sessions_sport_primary,INDEX(plan_session_allocation,(WEEKDAY(E$3,2)*2-1)+IF(E228="Morning",0,1),D228))),"")</f>
        <v>Sport: Ride</v>
      </c>
      <c r="E230" s="1935"/>
      <c r="F230" s="1936">
        <f ca="1">IF(G228&gt;0,IFERROR(F231+F232+F233,""),"")</f>
        <v>40</v>
      </c>
      <c r="G230" s="1937"/>
      <c r="H230" s="177"/>
      <c r="I230" s="1934" t="str">
        <f ca="1">IF(L228&gt;0,CONCATENATE("Sport: ",INDEX(sessions_sport_primary,INDEX(plan_session_allocation,(WEEKDAY(J$3,2)*2-1)+IF(J228="Morning",0,1),I228))),"")</f>
        <v>Sport: Ride</v>
      </c>
      <c r="J230" s="1935"/>
      <c r="K230" s="1936">
        <f ca="1">IF(L228&gt;0,IFERROR(K231+K232+K233,""),"")</f>
        <v>40</v>
      </c>
      <c r="L230" s="1937"/>
      <c r="M230" s="177"/>
      <c r="N230" s="1934" t="str">
        <f ca="1">IF(Q228&gt;0,CONCATENATE("Sport: ",INDEX(sessions_sport_primary,INDEX(plan_session_allocation,(WEEKDAY(O$3,2)*2-1)+IF(O228="Morning",0,1),N228))),"")</f>
        <v/>
      </c>
      <c r="O230" s="1935"/>
      <c r="P230" s="1936" t="str">
        <f ca="1">IF(Q228&gt;0,IFERROR(P231+P232+P233,""),"")</f>
        <v/>
      </c>
      <c r="Q230" s="1937"/>
      <c r="R230" s="177"/>
      <c r="S230" s="1934" t="str">
        <f ca="1">IF(V228&gt;0,CONCATENATE("Sport: ",INDEX(sessions_sport_primary,INDEX(plan_session_allocation,(WEEKDAY(T$3,2)*2-1)+IF(T228="Morning",0,1),S228))),"")</f>
        <v>Sport: Ride</v>
      </c>
      <c r="T230" s="1935"/>
      <c r="U230" s="1936">
        <f ca="1">IF(V228&gt;0,IFERROR(U231+U232+U233,""),"")</f>
        <v>40</v>
      </c>
      <c r="V230" s="1937"/>
      <c r="W230" s="177"/>
      <c r="X230" s="1934" t="str">
        <f ca="1">IF(AA228&gt;0,CONCATENATE("Sport: ",INDEX(sessions_sport_primary,INDEX(plan_session_allocation,(WEEKDAY(Y$3,2)*2-1)+IF(Y228="Morning",0,1),X228))),"")</f>
        <v>Sport: Ride</v>
      </c>
      <c r="Y230" s="1935"/>
      <c r="Z230" s="1936">
        <f ca="1">IF(AA228&gt;0,IFERROR(Z231+Z232+Z233,""),"")</f>
        <v>40</v>
      </c>
      <c r="AA230" s="1937"/>
      <c r="AB230" s="177"/>
      <c r="AC230" s="1934" t="str">
        <f ca="1">IF(AF228&gt;0,CONCATENATE("Sport: ",INDEX(sessions_sport_primary,INDEX(plan_session_allocation,(WEEKDAY(AD$3,2)*2-1)+IF(AD228="Morning",0,1),AC228))),"")</f>
        <v>Sport: Run</v>
      </c>
      <c r="AD230" s="1935"/>
      <c r="AE230" s="1936">
        <f ca="1">IF(AF228&gt;0,IFERROR(AE231+AE232+AE233,""),"")</f>
        <v>85</v>
      </c>
      <c r="AF230" s="1937"/>
      <c r="AG230" s="177"/>
      <c r="AH230" s="1934" t="str">
        <f ca="1">IF(AK228&gt;0,CONCATENATE("Sport: ",INDEX(sessions_sport_primary,INDEX(plan_session_allocation,(WEEKDAY(AI$3,2)*2-1)+IF(AI228="Morning",0,1),AH228))),"")</f>
        <v>Sport: Hilly Trail Run</v>
      </c>
      <c r="AI230" s="1935"/>
      <c r="AJ230" s="1936">
        <f ca="1">IF(AK228&gt;0,IFERROR(AJ231+AJ232+AJ233,""),"")</f>
        <v>160</v>
      </c>
      <c r="AK230" s="1937"/>
      <c r="AL230" s="177"/>
    </row>
    <row r="231" spans="2:38" s="176" customFormat="1" ht="15" customHeight="1" x14ac:dyDescent="0.45">
      <c r="B231" s="1942"/>
      <c r="C231" s="1945"/>
      <c r="D231" s="1922" t="str">
        <f ca="1">IF(G228&gt;0,CONCATENATE("HR Target: ",
INDEX(sessions_HR_primary,INDEX(plan_session_allocation,((WEEKDAY(E$3,2)*2-1)+IF(E228="Morning",0,1)),D228)),
IF(INDEX(sessions_HR_primary,INDEX(plan_session_allocation,((WEEKDAY(E$3,2)*2-1)+IF(E228="Morning",0,1)),D228))="N/A","",
" BPM")),"")</f>
        <v>HR Target: 138 BPM</v>
      </c>
      <c r="E231" s="1923"/>
      <c r="F231" s="1924">
        <f ca="1">IF(G228&gt;0,
INDEX(final_duration_effort,((WEEKDAY(E$3,2)*2-1)+IF(E228="Morning",0,1)),D228),"")</f>
        <v>40</v>
      </c>
      <c r="G231" s="1925"/>
      <c r="H231" s="177"/>
      <c r="I231" s="1922" t="str">
        <f ca="1">IF(L228&gt;0,CONCATENATE("HR Target: ",
INDEX(sessions_HR_primary,INDEX(plan_session_allocation,((WEEKDAY(J$3,2)*2-1)+IF(J228="Morning",0,1)),I228)),
IF(INDEX(sessions_HR_primary,INDEX(plan_session_allocation,((WEEKDAY(J$3,2)*2-1)+IF(J228="Morning",0,1)),I228))="N/A","",
" BPM")),"")</f>
        <v>HR Target: 138 BPM</v>
      </c>
      <c r="J231" s="1923"/>
      <c r="K231" s="1924">
        <f ca="1">IF(L228&gt;0,
INDEX(final_duration_effort,((WEEKDAY(J$3,2)*2-1)+IF(J228="Morning",0,1)),I228),"")</f>
        <v>40</v>
      </c>
      <c r="L231" s="1925"/>
      <c r="M231" s="177"/>
      <c r="N231" s="1922" t="str">
        <f ca="1">IF(Q228&gt;0,CONCATENATE("HR Target: ",
INDEX(sessions_HR_primary,INDEX(plan_session_allocation,((WEEKDAY(O$3,2)*2-1)+IF(O228="Morning",0,1)),N228)),
IF(INDEX(sessions_HR_primary,INDEX(plan_session_allocation,((WEEKDAY(O$3,2)*2-1)+IF(O228="Morning",0,1)),N228))="N/A","",
" BPM")),"")</f>
        <v/>
      </c>
      <c r="O231" s="1923"/>
      <c r="P231" s="1924" t="str">
        <f ca="1">IF(Q228&gt;0,
INDEX(final_duration_effort,((WEEKDAY(O$3,2)*2-1)+IF(O228="Morning",0,1)),N228),"")</f>
        <v/>
      </c>
      <c r="Q231" s="1925"/>
      <c r="R231" s="177"/>
      <c r="S231" s="1922" t="str">
        <f ca="1">IF(V228&gt;0,CONCATENATE("HR Target: ",
INDEX(sessions_HR_primary,INDEX(plan_session_allocation,((WEEKDAY(T$3,2)*2-1)+IF(T228="Morning",0,1)),S228)),
IF(INDEX(sessions_HR_primary,INDEX(plan_session_allocation,((WEEKDAY(T$3,2)*2-1)+IF(T228="Morning",0,1)),S228))="N/A","",
" BPM")),"")</f>
        <v>HR Target: 138 BPM</v>
      </c>
      <c r="T231" s="1923"/>
      <c r="U231" s="1924">
        <f ca="1">IF(V228&gt;0,
INDEX(final_duration_effort,((WEEKDAY(T$3,2)*2-1)+IF(T228="Morning",0,1)),S228),"")</f>
        <v>40</v>
      </c>
      <c r="V231" s="1925"/>
      <c r="W231" s="177"/>
      <c r="X231" s="1922" t="str">
        <f ca="1">IF(AA228&gt;0,CONCATENATE("HR Target: ",
INDEX(sessions_HR_primary,INDEX(plan_session_allocation,((WEEKDAY(Y$3,2)*2-1)+IF(Y228="Morning",0,1)),X228)),
IF(INDEX(sessions_HR_primary,INDEX(plan_session_allocation,((WEEKDAY(Y$3,2)*2-1)+IF(Y228="Morning",0,1)),X228))="N/A","",
" BPM")),"")</f>
        <v>HR Target: 138 BPM</v>
      </c>
      <c r="Y231" s="1923"/>
      <c r="Z231" s="1924">
        <f ca="1">IF(AA228&gt;0,
INDEX(final_duration_effort,((WEEKDAY(Y$3,2)*2-1)+IF(Y228="Morning",0,1)),X228),"")</f>
        <v>40</v>
      </c>
      <c r="AA231" s="1925"/>
      <c r="AB231" s="177"/>
      <c r="AC231" s="1922" t="str">
        <f ca="1">IF(AF228&gt;0,CONCATENATE("HR Target: ",
INDEX(sessions_HR_primary,INDEX(plan_session_allocation,((WEEKDAY(AD$3,2)*2-1)+IF(AD228="Morning",0,1)),AC228)),
IF(INDEX(sessions_HR_primary,INDEX(plan_session_allocation,((WEEKDAY(AD$3,2)*2-1)+IF(AD228="Morning",0,1)),AC228))="N/A","",
" BPM")),"")</f>
        <v>HR Target: 148 BPM</v>
      </c>
      <c r="AD231" s="1923"/>
      <c r="AE231" s="1924">
        <f ca="1">IF(AF228&gt;0,
INDEX(final_duration_effort,((WEEKDAY(AD$3,2)*2-1)+IF(AD228="Morning",0,1)),AC228),"")</f>
        <v>70</v>
      </c>
      <c r="AF231" s="1925"/>
      <c r="AG231" s="177"/>
      <c r="AH231" s="1922" t="str">
        <f ca="1">IF(AK228&gt;0,CONCATENATE("HR Target: ",
INDEX(sessions_HR_primary,INDEX(plan_session_allocation,((WEEKDAY(AI$3,2)*2-1)+IF(AI228="Morning",0,1)),AH228)),
IF(INDEX(sessions_HR_primary,INDEX(plan_session_allocation,((WEEKDAY(AI$3,2)*2-1)+IF(AI228="Morning",0,1)),AH228))="N/A","",
" BPM")),"")</f>
        <v>HR Target: 148 BPM</v>
      </c>
      <c r="AI231" s="1923"/>
      <c r="AJ231" s="1924">
        <f ca="1">IF(AK228&gt;0,
INDEX(final_duration_effort,((WEEKDAY(AI$3,2)*2-1)+IF(AI228="Morning",0,1)),AH228),"")</f>
        <v>160</v>
      </c>
      <c r="AK231" s="1925"/>
      <c r="AL231" s="177"/>
    </row>
    <row r="232" spans="2:38" s="179" customFormat="1" x14ac:dyDescent="0.45">
      <c r="B232" s="1942"/>
      <c r="C232" s="1945"/>
      <c r="D232" s="1926" t="str">
        <f ca="1">IF(G228&gt;0,CONCATENATE("HR Range: ",
INDEX(sessions_HR_range_primary,INDEX(plan_session_allocation,((WEEKDAY(E$3,2)*2-1)+IF(E228="Morning",0,1)),D228)),
IF(INDEX(sessions_HR_range_primary,INDEX(plan_session_allocation,((WEEKDAY(E$3,2)*2-1)+IF(E228="Morning",0,1)),D228))="N/A","",
" BPM")),"")</f>
        <v>HR Range: 129 - 148 BPM</v>
      </c>
      <c r="E232" s="1927"/>
      <c r="F232" s="1928">
        <f ca="1">IF(G228&gt;0,IF(
INDEX(sessions_recoveries,INDEX(plan_session_allocation,((WEEKDAY(E$3,2)*2-1)+IF(E228="Morning",0,1)),D228))="Yes",
VLOOKUP(INDEX(plan_duration_primary,((WEEKDAY(E$3,2)*2-1)+IF(E228="Morning",0,1)),D228),
INDIRECT(INDEX(sessions_intervals_code_primary,INDEX(plan_session_allocation,((WEEKDAY(E$3,2)*2-1)+IF(E228="Morning",0,1)),D228))),7,TRUE),0),"")</f>
        <v>0</v>
      </c>
      <c r="G232" s="1929"/>
      <c r="H232" s="178"/>
      <c r="I232" s="1926" t="str">
        <f ca="1">IF(L228&gt;0,CONCATENATE("HR Range: ",
INDEX(sessions_HR_range_primary,INDEX(plan_session_allocation,((WEEKDAY(J$3,2)*2-1)+IF(J228="Morning",0,1)),I228)),
IF(INDEX(sessions_HR_range_primary,INDEX(plan_session_allocation,((WEEKDAY(J$3,2)*2-1)+IF(J228="Morning",0,1)),I228))="N/A","",
" BPM")),"")</f>
        <v>HR Range: 129 - 148 BPM</v>
      </c>
      <c r="J232" s="1927"/>
      <c r="K232" s="1928">
        <f ca="1">IF(L228&gt;0,IF(
INDEX(sessions_recoveries,INDEX(plan_session_allocation,((WEEKDAY(J$3,2)*2-1)+IF(J228="Morning",0,1)),I228))="Yes",
VLOOKUP(INDEX(plan_duration_primary,((WEEKDAY(J$3,2)*2-1)+IF(J228="Morning",0,1)),I228),
INDIRECT(INDEX(sessions_intervals_code_primary,INDEX(plan_session_allocation,((WEEKDAY(J$3,2)*2-1)+IF(J228="Morning",0,1)),I228))),7,TRUE),0),"")</f>
        <v>0</v>
      </c>
      <c r="L232" s="1929"/>
      <c r="M232" s="178"/>
      <c r="N232" s="1926" t="str">
        <f ca="1">IF(Q228&gt;0,CONCATENATE("HR Range: ",
INDEX(sessions_HR_range_primary,INDEX(plan_session_allocation,((WEEKDAY(O$3,2)*2-1)+IF(O228="Morning",0,1)),N228)),
IF(INDEX(sessions_HR_range_primary,INDEX(plan_session_allocation,((WEEKDAY(O$3,2)*2-1)+IF(O228="Morning",0,1)),N228))="N/A","",
" BPM")),"")</f>
        <v/>
      </c>
      <c r="O232" s="1927"/>
      <c r="P232" s="1928" t="str">
        <f ca="1">IF(Q228&gt;0,IF(
INDEX(sessions_recoveries,INDEX(plan_session_allocation,((WEEKDAY(O$3,2)*2-1)+IF(O228="Morning",0,1)),N228))="Yes",
VLOOKUP(INDEX(plan_duration_primary,((WEEKDAY(O$3,2)*2-1)+IF(O228="Morning",0,1)),N228),
INDIRECT(INDEX(sessions_intervals_code_primary,INDEX(plan_session_allocation,((WEEKDAY(O$3,2)*2-1)+IF(O228="Morning",0,1)),N228))),7,TRUE),0),"")</f>
        <v/>
      </c>
      <c r="Q232" s="1929"/>
      <c r="R232" s="178"/>
      <c r="S232" s="1926" t="str">
        <f ca="1">IF(V228&gt;0,CONCATENATE("HR Range: ",
INDEX(sessions_HR_range_primary,INDEX(plan_session_allocation,((WEEKDAY(T$3,2)*2-1)+IF(T228="Morning",0,1)),S228)),
IF(INDEX(sessions_HR_range_primary,INDEX(plan_session_allocation,((WEEKDAY(T$3,2)*2-1)+IF(T228="Morning",0,1)),S228))="N/A","",
" BPM")),"")</f>
        <v>HR Range: 129 - 148 BPM</v>
      </c>
      <c r="T232" s="1927"/>
      <c r="U232" s="1928">
        <f ca="1">IF(V228&gt;0,IF(
INDEX(sessions_recoveries,INDEX(plan_session_allocation,((WEEKDAY(T$3,2)*2-1)+IF(T228="Morning",0,1)),S228))="Yes",
VLOOKUP(INDEX(plan_duration_primary,((WEEKDAY(T$3,2)*2-1)+IF(T228="Morning",0,1)),S228),
INDIRECT(INDEX(sessions_intervals_code_primary,INDEX(plan_session_allocation,((WEEKDAY(T$3,2)*2-1)+IF(T228="Morning",0,1)),S228))),7,TRUE),0),"")</f>
        <v>0</v>
      </c>
      <c r="V232" s="1929"/>
      <c r="W232" s="178"/>
      <c r="X232" s="1926" t="str">
        <f ca="1">IF(AA228&gt;0,CONCATENATE("HR Range: ",
INDEX(sessions_HR_range_primary,INDEX(plan_session_allocation,((WEEKDAY(Y$3,2)*2-1)+IF(Y228="Morning",0,1)),X228)),
IF(INDEX(sessions_HR_range_primary,INDEX(plan_session_allocation,((WEEKDAY(Y$3,2)*2-1)+IF(Y228="Morning",0,1)),X228))="N/A","",
" BPM")),"")</f>
        <v>HR Range: 129 - 148 BPM</v>
      </c>
      <c r="Y232" s="1927"/>
      <c r="Z232" s="1928">
        <f ca="1">IF(AA228&gt;0,IF(
INDEX(sessions_recoveries,INDEX(plan_session_allocation,((WEEKDAY(Y$3,2)*2-1)+IF(Y228="Morning",0,1)),X228))="Yes",
VLOOKUP(INDEX(plan_duration_primary,((WEEKDAY(Y$3,2)*2-1)+IF(Y228="Morning",0,1)),X228),
INDIRECT(INDEX(sessions_intervals_code_primary,INDEX(plan_session_allocation,((WEEKDAY(Y$3,2)*2-1)+IF(Y228="Morning",0,1)),X228))),7,TRUE),0),"")</f>
        <v>0</v>
      </c>
      <c r="AA232" s="1929"/>
      <c r="AB232" s="178"/>
      <c r="AC232" s="1926" t="str">
        <f ca="1">IF(AF228&gt;0,CONCATENATE("HR Range: ",
INDEX(sessions_HR_range_primary,INDEX(plan_session_allocation,((WEEKDAY(AD$3,2)*2-1)+IF(AD228="Morning",0,1)),AC228)),
IF(INDEX(sessions_HR_range_primary,INDEX(plan_session_allocation,((WEEKDAY(AD$3,2)*2-1)+IF(AD228="Morning",0,1)),AC228))="N/A","",
" BPM")),"")</f>
        <v>HR Range: 129 - 169 BPM</v>
      </c>
      <c r="AD232" s="1927"/>
      <c r="AE232" s="1928">
        <f ca="1">IF(AF228&gt;0,IF(
INDEX(sessions_recoveries,INDEX(plan_session_allocation,((WEEKDAY(AD$3,2)*2-1)+IF(AD228="Morning",0,1)),AC228))="Yes",
VLOOKUP(INDEX(plan_duration_primary,((WEEKDAY(AD$3,2)*2-1)+IF(AD228="Morning",0,1)),AC228),
INDIRECT(INDEX(sessions_intervals_code_primary,INDEX(plan_session_allocation,((WEEKDAY(AD$3,2)*2-1)+IF(AD228="Morning",0,1)),AC228))),7,TRUE),0),"")</f>
        <v>0</v>
      </c>
      <c r="AF232" s="1929"/>
      <c r="AG232" s="178"/>
      <c r="AH232" s="1926" t="str">
        <f ca="1">IF(AK228&gt;0,CONCATENATE("HR Range: ",
INDEX(sessions_HR_range_primary,INDEX(plan_session_allocation,((WEEKDAY(AI$3,2)*2-1)+IF(AI228="Morning",0,1)),AH228)),
IF(INDEX(sessions_HR_range_primary,INDEX(plan_session_allocation,((WEEKDAY(AI$3,2)*2-1)+IF(AI228="Morning",0,1)),AH228))="N/A","",
" BPM")),"")</f>
        <v>HR Range: 129 - 169 BPM</v>
      </c>
      <c r="AI232" s="1927"/>
      <c r="AJ232" s="1928">
        <f ca="1">IF(AK228&gt;0,IF(
INDEX(sessions_recoveries,INDEX(plan_session_allocation,((WEEKDAY(AI$3,2)*2-1)+IF(AI228="Morning",0,1)),AH228))="Yes",
VLOOKUP(INDEX(plan_duration_primary,((WEEKDAY(AI$3,2)*2-1)+IF(AI228="Morning",0,1)),AH228),
INDIRECT(INDEX(sessions_intervals_code_primary,INDEX(plan_session_allocation,((WEEKDAY(AI$3,2)*2-1)+IF(AI228="Morning",0,1)),AH228))),7,TRUE),0),"")</f>
        <v>0</v>
      </c>
      <c r="AK232" s="1929"/>
      <c r="AL232" s="178"/>
    </row>
    <row r="233" spans="2:38" s="179" customFormat="1" ht="15" customHeight="1" x14ac:dyDescent="0.45">
      <c r="B233" s="1942"/>
      <c r="C233" s="1945"/>
      <c r="D233" s="1909" t="str">
        <f ca="1">IF(G228&gt;0,CONCATENATE("Equivalent Pace: ",
TEXT(INDEX(sessions_pace_primary,INDEX(plan_session_allocation,(WEEKDAY(E$3,2)*2-1)+IF(E228="Morning",0,1),D228)),"m:ss"),
" min/km"
),"")</f>
        <v>Equivalent Pace: 4:39 min/km</v>
      </c>
      <c r="E233" s="1910"/>
      <c r="F233" s="1911">
        <f ca="1">IF(G228&gt;0, INDEX(final_duration_WU,((WEEKDAY(E$3,2)*2-1)+IF(E228="Morning",0,1)),D228)  + INDEX(final_duration_WD,((WEEKDAY(E$3,2)*2-1)+IF(E228="Morning",0,1)),D228), "")</f>
        <v>0</v>
      </c>
      <c r="G233" s="1912"/>
      <c r="H233" s="178"/>
      <c r="I233" s="1909" t="str">
        <f ca="1">IF(L228&gt;0,CONCATENATE("Equivalent Pace: ",
TEXT(INDEX(sessions_pace_primary,INDEX(plan_session_allocation,(WEEKDAY(J$3,2)*2-1)+IF(J228="Morning",0,1),I228)),"m:ss"),
" min/km"
),"")</f>
        <v>Equivalent Pace: 4:39 min/km</v>
      </c>
      <c r="J233" s="1910"/>
      <c r="K233" s="1911">
        <f ca="1">IF(L228&gt;0, INDEX(final_duration_WU,((WEEKDAY(J$3,2)*2-1)+IF(J228="Morning",0,1)),I228)  + INDEX(final_duration_WD,((WEEKDAY(J$3,2)*2-1)+IF(J228="Morning",0,1)),I228), "")</f>
        <v>0</v>
      </c>
      <c r="L233" s="1912"/>
      <c r="M233" s="178"/>
      <c r="N233" s="1909" t="str">
        <f ca="1">IF(Q228&gt;0,CONCATENATE("Equivalent Pace: ",
TEXT(INDEX(sessions_pace_primary,INDEX(plan_session_allocation,(WEEKDAY(O$3,2)*2-1)+IF(O228="Morning",0,1),N228)),"m:ss"),
" min/km"
),"")</f>
        <v/>
      </c>
      <c r="O233" s="1910"/>
      <c r="P233" s="1911" t="str">
        <f ca="1">IF(Q228&gt;0, INDEX(final_duration_WU,((WEEKDAY(O$3,2)*2-1)+IF(O228="Morning",0,1)),N228)  + INDEX(final_duration_WD,((WEEKDAY(O$3,2)*2-1)+IF(O228="Morning",0,1)),N228), "")</f>
        <v/>
      </c>
      <c r="Q233" s="1912"/>
      <c r="R233" s="178"/>
      <c r="S233" s="1909" t="str">
        <f ca="1">IF(V228&gt;0,CONCATENATE("Equivalent Pace: ",
TEXT(INDEX(sessions_pace_primary,INDEX(plan_session_allocation,(WEEKDAY(T$3,2)*2-1)+IF(T228="Morning",0,1),S228)),"m:ss"),
" min/km"
),"")</f>
        <v>Equivalent Pace: 4:39 min/km</v>
      </c>
      <c r="T233" s="1910"/>
      <c r="U233" s="1911">
        <f ca="1">IF(V228&gt;0, INDEX(final_duration_WU,((WEEKDAY(T$3,2)*2-1)+IF(T228="Morning",0,1)),S228)  + INDEX(final_duration_WD,((WEEKDAY(T$3,2)*2-1)+IF(T228="Morning",0,1)),S228), "")</f>
        <v>0</v>
      </c>
      <c r="V233" s="1912"/>
      <c r="W233" s="178"/>
      <c r="X233" s="1909" t="str">
        <f ca="1">IF(AA228&gt;0,CONCATENATE("Equivalent Pace: ",
TEXT(INDEX(sessions_pace_primary,INDEX(plan_session_allocation,(WEEKDAY(Y$3,2)*2-1)+IF(Y228="Morning",0,1),X228)),"m:ss"),
" min/km"
),"")</f>
        <v>Equivalent Pace: 4:39 min/km</v>
      </c>
      <c r="Y233" s="1910"/>
      <c r="Z233" s="1911">
        <f ca="1">IF(AA228&gt;0, INDEX(final_duration_WU,((WEEKDAY(Y$3,2)*2-1)+IF(Y228="Morning",0,1)),X228)  + INDEX(final_duration_WD,((WEEKDAY(Y$3,2)*2-1)+IF(Y228="Morning",0,1)),X228), "")</f>
        <v>0</v>
      </c>
      <c r="AA233" s="1912"/>
      <c r="AB233" s="178"/>
      <c r="AC233" s="1909" t="str">
        <f ca="1">IF(AF228&gt;0,CONCATENATE("Equivalent Pace: ",
TEXT(INDEX(sessions_pace_primary,INDEX(plan_session_allocation,(WEEKDAY(AD$3,2)*2-1)+IF(AD228="Morning",0,1),AC228)),"m:ss"),
" min/km"
),"")</f>
        <v>Equivalent Pace: 4:14 min/km</v>
      </c>
      <c r="AD233" s="1910"/>
      <c r="AE233" s="1911">
        <f ca="1">IF(AF228&gt;0, INDEX(final_duration_WU,((WEEKDAY(AD$3,2)*2-1)+IF(AD228="Morning",0,1)),AC228)  + INDEX(final_duration_WD,((WEEKDAY(AD$3,2)*2-1)+IF(AD228="Morning",0,1)),AC228), "")</f>
        <v>15</v>
      </c>
      <c r="AF233" s="1912"/>
      <c r="AG233" s="178"/>
      <c r="AH233" s="1909" t="str">
        <f ca="1">IF(AK228&gt;0,CONCATENATE("Equivalent Pace: ",
TEXT(INDEX(sessions_pace_primary,INDEX(plan_session_allocation,(WEEKDAY(AI$3,2)*2-1)+IF(AI228="Morning",0,1),AH228)),"m:ss"),
" min/km"
),"")</f>
        <v>Equivalent Pace: 4:14 min/km</v>
      </c>
      <c r="AI233" s="1910"/>
      <c r="AJ233" s="1911">
        <f ca="1">IF(AK228&gt;0, INDEX(final_duration_WU,((WEEKDAY(AI$3,2)*2-1)+IF(AI228="Morning",0,1)),AH228)  + INDEX(final_duration_WD,((WEEKDAY(AI$3,2)*2-1)+IF(AI228="Morning",0,1)),AH228), "")</f>
        <v>0</v>
      </c>
      <c r="AK233" s="1912"/>
      <c r="AL233" s="178"/>
    </row>
    <row r="234" spans="2:38" s="180" customFormat="1" ht="15" customHeight="1" x14ac:dyDescent="0.45">
      <c r="B234" s="1942"/>
      <c r="C234" s="1945"/>
      <c r="D234" s="1913" t="str">
        <f ca="1">IF(G228&gt;0,CONCATENATE(IFERROR(CONCATENATE(IF(INDEX(display_intervals_breakdown,((WEEKDAY(E$3,2)*2-1)+IF(E228="Morning",0,1)),D228)="","",CONCATENATE("Intervals/Reps Breakdown: 
",INDEX(display_intervals_breakdown,((WEEKDAY(E$3,2)*2-1)+IF(E228="Morning",0,1)),D228),"
")),"Session Description: 
",CONCATENATE(IF(INDEX(final_duration_secondary,((WEEKDAY(E$3,2)*2-1)+IF(E228="Morning",0,1)),D228)=0,"","1. "),
INDEX(sessions_description_primary,,INDEX(plan_session_allocation,((WEEKDAY(E$3,2)*2-1)+IF(E228="Morning",0,1)),D228)),IF(INDEX(final_duration_secondary,((WEEKDAY(E$3,2)*2-1)+IF(E228="Morning",0,1)),D228)=0,"","
2. "),
IF(INDEX(final_duration_secondary,((WEEKDAY(E$3,2)*2-1)+IF(E228="Morning",0,1)),D228)=0,"",INDEX(sessions_description_secondary,,INDEX(plan_session_allocation,((WEEKDAY(E$3,2)*2-1)+IF(E228="Morning",0,1)),D228))),IF(INDEX(final_duration_tertiary,((WEEKDAY(E$3,2)*2-1)+IF(E228="Morning",0,1)),D228)=0,"","
3. "),
IF(INDEX(final_duration_tertiary,((WEEKDAY(E$3,2)*2-1)+IF(E228="Morning",0,1)),D228)="","",INDEX(sessions_description_tertiary,,INDEX(plan_session_allocation,((WEEKDAY(E$3,2)*2-1)+IF(E228="Morning",0,1)),D228))),
IF(INDEX(display_nutrition_description,((WEEKDAY(E$3,2)*2-1)+IF(E228="Morning",0,1)),D228)="","",
CONCATENATE("
Meal Plan: ", INDEX(sessions_nutrition,,INDEX(plan_session_allocation,((WEEKDAY(E$3,2)*2-1)+IF(E228="Morning",0,1)),D228)), "
", INDEX(display_nutrition_description,((WEEKDAY(E$3,2)*2-1)+IF(E228="Morning",0,1)),D228)))
)),"")),"")</f>
        <v>Session Description: 
Stay at a comfortable and controlled intensity where you should be able to have a conversation without large pauses. Keep an even intensity and accept that your pace may change as the terrain changes.</v>
      </c>
      <c r="E234" s="1914"/>
      <c r="F234" s="1914"/>
      <c r="G234" s="1915"/>
      <c r="I234" s="1913" t="str">
        <f ca="1">IF(L228&gt;0,CONCATENATE(IFERROR(CONCATENATE(IF(INDEX(display_intervals_breakdown,((WEEKDAY(J$3,2)*2-1)+IF(J228="Morning",0,1)),I228)="","",CONCATENATE("Intervals/Reps Breakdown: 
",INDEX(display_intervals_breakdown,((WEEKDAY(J$3,2)*2-1)+IF(J228="Morning",0,1)),I228),"
")),"Session Description: 
",CONCATENATE(IF(INDEX(final_duration_secondary,((WEEKDAY(J$3,2)*2-1)+IF(J228="Morning",0,1)),I228)=0,"","1. "),
INDEX(sessions_description_primary,,INDEX(plan_session_allocation,((WEEKDAY(J$3,2)*2-1)+IF(J228="Morning",0,1)),I228)),IF(INDEX(final_duration_secondary,((WEEKDAY(J$3,2)*2-1)+IF(J228="Morning",0,1)),I228)=0,"","
2. "),
IF(INDEX(final_duration_secondary,((WEEKDAY(J$3,2)*2-1)+IF(J228="Morning",0,1)),I228)=0,"",INDEX(sessions_description_secondary,,INDEX(plan_session_allocation,((WEEKDAY(J$3,2)*2-1)+IF(J228="Morning",0,1)),I228))),IF(INDEX(final_duration_tertiary,((WEEKDAY(J$3,2)*2-1)+IF(J228="Morning",0,1)),I228)=0,"","
3. "),
IF(INDEX(final_duration_tertiary,((WEEKDAY(J$3,2)*2-1)+IF(J228="Morning",0,1)),I228)="","",INDEX(sessions_description_tertiary,,INDEX(plan_session_allocation,((WEEKDAY(J$3,2)*2-1)+IF(J228="Morning",0,1)),I228))),
IF(INDEX(display_nutrition_description,((WEEKDAY(J$3,2)*2-1)+IF(J228="Morning",0,1)),I228)="","",
CONCATENATE("
Meal Plan: ", INDEX(sessions_nutrition,,INDEX(plan_session_allocation,((WEEKDAY(J$3,2)*2-1)+IF(J228="Morning",0,1)),I228)), "
", INDEX(display_nutrition_description,((WEEKDAY(J$3,2)*2-1)+IF(J228="Morning",0,1)),I228)))
)),"")),"")</f>
        <v>Session Description: 
Stay at a comfortable and controlled intensity where you should be able to have a conversation without large pauses. Keep an even intensity and accept that your pace may change as the terrain changes.</v>
      </c>
      <c r="J234" s="1914"/>
      <c r="K234" s="1914"/>
      <c r="L234" s="1915"/>
      <c r="N234" s="1913" t="str">
        <f ca="1">IF(Q228&gt;0,CONCATENATE(IFERROR(CONCATENATE(IF(INDEX(display_intervals_breakdown,((WEEKDAY(O$3,2)*2-1)+IF(O228="Morning",0,1)),N228)="","",CONCATENATE("Intervals/Reps Breakdown: 
",INDEX(display_intervals_breakdown,((WEEKDAY(O$3,2)*2-1)+IF(O228="Morning",0,1)),N228),"
")),"Session Description: 
",CONCATENATE(IF(INDEX(final_duration_secondary,((WEEKDAY(O$3,2)*2-1)+IF(O228="Morning",0,1)),N228)=0,"","1. "),
INDEX(sessions_description_primary,,INDEX(plan_session_allocation,((WEEKDAY(O$3,2)*2-1)+IF(O228="Morning",0,1)),N228)),IF(INDEX(final_duration_secondary,((WEEKDAY(O$3,2)*2-1)+IF(O228="Morning",0,1)),N228)=0,"","
2. "),
IF(INDEX(final_duration_secondary,((WEEKDAY(O$3,2)*2-1)+IF(O228="Morning",0,1)),N228)=0,"",INDEX(sessions_description_secondary,,INDEX(plan_session_allocation,((WEEKDAY(O$3,2)*2-1)+IF(O228="Morning",0,1)),N228))),IF(INDEX(final_duration_tertiary,((WEEKDAY(O$3,2)*2-1)+IF(O228="Morning",0,1)),N228)=0,"","
3. "),
IF(INDEX(final_duration_tertiary,((WEEKDAY(O$3,2)*2-1)+IF(O228="Morning",0,1)),N228)="","",INDEX(sessions_description_tertiary,,INDEX(plan_session_allocation,((WEEKDAY(O$3,2)*2-1)+IF(O228="Morning",0,1)),N228))),
IF(INDEX(display_nutrition_description,((WEEKDAY(O$3,2)*2-1)+IF(O228="Morning",0,1)),N228)="","",
CONCATENATE("
Meal Plan: ", INDEX(sessions_nutrition,,INDEX(plan_session_allocation,((WEEKDAY(O$3,2)*2-1)+IF(O228="Morning",0,1)),N228)), "
", INDEX(display_nutrition_description,((WEEKDAY(O$3,2)*2-1)+IF(O228="Morning",0,1)),N228)))
)),"")),"")</f>
        <v/>
      </c>
      <c r="O234" s="1914"/>
      <c r="P234" s="1914"/>
      <c r="Q234" s="1915"/>
      <c r="S234" s="1913" t="str">
        <f ca="1">IF(V228&gt;0,CONCATENATE(IFERROR(CONCATENATE(IF(INDEX(display_intervals_breakdown,((WEEKDAY(T$3,2)*2-1)+IF(T228="Morning",0,1)),S228)="","",CONCATENATE("Intervals/Reps Breakdown: 
",INDEX(display_intervals_breakdown,((WEEKDAY(T$3,2)*2-1)+IF(T228="Morning",0,1)),S228),"
")),"Session Description: 
",CONCATENATE(IF(INDEX(final_duration_secondary,((WEEKDAY(T$3,2)*2-1)+IF(T228="Morning",0,1)),S228)=0,"","1. "),
INDEX(sessions_description_primary,,INDEX(plan_session_allocation,((WEEKDAY(T$3,2)*2-1)+IF(T228="Morning",0,1)),S228)),IF(INDEX(final_duration_secondary,((WEEKDAY(T$3,2)*2-1)+IF(T228="Morning",0,1)),S228)=0,"","
2. "),
IF(INDEX(final_duration_secondary,((WEEKDAY(T$3,2)*2-1)+IF(T228="Morning",0,1)),S228)=0,"",INDEX(sessions_description_secondary,,INDEX(plan_session_allocation,((WEEKDAY(T$3,2)*2-1)+IF(T228="Morning",0,1)),S228))),IF(INDEX(final_duration_tertiary,((WEEKDAY(T$3,2)*2-1)+IF(T228="Morning",0,1)),S228)=0,"","
3. "),
IF(INDEX(final_duration_tertiary,((WEEKDAY(T$3,2)*2-1)+IF(T228="Morning",0,1)),S228)="","",INDEX(sessions_description_tertiary,,INDEX(plan_session_allocation,((WEEKDAY(T$3,2)*2-1)+IF(T228="Morning",0,1)),S228))),
IF(INDEX(display_nutrition_description,((WEEKDAY(T$3,2)*2-1)+IF(T228="Morning",0,1)),S228)="","",
CONCATENATE("
Meal Plan: ", INDEX(sessions_nutrition,,INDEX(plan_session_allocation,((WEEKDAY(T$3,2)*2-1)+IF(T228="Morning",0,1)),S228)), "
", INDEX(display_nutrition_description,((WEEKDAY(T$3,2)*2-1)+IF(T228="Morning",0,1)),S228)))
)),"")),"")</f>
        <v>Session Description: 
Stay at a comfortable and controlled intensity where you should be able to have a conversation without large pauses. Keep an even intensity and accept that your pace may change as the terrain changes.</v>
      </c>
      <c r="T234" s="1914"/>
      <c r="U234" s="1914"/>
      <c r="V234" s="1915"/>
      <c r="X234" s="1913" t="str">
        <f ca="1">IF(AA228&gt;0,CONCATENATE(IFERROR(CONCATENATE(IF(INDEX(display_intervals_breakdown,((WEEKDAY(Y$3,2)*2-1)+IF(Y228="Morning",0,1)),X228)="","",CONCATENATE("Intervals/Reps Breakdown: 
",INDEX(display_intervals_breakdown,((WEEKDAY(Y$3,2)*2-1)+IF(Y228="Morning",0,1)),X228),"
")),"Session Description: 
",CONCATENATE(IF(INDEX(final_duration_secondary,((WEEKDAY(Y$3,2)*2-1)+IF(Y228="Morning",0,1)),X228)=0,"","1. "),
INDEX(sessions_description_primary,,INDEX(plan_session_allocation,((WEEKDAY(Y$3,2)*2-1)+IF(Y228="Morning",0,1)),X228)),IF(INDEX(final_duration_secondary,((WEEKDAY(Y$3,2)*2-1)+IF(Y228="Morning",0,1)),X228)=0,"","
2. "),
IF(INDEX(final_duration_secondary,((WEEKDAY(Y$3,2)*2-1)+IF(Y228="Morning",0,1)),X228)=0,"",INDEX(sessions_description_secondary,,INDEX(plan_session_allocation,((WEEKDAY(Y$3,2)*2-1)+IF(Y228="Morning",0,1)),X228))),IF(INDEX(final_duration_tertiary,((WEEKDAY(Y$3,2)*2-1)+IF(Y228="Morning",0,1)),X228)=0,"","
3. "),
IF(INDEX(final_duration_tertiary,((WEEKDAY(Y$3,2)*2-1)+IF(Y228="Morning",0,1)),X228)="","",INDEX(sessions_description_tertiary,,INDEX(plan_session_allocation,((WEEKDAY(Y$3,2)*2-1)+IF(Y228="Morning",0,1)),X228))),
IF(INDEX(display_nutrition_description,((WEEKDAY(Y$3,2)*2-1)+IF(Y228="Morning",0,1)),X228)="","",
CONCATENATE("
Meal Plan: ", INDEX(sessions_nutrition,,INDEX(plan_session_allocation,((WEEKDAY(Y$3,2)*2-1)+IF(Y228="Morning",0,1)),X228)), "
", INDEX(display_nutrition_description,((WEEKDAY(Y$3,2)*2-1)+IF(Y228="Morning",0,1)),X228)))
)),"")),"")</f>
        <v>Session Description: 
Stay at a comfortable and controlled intensity where you should be able to have a conversation without large pauses. Keep an even intensity and accept that your pace may change as the terrain changes.</v>
      </c>
      <c r="Y234" s="1914"/>
      <c r="Z234" s="1914"/>
      <c r="AA234" s="1915"/>
      <c r="AC234" s="1913" t="str">
        <f ca="1">IF(AF228&gt;0,CONCATENATE(IFERROR(CONCATENATE(IF(INDEX(display_intervals_breakdown,((WEEKDAY(AD$3,2)*2-1)+IF(AD228="Morning",0,1)),AC228)="","",CONCATENATE("Intervals/Reps Breakdown: 
",INDEX(display_intervals_breakdown,((WEEKDAY(AD$3,2)*2-1)+IF(AD228="Morning",0,1)),AC228),"
")),"Session Description: 
",CONCATENATE(IF(INDEX(final_duration_secondary,((WEEKDAY(AD$3,2)*2-1)+IF(AD228="Morning",0,1)),AC228)=0,"","1. "),
INDEX(sessions_description_primary,,INDEX(plan_session_allocation,((WEEKDAY(AD$3,2)*2-1)+IF(AD228="Morning",0,1)),AC228)),IF(INDEX(final_duration_secondary,((WEEKDAY(AD$3,2)*2-1)+IF(AD228="Morning",0,1)),AC228)=0,"","
2. "),
IF(INDEX(final_duration_secondary,((WEEKDAY(AD$3,2)*2-1)+IF(AD228="Morning",0,1)),AC228)=0,"",INDEX(sessions_description_secondary,,INDEX(plan_session_allocation,((WEEKDAY(AD$3,2)*2-1)+IF(AD228="Morning",0,1)),AC228))),IF(INDEX(final_duration_tertiary,((WEEKDAY(AD$3,2)*2-1)+IF(AD228="Morning",0,1)),AC228)=0,"","
3. "),
IF(INDEX(final_duration_tertiary,((WEEKDAY(AD$3,2)*2-1)+IF(AD228="Morning",0,1)),AC228)="","",INDEX(sessions_description_tertiary,,INDEX(plan_session_allocation,((WEEKDAY(AD$3,2)*2-1)+IF(AD228="Morning",0,1)),AC228))),
IF(INDEX(display_nutrition_description,((WEEKDAY(AD$3,2)*2-1)+IF(AD228="Morning",0,1)),AC228)="","",
CONCATENATE("
Meal Plan: ", INDEX(sessions_nutrition,,INDEX(plan_session_allocation,((WEEKDAY(AD$3,2)*2-1)+IF(AD228="Morning",0,1)),AC228)), "
", INDEX(display_nutrition_description,((WEEKDAY(AD$3,2)*2-1)+IF(AD228="Morning",0,1)),AC228)))
)),"")),"")</f>
        <v>Session Description: 
1. Perform a variety of specialised exercises to engage specific muscles and apply them in functional movements. These sessions must be learned with a coach first. Warm up and warm down for 10 minutes each.
2. Stay at a comfortable and controlled intensity where you should be able to have a conversation without large pauses. Keep an even intensity and accept that your pace may change as the terrain changes.</v>
      </c>
      <c r="AD234" s="1914"/>
      <c r="AE234" s="1914"/>
      <c r="AF234" s="1915"/>
      <c r="AH234" s="1913" t="str">
        <f ca="1">IF(AK228&gt;0,CONCATENATE(IFERROR(CONCATENATE(IF(INDEX(display_intervals_breakdown,((WEEKDAY(AI$3,2)*2-1)+IF(AI228="Morning",0,1)),AH228)="","",CONCATENATE("Intervals/Reps Breakdown: 
",INDEX(display_intervals_breakdown,((WEEKDAY(AI$3,2)*2-1)+IF(AI228="Morning",0,1)),AH228),"
")),"Session Description: 
",CONCATENATE(IF(INDEX(final_duration_secondary,((WEEKDAY(AI$3,2)*2-1)+IF(AI228="Morning",0,1)),AH228)=0,"","1. "),
INDEX(sessions_description_primary,,INDEX(plan_session_allocation,((WEEKDAY(AI$3,2)*2-1)+IF(AI228="Morning",0,1)),AH228)),IF(INDEX(final_duration_secondary,((WEEKDAY(AI$3,2)*2-1)+IF(AI228="Morning",0,1)),AH228)=0,"","
2. "),
IF(INDEX(final_duration_secondary,((WEEKDAY(AI$3,2)*2-1)+IF(AI228="Morning",0,1)),AH228)=0,"",INDEX(sessions_description_secondary,,INDEX(plan_session_allocation,((WEEKDAY(AI$3,2)*2-1)+IF(AI228="Morning",0,1)),AH228))),IF(INDEX(final_duration_tertiary,((WEEKDAY(AI$3,2)*2-1)+IF(AI228="Morning",0,1)),AH228)=0,"","
3. "),
IF(INDEX(final_duration_tertiary,((WEEKDAY(AI$3,2)*2-1)+IF(AI228="Morning",0,1)),AH228)="","",INDEX(sessions_description_tertiary,,INDEX(plan_session_allocation,((WEEKDAY(AI$3,2)*2-1)+IF(AI228="Morning",0,1)),AH228))),
IF(INDEX(display_nutrition_description,((WEEKDAY(AI$3,2)*2-1)+IF(AI228="Morning",0,1)),AH228)="","",
CONCATENATE("
Meal Plan: ", INDEX(sessions_nutrition,,INDEX(plan_session_allocation,((WEEKDAY(AI$3,2)*2-1)+IF(AI228="Morning",0,1)),AH228)), "
", INDEX(display_nutrition_description,((WEEKDAY(AI$3,2)*2-1)+IF(AI228="Morning",0,1)),AH228)))
)),"")),"")</f>
        <v xml:space="preserve">Session Description: 
Fundamentally a steady, but you can be less strict at controlling your intensity as long as your average intensity is close to it's target by the end of the session </v>
      </c>
      <c r="AI234" s="1914"/>
      <c r="AJ234" s="1914"/>
      <c r="AK234" s="1915"/>
    </row>
    <row r="235" spans="2:38" s="180" customFormat="1" x14ac:dyDescent="0.45">
      <c r="B235" s="1942"/>
      <c r="C235" s="1945"/>
      <c r="D235" s="1916"/>
      <c r="E235" s="1917"/>
      <c r="F235" s="1917"/>
      <c r="G235" s="1918"/>
      <c r="I235" s="1916"/>
      <c r="J235" s="1917"/>
      <c r="K235" s="1917"/>
      <c r="L235" s="1918"/>
      <c r="N235" s="1916"/>
      <c r="O235" s="1917"/>
      <c r="P235" s="1917"/>
      <c r="Q235" s="1918"/>
      <c r="S235" s="1916"/>
      <c r="T235" s="1917"/>
      <c r="U235" s="1917"/>
      <c r="V235" s="1918"/>
      <c r="X235" s="1916"/>
      <c r="Y235" s="1917"/>
      <c r="Z235" s="1917"/>
      <c r="AA235" s="1918"/>
      <c r="AC235" s="1916"/>
      <c r="AD235" s="1917"/>
      <c r="AE235" s="1917"/>
      <c r="AF235" s="1918"/>
      <c r="AH235" s="1916"/>
      <c r="AI235" s="1917"/>
      <c r="AJ235" s="1917"/>
      <c r="AK235" s="1918"/>
    </row>
    <row r="236" spans="2:38" s="180" customFormat="1" x14ac:dyDescent="0.45">
      <c r="B236" s="1942"/>
      <c r="C236" s="1945"/>
      <c r="D236" s="1916"/>
      <c r="E236" s="1917"/>
      <c r="F236" s="1917"/>
      <c r="G236" s="1918"/>
      <c r="I236" s="1916"/>
      <c r="J236" s="1917"/>
      <c r="K236" s="1917"/>
      <c r="L236" s="1918"/>
      <c r="N236" s="1916"/>
      <c r="O236" s="1917"/>
      <c r="P236" s="1917"/>
      <c r="Q236" s="1918"/>
      <c r="S236" s="1916"/>
      <c r="T236" s="1917"/>
      <c r="U236" s="1917"/>
      <c r="V236" s="1918"/>
      <c r="X236" s="1916"/>
      <c r="Y236" s="1917"/>
      <c r="Z236" s="1917"/>
      <c r="AA236" s="1918"/>
      <c r="AC236" s="1916"/>
      <c r="AD236" s="1917"/>
      <c r="AE236" s="1917"/>
      <c r="AF236" s="1918"/>
      <c r="AH236" s="1916"/>
      <c r="AI236" s="1917"/>
      <c r="AJ236" s="1917"/>
      <c r="AK236" s="1918"/>
    </row>
    <row r="237" spans="2:38" s="180" customFormat="1" x14ac:dyDescent="0.45">
      <c r="B237" s="1942"/>
      <c r="C237" s="1945"/>
      <c r="D237" s="1916"/>
      <c r="E237" s="1917"/>
      <c r="F237" s="1917"/>
      <c r="G237" s="1918"/>
      <c r="I237" s="1916"/>
      <c r="J237" s="1917"/>
      <c r="K237" s="1917"/>
      <c r="L237" s="1918"/>
      <c r="N237" s="1916"/>
      <c r="O237" s="1917"/>
      <c r="P237" s="1917"/>
      <c r="Q237" s="1918"/>
      <c r="S237" s="1916"/>
      <c r="T237" s="1917"/>
      <c r="U237" s="1917"/>
      <c r="V237" s="1918"/>
      <c r="X237" s="1916"/>
      <c r="Y237" s="1917"/>
      <c r="Z237" s="1917"/>
      <c r="AA237" s="1918"/>
      <c r="AC237" s="1916"/>
      <c r="AD237" s="1917"/>
      <c r="AE237" s="1917"/>
      <c r="AF237" s="1918"/>
      <c r="AH237" s="1916"/>
      <c r="AI237" s="1917"/>
      <c r="AJ237" s="1917"/>
      <c r="AK237" s="1918"/>
    </row>
    <row r="238" spans="2:38" s="180" customFormat="1" x14ac:dyDescent="0.45">
      <c r="B238" s="1942"/>
      <c r="C238" s="1945"/>
      <c r="D238" s="1916"/>
      <c r="E238" s="1917"/>
      <c r="F238" s="1917"/>
      <c r="G238" s="1918"/>
      <c r="I238" s="1916"/>
      <c r="J238" s="1917"/>
      <c r="K238" s="1917"/>
      <c r="L238" s="1918"/>
      <c r="N238" s="1916"/>
      <c r="O238" s="1917"/>
      <c r="P238" s="1917"/>
      <c r="Q238" s="1918"/>
      <c r="S238" s="1916"/>
      <c r="T238" s="1917"/>
      <c r="U238" s="1917"/>
      <c r="V238" s="1918"/>
      <c r="X238" s="1916"/>
      <c r="Y238" s="1917"/>
      <c r="Z238" s="1917"/>
      <c r="AA238" s="1918"/>
      <c r="AC238" s="1916"/>
      <c r="AD238" s="1917"/>
      <c r="AE238" s="1917"/>
      <c r="AF238" s="1918"/>
      <c r="AH238" s="1916"/>
      <c r="AI238" s="1917"/>
      <c r="AJ238" s="1917"/>
      <c r="AK238" s="1918"/>
    </row>
    <row r="239" spans="2:38" s="180" customFormat="1" x14ac:dyDescent="0.45">
      <c r="B239" s="1942"/>
      <c r="C239" s="1945"/>
      <c r="D239" s="1916"/>
      <c r="E239" s="1917"/>
      <c r="F239" s="1917"/>
      <c r="G239" s="1918"/>
      <c r="I239" s="1916"/>
      <c r="J239" s="1917"/>
      <c r="K239" s="1917"/>
      <c r="L239" s="1918"/>
      <c r="N239" s="1916"/>
      <c r="O239" s="1917"/>
      <c r="P239" s="1917"/>
      <c r="Q239" s="1918"/>
      <c r="S239" s="1916"/>
      <c r="T239" s="1917"/>
      <c r="U239" s="1917"/>
      <c r="V239" s="1918"/>
      <c r="X239" s="1916"/>
      <c r="Y239" s="1917"/>
      <c r="Z239" s="1917"/>
      <c r="AA239" s="1918"/>
      <c r="AC239" s="1916"/>
      <c r="AD239" s="1917"/>
      <c r="AE239" s="1917"/>
      <c r="AF239" s="1918"/>
      <c r="AH239" s="1916"/>
      <c r="AI239" s="1917"/>
      <c r="AJ239" s="1917"/>
      <c r="AK239" s="1918"/>
    </row>
    <row r="240" spans="2:38" s="180" customFormat="1" x14ac:dyDescent="0.45">
      <c r="B240" s="1942"/>
      <c r="C240" s="1945"/>
      <c r="D240" s="1916"/>
      <c r="E240" s="1917"/>
      <c r="F240" s="1917"/>
      <c r="G240" s="1918"/>
      <c r="I240" s="1916"/>
      <c r="J240" s="1917"/>
      <c r="K240" s="1917"/>
      <c r="L240" s="1918"/>
      <c r="N240" s="1916"/>
      <c r="O240" s="1917"/>
      <c r="P240" s="1917"/>
      <c r="Q240" s="1918"/>
      <c r="S240" s="1916"/>
      <c r="T240" s="1917"/>
      <c r="U240" s="1917"/>
      <c r="V240" s="1918"/>
      <c r="X240" s="1916"/>
      <c r="Y240" s="1917"/>
      <c r="Z240" s="1917"/>
      <c r="AA240" s="1918"/>
      <c r="AC240" s="1916"/>
      <c r="AD240" s="1917"/>
      <c r="AE240" s="1917"/>
      <c r="AF240" s="1918"/>
      <c r="AH240" s="1916"/>
      <c r="AI240" s="1917"/>
      <c r="AJ240" s="1917"/>
      <c r="AK240" s="1918"/>
    </row>
    <row r="241" spans="2:38" s="180" customFormat="1" ht="15.75" customHeight="1" x14ac:dyDescent="0.45">
      <c r="B241" s="1942"/>
      <c r="C241" s="1945"/>
      <c r="D241" s="1916"/>
      <c r="E241" s="1917"/>
      <c r="F241" s="1917"/>
      <c r="G241" s="1918"/>
      <c r="I241" s="1916"/>
      <c r="J241" s="1917"/>
      <c r="K241" s="1917"/>
      <c r="L241" s="1918"/>
      <c r="N241" s="1916"/>
      <c r="O241" s="1917"/>
      <c r="P241" s="1917"/>
      <c r="Q241" s="1918"/>
      <c r="S241" s="1916"/>
      <c r="T241" s="1917"/>
      <c r="U241" s="1917"/>
      <c r="V241" s="1918"/>
      <c r="X241" s="1916"/>
      <c r="Y241" s="1917"/>
      <c r="Z241" s="1917"/>
      <c r="AA241" s="1918"/>
      <c r="AC241" s="1916"/>
      <c r="AD241" s="1917"/>
      <c r="AE241" s="1917"/>
      <c r="AF241" s="1918"/>
      <c r="AH241" s="1916"/>
      <c r="AI241" s="1917"/>
      <c r="AJ241" s="1917"/>
      <c r="AK241" s="1918"/>
    </row>
    <row r="242" spans="2:38" s="180" customFormat="1" x14ac:dyDescent="0.45">
      <c r="B242" s="1942"/>
      <c r="C242" s="1945"/>
      <c r="D242" s="1916"/>
      <c r="E242" s="1917"/>
      <c r="F242" s="1917"/>
      <c r="G242" s="1918"/>
      <c r="I242" s="1916"/>
      <c r="J242" s="1917"/>
      <c r="K242" s="1917"/>
      <c r="L242" s="1918"/>
      <c r="N242" s="1916"/>
      <c r="O242" s="1917"/>
      <c r="P242" s="1917"/>
      <c r="Q242" s="1918"/>
      <c r="S242" s="1916"/>
      <c r="T242" s="1917"/>
      <c r="U242" s="1917"/>
      <c r="V242" s="1918"/>
      <c r="X242" s="1916"/>
      <c r="Y242" s="1917"/>
      <c r="Z242" s="1917"/>
      <c r="AA242" s="1918"/>
      <c r="AC242" s="1916"/>
      <c r="AD242" s="1917"/>
      <c r="AE242" s="1917"/>
      <c r="AF242" s="1918"/>
      <c r="AH242" s="1916"/>
      <c r="AI242" s="1917"/>
      <c r="AJ242" s="1917"/>
      <c r="AK242" s="1918"/>
    </row>
    <row r="243" spans="2:38" s="180" customFormat="1" x14ac:dyDescent="0.45">
      <c r="B243" s="1942"/>
      <c r="C243" s="1945"/>
      <c r="D243" s="1916"/>
      <c r="E243" s="1917"/>
      <c r="F243" s="1917"/>
      <c r="G243" s="1918"/>
      <c r="I243" s="1916"/>
      <c r="J243" s="1917"/>
      <c r="K243" s="1917"/>
      <c r="L243" s="1918"/>
      <c r="N243" s="1916"/>
      <c r="O243" s="1917"/>
      <c r="P243" s="1917"/>
      <c r="Q243" s="1918"/>
      <c r="S243" s="1916"/>
      <c r="T243" s="1917"/>
      <c r="U243" s="1917"/>
      <c r="V243" s="1918"/>
      <c r="X243" s="1916"/>
      <c r="Y243" s="1917"/>
      <c r="Z243" s="1917"/>
      <c r="AA243" s="1918"/>
      <c r="AC243" s="1916"/>
      <c r="AD243" s="1917"/>
      <c r="AE243" s="1917"/>
      <c r="AF243" s="1918"/>
      <c r="AH243" s="1916"/>
      <c r="AI243" s="1917"/>
      <c r="AJ243" s="1917"/>
      <c r="AK243" s="1918"/>
    </row>
    <row r="244" spans="2:38" s="180" customFormat="1" x14ac:dyDescent="0.45">
      <c r="B244" s="1942"/>
      <c r="C244" s="1945"/>
      <c r="D244" s="1916"/>
      <c r="E244" s="1917"/>
      <c r="F244" s="1917"/>
      <c r="G244" s="1918"/>
      <c r="I244" s="1916"/>
      <c r="J244" s="1917"/>
      <c r="K244" s="1917"/>
      <c r="L244" s="1918"/>
      <c r="N244" s="1916"/>
      <c r="O244" s="1917"/>
      <c r="P244" s="1917"/>
      <c r="Q244" s="1918"/>
      <c r="S244" s="1916"/>
      <c r="T244" s="1917"/>
      <c r="U244" s="1917"/>
      <c r="V244" s="1918"/>
      <c r="X244" s="1916"/>
      <c r="Y244" s="1917"/>
      <c r="Z244" s="1917"/>
      <c r="AA244" s="1918"/>
      <c r="AC244" s="1916"/>
      <c r="AD244" s="1917"/>
      <c r="AE244" s="1917"/>
      <c r="AF244" s="1918"/>
      <c r="AH244" s="1916"/>
      <c r="AI244" s="1917"/>
      <c r="AJ244" s="1917"/>
      <c r="AK244" s="1918"/>
    </row>
    <row r="245" spans="2:38" s="180" customFormat="1" x14ac:dyDescent="0.45">
      <c r="B245" s="1942"/>
      <c r="C245" s="1945"/>
      <c r="D245" s="1916"/>
      <c r="E245" s="1917"/>
      <c r="F245" s="1917"/>
      <c r="G245" s="1918"/>
      <c r="I245" s="1916"/>
      <c r="J245" s="1917"/>
      <c r="K245" s="1917"/>
      <c r="L245" s="1918"/>
      <c r="N245" s="1916"/>
      <c r="O245" s="1917"/>
      <c r="P245" s="1917"/>
      <c r="Q245" s="1918"/>
      <c r="S245" s="1916"/>
      <c r="T245" s="1917"/>
      <c r="U245" s="1917"/>
      <c r="V245" s="1918"/>
      <c r="X245" s="1916"/>
      <c r="Y245" s="1917"/>
      <c r="Z245" s="1917"/>
      <c r="AA245" s="1918"/>
      <c r="AC245" s="1916"/>
      <c r="AD245" s="1917"/>
      <c r="AE245" s="1917"/>
      <c r="AF245" s="1918"/>
      <c r="AH245" s="1916"/>
      <c r="AI245" s="1917"/>
      <c r="AJ245" s="1917"/>
      <c r="AK245" s="1918"/>
    </row>
    <row r="246" spans="2:38" s="180" customFormat="1" x14ac:dyDescent="0.45">
      <c r="B246" s="1942"/>
      <c r="C246" s="1945"/>
      <c r="D246" s="1916"/>
      <c r="E246" s="1917"/>
      <c r="F246" s="1917"/>
      <c r="G246" s="1918"/>
      <c r="I246" s="1916"/>
      <c r="J246" s="1917"/>
      <c r="K246" s="1917"/>
      <c r="L246" s="1918"/>
      <c r="N246" s="1916"/>
      <c r="O246" s="1917"/>
      <c r="P246" s="1917"/>
      <c r="Q246" s="1918"/>
      <c r="S246" s="1916"/>
      <c r="T246" s="1917"/>
      <c r="U246" s="1917"/>
      <c r="V246" s="1918"/>
      <c r="X246" s="1916"/>
      <c r="Y246" s="1917"/>
      <c r="Z246" s="1917"/>
      <c r="AA246" s="1918"/>
      <c r="AC246" s="1916"/>
      <c r="AD246" s="1917"/>
      <c r="AE246" s="1917"/>
      <c r="AF246" s="1918"/>
      <c r="AH246" s="1916"/>
      <c r="AI246" s="1917"/>
      <c r="AJ246" s="1917"/>
      <c r="AK246" s="1918"/>
    </row>
    <row r="247" spans="2:38" s="180" customFormat="1" x14ac:dyDescent="0.45">
      <c r="B247" s="1942"/>
      <c r="C247" s="1945"/>
      <c r="D247" s="1919"/>
      <c r="E247" s="1920"/>
      <c r="F247" s="1920"/>
      <c r="G247" s="1921"/>
      <c r="I247" s="1919"/>
      <c r="J247" s="1920"/>
      <c r="K247" s="1920"/>
      <c r="L247" s="1921"/>
      <c r="N247" s="1919"/>
      <c r="O247" s="1920"/>
      <c r="P247" s="1920"/>
      <c r="Q247" s="1921"/>
      <c r="S247" s="1919"/>
      <c r="T247" s="1920"/>
      <c r="U247" s="1920"/>
      <c r="V247" s="1921"/>
      <c r="X247" s="1919"/>
      <c r="Y247" s="1920"/>
      <c r="Z247" s="1920"/>
      <c r="AA247" s="1921"/>
      <c r="AC247" s="1919"/>
      <c r="AD247" s="1920"/>
      <c r="AE247" s="1920"/>
      <c r="AF247" s="1921"/>
      <c r="AH247" s="1919"/>
      <c r="AI247" s="1920"/>
      <c r="AJ247" s="1920"/>
      <c r="AK247" s="1921"/>
    </row>
    <row r="248" spans="2:38" s="180" customFormat="1" ht="15" customHeight="1" x14ac:dyDescent="0.45">
      <c r="B248" s="1942"/>
      <c r="C248" s="1945"/>
      <c r="D248" s="1913" t="str">
        <f ca="1">IF(G228&gt;0,CONCATENATE("Session Aim: 
", CONCATENATE(IF(INDEX(final_duration_secondary,((WEEKDAY(E$3,2)*2-1)+IF(E228="Morning",0,1)),D228)=0, "", "1. "),
INDEX(sessions_aim_primary,, INDEX(plan_session_allocation,((WEEKDAY(E$3,2)*2-1)+IF(E228="Morning",0,1)),D228)), IF(INDEX(final_duration_secondary,((WEEKDAY(E$3,2)*2-1)+IF(E228="Morning",0,1)),D228)=0, "", "
2. "),
IF(INDEX(final_duration_secondary,((WEEKDAY(E$3,2)*2-1)+IF(E228="Morning",0,1)),D228)=0, "", INDEX(sessions_aim_secondary,, INDEX(plan_session_allocation,((WEEKDAY(E$3,2)*2-1)+IF(E228="Morning",0,1)),D228))), IF(INDEX(final_duration_tertiary,((WEEKDAY(E$3,2)*2-1)+IF(E228="Morning",0,1)),D228)=0, "", "
3. "),
IF(INDEX(final_duration_tertiary,((WEEKDAY(E$3,2)*2-1)+IF(E228="Morning",0,1)),D228)=0, "", INDEX(sessions_aim_tertiary,, INDEX(plan_session_allocation,((WEEKDAY(E$3,2)*2-1)+IF(E228="Morning",0,1)),D228))),
IF(INDEX(display_nutrition_description,((WEEKDAY(E$3,2)*2-1)+IF(E228="Morning",0,1)),D228)="","",
CONCATENATE("
Nutrition Aim:
", INDEX(sessions_aim_nutrition,,INDEX(plan_session_allocation,((WEEKDAY(E$3,2)*2-1)+IF(E228="Morning",0,1)),D228))
))
)),"")</f>
        <v xml:space="preserve">Session Aim: 
Improve aerobic fitness while minimising the chance of injury. </v>
      </c>
      <c r="E248" s="1914"/>
      <c r="F248" s="1914"/>
      <c r="G248" s="1915"/>
      <c r="I248" s="1913" t="str">
        <f ca="1">IF(L228&gt;0,CONCATENATE("Session Aim: 
", CONCATENATE(IF(INDEX(final_duration_secondary,((WEEKDAY(J$3,2)*2-1)+IF(J228="Morning",0,1)),I228)=0, "", "1. "),
INDEX(sessions_aim_primary,, INDEX(plan_session_allocation,((WEEKDAY(J$3,2)*2-1)+IF(J228="Morning",0,1)),I228)), IF(INDEX(final_duration_secondary,((WEEKDAY(J$3,2)*2-1)+IF(J228="Morning",0,1)),I228)=0, "", "
2. "),
IF(INDEX(final_duration_secondary,((WEEKDAY(J$3,2)*2-1)+IF(J228="Morning",0,1)),I228)=0, "", INDEX(sessions_aim_secondary,, INDEX(plan_session_allocation,((WEEKDAY(J$3,2)*2-1)+IF(J228="Morning",0,1)),I228))), IF(INDEX(final_duration_tertiary,((WEEKDAY(J$3,2)*2-1)+IF(J228="Morning",0,1)),I228)=0, "", "
3. "),
IF(INDEX(final_duration_tertiary,((WEEKDAY(J$3,2)*2-1)+IF(J228="Morning",0,1)),I228)=0, "", INDEX(sessions_aim_tertiary,, INDEX(plan_session_allocation,((WEEKDAY(J$3,2)*2-1)+IF(J228="Morning",0,1)),I228))),
IF(INDEX(display_nutrition_description,((WEEKDAY(J$3,2)*2-1)+IF(J228="Morning",0,1)),I228)="","",
CONCATENATE("
Nutrition Aim:
", INDEX(sessions_aim_nutrition,,INDEX(plan_session_allocation,((WEEKDAY(J$3,2)*2-1)+IF(J228="Morning",0,1)),I228))
))
)),"")</f>
        <v xml:space="preserve">Session Aim: 
Improve aerobic fitness while minimising the chance of injury. </v>
      </c>
      <c r="J248" s="1914"/>
      <c r="K248" s="1914"/>
      <c r="L248" s="1915"/>
      <c r="N248" s="1913" t="str">
        <f ca="1">IF(Q228&gt;0,CONCATENATE("Session Aim: 
", CONCATENATE(IF(INDEX(final_duration_secondary,((WEEKDAY(O$3,2)*2-1)+IF(O228="Morning",0,1)),N228)=0, "", "1. "),
INDEX(sessions_aim_primary,, INDEX(plan_session_allocation,((WEEKDAY(O$3,2)*2-1)+IF(O228="Morning",0,1)),N228)), IF(INDEX(final_duration_secondary,((WEEKDAY(O$3,2)*2-1)+IF(O228="Morning",0,1)),N228)=0, "", "
2. "),
IF(INDEX(final_duration_secondary,((WEEKDAY(O$3,2)*2-1)+IF(O228="Morning",0,1)),N228)=0, "", INDEX(sessions_aim_secondary,, INDEX(plan_session_allocation,((WEEKDAY(O$3,2)*2-1)+IF(O228="Morning",0,1)),N228))), IF(INDEX(final_duration_tertiary,((WEEKDAY(O$3,2)*2-1)+IF(O228="Morning",0,1)),N228)=0, "", "
3. "),
IF(INDEX(final_duration_tertiary,((WEEKDAY(O$3,2)*2-1)+IF(O228="Morning",0,1)),N228)=0, "", INDEX(sessions_aim_tertiary,, INDEX(plan_session_allocation,((WEEKDAY(O$3,2)*2-1)+IF(O228="Morning",0,1)),N228))),
IF(INDEX(display_nutrition_description,((WEEKDAY(O$3,2)*2-1)+IF(O228="Morning",0,1)),N228)="","",
CONCATENATE("
Nutrition Aim:
", INDEX(sessions_aim_nutrition,,INDEX(plan_session_allocation,((WEEKDAY(O$3,2)*2-1)+IF(O228="Morning",0,1)),N228))
))
)),"")</f>
        <v/>
      </c>
      <c r="O248" s="1914"/>
      <c r="P248" s="1914"/>
      <c r="Q248" s="1915"/>
      <c r="S248" s="1913" t="str">
        <f ca="1">IF(V228&gt;0,CONCATENATE("Session Aim: 
", CONCATENATE(IF(INDEX(final_duration_secondary,((WEEKDAY(T$3,2)*2-1)+IF(T228="Morning",0,1)),S228)=0, "", "1. "),
INDEX(sessions_aim_primary,, INDEX(plan_session_allocation,((WEEKDAY(T$3,2)*2-1)+IF(T228="Morning",0,1)),S228)), IF(INDEX(final_duration_secondary,((WEEKDAY(T$3,2)*2-1)+IF(T228="Morning",0,1)),S228)=0, "", "
2. "),
IF(INDEX(final_duration_secondary,((WEEKDAY(T$3,2)*2-1)+IF(T228="Morning",0,1)),S228)=0, "", INDEX(sessions_aim_secondary,, INDEX(plan_session_allocation,((WEEKDAY(T$3,2)*2-1)+IF(T228="Morning",0,1)),S228))), IF(INDEX(final_duration_tertiary,((WEEKDAY(T$3,2)*2-1)+IF(T228="Morning",0,1)),S228)=0, "", "
3. "),
IF(INDEX(final_duration_tertiary,((WEEKDAY(T$3,2)*2-1)+IF(T228="Morning",0,1)),S228)=0, "", INDEX(sessions_aim_tertiary,, INDEX(plan_session_allocation,((WEEKDAY(T$3,2)*2-1)+IF(T228="Morning",0,1)),S228))),
IF(INDEX(display_nutrition_description,((WEEKDAY(T$3,2)*2-1)+IF(T228="Morning",0,1)),S228)="","",
CONCATENATE("
Nutrition Aim:
", INDEX(sessions_aim_nutrition,,INDEX(plan_session_allocation,((WEEKDAY(T$3,2)*2-1)+IF(T228="Morning",0,1)),S228))
))
)),"")</f>
        <v xml:space="preserve">Session Aim: 
Improve aerobic fitness while minimising the chance of injury. </v>
      </c>
      <c r="T248" s="1914"/>
      <c r="U248" s="1914"/>
      <c r="V248" s="1915"/>
      <c r="X248" s="1913" t="str">
        <f ca="1">IF(AA228&gt;0,CONCATENATE("Session Aim: 
", CONCATENATE(IF(INDEX(final_duration_secondary,((WEEKDAY(Y$3,2)*2-1)+IF(Y228="Morning",0,1)),X228)=0, "", "1. "),
INDEX(sessions_aim_primary,, INDEX(plan_session_allocation,((WEEKDAY(Y$3,2)*2-1)+IF(Y228="Morning",0,1)),X228)), IF(INDEX(final_duration_secondary,((WEEKDAY(Y$3,2)*2-1)+IF(Y228="Morning",0,1)),X228)=0, "", "
2. "),
IF(INDEX(final_duration_secondary,((WEEKDAY(Y$3,2)*2-1)+IF(Y228="Morning",0,1)),X228)=0, "", INDEX(sessions_aim_secondary,, INDEX(plan_session_allocation,((WEEKDAY(Y$3,2)*2-1)+IF(Y228="Morning",0,1)),X228))), IF(INDEX(final_duration_tertiary,((WEEKDAY(Y$3,2)*2-1)+IF(Y228="Morning",0,1)),X228)=0, "", "
3. "),
IF(INDEX(final_duration_tertiary,((WEEKDAY(Y$3,2)*2-1)+IF(Y228="Morning",0,1)),X228)=0, "", INDEX(sessions_aim_tertiary,, INDEX(plan_session_allocation,((WEEKDAY(Y$3,2)*2-1)+IF(Y228="Morning",0,1)),X228))),
IF(INDEX(display_nutrition_description,((WEEKDAY(Y$3,2)*2-1)+IF(Y228="Morning",0,1)),X228)="","",
CONCATENATE("
Nutrition Aim:
", INDEX(sessions_aim_nutrition,,INDEX(plan_session_allocation,((WEEKDAY(Y$3,2)*2-1)+IF(Y228="Morning",0,1)),X228))
))
)),"")</f>
        <v xml:space="preserve">Session Aim: 
Improve aerobic fitness while minimising the chance of injury. </v>
      </c>
      <c r="Y248" s="1914"/>
      <c r="Z248" s="1914"/>
      <c r="AA248" s="1915"/>
      <c r="AC248" s="1913" t="str">
        <f ca="1">IF(AF228&gt;0,CONCATENATE("Session Aim: 
", CONCATENATE(IF(INDEX(final_duration_secondary,((WEEKDAY(AD$3,2)*2-1)+IF(AD228="Morning",0,1)),AC228)=0, "", "1. "),
INDEX(sessions_aim_primary,, INDEX(plan_session_allocation,((WEEKDAY(AD$3,2)*2-1)+IF(AD228="Morning",0,1)),AC228)), IF(INDEX(final_duration_secondary,((WEEKDAY(AD$3,2)*2-1)+IF(AD228="Morning",0,1)),AC228)=0, "", "
2. "),
IF(INDEX(final_duration_secondary,((WEEKDAY(AD$3,2)*2-1)+IF(AD228="Morning",0,1)),AC228)=0, "", INDEX(sessions_aim_secondary,, INDEX(plan_session_allocation,((WEEKDAY(AD$3,2)*2-1)+IF(AD228="Morning",0,1)),AC228))), IF(INDEX(final_duration_tertiary,((WEEKDAY(AD$3,2)*2-1)+IF(AD228="Morning",0,1)),AC228)=0, "", "
3. "),
IF(INDEX(final_duration_tertiary,((WEEKDAY(AD$3,2)*2-1)+IF(AD228="Morning",0,1)),AC228)=0, "", INDEX(sessions_aim_tertiary,, INDEX(plan_session_allocation,((WEEKDAY(AD$3,2)*2-1)+IF(AD228="Morning",0,1)),AC228))),
IF(INDEX(display_nutrition_description,((WEEKDAY(AD$3,2)*2-1)+IF(AD228="Morning",0,1)),AC228)="","",
CONCATENATE("
Nutrition Aim:
", INDEX(sessions_aim_nutrition,,INDEX(plan_session_allocation,((WEEKDAY(AD$3,2)*2-1)+IF(AD228="Morning",0,1)),AC228))
))
)),"")</f>
        <v xml:space="preserve">Session Aim: 
1. Improve running economy and injury resistance. 
2. Improve aerobic fitness while minimising the chance of injury. </v>
      </c>
      <c r="AD248" s="1914"/>
      <c r="AE248" s="1914"/>
      <c r="AF248" s="1915"/>
      <c r="AH248" s="1913" t="str">
        <f ca="1">IF(AK228&gt;0,CONCATENATE("Session Aim: 
", CONCATENATE(IF(INDEX(final_duration_secondary,((WEEKDAY(AI$3,2)*2-1)+IF(AI228="Morning",0,1)),AH228)=0, "", "1. "),
INDEX(sessions_aim_primary,, INDEX(plan_session_allocation,((WEEKDAY(AI$3,2)*2-1)+IF(AI228="Morning",0,1)),AH228)), IF(INDEX(final_duration_secondary,((WEEKDAY(AI$3,2)*2-1)+IF(AI228="Morning",0,1)),AH228)=0, "", "
2. "),
IF(INDEX(final_duration_secondary,((WEEKDAY(AI$3,2)*2-1)+IF(AI228="Morning",0,1)),AH228)=0, "", INDEX(sessions_aim_secondary,, INDEX(plan_session_allocation,((WEEKDAY(AI$3,2)*2-1)+IF(AI228="Morning",0,1)),AH228))), IF(INDEX(final_duration_tertiary,((WEEKDAY(AI$3,2)*2-1)+IF(AI228="Morning",0,1)),AH228)=0, "", "
3. "),
IF(INDEX(final_duration_tertiary,((WEEKDAY(AI$3,2)*2-1)+IF(AI228="Morning",0,1)),AH228)=0, "", INDEX(sessions_aim_tertiary,, INDEX(plan_session_allocation,((WEEKDAY(AI$3,2)*2-1)+IF(AI228="Morning",0,1)),AH228))),
IF(INDEX(display_nutrition_description,((WEEKDAY(AI$3,2)*2-1)+IF(AI228="Morning",0,1)),AH228)="","",
CONCATENATE("
Nutrition Aim:
", INDEX(sessions_aim_nutrition,,INDEX(plan_session_allocation,((WEEKDAY(AI$3,2)*2-1)+IF(AI228="Morning",0,1)),AH228))
))
)),"")</f>
        <v xml:space="preserve">Session Aim: 
Improve aerobic fitness and energy utilisation. </v>
      </c>
      <c r="AI248" s="1914"/>
      <c r="AJ248" s="1914"/>
      <c r="AK248" s="1915"/>
    </row>
    <row r="249" spans="2:38" s="180" customFormat="1" x14ac:dyDescent="0.45">
      <c r="B249" s="1942"/>
      <c r="C249" s="1945"/>
      <c r="D249" s="1916"/>
      <c r="E249" s="1917"/>
      <c r="F249" s="1917"/>
      <c r="G249" s="1918"/>
      <c r="I249" s="1916"/>
      <c r="J249" s="1917"/>
      <c r="K249" s="1917"/>
      <c r="L249" s="1918"/>
      <c r="N249" s="1916"/>
      <c r="O249" s="1917"/>
      <c r="P249" s="1917"/>
      <c r="Q249" s="1918"/>
      <c r="S249" s="1916"/>
      <c r="T249" s="1917"/>
      <c r="U249" s="1917"/>
      <c r="V249" s="1918"/>
      <c r="X249" s="1916"/>
      <c r="Y249" s="1917"/>
      <c r="Z249" s="1917"/>
      <c r="AA249" s="1918"/>
      <c r="AC249" s="1916"/>
      <c r="AD249" s="1917"/>
      <c r="AE249" s="1917"/>
      <c r="AF249" s="1918"/>
      <c r="AH249" s="1916"/>
      <c r="AI249" s="1917"/>
      <c r="AJ249" s="1917"/>
      <c r="AK249" s="1918"/>
    </row>
    <row r="250" spans="2:38" s="180" customFormat="1" x14ac:dyDescent="0.45">
      <c r="B250" s="1942"/>
      <c r="C250" s="1945"/>
      <c r="D250" s="1916"/>
      <c r="E250" s="1917"/>
      <c r="F250" s="1917"/>
      <c r="G250" s="1918"/>
      <c r="I250" s="1916"/>
      <c r="J250" s="1917"/>
      <c r="K250" s="1917"/>
      <c r="L250" s="1918"/>
      <c r="N250" s="1916"/>
      <c r="O250" s="1917"/>
      <c r="P250" s="1917"/>
      <c r="Q250" s="1918"/>
      <c r="S250" s="1916"/>
      <c r="T250" s="1917"/>
      <c r="U250" s="1917"/>
      <c r="V250" s="1918"/>
      <c r="X250" s="1916"/>
      <c r="Y250" s="1917"/>
      <c r="Z250" s="1917"/>
      <c r="AA250" s="1918"/>
      <c r="AC250" s="1916"/>
      <c r="AD250" s="1917"/>
      <c r="AE250" s="1917"/>
      <c r="AF250" s="1918"/>
      <c r="AH250" s="1916"/>
      <c r="AI250" s="1917"/>
      <c r="AJ250" s="1917"/>
      <c r="AK250" s="1918"/>
    </row>
    <row r="251" spans="2:38" s="180" customFormat="1" x14ac:dyDescent="0.45">
      <c r="B251" s="1942"/>
      <c r="C251" s="1945"/>
      <c r="D251" s="1916"/>
      <c r="E251" s="1917"/>
      <c r="F251" s="1917"/>
      <c r="G251" s="1918"/>
      <c r="I251" s="1916"/>
      <c r="J251" s="1917"/>
      <c r="K251" s="1917"/>
      <c r="L251" s="1918"/>
      <c r="N251" s="1916"/>
      <c r="O251" s="1917"/>
      <c r="P251" s="1917"/>
      <c r="Q251" s="1918"/>
      <c r="S251" s="1916"/>
      <c r="T251" s="1917"/>
      <c r="U251" s="1917"/>
      <c r="V251" s="1918"/>
      <c r="X251" s="1916"/>
      <c r="Y251" s="1917"/>
      <c r="Z251" s="1917"/>
      <c r="AA251" s="1918"/>
      <c r="AC251" s="1916"/>
      <c r="AD251" s="1917"/>
      <c r="AE251" s="1917"/>
      <c r="AF251" s="1918"/>
      <c r="AH251" s="1916"/>
      <c r="AI251" s="1917"/>
      <c r="AJ251" s="1917"/>
      <c r="AK251" s="1918"/>
    </row>
    <row r="252" spans="2:38" s="180" customFormat="1" x14ac:dyDescent="0.45">
      <c r="B252" s="1942"/>
      <c r="C252" s="1945"/>
      <c r="D252" s="1916"/>
      <c r="E252" s="1917"/>
      <c r="F252" s="1917"/>
      <c r="G252" s="1918"/>
      <c r="I252" s="1916"/>
      <c r="J252" s="1917"/>
      <c r="K252" s="1917"/>
      <c r="L252" s="1918"/>
      <c r="N252" s="1916"/>
      <c r="O252" s="1917"/>
      <c r="P252" s="1917"/>
      <c r="Q252" s="1918"/>
      <c r="S252" s="1916"/>
      <c r="T252" s="1917"/>
      <c r="U252" s="1917"/>
      <c r="V252" s="1918"/>
      <c r="X252" s="1916"/>
      <c r="Y252" s="1917"/>
      <c r="Z252" s="1917"/>
      <c r="AA252" s="1918"/>
      <c r="AC252" s="1916"/>
      <c r="AD252" s="1917"/>
      <c r="AE252" s="1917"/>
      <c r="AF252" s="1918"/>
      <c r="AH252" s="1916"/>
      <c r="AI252" s="1917"/>
      <c r="AJ252" s="1917"/>
      <c r="AK252" s="1918"/>
    </row>
    <row r="253" spans="2:38" s="180" customFormat="1" x14ac:dyDescent="0.45">
      <c r="B253" s="1942"/>
      <c r="C253" s="1945"/>
      <c r="D253" s="1916"/>
      <c r="E253" s="1917"/>
      <c r="F253" s="1917"/>
      <c r="G253" s="1918"/>
      <c r="I253" s="1916"/>
      <c r="J253" s="1917"/>
      <c r="K253" s="1917"/>
      <c r="L253" s="1918"/>
      <c r="N253" s="1916"/>
      <c r="O253" s="1917"/>
      <c r="P253" s="1917"/>
      <c r="Q253" s="1918"/>
      <c r="S253" s="1916"/>
      <c r="T253" s="1917"/>
      <c r="U253" s="1917"/>
      <c r="V253" s="1918"/>
      <c r="X253" s="1916"/>
      <c r="Y253" s="1917"/>
      <c r="Z253" s="1917"/>
      <c r="AA253" s="1918"/>
      <c r="AC253" s="1916"/>
      <c r="AD253" s="1917"/>
      <c r="AE253" s="1917"/>
      <c r="AF253" s="1918"/>
      <c r="AH253" s="1916"/>
      <c r="AI253" s="1917"/>
      <c r="AJ253" s="1917"/>
      <c r="AK253" s="1918"/>
    </row>
    <row r="254" spans="2:38" s="180" customFormat="1" ht="14.65" thickBot="1" x14ac:dyDescent="0.5">
      <c r="B254" s="1942"/>
      <c r="C254" s="1945"/>
      <c r="D254" s="1938"/>
      <c r="E254" s="1939"/>
      <c r="F254" s="1939"/>
      <c r="G254" s="1940"/>
      <c r="I254" s="1938"/>
      <c r="J254" s="1939"/>
      <c r="K254" s="1939"/>
      <c r="L254" s="1940"/>
      <c r="N254" s="1938"/>
      <c r="O254" s="1939"/>
      <c r="P254" s="1939"/>
      <c r="Q254" s="1940"/>
      <c r="S254" s="1938"/>
      <c r="T254" s="1939"/>
      <c r="U254" s="1939"/>
      <c r="V254" s="1940"/>
      <c r="X254" s="1938"/>
      <c r="Y254" s="1939"/>
      <c r="Z254" s="1939"/>
      <c r="AA254" s="1940"/>
      <c r="AC254" s="1938"/>
      <c r="AD254" s="1939"/>
      <c r="AE254" s="1939"/>
      <c r="AF254" s="1940"/>
      <c r="AH254" s="1938"/>
      <c r="AI254" s="1939"/>
      <c r="AJ254" s="1939"/>
      <c r="AK254" s="1940"/>
    </row>
    <row r="255" spans="2:38" s="176" customFormat="1" ht="15.75" customHeight="1" x14ac:dyDescent="0.45">
      <c r="B255" s="1942"/>
      <c r="C255" s="1945"/>
      <c r="D255" s="1415">
        <f>$B227</f>
        <v>5</v>
      </c>
      <c r="E255" s="1930" t="s">
        <v>352</v>
      </c>
      <c r="F255" s="1930"/>
      <c r="G255" s="1414">
        <f ca="1">INDEX(final_duration_session,((WEEKDAY(E$3,2)*2-1)+IF(E255="Morning",0,1)),$D255)</f>
        <v>60</v>
      </c>
      <c r="H255" s="177"/>
      <c r="I255" s="1415">
        <f>$B227</f>
        <v>5</v>
      </c>
      <c r="J255" s="1930" t="s">
        <v>352</v>
      </c>
      <c r="K255" s="1930"/>
      <c r="L255" s="1414">
        <f ca="1">INDEX(final_duration_session,((WEEKDAY(J$3,2)*2-1)+IF(J255="Morning",0,1)),$D255)</f>
        <v>55</v>
      </c>
      <c r="M255" s="177"/>
      <c r="N255" s="1415">
        <f>$B227</f>
        <v>5</v>
      </c>
      <c r="O255" s="1930" t="s">
        <v>352</v>
      </c>
      <c r="P255" s="1930"/>
      <c r="Q255" s="1414">
        <f ca="1">INDEX(final_duration_session,((WEEKDAY(O$3,2)*2-1)+IF(O255="Morning",0,1)),$D255)</f>
        <v>80</v>
      </c>
      <c r="R255" s="177"/>
      <c r="S255" s="1415">
        <f>$B227</f>
        <v>5</v>
      </c>
      <c r="T255" s="1930" t="s">
        <v>352</v>
      </c>
      <c r="U255" s="1930"/>
      <c r="V255" s="1414">
        <f ca="1">INDEX(final_duration_session,((WEEKDAY(T$3,2)*2-1)+IF(T255="Morning",0,1)),$D255)</f>
        <v>95</v>
      </c>
      <c r="W255" s="177"/>
      <c r="X255" s="1415">
        <f>$B227</f>
        <v>5</v>
      </c>
      <c r="Y255" s="1930" t="s">
        <v>352</v>
      </c>
      <c r="Z255" s="1930"/>
      <c r="AA255" s="1414">
        <f ca="1">INDEX(final_duration_session,((WEEKDAY(Y$3,2)*2-1)+IF(Y255="Morning",0,1)),$D255)</f>
        <v>60</v>
      </c>
      <c r="AB255" s="177"/>
      <c r="AC255" s="1415">
        <f>$B227</f>
        <v>5</v>
      </c>
      <c r="AD255" s="1930" t="s">
        <v>352</v>
      </c>
      <c r="AE255" s="1930"/>
      <c r="AF255" s="1414">
        <f ca="1">INDEX(final_duration_session,((WEEKDAY(AD$3,2)*2-1)+IF(AD255="Morning",0,1)),$D255)</f>
        <v>65</v>
      </c>
      <c r="AG255" s="177"/>
      <c r="AH255" s="1415">
        <f>$B227</f>
        <v>5</v>
      </c>
      <c r="AI255" s="1930" t="s">
        <v>352</v>
      </c>
      <c r="AJ255" s="1930"/>
      <c r="AK255" s="1414">
        <f ca="1">INDEX(final_duration_session,((WEEKDAY(AI$3,2)*2-1)+IF(AI255="Morning",0,1)),$D255)</f>
        <v>0</v>
      </c>
      <c r="AL255" s="177"/>
    </row>
    <row r="256" spans="2:38" s="176" customFormat="1" ht="15" customHeight="1" x14ac:dyDescent="0.45">
      <c r="B256" s="1942"/>
      <c r="C256" s="1945"/>
      <c r="D256" s="1931" t="str">
        <f ca="1">IF(G255&gt;0,INDEX(sessions_name,INDEX(plan_session_allocation,((WEEKDAY(E$3,2)*2-1)+IF(E255="Morning",0,1)),D255)),"")</f>
        <v>Strength and Maintenance</v>
      </c>
      <c r="E256" s="1932"/>
      <c r="F256" s="1932"/>
      <c r="G256" s="1933"/>
      <c r="H256" s="177"/>
      <c r="I256" s="1931" t="str">
        <f ca="1">IF(L255&gt;0,INDEX(sessions_name,INDEX(plan_session_allocation,((WEEKDAY(J$3,2)*2-1)+IF(J255="Morning",0,1)),I255)),"")</f>
        <v>Hill Tempo</v>
      </c>
      <c r="J256" s="1932"/>
      <c r="K256" s="1932"/>
      <c r="L256" s="1933"/>
      <c r="M256" s="177"/>
      <c r="N256" s="1931" t="str">
        <f ca="1">IF(Q255&gt;0,INDEX(sessions_name,INDEX(plan_session_allocation,((WEEKDAY(O$3,2)*2-1)+IF(O255="Morning",0,1)),N255)),"")</f>
        <v xml:space="preserve">Easy </v>
      </c>
      <c r="O256" s="1932"/>
      <c r="P256" s="1932"/>
      <c r="Q256" s="1933"/>
      <c r="R256" s="177"/>
      <c r="S256" s="1931" t="str">
        <f ca="1">IF(V255&gt;0,INDEX(sessions_name,INDEX(plan_session_allocation,((WEEKDAY(T$3,2)*2-1)+IF(T255="Morning",0,1)),S255)),"")</f>
        <v>Steady</v>
      </c>
      <c r="T256" s="1932"/>
      <c r="U256" s="1932"/>
      <c r="V256" s="1933"/>
      <c r="W256" s="177"/>
      <c r="X256" s="1931" t="str">
        <f ca="1">IF(AA255&gt;0,INDEX(sessions_name,INDEX(plan_session_allocation,((WEEKDAY(Y$3,2)*2-1)+IF(Y255="Morning",0,1)),X255)),"")</f>
        <v>Strength and Maintenance</v>
      </c>
      <c r="Y256" s="1932"/>
      <c r="Z256" s="1932"/>
      <c r="AA256" s="1933"/>
      <c r="AB256" s="177"/>
      <c r="AC256" s="1931" t="str">
        <f ca="1">IF(AF255&gt;0,INDEX(sessions_name,INDEX(plan_session_allocation,((WEEKDAY(AD$3,2)*2-1)+IF(AD255="Morning",0,1)),AC255)),"")</f>
        <v>Easy</v>
      </c>
      <c r="AD256" s="1932"/>
      <c r="AE256" s="1932"/>
      <c r="AF256" s="1933"/>
      <c r="AG256" s="177"/>
      <c r="AH256" s="1931" t="str">
        <f ca="1">IF(AK255&gt;0,INDEX(sessions_name,INDEX(plan_session_allocation,((WEEKDAY(AI$3,2)*2-1)+IF(AI255="Morning",0,1)),AH255)),"")</f>
        <v/>
      </c>
      <c r="AI256" s="1932"/>
      <c r="AJ256" s="1932"/>
      <c r="AK256" s="1933"/>
      <c r="AL256" s="177"/>
    </row>
    <row r="257" spans="2:38" s="176" customFormat="1" ht="15" customHeight="1" x14ac:dyDescent="0.45">
      <c r="B257" s="1942"/>
      <c r="C257" s="1945"/>
      <c r="D257" s="1934" t="str">
        <f ca="1">IF(G255&gt;0,CONCATENATE("Sport: ",INDEX(sessions_sport_primary,INDEX(plan_session_allocation,(WEEKDAY(E$3,2)*2-1)+IF(E255="Morning",0,1),D255))),"")</f>
        <v>Sport: Indoor</v>
      </c>
      <c r="E257" s="1935"/>
      <c r="F257" s="1936">
        <f ca="1">IF(G255&gt;0,IFERROR(F258+F259+F260,""),"")</f>
        <v>60</v>
      </c>
      <c r="G257" s="1937"/>
      <c r="H257" s="177"/>
      <c r="I257" s="1934" t="str">
        <f ca="1">IF(L255&gt;0,CONCATENATE("Sport: ",INDEX(sessions_sport_primary,INDEX(plan_session_allocation,(WEEKDAY(J$3,2)*2-1)+IF(J255="Morning",0,1),I255))),"")</f>
        <v>Sport: Hilly Trail Run</v>
      </c>
      <c r="J257" s="1935"/>
      <c r="K257" s="1936">
        <f ca="1">IF(L255&gt;0,IFERROR(K258+K259+K260,""),"")</f>
        <v>55</v>
      </c>
      <c r="L257" s="1937"/>
      <c r="M257" s="177"/>
      <c r="N257" s="1934" t="str">
        <f ca="1">IF(Q255&gt;0,CONCATENATE("Sport: ",INDEX(sessions_sport_primary,INDEX(plan_session_allocation,(WEEKDAY(O$3,2)*2-1)+IF(O255="Morning",0,1),N255))),"")</f>
        <v>Sport: Road Ride</v>
      </c>
      <c r="O257" s="1935"/>
      <c r="P257" s="1936">
        <f ca="1">IF(Q255&gt;0,IFERROR(P258+P259+P260,""),"")</f>
        <v>80</v>
      </c>
      <c r="Q257" s="1937"/>
      <c r="R257" s="177"/>
      <c r="S257" s="1934" t="str">
        <f ca="1">IF(V255&gt;0,CONCATENATE("Sport: ",INDEX(sessions_sport_primary,INDEX(plan_session_allocation,(WEEKDAY(T$3,2)*2-1)+IF(T255="Morning",0,1),S255))),"")</f>
        <v>Sport: Hilly Trail Run</v>
      </c>
      <c r="T257" s="1935"/>
      <c r="U257" s="1936">
        <f ca="1">IF(V255&gt;0,IFERROR(U258+U259+U260,""),"")</f>
        <v>95</v>
      </c>
      <c r="V257" s="1937"/>
      <c r="W257" s="177"/>
      <c r="X257" s="1934" t="str">
        <f ca="1">IF(AA255&gt;0,CONCATENATE("Sport: ",INDEX(sessions_sport_primary,INDEX(plan_session_allocation,(WEEKDAY(Y$3,2)*2-1)+IF(Y255="Morning",0,1),X255))),"")</f>
        <v>Sport: Indoor</v>
      </c>
      <c r="Y257" s="1935"/>
      <c r="Z257" s="1936">
        <f ca="1">IF(AA255&gt;0,IFERROR(Z258+Z259+Z260,""),"")</f>
        <v>60</v>
      </c>
      <c r="AA257" s="1937"/>
      <c r="AB257" s="177"/>
      <c r="AC257" s="1934" t="str">
        <f ca="1">IF(AF255&gt;0,CONCATENATE("Sport: ",INDEX(sessions_sport_primary,INDEX(plan_session_allocation,(WEEKDAY(AD$3,2)*2-1)+IF(AD255="Morning",0,1),AC255))),"")</f>
        <v>Sport: Run</v>
      </c>
      <c r="AD257" s="1935"/>
      <c r="AE257" s="1936">
        <f ca="1">IF(AF255&gt;0,IFERROR(AE258+AE259+AE260,""),"")</f>
        <v>65</v>
      </c>
      <c r="AF257" s="1937"/>
      <c r="AG257" s="177"/>
      <c r="AH257" s="1934" t="str">
        <f ca="1">IF(AK255&gt;0,CONCATENATE("Sport: ",INDEX(sessions_sport_primary,INDEX(plan_session_allocation,(WEEKDAY(AI$3,2)*2-1)+IF(AI255="Morning",0,1),AH255))),"")</f>
        <v/>
      </c>
      <c r="AI257" s="1935"/>
      <c r="AJ257" s="1936" t="str">
        <f ca="1">IF(AK255&gt;0,IFERROR(AJ258+AJ259+AJ260,""),"")</f>
        <v/>
      </c>
      <c r="AK257" s="1937"/>
      <c r="AL257" s="177"/>
    </row>
    <row r="258" spans="2:38" s="177" customFormat="1" ht="15" customHeight="1" x14ac:dyDescent="0.45">
      <c r="B258" s="1942"/>
      <c r="C258" s="1945"/>
      <c r="D258" s="1922" t="str">
        <f ca="1">IF(G255&gt;0,CONCATENATE("HR Target: ",
INDEX(sessions_HR_primary,INDEX(plan_session_allocation,((WEEKDAY(E$3,2)*2-1)+IF(E255="Morning",0,1)),D255)),
IF(INDEX(sessions_HR_primary,INDEX(plan_session_allocation,((WEEKDAY(E$3,2)*2-1)+IF(E255="Morning",0,1)),D255))="N/A","",
" BPM")),"")</f>
        <v>HR Target: N/A</v>
      </c>
      <c r="E258" s="1923"/>
      <c r="F258" s="1924">
        <f ca="1">IF(G255&gt;0,
INDEX(final_duration_effort,((WEEKDAY(E$3,2)*2-1)+IF(E255="Morning",0,1)),D255),"")</f>
        <v>60</v>
      </c>
      <c r="G258" s="1925"/>
      <c r="I258" s="1922" t="str">
        <f ca="1">IF(L255&gt;0,CONCATENATE("HR Target: ",
INDEX(sessions_HR_primary,INDEX(plan_session_allocation,((WEEKDAY(J$3,2)*2-1)+IF(J255="Morning",0,1)),I255)),
IF(INDEX(sessions_HR_primary,INDEX(plan_session_allocation,((WEEKDAY(J$3,2)*2-1)+IF(J255="Morning",0,1)),I255))="N/A","",
" BPM")),"")</f>
        <v>HR Target: 177 BPM</v>
      </c>
      <c r="J258" s="1923"/>
      <c r="K258" s="1924">
        <f ca="1">IF(L255&gt;0,
INDEX(final_duration_effort,((WEEKDAY(J$3,2)*2-1)+IF(J255="Morning",0,1)),I255),"")</f>
        <v>25</v>
      </c>
      <c r="L258" s="1925"/>
      <c r="N258" s="1922" t="str">
        <f ca="1">IF(Q255&gt;0,CONCATENATE("HR Target: ",
INDEX(sessions_HR_primary,INDEX(plan_session_allocation,((WEEKDAY(O$3,2)*2-1)+IF(O255="Morning",0,1)),N255)),
IF(INDEX(sessions_HR_primary,INDEX(plan_session_allocation,((WEEKDAY(O$3,2)*2-1)+IF(O255="Morning",0,1)),N255))="N/A","",
" BPM")),"")</f>
        <v>HR Target: 138 BPM</v>
      </c>
      <c r="O258" s="1923"/>
      <c r="P258" s="1924">
        <f ca="1">IF(Q255&gt;0,
INDEX(final_duration_effort,((WEEKDAY(O$3,2)*2-1)+IF(O255="Morning",0,1)),N255),"")</f>
        <v>80</v>
      </c>
      <c r="Q258" s="1925"/>
      <c r="S258" s="1922" t="str">
        <f ca="1">IF(V255&gt;0,CONCATENATE("HR Target: ",
INDEX(sessions_HR_primary,INDEX(plan_session_allocation,((WEEKDAY(T$3,2)*2-1)+IF(T255="Morning",0,1)),S255)),
IF(INDEX(sessions_HR_primary,INDEX(plan_session_allocation,((WEEKDAY(T$3,2)*2-1)+IF(T255="Morning",0,1)),S255))="N/A","",
" BPM")),"")</f>
        <v>HR Target: 148 BPM</v>
      </c>
      <c r="T258" s="1923"/>
      <c r="U258" s="1924">
        <f ca="1">IF(V255&gt;0,
INDEX(final_duration_effort,((WEEKDAY(T$3,2)*2-1)+IF(T255="Morning",0,1)),S255),"")</f>
        <v>95</v>
      </c>
      <c r="V258" s="1925"/>
      <c r="X258" s="1922" t="str">
        <f ca="1">IF(AA255&gt;0,CONCATENATE("HR Target: ",
INDEX(sessions_HR_primary,INDEX(plan_session_allocation,((WEEKDAY(Y$3,2)*2-1)+IF(Y255="Morning",0,1)),X255)),
IF(INDEX(sessions_HR_primary,INDEX(plan_session_allocation,((WEEKDAY(Y$3,2)*2-1)+IF(Y255="Morning",0,1)),X255))="N/A","",
" BPM")),"")</f>
        <v>HR Target: N/A</v>
      </c>
      <c r="Y258" s="1923"/>
      <c r="Z258" s="1924">
        <f ca="1">IF(AA255&gt;0,
INDEX(final_duration_effort,((WEEKDAY(Y$3,2)*2-1)+IF(Y255="Morning",0,1)),X255),"")</f>
        <v>60</v>
      </c>
      <c r="AA258" s="1925"/>
      <c r="AC258" s="1922" t="str">
        <f ca="1">IF(AF255&gt;0,CONCATENATE("HR Target: ",
INDEX(sessions_HR_primary,INDEX(plan_session_allocation,((WEEKDAY(AD$3,2)*2-1)+IF(AD255="Morning",0,1)),AC255)),
IF(INDEX(sessions_HR_primary,INDEX(plan_session_allocation,((WEEKDAY(AD$3,2)*2-1)+IF(AD255="Morning",0,1)),AC255))="N/A","",
" BPM")),"")</f>
        <v>HR Target: 138 BPM</v>
      </c>
      <c r="AD258" s="1923"/>
      <c r="AE258" s="1924">
        <f ca="1">IF(AF255&gt;0,
INDEX(final_duration_effort,((WEEKDAY(AD$3,2)*2-1)+IF(AD255="Morning",0,1)),AC255),"")</f>
        <v>65</v>
      </c>
      <c r="AF258" s="1925"/>
      <c r="AH258" s="1922" t="str">
        <f ca="1">IF(AK255&gt;0,CONCATENATE("HR Target: ",
INDEX(sessions_HR_primary,INDEX(plan_session_allocation,((WEEKDAY(AI$3,2)*2-1)+IF(AI255="Morning",0,1)),AH255)),
IF(INDEX(sessions_HR_primary,INDEX(plan_session_allocation,((WEEKDAY(AI$3,2)*2-1)+IF(AI255="Morning",0,1)),AH255))="N/A","",
" BPM")),"")</f>
        <v/>
      </c>
      <c r="AI258" s="1923"/>
      <c r="AJ258" s="1924" t="str">
        <f ca="1">IF(AK255&gt;0,
INDEX(final_duration_effort,((WEEKDAY(AI$3,2)*2-1)+IF(AI255="Morning",0,1)),AH255),"")</f>
        <v/>
      </c>
      <c r="AK258" s="1925"/>
    </row>
    <row r="259" spans="2:38" s="177" customFormat="1" ht="15" customHeight="1" x14ac:dyDescent="0.45">
      <c r="B259" s="1942"/>
      <c r="C259" s="1945"/>
      <c r="D259" s="1926" t="str">
        <f ca="1">IF(G255&gt;0,CONCATENATE("HR Range: ",
INDEX(sessions_HR_range_primary,INDEX(plan_session_allocation,((WEEKDAY(E$3,2)*2-1)+IF(E255="Morning",0,1)),D255)),
IF(INDEX(sessions_HR_range_primary,INDEX(plan_session_allocation,((WEEKDAY(E$3,2)*2-1)+IF(E255="Morning",0,1)),D255))="N/A","",
" BPM")),"")</f>
        <v>HR Range: N/A</v>
      </c>
      <c r="E259" s="1927"/>
      <c r="F259" s="1928">
        <f ca="1">IF(G255&gt;0,IF(
INDEX(sessions_recoveries,INDEX(plan_session_allocation,((WEEKDAY(E$3,2)*2-1)+IF(E255="Morning",0,1)),D255))="Yes",
VLOOKUP(INDEX(plan_duration_primary,((WEEKDAY(E$3,2)*2-1)+IF(E255="Morning",0,1)),D255),
INDIRECT(INDEX(sessions_intervals_code_primary,INDEX(plan_session_allocation,((WEEKDAY(E$3,2)*2-1)+IF(E255="Morning",0,1)),D255))),7,TRUE),0),"")</f>
        <v>0</v>
      </c>
      <c r="G259" s="1929"/>
      <c r="I259" s="1926" t="str">
        <f ca="1">IF(L255&gt;0,CONCATENATE("HR Range: ",
INDEX(sessions_HR_range_primary,INDEX(plan_session_allocation,((WEEKDAY(J$3,2)*2-1)+IF(J255="Morning",0,1)),I255)),
IF(INDEX(sessions_HR_range_primary,INDEX(plan_session_allocation,((WEEKDAY(J$3,2)*2-1)+IF(J255="Morning",0,1)),I255))="N/A","",
" BPM")),"")</f>
        <v>HR Range: 173 - 180 BPM</v>
      </c>
      <c r="J259" s="1927"/>
      <c r="K259" s="1928">
        <f ca="1">IF(L255&gt;0,IF(
INDEX(sessions_recoveries,INDEX(plan_session_allocation,((WEEKDAY(J$3,2)*2-1)+IF(J255="Morning",0,1)),I255))="Yes",
VLOOKUP(INDEX(plan_duration_primary,((WEEKDAY(J$3,2)*2-1)+IF(J255="Morning",0,1)),I255),
INDIRECT(INDEX(sessions_intervals_code_primary,INDEX(plan_session_allocation,((WEEKDAY(J$3,2)*2-1)+IF(J255="Morning",0,1)),I255))),7,TRUE),0),"")</f>
        <v>0</v>
      </c>
      <c r="L259" s="1929"/>
      <c r="N259" s="1926" t="str">
        <f ca="1">IF(Q255&gt;0,CONCATENATE("HR Range: ",
INDEX(sessions_HR_range_primary,INDEX(plan_session_allocation,((WEEKDAY(O$3,2)*2-1)+IF(O255="Morning",0,1)),N255)),
IF(INDEX(sessions_HR_range_primary,INDEX(plan_session_allocation,((WEEKDAY(O$3,2)*2-1)+IF(O255="Morning",0,1)),N255))="N/A","",
" BPM")),"")</f>
        <v>HR Range: 129 - 148 BPM</v>
      </c>
      <c r="O259" s="1927"/>
      <c r="P259" s="1928">
        <f ca="1">IF(Q255&gt;0,IF(
INDEX(sessions_recoveries,INDEX(plan_session_allocation,((WEEKDAY(O$3,2)*2-1)+IF(O255="Morning",0,1)),N255))="Yes",
VLOOKUP(INDEX(plan_duration_primary,((WEEKDAY(O$3,2)*2-1)+IF(O255="Morning",0,1)),N255),
INDIRECT(INDEX(sessions_intervals_code_primary,INDEX(plan_session_allocation,((WEEKDAY(O$3,2)*2-1)+IF(O255="Morning",0,1)),N255))),7,TRUE),0),"")</f>
        <v>0</v>
      </c>
      <c r="Q259" s="1929"/>
      <c r="S259" s="1926" t="str">
        <f ca="1">IF(V255&gt;0,CONCATENATE("HR Range: ",
INDEX(sessions_HR_range_primary,INDEX(plan_session_allocation,((WEEKDAY(T$3,2)*2-1)+IF(T255="Morning",0,1)),S255)),
IF(INDEX(sessions_HR_range_primary,INDEX(plan_session_allocation,((WEEKDAY(T$3,2)*2-1)+IF(T255="Morning",0,1)),S255))="N/A","",
" BPM")),"")</f>
        <v>HR Range: 138 - 157 BPM</v>
      </c>
      <c r="T259" s="1927"/>
      <c r="U259" s="1928">
        <f ca="1">IF(V255&gt;0,IF(
INDEX(sessions_recoveries,INDEX(plan_session_allocation,((WEEKDAY(T$3,2)*2-1)+IF(T255="Morning",0,1)),S255))="Yes",
VLOOKUP(INDEX(plan_duration_primary,((WEEKDAY(T$3,2)*2-1)+IF(T255="Morning",0,1)),S255),
INDIRECT(INDEX(sessions_intervals_code_primary,INDEX(plan_session_allocation,((WEEKDAY(T$3,2)*2-1)+IF(T255="Morning",0,1)),S255))),7,TRUE),0),"")</f>
        <v>0</v>
      </c>
      <c r="V259" s="1929"/>
      <c r="X259" s="1926" t="str">
        <f ca="1">IF(AA255&gt;0,CONCATENATE("HR Range: ",
INDEX(sessions_HR_range_primary,INDEX(plan_session_allocation,((WEEKDAY(Y$3,2)*2-1)+IF(Y255="Morning",0,1)),X255)),
IF(INDEX(sessions_HR_range_primary,INDEX(plan_session_allocation,((WEEKDAY(Y$3,2)*2-1)+IF(Y255="Morning",0,1)),X255))="N/A","",
" BPM")),"")</f>
        <v>HR Range: N/A</v>
      </c>
      <c r="Y259" s="1927"/>
      <c r="Z259" s="1928">
        <f ca="1">IF(AA255&gt;0,IF(
INDEX(sessions_recoveries,INDEX(plan_session_allocation,((WEEKDAY(Y$3,2)*2-1)+IF(Y255="Morning",0,1)),X255))="Yes",
VLOOKUP(INDEX(plan_duration_primary,((WEEKDAY(Y$3,2)*2-1)+IF(Y255="Morning",0,1)),X255),
INDIRECT(INDEX(sessions_intervals_code_primary,INDEX(plan_session_allocation,((WEEKDAY(Y$3,2)*2-1)+IF(Y255="Morning",0,1)),X255))),7,TRUE),0),"")</f>
        <v>0</v>
      </c>
      <c r="AA259" s="1929"/>
      <c r="AC259" s="1926" t="str">
        <f ca="1">IF(AF255&gt;0,CONCATENATE("HR Range: ",
INDEX(sessions_HR_range_primary,INDEX(plan_session_allocation,((WEEKDAY(AD$3,2)*2-1)+IF(AD255="Morning",0,1)),AC255)),
IF(INDEX(sessions_HR_range_primary,INDEX(plan_session_allocation,((WEEKDAY(AD$3,2)*2-1)+IF(AD255="Morning",0,1)),AC255))="N/A","",
" BPM")),"")</f>
        <v>HR Range: 129 - 148 BPM</v>
      </c>
      <c r="AD259" s="1927"/>
      <c r="AE259" s="1928">
        <f ca="1">IF(AF255&gt;0,IF(
INDEX(sessions_recoveries,INDEX(plan_session_allocation,((WEEKDAY(AD$3,2)*2-1)+IF(AD255="Morning",0,1)),AC255))="Yes",
VLOOKUP(INDEX(plan_duration_primary,((WEEKDAY(AD$3,2)*2-1)+IF(AD255="Morning",0,1)),AC255),
INDIRECT(INDEX(sessions_intervals_code_primary,INDEX(plan_session_allocation,((WEEKDAY(AD$3,2)*2-1)+IF(AD255="Morning",0,1)),AC255))),7,TRUE),0),"")</f>
        <v>0</v>
      </c>
      <c r="AF259" s="1929"/>
      <c r="AH259" s="1926" t="str">
        <f ca="1">IF(AK255&gt;0,CONCATENATE("HR Range: ",
INDEX(sessions_HR_range_primary,INDEX(plan_session_allocation,((WEEKDAY(AI$3,2)*2-1)+IF(AI255="Morning",0,1)),AH255)),
IF(INDEX(sessions_HR_range_primary,INDEX(plan_session_allocation,((WEEKDAY(AI$3,2)*2-1)+IF(AI255="Morning",0,1)),AH255))="N/A","",
" BPM")),"")</f>
        <v/>
      </c>
      <c r="AI259" s="1927"/>
      <c r="AJ259" s="1928" t="str">
        <f ca="1">IF(AK255&gt;0,IF(
INDEX(sessions_recoveries,INDEX(plan_session_allocation,((WEEKDAY(AI$3,2)*2-1)+IF(AI255="Morning",0,1)),AH255))="Yes",
VLOOKUP(INDEX(plan_duration_primary,((WEEKDAY(AI$3,2)*2-1)+IF(AI255="Morning",0,1)),AH255),
INDIRECT(INDEX(sessions_intervals_code_primary,INDEX(plan_session_allocation,((WEEKDAY(AI$3,2)*2-1)+IF(AI255="Morning",0,1)),AH255))),7,TRUE),0),"")</f>
        <v/>
      </c>
      <c r="AK259" s="1929"/>
    </row>
    <row r="260" spans="2:38" s="177" customFormat="1" ht="15" customHeight="1" x14ac:dyDescent="0.45">
      <c r="B260" s="1942"/>
      <c r="C260" s="1945"/>
      <c r="D260" s="1909" t="str">
        <f ca="1">IF(G255&gt;0,CONCATENATE("Equivalent Pace: ",
TEXT(INDEX(sessions_pace_primary,INDEX(plan_session_allocation,(WEEKDAY(E$3,2)*2-1)+IF(E255="Morning",0,1),D255)),"m:ss"),
" min/km"
),"")</f>
        <v>Equivalent Pace:  min/km</v>
      </c>
      <c r="E260" s="1910"/>
      <c r="F260" s="1911">
        <f ca="1">IF(G255&gt;0, INDEX(final_duration_WU,((WEEKDAY(E$3,2)*2-1)+IF(E255="Morning",0,1)),D255)  + INDEX(final_duration_WD,((WEEKDAY(E$3,2)*2-1)+IF(E255="Morning",0,1)),D255), "")</f>
        <v>0</v>
      </c>
      <c r="G260" s="1912"/>
      <c r="I260" s="1909" t="str">
        <f ca="1">IF(L255&gt;0,CONCATENATE("Equivalent Pace: ",
TEXT(INDEX(sessions_pace_primary,INDEX(plan_session_allocation,(WEEKDAY(J$3,2)*2-1)+IF(J255="Morning",0,1),I255)),"m:ss"),
" min/km"
),"")</f>
        <v>Equivalent Pace: 3:21 min/km</v>
      </c>
      <c r="J260" s="1910"/>
      <c r="K260" s="1911">
        <f ca="1">IF(L255&gt;0, INDEX(final_duration_WU,((WEEKDAY(J$3,2)*2-1)+IF(J255="Morning",0,1)),I255)  + INDEX(final_duration_WD,((WEEKDAY(J$3,2)*2-1)+IF(J255="Morning",0,1)),I255), "")</f>
        <v>30</v>
      </c>
      <c r="L260" s="1912"/>
      <c r="N260" s="1909" t="str">
        <f ca="1">IF(Q255&gt;0,CONCATENATE("Equivalent Pace: ",
TEXT(INDEX(sessions_pace_primary,INDEX(plan_session_allocation,(WEEKDAY(O$3,2)*2-1)+IF(O255="Morning",0,1),N255)),"m:ss"),
" min/km"
),"")</f>
        <v>Equivalent Pace: 4:39 min/km</v>
      </c>
      <c r="O260" s="1910"/>
      <c r="P260" s="1911">
        <f ca="1">IF(Q255&gt;0, INDEX(final_duration_WU,((WEEKDAY(O$3,2)*2-1)+IF(O255="Morning",0,1)),N255)  + INDEX(final_duration_WD,((WEEKDAY(O$3,2)*2-1)+IF(O255="Morning",0,1)),N255), "")</f>
        <v>0</v>
      </c>
      <c r="Q260" s="1912"/>
      <c r="S260" s="1909" t="str">
        <f ca="1">IF(V255&gt;0,CONCATENATE("Equivalent Pace: ",
TEXT(INDEX(sessions_pace_primary,INDEX(plan_session_allocation,(WEEKDAY(T$3,2)*2-1)+IF(T255="Morning",0,1),S255)),"m:ss"),
" min/km"
),"")</f>
        <v>Equivalent Pace: 4:14 min/km</v>
      </c>
      <c r="T260" s="1910"/>
      <c r="U260" s="1911">
        <f ca="1">IF(V255&gt;0, INDEX(final_duration_WU,((WEEKDAY(T$3,2)*2-1)+IF(T255="Morning",0,1)),S255)  + INDEX(final_duration_WD,((WEEKDAY(T$3,2)*2-1)+IF(T255="Morning",0,1)),S255), "")</f>
        <v>0</v>
      </c>
      <c r="V260" s="1912"/>
      <c r="X260" s="1909" t="str">
        <f ca="1">IF(AA255&gt;0,CONCATENATE("Equivalent Pace: ",
TEXT(INDEX(sessions_pace_primary,INDEX(plan_session_allocation,(WEEKDAY(Y$3,2)*2-1)+IF(Y255="Morning",0,1),X255)),"m:ss"),
" min/km"
),"")</f>
        <v>Equivalent Pace:  min/km</v>
      </c>
      <c r="Y260" s="1910"/>
      <c r="Z260" s="1911">
        <f ca="1">IF(AA255&gt;0, INDEX(final_duration_WU,((WEEKDAY(Y$3,2)*2-1)+IF(Y255="Morning",0,1)),X255)  + INDEX(final_duration_WD,((WEEKDAY(Y$3,2)*2-1)+IF(Y255="Morning",0,1)),X255), "")</f>
        <v>0</v>
      </c>
      <c r="AA260" s="1912"/>
      <c r="AC260" s="1909" t="str">
        <f ca="1">IF(AF255&gt;0,CONCATENATE("Equivalent Pace: ",
TEXT(INDEX(sessions_pace_primary,INDEX(plan_session_allocation,(WEEKDAY(AD$3,2)*2-1)+IF(AD255="Morning",0,1),AC255)),"m:ss"),
" min/km"
),"")</f>
        <v>Equivalent Pace: 4:39 min/km</v>
      </c>
      <c r="AD260" s="1910"/>
      <c r="AE260" s="1911">
        <f ca="1">IF(AF255&gt;0, INDEX(final_duration_WU,((WEEKDAY(AD$3,2)*2-1)+IF(AD255="Morning",0,1)),AC255)  + INDEX(final_duration_WD,((WEEKDAY(AD$3,2)*2-1)+IF(AD255="Morning",0,1)),AC255), "")</f>
        <v>0</v>
      </c>
      <c r="AF260" s="1912"/>
      <c r="AH260" s="1909" t="str">
        <f ca="1">IF(AK255&gt;0,CONCATENATE("Equivalent Pace: ",
TEXT(INDEX(sessions_pace_primary,INDEX(plan_session_allocation,(WEEKDAY(AI$3,2)*2-1)+IF(AI255="Morning",0,1),AH255)),"m:ss"),
" min/km"
),"")</f>
        <v/>
      </c>
      <c r="AI260" s="1910"/>
      <c r="AJ260" s="1911" t="str">
        <f ca="1">IF(AK255&gt;0, INDEX(final_duration_WU,((WEEKDAY(AI$3,2)*2-1)+IF(AI255="Morning",0,1)),AH255)  + INDEX(final_duration_WD,((WEEKDAY(AI$3,2)*2-1)+IF(AI255="Morning",0,1)),AH255), "")</f>
        <v/>
      </c>
      <c r="AK260" s="1912"/>
    </row>
    <row r="261" spans="2:38" s="176" customFormat="1" ht="15" customHeight="1" x14ac:dyDescent="0.45">
      <c r="B261" s="1942"/>
      <c r="C261" s="1945"/>
      <c r="D261" s="1913" t="str">
        <f ca="1">IF(G255&gt;0,CONCATENATE(IFERROR(CONCATENATE(IF(INDEX(display_intervals_breakdown,((WEEKDAY(E$3,2)*2-1)+IF(E255="Morning",0,1)),D255)="","",CONCATENATE("Intervals/Reps Breakdown: 
",INDEX(display_intervals_breakdown,((WEEKDAY(E$3,2)*2-1)+IF(E255="Morning",0,1)),D255),"
")),"Session Description: 
",CONCATENATE(IF(INDEX(final_duration_secondary,((WEEKDAY(E$3,2)*2-1)+IF(E255="Morning",0,1)),D255)=0,"","1. "),
INDEX(sessions_description_primary,,INDEX(plan_session_allocation,((WEEKDAY(E$3,2)*2-1)+IF(E255="Morning",0,1)),D255)),IF(INDEX(final_duration_secondary,((WEEKDAY(E$3,2)*2-1)+IF(E255="Morning",0,1)),D255)=0,"","
2. "),
IF(INDEX(final_duration_secondary,((WEEKDAY(E$3,2)*2-1)+IF(E255="Morning",0,1)),D255)=0,"",INDEX(sessions_description_secondary,,INDEX(plan_session_allocation,((WEEKDAY(E$3,2)*2-1)+IF(E255="Morning",0,1)),D255))),IF(INDEX(final_duration_tertiary,((WEEKDAY(E$3,2)*2-1)+IF(E255="Morning",0,1)),D255)=0,"","
3. "),
IF(INDEX(final_duration_tertiary,((WEEKDAY(E$3,2)*2-1)+IF(E255="Morning",0,1)),D255)="","",INDEX(sessions_description_tertiary,,INDEX(plan_session_allocation,((WEEKDAY(E$3,2)*2-1)+IF(E255="Morning",0,1)),D255))),
IF(INDEX(display_nutrition_description,((WEEKDAY(E$3,2)*2-1)+IF(E255="Morning",0,1)),D255)="","",
CONCATENATE("
Meal Plan: ", INDEX(sessions_nutrition,,INDEX(plan_session_allocation,((WEEKDAY(E$3,2)*2-1)+IF(E255="Morning",0,1)),D255)), "
", INDEX(display_nutrition_description,((WEEKDAY(E$3,2)*2-1)+IF(E255="Morning",0,1)),D255)))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261" s="1914"/>
      <c r="F261" s="1914"/>
      <c r="G261" s="1915"/>
      <c r="H261" s="177"/>
      <c r="I261" s="1913" t="str">
        <f ca="1">IF(L255&gt;0,CONCATENATE(IFERROR(CONCATENATE(IF(INDEX(display_intervals_breakdown,((WEEKDAY(J$3,2)*2-1)+IF(J255="Morning",0,1)),I255)="","",CONCATENATE("Intervals/Reps Breakdown: 
",INDEX(display_intervals_breakdown,((WEEKDAY(J$3,2)*2-1)+IF(J255="Morning",0,1)),I255),"
")),"Session Description: 
",CONCATENATE(IF(INDEX(final_duration_secondary,((WEEKDAY(J$3,2)*2-1)+IF(J255="Morning",0,1)),I255)=0,"","1. "),
INDEX(sessions_description_primary,,INDEX(plan_session_allocation,((WEEKDAY(J$3,2)*2-1)+IF(J255="Morning",0,1)),I255)),IF(INDEX(final_duration_secondary,((WEEKDAY(J$3,2)*2-1)+IF(J255="Morning",0,1)),I255)=0,"","
2. "),
IF(INDEX(final_duration_secondary,((WEEKDAY(J$3,2)*2-1)+IF(J255="Morning",0,1)),I255)=0,"",INDEX(sessions_description_secondary,,INDEX(plan_session_allocation,((WEEKDAY(J$3,2)*2-1)+IF(J255="Morning",0,1)),I255))),IF(INDEX(final_duration_tertiary,((WEEKDAY(J$3,2)*2-1)+IF(J255="Morning",0,1)),I255)=0,"","
3. "),
IF(INDEX(final_duration_tertiary,((WEEKDAY(J$3,2)*2-1)+IF(J255="Morning",0,1)),I255)="","",INDEX(sessions_description_tertiary,,INDEX(plan_session_allocation,((WEEKDAY(J$3,2)*2-1)+IF(J255="Morning",0,1)),I255))),
IF(INDEX(display_nutrition_description,((WEEKDAY(J$3,2)*2-1)+IF(J255="Morning",0,1)),I255)="","",
CONCATENATE("
Meal Plan: ", INDEX(sessions_nutrition,,INDEX(plan_session_allocation,((WEEKDAY(J$3,2)*2-1)+IF(J255="Morning",0,1)),I255)), "
", INDEX(display_nutrition_description,((WEEKDAY(J$3,2)*2-1)+IF(J255="Morning",0,1)),I255)))
)),"")),"")</f>
        <v>Session Description: 
Accelerate to a fast pace which you should be able to hold for 50 minutes in a race situation. This will take concentration, but it's important to keep the intensity even, so do not start too hard. Warm up and warm down for 10 minutes each.</v>
      </c>
      <c r="J261" s="1914"/>
      <c r="K261" s="1914"/>
      <c r="L261" s="1915"/>
      <c r="M261" s="177"/>
      <c r="N261" s="1913" t="str">
        <f ca="1">IF(Q255&gt;0,CONCATENATE(IFERROR(CONCATENATE(IF(INDEX(display_intervals_breakdown,((WEEKDAY(O$3,2)*2-1)+IF(O255="Morning",0,1)),N255)="","",CONCATENATE("Intervals/Reps Breakdown: 
",INDEX(display_intervals_breakdown,((WEEKDAY(O$3,2)*2-1)+IF(O255="Morning",0,1)),N255),"
")),"Session Description: 
",CONCATENATE(IF(INDEX(final_duration_secondary,((WEEKDAY(O$3,2)*2-1)+IF(O255="Morning",0,1)),N255)=0,"","1. "),
INDEX(sessions_description_primary,,INDEX(plan_session_allocation,((WEEKDAY(O$3,2)*2-1)+IF(O255="Morning",0,1)),N255)),IF(INDEX(final_duration_secondary,((WEEKDAY(O$3,2)*2-1)+IF(O255="Morning",0,1)),N255)=0,"","
2. "),
IF(INDEX(final_duration_secondary,((WEEKDAY(O$3,2)*2-1)+IF(O255="Morning",0,1)),N255)=0,"",INDEX(sessions_description_secondary,,INDEX(plan_session_allocation,((WEEKDAY(O$3,2)*2-1)+IF(O255="Morning",0,1)),N255))),IF(INDEX(final_duration_tertiary,((WEEKDAY(O$3,2)*2-1)+IF(O255="Morning",0,1)),N255)=0,"","
3. "),
IF(INDEX(final_duration_tertiary,((WEEKDAY(O$3,2)*2-1)+IF(O255="Morning",0,1)),N255)="","",INDEX(sessions_description_tertiary,,INDEX(plan_session_allocation,((WEEKDAY(O$3,2)*2-1)+IF(O255="Morning",0,1)),N255))),
IF(INDEX(display_nutrition_description,((WEEKDAY(O$3,2)*2-1)+IF(O255="Morning",0,1)),N255)="","",
CONCATENATE("
Meal Plan: ", INDEX(sessions_nutrition,,INDEX(plan_session_allocation,((WEEKDAY(O$3,2)*2-1)+IF(O255="Morning",0,1)),N255)), "
", INDEX(display_nutrition_description,((WEEKDAY(O$3,2)*2-1)+IF(O255="Morning",0,1)),N255)))
)),"")),"")</f>
        <v>Session Description: 
Stay at a comfortable and controlled intensity where you should be able to have a conversation without large pauses. Keep an even intensity and accept that your pace may change as the terrain changes.</v>
      </c>
      <c r="O261" s="1914"/>
      <c r="P261" s="1914"/>
      <c r="Q261" s="1915"/>
      <c r="R261" s="177"/>
      <c r="S261" s="1913" t="str">
        <f ca="1">IF(V255&gt;0,CONCATENATE(IFERROR(CONCATENATE(IF(INDEX(display_intervals_breakdown,((WEEKDAY(T$3,2)*2-1)+IF(T255="Morning",0,1)),S255)="","",CONCATENATE("Intervals/Reps Breakdown: 
",INDEX(display_intervals_breakdown,((WEEKDAY(T$3,2)*2-1)+IF(T255="Morning",0,1)),S255),"
")),"Session Description: 
",CONCATENATE(IF(INDEX(final_duration_secondary,((WEEKDAY(T$3,2)*2-1)+IF(T255="Morning",0,1)),S255)=0,"","1. "),
INDEX(sessions_description_primary,,INDEX(plan_session_allocation,((WEEKDAY(T$3,2)*2-1)+IF(T255="Morning",0,1)),S255)),IF(INDEX(final_duration_secondary,((WEEKDAY(T$3,2)*2-1)+IF(T255="Morning",0,1)),S255)=0,"","
2. "),
IF(INDEX(final_duration_secondary,((WEEKDAY(T$3,2)*2-1)+IF(T255="Morning",0,1)),S255)=0,"",INDEX(sessions_description_secondary,,INDEX(plan_session_allocation,((WEEKDAY(T$3,2)*2-1)+IF(T255="Morning",0,1)),S255))),IF(INDEX(final_duration_tertiary,((WEEKDAY(T$3,2)*2-1)+IF(T255="Morning",0,1)),S255)=0,"","
3. "),
IF(INDEX(final_duration_tertiary,((WEEKDAY(T$3,2)*2-1)+IF(T255="Morning",0,1)),S255)="","",INDEX(sessions_description_tertiary,,INDEX(plan_session_allocation,((WEEKDAY(T$3,2)*2-1)+IF(T255="Morning",0,1)),S255))),
IF(INDEX(display_nutrition_description,((WEEKDAY(T$3,2)*2-1)+IF(T255="Morning",0,1)),S255)="","",
CONCATENATE("
Meal Plan: ", INDEX(sessions_nutrition,,INDEX(plan_session_allocation,((WEEKDAY(T$3,2)*2-1)+IF(T255="Morning",0,1)),S255)), "
", INDEX(display_nutrition_description,((WEEKDAY(T$3,2)*2-1)+IF(T255="Morning",0,1)),S255)))
)),"")),"")</f>
        <v>Session Description: 
Stay at a comfortable and controlled intensity where you should be able to have a conversation without large pauses. Keep an even intensity and accept that your pace may change as the terrain changes.</v>
      </c>
      <c r="T261" s="1914"/>
      <c r="U261" s="1914"/>
      <c r="V261" s="1915"/>
      <c r="W261" s="177"/>
      <c r="X261" s="1913" t="str">
        <f ca="1">IF(AA255&gt;0,CONCATENATE(IFERROR(CONCATENATE(IF(INDEX(display_intervals_breakdown,((WEEKDAY(Y$3,2)*2-1)+IF(Y255="Morning",0,1)),X255)="","",CONCATENATE("Intervals/Reps Breakdown: 
",INDEX(display_intervals_breakdown,((WEEKDAY(Y$3,2)*2-1)+IF(Y255="Morning",0,1)),X255),"
")),"Session Description: 
",CONCATENATE(IF(INDEX(final_duration_secondary,((WEEKDAY(Y$3,2)*2-1)+IF(Y255="Morning",0,1)),X255)=0,"","1. "),
INDEX(sessions_description_primary,,INDEX(plan_session_allocation,((WEEKDAY(Y$3,2)*2-1)+IF(Y255="Morning",0,1)),X255)),IF(INDEX(final_duration_secondary,((WEEKDAY(Y$3,2)*2-1)+IF(Y255="Morning",0,1)),X255)=0,"","
2. "),
IF(INDEX(final_duration_secondary,((WEEKDAY(Y$3,2)*2-1)+IF(Y255="Morning",0,1)),X255)=0,"",INDEX(sessions_description_secondary,,INDEX(plan_session_allocation,((WEEKDAY(Y$3,2)*2-1)+IF(Y255="Morning",0,1)),X255))),IF(INDEX(final_duration_tertiary,((WEEKDAY(Y$3,2)*2-1)+IF(Y255="Morning",0,1)),X255)=0,"","
3. "),
IF(INDEX(final_duration_tertiary,((WEEKDAY(Y$3,2)*2-1)+IF(Y255="Morning",0,1)),X255)="","",INDEX(sessions_description_tertiary,,INDEX(plan_session_allocation,((WEEKDAY(Y$3,2)*2-1)+IF(Y255="Morning",0,1)),X255))),
IF(INDEX(display_nutrition_description,((WEEKDAY(Y$3,2)*2-1)+IF(Y255="Morning",0,1)),X255)="","",
CONCATENATE("
Meal Plan: ", INDEX(sessions_nutrition,,INDEX(plan_session_allocation,((WEEKDAY(Y$3,2)*2-1)+IF(Y255="Morning",0,1)),X255)), "
", INDEX(display_nutrition_description,((WEEKDAY(Y$3,2)*2-1)+IF(Y255="Morning",0,1)),X255)))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261" s="1914"/>
      <c r="Z261" s="1914"/>
      <c r="AA261" s="1915"/>
      <c r="AB261" s="177"/>
      <c r="AC261" s="1913" t="str">
        <f ca="1">IF(AF255&gt;0,CONCATENATE(IFERROR(CONCATENATE(IF(INDEX(display_intervals_breakdown,((WEEKDAY(AD$3,2)*2-1)+IF(AD255="Morning",0,1)),AC255)="","",CONCATENATE("Intervals/Reps Breakdown: 
",INDEX(display_intervals_breakdown,((WEEKDAY(AD$3,2)*2-1)+IF(AD255="Morning",0,1)),AC255),"
")),"Session Description: 
",CONCATENATE(IF(INDEX(final_duration_secondary,((WEEKDAY(AD$3,2)*2-1)+IF(AD255="Morning",0,1)),AC255)=0,"","1. "),
INDEX(sessions_description_primary,,INDEX(plan_session_allocation,((WEEKDAY(AD$3,2)*2-1)+IF(AD255="Morning",0,1)),AC255)),IF(INDEX(final_duration_secondary,((WEEKDAY(AD$3,2)*2-1)+IF(AD255="Morning",0,1)),AC255)=0,"","
2. "),
IF(INDEX(final_duration_secondary,((WEEKDAY(AD$3,2)*2-1)+IF(AD255="Morning",0,1)),AC255)=0,"",INDEX(sessions_description_secondary,,INDEX(plan_session_allocation,((WEEKDAY(AD$3,2)*2-1)+IF(AD255="Morning",0,1)),AC255))),IF(INDEX(final_duration_tertiary,((WEEKDAY(AD$3,2)*2-1)+IF(AD255="Morning",0,1)),AC255)=0,"","
3. "),
IF(INDEX(final_duration_tertiary,((WEEKDAY(AD$3,2)*2-1)+IF(AD255="Morning",0,1)),AC255)="","",INDEX(sessions_description_tertiary,,INDEX(plan_session_allocation,((WEEKDAY(AD$3,2)*2-1)+IF(AD255="Morning",0,1)),AC255))),
IF(INDEX(display_nutrition_description,((WEEKDAY(AD$3,2)*2-1)+IF(AD255="Morning",0,1)),AC255)="","",
CONCATENATE("
Meal Plan: ", INDEX(sessions_nutrition,,INDEX(plan_session_allocation,((WEEKDAY(AD$3,2)*2-1)+IF(AD255="Morning",0,1)),AC255)), "
", INDEX(display_nutrition_description,((WEEKDAY(AD$3,2)*2-1)+IF(AD255="Morning",0,1)),AC255)))
)),"")),"")</f>
        <v>Session Description: 
Stay at a comfortable and controlled intensity where you should be able to have a conversation without large pauses. Keep an even intensity and accept that your pace may change as the terrain changes.</v>
      </c>
      <c r="AD261" s="1914"/>
      <c r="AE261" s="1914"/>
      <c r="AF261" s="1915"/>
      <c r="AG261" s="177"/>
      <c r="AH261" s="1913" t="str">
        <f ca="1">IF(AK255&gt;0,CONCATENATE(IFERROR(CONCATENATE(IF(INDEX(display_intervals_breakdown,((WEEKDAY(AI$3,2)*2-1)+IF(AI255="Morning",0,1)),AH255)="","",CONCATENATE("Intervals/Reps Breakdown: 
",INDEX(display_intervals_breakdown,((WEEKDAY(AI$3,2)*2-1)+IF(AI255="Morning",0,1)),AH255),"
")),"Session Description: 
",CONCATENATE(IF(INDEX(final_duration_secondary,((WEEKDAY(AI$3,2)*2-1)+IF(AI255="Morning",0,1)),AH255)=0,"","1. "),
INDEX(sessions_description_primary,,INDEX(plan_session_allocation,((WEEKDAY(AI$3,2)*2-1)+IF(AI255="Morning",0,1)),AH255)),IF(INDEX(final_duration_secondary,((WEEKDAY(AI$3,2)*2-1)+IF(AI255="Morning",0,1)),AH255)=0,"","
2. "),
IF(INDEX(final_duration_secondary,((WEEKDAY(AI$3,2)*2-1)+IF(AI255="Morning",0,1)),AH255)=0,"",INDEX(sessions_description_secondary,,INDEX(plan_session_allocation,((WEEKDAY(AI$3,2)*2-1)+IF(AI255="Morning",0,1)),AH255))),IF(INDEX(final_duration_tertiary,((WEEKDAY(AI$3,2)*2-1)+IF(AI255="Morning",0,1)),AH255)=0,"","
3. "),
IF(INDEX(final_duration_tertiary,((WEEKDAY(AI$3,2)*2-1)+IF(AI255="Morning",0,1)),AH255)="","",INDEX(sessions_description_tertiary,,INDEX(plan_session_allocation,((WEEKDAY(AI$3,2)*2-1)+IF(AI255="Morning",0,1)),AH255))),
IF(INDEX(display_nutrition_description,((WEEKDAY(AI$3,2)*2-1)+IF(AI255="Morning",0,1)),AH255)="","",
CONCATENATE("
Meal Plan: ", INDEX(sessions_nutrition,,INDEX(plan_session_allocation,((WEEKDAY(AI$3,2)*2-1)+IF(AI255="Morning",0,1)),AH255)), "
", INDEX(display_nutrition_description,((WEEKDAY(AI$3,2)*2-1)+IF(AI255="Morning",0,1)),AH255)))
)),"")),"")</f>
        <v/>
      </c>
      <c r="AI261" s="1914"/>
      <c r="AJ261" s="1914"/>
      <c r="AK261" s="1915"/>
      <c r="AL261" s="177"/>
    </row>
    <row r="262" spans="2:38" s="176" customFormat="1" ht="15" customHeight="1" x14ac:dyDescent="0.45">
      <c r="B262" s="1942"/>
      <c r="C262" s="1945"/>
      <c r="D262" s="1916"/>
      <c r="E262" s="1917"/>
      <c r="F262" s="1917"/>
      <c r="G262" s="1918"/>
      <c r="H262" s="177"/>
      <c r="I262" s="1916"/>
      <c r="J262" s="1917"/>
      <c r="K262" s="1917"/>
      <c r="L262" s="1918"/>
      <c r="M262" s="177"/>
      <c r="N262" s="1916"/>
      <c r="O262" s="1917"/>
      <c r="P262" s="1917"/>
      <c r="Q262" s="1918"/>
      <c r="R262" s="177"/>
      <c r="S262" s="1916"/>
      <c r="T262" s="1917"/>
      <c r="U262" s="1917"/>
      <c r="V262" s="1918"/>
      <c r="W262" s="177"/>
      <c r="X262" s="1916"/>
      <c r="Y262" s="1917"/>
      <c r="Z262" s="1917"/>
      <c r="AA262" s="1918"/>
      <c r="AB262" s="177"/>
      <c r="AC262" s="1916"/>
      <c r="AD262" s="1917"/>
      <c r="AE262" s="1917"/>
      <c r="AF262" s="1918"/>
      <c r="AG262" s="177"/>
      <c r="AH262" s="1916"/>
      <c r="AI262" s="1917"/>
      <c r="AJ262" s="1917"/>
      <c r="AK262" s="1918"/>
      <c r="AL262" s="177"/>
    </row>
    <row r="263" spans="2:38" s="176" customFormat="1" ht="15" customHeight="1" x14ac:dyDescent="0.45">
      <c r="B263" s="1942"/>
      <c r="C263" s="1945"/>
      <c r="D263" s="1916"/>
      <c r="E263" s="1917"/>
      <c r="F263" s="1917"/>
      <c r="G263" s="1918"/>
      <c r="H263" s="177"/>
      <c r="I263" s="1916"/>
      <c r="J263" s="1917"/>
      <c r="K263" s="1917"/>
      <c r="L263" s="1918"/>
      <c r="M263" s="177"/>
      <c r="N263" s="1916"/>
      <c r="O263" s="1917"/>
      <c r="P263" s="1917"/>
      <c r="Q263" s="1918"/>
      <c r="R263" s="177"/>
      <c r="S263" s="1916"/>
      <c r="T263" s="1917"/>
      <c r="U263" s="1917"/>
      <c r="V263" s="1918"/>
      <c r="W263" s="177"/>
      <c r="X263" s="1916"/>
      <c r="Y263" s="1917"/>
      <c r="Z263" s="1917"/>
      <c r="AA263" s="1918"/>
      <c r="AB263" s="177"/>
      <c r="AC263" s="1916"/>
      <c r="AD263" s="1917"/>
      <c r="AE263" s="1917"/>
      <c r="AF263" s="1918"/>
      <c r="AG263" s="177"/>
      <c r="AH263" s="1916"/>
      <c r="AI263" s="1917"/>
      <c r="AJ263" s="1917"/>
      <c r="AK263" s="1918"/>
      <c r="AL263" s="177"/>
    </row>
    <row r="264" spans="2:38" s="176" customFormat="1" x14ac:dyDescent="0.45">
      <c r="B264" s="1942"/>
      <c r="C264" s="1945"/>
      <c r="D264" s="1916"/>
      <c r="E264" s="1917"/>
      <c r="F264" s="1917"/>
      <c r="G264" s="1918"/>
      <c r="H264" s="177"/>
      <c r="I264" s="1916"/>
      <c r="J264" s="1917"/>
      <c r="K264" s="1917"/>
      <c r="L264" s="1918"/>
      <c r="M264" s="177"/>
      <c r="N264" s="1916"/>
      <c r="O264" s="1917"/>
      <c r="P264" s="1917"/>
      <c r="Q264" s="1918"/>
      <c r="R264" s="177"/>
      <c r="S264" s="1916"/>
      <c r="T264" s="1917"/>
      <c r="U264" s="1917"/>
      <c r="V264" s="1918"/>
      <c r="W264" s="177"/>
      <c r="X264" s="1916"/>
      <c r="Y264" s="1917"/>
      <c r="Z264" s="1917"/>
      <c r="AA264" s="1918"/>
      <c r="AB264" s="177"/>
      <c r="AC264" s="1916"/>
      <c r="AD264" s="1917"/>
      <c r="AE264" s="1917"/>
      <c r="AF264" s="1918"/>
      <c r="AG264" s="177"/>
      <c r="AH264" s="1916"/>
      <c r="AI264" s="1917"/>
      <c r="AJ264" s="1917"/>
      <c r="AK264" s="1918"/>
      <c r="AL264" s="177"/>
    </row>
    <row r="265" spans="2:38" s="176" customFormat="1" x14ac:dyDescent="0.45">
      <c r="B265" s="1942"/>
      <c r="C265" s="1945"/>
      <c r="D265" s="1916"/>
      <c r="E265" s="1917"/>
      <c r="F265" s="1917"/>
      <c r="G265" s="1918"/>
      <c r="H265" s="177"/>
      <c r="I265" s="1916"/>
      <c r="J265" s="1917"/>
      <c r="K265" s="1917"/>
      <c r="L265" s="1918"/>
      <c r="M265" s="177"/>
      <c r="N265" s="1916"/>
      <c r="O265" s="1917"/>
      <c r="P265" s="1917"/>
      <c r="Q265" s="1918"/>
      <c r="R265" s="177"/>
      <c r="S265" s="1916"/>
      <c r="T265" s="1917"/>
      <c r="U265" s="1917"/>
      <c r="V265" s="1918"/>
      <c r="W265" s="177"/>
      <c r="X265" s="1916"/>
      <c r="Y265" s="1917"/>
      <c r="Z265" s="1917"/>
      <c r="AA265" s="1918"/>
      <c r="AB265" s="177"/>
      <c r="AC265" s="1916"/>
      <c r="AD265" s="1917"/>
      <c r="AE265" s="1917"/>
      <c r="AF265" s="1918"/>
      <c r="AG265" s="177"/>
      <c r="AH265" s="1916"/>
      <c r="AI265" s="1917"/>
      <c r="AJ265" s="1917"/>
      <c r="AK265" s="1918"/>
      <c r="AL265" s="177"/>
    </row>
    <row r="266" spans="2:38" s="176" customFormat="1" x14ac:dyDescent="0.45">
      <c r="B266" s="1942"/>
      <c r="C266" s="1945"/>
      <c r="D266" s="1916"/>
      <c r="E266" s="1917"/>
      <c r="F266" s="1917"/>
      <c r="G266" s="1918"/>
      <c r="H266" s="177"/>
      <c r="I266" s="1916"/>
      <c r="J266" s="1917"/>
      <c r="K266" s="1917"/>
      <c r="L266" s="1918"/>
      <c r="M266" s="177"/>
      <c r="N266" s="1916"/>
      <c r="O266" s="1917"/>
      <c r="P266" s="1917"/>
      <c r="Q266" s="1918"/>
      <c r="R266" s="177"/>
      <c r="S266" s="1916"/>
      <c r="T266" s="1917"/>
      <c r="U266" s="1917"/>
      <c r="V266" s="1918"/>
      <c r="W266" s="177"/>
      <c r="X266" s="1916"/>
      <c r="Y266" s="1917"/>
      <c r="Z266" s="1917"/>
      <c r="AA266" s="1918"/>
      <c r="AB266" s="177"/>
      <c r="AC266" s="1916"/>
      <c r="AD266" s="1917"/>
      <c r="AE266" s="1917"/>
      <c r="AF266" s="1918"/>
      <c r="AG266" s="177"/>
      <c r="AH266" s="1916"/>
      <c r="AI266" s="1917"/>
      <c r="AJ266" s="1917"/>
      <c r="AK266" s="1918"/>
      <c r="AL266" s="177"/>
    </row>
    <row r="267" spans="2:38" s="176" customFormat="1" ht="15" customHeight="1" x14ac:dyDescent="0.45">
      <c r="B267" s="1942"/>
      <c r="C267" s="1945"/>
      <c r="D267" s="1916"/>
      <c r="E267" s="1917"/>
      <c r="F267" s="1917"/>
      <c r="G267" s="1918"/>
      <c r="H267" s="177"/>
      <c r="I267" s="1916"/>
      <c r="J267" s="1917"/>
      <c r="K267" s="1917"/>
      <c r="L267" s="1918"/>
      <c r="M267" s="177"/>
      <c r="N267" s="1916"/>
      <c r="O267" s="1917"/>
      <c r="P267" s="1917"/>
      <c r="Q267" s="1918"/>
      <c r="R267" s="177"/>
      <c r="S267" s="1916"/>
      <c r="T267" s="1917"/>
      <c r="U267" s="1917"/>
      <c r="V267" s="1918"/>
      <c r="W267" s="177"/>
      <c r="X267" s="1916"/>
      <c r="Y267" s="1917"/>
      <c r="Z267" s="1917"/>
      <c r="AA267" s="1918"/>
      <c r="AB267" s="177"/>
      <c r="AC267" s="1916"/>
      <c r="AD267" s="1917"/>
      <c r="AE267" s="1917"/>
      <c r="AF267" s="1918"/>
      <c r="AG267" s="177"/>
      <c r="AH267" s="1916"/>
      <c r="AI267" s="1917"/>
      <c r="AJ267" s="1917"/>
      <c r="AK267" s="1918"/>
      <c r="AL267" s="177"/>
    </row>
    <row r="268" spans="2:38" s="176" customFormat="1" ht="15" customHeight="1" x14ac:dyDescent="0.45">
      <c r="B268" s="1942"/>
      <c r="C268" s="1945"/>
      <c r="D268" s="1916"/>
      <c r="E268" s="1917"/>
      <c r="F268" s="1917"/>
      <c r="G268" s="1918"/>
      <c r="H268" s="177"/>
      <c r="I268" s="1916"/>
      <c r="J268" s="1917"/>
      <c r="K268" s="1917"/>
      <c r="L268" s="1918"/>
      <c r="M268" s="177"/>
      <c r="N268" s="1916"/>
      <c r="O268" s="1917"/>
      <c r="P268" s="1917"/>
      <c r="Q268" s="1918"/>
      <c r="R268" s="177"/>
      <c r="S268" s="1916"/>
      <c r="T268" s="1917"/>
      <c r="U268" s="1917"/>
      <c r="V268" s="1918"/>
      <c r="W268" s="177"/>
      <c r="X268" s="1916"/>
      <c r="Y268" s="1917"/>
      <c r="Z268" s="1917"/>
      <c r="AA268" s="1918"/>
      <c r="AB268" s="177"/>
      <c r="AC268" s="1916"/>
      <c r="AD268" s="1917"/>
      <c r="AE268" s="1917"/>
      <c r="AF268" s="1918"/>
      <c r="AG268" s="177"/>
      <c r="AH268" s="1916"/>
      <c r="AI268" s="1917"/>
      <c r="AJ268" s="1917"/>
      <c r="AK268" s="1918"/>
      <c r="AL268" s="177"/>
    </row>
    <row r="269" spans="2:38" s="176" customFormat="1" x14ac:dyDescent="0.45">
      <c r="B269" s="1942"/>
      <c r="C269" s="1945"/>
      <c r="D269" s="1916"/>
      <c r="E269" s="1917"/>
      <c r="F269" s="1917"/>
      <c r="G269" s="1918"/>
      <c r="H269" s="177"/>
      <c r="I269" s="1916"/>
      <c r="J269" s="1917"/>
      <c r="K269" s="1917"/>
      <c r="L269" s="1918"/>
      <c r="M269" s="177"/>
      <c r="N269" s="1916"/>
      <c r="O269" s="1917"/>
      <c r="P269" s="1917"/>
      <c r="Q269" s="1918"/>
      <c r="R269" s="177"/>
      <c r="S269" s="1916"/>
      <c r="T269" s="1917"/>
      <c r="U269" s="1917"/>
      <c r="V269" s="1918"/>
      <c r="W269" s="177"/>
      <c r="X269" s="1916"/>
      <c r="Y269" s="1917"/>
      <c r="Z269" s="1917"/>
      <c r="AA269" s="1918"/>
      <c r="AB269" s="177"/>
      <c r="AC269" s="1916"/>
      <c r="AD269" s="1917"/>
      <c r="AE269" s="1917"/>
      <c r="AF269" s="1918"/>
      <c r="AG269" s="177"/>
      <c r="AH269" s="1916"/>
      <c r="AI269" s="1917"/>
      <c r="AJ269" s="1917"/>
      <c r="AK269" s="1918"/>
      <c r="AL269" s="177"/>
    </row>
    <row r="270" spans="2:38" s="176" customFormat="1" x14ac:dyDescent="0.45">
      <c r="B270" s="1942"/>
      <c r="C270" s="1945"/>
      <c r="D270" s="1916"/>
      <c r="E270" s="1917"/>
      <c r="F270" s="1917"/>
      <c r="G270" s="1918"/>
      <c r="H270" s="177"/>
      <c r="I270" s="1916"/>
      <c r="J270" s="1917"/>
      <c r="K270" s="1917"/>
      <c r="L270" s="1918"/>
      <c r="M270" s="177"/>
      <c r="N270" s="1916"/>
      <c r="O270" s="1917"/>
      <c r="P270" s="1917"/>
      <c r="Q270" s="1918"/>
      <c r="R270" s="177"/>
      <c r="S270" s="1916"/>
      <c r="T270" s="1917"/>
      <c r="U270" s="1917"/>
      <c r="V270" s="1918"/>
      <c r="W270" s="177"/>
      <c r="X270" s="1916"/>
      <c r="Y270" s="1917"/>
      <c r="Z270" s="1917"/>
      <c r="AA270" s="1918"/>
      <c r="AB270" s="177"/>
      <c r="AC270" s="1916"/>
      <c r="AD270" s="1917"/>
      <c r="AE270" s="1917"/>
      <c r="AF270" s="1918"/>
      <c r="AG270" s="177"/>
      <c r="AH270" s="1916"/>
      <c r="AI270" s="1917"/>
      <c r="AJ270" s="1917"/>
      <c r="AK270" s="1918"/>
      <c r="AL270" s="177"/>
    </row>
    <row r="271" spans="2:38" s="176" customFormat="1" x14ac:dyDescent="0.45">
      <c r="B271" s="1942"/>
      <c r="C271" s="1945"/>
      <c r="D271" s="1916"/>
      <c r="E271" s="1917"/>
      <c r="F271" s="1917"/>
      <c r="G271" s="1918"/>
      <c r="H271" s="177"/>
      <c r="I271" s="1916"/>
      <c r="J271" s="1917"/>
      <c r="K271" s="1917"/>
      <c r="L271" s="1918"/>
      <c r="M271" s="177"/>
      <c r="N271" s="1916"/>
      <c r="O271" s="1917"/>
      <c r="P271" s="1917"/>
      <c r="Q271" s="1918"/>
      <c r="R271" s="177"/>
      <c r="S271" s="1916"/>
      <c r="T271" s="1917"/>
      <c r="U271" s="1917"/>
      <c r="V271" s="1918"/>
      <c r="W271" s="177"/>
      <c r="X271" s="1916"/>
      <c r="Y271" s="1917"/>
      <c r="Z271" s="1917"/>
      <c r="AA271" s="1918"/>
      <c r="AB271" s="177"/>
      <c r="AC271" s="1916"/>
      <c r="AD271" s="1917"/>
      <c r="AE271" s="1917"/>
      <c r="AF271" s="1918"/>
      <c r="AG271" s="177"/>
      <c r="AH271" s="1916"/>
      <c r="AI271" s="1917"/>
      <c r="AJ271" s="1917"/>
      <c r="AK271" s="1918"/>
      <c r="AL271" s="177"/>
    </row>
    <row r="272" spans="2:38" s="176" customFormat="1" x14ac:dyDescent="0.45">
      <c r="B272" s="1942"/>
      <c r="C272" s="1945"/>
      <c r="D272" s="1916"/>
      <c r="E272" s="1917"/>
      <c r="F272" s="1917"/>
      <c r="G272" s="1918"/>
      <c r="H272" s="177"/>
      <c r="I272" s="1916"/>
      <c r="J272" s="1917"/>
      <c r="K272" s="1917"/>
      <c r="L272" s="1918"/>
      <c r="M272" s="177"/>
      <c r="N272" s="1916"/>
      <c r="O272" s="1917"/>
      <c r="P272" s="1917"/>
      <c r="Q272" s="1918"/>
      <c r="R272" s="177"/>
      <c r="S272" s="1916"/>
      <c r="T272" s="1917"/>
      <c r="U272" s="1917"/>
      <c r="V272" s="1918"/>
      <c r="W272" s="177"/>
      <c r="X272" s="1916"/>
      <c r="Y272" s="1917"/>
      <c r="Z272" s="1917"/>
      <c r="AA272" s="1918"/>
      <c r="AB272" s="177"/>
      <c r="AC272" s="1916"/>
      <c r="AD272" s="1917"/>
      <c r="AE272" s="1917"/>
      <c r="AF272" s="1918"/>
      <c r="AG272" s="177"/>
      <c r="AH272" s="1916"/>
      <c r="AI272" s="1917"/>
      <c r="AJ272" s="1917"/>
      <c r="AK272" s="1918"/>
      <c r="AL272" s="177"/>
    </row>
    <row r="273" spans="2:38" s="176" customFormat="1" x14ac:dyDescent="0.45">
      <c r="B273" s="1942"/>
      <c r="C273" s="1945"/>
      <c r="D273" s="1916"/>
      <c r="E273" s="1917"/>
      <c r="F273" s="1917"/>
      <c r="G273" s="1918"/>
      <c r="H273" s="177"/>
      <c r="I273" s="1916"/>
      <c r="J273" s="1917"/>
      <c r="K273" s="1917"/>
      <c r="L273" s="1918"/>
      <c r="M273" s="177"/>
      <c r="N273" s="1916"/>
      <c r="O273" s="1917"/>
      <c r="P273" s="1917"/>
      <c r="Q273" s="1918"/>
      <c r="R273" s="177"/>
      <c r="S273" s="1916"/>
      <c r="T273" s="1917"/>
      <c r="U273" s="1917"/>
      <c r="V273" s="1918"/>
      <c r="W273" s="177"/>
      <c r="X273" s="1916"/>
      <c r="Y273" s="1917"/>
      <c r="Z273" s="1917"/>
      <c r="AA273" s="1918"/>
      <c r="AB273" s="177"/>
      <c r="AC273" s="1916"/>
      <c r="AD273" s="1917"/>
      <c r="AE273" s="1917"/>
      <c r="AF273" s="1918"/>
      <c r="AG273" s="177"/>
      <c r="AH273" s="1916"/>
      <c r="AI273" s="1917"/>
      <c r="AJ273" s="1917"/>
      <c r="AK273" s="1918"/>
      <c r="AL273" s="177"/>
    </row>
    <row r="274" spans="2:38" s="176" customFormat="1" ht="15" customHeight="1" x14ac:dyDescent="0.45">
      <c r="B274" s="1942"/>
      <c r="C274" s="1945"/>
      <c r="D274" s="1919"/>
      <c r="E274" s="1920"/>
      <c r="F274" s="1920"/>
      <c r="G274" s="1921"/>
      <c r="H274" s="177"/>
      <c r="I274" s="1919"/>
      <c r="J274" s="1920"/>
      <c r="K274" s="1920"/>
      <c r="L274" s="1921"/>
      <c r="M274" s="177"/>
      <c r="N274" s="1919"/>
      <c r="O274" s="1920"/>
      <c r="P274" s="1920"/>
      <c r="Q274" s="1921"/>
      <c r="R274" s="177"/>
      <c r="S274" s="1919"/>
      <c r="T274" s="1920"/>
      <c r="U274" s="1920"/>
      <c r="V274" s="1921"/>
      <c r="W274" s="177"/>
      <c r="X274" s="1919"/>
      <c r="Y274" s="1920"/>
      <c r="Z274" s="1920"/>
      <c r="AA274" s="1921"/>
      <c r="AB274" s="177"/>
      <c r="AC274" s="1919"/>
      <c r="AD274" s="1920"/>
      <c r="AE274" s="1920"/>
      <c r="AF274" s="1921"/>
      <c r="AG274" s="177"/>
      <c r="AH274" s="1919"/>
      <c r="AI274" s="1920"/>
      <c r="AJ274" s="1920"/>
      <c r="AK274" s="1921"/>
      <c r="AL274" s="177"/>
    </row>
    <row r="275" spans="2:38" s="176" customFormat="1" ht="15" customHeight="1" x14ac:dyDescent="0.45">
      <c r="B275" s="1942"/>
      <c r="C275" s="1945"/>
      <c r="D275" s="1913" t="str">
        <f ca="1">IF(G255&gt;0,CONCATENATE("Session Aim: 
", CONCATENATE(IF(INDEX(final_duration_secondary,((WEEKDAY(E$3,2)*2-1)+IF(E255="Morning",0,1)),D255)=0, "", "1. "),
INDEX(sessions_aim_primary,, INDEX(plan_session_allocation,((WEEKDAY(E$3,2)*2-1)+IF(E255="Morning",0,1)),D255)), IF(INDEX(final_duration_secondary,((WEEKDAY(E$3,2)*2-1)+IF(E255="Morning",0,1)),D255)=0, "", "
2. "),
IF(INDEX(final_duration_secondary,((WEEKDAY(E$3,2)*2-1)+IF(E255="Morning",0,1)),D255)=0, "", INDEX(sessions_aim_secondary,, INDEX(plan_session_allocation,((WEEKDAY(E$3,2)*2-1)+IF(E255="Morning",0,1)),D255))), IF(INDEX(final_duration_tertiary,((WEEKDAY(E$3,2)*2-1)+IF(E255="Morning",0,1)),D255)=0, "", "
3. "),
IF(INDEX(final_duration_tertiary,((WEEKDAY(E$3,2)*2-1)+IF(E255="Morning",0,1)),D255)=0, "", INDEX(sessions_aim_tertiary,, INDEX(plan_session_allocation,((WEEKDAY(E$3,2)*2-1)+IF(E255="Morning",0,1)),D255))),
IF(INDEX(display_nutrition_description,((WEEKDAY(E$3,2)*2-1)+IF(E255="Morning",0,1)),D255)="","",
CONCATENATE("
Nutrition Aim:
", INDEX(sessions_aim_nutrition,,INDEX(plan_session_allocation,((WEEKDAY(E$3,2)*2-1)+IF(E255="Morning",0,1)),D255))
))
)),"")</f>
        <v xml:space="preserve">Session Aim: 
1. Increase strength of specific muscle groups, running economy and injury resistance. 
2. Release tension that develops in soft tissue from training and non-training stresses. </v>
      </c>
      <c r="E275" s="1914"/>
      <c r="F275" s="1914"/>
      <c r="G275" s="1915"/>
      <c r="H275" s="177"/>
      <c r="I275" s="1913" t="str">
        <f ca="1">IF(L255&gt;0,CONCATENATE("Session Aim: 
", CONCATENATE(IF(INDEX(final_duration_secondary,((WEEKDAY(J$3,2)*2-1)+IF(J255="Morning",0,1)),I255)=0, "", "1. "),
INDEX(sessions_aim_primary,, INDEX(plan_session_allocation,((WEEKDAY(J$3,2)*2-1)+IF(J255="Morning",0,1)),I255)), IF(INDEX(final_duration_secondary,((WEEKDAY(J$3,2)*2-1)+IF(J255="Morning",0,1)),I255)=0, "", "
2. "),
IF(INDEX(final_duration_secondary,((WEEKDAY(J$3,2)*2-1)+IF(J255="Morning",0,1)),I255)=0, "", INDEX(sessions_aim_secondary,, INDEX(plan_session_allocation,((WEEKDAY(J$3,2)*2-1)+IF(J255="Morning",0,1)),I255))), IF(INDEX(final_duration_tertiary,((WEEKDAY(J$3,2)*2-1)+IF(J255="Morning",0,1)),I255)=0, "", "
3. "),
IF(INDEX(final_duration_tertiary,((WEEKDAY(J$3,2)*2-1)+IF(J255="Morning",0,1)),I255)=0, "", INDEX(sessions_aim_tertiary,, INDEX(plan_session_allocation,((WEEKDAY(J$3,2)*2-1)+IF(J255="Morning",0,1)),I255))),
IF(INDEX(display_nutrition_description,((WEEKDAY(J$3,2)*2-1)+IF(J255="Morning",0,1)),I255)="","",
CONCATENATE("
Nutrition Aim:
", INDEX(sessions_aim_nutrition,,INDEX(plan_session_allocation,((WEEKDAY(J$3,2)*2-1)+IF(J255="Morning",0,1)),I255))
))
)),"")</f>
        <v xml:space="preserve">Session Aim: 
Improve endurance by increasing lactate threshold and developing mental toughness. </v>
      </c>
      <c r="J275" s="1914"/>
      <c r="K275" s="1914"/>
      <c r="L275" s="1915"/>
      <c r="M275" s="177"/>
      <c r="N275" s="1913" t="str">
        <f ca="1">IF(Q255&gt;0,CONCATENATE("Session Aim: 
", CONCATENATE(IF(INDEX(final_duration_secondary,((WEEKDAY(O$3,2)*2-1)+IF(O255="Morning",0,1)),N255)=0, "", "1. "),
INDEX(sessions_aim_primary,, INDEX(plan_session_allocation,((WEEKDAY(O$3,2)*2-1)+IF(O255="Morning",0,1)),N255)), IF(INDEX(final_duration_secondary,((WEEKDAY(O$3,2)*2-1)+IF(O255="Morning",0,1)),N255)=0, "", "
2. "),
IF(INDEX(final_duration_secondary,((WEEKDAY(O$3,2)*2-1)+IF(O255="Morning",0,1)),N255)=0, "", INDEX(sessions_aim_secondary,, INDEX(plan_session_allocation,((WEEKDAY(O$3,2)*2-1)+IF(O255="Morning",0,1)),N255))), IF(INDEX(final_duration_tertiary,((WEEKDAY(O$3,2)*2-1)+IF(O255="Morning",0,1)),N255)=0, "", "
3. "),
IF(INDEX(final_duration_tertiary,((WEEKDAY(O$3,2)*2-1)+IF(O255="Morning",0,1)),N255)=0, "", INDEX(sessions_aim_tertiary,, INDEX(plan_session_allocation,((WEEKDAY(O$3,2)*2-1)+IF(O255="Morning",0,1)),N255))),
IF(INDEX(display_nutrition_description,((WEEKDAY(O$3,2)*2-1)+IF(O255="Morning",0,1)),N255)="","",
CONCATENATE("
Nutrition Aim:
", INDEX(sessions_aim_nutrition,,INDEX(plan_session_allocation,((WEEKDAY(O$3,2)*2-1)+IF(O255="Morning",0,1)),N255))
))
)),"")</f>
        <v xml:space="preserve">Session Aim: 
Improve aerobic fitness while minimising the chance of injury. </v>
      </c>
      <c r="O275" s="1914"/>
      <c r="P275" s="1914"/>
      <c r="Q275" s="1915"/>
      <c r="R275" s="177"/>
      <c r="S275" s="1913" t="str">
        <f ca="1">IF(V255&gt;0,CONCATENATE("Session Aim: 
", CONCATENATE(IF(INDEX(final_duration_secondary,((WEEKDAY(T$3,2)*2-1)+IF(T255="Morning",0,1)),S255)=0, "", "1. "),
INDEX(sessions_aim_primary,, INDEX(plan_session_allocation,((WEEKDAY(T$3,2)*2-1)+IF(T255="Morning",0,1)),S255)), IF(INDEX(final_duration_secondary,((WEEKDAY(T$3,2)*2-1)+IF(T255="Morning",0,1)),S255)=0, "", "
2. "),
IF(INDEX(final_duration_secondary,((WEEKDAY(T$3,2)*2-1)+IF(T255="Morning",0,1)),S255)=0, "", INDEX(sessions_aim_secondary,, INDEX(plan_session_allocation,((WEEKDAY(T$3,2)*2-1)+IF(T255="Morning",0,1)),S255))), IF(INDEX(final_duration_tertiary,((WEEKDAY(T$3,2)*2-1)+IF(T255="Morning",0,1)),S255)=0, "", "
3. "),
IF(INDEX(final_duration_tertiary,((WEEKDAY(T$3,2)*2-1)+IF(T255="Morning",0,1)),S255)=0, "", INDEX(sessions_aim_tertiary,, INDEX(plan_session_allocation,((WEEKDAY(T$3,2)*2-1)+IF(T255="Morning",0,1)),S255))),
IF(INDEX(display_nutrition_description,((WEEKDAY(T$3,2)*2-1)+IF(T255="Morning",0,1)),S255)="","",
CONCATENATE("
Nutrition Aim:
", INDEX(sessions_aim_nutrition,,INDEX(plan_session_allocation,((WEEKDAY(T$3,2)*2-1)+IF(T255="Morning",0,1)),S255))
))
)),"")</f>
        <v>Session Aim: 
Improve aerobic fitness at an optimal rate.</v>
      </c>
      <c r="T275" s="1914"/>
      <c r="U275" s="1914"/>
      <c r="V275" s="1915"/>
      <c r="W275" s="177"/>
      <c r="X275" s="1913" t="str">
        <f ca="1">IF(AA255&gt;0,CONCATENATE("Session Aim: 
", CONCATENATE(IF(INDEX(final_duration_secondary,((WEEKDAY(Y$3,2)*2-1)+IF(Y255="Morning",0,1)),X255)=0, "", "1. "),
INDEX(sessions_aim_primary,, INDEX(plan_session_allocation,((WEEKDAY(Y$3,2)*2-1)+IF(Y255="Morning",0,1)),X255)), IF(INDEX(final_duration_secondary,((WEEKDAY(Y$3,2)*2-1)+IF(Y255="Morning",0,1)),X255)=0, "", "
2. "),
IF(INDEX(final_duration_secondary,((WEEKDAY(Y$3,2)*2-1)+IF(Y255="Morning",0,1)),X255)=0, "", INDEX(sessions_aim_secondary,, INDEX(plan_session_allocation,((WEEKDAY(Y$3,2)*2-1)+IF(Y255="Morning",0,1)),X255))), IF(INDEX(final_duration_tertiary,((WEEKDAY(Y$3,2)*2-1)+IF(Y255="Morning",0,1)),X255)=0, "", "
3. "),
IF(INDEX(final_duration_tertiary,((WEEKDAY(Y$3,2)*2-1)+IF(Y255="Morning",0,1)),X255)=0, "", INDEX(sessions_aim_tertiary,, INDEX(plan_session_allocation,((WEEKDAY(Y$3,2)*2-1)+IF(Y255="Morning",0,1)),X255))),
IF(INDEX(display_nutrition_description,((WEEKDAY(Y$3,2)*2-1)+IF(Y255="Morning",0,1)),X255)="","",
CONCATENATE("
Nutrition Aim:
", INDEX(sessions_aim_nutrition,,INDEX(plan_session_allocation,((WEEKDAY(Y$3,2)*2-1)+IF(Y255="Morning",0,1)),X255))
))
)),"")</f>
        <v xml:space="preserve">Session Aim: 
1. Increase strength of specific muscle groups, running economy and injury resistance. 
2. Release tension that develops in soft tissue from training and non-training stresses. </v>
      </c>
      <c r="Y275" s="1914"/>
      <c r="Z275" s="1914"/>
      <c r="AA275" s="1915"/>
      <c r="AB275" s="177"/>
      <c r="AC275" s="1913" t="str">
        <f ca="1">IF(AF255&gt;0,CONCATENATE("Session Aim: 
", CONCATENATE(IF(INDEX(final_duration_secondary,((WEEKDAY(AD$3,2)*2-1)+IF(AD255="Morning",0,1)),AC255)=0, "", "1. "),
INDEX(sessions_aim_primary,, INDEX(plan_session_allocation,((WEEKDAY(AD$3,2)*2-1)+IF(AD255="Morning",0,1)),AC255)), IF(INDEX(final_duration_secondary,((WEEKDAY(AD$3,2)*2-1)+IF(AD255="Morning",0,1)),AC255)=0, "", "
2. "),
IF(INDEX(final_duration_secondary,((WEEKDAY(AD$3,2)*2-1)+IF(AD255="Morning",0,1)),AC255)=0, "", INDEX(sessions_aim_secondary,, INDEX(plan_session_allocation,((WEEKDAY(AD$3,2)*2-1)+IF(AD255="Morning",0,1)),AC255))), IF(INDEX(final_duration_tertiary,((WEEKDAY(AD$3,2)*2-1)+IF(AD255="Morning",0,1)),AC255)=0, "", "
3. "),
IF(INDEX(final_duration_tertiary,((WEEKDAY(AD$3,2)*2-1)+IF(AD255="Morning",0,1)),AC255)=0, "", INDEX(sessions_aim_tertiary,, INDEX(plan_session_allocation,((WEEKDAY(AD$3,2)*2-1)+IF(AD255="Morning",0,1)),AC255))),
IF(INDEX(display_nutrition_description,((WEEKDAY(AD$3,2)*2-1)+IF(AD255="Morning",0,1)),AC255)="","",
CONCATENATE("
Nutrition Aim:
", INDEX(sessions_aim_nutrition,,INDEX(plan_session_allocation,((WEEKDAY(AD$3,2)*2-1)+IF(AD255="Morning",0,1)),AC255))
))
)),"")</f>
        <v xml:space="preserve">Session Aim: 
Improve aerobic fitness while minimising the chance of injury. </v>
      </c>
      <c r="AD275" s="1914"/>
      <c r="AE275" s="1914"/>
      <c r="AF275" s="1915"/>
      <c r="AG275" s="177"/>
      <c r="AH275" s="1913" t="str">
        <f ca="1">IF(AK255&gt;0,CONCATENATE("Session Aim: 
", CONCATENATE(IF(INDEX(final_duration_secondary,((WEEKDAY(AI$3,2)*2-1)+IF(AI255="Morning",0,1)),AH255)=0, "", "1. "),
INDEX(sessions_aim_primary,, INDEX(plan_session_allocation,((WEEKDAY(AI$3,2)*2-1)+IF(AI255="Morning",0,1)),AH255)), IF(INDEX(final_duration_secondary,((WEEKDAY(AI$3,2)*2-1)+IF(AI255="Morning",0,1)),AH255)=0, "", "
2. "),
IF(INDEX(final_duration_secondary,((WEEKDAY(AI$3,2)*2-1)+IF(AI255="Morning",0,1)),AH255)=0, "", INDEX(sessions_aim_secondary,, INDEX(plan_session_allocation,((WEEKDAY(AI$3,2)*2-1)+IF(AI255="Morning",0,1)),AH255))), IF(INDEX(final_duration_tertiary,((WEEKDAY(AI$3,2)*2-1)+IF(AI255="Morning",0,1)),AH255)=0, "", "
3. "),
IF(INDEX(final_duration_tertiary,((WEEKDAY(AI$3,2)*2-1)+IF(AI255="Morning",0,1)),AH255)=0, "", INDEX(sessions_aim_tertiary,, INDEX(plan_session_allocation,((WEEKDAY(AI$3,2)*2-1)+IF(AI255="Morning",0,1)),AH255))),
IF(INDEX(display_nutrition_description,((WEEKDAY(AI$3,2)*2-1)+IF(AI255="Morning",0,1)),AH255)="","",
CONCATENATE("
Nutrition Aim:
", INDEX(sessions_aim_nutrition,,INDEX(plan_session_allocation,((WEEKDAY(AI$3,2)*2-1)+IF(AI255="Morning",0,1)),AH255))
))
)),"")</f>
        <v/>
      </c>
      <c r="AI275" s="1914"/>
      <c r="AJ275" s="1914"/>
      <c r="AK275" s="1915"/>
      <c r="AL275" s="177"/>
    </row>
    <row r="276" spans="2:38" s="176" customFormat="1" x14ac:dyDescent="0.45">
      <c r="B276" s="1942"/>
      <c r="C276" s="1945"/>
      <c r="D276" s="1916"/>
      <c r="E276" s="1917"/>
      <c r="F276" s="1917"/>
      <c r="G276" s="1918"/>
      <c r="H276" s="177"/>
      <c r="I276" s="1916"/>
      <c r="J276" s="1917"/>
      <c r="K276" s="1917"/>
      <c r="L276" s="1918"/>
      <c r="M276" s="177"/>
      <c r="N276" s="1916"/>
      <c r="O276" s="1917"/>
      <c r="P276" s="1917"/>
      <c r="Q276" s="1918"/>
      <c r="R276" s="177"/>
      <c r="S276" s="1916"/>
      <c r="T276" s="1917"/>
      <c r="U276" s="1917"/>
      <c r="V276" s="1918"/>
      <c r="W276" s="177"/>
      <c r="X276" s="1916"/>
      <c r="Y276" s="1917"/>
      <c r="Z276" s="1917"/>
      <c r="AA276" s="1918"/>
      <c r="AB276" s="177"/>
      <c r="AC276" s="1916"/>
      <c r="AD276" s="1917"/>
      <c r="AE276" s="1917"/>
      <c r="AF276" s="1918"/>
      <c r="AG276" s="177"/>
      <c r="AH276" s="1916"/>
      <c r="AI276" s="1917"/>
      <c r="AJ276" s="1917"/>
      <c r="AK276" s="1918"/>
      <c r="AL276" s="177"/>
    </row>
    <row r="277" spans="2:38" s="176" customFormat="1" x14ac:dyDescent="0.45">
      <c r="B277" s="1942"/>
      <c r="C277" s="1945"/>
      <c r="D277" s="1916"/>
      <c r="E277" s="1917"/>
      <c r="F277" s="1917"/>
      <c r="G277" s="1918"/>
      <c r="H277" s="177"/>
      <c r="I277" s="1916"/>
      <c r="J277" s="1917"/>
      <c r="K277" s="1917"/>
      <c r="L277" s="1918"/>
      <c r="M277" s="177"/>
      <c r="N277" s="1916"/>
      <c r="O277" s="1917"/>
      <c r="P277" s="1917"/>
      <c r="Q277" s="1918"/>
      <c r="R277" s="177"/>
      <c r="S277" s="1916"/>
      <c r="T277" s="1917"/>
      <c r="U277" s="1917"/>
      <c r="V277" s="1918"/>
      <c r="W277" s="177"/>
      <c r="X277" s="1916"/>
      <c r="Y277" s="1917"/>
      <c r="Z277" s="1917"/>
      <c r="AA277" s="1918"/>
      <c r="AB277" s="177"/>
      <c r="AC277" s="1916"/>
      <c r="AD277" s="1917"/>
      <c r="AE277" s="1917"/>
      <c r="AF277" s="1918"/>
      <c r="AG277" s="177"/>
      <c r="AH277" s="1916"/>
      <c r="AI277" s="1917"/>
      <c r="AJ277" s="1917"/>
      <c r="AK277" s="1918"/>
      <c r="AL277" s="177"/>
    </row>
    <row r="278" spans="2:38" s="176" customFormat="1" x14ac:dyDescent="0.45">
      <c r="B278" s="1942"/>
      <c r="C278" s="1945"/>
      <c r="D278" s="1916"/>
      <c r="E278" s="1917"/>
      <c r="F278" s="1917"/>
      <c r="G278" s="1918"/>
      <c r="H278" s="177"/>
      <c r="I278" s="1916"/>
      <c r="J278" s="1917"/>
      <c r="K278" s="1917"/>
      <c r="L278" s="1918"/>
      <c r="M278" s="177"/>
      <c r="N278" s="1916"/>
      <c r="O278" s="1917"/>
      <c r="P278" s="1917"/>
      <c r="Q278" s="1918"/>
      <c r="R278" s="177"/>
      <c r="S278" s="1916"/>
      <c r="T278" s="1917"/>
      <c r="U278" s="1917"/>
      <c r="V278" s="1918"/>
      <c r="W278" s="177"/>
      <c r="X278" s="1916"/>
      <c r="Y278" s="1917"/>
      <c r="Z278" s="1917"/>
      <c r="AA278" s="1918"/>
      <c r="AB278" s="177"/>
      <c r="AC278" s="1916"/>
      <c r="AD278" s="1917"/>
      <c r="AE278" s="1917"/>
      <c r="AF278" s="1918"/>
      <c r="AG278" s="177"/>
      <c r="AH278" s="1916"/>
      <c r="AI278" s="1917"/>
      <c r="AJ278" s="1917"/>
      <c r="AK278" s="1918"/>
      <c r="AL278" s="177"/>
    </row>
    <row r="279" spans="2:38" s="176" customFormat="1" x14ac:dyDescent="0.45">
      <c r="B279" s="1942"/>
      <c r="C279" s="1945"/>
      <c r="D279" s="1916"/>
      <c r="E279" s="1917"/>
      <c r="F279" s="1917"/>
      <c r="G279" s="1918"/>
      <c r="H279" s="177"/>
      <c r="I279" s="1916"/>
      <c r="J279" s="1917"/>
      <c r="K279" s="1917"/>
      <c r="L279" s="1918"/>
      <c r="M279" s="177"/>
      <c r="N279" s="1916"/>
      <c r="O279" s="1917"/>
      <c r="P279" s="1917"/>
      <c r="Q279" s="1918"/>
      <c r="R279" s="177"/>
      <c r="S279" s="1916"/>
      <c r="T279" s="1917"/>
      <c r="U279" s="1917"/>
      <c r="V279" s="1918"/>
      <c r="W279" s="177"/>
      <c r="X279" s="1916"/>
      <c r="Y279" s="1917"/>
      <c r="Z279" s="1917"/>
      <c r="AA279" s="1918"/>
      <c r="AB279" s="177"/>
      <c r="AC279" s="1916"/>
      <c r="AD279" s="1917"/>
      <c r="AE279" s="1917"/>
      <c r="AF279" s="1918"/>
      <c r="AG279" s="177"/>
      <c r="AH279" s="1916"/>
      <c r="AI279" s="1917"/>
      <c r="AJ279" s="1917"/>
      <c r="AK279" s="1918"/>
      <c r="AL279" s="177"/>
    </row>
    <row r="280" spans="2:38" s="176" customFormat="1" x14ac:dyDescent="0.45">
      <c r="B280" s="1942"/>
      <c r="C280" s="1945"/>
      <c r="D280" s="1916"/>
      <c r="E280" s="1917"/>
      <c r="F280" s="1917"/>
      <c r="G280" s="1918"/>
      <c r="H280" s="177"/>
      <c r="I280" s="1916"/>
      <c r="J280" s="1917"/>
      <c r="K280" s="1917"/>
      <c r="L280" s="1918"/>
      <c r="N280" s="1916"/>
      <c r="O280" s="1917"/>
      <c r="P280" s="1917"/>
      <c r="Q280" s="1918"/>
      <c r="S280" s="1916"/>
      <c r="T280" s="1917"/>
      <c r="U280" s="1917"/>
      <c r="V280" s="1918"/>
      <c r="X280" s="1916"/>
      <c r="Y280" s="1917"/>
      <c r="Z280" s="1917"/>
      <c r="AA280" s="1918"/>
      <c r="AC280" s="1916"/>
      <c r="AD280" s="1917"/>
      <c r="AE280" s="1917"/>
      <c r="AF280" s="1918"/>
      <c r="AH280" s="1916"/>
      <c r="AI280" s="1917"/>
      <c r="AJ280" s="1917"/>
      <c r="AK280" s="1918"/>
    </row>
    <row r="281" spans="2:38" s="176" customFormat="1" ht="14.65" thickBot="1" x14ac:dyDescent="0.5">
      <c r="B281" s="1943"/>
      <c r="C281" s="1946"/>
      <c r="D281" s="1938"/>
      <c r="E281" s="1939"/>
      <c r="F281" s="1939"/>
      <c r="G281" s="1940"/>
      <c r="H281" s="177"/>
      <c r="I281" s="1938"/>
      <c r="J281" s="1939"/>
      <c r="K281" s="1939"/>
      <c r="L281" s="1940"/>
      <c r="N281" s="1938"/>
      <c r="O281" s="1939"/>
      <c r="P281" s="1939"/>
      <c r="Q281" s="1940"/>
      <c r="S281" s="1938"/>
      <c r="T281" s="1939"/>
      <c r="U281" s="1939"/>
      <c r="V281" s="1940"/>
      <c r="X281" s="1938"/>
      <c r="Y281" s="1939"/>
      <c r="Z281" s="1939"/>
      <c r="AA281" s="1940"/>
      <c r="AC281" s="1938"/>
      <c r="AD281" s="1939"/>
      <c r="AE281" s="1939"/>
      <c r="AF281" s="1940"/>
      <c r="AH281" s="1938"/>
      <c r="AI281" s="1939"/>
      <c r="AJ281" s="1939"/>
      <c r="AK281" s="1940"/>
    </row>
    <row r="282" spans="2:38" s="176" customFormat="1" ht="14.65" thickBot="1" x14ac:dyDescent="0.5">
      <c r="H282" s="177"/>
    </row>
    <row r="283" spans="2:38" s="176" customFormat="1" ht="15" customHeight="1" thickBot="1" x14ac:dyDescent="0.5">
      <c r="B283" s="1941">
        <v>6</v>
      </c>
      <c r="C283" s="1944" t="str">
        <f ca="1">IF(INDEX(display_strategy,1,B283)="","", CONCATENATE(INDEX(display_strategy,1,B283),": ",HLOOKUP(INDEX(display_strategy,1,B283),strategies,4,TRUE)))</f>
        <v xml:space="preserve">Conservative Balance: Reduce training stress but maintain a good base level of conditioning and metabolism. </v>
      </c>
      <c r="D283" s="1418" t="str">
        <f ca="1">CONCATENATE("Strategy: ",INDEX(display_strategy,$B283))</f>
        <v>Strategy: Conservative Balance</v>
      </c>
      <c r="E283" s="1947">
        <f>plan_start_date + ($B283-1)*7 + (COLUMN(D$2)-2)/5</f>
        <v>43409.4</v>
      </c>
      <c r="F283" s="1947"/>
      <c r="G283" s="1417" t="str">
        <f>CONCATENATE("Slot: ", ((WEEKDAY(E$3,2)*2-1)+IF(E284="Morning",0,1)))</f>
        <v>Slot: 1</v>
      </c>
      <c r="H283" s="177"/>
      <c r="I283" s="1418" t="str">
        <f ca="1">CONCATENATE("Strategy: ",INDEX(display_strategy,$B283))</f>
        <v>Strategy: Conservative Balance</v>
      </c>
      <c r="J283" s="1947">
        <f>plan_start_date + ($B283-1)*7 + (COLUMN(I$2)-2)/5</f>
        <v>43410.400000000001</v>
      </c>
      <c r="K283" s="1947"/>
      <c r="L283" s="1417" t="str">
        <f>CONCATENATE("Slot: ", ((WEEKDAY(J$3,2)*2-1)+IF(J284="Morning",0,1)))</f>
        <v>Slot: 3</v>
      </c>
      <c r="N283" s="1418" t="str">
        <f ca="1">CONCATENATE("Strategy: ",INDEX(display_strategy,$B283))</f>
        <v>Strategy: Conservative Balance</v>
      </c>
      <c r="O283" s="1947">
        <f>plan_start_date + ($B283-1)*7 + (COLUMN(N$2)-2)/5</f>
        <v>43411.4</v>
      </c>
      <c r="P283" s="1947"/>
      <c r="Q283" s="1417" t="str">
        <f>CONCATENATE("Slot: ", ((WEEKDAY(O$3,2)*2-1)+IF(O284="Morning",0,1)))</f>
        <v>Slot: 5</v>
      </c>
      <c r="S283" s="1418" t="str">
        <f ca="1">CONCATENATE("Strategy: ",INDEX(display_strategy,$B283))</f>
        <v>Strategy: Conservative Balance</v>
      </c>
      <c r="T283" s="1947">
        <f>plan_start_date + ($B283-1)*7 + (COLUMN(S$2)-2)/5</f>
        <v>43412.4</v>
      </c>
      <c r="U283" s="1947"/>
      <c r="V283" s="1417" t="str">
        <f>CONCATENATE("Slot: ", ((WEEKDAY(T$3,2)*2-1)+IF(T284="Morning",0,1)))</f>
        <v>Slot: 7</v>
      </c>
      <c r="X283" s="1418" t="str">
        <f ca="1">CONCATENATE("Strategy: ",INDEX(display_strategy,$B283))</f>
        <v>Strategy: Conservative Balance</v>
      </c>
      <c r="Y283" s="1947">
        <f>plan_start_date + ($B283-1)*7 + (COLUMN(X$2)-2)/5</f>
        <v>43413.4</v>
      </c>
      <c r="Z283" s="1947"/>
      <c r="AA283" s="1417" t="str">
        <f>CONCATENATE("Slot: ", ((WEEKDAY(Y$3,2)*2-1)+IF(Y284="Morning",0,1)))</f>
        <v>Slot: 9</v>
      </c>
      <c r="AC283" s="1418" t="str">
        <f ca="1">CONCATENATE("Strategy: ",INDEX(display_strategy,$B283))</f>
        <v>Strategy: Conservative Balance</v>
      </c>
      <c r="AD283" s="1947">
        <f>plan_start_date + ($B283-1)*7 + (COLUMN(AC$2)-2)/5</f>
        <v>43414.400000000001</v>
      </c>
      <c r="AE283" s="1947"/>
      <c r="AF283" s="1417" t="str">
        <f>CONCATENATE("Slot: ", ((WEEKDAY(AD$3,2)*2-1)+IF(AD284="Morning",0,1)))</f>
        <v>Slot: 11</v>
      </c>
      <c r="AH283" s="1418" t="str">
        <f ca="1">CONCATENATE("Strategy: ",INDEX(display_strategy,$B283))</f>
        <v>Strategy: Conservative Balance</v>
      </c>
      <c r="AI283" s="1947">
        <f>plan_start_date + ($B283-1)*7 + (COLUMN(AH$2)-2)/5</f>
        <v>43415.4</v>
      </c>
      <c r="AJ283" s="1947"/>
      <c r="AK283" s="1417" t="str">
        <f>CONCATENATE("Slot: ", ((WEEKDAY(AI$3,2)*2-1)+IF(AI284="Morning",0,1)))</f>
        <v>Slot: 13</v>
      </c>
    </row>
    <row r="284" spans="2:38" s="176" customFormat="1" x14ac:dyDescent="0.45">
      <c r="B284" s="1942"/>
      <c r="C284" s="1945"/>
      <c r="D284" s="1413">
        <f>$B283</f>
        <v>6</v>
      </c>
      <c r="E284" s="1930" t="s">
        <v>351</v>
      </c>
      <c r="F284" s="1930"/>
      <c r="G284" s="1412">
        <f ca="1">INDEX(final_duration_session, ((WEEKDAY(E$3,2)*2-1)+IF(E284="Morning",0,1)), $D284)</f>
        <v>40</v>
      </c>
      <c r="H284" s="177"/>
      <c r="I284" s="1413">
        <f>$B283</f>
        <v>6</v>
      </c>
      <c r="J284" s="1930" t="s">
        <v>351</v>
      </c>
      <c r="K284" s="1930"/>
      <c r="L284" s="1412">
        <f ca="1">INDEX(final_duration_session, ((WEEKDAY(J$3,2)*2-1)+IF(J284="Morning",0,1)), $D284)</f>
        <v>40</v>
      </c>
      <c r="M284" s="177"/>
      <c r="N284" s="1413">
        <f>$B283</f>
        <v>6</v>
      </c>
      <c r="O284" s="1930" t="s">
        <v>351</v>
      </c>
      <c r="P284" s="1930"/>
      <c r="Q284" s="1412">
        <f ca="1">INDEX(final_duration_session, ((WEEKDAY(O$3,2)*2-1)+IF(O284="Morning",0,1)), $D284)</f>
        <v>0</v>
      </c>
      <c r="R284" s="177"/>
      <c r="S284" s="1413">
        <f>$B283</f>
        <v>6</v>
      </c>
      <c r="T284" s="1930" t="s">
        <v>351</v>
      </c>
      <c r="U284" s="1930"/>
      <c r="V284" s="1412">
        <f ca="1">INDEX(final_duration_session, ((WEEKDAY(T$3,2)*2-1)+IF(T284="Morning",0,1)), $D284)</f>
        <v>40</v>
      </c>
      <c r="W284" s="177"/>
      <c r="X284" s="1413">
        <f>$B283</f>
        <v>6</v>
      </c>
      <c r="Y284" s="1930" t="s">
        <v>351</v>
      </c>
      <c r="Z284" s="1930"/>
      <c r="AA284" s="1412">
        <f ca="1">INDEX(final_duration_session, ((WEEKDAY(Y$3,2)*2-1)+IF(Y284="Morning",0,1)), $D284)</f>
        <v>40</v>
      </c>
      <c r="AB284" s="177"/>
      <c r="AC284" s="1413">
        <f>$B283</f>
        <v>6</v>
      </c>
      <c r="AD284" s="1930" t="s">
        <v>351</v>
      </c>
      <c r="AE284" s="1930"/>
      <c r="AF284" s="1412">
        <f ca="1">INDEX(final_duration_session, ((WEEKDAY(AD$3,2)*2-1)+IF(AD284="Morning",0,1)), $D284)</f>
        <v>240</v>
      </c>
      <c r="AG284" s="177"/>
      <c r="AH284" s="1413">
        <f>$B283</f>
        <v>6</v>
      </c>
      <c r="AI284" s="1930" t="s">
        <v>351</v>
      </c>
      <c r="AJ284" s="1930"/>
      <c r="AK284" s="1412">
        <f ca="1">INDEX(final_duration_session, ((WEEKDAY(AI$3,2)*2-1)+IF(AI284="Morning",0,1)), $D284)</f>
        <v>60</v>
      </c>
      <c r="AL284" s="177"/>
    </row>
    <row r="285" spans="2:38" s="176" customFormat="1" ht="15" customHeight="1" x14ac:dyDescent="0.45">
      <c r="B285" s="1942"/>
      <c r="C285" s="1945"/>
      <c r="D285" s="1931" t="str">
        <f ca="1">IF(G284&gt;0,INDEX(sessions_name,INDEX(plan_session_allocation,((WEEKDAY(E$3,2)*2-1)+IF(E284="Morning",0,1)),D284)),"")</f>
        <v>Easy</v>
      </c>
      <c r="E285" s="1932"/>
      <c r="F285" s="1932"/>
      <c r="G285" s="1933"/>
      <c r="H285" s="177"/>
      <c r="I285" s="1931" t="str">
        <f ca="1">IF(L284&gt;0,INDEX(sessions_name,INDEX(plan_session_allocation,((WEEKDAY(J$3,2)*2-1)+IF(J284="Morning",0,1)),I284)),"")</f>
        <v>Easy</v>
      </c>
      <c r="J285" s="1932"/>
      <c r="K285" s="1932"/>
      <c r="L285" s="1933"/>
      <c r="M285" s="177"/>
      <c r="N285" s="1931" t="str">
        <f ca="1">IF(Q284&gt;0,INDEX(sessions_name,INDEX(plan_session_allocation,((WEEKDAY(O$3,2)*2-1)+IF(O284="Morning",0,1)),N284)),"")</f>
        <v/>
      </c>
      <c r="O285" s="1932"/>
      <c r="P285" s="1932"/>
      <c r="Q285" s="1933"/>
      <c r="R285" s="177"/>
      <c r="S285" s="1931" t="str">
        <f ca="1">IF(V284&gt;0,INDEX(sessions_name,INDEX(plan_session_allocation,((WEEKDAY(T$3,2)*2-1)+IF(T284="Morning",0,1)),S284)),"")</f>
        <v>Easy</v>
      </c>
      <c r="T285" s="1932"/>
      <c r="U285" s="1932"/>
      <c r="V285" s="1933"/>
      <c r="W285" s="177"/>
      <c r="X285" s="1931" t="str">
        <f ca="1">IF(AA284&gt;0,INDEX(sessions_name,INDEX(plan_session_allocation,((WEEKDAY(Y$3,2)*2-1)+IF(Y284="Morning",0,1)),X284)),"")</f>
        <v>Easy</v>
      </c>
      <c r="Y285" s="1932"/>
      <c r="Z285" s="1932"/>
      <c r="AA285" s="1933"/>
      <c r="AB285" s="177"/>
      <c r="AC285" s="1931" t="str">
        <f ca="1">IF(AF284&gt;0,INDEX(sessions_name,INDEX(plan_session_allocation,((WEEKDAY(AD$3,2)*2-1)+IF(AD284="Morning",0,1)),AC284)),"")</f>
        <v>Long</v>
      </c>
      <c r="AD285" s="1932"/>
      <c r="AE285" s="1932"/>
      <c r="AF285" s="1933"/>
      <c r="AG285" s="177"/>
      <c r="AH285" s="1931" t="str">
        <f ca="1">IF(AK284&gt;0,INDEX(sessions_name,INDEX(plan_session_allocation,((WEEKDAY(AI$3,2)*2-1)+IF(AI284="Morning",0,1)),AH284)),"")</f>
        <v>Easy</v>
      </c>
      <c r="AI285" s="1932"/>
      <c r="AJ285" s="1932"/>
      <c r="AK285" s="1933"/>
      <c r="AL285" s="177"/>
    </row>
    <row r="286" spans="2:38" s="176" customFormat="1" ht="15" customHeight="1" x14ac:dyDescent="0.45">
      <c r="B286" s="1942"/>
      <c r="C286" s="1945"/>
      <c r="D286" s="1934" t="str">
        <f ca="1">IF(G284&gt;0,CONCATENATE("Sport: ",INDEX(sessions_sport_primary,INDEX(plan_session_allocation,(WEEKDAY(E$3,2)*2-1)+IF(E284="Morning",0,1),D284))),"")</f>
        <v>Sport: Ride</v>
      </c>
      <c r="E286" s="1935"/>
      <c r="F286" s="1936">
        <f ca="1">IF(G284&gt;0,IFERROR(F287+F288+F289,""),"")</f>
        <v>40</v>
      </c>
      <c r="G286" s="1937"/>
      <c r="H286" s="177"/>
      <c r="I286" s="1934" t="str">
        <f ca="1">IF(L284&gt;0,CONCATENATE("Sport: ",INDEX(sessions_sport_primary,INDEX(plan_session_allocation,(WEEKDAY(J$3,2)*2-1)+IF(J284="Morning",0,1),I284))),"")</f>
        <v>Sport: Ride</v>
      </c>
      <c r="J286" s="1935"/>
      <c r="K286" s="1936">
        <f ca="1">IF(L284&gt;0,IFERROR(K287+K288+K289,""),"")</f>
        <v>40</v>
      </c>
      <c r="L286" s="1937"/>
      <c r="M286" s="177"/>
      <c r="N286" s="1934" t="str">
        <f ca="1">IF(Q284&gt;0,CONCATENATE("Sport: ",INDEX(sessions_sport_primary,INDEX(plan_session_allocation,(WEEKDAY(O$3,2)*2-1)+IF(O284="Morning",0,1),N284))),"")</f>
        <v/>
      </c>
      <c r="O286" s="1935"/>
      <c r="P286" s="1936" t="str">
        <f ca="1">IF(Q284&gt;0,IFERROR(P287+P288+P289,""),"")</f>
        <v/>
      </c>
      <c r="Q286" s="1937"/>
      <c r="R286" s="177"/>
      <c r="S286" s="1934" t="str">
        <f ca="1">IF(V284&gt;0,CONCATENATE("Sport: ",INDEX(sessions_sport_primary,INDEX(plan_session_allocation,(WEEKDAY(T$3,2)*2-1)+IF(T284="Morning",0,1),S284))),"")</f>
        <v>Sport: Ride</v>
      </c>
      <c r="T286" s="1935"/>
      <c r="U286" s="1936">
        <f ca="1">IF(V284&gt;0,IFERROR(U287+U288+U289,""),"")</f>
        <v>40</v>
      </c>
      <c r="V286" s="1937"/>
      <c r="W286" s="177"/>
      <c r="X286" s="1934" t="str">
        <f ca="1">IF(AA284&gt;0,CONCATENATE("Sport: ",INDEX(sessions_sport_primary,INDEX(plan_session_allocation,(WEEKDAY(Y$3,2)*2-1)+IF(Y284="Morning",0,1),X284))),"")</f>
        <v>Sport: Ride</v>
      </c>
      <c r="Y286" s="1935"/>
      <c r="Z286" s="1936">
        <f ca="1">IF(AA284&gt;0,IFERROR(Z287+Z288+Z289,""),"")</f>
        <v>40</v>
      </c>
      <c r="AA286" s="1937"/>
      <c r="AB286" s="177"/>
      <c r="AC286" s="1934" t="str">
        <f ca="1">IF(AF284&gt;0,CONCATENATE("Sport: ",INDEX(sessions_sport_primary,INDEX(plan_session_allocation,(WEEKDAY(AD$3,2)*2-1)+IF(AD284="Morning",0,1),AC284))),"")</f>
        <v>Sport: Hilly Trail Run</v>
      </c>
      <c r="AD286" s="1935"/>
      <c r="AE286" s="1936">
        <f ca="1">IF(AF284&gt;0,IFERROR(AE287+AE288+AE289,""),"")</f>
        <v>240</v>
      </c>
      <c r="AF286" s="1937"/>
      <c r="AG286" s="177"/>
      <c r="AH286" s="1934" t="str">
        <f ca="1">IF(AK284&gt;0,CONCATENATE("Sport: ",INDEX(sessions_sport_primary,INDEX(plan_session_allocation,(WEEKDAY(AI$3,2)*2-1)+IF(AI284="Morning",0,1),AH284))),"")</f>
        <v>Sport: Road Run</v>
      </c>
      <c r="AI286" s="1935"/>
      <c r="AJ286" s="1936">
        <f ca="1">IF(AK284&gt;0,IFERROR(AJ287+AJ288+AJ289,""),"")</f>
        <v>60</v>
      </c>
      <c r="AK286" s="1937"/>
      <c r="AL286" s="177"/>
    </row>
    <row r="287" spans="2:38" s="176" customFormat="1" ht="15" customHeight="1" x14ac:dyDescent="0.45">
      <c r="B287" s="1942"/>
      <c r="C287" s="1945"/>
      <c r="D287" s="1922" t="str">
        <f ca="1">IF(G284&gt;0,CONCATENATE("HR Target: ",
INDEX(sessions_HR_primary,INDEX(plan_session_allocation,((WEEKDAY(E$3,2)*2-1)+IF(E284="Morning",0,1)),D284)),
IF(INDEX(sessions_HR_primary,INDEX(plan_session_allocation,((WEEKDAY(E$3,2)*2-1)+IF(E284="Morning",0,1)),D284))="N/A","",
" BPM")),"")</f>
        <v>HR Target: 138 BPM</v>
      </c>
      <c r="E287" s="1923"/>
      <c r="F287" s="1924">
        <f ca="1">IF(G284&gt;0,
INDEX(final_duration_effort,((WEEKDAY(E$3,2)*2-1)+IF(E284="Morning",0,1)),D284),"")</f>
        <v>40</v>
      </c>
      <c r="G287" s="1925"/>
      <c r="H287" s="177"/>
      <c r="I287" s="1922" t="str">
        <f ca="1">IF(L284&gt;0,CONCATENATE("HR Target: ",
INDEX(sessions_HR_primary,INDEX(plan_session_allocation,((WEEKDAY(J$3,2)*2-1)+IF(J284="Morning",0,1)),I284)),
IF(INDEX(sessions_HR_primary,INDEX(plan_session_allocation,((WEEKDAY(J$3,2)*2-1)+IF(J284="Morning",0,1)),I284))="N/A","",
" BPM")),"")</f>
        <v>HR Target: 138 BPM</v>
      </c>
      <c r="J287" s="1923"/>
      <c r="K287" s="1924">
        <f ca="1">IF(L284&gt;0,
INDEX(final_duration_effort,((WEEKDAY(J$3,2)*2-1)+IF(J284="Morning",0,1)),I284),"")</f>
        <v>40</v>
      </c>
      <c r="L287" s="1925"/>
      <c r="M287" s="177"/>
      <c r="N287" s="1922" t="str">
        <f ca="1">IF(Q284&gt;0,CONCATENATE("HR Target: ",
INDEX(sessions_HR_primary,INDEX(plan_session_allocation,((WEEKDAY(O$3,2)*2-1)+IF(O284="Morning",0,1)),N284)),
IF(INDEX(sessions_HR_primary,INDEX(plan_session_allocation,((WEEKDAY(O$3,2)*2-1)+IF(O284="Morning",0,1)),N284))="N/A","",
" BPM")),"")</f>
        <v/>
      </c>
      <c r="O287" s="1923"/>
      <c r="P287" s="1924" t="str">
        <f ca="1">IF(Q284&gt;0,
INDEX(final_duration_effort,((WEEKDAY(O$3,2)*2-1)+IF(O284="Morning",0,1)),N284),"")</f>
        <v/>
      </c>
      <c r="Q287" s="1925"/>
      <c r="R287" s="177"/>
      <c r="S287" s="1922" t="str">
        <f ca="1">IF(V284&gt;0,CONCATENATE("HR Target: ",
INDEX(sessions_HR_primary,INDEX(plan_session_allocation,((WEEKDAY(T$3,2)*2-1)+IF(T284="Morning",0,1)),S284)),
IF(INDEX(sessions_HR_primary,INDEX(plan_session_allocation,((WEEKDAY(T$3,2)*2-1)+IF(T284="Morning",0,1)),S284))="N/A","",
" BPM")),"")</f>
        <v>HR Target: 138 BPM</v>
      </c>
      <c r="T287" s="1923"/>
      <c r="U287" s="1924">
        <f ca="1">IF(V284&gt;0,
INDEX(final_duration_effort,((WEEKDAY(T$3,2)*2-1)+IF(T284="Morning",0,1)),S284),"")</f>
        <v>40</v>
      </c>
      <c r="V287" s="1925"/>
      <c r="W287" s="177"/>
      <c r="X287" s="1922" t="str">
        <f ca="1">IF(AA284&gt;0,CONCATENATE("HR Target: ",
INDEX(sessions_HR_primary,INDEX(plan_session_allocation,((WEEKDAY(Y$3,2)*2-1)+IF(Y284="Morning",0,1)),X284)),
IF(INDEX(sessions_HR_primary,INDEX(plan_session_allocation,((WEEKDAY(Y$3,2)*2-1)+IF(Y284="Morning",0,1)),X284))="N/A","",
" BPM")),"")</f>
        <v>HR Target: 138 BPM</v>
      </c>
      <c r="Y287" s="1923"/>
      <c r="Z287" s="1924">
        <f ca="1">IF(AA284&gt;0,
INDEX(final_duration_effort,((WEEKDAY(Y$3,2)*2-1)+IF(Y284="Morning",0,1)),X284),"")</f>
        <v>40</v>
      </c>
      <c r="AA287" s="1925"/>
      <c r="AB287" s="177"/>
      <c r="AC287" s="1922" t="str">
        <f ca="1">IF(AF284&gt;0,CONCATENATE("HR Target: ",
INDEX(sessions_HR_primary,INDEX(plan_session_allocation,((WEEKDAY(AD$3,2)*2-1)+IF(AD284="Morning",0,1)),AC284)),
IF(INDEX(sessions_HR_primary,INDEX(plan_session_allocation,((WEEKDAY(AD$3,2)*2-1)+IF(AD284="Morning",0,1)),AC284))="N/A","",
" BPM")),"")</f>
        <v>HR Target: 148 BPM</v>
      </c>
      <c r="AD287" s="1923"/>
      <c r="AE287" s="1924">
        <f ca="1">IF(AF284&gt;0,
INDEX(final_duration_effort,((WEEKDAY(AD$3,2)*2-1)+IF(AD284="Morning",0,1)),AC284),"")</f>
        <v>240</v>
      </c>
      <c r="AF287" s="1925"/>
      <c r="AG287" s="177"/>
      <c r="AH287" s="1922" t="str">
        <f ca="1">IF(AK284&gt;0,CONCATENATE("HR Target: ",
INDEX(sessions_HR_primary,INDEX(plan_session_allocation,((WEEKDAY(AI$3,2)*2-1)+IF(AI284="Morning",0,1)),AH284)),
IF(INDEX(sessions_HR_primary,INDEX(plan_session_allocation,((WEEKDAY(AI$3,2)*2-1)+IF(AI284="Morning",0,1)),AH284))="N/A","",
" BPM")),"")</f>
        <v>HR Target: 138 BPM</v>
      </c>
      <c r="AI287" s="1923"/>
      <c r="AJ287" s="1924">
        <f ca="1">IF(AK284&gt;0,
INDEX(final_duration_effort,((WEEKDAY(AI$3,2)*2-1)+IF(AI284="Morning",0,1)),AH284),"")</f>
        <v>60</v>
      </c>
      <c r="AK287" s="1925"/>
      <c r="AL287" s="177"/>
    </row>
    <row r="288" spans="2:38" s="179" customFormat="1" x14ac:dyDescent="0.45">
      <c r="B288" s="1942"/>
      <c r="C288" s="1945"/>
      <c r="D288" s="1926" t="str">
        <f ca="1">IF(G284&gt;0,CONCATENATE("HR Range: ",
INDEX(sessions_HR_range_primary,INDEX(plan_session_allocation,((WEEKDAY(E$3,2)*2-1)+IF(E284="Morning",0,1)),D284)),
IF(INDEX(sessions_HR_range_primary,INDEX(plan_session_allocation,((WEEKDAY(E$3,2)*2-1)+IF(E284="Morning",0,1)),D284))="N/A","",
" BPM")),"")</f>
        <v>HR Range: 129 - 148 BPM</v>
      </c>
      <c r="E288" s="1927"/>
      <c r="F288" s="1928">
        <f ca="1">IF(G284&gt;0,IF(
INDEX(sessions_recoveries,INDEX(plan_session_allocation,((WEEKDAY(E$3,2)*2-1)+IF(E284="Morning",0,1)),D284))="Yes",
VLOOKUP(INDEX(plan_duration_primary,((WEEKDAY(E$3,2)*2-1)+IF(E284="Morning",0,1)),D284),
INDIRECT(INDEX(sessions_intervals_code_primary,INDEX(plan_session_allocation,((WEEKDAY(E$3,2)*2-1)+IF(E284="Morning",0,1)),D284))),7,TRUE),0),"")</f>
        <v>0</v>
      </c>
      <c r="G288" s="1929"/>
      <c r="H288" s="178"/>
      <c r="I288" s="1926" t="str">
        <f ca="1">IF(L284&gt;0,CONCATENATE("HR Range: ",
INDEX(sessions_HR_range_primary,INDEX(plan_session_allocation,((WEEKDAY(J$3,2)*2-1)+IF(J284="Morning",0,1)),I284)),
IF(INDEX(sessions_HR_range_primary,INDEX(plan_session_allocation,((WEEKDAY(J$3,2)*2-1)+IF(J284="Morning",0,1)),I284))="N/A","",
" BPM")),"")</f>
        <v>HR Range: 129 - 148 BPM</v>
      </c>
      <c r="J288" s="1927"/>
      <c r="K288" s="1928">
        <f ca="1">IF(L284&gt;0,IF(
INDEX(sessions_recoveries,INDEX(plan_session_allocation,((WEEKDAY(J$3,2)*2-1)+IF(J284="Morning",0,1)),I284))="Yes",
VLOOKUP(INDEX(plan_duration_primary,((WEEKDAY(J$3,2)*2-1)+IF(J284="Morning",0,1)),I284),
INDIRECT(INDEX(sessions_intervals_code_primary,INDEX(plan_session_allocation,((WEEKDAY(J$3,2)*2-1)+IF(J284="Morning",0,1)),I284))),7,TRUE),0),"")</f>
        <v>0</v>
      </c>
      <c r="L288" s="1929"/>
      <c r="M288" s="178"/>
      <c r="N288" s="1926" t="str">
        <f ca="1">IF(Q284&gt;0,CONCATENATE("HR Range: ",
INDEX(sessions_HR_range_primary,INDEX(plan_session_allocation,((WEEKDAY(O$3,2)*2-1)+IF(O284="Morning",0,1)),N284)),
IF(INDEX(sessions_HR_range_primary,INDEX(plan_session_allocation,((WEEKDAY(O$3,2)*2-1)+IF(O284="Morning",0,1)),N284))="N/A","",
" BPM")),"")</f>
        <v/>
      </c>
      <c r="O288" s="1927"/>
      <c r="P288" s="1928" t="str">
        <f ca="1">IF(Q284&gt;0,IF(
INDEX(sessions_recoveries,INDEX(plan_session_allocation,((WEEKDAY(O$3,2)*2-1)+IF(O284="Morning",0,1)),N284))="Yes",
VLOOKUP(INDEX(plan_duration_primary,((WEEKDAY(O$3,2)*2-1)+IF(O284="Morning",0,1)),N284),
INDIRECT(INDEX(sessions_intervals_code_primary,INDEX(plan_session_allocation,((WEEKDAY(O$3,2)*2-1)+IF(O284="Morning",0,1)),N284))),7,TRUE),0),"")</f>
        <v/>
      </c>
      <c r="Q288" s="1929"/>
      <c r="R288" s="178"/>
      <c r="S288" s="1926" t="str">
        <f ca="1">IF(V284&gt;0,CONCATENATE("HR Range: ",
INDEX(sessions_HR_range_primary,INDEX(plan_session_allocation,((WEEKDAY(T$3,2)*2-1)+IF(T284="Morning",0,1)),S284)),
IF(INDEX(sessions_HR_range_primary,INDEX(plan_session_allocation,((WEEKDAY(T$3,2)*2-1)+IF(T284="Morning",0,1)),S284))="N/A","",
" BPM")),"")</f>
        <v>HR Range: 129 - 148 BPM</v>
      </c>
      <c r="T288" s="1927"/>
      <c r="U288" s="1928">
        <f ca="1">IF(V284&gt;0,IF(
INDEX(sessions_recoveries,INDEX(plan_session_allocation,((WEEKDAY(T$3,2)*2-1)+IF(T284="Morning",0,1)),S284))="Yes",
VLOOKUP(INDEX(plan_duration_primary,((WEEKDAY(T$3,2)*2-1)+IF(T284="Morning",0,1)),S284),
INDIRECT(INDEX(sessions_intervals_code_primary,INDEX(plan_session_allocation,((WEEKDAY(T$3,2)*2-1)+IF(T284="Morning",0,1)),S284))),7,TRUE),0),"")</f>
        <v>0</v>
      </c>
      <c r="V288" s="1929"/>
      <c r="W288" s="178"/>
      <c r="X288" s="1926" t="str">
        <f ca="1">IF(AA284&gt;0,CONCATENATE("HR Range: ",
INDEX(sessions_HR_range_primary,INDEX(plan_session_allocation,((WEEKDAY(Y$3,2)*2-1)+IF(Y284="Morning",0,1)),X284)),
IF(INDEX(sessions_HR_range_primary,INDEX(plan_session_allocation,((WEEKDAY(Y$3,2)*2-1)+IF(Y284="Morning",0,1)),X284))="N/A","",
" BPM")),"")</f>
        <v>HR Range: 129 - 148 BPM</v>
      </c>
      <c r="Y288" s="1927"/>
      <c r="Z288" s="1928">
        <f ca="1">IF(AA284&gt;0,IF(
INDEX(sessions_recoveries,INDEX(plan_session_allocation,((WEEKDAY(Y$3,2)*2-1)+IF(Y284="Morning",0,1)),X284))="Yes",
VLOOKUP(INDEX(plan_duration_primary,((WEEKDAY(Y$3,2)*2-1)+IF(Y284="Morning",0,1)),X284),
INDIRECT(INDEX(sessions_intervals_code_primary,INDEX(plan_session_allocation,((WEEKDAY(Y$3,2)*2-1)+IF(Y284="Morning",0,1)),X284))),7,TRUE),0),"")</f>
        <v>0</v>
      </c>
      <c r="AA288" s="1929"/>
      <c r="AB288" s="178"/>
      <c r="AC288" s="1926" t="str">
        <f ca="1">IF(AF284&gt;0,CONCATENATE("HR Range: ",
INDEX(sessions_HR_range_primary,INDEX(plan_session_allocation,((WEEKDAY(AD$3,2)*2-1)+IF(AD284="Morning",0,1)),AC284)),
IF(INDEX(sessions_HR_range_primary,INDEX(plan_session_allocation,((WEEKDAY(AD$3,2)*2-1)+IF(AD284="Morning",0,1)),AC284))="N/A","",
" BPM")),"")</f>
        <v>HR Range: 129 - 169 BPM</v>
      </c>
      <c r="AD288" s="1927"/>
      <c r="AE288" s="1928">
        <f ca="1">IF(AF284&gt;0,IF(
INDEX(sessions_recoveries,INDEX(plan_session_allocation,((WEEKDAY(AD$3,2)*2-1)+IF(AD284="Morning",0,1)),AC284))="Yes",
VLOOKUP(INDEX(plan_duration_primary,((WEEKDAY(AD$3,2)*2-1)+IF(AD284="Morning",0,1)),AC284),
INDIRECT(INDEX(sessions_intervals_code_primary,INDEX(plan_session_allocation,((WEEKDAY(AD$3,2)*2-1)+IF(AD284="Morning",0,1)),AC284))),7,TRUE),0),"")</f>
        <v>0</v>
      </c>
      <c r="AF288" s="1929"/>
      <c r="AG288" s="178"/>
      <c r="AH288" s="1926" t="str">
        <f ca="1">IF(AK284&gt;0,CONCATENATE("HR Range: ",
INDEX(sessions_HR_range_primary,INDEX(plan_session_allocation,((WEEKDAY(AI$3,2)*2-1)+IF(AI284="Morning",0,1)),AH284)),
IF(INDEX(sessions_HR_range_primary,INDEX(plan_session_allocation,((WEEKDAY(AI$3,2)*2-1)+IF(AI284="Morning",0,1)),AH284))="N/A","",
" BPM")),"")</f>
        <v>HR Range: 129 - 148 BPM</v>
      </c>
      <c r="AI288" s="1927"/>
      <c r="AJ288" s="1928">
        <f ca="1">IF(AK284&gt;0,IF(
INDEX(sessions_recoveries,INDEX(plan_session_allocation,((WEEKDAY(AI$3,2)*2-1)+IF(AI284="Morning",0,1)),AH284))="Yes",
VLOOKUP(INDEX(plan_duration_primary,((WEEKDAY(AI$3,2)*2-1)+IF(AI284="Morning",0,1)),AH284),
INDIRECT(INDEX(sessions_intervals_code_primary,INDEX(plan_session_allocation,((WEEKDAY(AI$3,2)*2-1)+IF(AI284="Morning",0,1)),AH284))),7,TRUE),0),"")</f>
        <v>0</v>
      </c>
      <c r="AK288" s="1929"/>
      <c r="AL288" s="178"/>
    </row>
    <row r="289" spans="2:38" s="179" customFormat="1" ht="15" customHeight="1" x14ac:dyDescent="0.45">
      <c r="B289" s="1942"/>
      <c r="C289" s="1945"/>
      <c r="D289" s="1909" t="str">
        <f ca="1">IF(G284&gt;0,CONCATENATE("Equivalent Pace: ",
TEXT(INDEX(sessions_pace_primary,INDEX(plan_session_allocation,(WEEKDAY(E$3,2)*2-1)+IF(E284="Morning",0,1),D284)),"m:ss"),
" min/km"
),"")</f>
        <v>Equivalent Pace: 4:39 min/km</v>
      </c>
      <c r="E289" s="1910"/>
      <c r="F289" s="1911">
        <f ca="1">IF(G284&gt;0, INDEX(final_duration_WU,((WEEKDAY(E$3,2)*2-1)+IF(E284="Morning",0,1)),D284)  + INDEX(final_duration_WD,((WEEKDAY(E$3,2)*2-1)+IF(E284="Morning",0,1)),D284), "")</f>
        <v>0</v>
      </c>
      <c r="G289" s="1912"/>
      <c r="H289" s="178"/>
      <c r="I289" s="1909" t="str">
        <f ca="1">IF(L284&gt;0,CONCATENATE("Equivalent Pace: ",
TEXT(INDEX(sessions_pace_primary,INDEX(plan_session_allocation,(WEEKDAY(J$3,2)*2-1)+IF(J284="Morning",0,1),I284)),"m:ss"),
" min/km"
),"")</f>
        <v>Equivalent Pace: 4:39 min/km</v>
      </c>
      <c r="J289" s="1910"/>
      <c r="K289" s="1911">
        <f ca="1">IF(L284&gt;0, INDEX(final_duration_WU,((WEEKDAY(J$3,2)*2-1)+IF(J284="Morning",0,1)),I284)  + INDEX(final_duration_WD,((WEEKDAY(J$3,2)*2-1)+IF(J284="Morning",0,1)),I284), "")</f>
        <v>0</v>
      </c>
      <c r="L289" s="1912"/>
      <c r="M289" s="178"/>
      <c r="N289" s="1909" t="str">
        <f ca="1">IF(Q284&gt;0,CONCATENATE("Equivalent Pace: ",
TEXT(INDEX(sessions_pace_primary,INDEX(plan_session_allocation,(WEEKDAY(O$3,2)*2-1)+IF(O284="Morning",0,1),N284)),"m:ss"),
" min/km"
),"")</f>
        <v/>
      </c>
      <c r="O289" s="1910"/>
      <c r="P289" s="1911" t="str">
        <f ca="1">IF(Q284&gt;0, INDEX(final_duration_WU,((WEEKDAY(O$3,2)*2-1)+IF(O284="Morning",0,1)),N284)  + INDEX(final_duration_WD,((WEEKDAY(O$3,2)*2-1)+IF(O284="Morning",0,1)),N284), "")</f>
        <v/>
      </c>
      <c r="Q289" s="1912"/>
      <c r="R289" s="178"/>
      <c r="S289" s="1909" t="str">
        <f ca="1">IF(V284&gt;0,CONCATENATE("Equivalent Pace: ",
TEXT(INDEX(sessions_pace_primary,INDEX(plan_session_allocation,(WEEKDAY(T$3,2)*2-1)+IF(T284="Morning",0,1),S284)),"m:ss"),
" min/km"
),"")</f>
        <v>Equivalent Pace: 4:39 min/km</v>
      </c>
      <c r="T289" s="1910"/>
      <c r="U289" s="1911">
        <f ca="1">IF(V284&gt;0, INDEX(final_duration_WU,((WEEKDAY(T$3,2)*2-1)+IF(T284="Morning",0,1)),S284)  + INDEX(final_duration_WD,((WEEKDAY(T$3,2)*2-1)+IF(T284="Morning",0,1)),S284), "")</f>
        <v>0</v>
      </c>
      <c r="V289" s="1912"/>
      <c r="W289" s="178"/>
      <c r="X289" s="1909" t="str">
        <f ca="1">IF(AA284&gt;0,CONCATENATE("Equivalent Pace: ",
TEXT(INDEX(sessions_pace_primary,INDEX(plan_session_allocation,(WEEKDAY(Y$3,2)*2-1)+IF(Y284="Morning",0,1),X284)),"m:ss"),
" min/km"
),"")</f>
        <v>Equivalent Pace: 4:39 min/km</v>
      </c>
      <c r="Y289" s="1910"/>
      <c r="Z289" s="1911">
        <f ca="1">IF(AA284&gt;0, INDEX(final_duration_WU,((WEEKDAY(Y$3,2)*2-1)+IF(Y284="Morning",0,1)),X284)  + INDEX(final_duration_WD,((WEEKDAY(Y$3,2)*2-1)+IF(Y284="Morning",0,1)),X284), "")</f>
        <v>0</v>
      </c>
      <c r="AA289" s="1912"/>
      <c r="AB289" s="178"/>
      <c r="AC289" s="1909" t="str">
        <f ca="1">IF(AF284&gt;0,CONCATENATE("Equivalent Pace: ",
TEXT(INDEX(sessions_pace_primary,INDEX(plan_session_allocation,(WEEKDAY(AD$3,2)*2-1)+IF(AD284="Morning",0,1),AC284)),"m:ss"),
" min/km"
),"")</f>
        <v>Equivalent Pace: 4:14 min/km</v>
      </c>
      <c r="AD289" s="1910"/>
      <c r="AE289" s="1911">
        <f ca="1">IF(AF284&gt;0, INDEX(final_duration_WU,((WEEKDAY(AD$3,2)*2-1)+IF(AD284="Morning",0,1)),AC284)  + INDEX(final_duration_WD,((WEEKDAY(AD$3,2)*2-1)+IF(AD284="Morning",0,1)),AC284), "")</f>
        <v>0</v>
      </c>
      <c r="AF289" s="1912"/>
      <c r="AG289" s="178"/>
      <c r="AH289" s="1909" t="str">
        <f ca="1">IF(AK284&gt;0,CONCATENATE("Equivalent Pace: ",
TEXT(INDEX(sessions_pace_primary,INDEX(plan_session_allocation,(WEEKDAY(AI$3,2)*2-1)+IF(AI284="Morning",0,1),AH284)),"m:ss"),
" min/km"
),"")</f>
        <v>Equivalent Pace: 4:39 min/km</v>
      </c>
      <c r="AI289" s="1910"/>
      <c r="AJ289" s="1911">
        <f ca="1">IF(AK284&gt;0, INDEX(final_duration_WU,((WEEKDAY(AI$3,2)*2-1)+IF(AI284="Morning",0,1)),AH284)  + INDEX(final_duration_WD,((WEEKDAY(AI$3,2)*2-1)+IF(AI284="Morning",0,1)),AH284), "")</f>
        <v>0</v>
      </c>
      <c r="AK289" s="1912"/>
      <c r="AL289" s="178"/>
    </row>
    <row r="290" spans="2:38" s="180" customFormat="1" ht="15" customHeight="1" x14ac:dyDescent="0.45">
      <c r="B290" s="1942"/>
      <c r="C290" s="1945"/>
      <c r="D290" s="1913" t="str">
        <f ca="1">IF(G284&gt;0,CONCATENATE(IFERROR(CONCATENATE(IF(INDEX(display_intervals_breakdown,((WEEKDAY(E$3,2)*2-1)+IF(E284="Morning",0,1)),D284)="","",CONCATENATE("Intervals/Reps Breakdown: 
",INDEX(display_intervals_breakdown,((WEEKDAY(E$3,2)*2-1)+IF(E284="Morning",0,1)),D284),"
")),"Session Description: 
",CONCATENATE(IF(INDEX(final_duration_secondary,((WEEKDAY(E$3,2)*2-1)+IF(E284="Morning",0,1)),D284)=0,"","1. "),
INDEX(sessions_description_primary,,INDEX(plan_session_allocation,((WEEKDAY(E$3,2)*2-1)+IF(E284="Morning",0,1)),D284)),IF(INDEX(final_duration_secondary,((WEEKDAY(E$3,2)*2-1)+IF(E284="Morning",0,1)),D284)=0,"","
2. "),
IF(INDEX(final_duration_secondary,((WEEKDAY(E$3,2)*2-1)+IF(E284="Morning",0,1)),D284)=0,"",INDEX(sessions_description_secondary,,INDEX(plan_session_allocation,((WEEKDAY(E$3,2)*2-1)+IF(E284="Morning",0,1)),D284))),IF(INDEX(final_duration_tertiary,((WEEKDAY(E$3,2)*2-1)+IF(E284="Morning",0,1)),D284)=0,"","
3. "),
IF(INDEX(final_duration_tertiary,((WEEKDAY(E$3,2)*2-1)+IF(E284="Morning",0,1)),D284)="","",INDEX(sessions_description_tertiary,,INDEX(plan_session_allocation,((WEEKDAY(E$3,2)*2-1)+IF(E284="Morning",0,1)),D284))),
IF(INDEX(display_nutrition_description,((WEEKDAY(E$3,2)*2-1)+IF(E284="Morning",0,1)),D284)="","",
CONCATENATE("
Meal Plan: ", INDEX(sessions_nutrition,,INDEX(plan_session_allocation,((WEEKDAY(E$3,2)*2-1)+IF(E284="Morning",0,1)),D284)), "
", INDEX(display_nutrition_description,((WEEKDAY(E$3,2)*2-1)+IF(E284="Morning",0,1)),D284)))
)),"")),"")</f>
        <v>Session Description: 
Stay at a comfortable and controlled intensity where you should be able to have a conversation without large pauses. Keep an even intensity and accept that your pace may change as the terrain changes.</v>
      </c>
      <c r="E290" s="1914"/>
      <c r="F290" s="1914"/>
      <c r="G290" s="1915"/>
      <c r="I290" s="1913" t="str">
        <f ca="1">IF(L284&gt;0,CONCATENATE(IFERROR(CONCATENATE(IF(INDEX(display_intervals_breakdown,((WEEKDAY(J$3,2)*2-1)+IF(J284="Morning",0,1)),I284)="","",CONCATENATE("Intervals/Reps Breakdown: 
",INDEX(display_intervals_breakdown,((WEEKDAY(J$3,2)*2-1)+IF(J284="Morning",0,1)),I284),"
")),"Session Description: 
",CONCATENATE(IF(INDEX(final_duration_secondary,((WEEKDAY(J$3,2)*2-1)+IF(J284="Morning",0,1)),I284)=0,"","1. "),
INDEX(sessions_description_primary,,INDEX(plan_session_allocation,((WEEKDAY(J$3,2)*2-1)+IF(J284="Morning",0,1)),I284)),IF(INDEX(final_duration_secondary,((WEEKDAY(J$3,2)*2-1)+IF(J284="Morning",0,1)),I284)=0,"","
2. "),
IF(INDEX(final_duration_secondary,((WEEKDAY(J$3,2)*2-1)+IF(J284="Morning",0,1)),I284)=0,"",INDEX(sessions_description_secondary,,INDEX(plan_session_allocation,((WEEKDAY(J$3,2)*2-1)+IF(J284="Morning",0,1)),I284))),IF(INDEX(final_duration_tertiary,((WEEKDAY(J$3,2)*2-1)+IF(J284="Morning",0,1)),I284)=0,"","
3. "),
IF(INDEX(final_duration_tertiary,((WEEKDAY(J$3,2)*2-1)+IF(J284="Morning",0,1)),I284)="","",INDEX(sessions_description_tertiary,,INDEX(plan_session_allocation,((WEEKDAY(J$3,2)*2-1)+IF(J284="Morning",0,1)),I284))),
IF(INDEX(display_nutrition_description,((WEEKDAY(J$3,2)*2-1)+IF(J284="Morning",0,1)),I284)="","",
CONCATENATE("
Meal Plan: ", INDEX(sessions_nutrition,,INDEX(plan_session_allocation,((WEEKDAY(J$3,2)*2-1)+IF(J284="Morning",0,1)),I284)), "
", INDEX(display_nutrition_description,((WEEKDAY(J$3,2)*2-1)+IF(J284="Morning",0,1)),I284)))
)),"")),"")</f>
        <v>Session Description: 
Stay at a comfortable and controlled intensity where you should be able to have a conversation without large pauses. Keep an even intensity and accept that your pace may change as the terrain changes.</v>
      </c>
      <c r="J290" s="1914"/>
      <c r="K290" s="1914"/>
      <c r="L290" s="1915"/>
      <c r="N290" s="1913" t="str">
        <f ca="1">IF(Q284&gt;0,CONCATENATE(IFERROR(CONCATENATE(IF(INDEX(display_intervals_breakdown,((WEEKDAY(O$3,2)*2-1)+IF(O284="Morning",0,1)),N284)="","",CONCATENATE("Intervals/Reps Breakdown: 
",INDEX(display_intervals_breakdown,((WEEKDAY(O$3,2)*2-1)+IF(O284="Morning",0,1)),N284),"
")),"Session Description: 
",CONCATENATE(IF(INDEX(final_duration_secondary,((WEEKDAY(O$3,2)*2-1)+IF(O284="Morning",0,1)),N284)=0,"","1. "),
INDEX(sessions_description_primary,,INDEX(plan_session_allocation,((WEEKDAY(O$3,2)*2-1)+IF(O284="Morning",0,1)),N284)),IF(INDEX(final_duration_secondary,((WEEKDAY(O$3,2)*2-1)+IF(O284="Morning",0,1)),N284)=0,"","
2. "),
IF(INDEX(final_duration_secondary,((WEEKDAY(O$3,2)*2-1)+IF(O284="Morning",0,1)),N284)=0,"",INDEX(sessions_description_secondary,,INDEX(plan_session_allocation,((WEEKDAY(O$3,2)*2-1)+IF(O284="Morning",0,1)),N284))),IF(INDEX(final_duration_tertiary,((WEEKDAY(O$3,2)*2-1)+IF(O284="Morning",0,1)),N284)=0,"","
3. "),
IF(INDEX(final_duration_tertiary,((WEEKDAY(O$3,2)*2-1)+IF(O284="Morning",0,1)),N284)="","",INDEX(sessions_description_tertiary,,INDEX(plan_session_allocation,((WEEKDAY(O$3,2)*2-1)+IF(O284="Morning",0,1)),N284))),
IF(INDEX(display_nutrition_description,((WEEKDAY(O$3,2)*2-1)+IF(O284="Morning",0,1)),N284)="","",
CONCATENATE("
Meal Plan: ", INDEX(sessions_nutrition,,INDEX(plan_session_allocation,((WEEKDAY(O$3,2)*2-1)+IF(O284="Morning",0,1)),N284)), "
", INDEX(display_nutrition_description,((WEEKDAY(O$3,2)*2-1)+IF(O284="Morning",0,1)),N284)))
)),"")),"")</f>
        <v/>
      </c>
      <c r="O290" s="1914"/>
      <c r="P290" s="1914"/>
      <c r="Q290" s="1915"/>
      <c r="S290" s="1913" t="str">
        <f ca="1">IF(V284&gt;0,CONCATENATE(IFERROR(CONCATENATE(IF(INDEX(display_intervals_breakdown,((WEEKDAY(T$3,2)*2-1)+IF(T284="Morning",0,1)),S284)="","",CONCATENATE("Intervals/Reps Breakdown: 
",INDEX(display_intervals_breakdown,((WEEKDAY(T$3,2)*2-1)+IF(T284="Morning",0,1)),S284),"
")),"Session Description: 
",CONCATENATE(IF(INDEX(final_duration_secondary,((WEEKDAY(T$3,2)*2-1)+IF(T284="Morning",0,1)),S284)=0,"","1. "),
INDEX(sessions_description_primary,,INDEX(plan_session_allocation,((WEEKDAY(T$3,2)*2-1)+IF(T284="Morning",0,1)),S284)),IF(INDEX(final_duration_secondary,((WEEKDAY(T$3,2)*2-1)+IF(T284="Morning",0,1)),S284)=0,"","
2. "),
IF(INDEX(final_duration_secondary,((WEEKDAY(T$3,2)*2-1)+IF(T284="Morning",0,1)),S284)=0,"",INDEX(sessions_description_secondary,,INDEX(plan_session_allocation,((WEEKDAY(T$3,2)*2-1)+IF(T284="Morning",0,1)),S284))),IF(INDEX(final_duration_tertiary,((WEEKDAY(T$3,2)*2-1)+IF(T284="Morning",0,1)),S284)=0,"","
3. "),
IF(INDEX(final_duration_tertiary,((WEEKDAY(T$3,2)*2-1)+IF(T284="Morning",0,1)),S284)="","",INDEX(sessions_description_tertiary,,INDEX(plan_session_allocation,((WEEKDAY(T$3,2)*2-1)+IF(T284="Morning",0,1)),S284))),
IF(INDEX(display_nutrition_description,((WEEKDAY(T$3,2)*2-1)+IF(T284="Morning",0,1)),S284)="","",
CONCATENATE("
Meal Plan: ", INDEX(sessions_nutrition,,INDEX(plan_session_allocation,((WEEKDAY(T$3,2)*2-1)+IF(T284="Morning",0,1)),S284)), "
", INDEX(display_nutrition_description,((WEEKDAY(T$3,2)*2-1)+IF(T284="Morning",0,1)),S284)))
)),"")),"")</f>
        <v>Session Description: 
Stay at a comfortable and controlled intensity where you should be able to have a conversation without large pauses. Keep an even intensity and accept that your pace may change as the terrain changes.</v>
      </c>
      <c r="T290" s="1914"/>
      <c r="U290" s="1914"/>
      <c r="V290" s="1915"/>
      <c r="X290" s="1913" t="str">
        <f ca="1">IF(AA284&gt;0,CONCATENATE(IFERROR(CONCATENATE(IF(INDEX(display_intervals_breakdown,((WEEKDAY(Y$3,2)*2-1)+IF(Y284="Morning",0,1)),X284)="","",CONCATENATE("Intervals/Reps Breakdown: 
",INDEX(display_intervals_breakdown,((WEEKDAY(Y$3,2)*2-1)+IF(Y284="Morning",0,1)),X284),"
")),"Session Description: 
",CONCATENATE(IF(INDEX(final_duration_secondary,((WEEKDAY(Y$3,2)*2-1)+IF(Y284="Morning",0,1)),X284)=0,"","1. "),
INDEX(sessions_description_primary,,INDEX(plan_session_allocation,((WEEKDAY(Y$3,2)*2-1)+IF(Y284="Morning",0,1)),X284)),IF(INDEX(final_duration_secondary,((WEEKDAY(Y$3,2)*2-1)+IF(Y284="Morning",0,1)),X284)=0,"","
2. "),
IF(INDEX(final_duration_secondary,((WEEKDAY(Y$3,2)*2-1)+IF(Y284="Morning",0,1)),X284)=0,"",INDEX(sessions_description_secondary,,INDEX(plan_session_allocation,((WEEKDAY(Y$3,2)*2-1)+IF(Y284="Morning",0,1)),X284))),IF(INDEX(final_duration_tertiary,((WEEKDAY(Y$3,2)*2-1)+IF(Y284="Morning",0,1)),X284)=0,"","
3. "),
IF(INDEX(final_duration_tertiary,((WEEKDAY(Y$3,2)*2-1)+IF(Y284="Morning",0,1)),X284)="","",INDEX(sessions_description_tertiary,,INDEX(plan_session_allocation,((WEEKDAY(Y$3,2)*2-1)+IF(Y284="Morning",0,1)),X284))),
IF(INDEX(display_nutrition_description,((WEEKDAY(Y$3,2)*2-1)+IF(Y284="Morning",0,1)),X284)="","",
CONCATENATE("
Meal Plan: ", INDEX(sessions_nutrition,,INDEX(plan_session_allocation,((WEEKDAY(Y$3,2)*2-1)+IF(Y284="Morning",0,1)),X284)), "
", INDEX(display_nutrition_description,((WEEKDAY(Y$3,2)*2-1)+IF(Y284="Morning",0,1)),X284)))
)),"")),"")</f>
        <v>Session Description: 
Stay at a comfortable and controlled intensity where you should be able to have a conversation without large pauses. Keep an even intensity and accept that your pace may change as the terrain changes.</v>
      </c>
      <c r="Y290" s="1914"/>
      <c r="Z290" s="1914"/>
      <c r="AA290" s="1915"/>
      <c r="AC290" s="1913" t="str">
        <f ca="1">IF(AF284&gt;0,CONCATENATE(IFERROR(CONCATENATE(IF(INDEX(display_intervals_breakdown,((WEEKDAY(AD$3,2)*2-1)+IF(AD284="Morning",0,1)),AC284)="","",CONCATENATE("Intervals/Reps Breakdown: 
",INDEX(display_intervals_breakdown,((WEEKDAY(AD$3,2)*2-1)+IF(AD284="Morning",0,1)),AC284),"
")),"Session Description: 
",CONCATENATE(IF(INDEX(final_duration_secondary,((WEEKDAY(AD$3,2)*2-1)+IF(AD284="Morning",0,1)),AC284)=0,"","1. "),
INDEX(sessions_description_primary,,INDEX(plan_session_allocation,((WEEKDAY(AD$3,2)*2-1)+IF(AD284="Morning",0,1)),AC284)),IF(INDEX(final_duration_secondary,((WEEKDAY(AD$3,2)*2-1)+IF(AD284="Morning",0,1)),AC284)=0,"","
2. "),
IF(INDEX(final_duration_secondary,((WEEKDAY(AD$3,2)*2-1)+IF(AD284="Morning",0,1)),AC284)=0,"",INDEX(sessions_description_secondary,,INDEX(plan_session_allocation,((WEEKDAY(AD$3,2)*2-1)+IF(AD284="Morning",0,1)),AC284))),IF(INDEX(final_duration_tertiary,((WEEKDAY(AD$3,2)*2-1)+IF(AD284="Morning",0,1)),AC284)=0,"","
3. "),
IF(INDEX(final_duration_tertiary,((WEEKDAY(AD$3,2)*2-1)+IF(AD284="Morning",0,1)),AC284)="","",INDEX(sessions_description_tertiary,,INDEX(plan_session_allocation,((WEEKDAY(AD$3,2)*2-1)+IF(AD284="Morning",0,1)),AC284))),
IF(INDEX(display_nutrition_description,((WEEKDAY(AD$3,2)*2-1)+IF(AD284="Morning",0,1)),AC284)="","",
CONCATENATE("
Meal Plan: ", INDEX(sessions_nutrition,,INDEX(plan_session_allocation,((WEEKDAY(AD$3,2)*2-1)+IF(AD284="Morning",0,1)),AC284)), "
", INDEX(display_nutrition_description,((WEEKDAY(AD$3,2)*2-1)+IF(AD284="Morning",0,1)),AC284)))
)),"")),"")</f>
        <v xml:space="preserve">Session Description: 
Fundamentally a steady, but you can be less strict at controlling your intensity as long as your average intensity is close to it's target by the end of the session </v>
      </c>
      <c r="AD290" s="1914"/>
      <c r="AE290" s="1914"/>
      <c r="AF290" s="1915"/>
      <c r="AH290" s="1913" t="str">
        <f ca="1">IF(AK284&gt;0,CONCATENATE(IFERROR(CONCATENATE(IF(INDEX(display_intervals_breakdown,((WEEKDAY(AI$3,2)*2-1)+IF(AI284="Morning",0,1)),AH284)="","",CONCATENATE("Intervals/Reps Breakdown: 
",INDEX(display_intervals_breakdown,((WEEKDAY(AI$3,2)*2-1)+IF(AI284="Morning",0,1)),AH284),"
")),"Session Description: 
",CONCATENATE(IF(INDEX(final_duration_secondary,((WEEKDAY(AI$3,2)*2-1)+IF(AI284="Morning",0,1)),AH284)=0,"","1. "),
INDEX(sessions_description_primary,,INDEX(plan_session_allocation,((WEEKDAY(AI$3,2)*2-1)+IF(AI284="Morning",0,1)),AH284)),IF(INDEX(final_duration_secondary,((WEEKDAY(AI$3,2)*2-1)+IF(AI284="Morning",0,1)),AH284)=0,"","
2. "),
IF(INDEX(final_duration_secondary,((WEEKDAY(AI$3,2)*2-1)+IF(AI284="Morning",0,1)),AH284)=0,"",INDEX(sessions_description_secondary,,INDEX(plan_session_allocation,((WEEKDAY(AI$3,2)*2-1)+IF(AI284="Morning",0,1)),AH284))),IF(INDEX(final_duration_tertiary,((WEEKDAY(AI$3,2)*2-1)+IF(AI284="Morning",0,1)),AH284)=0,"","
3. "),
IF(INDEX(final_duration_tertiary,((WEEKDAY(AI$3,2)*2-1)+IF(AI284="Morning",0,1)),AH284)="","",INDEX(sessions_description_tertiary,,INDEX(plan_session_allocation,((WEEKDAY(AI$3,2)*2-1)+IF(AI284="Morning",0,1)),AH284))),
IF(INDEX(display_nutrition_description,((WEEKDAY(AI$3,2)*2-1)+IF(AI284="Morning",0,1)),AH284)="","",
CONCATENATE("
Meal Plan: ", INDEX(sessions_nutrition,,INDEX(plan_session_allocation,((WEEKDAY(AI$3,2)*2-1)+IF(AI284="Morning",0,1)),AH284)), "
", INDEX(display_nutrition_description,((WEEKDAY(AI$3,2)*2-1)+IF(AI284="Morning",0,1)),AH284)))
)),"")),"")</f>
        <v>Session Description: 
Stay at a comfortable and controlled intensity where you should be able to have a conversation without large pauses. Keep an even intensity and accept that your pace may change as the terrain changes.</v>
      </c>
      <c r="AI290" s="1914"/>
      <c r="AJ290" s="1914"/>
      <c r="AK290" s="1915"/>
    </row>
    <row r="291" spans="2:38" s="180" customFormat="1" x14ac:dyDescent="0.45">
      <c r="B291" s="1942"/>
      <c r="C291" s="1945"/>
      <c r="D291" s="1916"/>
      <c r="E291" s="1917"/>
      <c r="F291" s="1917"/>
      <c r="G291" s="1918"/>
      <c r="I291" s="1916"/>
      <c r="J291" s="1917"/>
      <c r="K291" s="1917"/>
      <c r="L291" s="1918"/>
      <c r="N291" s="1916"/>
      <c r="O291" s="1917"/>
      <c r="P291" s="1917"/>
      <c r="Q291" s="1918"/>
      <c r="S291" s="1916"/>
      <c r="T291" s="1917"/>
      <c r="U291" s="1917"/>
      <c r="V291" s="1918"/>
      <c r="X291" s="1916"/>
      <c r="Y291" s="1917"/>
      <c r="Z291" s="1917"/>
      <c r="AA291" s="1918"/>
      <c r="AC291" s="1916"/>
      <c r="AD291" s="1917"/>
      <c r="AE291" s="1917"/>
      <c r="AF291" s="1918"/>
      <c r="AH291" s="1916"/>
      <c r="AI291" s="1917"/>
      <c r="AJ291" s="1917"/>
      <c r="AK291" s="1918"/>
    </row>
    <row r="292" spans="2:38" s="180" customFormat="1" x14ac:dyDescent="0.45">
      <c r="B292" s="1942"/>
      <c r="C292" s="1945"/>
      <c r="D292" s="1916"/>
      <c r="E292" s="1917"/>
      <c r="F292" s="1917"/>
      <c r="G292" s="1918"/>
      <c r="I292" s="1916"/>
      <c r="J292" s="1917"/>
      <c r="K292" s="1917"/>
      <c r="L292" s="1918"/>
      <c r="N292" s="1916"/>
      <c r="O292" s="1917"/>
      <c r="P292" s="1917"/>
      <c r="Q292" s="1918"/>
      <c r="S292" s="1916"/>
      <c r="T292" s="1917"/>
      <c r="U292" s="1917"/>
      <c r="V292" s="1918"/>
      <c r="X292" s="1916"/>
      <c r="Y292" s="1917"/>
      <c r="Z292" s="1917"/>
      <c r="AA292" s="1918"/>
      <c r="AC292" s="1916"/>
      <c r="AD292" s="1917"/>
      <c r="AE292" s="1917"/>
      <c r="AF292" s="1918"/>
      <c r="AH292" s="1916"/>
      <c r="AI292" s="1917"/>
      <c r="AJ292" s="1917"/>
      <c r="AK292" s="1918"/>
    </row>
    <row r="293" spans="2:38" s="180" customFormat="1" x14ac:dyDescent="0.45">
      <c r="B293" s="1942"/>
      <c r="C293" s="1945"/>
      <c r="D293" s="1916"/>
      <c r="E293" s="1917"/>
      <c r="F293" s="1917"/>
      <c r="G293" s="1918"/>
      <c r="I293" s="1916"/>
      <c r="J293" s="1917"/>
      <c r="K293" s="1917"/>
      <c r="L293" s="1918"/>
      <c r="N293" s="1916"/>
      <c r="O293" s="1917"/>
      <c r="P293" s="1917"/>
      <c r="Q293" s="1918"/>
      <c r="S293" s="1916"/>
      <c r="T293" s="1917"/>
      <c r="U293" s="1917"/>
      <c r="V293" s="1918"/>
      <c r="X293" s="1916"/>
      <c r="Y293" s="1917"/>
      <c r="Z293" s="1917"/>
      <c r="AA293" s="1918"/>
      <c r="AC293" s="1916"/>
      <c r="AD293" s="1917"/>
      <c r="AE293" s="1917"/>
      <c r="AF293" s="1918"/>
      <c r="AH293" s="1916"/>
      <c r="AI293" s="1917"/>
      <c r="AJ293" s="1917"/>
      <c r="AK293" s="1918"/>
    </row>
    <row r="294" spans="2:38" s="180" customFormat="1" x14ac:dyDescent="0.45">
      <c r="B294" s="1942"/>
      <c r="C294" s="1945"/>
      <c r="D294" s="1916"/>
      <c r="E294" s="1917"/>
      <c r="F294" s="1917"/>
      <c r="G294" s="1918"/>
      <c r="I294" s="1916"/>
      <c r="J294" s="1917"/>
      <c r="K294" s="1917"/>
      <c r="L294" s="1918"/>
      <c r="N294" s="1916"/>
      <c r="O294" s="1917"/>
      <c r="P294" s="1917"/>
      <c r="Q294" s="1918"/>
      <c r="S294" s="1916"/>
      <c r="T294" s="1917"/>
      <c r="U294" s="1917"/>
      <c r="V294" s="1918"/>
      <c r="X294" s="1916"/>
      <c r="Y294" s="1917"/>
      <c r="Z294" s="1917"/>
      <c r="AA294" s="1918"/>
      <c r="AC294" s="1916"/>
      <c r="AD294" s="1917"/>
      <c r="AE294" s="1917"/>
      <c r="AF294" s="1918"/>
      <c r="AH294" s="1916"/>
      <c r="AI294" s="1917"/>
      <c r="AJ294" s="1917"/>
      <c r="AK294" s="1918"/>
    </row>
    <row r="295" spans="2:38" s="180" customFormat="1" x14ac:dyDescent="0.45">
      <c r="B295" s="1942"/>
      <c r="C295" s="1945"/>
      <c r="D295" s="1916"/>
      <c r="E295" s="1917"/>
      <c r="F295" s="1917"/>
      <c r="G295" s="1918"/>
      <c r="I295" s="1916"/>
      <c r="J295" s="1917"/>
      <c r="K295" s="1917"/>
      <c r="L295" s="1918"/>
      <c r="N295" s="1916"/>
      <c r="O295" s="1917"/>
      <c r="P295" s="1917"/>
      <c r="Q295" s="1918"/>
      <c r="S295" s="1916"/>
      <c r="T295" s="1917"/>
      <c r="U295" s="1917"/>
      <c r="V295" s="1918"/>
      <c r="X295" s="1916"/>
      <c r="Y295" s="1917"/>
      <c r="Z295" s="1917"/>
      <c r="AA295" s="1918"/>
      <c r="AC295" s="1916"/>
      <c r="AD295" s="1917"/>
      <c r="AE295" s="1917"/>
      <c r="AF295" s="1918"/>
      <c r="AH295" s="1916"/>
      <c r="AI295" s="1917"/>
      <c r="AJ295" s="1917"/>
      <c r="AK295" s="1918"/>
    </row>
    <row r="296" spans="2:38" s="180" customFormat="1" x14ac:dyDescent="0.45">
      <c r="B296" s="1942"/>
      <c r="C296" s="1945"/>
      <c r="D296" s="1916"/>
      <c r="E296" s="1917"/>
      <c r="F296" s="1917"/>
      <c r="G296" s="1918"/>
      <c r="I296" s="1916"/>
      <c r="J296" s="1917"/>
      <c r="K296" s="1917"/>
      <c r="L296" s="1918"/>
      <c r="N296" s="1916"/>
      <c r="O296" s="1917"/>
      <c r="P296" s="1917"/>
      <c r="Q296" s="1918"/>
      <c r="S296" s="1916"/>
      <c r="T296" s="1917"/>
      <c r="U296" s="1917"/>
      <c r="V296" s="1918"/>
      <c r="X296" s="1916"/>
      <c r="Y296" s="1917"/>
      <c r="Z296" s="1917"/>
      <c r="AA296" s="1918"/>
      <c r="AC296" s="1916"/>
      <c r="AD296" s="1917"/>
      <c r="AE296" s="1917"/>
      <c r="AF296" s="1918"/>
      <c r="AH296" s="1916"/>
      <c r="AI296" s="1917"/>
      <c r="AJ296" s="1917"/>
      <c r="AK296" s="1918"/>
    </row>
    <row r="297" spans="2:38" s="180" customFormat="1" ht="15.75" customHeight="1" x14ac:dyDescent="0.45">
      <c r="B297" s="1942"/>
      <c r="C297" s="1945"/>
      <c r="D297" s="1916"/>
      <c r="E297" s="1917"/>
      <c r="F297" s="1917"/>
      <c r="G297" s="1918"/>
      <c r="I297" s="1916"/>
      <c r="J297" s="1917"/>
      <c r="K297" s="1917"/>
      <c r="L297" s="1918"/>
      <c r="N297" s="1916"/>
      <c r="O297" s="1917"/>
      <c r="P297" s="1917"/>
      <c r="Q297" s="1918"/>
      <c r="S297" s="1916"/>
      <c r="T297" s="1917"/>
      <c r="U297" s="1917"/>
      <c r="V297" s="1918"/>
      <c r="X297" s="1916"/>
      <c r="Y297" s="1917"/>
      <c r="Z297" s="1917"/>
      <c r="AA297" s="1918"/>
      <c r="AC297" s="1916"/>
      <c r="AD297" s="1917"/>
      <c r="AE297" s="1917"/>
      <c r="AF297" s="1918"/>
      <c r="AH297" s="1916"/>
      <c r="AI297" s="1917"/>
      <c r="AJ297" s="1917"/>
      <c r="AK297" s="1918"/>
    </row>
    <row r="298" spans="2:38" s="180" customFormat="1" x14ac:dyDescent="0.45">
      <c r="B298" s="1942"/>
      <c r="C298" s="1945"/>
      <c r="D298" s="1916"/>
      <c r="E298" s="1917"/>
      <c r="F298" s="1917"/>
      <c r="G298" s="1918"/>
      <c r="I298" s="1916"/>
      <c r="J298" s="1917"/>
      <c r="K298" s="1917"/>
      <c r="L298" s="1918"/>
      <c r="N298" s="1916"/>
      <c r="O298" s="1917"/>
      <c r="P298" s="1917"/>
      <c r="Q298" s="1918"/>
      <c r="S298" s="1916"/>
      <c r="T298" s="1917"/>
      <c r="U298" s="1917"/>
      <c r="V298" s="1918"/>
      <c r="X298" s="1916"/>
      <c r="Y298" s="1917"/>
      <c r="Z298" s="1917"/>
      <c r="AA298" s="1918"/>
      <c r="AC298" s="1916"/>
      <c r="AD298" s="1917"/>
      <c r="AE298" s="1917"/>
      <c r="AF298" s="1918"/>
      <c r="AH298" s="1916"/>
      <c r="AI298" s="1917"/>
      <c r="AJ298" s="1917"/>
      <c r="AK298" s="1918"/>
    </row>
    <row r="299" spans="2:38" s="180" customFormat="1" x14ac:dyDescent="0.45">
      <c r="B299" s="1942"/>
      <c r="C299" s="1945"/>
      <c r="D299" s="1916"/>
      <c r="E299" s="1917"/>
      <c r="F299" s="1917"/>
      <c r="G299" s="1918"/>
      <c r="I299" s="1916"/>
      <c r="J299" s="1917"/>
      <c r="K299" s="1917"/>
      <c r="L299" s="1918"/>
      <c r="N299" s="1916"/>
      <c r="O299" s="1917"/>
      <c r="P299" s="1917"/>
      <c r="Q299" s="1918"/>
      <c r="S299" s="1916"/>
      <c r="T299" s="1917"/>
      <c r="U299" s="1917"/>
      <c r="V299" s="1918"/>
      <c r="X299" s="1916"/>
      <c r="Y299" s="1917"/>
      <c r="Z299" s="1917"/>
      <c r="AA299" s="1918"/>
      <c r="AC299" s="1916"/>
      <c r="AD299" s="1917"/>
      <c r="AE299" s="1917"/>
      <c r="AF299" s="1918"/>
      <c r="AH299" s="1916"/>
      <c r="AI299" s="1917"/>
      <c r="AJ299" s="1917"/>
      <c r="AK299" s="1918"/>
    </row>
    <row r="300" spans="2:38" s="180" customFormat="1" x14ac:dyDescent="0.45">
      <c r="B300" s="1942"/>
      <c r="C300" s="1945"/>
      <c r="D300" s="1916"/>
      <c r="E300" s="1917"/>
      <c r="F300" s="1917"/>
      <c r="G300" s="1918"/>
      <c r="I300" s="1916"/>
      <c r="J300" s="1917"/>
      <c r="K300" s="1917"/>
      <c r="L300" s="1918"/>
      <c r="N300" s="1916"/>
      <c r="O300" s="1917"/>
      <c r="P300" s="1917"/>
      <c r="Q300" s="1918"/>
      <c r="S300" s="1916"/>
      <c r="T300" s="1917"/>
      <c r="U300" s="1917"/>
      <c r="V300" s="1918"/>
      <c r="X300" s="1916"/>
      <c r="Y300" s="1917"/>
      <c r="Z300" s="1917"/>
      <c r="AA300" s="1918"/>
      <c r="AC300" s="1916"/>
      <c r="AD300" s="1917"/>
      <c r="AE300" s="1917"/>
      <c r="AF300" s="1918"/>
      <c r="AH300" s="1916"/>
      <c r="AI300" s="1917"/>
      <c r="AJ300" s="1917"/>
      <c r="AK300" s="1918"/>
    </row>
    <row r="301" spans="2:38" s="180" customFormat="1" x14ac:dyDescent="0.45">
      <c r="B301" s="1942"/>
      <c r="C301" s="1945"/>
      <c r="D301" s="1916"/>
      <c r="E301" s="1917"/>
      <c r="F301" s="1917"/>
      <c r="G301" s="1918"/>
      <c r="I301" s="1916"/>
      <c r="J301" s="1917"/>
      <c r="K301" s="1917"/>
      <c r="L301" s="1918"/>
      <c r="N301" s="1916"/>
      <c r="O301" s="1917"/>
      <c r="P301" s="1917"/>
      <c r="Q301" s="1918"/>
      <c r="S301" s="1916"/>
      <c r="T301" s="1917"/>
      <c r="U301" s="1917"/>
      <c r="V301" s="1918"/>
      <c r="X301" s="1916"/>
      <c r="Y301" s="1917"/>
      <c r="Z301" s="1917"/>
      <c r="AA301" s="1918"/>
      <c r="AC301" s="1916"/>
      <c r="AD301" s="1917"/>
      <c r="AE301" s="1917"/>
      <c r="AF301" s="1918"/>
      <c r="AH301" s="1916"/>
      <c r="AI301" s="1917"/>
      <c r="AJ301" s="1917"/>
      <c r="AK301" s="1918"/>
    </row>
    <row r="302" spans="2:38" s="180" customFormat="1" x14ac:dyDescent="0.45">
      <c r="B302" s="1942"/>
      <c r="C302" s="1945"/>
      <c r="D302" s="1916"/>
      <c r="E302" s="1917"/>
      <c r="F302" s="1917"/>
      <c r="G302" s="1918"/>
      <c r="I302" s="1916"/>
      <c r="J302" s="1917"/>
      <c r="K302" s="1917"/>
      <c r="L302" s="1918"/>
      <c r="N302" s="1916"/>
      <c r="O302" s="1917"/>
      <c r="P302" s="1917"/>
      <c r="Q302" s="1918"/>
      <c r="S302" s="1916"/>
      <c r="T302" s="1917"/>
      <c r="U302" s="1917"/>
      <c r="V302" s="1918"/>
      <c r="X302" s="1916"/>
      <c r="Y302" s="1917"/>
      <c r="Z302" s="1917"/>
      <c r="AA302" s="1918"/>
      <c r="AC302" s="1916"/>
      <c r="AD302" s="1917"/>
      <c r="AE302" s="1917"/>
      <c r="AF302" s="1918"/>
      <c r="AH302" s="1916"/>
      <c r="AI302" s="1917"/>
      <c r="AJ302" s="1917"/>
      <c r="AK302" s="1918"/>
    </row>
    <row r="303" spans="2:38" s="180" customFormat="1" x14ac:dyDescent="0.45">
      <c r="B303" s="1942"/>
      <c r="C303" s="1945"/>
      <c r="D303" s="1919"/>
      <c r="E303" s="1920"/>
      <c r="F303" s="1920"/>
      <c r="G303" s="1921"/>
      <c r="I303" s="1919"/>
      <c r="J303" s="1920"/>
      <c r="K303" s="1920"/>
      <c r="L303" s="1921"/>
      <c r="N303" s="1919"/>
      <c r="O303" s="1920"/>
      <c r="P303" s="1920"/>
      <c r="Q303" s="1921"/>
      <c r="S303" s="1919"/>
      <c r="T303" s="1920"/>
      <c r="U303" s="1920"/>
      <c r="V303" s="1921"/>
      <c r="X303" s="1919"/>
      <c r="Y303" s="1920"/>
      <c r="Z303" s="1920"/>
      <c r="AA303" s="1921"/>
      <c r="AC303" s="1919"/>
      <c r="AD303" s="1920"/>
      <c r="AE303" s="1920"/>
      <c r="AF303" s="1921"/>
      <c r="AH303" s="1919"/>
      <c r="AI303" s="1920"/>
      <c r="AJ303" s="1920"/>
      <c r="AK303" s="1921"/>
    </row>
    <row r="304" spans="2:38" s="180" customFormat="1" ht="15" customHeight="1" x14ac:dyDescent="0.45">
      <c r="B304" s="1942"/>
      <c r="C304" s="1945"/>
      <c r="D304" s="1913" t="str">
        <f ca="1">IF(G284&gt;0,CONCATENATE("Session Aim: 
", CONCATENATE(IF(INDEX(final_duration_secondary,((WEEKDAY(E$3,2)*2-1)+IF(E284="Morning",0,1)),D284)=0, "", "1. "),
INDEX(sessions_aim_primary,, INDEX(plan_session_allocation,((WEEKDAY(E$3,2)*2-1)+IF(E284="Morning",0,1)),D284)), IF(INDEX(final_duration_secondary,((WEEKDAY(E$3,2)*2-1)+IF(E284="Morning",0,1)),D284)=0, "", "
2. "),
IF(INDEX(final_duration_secondary,((WEEKDAY(E$3,2)*2-1)+IF(E284="Morning",0,1)),D284)=0, "", INDEX(sessions_aim_secondary,, INDEX(plan_session_allocation,((WEEKDAY(E$3,2)*2-1)+IF(E284="Morning",0,1)),D284))), IF(INDEX(final_duration_tertiary,((WEEKDAY(E$3,2)*2-1)+IF(E284="Morning",0,1)),D284)=0, "", "
3. "),
IF(INDEX(final_duration_tertiary,((WEEKDAY(E$3,2)*2-1)+IF(E284="Morning",0,1)),D284)=0, "", INDEX(sessions_aim_tertiary,, INDEX(plan_session_allocation,((WEEKDAY(E$3,2)*2-1)+IF(E284="Morning",0,1)),D284))),
IF(INDEX(display_nutrition_description,((WEEKDAY(E$3,2)*2-1)+IF(E284="Morning",0,1)),D284)="","",
CONCATENATE("
Nutrition Aim:
", INDEX(sessions_aim_nutrition,,INDEX(plan_session_allocation,((WEEKDAY(E$3,2)*2-1)+IF(E284="Morning",0,1)),D284))
))
)),"")</f>
        <v xml:space="preserve">Session Aim: 
Improve aerobic fitness while minimising the chance of injury. </v>
      </c>
      <c r="E304" s="1914"/>
      <c r="F304" s="1914"/>
      <c r="G304" s="1915"/>
      <c r="I304" s="1913" t="str">
        <f ca="1">IF(L284&gt;0,CONCATENATE("Session Aim: 
", CONCATENATE(IF(INDEX(final_duration_secondary,((WEEKDAY(J$3,2)*2-1)+IF(J284="Morning",0,1)),I284)=0, "", "1. "),
INDEX(sessions_aim_primary,, INDEX(plan_session_allocation,((WEEKDAY(J$3,2)*2-1)+IF(J284="Morning",0,1)),I284)), IF(INDEX(final_duration_secondary,((WEEKDAY(J$3,2)*2-1)+IF(J284="Morning",0,1)),I284)=0, "", "
2. "),
IF(INDEX(final_duration_secondary,((WEEKDAY(J$3,2)*2-1)+IF(J284="Morning",0,1)),I284)=0, "", INDEX(sessions_aim_secondary,, INDEX(plan_session_allocation,((WEEKDAY(J$3,2)*2-1)+IF(J284="Morning",0,1)),I284))), IF(INDEX(final_duration_tertiary,((WEEKDAY(J$3,2)*2-1)+IF(J284="Morning",0,1)),I284)=0, "", "
3. "),
IF(INDEX(final_duration_tertiary,((WEEKDAY(J$3,2)*2-1)+IF(J284="Morning",0,1)),I284)=0, "", INDEX(sessions_aim_tertiary,, INDEX(plan_session_allocation,((WEEKDAY(J$3,2)*2-1)+IF(J284="Morning",0,1)),I284))),
IF(INDEX(display_nutrition_description,((WEEKDAY(J$3,2)*2-1)+IF(J284="Morning",0,1)),I284)="","",
CONCATENATE("
Nutrition Aim:
", INDEX(sessions_aim_nutrition,,INDEX(plan_session_allocation,((WEEKDAY(J$3,2)*2-1)+IF(J284="Morning",0,1)),I284))
))
)),"")</f>
        <v xml:space="preserve">Session Aim: 
Improve aerobic fitness while minimising the chance of injury. </v>
      </c>
      <c r="J304" s="1914"/>
      <c r="K304" s="1914"/>
      <c r="L304" s="1915"/>
      <c r="N304" s="1913" t="str">
        <f ca="1">IF(Q284&gt;0,CONCATENATE("Session Aim: 
", CONCATENATE(IF(INDEX(final_duration_secondary,((WEEKDAY(O$3,2)*2-1)+IF(O284="Morning",0,1)),N284)=0, "", "1. "),
INDEX(sessions_aim_primary,, INDEX(plan_session_allocation,((WEEKDAY(O$3,2)*2-1)+IF(O284="Morning",0,1)),N284)), IF(INDEX(final_duration_secondary,((WEEKDAY(O$3,2)*2-1)+IF(O284="Morning",0,1)),N284)=0, "", "
2. "),
IF(INDEX(final_duration_secondary,((WEEKDAY(O$3,2)*2-1)+IF(O284="Morning",0,1)),N284)=0, "", INDEX(sessions_aim_secondary,, INDEX(plan_session_allocation,((WEEKDAY(O$3,2)*2-1)+IF(O284="Morning",0,1)),N284))), IF(INDEX(final_duration_tertiary,((WEEKDAY(O$3,2)*2-1)+IF(O284="Morning",0,1)),N284)=0, "", "
3. "),
IF(INDEX(final_duration_tertiary,((WEEKDAY(O$3,2)*2-1)+IF(O284="Morning",0,1)),N284)=0, "", INDEX(sessions_aim_tertiary,, INDEX(plan_session_allocation,((WEEKDAY(O$3,2)*2-1)+IF(O284="Morning",0,1)),N284))),
IF(INDEX(display_nutrition_description,((WEEKDAY(O$3,2)*2-1)+IF(O284="Morning",0,1)),N284)="","",
CONCATENATE("
Nutrition Aim:
", INDEX(sessions_aim_nutrition,,INDEX(plan_session_allocation,((WEEKDAY(O$3,2)*2-1)+IF(O284="Morning",0,1)),N284))
))
)),"")</f>
        <v/>
      </c>
      <c r="O304" s="1914"/>
      <c r="P304" s="1914"/>
      <c r="Q304" s="1915"/>
      <c r="S304" s="1913" t="str">
        <f ca="1">IF(V284&gt;0,CONCATENATE("Session Aim: 
", CONCATENATE(IF(INDEX(final_duration_secondary,((WEEKDAY(T$3,2)*2-1)+IF(T284="Morning",0,1)),S284)=0, "", "1. "),
INDEX(sessions_aim_primary,, INDEX(plan_session_allocation,((WEEKDAY(T$3,2)*2-1)+IF(T284="Morning",0,1)),S284)), IF(INDEX(final_duration_secondary,((WEEKDAY(T$3,2)*2-1)+IF(T284="Morning",0,1)),S284)=0, "", "
2. "),
IF(INDEX(final_duration_secondary,((WEEKDAY(T$3,2)*2-1)+IF(T284="Morning",0,1)),S284)=0, "", INDEX(sessions_aim_secondary,, INDEX(plan_session_allocation,((WEEKDAY(T$3,2)*2-1)+IF(T284="Morning",0,1)),S284))), IF(INDEX(final_duration_tertiary,((WEEKDAY(T$3,2)*2-1)+IF(T284="Morning",0,1)),S284)=0, "", "
3. "),
IF(INDEX(final_duration_tertiary,((WEEKDAY(T$3,2)*2-1)+IF(T284="Morning",0,1)),S284)=0, "", INDEX(sessions_aim_tertiary,, INDEX(plan_session_allocation,((WEEKDAY(T$3,2)*2-1)+IF(T284="Morning",0,1)),S284))),
IF(INDEX(display_nutrition_description,((WEEKDAY(T$3,2)*2-1)+IF(T284="Morning",0,1)),S284)="","",
CONCATENATE("
Nutrition Aim:
", INDEX(sessions_aim_nutrition,,INDEX(plan_session_allocation,((WEEKDAY(T$3,2)*2-1)+IF(T284="Morning",0,1)),S284))
))
)),"")</f>
        <v xml:space="preserve">Session Aim: 
Improve aerobic fitness while minimising the chance of injury. </v>
      </c>
      <c r="T304" s="1914"/>
      <c r="U304" s="1914"/>
      <c r="V304" s="1915"/>
      <c r="X304" s="1913" t="str">
        <f ca="1">IF(AA284&gt;0,CONCATENATE("Session Aim: 
", CONCATENATE(IF(INDEX(final_duration_secondary,((WEEKDAY(Y$3,2)*2-1)+IF(Y284="Morning",0,1)),X284)=0, "", "1. "),
INDEX(sessions_aim_primary,, INDEX(plan_session_allocation,((WEEKDAY(Y$3,2)*2-1)+IF(Y284="Morning",0,1)),X284)), IF(INDEX(final_duration_secondary,((WEEKDAY(Y$3,2)*2-1)+IF(Y284="Morning",0,1)),X284)=0, "", "
2. "),
IF(INDEX(final_duration_secondary,((WEEKDAY(Y$3,2)*2-1)+IF(Y284="Morning",0,1)),X284)=0, "", INDEX(sessions_aim_secondary,, INDEX(plan_session_allocation,((WEEKDAY(Y$3,2)*2-1)+IF(Y284="Morning",0,1)),X284))), IF(INDEX(final_duration_tertiary,((WEEKDAY(Y$3,2)*2-1)+IF(Y284="Morning",0,1)),X284)=0, "", "
3. "),
IF(INDEX(final_duration_tertiary,((WEEKDAY(Y$3,2)*2-1)+IF(Y284="Morning",0,1)),X284)=0, "", INDEX(sessions_aim_tertiary,, INDEX(plan_session_allocation,((WEEKDAY(Y$3,2)*2-1)+IF(Y284="Morning",0,1)),X284))),
IF(INDEX(display_nutrition_description,((WEEKDAY(Y$3,2)*2-1)+IF(Y284="Morning",0,1)),X284)="","",
CONCATENATE("
Nutrition Aim:
", INDEX(sessions_aim_nutrition,,INDEX(plan_session_allocation,((WEEKDAY(Y$3,2)*2-1)+IF(Y284="Morning",0,1)),X284))
))
)),"")</f>
        <v xml:space="preserve">Session Aim: 
Improve aerobic fitness while minimising the chance of injury. </v>
      </c>
      <c r="Y304" s="1914"/>
      <c r="Z304" s="1914"/>
      <c r="AA304" s="1915"/>
      <c r="AC304" s="1913" t="str">
        <f ca="1">IF(AF284&gt;0,CONCATENATE("Session Aim: 
", CONCATENATE(IF(INDEX(final_duration_secondary,((WEEKDAY(AD$3,2)*2-1)+IF(AD284="Morning",0,1)),AC284)=0, "", "1. "),
INDEX(sessions_aim_primary,, INDEX(plan_session_allocation,((WEEKDAY(AD$3,2)*2-1)+IF(AD284="Morning",0,1)),AC284)), IF(INDEX(final_duration_secondary,((WEEKDAY(AD$3,2)*2-1)+IF(AD284="Morning",0,1)),AC284)=0, "", "
2. "),
IF(INDEX(final_duration_secondary,((WEEKDAY(AD$3,2)*2-1)+IF(AD284="Morning",0,1)),AC284)=0, "", INDEX(sessions_aim_secondary,, INDEX(plan_session_allocation,((WEEKDAY(AD$3,2)*2-1)+IF(AD284="Morning",0,1)),AC284))), IF(INDEX(final_duration_tertiary,((WEEKDAY(AD$3,2)*2-1)+IF(AD284="Morning",0,1)),AC284)=0, "", "
3. "),
IF(INDEX(final_duration_tertiary,((WEEKDAY(AD$3,2)*2-1)+IF(AD284="Morning",0,1)),AC284)=0, "", INDEX(sessions_aim_tertiary,, INDEX(plan_session_allocation,((WEEKDAY(AD$3,2)*2-1)+IF(AD284="Morning",0,1)),AC284))),
IF(INDEX(display_nutrition_description,((WEEKDAY(AD$3,2)*2-1)+IF(AD284="Morning",0,1)),AC284)="","",
CONCATENATE("
Nutrition Aim:
", INDEX(sessions_aim_nutrition,,INDEX(plan_session_allocation,((WEEKDAY(AD$3,2)*2-1)+IF(AD284="Morning",0,1)),AC284))
))
)),"")</f>
        <v xml:space="preserve">Session Aim: 
Improve aerobic fitness and energy utilisation. </v>
      </c>
      <c r="AD304" s="1914"/>
      <c r="AE304" s="1914"/>
      <c r="AF304" s="1915"/>
      <c r="AH304" s="1913" t="str">
        <f ca="1">IF(AK284&gt;0,CONCATENATE("Session Aim: 
", CONCATENATE(IF(INDEX(final_duration_secondary,((WEEKDAY(AI$3,2)*2-1)+IF(AI284="Morning",0,1)),AH284)=0, "", "1. "),
INDEX(sessions_aim_primary,, INDEX(plan_session_allocation,((WEEKDAY(AI$3,2)*2-1)+IF(AI284="Morning",0,1)),AH284)), IF(INDEX(final_duration_secondary,((WEEKDAY(AI$3,2)*2-1)+IF(AI284="Morning",0,1)),AH284)=0, "", "
2. "),
IF(INDEX(final_duration_secondary,((WEEKDAY(AI$3,2)*2-1)+IF(AI284="Morning",0,1)),AH284)=0, "", INDEX(sessions_aim_secondary,, INDEX(plan_session_allocation,((WEEKDAY(AI$3,2)*2-1)+IF(AI284="Morning",0,1)),AH284))), IF(INDEX(final_duration_tertiary,((WEEKDAY(AI$3,2)*2-1)+IF(AI284="Morning",0,1)),AH284)=0, "", "
3. "),
IF(INDEX(final_duration_tertiary,((WEEKDAY(AI$3,2)*2-1)+IF(AI284="Morning",0,1)),AH284)=0, "", INDEX(sessions_aim_tertiary,, INDEX(plan_session_allocation,((WEEKDAY(AI$3,2)*2-1)+IF(AI284="Morning",0,1)),AH284))),
IF(INDEX(display_nutrition_description,((WEEKDAY(AI$3,2)*2-1)+IF(AI284="Morning",0,1)),AH284)="","",
CONCATENATE("
Nutrition Aim:
", INDEX(sessions_aim_nutrition,,INDEX(plan_session_allocation,((WEEKDAY(AI$3,2)*2-1)+IF(AI284="Morning",0,1)),AH284))
))
)),"")</f>
        <v xml:space="preserve">Session Aim: 
Improve aerobic fitness while minimising the chance of injury. </v>
      </c>
      <c r="AI304" s="1914"/>
      <c r="AJ304" s="1914"/>
      <c r="AK304" s="1915"/>
    </row>
    <row r="305" spans="2:38" s="180" customFormat="1" x14ac:dyDescent="0.45">
      <c r="B305" s="1942"/>
      <c r="C305" s="1945"/>
      <c r="D305" s="1916"/>
      <c r="E305" s="1917"/>
      <c r="F305" s="1917"/>
      <c r="G305" s="1918"/>
      <c r="I305" s="1916"/>
      <c r="J305" s="1917"/>
      <c r="K305" s="1917"/>
      <c r="L305" s="1918"/>
      <c r="N305" s="1916"/>
      <c r="O305" s="1917"/>
      <c r="P305" s="1917"/>
      <c r="Q305" s="1918"/>
      <c r="S305" s="1916"/>
      <c r="T305" s="1917"/>
      <c r="U305" s="1917"/>
      <c r="V305" s="1918"/>
      <c r="X305" s="1916"/>
      <c r="Y305" s="1917"/>
      <c r="Z305" s="1917"/>
      <c r="AA305" s="1918"/>
      <c r="AC305" s="1916"/>
      <c r="AD305" s="1917"/>
      <c r="AE305" s="1917"/>
      <c r="AF305" s="1918"/>
      <c r="AH305" s="1916"/>
      <c r="AI305" s="1917"/>
      <c r="AJ305" s="1917"/>
      <c r="AK305" s="1918"/>
    </row>
    <row r="306" spans="2:38" s="180" customFormat="1" x14ac:dyDescent="0.45">
      <c r="B306" s="1942"/>
      <c r="C306" s="1945"/>
      <c r="D306" s="1916"/>
      <c r="E306" s="1917"/>
      <c r="F306" s="1917"/>
      <c r="G306" s="1918"/>
      <c r="I306" s="1916"/>
      <c r="J306" s="1917"/>
      <c r="K306" s="1917"/>
      <c r="L306" s="1918"/>
      <c r="N306" s="1916"/>
      <c r="O306" s="1917"/>
      <c r="P306" s="1917"/>
      <c r="Q306" s="1918"/>
      <c r="S306" s="1916"/>
      <c r="T306" s="1917"/>
      <c r="U306" s="1917"/>
      <c r="V306" s="1918"/>
      <c r="X306" s="1916"/>
      <c r="Y306" s="1917"/>
      <c r="Z306" s="1917"/>
      <c r="AA306" s="1918"/>
      <c r="AC306" s="1916"/>
      <c r="AD306" s="1917"/>
      <c r="AE306" s="1917"/>
      <c r="AF306" s="1918"/>
      <c r="AH306" s="1916"/>
      <c r="AI306" s="1917"/>
      <c r="AJ306" s="1917"/>
      <c r="AK306" s="1918"/>
    </row>
    <row r="307" spans="2:38" s="180" customFormat="1" x14ac:dyDescent="0.45">
      <c r="B307" s="1942"/>
      <c r="C307" s="1945"/>
      <c r="D307" s="1916"/>
      <c r="E307" s="1917"/>
      <c r="F307" s="1917"/>
      <c r="G307" s="1918"/>
      <c r="I307" s="1916"/>
      <c r="J307" s="1917"/>
      <c r="K307" s="1917"/>
      <c r="L307" s="1918"/>
      <c r="N307" s="1916"/>
      <c r="O307" s="1917"/>
      <c r="P307" s="1917"/>
      <c r="Q307" s="1918"/>
      <c r="S307" s="1916"/>
      <c r="T307" s="1917"/>
      <c r="U307" s="1917"/>
      <c r="V307" s="1918"/>
      <c r="X307" s="1916"/>
      <c r="Y307" s="1917"/>
      <c r="Z307" s="1917"/>
      <c r="AA307" s="1918"/>
      <c r="AC307" s="1916"/>
      <c r="AD307" s="1917"/>
      <c r="AE307" s="1917"/>
      <c r="AF307" s="1918"/>
      <c r="AH307" s="1916"/>
      <c r="AI307" s="1917"/>
      <c r="AJ307" s="1917"/>
      <c r="AK307" s="1918"/>
    </row>
    <row r="308" spans="2:38" s="180" customFormat="1" x14ac:dyDescent="0.45">
      <c r="B308" s="1942"/>
      <c r="C308" s="1945"/>
      <c r="D308" s="1916"/>
      <c r="E308" s="1917"/>
      <c r="F308" s="1917"/>
      <c r="G308" s="1918"/>
      <c r="I308" s="1916"/>
      <c r="J308" s="1917"/>
      <c r="K308" s="1917"/>
      <c r="L308" s="1918"/>
      <c r="N308" s="1916"/>
      <c r="O308" s="1917"/>
      <c r="P308" s="1917"/>
      <c r="Q308" s="1918"/>
      <c r="S308" s="1916"/>
      <c r="T308" s="1917"/>
      <c r="U308" s="1917"/>
      <c r="V308" s="1918"/>
      <c r="X308" s="1916"/>
      <c r="Y308" s="1917"/>
      <c r="Z308" s="1917"/>
      <c r="AA308" s="1918"/>
      <c r="AC308" s="1916"/>
      <c r="AD308" s="1917"/>
      <c r="AE308" s="1917"/>
      <c r="AF308" s="1918"/>
      <c r="AH308" s="1916"/>
      <c r="AI308" s="1917"/>
      <c r="AJ308" s="1917"/>
      <c r="AK308" s="1918"/>
    </row>
    <row r="309" spans="2:38" s="180" customFormat="1" x14ac:dyDescent="0.45">
      <c r="B309" s="1942"/>
      <c r="C309" s="1945"/>
      <c r="D309" s="1916"/>
      <c r="E309" s="1917"/>
      <c r="F309" s="1917"/>
      <c r="G309" s="1918"/>
      <c r="I309" s="1916"/>
      <c r="J309" s="1917"/>
      <c r="K309" s="1917"/>
      <c r="L309" s="1918"/>
      <c r="N309" s="1916"/>
      <c r="O309" s="1917"/>
      <c r="P309" s="1917"/>
      <c r="Q309" s="1918"/>
      <c r="S309" s="1916"/>
      <c r="T309" s="1917"/>
      <c r="U309" s="1917"/>
      <c r="V309" s="1918"/>
      <c r="X309" s="1916"/>
      <c r="Y309" s="1917"/>
      <c r="Z309" s="1917"/>
      <c r="AA309" s="1918"/>
      <c r="AC309" s="1916"/>
      <c r="AD309" s="1917"/>
      <c r="AE309" s="1917"/>
      <c r="AF309" s="1918"/>
      <c r="AH309" s="1916"/>
      <c r="AI309" s="1917"/>
      <c r="AJ309" s="1917"/>
      <c r="AK309" s="1918"/>
    </row>
    <row r="310" spans="2:38" s="180" customFormat="1" ht="14.65" thickBot="1" x14ac:dyDescent="0.5">
      <c r="B310" s="1942"/>
      <c r="C310" s="1945"/>
      <c r="D310" s="1938"/>
      <c r="E310" s="1939"/>
      <c r="F310" s="1939"/>
      <c r="G310" s="1940"/>
      <c r="I310" s="1938"/>
      <c r="J310" s="1939"/>
      <c r="K310" s="1939"/>
      <c r="L310" s="1940"/>
      <c r="N310" s="1938"/>
      <c r="O310" s="1939"/>
      <c r="P310" s="1939"/>
      <c r="Q310" s="1940"/>
      <c r="S310" s="1938"/>
      <c r="T310" s="1939"/>
      <c r="U310" s="1939"/>
      <c r="V310" s="1940"/>
      <c r="X310" s="1938"/>
      <c r="Y310" s="1939"/>
      <c r="Z310" s="1939"/>
      <c r="AA310" s="1940"/>
      <c r="AC310" s="1938"/>
      <c r="AD310" s="1939"/>
      <c r="AE310" s="1939"/>
      <c r="AF310" s="1940"/>
      <c r="AH310" s="1938"/>
      <c r="AI310" s="1939"/>
      <c r="AJ310" s="1939"/>
      <c r="AK310" s="1940"/>
    </row>
    <row r="311" spans="2:38" s="176" customFormat="1" ht="15.75" customHeight="1" x14ac:dyDescent="0.45">
      <c r="B311" s="1942"/>
      <c r="C311" s="1945"/>
      <c r="D311" s="1415">
        <f>$B283</f>
        <v>6</v>
      </c>
      <c r="E311" s="1930" t="s">
        <v>352</v>
      </c>
      <c r="F311" s="1930"/>
      <c r="G311" s="1414">
        <f ca="1">INDEX(final_duration_session,((WEEKDAY(E$3,2)*2-1)+IF(E311="Morning",0,1)),$D311)</f>
        <v>60</v>
      </c>
      <c r="H311" s="177"/>
      <c r="I311" s="1415">
        <f>$B283</f>
        <v>6</v>
      </c>
      <c r="J311" s="1930" t="s">
        <v>352</v>
      </c>
      <c r="K311" s="1930"/>
      <c r="L311" s="1414">
        <f ca="1">INDEX(final_duration_session,((WEEKDAY(J$3,2)*2-1)+IF(J311="Morning",0,1)),$D311)</f>
        <v>55</v>
      </c>
      <c r="M311" s="177"/>
      <c r="N311" s="1415">
        <f>$B283</f>
        <v>6</v>
      </c>
      <c r="O311" s="1930" t="s">
        <v>352</v>
      </c>
      <c r="P311" s="1930"/>
      <c r="Q311" s="1414">
        <f ca="1">INDEX(final_duration_session,((WEEKDAY(O$3,2)*2-1)+IF(O311="Morning",0,1)),$D311)</f>
        <v>95</v>
      </c>
      <c r="R311" s="177"/>
      <c r="S311" s="1415">
        <f>$B283</f>
        <v>6</v>
      </c>
      <c r="T311" s="1930" t="s">
        <v>352</v>
      </c>
      <c r="U311" s="1930"/>
      <c r="V311" s="1414">
        <f ca="1">INDEX(final_duration_session,((WEEKDAY(T$3,2)*2-1)+IF(T311="Morning",0,1)),$D311)</f>
        <v>100</v>
      </c>
      <c r="W311" s="177"/>
      <c r="X311" s="1415">
        <f>$B283</f>
        <v>6</v>
      </c>
      <c r="Y311" s="1930" t="s">
        <v>352</v>
      </c>
      <c r="Z311" s="1930"/>
      <c r="AA311" s="1414">
        <f ca="1">INDEX(final_duration_session,((WEEKDAY(Y$3,2)*2-1)+IF(Y311="Morning",0,1)),$D311)</f>
        <v>60</v>
      </c>
      <c r="AB311" s="177"/>
      <c r="AC311" s="1415">
        <f>$B283</f>
        <v>6</v>
      </c>
      <c r="AD311" s="1930" t="s">
        <v>352</v>
      </c>
      <c r="AE311" s="1930"/>
      <c r="AF311" s="1414">
        <f ca="1">INDEX(final_duration_session,((WEEKDAY(AD$3,2)*2-1)+IF(AD311="Morning",0,1)),$D311)</f>
        <v>0</v>
      </c>
      <c r="AG311" s="177"/>
      <c r="AH311" s="1415">
        <f>$B283</f>
        <v>6</v>
      </c>
      <c r="AI311" s="1930" t="s">
        <v>352</v>
      </c>
      <c r="AJ311" s="1930"/>
      <c r="AK311" s="1414">
        <f ca="1">INDEX(final_duration_session,((WEEKDAY(AI$3,2)*2-1)+IF(AI311="Morning",0,1)),$D311)</f>
        <v>0</v>
      </c>
      <c r="AL311" s="177"/>
    </row>
    <row r="312" spans="2:38" s="176" customFormat="1" ht="15" customHeight="1" x14ac:dyDescent="0.45">
      <c r="B312" s="1942"/>
      <c r="C312" s="1945"/>
      <c r="D312" s="1931" t="str">
        <f ca="1">IF(G311&gt;0,INDEX(sessions_name,INDEX(plan_session_allocation,((WEEKDAY(E$3,2)*2-1)+IF(E311="Morning",0,1)),D311)),"")</f>
        <v>Strength and Maintenance</v>
      </c>
      <c r="E312" s="1932"/>
      <c r="F312" s="1932"/>
      <c r="G312" s="1933"/>
      <c r="H312" s="177"/>
      <c r="I312" s="1931" t="str">
        <f ca="1">IF(L311&gt;0,INDEX(sessions_name,INDEX(plan_session_allocation,((WEEKDAY(J$3,2)*2-1)+IF(J311="Morning",0,1)),I311)),"")</f>
        <v>Hill Tempo</v>
      </c>
      <c r="J312" s="1932"/>
      <c r="K312" s="1932"/>
      <c r="L312" s="1933"/>
      <c r="M312" s="177"/>
      <c r="N312" s="1931" t="str">
        <f ca="1">IF(Q311&gt;0,INDEX(sessions_name,INDEX(plan_session_allocation,((WEEKDAY(O$3,2)*2-1)+IF(O311="Morning",0,1)),N311)),"")</f>
        <v xml:space="preserve">Easy </v>
      </c>
      <c r="O312" s="1932"/>
      <c r="P312" s="1932"/>
      <c r="Q312" s="1933"/>
      <c r="R312" s="177"/>
      <c r="S312" s="1931" t="str">
        <f ca="1">IF(V311&gt;0,INDEX(sessions_name,INDEX(plan_session_allocation,((WEEKDAY(T$3,2)*2-1)+IF(T311="Morning",0,1)),S311)),"")</f>
        <v>Steady</v>
      </c>
      <c r="T312" s="1932"/>
      <c r="U312" s="1932"/>
      <c r="V312" s="1933"/>
      <c r="W312" s="177"/>
      <c r="X312" s="1931" t="str">
        <f ca="1">IF(AA311&gt;0,INDEX(sessions_name,INDEX(plan_session_allocation,((WEEKDAY(Y$3,2)*2-1)+IF(Y311="Morning",0,1)),X311)),"")</f>
        <v>Strength and Maintenance</v>
      </c>
      <c r="Y312" s="1932"/>
      <c r="Z312" s="1932"/>
      <c r="AA312" s="1933"/>
      <c r="AB312" s="177"/>
      <c r="AC312" s="1931" t="str">
        <f ca="1">IF(AF311&gt;0,INDEX(sessions_name,INDEX(plan_session_allocation,((WEEKDAY(AD$3,2)*2-1)+IF(AD311="Morning",0,1)),AC311)),"")</f>
        <v/>
      </c>
      <c r="AD312" s="1932"/>
      <c r="AE312" s="1932"/>
      <c r="AF312" s="1933"/>
      <c r="AG312" s="177"/>
      <c r="AH312" s="1931" t="str">
        <f ca="1">IF(AK311&gt;0,INDEX(sessions_name,INDEX(plan_session_allocation,((WEEKDAY(AI$3,2)*2-1)+IF(AI311="Morning",0,1)),AH311)),"")</f>
        <v/>
      </c>
      <c r="AI312" s="1932"/>
      <c r="AJ312" s="1932"/>
      <c r="AK312" s="1933"/>
      <c r="AL312" s="177"/>
    </row>
    <row r="313" spans="2:38" s="176" customFormat="1" ht="15" customHeight="1" x14ac:dyDescent="0.45">
      <c r="B313" s="1942"/>
      <c r="C313" s="1945"/>
      <c r="D313" s="1934" t="str">
        <f ca="1">IF(G311&gt;0,CONCATENATE("Sport: ",INDEX(sessions_sport_primary,INDEX(plan_session_allocation,(WEEKDAY(E$3,2)*2-1)+IF(E311="Morning",0,1),D311))),"")</f>
        <v>Sport: Indoor</v>
      </c>
      <c r="E313" s="1935"/>
      <c r="F313" s="1936">
        <f ca="1">IF(G311&gt;0,IFERROR(F314+F315+F316,""),"")</f>
        <v>60</v>
      </c>
      <c r="G313" s="1937"/>
      <c r="H313" s="177"/>
      <c r="I313" s="1934" t="str">
        <f ca="1">IF(L311&gt;0,CONCATENATE("Sport: ",INDEX(sessions_sport_primary,INDEX(plan_session_allocation,(WEEKDAY(J$3,2)*2-1)+IF(J311="Morning",0,1),I311))),"")</f>
        <v>Sport: Hilly Trail Run</v>
      </c>
      <c r="J313" s="1935"/>
      <c r="K313" s="1936">
        <f ca="1">IF(L311&gt;0,IFERROR(K314+K315+K316,""),"")</f>
        <v>55</v>
      </c>
      <c r="L313" s="1937"/>
      <c r="M313" s="177"/>
      <c r="N313" s="1934" t="str">
        <f ca="1">IF(Q311&gt;0,CONCATENATE("Sport: ",INDEX(sessions_sport_primary,INDEX(plan_session_allocation,(WEEKDAY(O$3,2)*2-1)+IF(O311="Morning",0,1),N311))),"")</f>
        <v>Sport: Road Ride</v>
      </c>
      <c r="O313" s="1935"/>
      <c r="P313" s="1936">
        <f ca="1">IF(Q311&gt;0,IFERROR(P314+P315+P316,""),"")</f>
        <v>95</v>
      </c>
      <c r="Q313" s="1937"/>
      <c r="R313" s="177"/>
      <c r="S313" s="1934" t="str">
        <f ca="1">IF(V311&gt;0,CONCATENATE("Sport: ",INDEX(sessions_sport_primary,INDEX(plan_session_allocation,(WEEKDAY(T$3,2)*2-1)+IF(T311="Morning",0,1),S311))),"")</f>
        <v>Sport: Hilly Trail Run</v>
      </c>
      <c r="T313" s="1935"/>
      <c r="U313" s="1936">
        <f ca="1">IF(V311&gt;0,IFERROR(U314+U315+U316,""),"")</f>
        <v>100</v>
      </c>
      <c r="V313" s="1937"/>
      <c r="W313" s="177"/>
      <c r="X313" s="1934" t="str">
        <f ca="1">IF(AA311&gt;0,CONCATENATE("Sport: ",INDEX(sessions_sport_primary,INDEX(plan_session_allocation,(WEEKDAY(Y$3,2)*2-1)+IF(Y311="Morning",0,1),X311))),"")</f>
        <v>Sport: Indoor</v>
      </c>
      <c r="Y313" s="1935"/>
      <c r="Z313" s="1936">
        <f ca="1">IF(AA311&gt;0,IFERROR(Z314+Z315+Z316,""),"")</f>
        <v>60</v>
      </c>
      <c r="AA313" s="1937"/>
      <c r="AB313" s="177"/>
      <c r="AC313" s="1934" t="str">
        <f ca="1">IF(AF311&gt;0,CONCATENATE("Sport: ",INDEX(sessions_sport_primary,INDEX(plan_session_allocation,(WEEKDAY(AD$3,2)*2-1)+IF(AD311="Morning",0,1),AC311))),"")</f>
        <v/>
      </c>
      <c r="AD313" s="1935"/>
      <c r="AE313" s="1936" t="str">
        <f ca="1">IF(AF311&gt;0,IFERROR(AE314+AE315+AE316,""),"")</f>
        <v/>
      </c>
      <c r="AF313" s="1937"/>
      <c r="AG313" s="177"/>
      <c r="AH313" s="1934" t="str">
        <f ca="1">IF(AK311&gt;0,CONCATENATE("Sport: ",INDEX(sessions_sport_primary,INDEX(plan_session_allocation,(WEEKDAY(AI$3,2)*2-1)+IF(AI311="Morning",0,1),AH311))),"")</f>
        <v/>
      </c>
      <c r="AI313" s="1935"/>
      <c r="AJ313" s="1936" t="str">
        <f ca="1">IF(AK311&gt;0,IFERROR(AJ314+AJ315+AJ316,""),"")</f>
        <v/>
      </c>
      <c r="AK313" s="1937"/>
      <c r="AL313" s="177"/>
    </row>
    <row r="314" spans="2:38" s="177" customFormat="1" ht="15" customHeight="1" x14ac:dyDescent="0.45">
      <c r="B314" s="1942"/>
      <c r="C314" s="1945"/>
      <c r="D314" s="1922" t="str">
        <f ca="1">IF(G311&gt;0,CONCATENATE("HR Target: ",
INDEX(sessions_HR_primary,INDEX(plan_session_allocation,((WEEKDAY(E$3,2)*2-1)+IF(E311="Morning",0,1)),D311)),
IF(INDEX(sessions_HR_primary,INDEX(plan_session_allocation,((WEEKDAY(E$3,2)*2-1)+IF(E311="Morning",0,1)),D311))="N/A","",
" BPM")),"")</f>
        <v>HR Target: N/A</v>
      </c>
      <c r="E314" s="1923"/>
      <c r="F314" s="1924">
        <f ca="1">IF(G311&gt;0,
INDEX(final_duration_effort,((WEEKDAY(E$3,2)*2-1)+IF(E311="Morning",0,1)),D311),"")</f>
        <v>60</v>
      </c>
      <c r="G314" s="1925"/>
      <c r="I314" s="1922" t="str">
        <f ca="1">IF(L311&gt;0,CONCATENATE("HR Target: ",
INDEX(sessions_HR_primary,INDEX(plan_session_allocation,((WEEKDAY(J$3,2)*2-1)+IF(J311="Morning",0,1)),I311)),
IF(INDEX(sessions_HR_primary,INDEX(plan_session_allocation,((WEEKDAY(J$3,2)*2-1)+IF(J311="Morning",0,1)),I311))="N/A","",
" BPM")),"")</f>
        <v>HR Target: 177 BPM</v>
      </c>
      <c r="J314" s="1923"/>
      <c r="K314" s="1924">
        <f ca="1">IF(L311&gt;0,
INDEX(final_duration_effort,((WEEKDAY(J$3,2)*2-1)+IF(J311="Morning",0,1)),I311),"")</f>
        <v>25</v>
      </c>
      <c r="L314" s="1925"/>
      <c r="N314" s="1922" t="str">
        <f ca="1">IF(Q311&gt;0,CONCATENATE("HR Target: ",
INDEX(sessions_HR_primary,INDEX(plan_session_allocation,((WEEKDAY(O$3,2)*2-1)+IF(O311="Morning",0,1)),N311)),
IF(INDEX(sessions_HR_primary,INDEX(plan_session_allocation,((WEEKDAY(O$3,2)*2-1)+IF(O311="Morning",0,1)),N311))="N/A","",
" BPM")),"")</f>
        <v>HR Target: 138 BPM</v>
      </c>
      <c r="O314" s="1923"/>
      <c r="P314" s="1924">
        <f ca="1">IF(Q311&gt;0,
INDEX(final_duration_effort,((WEEKDAY(O$3,2)*2-1)+IF(O311="Morning",0,1)),N311),"")</f>
        <v>95</v>
      </c>
      <c r="Q314" s="1925"/>
      <c r="S314" s="1922" t="str">
        <f ca="1">IF(V311&gt;0,CONCATENATE("HR Target: ",
INDEX(sessions_HR_primary,INDEX(plan_session_allocation,((WEEKDAY(T$3,2)*2-1)+IF(T311="Morning",0,1)),S311)),
IF(INDEX(sessions_HR_primary,INDEX(plan_session_allocation,((WEEKDAY(T$3,2)*2-1)+IF(T311="Morning",0,1)),S311))="N/A","",
" BPM")),"")</f>
        <v>HR Target: 148 BPM</v>
      </c>
      <c r="T314" s="1923"/>
      <c r="U314" s="1924">
        <f ca="1">IF(V311&gt;0,
INDEX(final_duration_effort,((WEEKDAY(T$3,2)*2-1)+IF(T311="Morning",0,1)),S311),"")</f>
        <v>100</v>
      </c>
      <c r="V314" s="1925"/>
      <c r="X314" s="1922" t="str">
        <f ca="1">IF(AA311&gt;0,CONCATENATE("HR Target: ",
INDEX(sessions_HR_primary,INDEX(plan_session_allocation,((WEEKDAY(Y$3,2)*2-1)+IF(Y311="Morning",0,1)),X311)),
IF(INDEX(sessions_HR_primary,INDEX(plan_session_allocation,((WEEKDAY(Y$3,2)*2-1)+IF(Y311="Morning",0,1)),X311))="N/A","",
" BPM")),"")</f>
        <v>HR Target: N/A</v>
      </c>
      <c r="Y314" s="1923"/>
      <c r="Z314" s="1924">
        <f ca="1">IF(AA311&gt;0,
INDEX(final_duration_effort,((WEEKDAY(Y$3,2)*2-1)+IF(Y311="Morning",0,1)),X311),"")</f>
        <v>60</v>
      </c>
      <c r="AA314" s="1925"/>
      <c r="AC314" s="1922" t="str">
        <f ca="1">IF(AF311&gt;0,CONCATENATE("HR Target: ",
INDEX(sessions_HR_primary,INDEX(plan_session_allocation,((WEEKDAY(AD$3,2)*2-1)+IF(AD311="Morning",0,1)),AC311)),
IF(INDEX(sessions_HR_primary,INDEX(plan_session_allocation,((WEEKDAY(AD$3,2)*2-1)+IF(AD311="Morning",0,1)),AC311))="N/A","",
" BPM")),"")</f>
        <v/>
      </c>
      <c r="AD314" s="1923"/>
      <c r="AE314" s="1924" t="str">
        <f ca="1">IF(AF311&gt;0,
INDEX(final_duration_effort,((WEEKDAY(AD$3,2)*2-1)+IF(AD311="Morning",0,1)),AC311),"")</f>
        <v/>
      </c>
      <c r="AF314" s="1925"/>
      <c r="AH314" s="1922" t="str">
        <f ca="1">IF(AK311&gt;0,CONCATENATE("HR Target: ",
INDEX(sessions_HR_primary,INDEX(plan_session_allocation,((WEEKDAY(AI$3,2)*2-1)+IF(AI311="Morning",0,1)),AH311)),
IF(INDEX(sessions_HR_primary,INDEX(plan_session_allocation,((WEEKDAY(AI$3,2)*2-1)+IF(AI311="Morning",0,1)),AH311))="N/A","",
" BPM")),"")</f>
        <v/>
      </c>
      <c r="AI314" s="1923"/>
      <c r="AJ314" s="1924" t="str">
        <f ca="1">IF(AK311&gt;0,
INDEX(final_duration_effort,((WEEKDAY(AI$3,2)*2-1)+IF(AI311="Morning",0,1)),AH311),"")</f>
        <v/>
      </c>
      <c r="AK314" s="1925"/>
    </row>
    <row r="315" spans="2:38" s="177" customFormat="1" ht="15" customHeight="1" x14ac:dyDescent="0.45">
      <c r="B315" s="1942"/>
      <c r="C315" s="1945"/>
      <c r="D315" s="1926" t="str">
        <f ca="1">IF(G311&gt;0,CONCATENATE("HR Range: ",
INDEX(sessions_HR_range_primary,INDEX(plan_session_allocation,((WEEKDAY(E$3,2)*2-1)+IF(E311="Morning",0,1)),D311)),
IF(INDEX(sessions_HR_range_primary,INDEX(plan_session_allocation,((WEEKDAY(E$3,2)*2-1)+IF(E311="Morning",0,1)),D311))="N/A","",
" BPM")),"")</f>
        <v>HR Range: N/A</v>
      </c>
      <c r="E315" s="1927"/>
      <c r="F315" s="1928">
        <f ca="1">IF(G311&gt;0,IF(
INDEX(sessions_recoveries,INDEX(plan_session_allocation,((WEEKDAY(E$3,2)*2-1)+IF(E311="Morning",0,1)),D311))="Yes",
VLOOKUP(INDEX(plan_duration_primary,((WEEKDAY(E$3,2)*2-1)+IF(E311="Morning",0,1)),D311),
INDIRECT(INDEX(sessions_intervals_code_primary,INDEX(plan_session_allocation,((WEEKDAY(E$3,2)*2-1)+IF(E311="Morning",0,1)),D311))),7,TRUE),0),"")</f>
        <v>0</v>
      </c>
      <c r="G315" s="1929"/>
      <c r="I315" s="1926" t="str">
        <f ca="1">IF(L311&gt;0,CONCATENATE("HR Range: ",
INDEX(sessions_HR_range_primary,INDEX(plan_session_allocation,((WEEKDAY(J$3,2)*2-1)+IF(J311="Morning",0,1)),I311)),
IF(INDEX(sessions_HR_range_primary,INDEX(plan_session_allocation,((WEEKDAY(J$3,2)*2-1)+IF(J311="Morning",0,1)),I311))="N/A","",
" BPM")),"")</f>
        <v>HR Range: 173 - 180 BPM</v>
      </c>
      <c r="J315" s="1927"/>
      <c r="K315" s="1928">
        <f ca="1">IF(L311&gt;0,IF(
INDEX(sessions_recoveries,INDEX(plan_session_allocation,((WEEKDAY(J$3,2)*2-1)+IF(J311="Morning",0,1)),I311))="Yes",
VLOOKUP(INDEX(plan_duration_primary,((WEEKDAY(J$3,2)*2-1)+IF(J311="Morning",0,1)),I311),
INDIRECT(INDEX(sessions_intervals_code_primary,INDEX(plan_session_allocation,((WEEKDAY(J$3,2)*2-1)+IF(J311="Morning",0,1)),I311))),7,TRUE),0),"")</f>
        <v>0</v>
      </c>
      <c r="L315" s="1929"/>
      <c r="N315" s="1926" t="str">
        <f ca="1">IF(Q311&gt;0,CONCATENATE("HR Range: ",
INDEX(sessions_HR_range_primary,INDEX(plan_session_allocation,((WEEKDAY(O$3,2)*2-1)+IF(O311="Morning",0,1)),N311)),
IF(INDEX(sessions_HR_range_primary,INDEX(plan_session_allocation,((WEEKDAY(O$3,2)*2-1)+IF(O311="Morning",0,1)),N311))="N/A","",
" BPM")),"")</f>
        <v>HR Range: 129 - 148 BPM</v>
      </c>
      <c r="O315" s="1927"/>
      <c r="P315" s="1928">
        <f ca="1">IF(Q311&gt;0,IF(
INDEX(sessions_recoveries,INDEX(plan_session_allocation,((WEEKDAY(O$3,2)*2-1)+IF(O311="Morning",0,1)),N311))="Yes",
VLOOKUP(INDEX(plan_duration_primary,((WEEKDAY(O$3,2)*2-1)+IF(O311="Morning",0,1)),N311),
INDIRECT(INDEX(sessions_intervals_code_primary,INDEX(plan_session_allocation,((WEEKDAY(O$3,2)*2-1)+IF(O311="Morning",0,1)),N311))),7,TRUE),0),"")</f>
        <v>0</v>
      </c>
      <c r="Q315" s="1929"/>
      <c r="S315" s="1926" t="str">
        <f ca="1">IF(V311&gt;0,CONCATENATE("HR Range: ",
INDEX(sessions_HR_range_primary,INDEX(plan_session_allocation,((WEEKDAY(T$3,2)*2-1)+IF(T311="Morning",0,1)),S311)),
IF(INDEX(sessions_HR_range_primary,INDEX(plan_session_allocation,((WEEKDAY(T$3,2)*2-1)+IF(T311="Morning",0,1)),S311))="N/A","",
" BPM")),"")</f>
        <v>HR Range: 138 - 157 BPM</v>
      </c>
      <c r="T315" s="1927"/>
      <c r="U315" s="1928">
        <f ca="1">IF(V311&gt;0,IF(
INDEX(sessions_recoveries,INDEX(plan_session_allocation,((WEEKDAY(T$3,2)*2-1)+IF(T311="Morning",0,1)),S311))="Yes",
VLOOKUP(INDEX(plan_duration_primary,((WEEKDAY(T$3,2)*2-1)+IF(T311="Morning",0,1)),S311),
INDIRECT(INDEX(sessions_intervals_code_primary,INDEX(plan_session_allocation,((WEEKDAY(T$3,2)*2-1)+IF(T311="Morning",0,1)),S311))),7,TRUE),0),"")</f>
        <v>0</v>
      </c>
      <c r="V315" s="1929"/>
      <c r="X315" s="1926" t="str">
        <f ca="1">IF(AA311&gt;0,CONCATENATE("HR Range: ",
INDEX(sessions_HR_range_primary,INDEX(plan_session_allocation,((WEEKDAY(Y$3,2)*2-1)+IF(Y311="Morning",0,1)),X311)),
IF(INDEX(sessions_HR_range_primary,INDEX(plan_session_allocation,((WEEKDAY(Y$3,2)*2-1)+IF(Y311="Morning",0,1)),X311))="N/A","",
" BPM")),"")</f>
        <v>HR Range: N/A</v>
      </c>
      <c r="Y315" s="1927"/>
      <c r="Z315" s="1928">
        <f ca="1">IF(AA311&gt;0,IF(
INDEX(sessions_recoveries,INDEX(plan_session_allocation,((WEEKDAY(Y$3,2)*2-1)+IF(Y311="Morning",0,1)),X311))="Yes",
VLOOKUP(INDEX(plan_duration_primary,((WEEKDAY(Y$3,2)*2-1)+IF(Y311="Morning",0,1)),X311),
INDIRECT(INDEX(sessions_intervals_code_primary,INDEX(plan_session_allocation,((WEEKDAY(Y$3,2)*2-1)+IF(Y311="Morning",0,1)),X311))),7,TRUE),0),"")</f>
        <v>0</v>
      </c>
      <c r="AA315" s="1929"/>
      <c r="AC315" s="1926" t="str">
        <f ca="1">IF(AF311&gt;0,CONCATENATE("HR Range: ",
INDEX(sessions_HR_range_primary,INDEX(plan_session_allocation,((WEEKDAY(AD$3,2)*2-1)+IF(AD311="Morning",0,1)),AC311)),
IF(INDEX(sessions_HR_range_primary,INDEX(plan_session_allocation,((WEEKDAY(AD$3,2)*2-1)+IF(AD311="Morning",0,1)),AC311))="N/A","",
" BPM")),"")</f>
        <v/>
      </c>
      <c r="AD315" s="1927"/>
      <c r="AE315" s="1928" t="str">
        <f ca="1">IF(AF311&gt;0,IF(
INDEX(sessions_recoveries,INDEX(plan_session_allocation,((WEEKDAY(AD$3,2)*2-1)+IF(AD311="Morning",0,1)),AC311))="Yes",
VLOOKUP(INDEX(plan_duration_primary,((WEEKDAY(AD$3,2)*2-1)+IF(AD311="Morning",0,1)),AC311),
INDIRECT(INDEX(sessions_intervals_code_primary,INDEX(plan_session_allocation,((WEEKDAY(AD$3,2)*2-1)+IF(AD311="Morning",0,1)),AC311))),7,TRUE),0),"")</f>
        <v/>
      </c>
      <c r="AF315" s="1929"/>
      <c r="AH315" s="1926" t="str">
        <f ca="1">IF(AK311&gt;0,CONCATENATE("HR Range: ",
INDEX(sessions_HR_range_primary,INDEX(plan_session_allocation,((WEEKDAY(AI$3,2)*2-1)+IF(AI311="Morning",0,1)),AH311)),
IF(INDEX(sessions_HR_range_primary,INDEX(plan_session_allocation,((WEEKDAY(AI$3,2)*2-1)+IF(AI311="Morning",0,1)),AH311))="N/A","",
" BPM")),"")</f>
        <v/>
      </c>
      <c r="AI315" s="1927"/>
      <c r="AJ315" s="1928" t="str">
        <f ca="1">IF(AK311&gt;0,IF(
INDEX(sessions_recoveries,INDEX(plan_session_allocation,((WEEKDAY(AI$3,2)*2-1)+IF(AI311="Morning",0,1)),AH311))="Yes",
VLOOKUP(INDEX(plan_duration_primary,((WEEKDAY(AI$3,2)*2-1)+IF(AI311="Morning",0,1)),AH311),
INDIRECT(INDEX(sessions_intervals_code_primary,INDEX(plan_session_allocation,((WEEKDAY(AI$3,2)*2-1)+IF(AI311="Morning",0,1)),AH311))),7,TRUE),0),"")</f>
        <v/>
      </c>
      <c r="AK315" s="1929"/>
    </row>
    <row r="316" spans="2:38" s="177" customFormat="1" ht="15" customHeight="1" x14ac:dyDescent="0.45">
      <c r="B316" s="1942"/>
      <c r="C316" s="1945"/>
      <c r="D316" s="1909" t="str">
        <f ca="1">IF(G311&gt;0,CONCATENATE("Equivalent Pace: ",
TEXT(INDEX(sessions_pace_primary,INDEX(plan_session_allocation,(WEEKDAY(E$3,2)*2-1)+IF(E311="Morning",0,1),D311)),"m:ss"),
" min/km"
),"")</f>
        <v>Equivalent Pace:  min/km</v>
      </c>
      <c r="E316" s="1910"/>
      <c r="F316" s="1911">
        <f ca="1">IF(G311&gt;0, INDEX(final_duration_WU,((WEEKDAY(E$3,2)*2-1)+IF(E311="Morning",0,1)),D311)  + INDEX(final_duration_WD,((WEEKDAY(E$3,2)*2-1)+IF(E311="Morning",0,1)),D311), "")</f>
        <v>0</v>
      </c>
      <c r="G316" s="1912"/>
      <c r="I316" s="1909" t="str">
        <f ca="1">IF(L311&gt;0,CONCATENATE("Equivalent Pace: ",
TEXT(INDEX(sessions_pace_primary,INDEX(plan_session_allocation,(WEEKDAY(J$3,2)*2-1)+IF(J311="Morning",0,1),I311)),"m:ss"),
" min/km"
),"")</f>
        <v>Equivalent Pace: 3:21 min/km</v>
      </c>
      <c r="J316" s="1910"/>
      <c r="K316" s="1911">
        <f ca="1">IF(L311&gt;0, INDEX(final_duration_WU,((WEEKDAY(J$3,2)*2-1)+IF(J311="Morning",0,1)),I311)  + INDEX(final_duration_WD,((WEEKDAY(J$3,2)*2-1)+IF(J311="Morning",0,1)),I311), "")</f>
        <v>30</v>
      </c>
      <c r="L316" s="1912"/>
      <c r="N316" s="1909" t="str">
        <f ca="1">IF(Q311&gt;0,CONCATENATE("Equivalent Pace: ",
TEXT(INDEX(sessions_pace_primary,INDEX(plan_session_allocation,(WEEKDAY(O$3,2)*2-1)+IF(O311="Morning",0,1),N311)),"m:ss"),
" min/km"
),"")</f>
        <v>Equivalent Pace: 4:39 min/km</v>
      </c>
      <c r="O316" s="1910"/>
      <c r="P316" s="1911">
        <f ca="1">IF(Q311&gt;0, INDEX(final_duration_WU,((WEEKDAY(O$3,2)*2-1)+IF(O311="Morning",0,1)),N311)  + INDEX(final_duration_WD,((WEEKDAY(O$3,2)*2-1)+IF(O311="Morning",0,1)),N311), "")</f>
        <v>0</v>
      </c>
      <c r="Q316" s="1912"/>
      <c r="S316" s="1909" t="str">
        <f ca="1">IF(V311&gt;0,CONCATENATE("Equivalent Pace: ",
TEXT(INDEX(sessions_pace_primary,INDEX(plan_session_allocation,(WEEKDAY(T$3,2)*2-1)+IF(T311="Morning",0,1),S311)),"m:ss"),
" min/km"
),"")</f>
        <v>Equivalent Pace: 4:14 min/km</v>
      </c>
      <c r="T316" s="1910"/>
      <c r="U316" s="1911">
        <f ca="1">IF(V311&gt;0, INDEX(final_duration_WU,((WEEKDAY(T$3,2)*2-1)+IF(T311="Morning",0,1)),S311)  + INDEX(final_duration_WD,((WEEKDAY(T$3,2)*2-1)+IF(T311="Morning",0,1)),S311), "")</f>
        <v>0</v>
      </c>
      <c r="V316" s="1912"/>
      <c r="X316" s="1909" t="str">
        <f ca="1">IF(AA311&gt;0,CONCATENATE("Equivalent Pace: ",
TEXT(INDEX(sessions_pace_primary,INDEX(plan_session_allocation,(WEEKDAY(Y$3,2)*2-1)+IF(Y311="Morning",0,1),X311)),"m:ss"),
" min/km"
),"")</f>
        <v>Equivalent Pace:  min/km</v>
      </c>
      <c r="Y316" s="1910"/>
      <c r="Z316" s="1911">
        <f ca="1">IF(AA311&gt;0, INDEX(final_duration_WU,((WEEKDAY(Y$3,2)*2-1)+IF(Y311="Morning",0,1)),X311)  + INDEX(final_duration_WD,((WEEKDAY(Y$3,2)*2-1)+IF(Y311="Morning",0,1)),X311), "")</f>
        <v>0</v>
      </c>
      <c r="AA316" s="1912"/>
      <c r="AC316" s="1909" t="str">
        <f ca="1">IF(AF311&gt;0,CONCATENATE("Equivalent Pace: ",
TEXT(INDEX(sessions_pace_primary,INDEX(plan_session_allocation,(WEEKDAY(AD$3,2)*2-1)+IF(AD311="Morning",0,1),AC311)),"m:ss"),
" min/km"
),"")</f>
        <v/>
      </c>
      <c r="AD316" s="1910"/>
      <c r="AE316" s="1911" t="str">
        <f ca="1">IF(AF311&gt;0, INDEX(final_duration_WU,((WEEKDAY(AD$3,2)*2-1)+IF(AD311="Morning",0,1)),AC311)  + INDEX(final_duration_WD,((WEEKDAY(AD$3,2)*2-1)+IF(AD311="Morning",0,1)),AC311), "")</f>
        <v/>
      </c>
      <c r="AF316" s="1912"/>
      <c r="AH316" s="1909" t="str">
        <f ca="1">IF(AK311&gt;0,CONCATENATE("Equivalent Pace: ",
TEXT(INDEX(sessions_pace_primary,INDEX(plan_session_allocation,(WEEKDAY(AI$3,2)*2-1)+IF(AI311="Morning",0,1),AH311)),"m:ss"),
" min/km"
),"")</f>
        <v/>
      </c>
      <c r="AI316" s="1910"/>
      <c r="AJ316" s="1911" t="str">
        <f ca="1">IF(AK311&gt;0, INDEX(final_duration_WU,((WEEKDAY(AI$3,2)*2-1)+IF(AI311="Morning",0,1)),AH311)  + INDEX(final_duration_WD,((WEEKDAY(AI$3,2)*2-1)+IF(AI311="Morning",0,1)),AH311), "")</f>
        <v/>
      </c>
      <c r="AK316" s="1912"/>
    </row>
    <row r="317" spans="2:38" s="176" customFormat="1" ht="15" customHeight="1" x14ac:dyDescent="0.45">
      <c r="B317" s="1942"/>
      <c r="C317" s="1945"/>
      <c r="D317" s="1913" t="str">
        <f ca="1">IF(G311&gt;0,CONCATENATE(IFERROR(CONCATENATE(IF(INDEX(display_intervals_breakdown,((WEEKDAY(E$3,2)*2-1)+IF(E311="Morning",0,1)),D311)="","",CONCATENATE("Intervals/Reps Breakdown: 
",INDEX(display_intervals_breakdown,((WEEKDAY(E$3,2)*2-1)+IF(E311="Morning",0,1)),D311),"
")),"Session Description: 
",CONCATENATE(IF(INDEX(final_duration_secondary,((WEEKDAY(E$3,2)*2-1)+IF(E311="Morning",0,1)),D311)=0,"","1. "),
INDEX(sessions_description_primary,,INDEX(plan_session_allocation,((WEEKDAY(E$3,2)*2-1)+IF(E311="Morning",0,1)),D311)),IF(INDEX(final_duration_secondary,((WEEKDAY(E$3,2)*2-1)+IF(E311="Morning",0,1)),D311)=0,"","
2. "),
IF(INDEX(final_duration_secondary,((WEEKDAY(E$3,2)*2-1)+IF(E311="Morning",0,1)),D311)=0,"",INDEX(sessions_description_secondary,,INDEX(plan_session_allocation,((WEEKDAY(E$3,2)*2-1)+IF(E311="Morning",0,1)),D311))),IF(INDEX(final_duration_tertiary,((WEEKDAY(E$3,2)*2-1)+IF(E311="Morning",0,1)),D311)=0,"","
3. "),
IF(INDEX(final_duration_tertiary,((WEEKDAY(E$3,2)*2-1)+IF(E311="Morning",0,1)),D311)="","",INDEX(sessions_description_tertiary,,INDEX(plan_session_allocation,((WEEKDAY(E$3,2)*2-1)+IF(E311="Morning",0,1)),D311))),
IF(INDEX(display_nutrition_description,((WEEKDAY(E$3,2)*2-1)+IF(E311="Morning",0,1)),D311)="","",
CONCATENATE("
Meal Plan: ", INDEX(sessions_nutrition,,INDEX(plan_session_allocation,((WEEKDAY(E$3,2)*2-1)+IF(E311="Morning",0,1)),D311)), "
", INDEX(display_nutrition_description,((WEEKDAY(E$3,2)*2-1)+IF(E311="Morning",0,1)),D311)))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17" s="1914"/>
      <c r="F317" s="1914"/>
      <c r="G317" s="1915"/>
      <c r="H317" s="177"/>
      <c r="I317" s="1913" t="str">
        <f ca="1">IF(L311&gt;0,CONCATENATE(IFERROR(CONCATENATE(IF(INDEX(display_intervals_breakdown,((WEEKDAY(J$3,2)*2-1)+IF(J311="Morning",0,1)),I311)="","",CONCATENATE("Intervals/Reps Breakdown: 
",INDEX(display_intervals_breakdown,((WEEKDAY(J$3,2)*2-1)+IF(J311="Morning",0,1)),I311),"
")),"Session Description: 
",CONCATENATE(IF(INDEX(final_duration_secondary,((WEEKDAY(J$3,2)*2-1)+IF(J311="Morning",0,1)),I311)=0,"","1. "),
INDEX(sessions_description_primary,,INDEX(plan_session_allocation,((WEEKDAY(J$3,2)*2-1)+IF(J311="Morning",0,1)),I311)),IF(INDEX(final_duration_secondary,((WEEKDAY(J$3,2)*2-1)+IF(J311="Morning",0,1)),I311)=0,"","
2. "),
IF(INDEX(final_duration_secondary,((WEEKDAY(J$3,2)*2-1)+IF(J311="Morning",0,1)),I311)=0,"",INDEX(sessions_description_secondary,,INDEX(plan_session_allocation,((WEEKDAY(J$3,2)*2-1)+IF(J311="Morning",0,1)),I311))),IF(INDEX(final_duration_tertiary,((WEEKDAY(J$3,2)*2-1)+IF(J311="Morning",0,1)),I311)=0,"","
3. "),
IF(INDEX(final_duration_tertiary,((WEEKDAY(J$3,2)*2-1)+IF(J311="Morning",0,1)),I311)="","",INDEX(sessions_description_tertiary,,INDEX(plan_session_allocation,((WEEKDAY(J$3,2)*2-1)+IF(J311="Morning",0,1)),I311))),
IF(INDEX(display_nutrition_description,((WEEKDAY(J$3,2)*2-1)+IF(J311="Morning",0,1)),I311)="","",
CONCATENATE("
Meal Plan: ", INDEX(sessions_nutrition,,INDEX(plan_session_allocation,((WEEKDAY(J$3,2)*2-1)+IF(J311="Morning",0,1)),I311)), "
", INDEX(display_nutrition_description,((WEEKDAY(J$3,2)*2-1)+IF(J311="Morning",0,1)),I311)))
)),"")),"")</f>
        <v>Session Description: 
Accelerate to a fast pace which you should be able to hold for 50 minutes in a race situation. This will take concentration, but it's important to keep the intensity even, so do not start too hard. Warm up and warm down for 10 minutes each.</v>
      </c>
      <c r="J317" s="1914"/>
      <c r="K317" s="1914"/>
      <c r="L317" s="1915"/>
      <c r="M317" s="177"/>
      <c r="N317" s="1913" t="str">
        <f ca="1">IF(Q311&gt;0,CONCATENATE(IFERROR(CONCATENATE(IF(INDEX(display_intervals_breakdown,((WEEKDAY(O$3,2)*2-1)+IF(O311="Morning",0,1)),N311)="","",CONCATENATE("Intervals/Reps Breakdown: 
",INDEX(display_intervals_breakdown,((WEEKDAY(O$3,2)*2-1)+IF(O311="Morning",0,1)),N311),"
")),"Session Description: 
",CONCATENATE(IF(INDEX(final_duration_secondary,((WEEKDAY(O$3,2)*2-1)+IF(O311="Morning",0,1)),N311)=0,"","1. "),
INDEX(sessions_description_primary,,INDEX(plan_session_allocation,((WEEKDAY(O$3,2)*2-1)+IF(O311="Morning",0,1)),N311)),IF(INDEX(final_duration_secondary,((WEEKDAY(O$3,2)*2-1)+IF(O311="Morning",0,1)),N311)=0,"","
2. "),
IF(INDEX(final_duration_secondary,((WEEKDAY(O$3,2)*2-1)+IF(O311="Morning",0,1)),N311)=0,"",INDEX(sessions_description_secondary,,INDEX(plan_session_allocation,((WEEKDAY(O$3,2)*2-1)+IF(O311="Morning",0,1)),N311))),IF(INDEX(final_duration_tertiary,((WEEKDAY(O$3,2)*2-1)+IF(O311="Morning",0,1)),N311)=0,"","
3. "),
IF(INDEX(final_duration_tertiary,((WEEKDAY(O$3,2)*2-1)+IF(O311="Morning",0,1)),N311)="","",INDEX(sessions_description_tertiary,,INDEX(plan_session_allocation,((WEEKDAY(O$3,2)*2-1)+IF(O311="Morning",0,1)),N311))),
IF(INDEX(display_nutrition_description,((WEEKDAY(O$3,2)*2-1)+IF(O311="Morning",0,1)),N311)="","",
CONCATENATE("
Meal Plan: ", INDEX(sessions_nutrition,,INDEX(plan_session_allocation,((WEEKDAY(O$3,2)*2-1)+IF(O311="Morning",0,1)),N311)), "
", INDEX(display_nutrition_description,((WEEKDAY(O$3,2)*2-1)+IF(O311="Morning",0,1)),N311)))
)),"")),"")</f>
        <v>Session Description: 
Stay at a comfortable and controlled intensity where you should be able to have a conversation without large pauses. Keep an even intensity and accept that your pace may change as the terrain changes.</v>
      </c>
      <c r="O317" s="1914"/>
      <c r="P317" s="1914"/>
      <c r="Q317" s="1915"/>
      <c r="R317" s="177"/>
      <c r="S317" s="1913" t="str">
        <f ca="1">IF(V311&gt;0,CONCATENATE(IFERROR(CONCATENATE(IF(INDEX(display_intervals_breakdown,((WEEKDAY(T$3,2)*2-1)+IF(T311="Morning",0,1)),S311)="","",CONCATENATE("Intervals/Reps Breakdown: 
",INDEX(display_intervals_breakdown,((WEEKDAY(T$3,2)*2-1)+IF(T311="Morning",0,1)),S311),"
")),"Session Description: 
",CONCATENATE(IF(INDEX(final_duration_secondary,((WEEKDAY(T$3,2)*2-1)+IF(T311="Morning",0,1)),S311)=0,"","1. "),
INDEX(sessions_description_primary,,INDEX(plan_session_allocation,((WEEKDAY(T$3,2)*2-1)+IF(T311="Morning",0,1)),S311)),IF(INDEX(final_duration_secondary,((WEEKDAY(T$3,2)*2-1)+IF(T311="Morning",0,1)),S311)=0,"","
2. "),
IF(INDEX(final_duration_secondary,((WEEKDAY(T$3,2)*2-1)+IF(T311="Morning",0,1)),S311)=0,"",INDEX(sessions_description_secondary,,INDEX(plan_session_allocation,((WEEKDAY(T$3,2)*2-1)+IF(T311="Morning",0,1)),S311))),IF(INDEX(final_duration_tertiary,((WEEKDAY(T$3,2)*2-1)+IF(T311="Morning",0,1)),S311)=0,"","
3. "),
IF(INDEX(final_duration_tertiary,((WEEKDAY(T$3,2)*2-1)+IF(T311="Morning",0,1)),S311)="","",INDEX(sessions_description_tertiary,,INDEX(plan_session_allocation,((WEEKDAY(T$3,2)*2-1)+IF(T311="Morning",0,1)),S311))),
IF(INDEX(display_nutrition_description,((WEEKDAY(T$3,2)*2-1)+IF(T311="Morning",0,1)),S311)="","",
CONCATENATE("
Meal Plan: ", INDEX(sessions_nutrition,,INDEX(plan_session_allocation,((WEEKDAY(T$3,2)*2-1)+IF(T311="Morning",0,1)),S311)), "
", INDEX(display_nutrition_description,((WEEKDAY(T$3,2)*2-1)+IF(T311="Morning",0,1)),S311)))
)),"")),"")</f>
        <v>Session Description: 
Stay at a comfortable and controlled intensity where you should be able to have a conversation without large pauses. Keep an even intensity and accept that your pace may change as the terrain changes.</v>
      </c>
      <c r="T317" s="1914"/>
      <c r="U317" s="1914"/>
      <c r="V317" s="1915"/>
      <c r="W317" s="177"/>
      <c r="X317" s="1913" t="str">
        <f ca="1">IF(AA311&gt;0,CONCATENATE(IFERROR(CONCATENATE(IF(INDEX(display_intervals_breakdown,((WEEKDAY(Y$3,2)*2-1)+IF(Y311="Morning",0,1)),X311)="","",CONCATENATE("Intervals/Reps Breakdown: 
",INDEX(display_intervals_breakdown,((WEEKDAY(Y$3,2)*2-1)+IF(Y311="Morning",0,1)),X311),"
")),"Session Description: 
",CONCATENATE(IF(INDEX(final_duration_secondary,((WEEKDAY(Y$3,2)*2-1)+IF(Y311="Morning",0,1)),X311)=0,"","1. "),
INDEX(sessions_description_primary,,INDEX(plan_session_allocation,((WEEKDAY(Y$3,2)*2-1)+IF(Y311="Morning",0,1)),X311)),IF(INDEX(final_duration_secondary,((WEEKDAY(Y$3,2)*2-1)+IF(Y311="Morning",0,1)),X311)=0,"","
2. "),
IF(INDEX(final_duration_secondary,((WEEKDAY(Y$3,2)*2-1)+IF(Y311="Morning",0,1)),X311)=0,"",INDEX(sessions_description_secondary,,INDEX(plan_session_allocation,((WEEKDAY(Y$3,2)*2-1)+IF(Y311="Morning",0,1)),X311))),IF(INDEX(final_duration_tertiary,((WEEKDAY(Y$3,2)*2-1)+IF(Y311="Morning",0,1)),X311)=0,"","
3. "),
IF(INDEX(final_duration_tertiary,((WEEKDAY(Y$3,2)*2-1)+IF(Y311="Morning",0,1)),X311)="","",INDEX(sessions_description_tertiary,,INDEX(plan_session_allocation,((WEEKDAY(Y$3,2)*2-1)+IF(Y311="Morning",0,1)),X311))),
IF(INDEX(display_nutrition_description,((WEEKDAY(Y$3,2)*2-1)+IF(Y311="Morning",0,1)),X311)="","",
CONCATENATE("
Meal Plan: ", INDEX(sessions_nutrition,,INDEX(plan_session_allocation,((WEEKDAY(Y$3,2)*2-1)+IF(Y311="Morning",0,1)),X311)), "
", INDEX(display_nutrition_description,((WEEKDAY(Y$3,2)*2-1)+IF(Y311="Morning",0,1)),X311)))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17" s="1914"/>
      <c r="Z317" s="1914"/>
      <c r="AA317" s="1915"/>
      <c r="AB317" s="177"/>
      <c r="AC317" s="1913" t="str">
        <f ca="1">IF(AF311&gt;0,CONCATENATE(IFERROR(CONCATENATE(IF(INDEX(display_intervals_breakdown,((WEEKDAY(AD$3,2)*2-1)+IF(AD311="Morning",0,1)),AC311)="","",CONCATENATE("Intervals/Reps Breakdown: 
",INDEX(display_intervals_breakdown,((WEEKDAY(AD$3,2)*2-1)+IF(AD311="Morning",0,1)),AC311),"
")),"Session Description: 
",CONCATENATE(IF(INDEX(final_duration_secondary,((WEEKDAY(AD$3,2)*2-1)+IF(AD311="Morning",0,1)),AC311)=0,"","1. "),
INDEX(sessions_description_primary,,INDEX(plan_session_allocation,((WEEKDAY(AD$3,2)*2-1)+IF(AD311="Morning",0,1)),AC311)),IF(INDEX(final_duration_secondary,((WEEKDAY(AD$3,2)*2-1)+IF(AD311="Morning",0,1)),AC311)=0,"","
2. "),
IF(INDEX(final_duration_secondary,((WEEKDAY(AD$3,2)*2-1)+IF(AD311="Morning",0,1)),AC311)=0,"",INDEX(sessions_description_secondary,,INDEX(plan_session_allocation,((WEEKDAY(AD$3,2)*2-1)+IF(AD311="Morning",0,1)),AC311))),IF(INDEX(final_duration_tertiary,((WEEKDAY(AD$3,2)*2-1)+IF(AD311="Morning",0,1)),AC311)=0,"","
3. "),
IF(INDEX(final_duration_tertiary,((WEEKDAY(AD$3,2)*2-1)+IF(AD311="Morning",0,1)),AC311)="","",INDEX(sessions_description_tertiary,,INDEX(plan_session_allocation,((WEEKDAY(AD$3,2)*2-1)+IF(AD311="Morning",0,1)),AC311))),
IF(INDEX(display_nutrition_description,((WEEKDAY(AD$3,2)*2-1)+IF(AD311="Morning",0,1)),AC311)="","",
CONCATENATE("
Meal Plan: ", INDEX(sessions_nutrition,,INDEX(plan_session_allocation,((WEEKDAY(AD$3,2)*2-1)+IF(AD311="Morning",0,1)),AC311)), "
", INDEX(display_nutrition_description,((WEEKDAY(AD$3,2)*2-1)+IF(AD311="Morning",0,1)),AC311)))
)),"")),"")</f>
        <v/>
      </c>
      <c r="AD317" s="1914"/>
      <c r="AE317" s="1914"/>
      <c r="AF317" s="1915"/>
      <c r="AG317" s="177"/>
      <c r="AH317" s="1913" t="str">
        <f ca="1">IF(AK311&gt;0,CONCATENATE(IFERROR(CONCATENATE(IF(INDEX(display_intervals_breakdown,((WEEKDAY(AI$3,2)*2-1)+IF(AI311="Morning",0,1)),AH311)="","",CONCATENATE("Intervals/Reps Breakdown: 
",INDEX(display_intervals_breakdown,((WEEKDAY(AI$3,2)*2-1)+IF(AI311="Morning",0,1)),AH311),"
")),"Session Description: 
",CONCATENATE(IF(INDEX(final_duration_secondary,((WEEKDAY(AI$3,2)*2-1)+IF(AI311="Morning",0,1)),AH311)=0,"","1. "),
INDEX(sessions_description_primary,,INDEX(plan_session_allocation,((WEEKDAY(AI$3,2)*2-1)+IF(AI311="Morning",0,1)),AH311)),IF(INDEX(final_duration_secondary,((WEEKDAY(AI$3,2)*2-1)+IF(AI311="Morning",0,1)),AH311)=0,"","
2. "),
IF(INDEX(final_duration_secondary,((WEEKDAY(AI$3,2)*2-1)+IF(AI311="Morning",0,1)),AH311)=0,"",INDEX(sessions_description_secondary,,INDEX(plan_session_allocation,((WEEKDAY(AI$3,2)*2-1)+IF(AI311="Morning",0,1)),AH311))),IF(INDEX(final_duration_tertiary,((WEEKDAY(AI$3,2)*2-1)+IF(AI311="Morning",0,1)),AH311)=0,"","
3. "),
IF(INDEX(final_duration_tertiary,((WEEKDAY(AI$3,2)*2-1)+IF(AI311="Morning",0,1)),AH311)="","",INDEX(sessions_description_tertiary,,INDEX(plan_session_allocation,((WEEKDAY(AI$3,2)*2-1)+IF(AI311="Morning",0,1)),AH311))),
IF(INDEX(display_nutrition_description,((WEEKDAY(AI$3,2)*2-1)+IF(AI311="Morning",0,1)),AH311)="","",
CONCATENATE("
Meal Plan: ", INDEX(sessions_nutrition,,INDEX(plan_session_allocation,((WEEKDAY(AI$3,2)*2-1)+IF(AI311="Morning",0,1)),AH311)), "
", INDEX(display_nutrition_description,((WEEKDAY(AI$3,2)*2-1)+IF(AI311="Morning",0,1)),AH311)))
)),"")),"")</f>
        <v/>
      </c>
      <c r="AI317" s="1914"/>
      <c r="AJ317" s="1914"/>
      <c r="AK317" s="1915"/>
      <c r="AL317" s="177"/>
    </row>
    <row r="318" spans="2:38" s="176" customFormat="1" ht="15" customHeight="1" x14ac:dyDescent="0.45">
      <c r="B318" s="1942"/>
      <c r="C318" s="1945"/>
      <c r="D318" s="1916"/>
      <c r="E318" s="1917"/>
      <c r="F318" s="1917"/>
      <c r="G318" s="1918"/>
      <c r="H318" s="177"/>
      <c r="I318" s="1916"/>
      <c r="J318" s="1917"/>
      <c r="K318" s="1917"/>
      <c r="L318" s="1918"/>
      <c r="M318" s="177"/>
      <c r="N318" s="1916"/>
      <c r="O318" s="1917"/>
      <c r="P318" s="1917"/>
      <c r="Q318" s="1918"/>
      <c r="R318" s="177"/>
      <c r="S318" s="1916"/>
      <c r="T318" s="1917"/>
      <c r="U318" s="1917"/>
      <c r="V318" s="1918"/>
      <c r="W318" s="177"/>
      <c r="X318" s="1916"/>
      <c r="Y318" s="1917"/>
      <c r="Z318" s="1917"/>
      <c r="AA318" s="1918"/>
      <c r="AB318" s="177"/>
      <c r="AC318" s="1916"/>
      <c r="AD318" s="1917"/>
      <c r="AE318" s="1917"/>
      <c r="AF318" s="1918"/>
      <c r="AG318" s="177"/>
      <c r="AH318" s="1916"/>
      <c r="AI318" s="1917"/>
      <c r="AJ318" s="1917"/>
      <c r="AK318" s="1918"/>
      <c r="AL318" s="177"/>
    </row>
    <row r="319" spans="2:38" s="176" customFormat="1" ht="15" customHeight="1" x14ac:dyDescent="0.45">
      <c r="B319" s="1942"/>
      <c r="C319" s="1945"/>
      <c r="D319" s="1916"/>
      <c r="E319" s="1917"/>
      <c r="F319" s="1917"/>
      <c r="G319" s="1918"/>
      <c r="H319" s="177"/>
      <c r="I319" s="1916"/>
      <c r="J319" s="1917"/>
      <c r="K319" s="1917"/>
      <c r="L319" s="1918"/>
      <c r="M319" s="177"/>
      <c r="N319" s="1916"/>
      <c r="O319" s="1917"/>
      <c r="P319" s="1917"/>
      <c r="Q319" s="1918"/>
      <c r="R319" s="177"/>
      <c r="S319" s="1916"/>
      <c r="T319" s="1917"/>
      <c r="U319" s="1917"/>
      <c r="V319" s="1918"/>
      <c r="W319" s="177"/>
      <c r="X319" s="1916"/>
      <c r="Y319" s="1917"/>
      <c r="Z319" s="1917"/>
      <c r="AA319" s="1918"/>
      <c r="AB319" s="177"/>
      <c r="AC319" s="1916"/>
      <c r="AD319" s="1917"/>
      <c r="AE319" s="1917"/>
      <c r="AF319" s="1918"/>
      <c r="AG319" s="177"/>
      <c r="AH319" s="1916"/>
      <c r="AI319" s="1917"/>
      <c r="AJ319" s="1917"/>
      <c r="AK319" s="1918"/>
      <c r="AL319" s="177"/>
    </row>
    <row r="320" spans="2:38" s="176" customFormat="1" x14ac:dyDescent="0.45">
      <c r="B320" s="1942"/>
      <c r="C320" s="1945"/>
      <c r="D320" s="1916"/>
      <c r="E320" s="1917"/>
      <c r="F320" s="1917"/>
      <c r="G320" s="1918"/>
      <c r="H320" s="177"/>
      <c r="I320" s="1916"/>
      <c r="J320" s="1917"/>
      <c r="K320" s="1917"/>
      <c r="L320" s="1918"/>
      <c r="M320" s="177"/>
      <c r="N320" s="1916"/>
      <c r="O320" s="1917"/>
      <c r="P320" s="1917"/>
      <c r="Q320" s="1918"/>
      <c r="R320" s="177"/>
      <c r="S320" s="1916"/>
      <c r="T320" s="1917"/>
      <c r="U320" s="1917"/>
      <c r="V320" s="1918"/>
      <c r="W320" s="177"/>
      <c r="X320" s="1916"/>
      <c r="Y320" s="1917"/>
      <c r="Z320" s="1917"/>
      <c r="AA320" s="1918"/>
      <c r="AB320" s="177"/>
      <c r="AC320" s="1916"/>
      <c r="AD320" s="1917"/>
      <c r="AE320" s="1917"/>
      <c r="AF320" s="1918"/>
      <c r="AG320" s="177"/>
      <c r="AH320" s="1916"/>
      <c r="AI320" s="1917"/>
      <c r="AJ320" s="1917"/>
      <c r="AK320" s="1918"/>
      <c r="AL320" s="177"/>
    </row>
    <row r="321" spans="2:38" s="176" customFormat="1" x14ac:dyDescent="0.45">
      <c r="B321" s="1942"/>
      <c r="C321" s="1945"/>
      <c r="D321" s="1916"/>
      <c r="E321" s="1917"/>
      <c r="F321" s="1917"/>
      <c r="G321" s="1918"/>
      <c r="H321" s="177"/>
      <c r="I321" s="1916"/>
      <c r="J321" s="1917"/>
      <c r="K321" s="1917"/>
      <c r="L321" s="1918"/>
      <c r="M321" s="177"/>
      <c r="N321" s="1916"/>
      <c r="O321" s="1917"/>
      <c r="P321" s="1917"/>
      <c r="Q321" s="1918"/>
      <c r="R321" s="177"/>
      <c r="S321" s="1916"/>
      <c r="T321" s="1917"/>
      <c r="U321" s="1917"/>
      <c r="V321" s="1918"/>
      <c r="W321" s="177"/>
      <c r="X321" s="1916"/>
      <c r="Y321" s="1917"/>
      <c r="Z321" s="1917"/>
      <c r="AA321" s="1918"/>
      <c r="AB321" s="177"/>
      <c r="AC321" s="1916"/>
      <c r="AD321" s="1917"/>
      <c r="AE321" s="1917"/>
      <c r="AF321" s="1918"/>
      <c r="AG321" s="177"/>
      <c r="AH321" s="1916"/>
      <c r="AI321" s="1917"/>
      <c r="AJ321" s="1917"/>
      <c r="AK321" s="1918"/>
      <c r="AL321" s="177"/>
    </row>
    <row r="322" spans="2:38" s="176" customFormat="1" x14ac:dyDescent="0.45">
      <c r="B322" s="1942"/>
      <c r="C322" s="1945"/>
      <c r="D322" s="1916"/>
      <c r="E322" s="1917"/>
      <c r="F322" s="1917"/>
      <c r="G322" s="1918"/>
      <c r="H322" s="177"/>
      <c r="I322" s="1916"/>
      <c r="J322" s="1917"/>
      <c r="K322" s="1917"/>
      <c r="L322" s="1918"/>
      <c r="M322" s="177"/>
      <c r="N322" s="1916"/>
      <c r="O322" s="1917"/>
      <c r="P322" s="1917"/>
      <c r="Q322" s="1918"/>
      <c r="R322" s="177"/>
      <c r="S322" s="1916"/>
      <c r="T322" s="1917"/>
      <c r="U322" s="1917"/>
      <c r="V322" s="1918"/>
      <c r="W322" s="177"/>
      <c r="X322" s="1916"/>
      <c r="Y322" s="1917"/>
      <c r="Z322" s="1917"/>
      <c r="AA322" s="1918"/>
      <c r="AB322" s="177"/>
      <c r="AC322" s="1916"/>
      <c r="AD322" s="1917"/>
      <c r="AE322" s="1917"/>
      <c r="AF322" s="1918"/>
      <c r="AG322" s="177"/>
      <c r="AH322" s="1916"/>
      <c r="AI322" s="1917"/>
      <c r="AJ322" s="1917"/>
      <c r="AK322" s="1918"/>
      <c r="AL322" s="177"/>
    </row>
    <row r="323" spans="2:38" s="176" customFormat="1" ht="15" customHeight="1" x14ac:dyDescent="0.45">
      <c r="B323" s="1942"/>
      <c r="C323" s="1945"/>
      <c r="D323" s="1916"/>
      <c r="E323" s="1917"/>
      <c r="F323" s="1917"/>
      <c r="G323" s="1918"/>
      <c r="H323" s="177"/>
      <c r="I323" s="1916"/>
      <c r="J323" s="1917"/>
      <c r="K323" s="1917"/>
      <c r="L323" s="1918"/>
      <c r="M323" s="177"/>
      <c r="N323" s="1916"/>
      <c r="O323" s="1917"/>
      <c r="P323" s="1917"/>
      <c r="Q323" s="1918"/>
      <c r="R323" s="177"/>
      <c r="S323" s="1916"/>
      <c r="T323" s="1917"/>
      <c r="U323" s="1917"/>
      <c r="V323" s="1918"/>
      <c r="W323" s="177"/>
      <c r="X323" s="1916"/>
      <c r="Y323" s="1917"/>
      <c r="Z323" s="1917"/>
      <c r="AA323" s="1918"/>
      <c r="AB323" s="177"/>
      <c r="AC323" s="1916"/>
      <c r="AD323" s="1917"/>
      <c r="AE323" s="1917"/>
      <c r="AF323" s="1918"/>
      <c r="AG323" s="177"/>
      <c r="AH323" s="1916"/>
      <c r="AI323" s="1917"/>
      <c r="AJ323" s="1917"/>
      <c r="AK323" s="1918"/>
      <c r="AL323" s="177"/>
    </row>
    <row r="324" spans="2:38" s="176" customFormat="1" ht="15" customHeight="1" x14ac:dyDescent="0.45">
      <c r="B324" s="1942"/>
      <c r="C324" s="1945"/>
      <c r="D324" s="1916"/>
      <c r="E324" s="1917"/>
      <c r="F324" s="1917"/>
      <c r="G324" s="1918"/>
      <c r="H324" s="177"/>
      <c r="I324" s="1916"/>
      <c r="J324" s="1917"/>
      <c r="K324" s="1917"/>
      <c r="L324" s="1918"/>
      <c r="M324" s="177"/>
      <c r="N324" s="1916"/>
      <c r="O324" s="1917"/>
      <c r="P324" s="1917"/>
      <c r="Q324" s="1918"/>
      <c r="R324" s="177"/>
      <c r="S324" s="1916"/>
      <c r="T324" s="1917"/>
      <c r="U324" s="1917"/>
      <c r="V324" s="1918"/>
      <c r="W324" s="177"/>
      <c r="X324" s="1916"/>
      <c r="Y324" s="1917"/>
      <c r="Z324" s="1917"/>
      <c r="AA324" s="1918"/>
      <c r="AB324" s="177"/>
      <c r="AC324" s="1916"/>
      <c r="AD324" s="1917"/>
      <c r="AE324" s="1917"/>
      <c r="AF324" s="1918"/>
      <c r="AG324" s="177"/>
      <c r="AH324" s="1916"/>
      <c r="AI324" s="1917"/>
      <c r="AJ324" s="1917"/>
      <c r="AK324" s="1918"/>
      <c r="AL324" s="177"/>
    </row>
    <row r="325" spans="2:38" s="176" customFormat="1" x14ac:dyDescent="0.45">
      <c r="B325" s="1942"/>
      <c r="C325" s="1945"/>
      <c r="D325" s="1916"/>
      <c r="E325" s="1917"/>
      <c r="F325" s="1917"/>
      <c r="G325" s="1918"/>
      <c r="H325" s="177"/>
      <c r="I325" s="1916"/>
      <c r="J325" s="1917"/>
      <c r="K325" s="1917"/>
      <c r="L325" s="1918"/>
      <c r="M325" s="177"/>
      <c r="N325" s="1916"/>
      <c r="O325" s="1917"/>
      <c r="P325" s="1917"/>
      <c r="Q325" s="1918"/>
      <c r="R325" s="177"/>
      <c r="S325" s="1916"/>
      <c r="T325" s="1917"/>
      <c r="U325" s="1917"/>
      <c r="V325" s="1918"/>
      <c r="W325" s="177"/>
      <c r="X325" s="1916"/>
      <c r="Y325" s="1917"/>
      <c r="Z325" s="1917"/>
      <c r="AA325" s="1918"/>
      <c r="AB325" s="177"/>
      <c r="AC325" s="1916"/>
      <c r="AD325" s="1917"/>
      <c r="AE325" s="1917"/>
      <c r="AF325" s="1918"/>
      <c r="AG325" s="177"/>
      <c r="AH325" s="1916"/>
      <c r="AI325" s="1917"/>
      <c r="AJ325" s="1917"/>
      <c r="AK325" s="1918"/>
      <c r="AL325" s="177"/>
    </row>
    <row r="326" spans="2:38" s="176" customFormat="1" x14ac:dyDescent="0.45">
      <c r="B326" s="1942"/>
      <c r="C326" s="1945"/>
      <c r="D326" s="1916"/>
      <c r="E326" s="1917"/>
      <c r="F326" s="1917"/>
      <c r="G326" s="1918"/>
      <c r="H326" s="177"/>
      <c r="I326" s="1916"/>
      <c r="J326" s="1917"/>
      <c r="K326" s="1917"/>
      <c r="L326" s="1918"/>
      <c r="M326" s="177"/>
      <c r="N326" s="1916"/>
      <c r="O326" s="1917"/>
      <c r="P326" s="1917"/>
      <c r="Q326" s="1918"/>
      <c r="R326" s="177"/>
      <c r="S326" s="1916"/>
      <c r="T326" s="1917"/>
      <c r="U326" s="1917"/>
      <c r="V326" s="1918"/>
      <c r="W326" s="177"/>
      <c r="X326" s="1916"/>
      <c r="Y326" s="1917"/>
      <c r="Z326" s="1917"/>
      <c r="AA326" s="1918"/>
      <c r="AB326" s="177"/>
      <c r="AC326" s="1916"/>
      <c r="AD326" s="1917"/>
      <c r="AE326" s="1917"/>
      <c r="AF326" s="1918"/>
      <c r="AG326" s="177"/>
      <c r="AH326" s="1916"/>
      <c r="AI326" s="1917"/>
      <c r="AJ326" s="1917"/>
      <c r="AK326" s="1918"/>
      <c r="AL326" s="177"/>
    </row>
    <row r="327" spans="2:38" s="176" customFormat="1" x14ac:dyDescent="0.45">
      <c r="B327" s="1942"/>
      <c r="C327" s="1945"/>
      <c r="D327" s="1916"/>
      <c r="E327" s="1917"/>
      <c r="F327" s="1917"/>
      <c r="G327" s="1918"/>
      <c r="H327" s="177"/>
      <c r="I327" s="1916"/>
      <c r="J327" s="1917"/>
      <c r="K327" s="1917"/>
      <c r="L327" s="1918"/>
      <c r="M327" s="177"/>
      <c r="N327" s="1916"/>
      <c r="O327" s="1917"/>
      <c r="P327" s="1917"/>
      <c r="Q327" s="1918"/>
      <c r="R327" s="177"/>
      <c r="S327" s="1916"/>
      <c r="T327" s="1917"/>
      <c r="U327" s="1917"/>
      <c r="V327" s="1918"/>
      <c r="W327" s="177"/>
      <c r="X327" s="1916"/>
      <c r="Y327" s="1917"/>
      <c r="Z327" s="1917"/>
      <c r="AA327" s="1918"/>
      <c r="AB327" s="177"/>
      <c r="AC327" s="1916"/>
      <c r="AD327" s="1917"/>
      <c r="AE327" s="1917"/>
      <c r="AF327" s="1918"/>
      <c r="AG327" s="177"/>
      <c r="AH327" s="1916"/>
      <c r="AI327" s="1917"/>
      <c r="AJ327" s="1917"/>
      <c r="AK327" s="1918"/>
      <c r="AL327" s="177"/>
    </row>
    <row r="328" spans="2:38" s="176" customFormat="1" x14ac:dyDescent="0.45">
      <c r="B328" s="1942"/>
      <c r="C328" s="1945"/>
      <c r="D328" s="1916"/>
      <c r="E328" s="1917"/>
      <c r="F328" s="1917"/>
      <c r="G328" s="1918"/>
      <c r="H328" s="177"/>
      <c r="I328" s="1916"/>
      <c r="J328" s="1917"/>
      <c r="K328" s="1917"/>
      <c r="L328" s="1918"/>
      <c r="M328" s="177"/>
      <c r="N328" s="1916"/>
      <c r="O328" s="1917"/>
      <c r="P328" s="1917"/>
      <c r="Q328" s="1918"/>
      <c r="R328" s="177"/>
      <c r="S328" s="1916"/>
      <c r="T328" s="1917"/>
      <c r="U328" s="1917"/>
      <c r="V328" s="1918"/>
      <c r="W328" s="177"/>
      <c r="X328" s="1916"/>
      <c r="Y328" s="1917"/>
      <c r="Z328" s="1917"/>
      <c r="AA328" s="1918"/>
      <c r="AB328" s="177"/>
      <c r="AC328" s="1916"/>
      <c r="AD328" s="1917"/>
      <c r="AE328" s="1917"/>
      <c r="AF328" s="1918"/>
      <c r="AG328" s="177"/>
      <c r="AH328" s="1916"/>
      <c r="AI328" s="1917"/>
      <c r="AJ328" s="1917"/>
      <c r="AK328" s="1918"/>
      <c r="AL328" s="177"/>
    </row>
    <row r="329" spans="2:38" s="176" customFormat="1" x14ac:dyDescent="0.45">
      <c r="B329" s="1942"/>
      <c r="C329" s="1945"/>
      <c r="D329" s="1916"/>
      <c r="E329" s="1917"/>
      <c r="F329" s="1917"/>
      <c r="G329" s="1918"/>
      <c r="H329" s="177"/>
      <c r="I329" s="1916"/>
      <c r="J329" s="1917"/>
      <c r="K329" s="1917"/>
      <c r="L329" s="1918"/>
      <c r="M329" s="177"/>
      <c r="N329" s="1916"/>
      <c r="O329" s="1917"/>
      <c r="P329" s="1917"/>
      <c r="Q329" s="1918"/>
      <c r="R329" s="177"/>
      <c r="S329" s="1916"/>
      <c r="T329" s="1917"/>
      <c r="U329" s="1917"/>
      <c r="V329" s="1918"/>
      <c r="W329" s="177"/>
      <c r="X329" s="1916"/>
      <c r="Y329" s="1917"/>
      <c r="Z329" s="1917"/>
      <c r="AA329" s="1918"/>
      <c r="AB329" s="177"/>
      <c r="AC329" s="1916"/>
      <c r="AD329" s="1917"/>
      <c r="AE329" s="1917"/>
      <c r="AF329" s="1918"/>
      <c r="AG329" s="177"/>
      <c r="AH329" s="1916"/>
      <c r="AI329" s="1917"/>
      <c r="AJ329" s="1917"/>
      <c r="AK329" s="1918"/>
      <c r="AL329" s="177"/>
    </row>
    <row r="330" spans="2:38" s="176" customFormat="1" ht="15" customHeight="1" x14ac:dyDescent="0.45">
      <c r="B330" s="1942"/>
      <c r="C330" s="1945"/>
      <c r="D330" s="1919"/>
      <c r="E330" s="1920"/>
      <c r="F330" s="1920"/>
      <c r="G330" s="1921"/>
      <c r="H330" s="177"/>
      <c r="I330" s="1919"/>
      <c r="J330" s="1920"/>
      <c r="K330" s="1920"/>
      <c r="L330" s="1921"/>
      <c r="M330" s="177"/>
      <c r="N330" s="1919"/>
      <c r="O330" s="1920"/>
      <c r="P330" s="1920"/>
      <c r="Q330" s="1921"/>
      <c r="R330" s="177"/>
      <c r="S330" s="1919"/>
      <c r="T330" s="1920"/>
      <c r="U330" s="1920"/>
      <c r="V330" s="1921"/>
      <c r="W330" s="177"/>
      <c r="X330" s="1919"/>
      <c r="Y330" s="1920"/>
      <c r="Z330" s="1920"/>
      <c r="AA330" s="1921"/>
      <c r="AB330" s="177"/>
      <c r="AC330" s="1919"/>
      <c r="AD330" s="1920"/>
      <c r="AE330" s="1920"/>
      <c r="AF330" s="1921"/>
      <c r="AG330" s="177"/>
      <c r="AH330" s="1919"/>
      <c r="AI330" s="1920"/>
      <c r="AJ330" s="1920"/>
      <c r="AK330" s="1921"/>
      <c r="AL330" s="177"/>
    </row>
    <row r="331" spans="2:38" s="176" customFormat="1" ht="15" customHeight="1" x14ac:dyDescent="0.45">
      <c r="B331" s="1942"/>
      <c r="C331" s="1945"/>
      <c r="D331" s="1913" t="str">
        <f ca="1">IF(G311&gt;0,CONCATENATE("Session Aim: 
", CONCATENATE(IF(INDEX(final_duration_secondary,((WEEKDAY(E$3,2)*2-1)+IF(E311="Morning",0,1)),D311)=0, "", "1. "),
INDEX(sessions_aim_primary,, INDEX(plan_session_allocation,((WEEKDAY(E$3,2)*2-1)+IF(E311="Morning",0,1)),D311)), IF(INDEX(final_duration_secondary,((WEEKDAY(E$3,2)*2-1)+IF(E311="Morning",0,1)),D311)=0, "", "
2. "),
IF(INDEX(final_duration_secondary,((WEEKDAY(E$3,2)*2-1)+IF(E311="Morning",0,1)),D311)=0, "", INDEX(sessions_aim_secondary,, INDEX(plan_session_allocation,((WEEKDAY(E$3,2)*2-1)+IF(E311="Morning",0,1)),D311))), IF(INDEX(final_duration_tertiary,((WEEKDAY(E$3,2)*2-1)+IF(E311="Morning",0,1)),D311)=0, "", "
3. "),
IF(INDEX(final_duration_tertiary,((WEEKDAY(E$3,2)*2-1)+IF(E311="Morning",0,1)),D311)=0, "", INDEX(sessions_aim_tertiary,, INDEX(plan_session_allocation,((WEEKDAY(E$3,2)*2-1)+IF(E311="Morning",0,1)),D311))),
IF(INDEX(display_nutrition_description,((WEEKDAY(E$3,2)*2-1)+IF(E311="Morning",0,1)),D311)="","",
CONCATENATE("
Nutrition Aim:
", INDEX(sessions_aim_nutrition,,INDEX(plan_session_allocation,((WEEKDAY(E$3,2)*2-1)+IF(E311="Morning",0,1)),D311))
))
)),"")</f>
        <v xml:space="preserve">Session Aim: 
1. Increase strength of specific muscle groups, running economy and injury resistance. 
2. Release tension that develops in soft tissue from training and non-training stresses. </v>
      </c>
      <c r="E331" s="1914"/>
      <c r="F331" s="1914"/>
      <c r="G331" s="1915"/>
      <c r="H331" s="177"/>
      <c r="I331" s="1913" t="str">
        <f ca="1">IF(L311&gt;0,CONCATENATE("Session Aim: 
", CONCATENATE(IF(INDEX(final_duration_secondary,((WEEKDAY(J$3,2)*2-1)+IF(J311="Morning",0,1)),I311)=0, "", "1. "),
INDEX(sessions_aim_primary,, INDEX(plan_session_allocation,((WEEKDAY(J$3,2)*2-1)+IF(J311="Morning",0,1)),I311)), IF(INDEX(final_duration_secondary,((WEEKDAY(J$3,2)*2-1)+IF(J311="Morning",0,1)),I311)=0, "", "
2. "),
IF(INDEX(final_duration_secondary,((WEEKDAY(J$3,2)*2-1)+IF(J311="Morning",0,1)),I311)=0, "", INDEX(sessions_aim_secondary,, INDEX(plan_session_allocation,((WEEKDAY(J$3,2)*2-1)+IF(J311="Morning",0,1)),I311))), IF(INDEX(final_duration_tertiary,((WEEKDAY(J$3,2)*2-1)+IF(J311="Morning",0,1)),I311)=0, "", "
3. "),
IF(INDEX(final_duration_tertiary,((WEEKDAY(J$3,2)*2-1)+IF(J311="Morning",0,1)),I311)=0, "", INDEX(sessions_aim_tertiary,, INDEX(plan_session_allocation,((WEEKDAY(J$3,2)*2-1)+IF(J311="Morning",0,1)),I311))),
IF(INDEX(display_nutrition_description,((WEEKDAY(J$3,2)*2-1)+IF(J311="Morning",0,1)),I311)="","",
CONCATENATE("
Nutrition Aim:
", INDEX(sessions_aim_nutrition,,INDEX(plan_session_allocation,((WEEKDAY(J$3,2)*2-1)+IF(J311="Morning",0,1)),I311))
))
)),"")</f>
        <v xml:space="preserve">Session Aim: 
Improve endurance by increasing lactate threshold and developing mental toughness. </v>
      </c>
      <c r="J331" s="1914"/>
      <c r="K331" s="1914"/>
      <c r="L331" s="1915"/>
      <c r="M331" s="177"/>
      <c r="N331" s="1913" t="str">
        <f ca="1">IF(Q311&gt;0,CONCATENATE("Session Aim: 
", CONCATENATE(IF(INDEX(final_duration_secondary,((WEEKDAY(O$3,2)*2-1)+IF(O311="Morning",0,1)),N311)=0, "", "1. "),
INDEX(sessions_aim_primary,, INDEX(plan_session_allocation,((WEEKDAY(O$3,2)*2-1)+IF(O311="Morning",0,1)),N311)), IF(INDEX(final_duration_secondary,((WEEKDAY(O$3,2)*2-1)+IF(O311="Morning",0,1)),N311)=0, "", "
2. "),
IF(INDEX(final_duration_secondary,((WEEKDAY(O$3,2)*2-1)+IF(O311="Morning",0,1)),N311)=0, "", INDEX(sessions_aim_secondary,, INDEX(plan_session_allocation,((WEEKDAY(O$3,2)*2-1)+IF(O311="Morning",0,1)),N311))), IF(INDEX(final_duration_tertiary,((WEEKDAY(O$3,2)*2-1)+IF(O311="Morning",0,1)),N311)=0, "", "
3. "),
IF(INDEX(final_duration_tertiary,((WEEKDAY(O$3,2)*2-1)+IF(O311="Morning",0,1)),N311)=0, "", INDEX(sessions_aim_tertiary,, INDEX(plan_session_allocation,((WEEKDAY(O$3,2)*2-1)+IF(O311="Morning",0,1)),N311))),
IF(INDEX(display_nutrition_description,((WEEKDAY(O$3,2)*2-1)+IF(O311="Morning",0,1)),N311)="","",
CONCATENATE("
Nutrition Aim:
", INDEX(sessions_aim_nutrition,,INDEX(plan_session_allocation,((WEEKDAY(O$3,2)*2-1)+IF(O311="Morning",0,1)),N311))
))
)),"")</f>
        <v xml:space="preserve">Session Aim: 
Improve aerobic fitness while minimising the chance of injury. </v>
      </c>
      <c r="O331" s="1914"/>
      <c r="P331" s="1914"/>
      <c r="Q331" s="1915"/>
      <c r="R331" s="177"/>
      <c r="S331" s="1913" t="str">
        <f ca="1">IF(V311&gt;0,CONCATENATE("Session Aim: 
", CONCATENATE(IF(INDEX(final_duration_secondary,((WEEKDAY(T$3,2)*2-1)+IF(T311="Morning",0,1)),S311)=0, "", "1. "),
INDEX(sessions_aim_primary,, INDEX(plan_session_allocation,((WEEKDAY(T$3,2)*2-1)+IF(T311="Morning",0,1)),S311)), IF(INDEX(final_duration_secondary,((WEEKDAY(T$3,2)*2-1)+IF(T311="Morning",0,1)),S311)=0, "", "
2. "),
IF(INDEX(final_duration_secondary,((WEEKDAY(T$3,2)*2-1)+IF(T311="Morning",0,1)),S311)=0, "", INDEX(sessions_aim_secondary,, INDEX(plan_session_allocation,((WEEKDAY(T$3,2)*2-1)+IF(T311="Morning",0,1)),S311))), IF(INDEX(final_duration_tertiary,((WEEKDAY(T$3,2)*2-1)+IF(T311="Morning",0,1)),S311)=0, "", "
3. "),
IF(INDEX(final_duration_tertiary,((WEEKDAY(T$3,2)*2-1)+IF(T311="Morning",0,1)),S311)=0, "", INDEX(sessions_aim_tertiary,, INDEX(plan_session_allocation,((WEEKDAY(T$3,2)*2-1)+IF(T311="Morning",0,1)),S311))),
IF(INDEX(display_nutrition_description,((WEEKDAY(T$3,2)*2-1)+IF(T311="Morning",0,1)),S311)="","",
CONCATENATE("
Nutrition Aim:
", INDEX(sessions_aim_nutrition,,INDEX(plan_session_allocation,((WEEKDAY(T$3,2)*2-1)+IF(T311="Morning",0,1)),S311))
))
)),"")</f>
        <v>Session Aim: 
Improve aerobic fitness at an optimal rate.</v>
      </c>
      <c r="T331" s="1914"/>
      <c r="U331" s="1914"/>
      <c r="V331" s="1915"/>
      <c r="W331" s="177"/>
      <c r="X331" s="1913" t="str">
        <f ca="1">IF(AA311&gt;0,CONCATENATE("Session Aim: 
", CONCATENATE(IF(INDEX(final_duration_secondary,((WEEKDAY(Y$3,2)*2-1)+IF(Y311="Morning",0,1)),X311)=0, "", "1. "),
INDEX(sessions_aim_primary,, INDEX(plan_session_allocation,((WEEKDAY(Y$3,2)*2-1)+IF(Y311="Morning",0,1)),X311)), IF(INDEX(final_duration_secondary,((WEEKDAY(Y$3,2)*2-1)+IF(Y311="Morning",0,1)),X311)=0, "", "
2. "),
IF(INDEX(final_duration_secondary,((WEEKDAY(Y$3,2)*2-1)+IF(Y311="Morning",0,1)),X311)=0, "", INDEX(sessions_aim_secondary,, INDEX(plan_session_allocation,((WEEKDAY(Y$3,2)*2-1)+IF(Y311="Morning",0,1)),X311))), IF(INDEX(final_duration_tertiary,((WEEKDAY(Y$3,2)*2-1)+IF(Y311="Morning",0,1)),X311)=0, "", "
3. "),
IF(INDEX(final_duration_tertiary,((WEEKDAY(Y$3,2)*2-1)+IF(Y311="Morning",0,1)),X311)=0, "", INDEX(sessions_aim_tertiary,, INDEX(plan_session_allocation,((WEEKDAY(Y$3,2)*2-1)+IF(Y311="Morning",0,1)),X311))),
IF(INDEX(display_nutrition_description,((WEEKDAY(Y$3,2)*2-1)+IF(Y311="Morning",0,1)),X311)="","",
CONCATENATE("
Nutrition Aim:
", INDEX(sessions_aim_nutrition,,INDEX(plan_session_allocation,((WEEKDAY(Y$3,2)*2-1)+IF(Y311="Morning",0,1)),X311))
))
)),"")</f>
        <v xml:space="preserve">Session Aim: 
1. Increase strength of specific muscle groups, running economy and injury resistance. 
2. Release tension that develops in soft tissue from training and non-training stresses. </v>
      </c>
      <c r="Y331" s="1914"/>
      <c r="Z331" s="1914"/>
      <c r="AA331" s="1915"/>
      <c r="AB331" s="177"/>
      <c r="AC331" s="1913" t="str">
        <f ca="1">IF(AF311&gt;0,CONCATENATE("Session Aim: 
", CONCATENATE(IF(INDEX(final_duration_secondary,((WEEKDAY(AD$3,2)*2-1)+IF(AD311="Morning",0,1)),AC311)=0, "", "1. "),
INDEX(sessions_aim_primary,, INDEX(plan_session_allocation,((WEEKDAY(AD$3,2)*2-1)+IF(AD311="Morning",0,1)),AC311)), IF(INDEX(final_duration_secondary,((WEEKDAY(AD$3,2)*2-1)+IF(AD311="Morning",0,1)),AC311)=0, "", "
2. "),
IF(INDEX(final_duration_secondary,((WEEKDAY(AD$3,2)*2-1)+IF(AD311="Morning",0,1)),AC311)=0, "", INDEX(sessions_aim_secondary,, INDEX(plan_session_allocation,((WEEKDAY(AD$3,2)*2-1)+IF(AD311="Morning",0,1)),AC311))), IF(INDEX(final_duration_tertiary,((WEEKDAY(AD$3,2)*2-1)+IF(AD311="Morning",0,1)),AC311)=0, "", "
3. "),
IF(INDEX(final_duration_tertiary,((WEEKDAY(AD$3,2)*2-1)+IF(AD311="Morning",0,1)),AC311)=0, "", INDEX(sessions_aim_tertiary,, INDEX(plan_session_allocation,((WEEKDAY(AD$3,2)*2-1)+IF(AD311="Morning",0,1)),AC311))),
IF(INDEX(display_nutrition_description,((WEEKDAY(AD$3,2)*2-1)+IF(AD311="Morning",0,1)),AC311)="","",
CONCATENATE("
Nutrition Aim:
", INDEX(sessions_aim_nutrition,,INDEX(plan_session_allocation,((WEEKDAY(AD$3,2)*2-1)+IF(AD311="Morning",0,1)),AC311))
))
)),"")</f>
        <v/>
      </c>
      <c r="AD331" s="1914"/>
      <c r="AE331" s="1914"/>
      <c r="AF331" s="1915"/>
      <c r="AG331" s="177"/>
      <c r="AH331" s="1913" t="str">
        <f ca="1">IF(AK311&gt;0,CONCATENATE("Session Aim: 
", CONCATENATE(IF(INDEX(final_duration_secondary,((WEEKDAY(AI$3,2)*2-1)+IF(AI311="Morning",0,1)),AH311)=0, "", "1. "),
INDEX(sessions_aim_primary,, INDEX(plan_session_allocation,((WEEKDAY(AI$3,2)*2-1)+IF(AI311="Morning",0,1)),AH311)), IF(INDEX(final_duration_secondary,((WEEKDAY(AI$3,2)*2-1)+IF(AI311="Morning",0,1)),AH311)=0, "", "
2. "),
IF(INDEX(final_duration_secondary,((WEEKDAY(AI$3,2)*2-1)+IF(AI311="Morning",0,1)),AH311)=0, "", INDEX(sessions_aim_secondary,, INDEX(plan_session_allocation,((WEEKDAY(AI$3,2)*2-1)+IF(AI311="Morning",0,1)),AH311))), IF(INDEX(final_duration_tertiary,((WEEKDAY(AI$3,2)*2-1)+IF(AI311="Morning",0,1)),AH311)=0, "", "
3. "),
IF(INDEX(final_duration_tertiary,((WEEKDAY(AI$3,2)*2-1)+IF(AI311="Morning",0,1)),AH311)=0, "", INDEX(sessions_aim_tertiary,, INDEX(plan_session_allocation,((WEEKDAY(AI$3,2)*2-1)+IF(AI311="Morning",0,1)),AH311))),
IF(INDEX(display_nutrition_description,((WEEKDAY(AI$3,2)*2-1)+IF(AI311="Morning",0,1)),AH311)="","",
CONCATENATE("
Nutrition Aim:
", INDEX(sessions_aim_nutrition,,INDEX(plan_session_allocation,((WEEKDAY(AI$3,2)*2-1)+IF(AI311="Morning",0,1)),AH311))
))
)),"")</f>
        <v/>
      </c>
      <c r="AI331" s="1914"/>
      <c r="AJ331" s="1914"/>
      <c r="AK331" s="1915"/>
      <c r="AL331" s="177"/>
    </row>
    <row r="332" spans="2:38" s="176" customFormat="1" x14ac:dyDescent="0.45">
      <c r="B332" s="1942"/>
      <c r="C332" s="1945"/>
      <c r="D332" s="1916"/>
      <c r="E332" s="1917"/>
      <c r="F332" s="1917"/>
      <c r="G332" s="1918"/>
      <c r="H332" s="177"/>
      <c r="I332" s="1916"/>
      <c r="J332" s="1917"/>
      <c r="K332" s="1917"/>
      <c r="L332" s="1918"/>
      <c r="M332" s="177"/>
      <c r="N332" s="1916"/>
      <c r="O332" s="1917"/>
      <c r="P332" s="1917"/>
      <c r="Q332" s="1918"/>
      <c r="R332" s="177"/>
      <c r="S332" s="1916"/>
      <c r="T332" s="1917"/>
      <c r="U332" s="1917"/>
      <c r="V332" s="1918"/>
      <c r="W332" s="177"/>
      <c r="X332" s="1916"/>
      <c r="Y332" s="1917"/>
      <c r="Z332" s="1917"/>
      <c r="AA332" s="1918"/>
      <c r="AB332" s="177"/>
      <c r="AC332" s="1916"/>
      <c r="AD332" s="1917"/>
      <c r="AE332" s="1917"/>
      <c r="AF332" s="1918"/>
      <c r="AG332" s="177"/>
      <c r="AH332" s="1916"/>
      <c r="AI332" s="1917"/>
      <c r="AJ332" s="1917"/>
      <c r="AK332" s="1918"/>
      <c r="AL332" s="177"/>
    </row>
    <row r="333" spans="2:38" s="176" customFormat="1" x14ac:dyDescent="0.45">
      <c r="B333" s="1942"/>
      <c r="C333" s="1945"/>
      <c r="D333" s="1916"/>
      <c r="E333" s="1917"/>
      <c r="F333" s="1917"/>
      <c r="G333" s="1918"/>
      <c r="H333" s="177"/>
      <c r="I333" s="1916"/>
      <c r="J333" s="1917"/>
      <c r="K333" s="1917"/>
      <c r="L333" s="1918"/>
      <c r="M333" s="177"/>
      <c r="N333" s="1916"/>
      <c r="O333" s="1917"/>
      <c r="P333" s="1917"/>
      <c r="Q333" s="1918"/>
      <c r="R333" s="177"/>
      <c r="S333" s="1916"/>
      <c r="T333" s="1917"/>
      <c r="U333" s="1917"/>
      <c r="V333" s="1918"/>
      <c r="W333" s="177"/>
      <c r="X333" s="1916"/>
      <c r="Y333" s="1917"/>
      <c r="Z333" s="1917"/>
      <c r="AA333" s="1918"/>
      <c r="AB333" s="177"/>
      <c r="AC333" s="1916"/>
      <c r="AD333" s="1917"/>
      <c r="AE333" s="1917"/>
      <c r="AF333" s="1918"/>
      <c r="AG333" s="177"/>
      <c r="AH333" s="1916"/>
      <c r="AI333" s="1917"/>
      <c r="AJ333" s="1917"/>
      <c r="AK333" s="1918"/>
      <c r="AL333" s="177"/>
    </row>
    <row r="334" spans="2:38" s="176" customFormat="1" x14ac:dyDescent="0.45">
      <c r="B334" s="1942"/>
      <c r="C334" s="1945"/>
      <c r="D334" s="1916"/>
      <c r="E334" s="1917"/>
      <c r="F334" s="1917"/>
      <c r="G334" s="1918"/>
      <c r="H334" s="177"/>
      <c r="I334" s="1916"/>
      <c r="J334" s="1917"/>
      <c r="K334" s="1917"/>
      <c r="L334" s="1918"/>
      <c r="M334" s="177"/>
      <c r="N334" s="1916"/>
      <c r="O334" s="1917"/>
      <c r="P334" s="1917"/>
      <c r="Q334" s="1918"/>
      <c r="R334" s="177"/>
      <c r="S334" s="1916"/>
      <c r="T334" s="1917"/>
      <c r="U334" s="1917"/>
      <c r="V334" s="1918"/>
      <c r="W334" s="177"/>
      <c r="X334" s="1916"/>
      <c r="Y334" s="1917"/>
      <c r="Z334" s="1917"/>
      <c r="AA334" s="1918"/>
      <c r="AB334" s="177"/>
      <c r="AC334" s="1916"/>
      <c r="AD334" s="1917"/>
      <c r="AE334" s="1917"/>
      <c r="AF334" s="1918"/>
      <c r="AG334" s="177"/>
      <c r="AH334" s="1916"/>
      <c r="AI334" s="1917"/>
      <c r="AJ334" s="1917"/>
      <c r="AK334" s="1918"/>
      <c r="AL334" s="177"/>
    </row>
    <row r="335" spans="2:38" s="176" customFormat="1" x14ac:dyDescent="0.45">
      <c r="B335" s="1942"/>
      <c r="C335" s="1945"/>
      <c r="D335" s="1916"/>
      <c r="E335" s="1917"/>
      <c r="F335" s="1917"/>
      <c r="G335" s="1918"/>
      <c r="H335" s="177"/>
      <c r="I335" s="1916"/>
      <c r="J335" s="1917"/>
      <c r="K335" s="1917"/>
      <c r="L335" s="1918"/>
      <c r="M335" s="177"/>
      <c r="N335" s="1916"/>
      <c r="O335" s="1917"/>
      <c r="P335" s="1917"/>
      <c r="Q335" s="1918"/>
      <c r="R335" s="177"/>
      <c r="S335" s="1916"/>
      <c r="T335" s="1917"/>
      <c r="U335" s="1917"/>
      <c r="V335" s="1918"/>
      <c r="W335" s="177"/>
      <c r="X335" s="1916"/>
      <c r="Y335" s="1917"/>
      <c r="Z335" s="1917"/>
      <c r="AA335" s="1918"/>
      <c r="AB335" s="177"/>
      <c r="AC335" s="1916"/>
      <c r="AD335" s="1917"/>
      <c r="AE335" s="1917"/>
      <c r="AF335" s="1918"/>
      <c r="AG335" s="177"/>
      <c r="AH335" s="1916"/>
      <c r="AI335" s="1917"/>
      <c r="AJ335" s="1917"/>
      <c r="AK335" s="1918"/>
      <c r="AL335" s="177"/>
    </row>
    <row r="336" spans="2:38" s="176" customFormat="1" x14ac:dyDescent="0.45">
      <c r="B336" s="1942"/>
      <c r="C336" s="1945"/>
      <c r="D336" s="1916"/>
      <c r="E336" s="1917"/>
      <c r="F336" s="1917"/>
      <c r="G336" s="1918"/>
      <c r="H336" s="177"/>
      <c r="I336" s="1916"/>
      <c r="J336" s="1917"/>
      <c r="K336" s="1917"/>
      <c r="L336" s="1918"/>
      <c r="N336" s="1916"/>
      <c r="O336" s="1917"/>
      <c r="P336" s="1917"/>
      <c r="Q336" s="1918"/>
      <c r="S336" s="1916"/>
      <c r="T336" s="1917"/>
      <c r="U336" s="1917"/>
      <c r="V336" s="1918"/>
      <c r="X336" s="1916"/>
      <c r="Y336" s="1917"/>
      <c r="Z336" s="1917"/>
      <c r="AA336" s="1918"/>
      <c r="AC336" s="1916"/>
      <c r="AD336" s="1917"/>
      <c r="AE336" s="1917"/>
      <c r="AF336" s="1918"/>
      <c r="AH336" s="1916"/>
      <c r="AI336" s="1917"/>
      <c r="AJ336" s="1917"/>
      <c r="AK336" s="1918"/>
    </row>
    <row r="337" spans="2:38" s="176" customFormat="1" ht="14.65" thickBot="1" x14ac:dyDescent="0.5">
      <c r="B337" s="1943"/>
      <c r="C337" s="1946"/>
      <c r="D337" s="1938"/>
      <c r="E337" s="1939"/>
      <c r="F337" s="1939"/>
      <c r="G337" s="1940"/>
      <c r="H337" s="177"/>
      <c r="I337" s="1938"/>
      <c r="J337" s="1939"/>
      <c r="K337" s="1939"/>
      <c r="L337" s="1940"/>
      <c r="N337" s="1938"/>
      <c r="O337" s="1939"/>
      <c r="P337" s="1939"/>
      <c r="Q337" s="1940"/>
      <c r="S337" s="1938"/>
      <c r="T337" s="1939"/>
      <c r="U337" s="1939"/>
      <c r="V337" s="1940"/>
      <c r="X337" s="1938"/>
      <c r="Y337" s="1939"/>
      <c r="Z337" s="1939"/>
      <c r="AA337" s="1940"/>
      <c r="AC337" s="1938"/>
      <c r="AD337" s="1939"/>
      <c r="AE337" s="1939"/>
      <c r="AF337" s="1940"/>
      <c r="AH337" s="1938"/>
      <c r="AI337" s="1939"/>
      <c r="AJ337" s="1939"/>
      <c r="AK337" s="1940"/>
    </row>
    <row r="338" spans="2:38" s="176" customFormat="1" ht="14.65" thickBot="1" x14ac:dyDescent="0.5">
      <c r="H338" s="177"/>
    </row>
    <row r="339" spans="2:38" s="176" customFormat="1" ht="15" customHeight="1" thickBot="1" x14ac:dyDescent="0.5">
      <c r="B339" s="1941">
        <v>7</v>
      </c>
      <c r="C339" s="1944" t="str">
        <f ca="1">IF(INDEX(display_strategy,1,B339)="","", CONCATENATE(INDEX(display_strategy,1,B339),": ",HLOOKUP(INDEX(display_strategy,1,B339),strategies,4,TRUE)))</f>
        <v>Taper: Freshen up leading into a race without confusing your body.</v>
      </c>
      <c r="D339" s="1418" t="str">
        <f ca="1">CONCATENATE("Strategy: ",INDEX(display_strategy,$B339))</f>
        <v>Strategy: Taper</v>
      </c>
      <c r="E339" s="1947">
        <f>plan_start_date + ($B339-1)*7 + (COLUMN(D$2)-2)/5</f>
        <v>43416.4</v>
      </c>
      <c r="F339" s="1947"/>
      <c r="G339" s="1417" t="str">
        <f>CONCATENATE("Slot: ", ((WEEKDAY(E$3,2)*2-1)+IF(E340="Morning",0,1)))</f>
        <v>Slot: 1</v>
      </c>
      <c r="H339" s="177"/>
      <c r="I339" s="1418" t="str">
        <f ca="1">CONCATENATE("Strategy: ",INDEX(display_strategy,$B339))</f>
        <v>Strategy: Taper</v>
      </c>
      <c r="J339" s="1947">
        <f>plan_start_date + ($B339-1)*7 + (COLUMN(I$2)-2)/5</f>
        <v>43417.4</v>
      </c>
      <c r="K339" s="1947"/>
      <c r="L339" s="1417" t="str">
        <f>CONCATENATE("Slot: ", ((WEEKDAY(J$3,2)*2-1)+IF(J340="Morning",0,1)))</f>
        <v>Slot: 3</v>
      </c>
      <c r="N339" s="1418" t="str">
        <f ca="1">CONCATENATE("Strategy: ",INDEX(display_strategy,$B339))</f>
        <v>Strategy: Taper</v>
      </c>
      <c r="O339" s="1947">
        <f>plan_start_date + ($B339-1)*7 + (COLUMN(N$2)-2)/5</f>
        <v>43418.400000000001</v>
      </c>
      <c r="P339" s="1947"/>
      <c r="Q339" s="1417" t="str">
        <f>CONCATENATE("Slot: ", ((WEEKDAY(O$3,2)*2-1)+IF(O340="Morning",0,1)))</f>
        <v>Slot: 5</v>
      </c>
      <c r="S339" s="1418" t="str">
        <f ca="1">CONCATENATE("Strategy: ",INDEX(display_strategy,$B339))</f>
        <v>Strategy: Taper</v>
      </c>
      <c r="T339" s="1947">
        <f>plan_start_date + ($B339-1)*7 + (COLUMN(S$2)-2)/5</f>
        <v>43419.4</v>
      </c>
      <c r="U339" s="1947"/>
      <c r="V339" s="1417" t="str">
        <f>CONCATENATE("Slot: ", ((WEEKDAY(T$3,2)*2-1)+IF(T340="Morning",0,1)))</f>
        <v>Slot: 7</v>
      </c>
      <c r="X339" s="1418" t="str">
        <f ca="1">CONCATENATE("Strategy: ",INDEX(display_strategy,$B339))</f>
        <v>Strategy: Taper</v>
      </c>
      <c r="Y339" s="1947">
        <f>plan_start_date + ($B339-1)*7 + (COLUMN(X$2)-2)/5</f>
        <v>43420.4</v>
      </c>
      <c r="Z339" s="1947"/>
      <c r="AA339" s="1417" t="str">
        <f>CONCATENATE("Slot: ", ((WEEKDAY(Y$3,2)*2-1)+IF(Y340="Morning",0,1)))</f>
        <v>Slot: 9</v>
      </c>
      <c r="AC339" s="1418" t="str">
        <f ca="1">CONCATENATE("Strategy: ",INDEX(display_strategy,$B339))</f>
        <v>Strategy: Taper</v>
      </c>
      <c r="AD339" s="1947">
        <f>plan_start_date + ($B339-1)*7 + (COLUMN(AC$2)-2)/5</f>
        <v>43421.4</v>
      </c>
      <c r="AE339" s="1947"/>
      <c r="AF339" s="1417" t="str">
        <f>CONCATENATE("Slot: ", ((WEEKDAY(AD$3,2)*2-1)+IF(AD340="Morning",0,1)))</f>
        <v>Slot: 11</v>
      </c>
      <c r="AH339" s="1418" t="str">
        <f ca="1">CONCATENATE("Strategy: ",INDEX(display_strategy,$B339))</f>
        <v>Strategy: Taper</v>
      </c>
      <c r="AI339" s="1947">
        <f>plan_start_date + ($B339-1)*7 + (COLUMN(AH$2)-2)/5</f>
        <v>43422.400000000001</v>
      </c>
      <c r="AJ339" s="1947"/>
      <c r="AK339" s="1417" t="str">
        <f>CONCATENATE("Slot: ", ((WEEKDAY(AI$3,2)*2-1)+IF(AI340="Morning",0,1)))</f>
        <v>Slot: 13</v>
      </c>
    </row>
    <row r="340" spans="2:38" s="176" customFormat="1" x14ac:dyDescent="0.45">
      <c r="B340" s="1942"/>
      <c r="C340" s="1945"/>
      <c r="D340" s="1413">
        <f>$B339</f>
        <v>7</v>
      </c>
      <c r="E340" s="1930" t="s">
        <v>351</v>
      </c>
      <c r="F340" s="1930"/>
      <c r="G340" s="1412">
        <f ca="1">INDEX(final_duration_session, ((WEEKDAY(E$3,2)*2-1)+IF(E340="Morning",0,1)), $D340)</f>
        <v>40</v>
      </c>
      <c r="H340" s="177"/>
      <c r="I340" s="1413">
        <f>$B339</f>
        <v>7</v>
      </c>
      <c r="J340" s="1930" t="s">
        <v>351</v>
      </c>
      <c r="K340" s="1930"/>
      <c r="L340" s="1412">
        <f ca="1">INDEX(final_duration_session, ((WEEKDAY(J$3,2)*2-1)+IF(J340="Morning",0,1)), $D340)</f>
        <v>40</v>
      </c>
      <c r="M340" s="177"/>
      <c r="N340" s="1413">
        <f>$B339</f>
        <v>7</v>
      </c>
      <c r="O340" s="1930" t="s">
        <v>351</v>
      </c>
      <c r="P340" s="1930"/>
      <c r="Q340" s="1412">
        <f ca="1">INDEX(final_duration_session, ((WEEKDAY(O$3,2)*2-1)+IF(O340="Morning",0,1)), $D340)</f>
        <v>0</v>
      </c>
      <c r="R340" s="177"/>
      <c r="S340" s="1413">
        <f>$B339</f>
        <v>7</v>
      </c>
      <c r="T340" s="1930" t="s">
        <v>351</v>
      </c>
      <c r="U340" s="1930"/>
      <c r="V340" s="1412">
        <f ca="1">INDEX(final_duration_session, ((WEEKDAY(T$3,2)*2-1)+IF(T340="Morning",0,1)), $D340)</f>
        <v>0</v>
      </c>
      <c r="W340" s="177"/>
      <c r="X340" s="1413">
        <f>$B339</f>
        <v>7</v>
      </c>
      <c r="Y340" s="1930" t="s">
        <v>351</v>
      </c>
      <c r="Z340" s="1930"/>
      <c r="AA340" s="1412">
        <f ca="1">INDEX(final_duration_session, ((WEEKDAY(Y$3,2)*2-1)+IF(Y340="Morning",0,1)), $D340)</f>
        <v>40</v>
      </c>
      <c r="AB340" s="177"/>
      <c r="AC340" s="1413">
        <f>$B339</f>
        <v>7</v>
      </c>
      <c r="AD340" s="1930" t="s">
        <v>351</v>
      </c>
      <c r="AE340" s="1930"/>
      <c r="AF340" s="1412">
        <f ca="1">INDEX(final_duration_session, ((WEEKDAY(AD$3,2)*2-1)+IF(AD340="Morning",0,1)), $D340)</f>
        <v>75</v>
      </c>
      <c r="AG340" s="177"/>
      <c r="AH340" s="1413">
        <f>$B339</f>
        <v>7</v>
      </c>
      <c r="AI340" s="1930" t="s">
        <v>351</v>
      </c>
      <c r="AJ340" s="1930"/>
      <c r="AK340" s="1412">
        <f ca="1">INDEX(final_duration_session, ((WEEKDAY(AI$3,2)*2-1)+IF(AI340="Morning",0,1)), $D340)</f>
        <v>130</v>
      </c>
      <c r="AL340" s="177"/>
    </row>
    <row r="341" spans="2:38" s="176" customFormat="1" ht="15" customHeight="1" x14ac:dyDescent="0.45">
      <c r="B341" s="1942"/>
      <c r="C341" s="1945"/>
      <c r="D341" s="1931" t="str">
        <f ca="1">IF(G340&gt;0,INDEX(sessions_name,INDEX(plan_session_allocation,((WEEKDAY(E$3,2)*2-1)+IF(E340="Morning",0,1)),D340)),"")</f>
        <v>Easy</v>
      </c>
      <c r="E341" s="1932"/>
      <c r="F341" s="1932"/>
      <c r="G341" s="1933"/>
      <c r="H341" s="177"/>
      <c r="I341" s="1931" t="str">
        <f ca="1">IF(L340&gt;0,INDEX(sessions_name,INDEX(plan_session_allocation,((WEEKDAY(J$3,2)*2-1)+IF(J340="Morning",0,1)),I340)),"")</f>
        <v>Easy</v>
      </c>
      <c r="J341" s="1932"/>
      <c r="K341" s="1932"/>
      <c r="L341" s="1933"/>
      <c r="M341" s="177"/>
      <c r="N341" s="1931" t="str">
        <f ca="1">IF(Q340&gt;0,INDEX(sessions_name,INDEX(plan_session_allocation,((WEEKDAY(O$3,2)*2-1)+IF(O340="Morning",0,1)),N340)),"")</f>
        <v/>
      </c>
      <c r="O341" s="1932"/>
      <c r="P341" s="1932"/>
      <c r="Q341" s="1933"/>
      <c r="R341" s="177"/>
      <c r="S341" s="1931" t="str">
        <f ca="1">IF(V340&gt;0,INDEX(sessions_name,INDEX(plan_session_allocation,((WEEKDAY(T$3,2)*2-1)+IF(T340="Morning",0,1)),S340)),"")</f>
        <v/>
      </c>
      <c r="T341" s="1932"/>
      <c r="U341" s="1932"/>
      <c r="V341" s="1933"/>
      <c r="W341" s="177"/>
      <c r="X341" s="1931" t="str">
        <f ca="1">IF(AA340&gt;0,INDEX(sessions_name,INDEX(plan_session_allocation,((WEEKDAY(Y$3,2)*2-1)+IF(Y340="Morning",0,1)),X340)),"")</f>
        <v>Easy</v>
      </c>
      <c r="Y341" s="1932"/>
      <c r="Z341" s="1932"/>
      <c r="AA341" s="1933"/>
      <c r="AB341" s="177"/>
      <c r="AC341" s="1931" t="str">
        <f ca="1">IF(AF340&gt;0,INDEX(sessions_name,INDEX(plan_session_allocation,((WEEKDAY(AD$3,2)*2-1)+IF(AD340="Morning",0,1)),AC340)),"")</f>
        <v>Drills</v>
      </c>
      <c r="AD341" s="1932"/>
      <c r="AE341" s="1932"/>
      <c r="AF341" s="1933"/>
      <c r="AG341" s="177"/>
      <c r="AH341" s="1931" t="str">
        <f ca="1">IF(AK340&gt;0,INDEX(sessions_name,INDEX(plan_session_allocation,((WEEKDAY(AI$3,2)*2-1)+IF(AI340="Morning",0,1)),AH340)),"")</f>
        <v>Long</v>
      </c>
      <c r="AI341" s="1932"/>
      <c r="AJ341" s="1932"/>
      <c r="AK341" s="1933"/>
      <c r="AL341" s="177"/>
    </row>
    <row r="342" spans="2:38" s="176" customFormat="1" ht="15" customHeight="1" x14ac:dyDescent="0.45">
      <c r="B342" s="1942"/>
      <c r="C342" s="1945"/>
      <c r="D342" s="1934" t="str">
        <f ca="1">IF(G340&gt;0,CONCATENATE("Sport: ",INDEX(sessions_sport_primary,INDEX(plan_session_allocation,(WEEKDAY(E$3,2)*2-1)+IF(E340="Morning",0,1),D340))),"")</f>
        <v>Sport: Ride</v>
      </c>
      <c r="E342" s="1935"/>
      <c r="F342" s="1936">
        <f ca="1">IF(G340&gt;0,IFERROR(F343+F344+F345,""),"")</f>
        <v>40</v>
      </c>
      <c r="G342" s="1937"/>
      <c r="H342" s="177"/>
      <c r="I342" s="1934" t="str">
        <f ca="1">IF(L340&gt;0,CONCATENATE("Sport: ",INDEX(sessions_sport_primary,INDEX(plan_session_allocation,(WEEKDAY(J$3,2)*2-1)+IF(J340="Morning",0,1),I340))),"")</f>
        <v>Sport: Ride</v>
      </c>
      <c r="J342" s="1935"/>
      <c r="K342" s="1936">
        <f ca="1">IF(L340&gt;0,IFERROR(K343+K344+K345,""),"")</f>
        <v>40</v>
      </c>
      <c r="L342" s="1937"/>
      <c r="M342" s="177"/>
      <c r="N342" s="1934" t="str">
        <f ca="1">IF(Q340&gt;0,CONCATENATE("Sport: ",INDEX(sessions_sport_primary,INDEX(plan_session_allocation,(WEEKDAY(O$3,2)*2-1)+IF(O340="Morning",0,1),N340))),"")</f>
        <v/>
      </c>
      <c r="O342" s="1935"/>
      <c r="P342" s="1936" t="str">
        <f ca="1">IF(Q340&gt;0,IFERROR(P343+P344+P345,""),"")</f>
        <v/>
      </c>
      <c r="Q342" s="1937"/>
      <c r="R342" s="177"/>
      <c r="S342" s="1934" t="str">
        <f ca="1">IF(V340&gt;0,CONCATENATE("Sport: ",INDEX(sessions_sport_primary,INDEX(plan_session_allocation,(WEEKDAY(T$3,2)*2-1)+IF(T340="Morning",0,1),S340))),"")</f>
        <v/>
      </c>
      <c r="T342" s="1935"/>
      <c r="U342" s="1936" t="str">
        <f ca="1">IF(V340&gt;0,IFERROR(U343+U344+U345,""),"")</f>
        <v/>
      </c>
      <c r="V342" s="1937"/>
      <c r="W342" s="177"/>
      <c r="X342" s="1934" t="str">
        <f ca="1">IF(AA340&gt;0,CONCATENATE("Sport: ",INDEX(sessions_sport_primary,INDEX(plan_session_allocation,(WEEKDAY(Y$3,2)*2-1)+IF(Y340="Morning",0,1),X340))),"")</f>
        <v>Sport: Ride</v>
      </c>
      <c r="Y342" s="1935"/>
      <c r="Z342" s="1936">
        <f ca="1">IF(AA340&gt;0,IFERROR(Z343+Z344+Z345,""),"")</f>
        <v>40</v>
      </c>
      <c r="AA342" s="1937"/>
      <c r="AB342" s="177"/>
      <c r="AC342" s="1934" t="str">
        <f ca="1">IF(AF340&gt;0,CONCATENATE("Sport: ",INDEX(sessions_sport_primary,INDEX(plan_session_allocation,(WEEKDAY(AD$3,2)*2-1)+IF(AD340="Morning",0,1),AC340))),"")</f>
        <v>Sport: Run</v>
      </c>
      <c r="AD342" s="1935"/>
      <c r="AE342" s="1936">
        <f ca="1">IF(AF340&gt;0,IFERROR(AE343+AE344+AE345,""),"")</f>
        <v>75</v>
      </c>
      <c r="AF342" s="1937"/>
      <c r="AG342" s="177"/>
      <c r="AH342" s="1934" t="str">
        <f ca="1">IF(AK340&gt;0,CONCATENATE("Sport: ",INDEX(sessions_sport_primary,INDEX(plan_session_allocation,(WEEKDAY(AI$3,2)*2-1)+IF(AI340="Morning",0,1),AH340))),"")</f>
        <v>Sport: Hilly Trail Run</v>
      </c>
      <c r="AI342" s="1935"/>
      <c r="AJ342" s="1936">
        <f ca="1">IF(AK340&gt;0,IFERROR(AJ343+AJ344+AJ345,""),"")</f>
        <v>130</v>
      </c>
      <c r="AK342" s="1937"/>
      <c r="AL342" s="177"/>
    </row>
    <row r="343" spans="2:38" s="176" customFormat="1" ht="15" customHeight="1" x14ac:dyDescent="0.45">
      <c r="B343" s="1942"/>
      <c r="C343" s="1945"/>
      <c r="D343" s="1922" t="str">
        <f ca="1">IF(G340&gt;0,CONCATENATE("HR Target: ",
INDEX(sessions_HR_primary,INDEX(plan_session_allocation,((WEEKDAY(E$3,2)*2-1)+IF(E340="Morning",0,1)),D340)),
IF(INDEX(sessions_HR_primary,INDEX(plan_session_allocation,((WEEKDAY(E$3,2)*2-1)+IF(E340="Morning",0,1)),D340))="N/A","",
" BPM")),"")</f>
        <v>HR Target: 138 BPM</v>
      </c>
      <c r="E343" s="1923"/>
      <c r="F343" s="1924">
        <f ca="1">IF(G340&gt;0,
INDEX(final_duration_effort,((WEEKDAY(E$3,2)*2-1)+IF(E340="Morning",0,1)),D340),"")</f>
        <v>40</v>
      </c>
      <c r="G343" s="1925"/>
      <c r="H343" s="177"/>
      <c r="I343" s="1922" t="str">
        <f ca="1">IF(L340&gt;0,CONCATENATE("HR Target: ",
INDEX(sessions_HR_primary,INDEX(plan_session_allocation,((WEEKDAY(J$3,2)*2-1)+IF(J340="Morning",0,1)),I340)),
IF(INDEX(sessions_HR_primary,INDEX(plan_session_allocation,((WEEKDAY(J$3,2)*2-1)+IF(J340="Morning",0,1)),I340))="N/A","",
" BPM")),"")</f>
        <v>HR Target: 138 BPM</v>
      </c>
      <c r="J343" s="1923"/>
      <c r="K343" s="1924">
        <f ca="1">IF(L340&gt;0,
INDEX(final_duration_effort,((WEEKDAY(J$3,2)*2-1)+IF(J340="Morning",0,1)),I340),"")</f>
        <v>40</v>
      </c>
      <c r="L343" s="1925"/>
      <c r="M343" s="177"/>
      <c r="N343" s="1922" t="str">
        <f ca="1">IF(Q340&gt;0,CONCATENATE("HR Target: ",
INDEX(sessions_HR_primary,INDEX(plan_session_allocation,((WEEKDAY(O$3,2)*2-1)+IF(O340="Morning",0,1)),N340)),
IF(INDEX(sessions_HR_primary,INDEX(plan_session_allocation,((WEEKDAY(O$3,2)*2-1)+IF(O340="Morning",0,1)),N340))="N/A","",
" BPM")),"")</f>
        <v/>
      </c>
      <c r="O343" s="1923"/>
      <c r="P343" s="1924" t="str">
        <f ca="1">IF(Q340&gt;0,
INDEX(final_duration_effort,((WEEKDAY(O$3,2)*2-1)+IF(O340="Morning",0,1)),N340),"")</f>
        <v/>
      </c>
      <c r="Q343" s="1925"/>
      <c r="R343" s="177"/>
      <c r="S343" s="1922" t="str">
        <f ca="1">IF(V340&gt;0,CONCATENATE("HR Target: ",
INDEX(sessions_HR_primary,INDEX(plan_session_allocation,((WEEKDAY(T$3,2)*2-1)+IF(T340="Morning",0,1)),S340)),
IF(INDEX(sessions_HR_primary,INDEX(plan_session_allocation,((WEEKDAY(T$3,2)*2-1)+IF(T340="Morning",0,1)),S340))="N/A","",
" BPM")),"")</f>
        <v/>
      </c>
      <c r="T343" s="1923"/>
      <c r="U343" s="1924" t="str">
        <f ca="1">IF(V340&gt;0,
INDEX(final_duration_effort,((WEEKDAY(T$3,2)*2-1)+IF(T340="Morning",0,1)),S340),"")</f>
        <v/>
      </c>
      <c r="V343" s="1925"/>
      <c r="W343" s="177"/>
      <c r="X343" s="1922" t="str">
        <f ca="1">IF(AA340&gt;0,CONCATENATE("HR Target: ",
INDEX(sessions_HR_primary,INDEX(plan_session_allocation,((WEEKDAY(Y$3,2)*2-1)+IF(Y340="Morning",0,1)),X340)),
IF(INDEX(sessions_HR_primary,INDEX(plan_session_allocation,((WEEKDAY(Y$3,2)*2-1)+IF(Y340="Morning",0,1)),X340))="N/A","",
" BPM")),"")</f>
        <v>HR Target: 138 BPM</v>
      </c>
      <c r="Y343" s="1923"/>
      <c r="Z343" s="1924">
        <f ca="1">IF(AA340&gt;0,
INDEX(final_duration_effort,((WEEKDAY(Y$3,2)*2-1)+IF(Y340="Morning",0,1)),X340),"")</f>
        <v>40</v>
      </c>
      <c r="AA343" s="1925"/>
      <c r="AB343" s="177"/>
      <c r="AC343" s="1922" t="str">
        <f ca="1">IF(AF340&gt;0,CONCATENATE("HR Target: ",
INDEX(sessions_HR_primary,INDEX(plan_session_allocation,((WEEKDAY(AD$3,2)*2-1)+IF(AD340="Morning",0,1)),AC340)),
IF(INDEX(sessions_HR_primary,INDEX(plan_session_allocation,((WEEKDAY(AD$3,2)*2-1)+IF(AD340="Morning",0,1)),AC340))="N/A","",
" BPM")),"")</f>
        <v>HR Target: 148 BPM</v>
      </c>
      <c r="AD343" s="1923"/>
      <c r="AE343" s="1924">
        <f ca="1">IF(AF340&gt;0,
INDEX(final_duration_effort,((WEEKDAY(AD$3,2)*2-1)+IF(AD340="Morning",0,1)),AC340),"")</f>
        <v>60</v>
      </c>
      <c r="AF343" s="1925"/>
      <c r="AG343" s="177"/>
      <c r="AH343" s="1922" t="str">
        <f ca="1">IF(AK340&gt;0,CONCATENATE("HR Target: ",
INDEX(sessions_HR_primary,INDEX(plan_session_allocation,((WEEKDAY(AI$3,2)*2-1)+IF(AI340="Morning",0,1)),AH340)),
IF(INDEX(sessions_HR_primary,INDEX(plan_session_allocation,((WEEKDAY(AI$3,2)*2-1)+IF(AI340="Morning",0,1)),AH340))="N/A","",
" BPM")),"")</f>
        <v>HR Target: 148 BPM</v>
      </c>
      <c r="AI343" s="1923"/>
      <c r="AJ343" s="1924">
        <f ca="1">IF(AK340&gt;0,
INDEX(final_duration_effort,((WEEKDAY(AI$3,2)*2-1)+IF(AI340="Morning",0,1)),AH340),"")</f>
        <v>130</v>
      </c>
      <c r="AK343" s="1925"/>
      <c r="AL343" s="177"/>
    </row>
    <row r="344" spans="2:38" s="179" customFormat="1" x14ac:dyDescent="0.45">
      <c r="B344" s="1942"/>
      <c r="C344" s="1945"/>
      <c r="D344" s="1926" t="str">
        <f ca="1">IF(G340&gt;0,CONCATENATE("HR Range: ",
INDEX(sessions_HR_range_primary,INDEX(plan_session_allocation,((WEEKDAY(E$3,2)*2-1)+IF(E340="Morning",0,1)),D340)),
IF(INDEX(sessions_HR_range_primary,INDEX(plan_session_allocation,((WEEKDAY(E$3,2)*2-1)+IF(E340="Morning",0,1)),D340))="N/A","",
" BPM")),"")</f>
        <v>HR Range: 129 - 148 BPM</v>
      </c>
      <c r="E344" s="1927"/>
      <c r="F344" s="1928">
        <f ca="1">IF(G340&gt;0,IF(
INDEX(sessions_recoveries,INDEX(plan_session_allocation,((WEEKDAY(E$3,2)*2-1)+IF(E340="Morning",0,1)),D340))="Yes",
VLOOKUP(INDEX(plan_duration_primary,((WEEKDAY(E$3,2)*2-1)+IF(E340="Morning",0,1)),D340),
INDIRECT(INDEX(sessions_intervals_code_primary,INDEX(plan_session_allocation,((WEEKDAY(E$3,2)*2-1)+IF(E340="Morning",0,1)),D340))),7,TRUE),0),"")</f>
        <v>0</v>
      </c>
      <c r="G344" s="1929"/>
      <c r="H344" s="178"/>
      <c r="I344" s="1926" t="str">
        <f ca="1">IF(L340&gt;0,CONCATENATE("HR Range: ",
INDEX(sessions_HR_range_primary,INDEX(plan_session_allocation,((WEEKDAY(J$3,2)*2-1)+IF(J340="Morning",0,1)),I340)),
IF(INDEX(sessions_HR_range_primary,INDEX(plan_session_allocation,((WEEKDAY(J$3,2)*2-1)+IF(J340="Morning",0,1)),I340))="N/A","",
" BPM")),"")</f>
        <v>HR Range: 129 - 148 BPM</v>
      </c>
      <c r="J344" s="1927"/>
      <c r="K344" s="1928">
        <f ca="1">IF(L340&gt;0,IF(
INDEX(sessions_recoveries,INDEX(plan_session_allocation,((WEEKDAY(J$3,2)*2-1)+IF(J340="Morning",0,1)),I340))="Yes",
VLOOKUP(INDEX(plan_duration_primary,((WEEKDAY(J$3,2)*2-1)+IF(J340="Morning",0,1)),I340),
INDIRECT(INDEX(sessions_intervals_code_primary,INDEX(plan_session_allocation,((WEEKDAY(J$3,2)*2-1)+IF(J340="Morning",0,1)),I340))),7,TRUE),0),"")</f>
        <v>0</v>
      </c>
      <c r="L344" s="1929"/>
      <c r="M344" s="178"/>
      <c r="N344" s="1926" t="str">
        <f ca="1">IF(Q340&gt;0,CONCATENATE("HR Range: ",
INDEX(sessions_HR_range_primary,INDEX(plan_session_allocation,((WEEKDAY(O$3,2)*2-1)+IF(O340="Morning",0,1)),N340)),
IF(INDEX(sessions_HR_range_primary,INDEX(plan_session_allocation,((WEEKDAY(O$3,2)*2-1)+IF(O340="Morning",0,1)),N340))="N/A","",
" BPM")),"")</f>
        <v/>
      </c>
      <c r="O344" s="1927"/>
      <c r="P344" s="1928" t="str">
        <f ca="1">IF(Q340&gt;0,IF(
INDEX(sessions_recoveries,INDEX(plan_session_allocation,((WEEKDAY(O$3,2)*2-1)+IF(O340="Morning",0,1)),N340))="Yes",
VLOOKUP(INDEX(plan_duration_primary,((WEEKDAY(O$3,2)*2-1)+IF(O340="Morning",0,1)),N340),
INDIRECT(INDEX(sessions_intervals_code_primary,INDEX(plan_session_allocation,((WEEKDAY(O$3,2)*2-1)+IF(O340="Morning",0,1)),N340))),7,TRUE),0),"")</f>
        <v/>
      </c>
      <c r="Q344" s="1929"/>
      <c r="R344" s="178"/>
      <c r="S344" s="1926" t="str">
        <f ca="1">IF(V340&gt;0,CONCATENATE("HR Range: ",
INDEX(sessions_HR_range_primary,INDEX(plan_session_allocation,((WEEKDAY(T$3,2)*2-1)+IF(T340="Morning",0,1)),S340)),
IF(INDEX(sessions_HR_range_primary,INDEX(plan_session_allocation,((WEEKDAY(T$3,2)*2-1)+IF(T340="Morning",0,1)),S340))="N/A","",
" BPM")),"")</f>
        <v/>
      </c>
      <c r="T344" s="1927"/>
      <c r="U344" s="1928" t="str">
        <f ca="1">IF(V340&gt;0,IF(
INDEX(sessions_recoveries,INDEX(plan_session_allocation,((WEEKDAY(T$3,2)*2-1)+IF(T340="Morning",0,1)),S340))="Yes",
VLOOKUP(INDEX(plan_duration_primary,((WEEKDAY(T$3,2)*2-1)+IF(T340="Morning",0,1)),S340),
INDIRECT(INDEX(sessions_intervals_code_primary,INDEX(plan_session_allocation,((WEEKDAY(T$3,2)*2-1)+IF(T340="Morning",0,1)),S340))),7,TRUE),0),"")</f>
        <v/>
      </c>
      <c r="V344" s="1929"/>
      <c r="W344" s="178"/>
      <c r="X344" s="1926" t="str">
        <f ca="1">IF(AA340&gt;0,CONCATENATE("HR Range: ",
INDEX(sessions_HR_range_primary,INDEX(plan_session_allocation,((WEEKDAY(Y$3,2)*2-1)+IF(Y340="Morning",0,1)),X340)),
IF(INDEX(sessions_HR_range_primary,INDEX(plan_session_allocation,((WEEKDAY(Y$3,2)*2-1)+IF(Y340="Morning",0,1)),X340))="N/A","",
" BPM")),"")</f>
        <v>HR Range: 129 - 148 BPM</v>
      </c>
      <c r="Y344" s="1927"/>
      <c r="Z344" s="1928">
        <f ca="1">IF(AA340&gt;0,IF(
INDEX(sessions_recoveries,INDEX(plan_session_allocation,((WEEKDAY(Y$3,2)*2-1)+IF(Y340="Morning",0,1)),X340))="Yes",
VLOOKUP(INDEX(plan_duration_primary,((WEEKDAY(Y$3,2)*2-1)+IF(Y340="Morning",0,1)),X340),
INDIRECT(INDEX(sessions_intervals_code_primary,INDEX(plan_session_allocation,((WEEKDAY(Y$3,2)*2-1)+IF(Y340="Morning",0,1)),X340))),7,TRUE),0),"")</f>
        <v>0</v>
      </c>
      <c r="AA344" s="1929"/>
      <c r="AB344" s="178"/>
      <c r="AC344" s="1926" t="str">
        <f ca="1">IF(AF340&gt;0,CONCATENATE("HR Range: ",
INDEX(sessions_HR_range_primary,INDEX(plan_session_allocation,((WEEKDAY(AD$3,2)*2-1)+IF(AD340="Morning",0,1)),AC340)),
IF(INDEX(sessions_HR_range_primary,INDEX(plan_session_allocation,((WEEKDAY(AD$3,2)*2-1)+IF(AD340="Morning",0,1)),AC340))="N/A","",
" BPM")),"")</f>
        <v>HR Range: 129 - 169 BPM</v>
      </c>
      <c r="AD344" s="1927"/>
      <c r="AE344" s="1928">
        <f ca="1">IF(AF340&gt;0,IF(
INDEX(sessions_recoveries,INDEX(plan_session_allocation,((WEEKDAY(AD$3,2)*2-1)+IF(AD340="Morning",0,1)),AC340))="Yes",
VLOOKUP(INDEX(plan_duration_primary,((WEEKDAY(AD$3,2)*2-1)+IF(AD340="Morning",0,1)),AC340),
INDIRECT(INDEX(sessions_intervals_code_primary,INDEX(plan_session_allocation,((WEEKDAY(AD$3,2)*2-1)+IF(AD340="Morning",0,1)),AC340))),7,TRUE),0),"")</f>
        <v>0</v>
      </c>
      <c r="AF344" s="1929"/>
      <c r="AG344" s="178"/>
      <c r="AH344" s="1926" t="str">
        <f ca="1">IF(AK340&gt;0,CONCATENATE("HR Range: ",
INDEX(sessions_HR_range_primary,INDEX(plan_session_allocation,((WEEKDAY(AI$3,2)*2-1)+IF(AI340="Morning",0,1)),AH340)),
IF(INDEX(sessions_HR_range_primary,INDEX(plan_session_allocation,((WEEKDAY(AI$3,2)*2-1)+IF(AI340="Morning",0,1)),AH340))="N/A","",
" BPM")),"")</f>
        <v>HR Range: 129 - 169 BPM</v>
      </c>
      <c r="AI344" s="1927"/>
      <c r="AJ344" s="1928">
        <f ca="1">IF(AK340&gt;0,IF(
INDEX(sessions_recoveries,INDEX(plan_session_allocation,((WEEKDAY(AI$3,2)*2-1)+IF(AI340="Morning",0,1)),AH340))="Yes",
VLOOKUP(INDEX(plan_duration_primary,((WEEKDAY(AI$3,2)*2-1)+IF(AI340="Morning",0,1)),AH340),
INDIRECT(INDEX(sessions_intervals_code_primary,INDEX(plan_session_allocation,((WEEKDAY(AI$3,2)*2-1)+IF(AI340="Morning",0,1)),AH340))),7,TRUE),0),"")</f>
        <v>0</v>
      </c>
      <c r="AK344" s="1929"/>
      <c r="AL344" s="178"/>
    </row>
    <row r="345" spans="2:38" s="179" customFormat="1" ht="15" customHeight="1" x14ac:dyDescent="0.45">
      <c r="B345" s="1942"/>
      <c r="C345" s="1945"/>
      <c r="D345" s="1909" t="str">
        <f ca="1">IF(G340&gt;0,CONCATENATE("Equivalent Pace: ",
TEXT(INDEX(sessions_pace_primary,INDEX(plan_session_allocation,(WEEKDAY(E$3,2)*2-1)+IF(E340="Morning",0,1),D340)),"m:ss"),
" min/km"
),"")</f>
        <v>Equivalent Pace: 4:39 min/km</v>
      </c>
      <c r="E345" s="1910"/>
      <c r="F345" s="1911">
        <f ca="1">IF(G340&gt;0, INDEX(final_duration_WU,((WEEKDAY(E$3,2)*2-1)+IF(E340="Morning",0,1)),D340)  + INDEX(final_duration_WD,((WEEKDAY(E$3,2)*2-1)+IF(E340="Morning",0,1)),D340), "")</f>
        <v>0</v>
      </c>
      <c r="G345" s="1912"/>
      <c r="H345" s="178"/>
      <c r="I345" s="1909" t="str">
        <f ca="1">IF(L340&gt;0,CONCATENATE("Equivalent Pace: ",
TEXT(INDEX(sessions_pace_primary,INDEX(plan_session_allocation,(WEEKDAY(J$3,2)*2-1)+IF(J340="Morning",0,1),I340)),"m:ss"),
" min/km"
),"")</f>
        <v>Equivalent Pace: 4:39 min/km</v>
      </c>
      <c r="J345" s="1910"/>
      <c r="K345" s="1911">
        <f ca="1">IF(L340&gt;0, INDEX(final_duration_WU,((WEEKDAY(J$3,2)*2-1)+IF(J340="Morning",0,1)),I340)  + INDEX(final_duration_WD,((WEEKDAY(J$3,2)*2-1)+IF(J340="Morning",0,1)),I340), "")</f>
        <v>0</v>
      </c>
      <c r="L345" s="1912"/>
      <c r="M345" s="178"/>
      <c r="N345" s="1909" t="str">
        <f ca="1">IF(Q340&gt;0,CONCATENATE("Equivalent Pace: ",
TEXT(INDEX(sessions_pace_primary,INDEX(plan_session_allocation,(WEEKDAY(O$3,2)*2-1)+IF(O340="Morning",0,1),N340)),"m:ss"),
" min/km"
),"")</f>
        <v/>
      </c>
      <c r="O345" s="1910"/>
      <c r="P345" s="1911" t="str">
        <f ca="1">IF(Q340&gt;0, INDEX(final_duration_WU,((WEEKDAY(O$3,2)*2-1)+IF(O340="Morning",0,1)),N340)  + INDEX(final_duration_WD,((WEEKDAY(O$3,2)*2-1)+IF(O340="Morning",0,1)),N340), "")</f>
        <v/>
      </c>
      <c r="Q345" s="1912"/>
      <c r="R345" s="178"/>
      <c r="S345" s="1909" t="str">
        <f ca="1">IF(V340&gt;0,CONCATENATE("Equivalent Pace: ",
TEXT(INDEX(sessions_pace_primary,INDEX(plan_session_allocation,(WEEKDAY(T$3,2)*2-1)+IF(T340="Morning",0,1),S340)),"m:ss"),
" min/km"
),"")</f>
        <v/>
      </c>
      <c r="T345" s="1910"/>
      <c r="U345" s="1911" t="str">
        <f ca="1">IF(V340&gt;0, INDEX(final_duration_WU,((WEEKDAY(T$3,2)*2-1)+IF(T340="Morning",0,1)),S340)  + INDEX(final_duration_WD,((WEEKDAY(T$3,2)*2-1)+IF(T340="Morning",0,1)),S340), "")</f>
        <v/>
      </c>
      <c r="V345" s="1912"/>
      <c r="W345" s="178"/>
      <c r="X345" s="1909" t="str">
        <f ca="1">IF(AA340&gt;0,CONCATENATE("Equivalent Pace: ",
TEXT(INDEX(sessions_pace_primary,INDEX(plan_session_allocation,(WEEKDAY(Y$3,2)*2-1)+IF(Y340="Morning",0,1),X340)),"m:ss"),
" min/km"
),"")</f>
        <v>Equivalent Pace: 4:39 min/km</v>
      </c>
      <c r="Y345" s="1910"/>
      <c r="Z345" s="1911">
        <f ca="1">IF(AA340&gt;0, INDEX(final_duration_WU,((WEEKDAY(Y$3,2)*2-1)+IF(Y340="Morning",0,1)),X340)  + INDEX(final_duration_WD,((WEEKDAY(Y$3,2)*2-1)+IF(Y340="Morning",0,1)),X340), "")</f>
        <v>0</v>
      </c>
      <c r="AA345" s="1912"/>
      <c r="AB345" s="178"/>
      <c r="AC345" s="1909" t="str">
        <f ca="1">IF(AF340&gt;0,CONCATENATE("Equivalent Pace: ",
TEXT(INDEX(sessions_pace_primary,INDEX(plan_session_allocation,(WEEKDAY(AD$3,2)*2-1)+IF(AD340="Morning",0,1),AC340)),"m:ss"),
" min/km"
),"")</f>
        <v>Equivalent Pace: 4:14 min/km</v>
      </c>
      <c r="AD345" s="1910"/>
      <c r="AE345" s="1911">
        <f ca="1">IF(AF340&gt;0, INDEX(final_duration_WU,((WEEKDAY(AD$3,2)*2-1)+IF(AD340="Morning",0,1)),AC340)  + INDEX(final_duration_WD,((WEEKDAY(AD$3,2)*2-1)+IF(AD340="Morning",0,1)),AC340), "")</f>
        <v>15</v>
      </c>
      <c r="AF345" s="1912"/>
      <c r="AG345" s="178"/>
      <c r="AH345" s="1909" t="str">
        <f ca="1">IF(AK340&gt;0,CONCATENATE("Equivalent Pace: ",
TEXT(INDEX(sessions_pace_primary,INDEX(plan_session_allocation,(WEEKDAY(AI$3,2)*2-1)+IF(AI340="Morning",0,1),AH340)),"m:ss"),
" min/km"
),"")</f>
        <v>Equivalent Pace: 4:14 min/km</v>
      </c>
      <c r="AI345" s="1910"/>
      <c r="AJ345" s="1911">
        <f ca="1">IF(AK340&gt;0, INDEX(final_duration_WU,((WEEKDAY(AI$3,2)*2-1)+IF(AI340="Morning",0,1)),AH340)  + INDEX(final_duration_WD,((WEEKDAY(AI$3,2)*2-1)+IF(AI340="Morning",0,1)),AH340), "")</f>
        <v>0</v>
      </c>
      <c r="AK345" s="1912"/>
      <c r="AL345" s="178"/>
    </row>
    <row r="346" spans="2:38" s="180" customFormat="1" ht="15" customHeight="1" x14ac:dyDescent="0.45">
      <c r="B346" s="1942"/>
      <c r="C346" s="1945"/>
      <c r="D346" s="1913" t="str">
        <f ca="1">IF(G340&gt;0,CONCATENATE(IFERROR(CONCATENATE(IF(INDEX(display_intervals_breakdown,((WEEKDAY(E$3,2)*2-1)+IF(E340="Morning",0,1)),D340)="","",CONCATENATE("Intervals/Reps Breakdown: 
",INDEX(display_intervals_breakdown,((WEEKDAY(E$3,2)*2-1)+IF(E340="Morning",0,1)),D340),"
")),"Session Description: 
",CONCATENATE(IF(INDEX(final_duration_secondary,((WEEKDAY(E$3,2)*2-1)+IF(E340="Morning",0,1)),D340)=0,"","1. "),
INDEX(sessions_description_primary,,INDEX(plan_session_allocation,((WEEKDAY(E$3,2)*2-1)+IF(E340="Morning",0,1)),D340)),IF(INDEX(final_duration_secondary,((WEEKDAY(E$3,2)*2-1)+IF(E340="Morning",0,1)),D340)=0,"","
2. "),
IF(INDEX(final_duration_secondary,((WEEKDAY(E$3,2)*2-1)+IF(E340="Morning",0,1)),D340)=0,"",INDEX(sessions_description_secondary,,INDEX(plan_session_allocation,((WEEKDAY(E$3,2)*2-1)+IF(E340="Morning",0,1)),D340))),IF(INDEX(final_duration_tertiary,((WEEKDAY(E$3,2)*2-1)+IF(E340="Morning",0,1)),D340)=0,"","
3. "),
IF(INDEX(final_duration_tertiary,((WEEKDAY(E$3,2)*2-1)+IF(E340="Morning",0,1)),D340)="","",INDEX(sessions_description_tertiary,,INDEX(plan_session_allocation,((WEEKDAY(E$3,2)*2-1)+IF(E340="Morning",0,1)),D340))),
IF(INDEX(display_nutrition_description,((WEEKDAY(E$3,2)*2-1)+IF(E340="Morning",0,1)),D340)="","",
CONCATENATE("
Meal Plan: ", INDEX(sessions_nutrition,,INDEX(plan_session_allocation,((WEEKDAY(E$3,2)*2-1)+IF(E340="Morning",0,1)),D340)), "
", INDEX(display_nutrition_description,((WEEKDAY(E$3,2)*2-1)+IF(E340="Morning",0,1)),D340)))
)),"")),"")</f>
        <v>Session Description: 
Stay at a comfortable and controlled intensity where you should be able to have a conversation without large pauses. Keep an even intensity and accept that your pace may change as the terrain changes.</v>
      </c>
      <c r="E346" s="1914"/>
      <c r="F346" s="1914"/>
      <c r="G346" s="1915"/>
      <c r="I346" s="1913" t="str">
        <f ca="1">IF(L340&gt;0,CONCATENATE(IFERROR(CONCATENATE(IF(INDEX(display_intervals_breakdown,((WEEKDAY(J$3,2)*2-1)+IF(J340="Morning",0,1)),I340)="","",CONCATENATE("Intervals/Reps Breakdown: 
",INDEX(display_intervals_breakdown,((WEEKDAY(J$3,2)*2-1)+IF(J340="Morning",0,1)),I340),"
")),"Session Description: 
",CONCATENATE(IF(INDEX(final_duration_secondary,((WEEKDAY(J$3,2)*2-1)+IF(J340="Morning",0,1)),I340)=0,"","1. "),
INDEX(sessions_description_primary,,INDEX(plan_session_allocation,((WEEKDAY(J$3,2)*2-1)+IF(J340="Morning",0,1)),I340)),IF(INDEX(final_duration_secondary,((WEEKDAY(J$3,2)*2-1)+IF(J340="Morning",0,1)),I340)=0,"","
2. "),
IF(INDEX(final_duration_secondary,((WEEKDAY(J$3,2)*2-1)+IF(J340="Morning",0,1)),I340)=0,"",INDEX(sessions_description_secondary,,INDEX(plan_session_allocation,((WEEKDAY(J$3,2)*2-1)+IF(J340="Morning",0,1)),I340))),IF(INDEX(final_duration_tertiary,((WEEKDAY(J$3,2)*2-1)+IF(J340="Morning",0,1)),I340)=0,"","
3. "),
IF(INDEX(final_duration_tertiary,((WEEKDAY(J$3,2)*2-1)+IF(J340="Morning",0,1)),I340)="","",INDEX(sessions_description_tertiary,,INDEX(plan_session_allocation,((WEEKDAY(J$3,2)*2-1)+IF(J340="Morning",0,1)),I340))),
IF(INDEX(display_nutrition_description,((WEEKDAY(J$3,2)*2-1)+IF(J340="Morning",0,1)),I340)="","",
CONCATENATE("
Meal Plan: ", INDEX(sessions_nutrition,,INDEX(plan_session_allocation,((WEEKDAY(J$3,2)*2-1)+IF(J340="Morning",0,1)),I340)), "
", INDEX(display_nutrition_description,((WEEKDAY(J$3,2)*2-1)+IF(J340="Morning",0,1)),I340)))
)),"")),"")</f>
        <v>Session Description: 
Stay at a comfortable and controlled intensity where you should be able to have a conversation without large pauses. Keep an even intensity and accept that your pace may change as the terrain changes.</v>
      </c>
      <c r="J346" s="1914"/>
      <c r="K346" s="1914"/>
      <c r="L346" s="1915"/>
      <c r="N346" s="1913" t="str">
        <f ca="1">IF(Q340&gt;0,CONCATENATE(IFERROR(CONCATENATE(IF(INDEX(display_intervals_breakdown,((WEEKDAY(O$3,2)*2-1)+IF(O340="Morning",0,1)),N340)="","",CONCATENATE("Intervals/Reps Breakdown: 
",INDEX(display_intervals_breakdown,((WEEKDAY(O$3,2)*2-1)+IF(O340="Morning",0,1)),N340),"
")),"Session Description: 
",CONCATENATE(IF(INDEX(final_duration_secondary,((WEEKDAY(O$3,2)*2-1)+IF(O340="Morning",0,1)),N340)=0,"","1. "),
INDEX(sessions_description_primary,,INDEX(plan_session_allocation,((WEEKDAY(O$3,2)*2-1)+IF(O340="Morning",0,1)),N340)),IF(INDEX(final_duration_secondary,((WEEKDAY(O$3,2)*2-1)+IF(O340="Morning",0,1)),N340)=0,"","
2. "),
IF(INDEX(final_duration_secondary,((WEEKDAY(O$3,2)*2-1)+IF(O340="Morning",0,1)),N340)=0,"",INDEX(sessions_description_secondary,,INDEX(plan_session_allocation,((WEEKDAY(O$3,2)*2-1)+IF(O340="Morning",0,1)),N340))),IF(INDEX(final_duration_tertiary,((WEEKDAY(O$3,2)*2-1)+IF(O340="Morning",0,1)),N340)=0,"","
3. "),
IF(INDEX(final_duration_tertiary,((WEEKDAY(O$3,2)*2-1)+IF(O340="Morning",0,1)),N340)="","",INDEX(sessions_description_tertiary,,INDEX(plan_session_allocation,((WEEKDAY(O$3,2)*2-1)+IF(O340="Morning",0,1)),N340))),
IF(INDEX(display_nutrition_description,((WEEKDAY(O$3,2)*2-1)+IF(O340="Morning",0,1)),N340)="","",
CONCATENATE("
Meal Plan: ", INDEX(sessions_nutrition,,INDEX(plan_session_allocation,((WEEKDAY(O$3,2)*2-1)+IF(O340="Morning",0,1)),N340)), "
", INDEX(display_nutrition_description,((WEEKDAY(O$3,2)*2-1)+IF(O340="Morning",0,1)),N340)))
)),"")),"")</f>
        <v/>
      </c>
      <c r="O346" s="1914"/>
      <c r="P346" s="1914"/>
      <c r="Q346" s="1915"/>
      <c r="S346" s="1913" t="str">
        <f ca="1">IF(V340&gt;0,CONCATENATE(IFERROR(CONCATENATE(IF(INDEX(display_intervals_breakdown,((WEEKDAY(T$3,2)*2-1)+IF(T340="Morning",0,1)),S340)="","",CONCATENATE("Intervals/Reps Breakdown: 
",INDEX(display_intervals_breakdown,((WEEKDAY(T$3,2)*2-1)+IF(T340="Morning",0,1)),S340),"
")),"Session Description: 
",CONCATENATE(IF(INDEX(final_duration_secondary,((WEEKDAY(T$3,2)*2-1)+IF(T340="Morning",0,1)),S340)=0,"","1. "),
INDEX(sessions_description_primary,,INDEX(plan_session_allocation,((WEEKDAY(T$3,2)*2-1)+IF(T340="Morning",0,1)),S340)),IF(INDEX(final_duration_secondary,((WEEKDAY(T$3,2)*2-1)+IF(T340="Morning",0,1)),S340)=0,"","
2. "),
IF(INDEX(final_duration_secondary,((WEEKDAY(T$3,2)*2-1)+IF(T340="Morning",0,1)),S340)=0,"",INDEX(sessions_description_secondary,,INDEX(plan_session_allocation,((WEEKDAY(T$3,2)*2-1)+IF(T340="Morning",0,1)),S340))),IF(INDEX(final_duration_tertiary,((WEEKDAY(T$3,2)*2-1)+IF(T340="Morning",0,1)),S340)=0,"","
3. "),
IF(INDEX(final_duration_tertiary,((WEEKDAY(T$3,2)*2-1)+IF(T340="Morning",0,1)),S340)="","",INDEX(sessions_description_tertiary,,INDEX(plan_session_allocation,((WEEKDAY(T$3,2)*2-1)+IF(T340="Morning",0,1)),S340))),
IF(INDEX(display_nutrition_description,((WEEKDAY(T$3,2)*2-1)+IF(T340="Morning",0,1)),S340)="","",
CONCATENATE("
Meal Plan: ", INDEX(sessions_nutrition,,INDEX(plan_session_allocation,((WEEKDAY(T$3,2)*2-1)+IF(T340="Morning",0,1)),S340)), "
", INDEX(display_nutrition_description,((WEEKDAY(T$3,2)*2-1)+IF(T340="Morning",0,1)),S340)))
)),"")),"")</f>
        <v/>
      </c>
      <c r="T346" s="1914"/>
      <c r="U346" s="1914"/>
      <c r="V346" s="1915"/>
      <c r="X346" s="1913" t="str">
        <f ca="1">IF(AA340&gt;0,CONCATENATE(IFERROR(CONCATENATE(IF(INDEX(display_intervals_breakdown,((WEEKDAY(Y$3,2)*2-1)+IF(Y340="Morning",0,1)),X340)="","",CONCATENATE("Intervals/Reps Breakdown: 
",INDEX(display_intervals_breakdown,((WEEKDAY(Y$3,2)*2-1)+IF(Y340="Morning",0,1)),X340),"
")),"Session Description: 
",CONCATENATE(IF(INDEX(final_duration_secondary,((WEEKDAY(Y$3,2)*2-1)+IF(Y340="Morning",0,1)),X340)=0,"","1. "),
INDEX(sessions_description_primary,,INDEX(plan_session_allocation,((WEEKDAY(Y$3,2)*2-1)+IF(Y340="Morning",0,1)),X340)),IF(INDEX(final_duration_secondary,((WEEKDAY(Y$3,2)*2-1)+IF(Y340="Morning",0,1)),X340)=0,"","
2. "),
IF(INDEX(final_duration_secondary,((WEEKDAY(Y$3,2)*2-1)+IF(Y340="Morning",0,1)),X340)=0,"",INDEX(sessions_description_secondary,,INDEX(plan_session_allocation,((WEEKDAY(Y$3,2)*2-1)+IF(Y340="Morning",0,1)),X340))),IF(INDEX(final_duration_tertiary,((WEEKDAY(Y$3,2)*2-1)+IF(Y340="Morning",0,1)),X340)=0,"","
3. "),
IF(INDEX(final_duration_tertiary,((WEEKDAY(Y$3,2)*2-1)+IF(Y340="Morning",0,1)),X340)="","",INDEX(sessions_description_tertiary,,INDEX(plan_session_allocation,((WEEKDAY(Y$3,2)*2-1)+IF(Y340="Morning",0,1)),X340))),
IF(INDEX(display_nutrition_description,((WEEKDAY(Y$3,2)*2-1)+IF(Y340="Morning",0,1)),X340)="","",
CONCATENATE("
Meal Plan: ", INDEX(sessions_nutrition,,INDEX(plan_session_allocation,((WEEKDAY(Y$3,2)*2-1)+IF(Y340="Morning",0,1)),X340)), "
", INDEX(display_nutrition_description,((WEEKDAY(Y$3,2)*2-1)+IF(Y340="Morning",0,1)),X340)))
)),"")),"")</f>
        <v>Session Description: 
Stay at a comfortable and controlled intensity where you should be able to have a conversation without large pauses. Keep an even intensity and accept that your pace may change as the terrain changes.</v>
      </c>
      <c r="Y346" s="1914"/>
      <c r="Z346" s="1914"/>
      <c r="AA346" s="1915"/>
      <c r="AC346" s="1913" t="str">
        <f ca="1">IF(AF340&gt;0,CONCATENATE(IFERROR(CONCATENATE(IF(INDEX(display_intervals_breakdown,((WEEKDAY(AD$3,2)*2-1)+IF(AD340="Morning",0,1)),AC340)="","",CONCATENATE("Intervals/Reps Breakdown: 
",INDEX(display_intervals_breakdown,((WEEKDAY(AD$3,2)*2-1)+IF(AD340="Morning",0,1)),AC340),"
")),"Session Description: 
",CONCATENATE(IF(INDEX(final_duration_secondary,((WEEKDAY(AD$3,2)*2-1)+IF(AD340="Morning",0,1)),AC340)=0,"","1. "),
INDEX(sessions_description_primary,,INDEX(plan_session_allocation,((WEEKDAY(AD$3,2)*2-1)+IF(AD340="Morning",0,1)),AC340)),IF(INDEX(final_duration_secondary,((WEEKDAY(AD$3,2)*2-1)+IF(AD340="Morning",0,1)),AC340)=0,"","
2. "),
IF(INDEX(final_duration_secondary,((WEEKDAY(AD$3,2)*2-1)+IF(AD340="Morning",0,1)),AC340)=0,"",INDEX(sessions_description_secondary,,INDEX(plan_session_allocation,((WEEKDAY(AD$3,2)*2-1)+IF(AD340="Morning",0,1)),AC340))),IF(INDEX(final_duration_tertiary,((WEEKDAY(AD$3,2)*2-1)+IF(AD340="Morning",0,1)),AC340)=0,"","
3. "),
IF(INDEX(final_duration_tertiary,((WEEKDAY(AD$3,2)*2-1)+IF(AD340="Morning",0,1)),AC340)="","",INDEX(sessions_description_tertiary,,INDEX(plan_session_allocation,((WEEKDAY(AD$3,2)*2-1)+IF(AD340="Morning",0,1)),AC340))),
IF(INDEX(display_nutrition_description,((WEEKDAY(AD$3,2)*2-1)+IF(AD340="Morning",0,1)),AC340)="","",
CONCATENATE("
Meal Plan: ", INDEX(sessions_nutrition,,INDEX(plan_session_allocation,((WEEKDAY(AD$3,2)*2-1)+IF(AD340="Morning",0,1)),AC340)), "
", INDEX(display_nutrition_description,((WEEKDAY(AD$3,2)*2-1)+IF(AD340="Morning",0,1)),AC340)))
)),"")),"")</f>
        <v>Session Description: 
1. Perform a variety of specialised exercises to engage specific muscles and apply them in functional movements. These sessions must be learned with a coach first. Warm up and warm down for 10 minutes each.
2. Stay at a comfortable and controlled intensity where you should be able to have a conversation without large pauses. Keep an even intensity and accept that your pace may change as the terrain changes.</v>
      </c>
      <c r="AD346" s="1914"/>
      <c r="AE346" s="1914"/>
      <c r="AF346" s="1915"/>
      <c r="AH346" s="1913" t="str">
        <f ca="1">IF(AK340&gt;0,CONCATENATE(IFERROR(CONCATENATE(IF(INDEX(display_intervals_breakdown,((WEEKDAY(AI$3,2)*2-1)+IF(AI340="Morning",0,1)),AH340)="","",CONCATENATE("Intervals/Reps Breakdown: 
",INDEX(display_intervals_breakdown,((WEEKDAY(AI$3,2)*2-1)+IF(AI340="Morning",0,1)),AH340),"
")),"Session Description: 
",CONCATENATE(IF(INDEX(final_duration_secondary,((WEEKDAY(AI$3,2)*2-1)+IF(AI340="Morning",0,1)),AH340)=0,"","1. "),
INDEX(sessions_description_primary,,INDEX(plan_session_allocation,((WEEKDAY(AI$3,2)*2-1)+IF(AI340="Morning",0,1)),AH340)),IF(INDEX(final_duration_secondary,((WEEKDAY(AI$3,2)*2-1)+IF(AI340="Morning",0,1)),AH340)=0,"","
2. "),
IF(INDEX(final_duration_secondary,((WEEKDAY(AI$3,2)*2-1)+IF(AI340="Morning",0,1)),AH340)=0,"",INDEX(sessions_description_secondary,,INDEX(plan_session_allocation,((WEEKDAY(AI$3,2)*2-1)+IF(AI340="Morning",0,1)),AH340))),IF(INDEX(final_duration_tertiary,((WEEKDAY(AI$3,2)*2-1)+IF(AI340="Morning",0,1)),AH340)=0,"","
3. "),
IF(INDEX(final_duration_tertiary,((WEEKDAY(AI$3,2)*2-1)+IF(AI340="Morning",0,1)),AH340)="","",INDEX(sessions_description_tertiary,,INDEX(plan_session_allocation,((WEEKDAY(AI$3,2)*2-1)+IF(AI340="Morning",0,1)),AH340))),
IF(INDEX(display_nutrition_description,((WEEKDAY(AI$3,2)*2-1)+IF(AI340="Morning",0,1)),AH340)="","",
CONCATENATE("
Meal Plan: ", INDEX(sessions_nutrition,,INDEX(plan_session_allocation,((WEEKDAY(AI$3,2)*2-1)+IF(AI340="Morning",0,1)),AH340)), "
", INDEX(display_nutrition_description,((WEEKDAY(AI$3,2)*2-1)+IF(AI340="Morning",0,1)),AH340)))
)),"")),"")</f>
        <v xml:space="preserve">Session Description: 
Fundamentally a steady, but you can be less strict at controlling your intensity as long as your average intensity is close to it's target by the end of the session </v>
      </c>
      <c r="AI346" s="1914"/>
      <c r="AJ346" s="1914"/>
      <c r="AK346" s="1915"/>
    </row>
    <row r="347" spans="2:38" s="180" customFormat="1" x14ac:dyDescent="0.45">
      <c r="B347" s="1942"/>
      <c r="C347" s="1945"/>
      <c r="D347" s="1916"/>
      <c r="E347" s="1917"/>
      <c r="F347" s="1917"/>
      <c r="G347" s="1918"/>
      <c r="I347" s="1916"/>
      <c r="J347" s="1917"/>
      <c r="K347" s="1917"/>
      <c r="L347" s="1918"/>
      <c r="N347" s="1916"/>
      <c r="O347" s="1917"/>
      <c r="P347" s="1917"/>
      <c r="Q347" s="1918"/>
      <c r="S347" s="1916"/>
      <c r="T347" s="1917"/>
      <c r="U347" s="1917"/>
      <c r="V347" s="1918"/>
      <c r="X347" s="1916"/>
      <c r="Y347" s="1917"/>
      <c r="Z347" s="1917"/>
      <c r="AA347" s="1918"/>
      <c r="AC347" s="1916"/>
      <c r="AD347" s="1917"/>
      <c r="AE347" s="1917"/>
      <c r="AF347" s="1918"/>
      <c r="AH347" s="1916"/>
      <c r="AI347" s="1917"/>
      <c r="AJ347" s="1917"/>
      <c r="AK347" s="1918"/>
    </row>
    <row r="348" spans="2:38" s="180" customFormat="1" x14ac:dyDescent="0.45">
      <c r="B348" s="1942"/>
      <c r="C348" s="1945"/>
      <c r="D348" s="1916"/>
      <c r="E348" s="1917"/>
      <c r="F348" s="1917"/>
      <c r="G348" s="1918"/>
      <c r="I348" s="1916"/>
      <c r="J348" s="1917"/>
      <c r="K348" s="1917"/>
      <c r="L348" s="1918"/>
      <c r="N348" s="1916"/>
      <c r="O348" s="1917"/>
      <c r="P348" s="1917"/>
      <c r="Q348" s="1918"/>
      <c r="S348" s="1916"/>
      <c r="T348" s="1917"/>
      <c r="U348" s="1917"/>
      <c r="V348" s="1918"/>
      <c r="X348" s="1916"/>
      <c r="Y348" s="1917"/>
      <c r="Z348" s="1917"/>
      <c r="AA348" s="1918"/>
      <c r="AC348" s="1916"/>
      <c r="AD348" s="1917"/>
      <c r="AE348" s="1917"/>
      <c r="AF348" s="1918"/>
      <c r="AH348" s="1916"/>
      <c r="AI348" s="1917"/>
      <c r="AJ348" s="1917"/>
      <c r="AK348" s="1918"/>
    </row>
    <row r="349" spans="2:38" s="180" customFormat="1" x14ac:dyDescent="0.45">
      <c r="B349" s="1942"/>
      <c r="C349" s="1945"/>
      <c r="D349" s="1916"/>
      <c r="E349" s="1917"/>
      <c r="F349" s="1917"/>
      <c r="G349" s="1918"/>
      <c r="I349" s="1916"/>
      <c r="J349" s="1917"/>
      <c r="K349" s="1917"/>
      <c r="L349" s="1918"/>
      <c r="N349" s="1916"/>
      <c r="O349" s="1917"/>
      <c r="P349" s="1917"/>
      <c r="Q349" s="1918"/>
      <c r="S349" s="1916"/>
      <c r="T349" s="1917"/>
      <c r="U349" s="1917"/>
      <c r="V349" s="1918"/>
      <c r="X349" s="1916"/>
      <c r="Y349" s="1917"/>
      <c r="Z349" s="1917"/>
      <c r="AA349" s="1918"/>
      <c r="AC349" s="1916"/>
      <c r="AD349" s="1917"/>
      <c r="AE349" s="1917"/>
      <c r="AF349" s="1918"/>
      <c r="AH349" s="1916"/>
      <c r="AI349" s="1917"/>
      <c r="AJ349" s="1917"/>
      <c r="AK349" s="1918"/>
    </row>
    <row r="350" spans="2:38" s="180" customFormat="1" x14ac:dyDescent="0.45">
      <c r="B350" s="1942"/>
      <c r="C350" s="1945"/>
      <c r="D350" s="1916"/>
      <c r="E350" s="1917"/>
      <c r="F350" s="1917"/>
      <c r="G350" s="1918"/>
      <c r="I350" s="1916"/>
      <c r="J350" s="1917"/>
      <c r="K350" s="1917"/>
      <c r="L350" s="1918"/>
      <c r="N350" s="1916"/>
      <c r="O350" s="1917"/>
      <c r="P350" s="1917"/>
      <c r="Q350" s="1918"/>
      <c r="S350" s="1916"/>
      <c r="T350" s="1917"/>
      <c r="U350" s="1917"/>
      <c r="V350" s="1918"/>
      <c r="X350" s="1916"/>
      <c r="Y350" s="1917"/>
      <c r="Z350" s="1917"/>
      <c r="AA350" s="1918"/>
      <c r="AC350" s="1916"/>
      <c r="AD350" s="1917"/>
      <c r="AE350" s="1917"/>
      <c r="AF350" s="1918"/>
      <c r="AH350" s="1916"/>
      <c r="AI350" s="1917"/>
      <c r="AJ350" s="1917"/>
      <c r="AK350" s="1918"/>
    </row>
    <row r="351" spans="2:38" s="180" customFormat="1" x14ac:dyDescent="0.45">
      <c r="B351" s="1942"/>
      <c r="C351" s="1945"/>
      <c r="D351" s="1916"/>
      <c r="E351" s="1917"/>
      <c r="F351" s="1917"/>
      <c r="G351" s="1918"/>
      <c r="I351" s="1916"/>
      <c r="J351" s="1917"/>
      <c r="K351" s="1917"/>
      <c r="L351" s="1918"/>
      <c r="N351" s="1916"/>
      <c r="O351" s="1917"/>
      <c r="P351" s="1917"/>
      <c r="Q351" s="1918"/>
      <c r="S351" s="1916"/>
      <c r="T351" s="1917"/>
      <c r="U351" s="1917"/>
      <c r="V351" s="1918"/>
      <c r="X351" s="1916"/>
      <c r="Y351" s="1917"/>
      <c r="Z351" s="1917"/>
      <c r="AA351" s="1918"/>
      <c r="AC351" s="1916"/>
      <c r="AD351" s="1917"/>
      <c r="AE351" s="1917"/>
      <c r="AF351" s="1918"/>
      <c r="AH351" s="1916"/>
      <c r="AI351" s="1917"/>
      <c r="AJ351" s="1917"/>
      <c r="AK351" s="1918"/>
    </row>
    <row r="352" spans="2:38" s="180" customFormat="1" x14ac:dyDescent="0.45">
      <c r="B352" s="1942"/>
      <c r="C352" s="1945"/>
      <c r="D352" s="1916"/>
      <c r="E352" s="1917"/>
      <c r="F352" s="1917"/>
      <c r="G352" s="1918"/>
      <c r="I352" s="1916"/>
      <c r="J352" s="1917"/>
      <c r="K352" s="1917"/>
      <c r="L352" s="1918"/>
      <c r="N352" s="1916"/>
      <c r="O352" s="1917"/>
      <c r="P352" s="1917"/>
      <c r="Q352" s="1918"/>
      <c r="S352" s="1916"/>
      <c r="T352" s="1917"/>
      <c r="U352" s="1917"/>
      <c r="V352" s="1918"/>
      <c r="X352" s="1916"/>
      <c r="Y352" s="1917"/>
      <c r="Z352" s="1917"/>
      <c r="AA352" s="1918"/>
      <c r="AC352" s="1916"/>
      <c r="AD352" s="1917"/>
      <c r="AE352" s="1917"/>
      <c r="AF352" s="1918"/>
      <c r="AH352" s="1916"/>
      <c r="AI352" s="1917"/>
      <c r="AJ352" s="1917"/>
      <c r="AK352" s="1918"/>
    </row>
    <row r="353" spans="2:38" s="180" customFormat="1" ht="15.75" customHeight="1" x14ac:dyDescent="0.45">
      <c r="B353" s="1942"/>
      <c r="C353" s="1945"/>
      <c r="D353" s="1916"/>
      <c r="E353" s="1917"/>
      <c r="F353" s="1917"/>
      <c r="G353" s="1918"/>
      <c r="I353" s="1916"/>
      <c r="J353" s="1917"/>
      <c r="K353" s="1917"/>
      <c r="L353" s="1918"/>
      <c r="N353" s="1916"/>
      <c r="O353" s="1917"/>
      <c r="P353" s="1917"/>
      <c r="Q353" s="1918"/>
      <c r="S353" s="1916"/>
      <c r="T353" s="1917"/>
      <c r="U353" s="1917"/>
      <c r="V353" s="1918"/>
      <c r="X353" s="1916"/>
      <c r="Y353" s="1917"/>
      <c r="Z353" s="1917"/>
      <c r="AA353" s="1918"/>
      <c r="AC353" s="1916"/>
      <c r="AD353" s="1917"/>
      <c r="AE353" s="1917"/>
      <c r="AF353" s="1918"/>
      <c r="AH353" s="1916"/>
      <c r="AI353" s="1917"/>
      <c r="AJ353" s="1917"/>
      <c r="AK353" s="1918"/>
    </row>
    <row r="354" spans="2:38" s="180" customFormat="1" x14ac:dyDescent="0.45">
      <c r="B354" s="1942"/>
      <c r="C354" s="1945"/>
      <c r="D354" s="1916"/>
      <c r="E354" s="1917"/>
      <c r="F354" s="1917"/>
      <c r="G354" s="1918"/>
      <c r="I354" s="1916"/>
      <c r="J354" s="1917"/>
      <c r="K354" s="1917"/>
      <c r="L354" s="1918"/>
      <c r="N354" s="1916"/>
      <c r="O354" s="1917"/>
      <c r="P354" s="1917"/>
      <c r="Q354" s="1918"/>
      <c r="S354" s="1916"/>
      <c r="T354" s="1917"/>
      <c r="U354" s="1917"/>
      <c r="V354" s="1918"/>
      <c r="X354" s="1916"/>
      <c r="Y354" s="1917"/>
      <c r="Z354" s="1917"/>
      <c r="AA354" s="1918"/>
      <c r="AC354" s="1916"/>
      <c r="AD354" s="1917"/>
      <c r="AE354" s="1917"/>
      <c r="AF354" s="1918"/>
      <c r="AH354" s="1916"/>
      <c r="AI354" s="1917"/>
      <c r="AJ354" s="1917"/>
      <c r="AK354" s="1918"/>
    </row>
    <row r="355" spans="2:38" s="180" customFormat="1" x14ac:dyDescent="0.45">
      <c r="B355" s="1942"/>
      <c r="C355" s="1945"/>
      <c r="D355" s="1916"/>
      <c r="E355" s="1917"/>
      <c r="F355" s="1917"/>
      <c r="G355" s="1918"/>
      <c r="I355" s="1916"/>
      <c r="J355" s="1917"/>
      <c r="K355" s="1917"/>
      <c r="L355" s="1918"/>
      <c r="N355" s="1916"/>
      <c r="O355" s="1917"/>
      <c r="P355" s="1917"/>
      <c r="Q355" s="1918"/>
      <c r="S355" s="1916"/>
      <c r="T355" s="1917"/>
      <c r="U355" s="1917"/>
      <c r="V355" s="1918"/>
      <c r="X355" s="1916"/>
      <c r="Y355" s="1917"/>
      <c r="Z355" s="1917"/>
      <c r="AA355" s="1918"/>
      <c r="AC355" s="1916"/>
      <c r="AD355" s="1917"/>
      <c r="AE355" s="1917"/>
      <c r="AF355" s="1918"/>
      <c r="AH355" s="1916"/>
      <c r="AI355" s="1917"/>
      <c r="AJ355" s="1917"/>
      <c r="AK355" s="1918"/>
    </row>
    <row r="356" spans="2:38" s="180" customFormat="1" x14ac:dyDescent="0.45">
      <c r="B356" s="1942"/>
      <c r="C356" s="1945"/>
      <c r="D356" s="1916"/>
      <c r="E356" s="1917"/>
      <c r="F356" s="1917"/>
      <c r="G356" s="1918"/>
      <c r="I356" s="1916"/>
      <c r="J356" s="1917"/>
      <c r="K356" s="1917"/>
      <c r="L356" s="1918"/>
      <c r="N356" s="1916"/>
      <c r="O356" s="1917"/>
      <c r="P356" s="1917"/>
      <c r="Q356" s="1918"/>
      <c r="S356" s="1916"/>
      <c r="T356" s="1917"/>
      <c r="U356" s="1917"/>
      <c r="V356" s="1918"/>
      <c r="X356" s="1916"/>
      <c r="Y356" s="1917"/>
      <c r="Z356" s="1917"/>
      <c r="AA356" s="1918"/>
      <c r="AC356" s="1916"/>
      <c r="AD356" s="1917"/>
      <c r="AE356" s="1917"/>
      <c r="AF356" s="1918"/>
      <c r="AH356" s="1916"/>
      <c r="AI356" s="1917"/>
      <c r="AJ356" s="1917"/>
      <c r="AK356" s="1918"/>
    </row>
    <row r="357" spans="2:38" s="180" customFormat="1" x14ac:dyDescent="0.45">
      <c r="B357" s="1942"/>
      <c r="C357" s="1945"/>
      <c r="D357" s="1916"/>
      <c r="E357" s="1917"/>
      <c r="F357" s="1917"/>
      <c r="G357" s="1918"/>
      <c r="I357" s="1916"/>
      <c r="J357" s="1917"/>
      <c r="K357" s="1917"/>
      <c r="L357" s="1918"/>
      <c r="N357" s="1916"/>
      <c r="O357" s="1917"/>
      <c r="P357" s="1917"/>
      <c r="Q357" s="1918"/>
      <c r="S357" s="1916"/>
      <c r="T357" s="1917"/>
      <c r="U357" s="1917"/>
      <c r="V357" s="1918"/>
      <c r="X357" s="1916"/>
      <c r="Y357" s="1917"/>
      <c r="Z357" s="1917"/>
      <c r="AA357" s="1918"/>
      <c r="AC357" s="1916"/>
      <c r="AD357" s="1917"/>
      <c r="AE357" s="1917"/>
      <c r="AF357" s="1918"/>
      <c r="AH357" s="1916"/>
      <c r="AI357" s="1917"/>
      <c r="AJ357" s="1917"/>
      <c r="AK357" s="1918"/>
    </row>
    <row r="358" spans="2:38" s="180" customFormat="1" x14ac:dyDescent="0.45">
      <c r="B358" s="1942"/>
      <c r="C358" s="1945"/>
      <c r="D358" s="1916"/>
      <c r="E358" s="1917"/>
      <c r="F358" s="1917"/>
      <c r="G358" s="1918"/>
      <c r="I358" s="1916"/>
      <c r="J358" s="1917"/>
      <c r="K358" s="1917"/>
      <c r="L358" s="1918"/>
      <c r="N358" s="1916"/>
      <c r="O358" s="1917"/>
      <c r="P358" s="1917"/>
      <c r="Q358" s="1918"/>
      <c r="S358" s="1916"/>
      <c r="T358" s="1917"/>
      <c r="U358" s="1917"/>
      <c r="V358" s="1918"/>
      <c r="X358" s="1916"/>
      <c r="Y358" s="1917"/>
      <c r="Z358" s="1917"/>
      <c r="AA358" s="1918"/>
      <c r="AC358" s="1916"/>
      <c r="AD358" s="1917"/>
      <c r="AE358" s="1917"/>
      <c r="AF358" s="1918"/>
      <c r="AH358" s="1916"/>
      <c r="AI358" s="1917"/>
      <c r="AJ358" s="1917"/>
      <c r="AK358" s="1918"/>
    </row>
    <row r="359" spans="2:38" s="180" customFormat="1" x14ac:dyDescent="0.45">
      <c r="B359" s="1942"/>
      <c r="C359" s="1945"/>
      <c r="D359" s="1919"/>
      <c r="E359" s="1920"/>
      <c r="F359" s="1920"/>
      <c r="G359" s="1921"/>
      <c r="I359" s="1919"/>
      <c r="J359" s="1920"/>
      <c r="K359" s="1920"/>
      <c r="L359" s="1921"/>
      <c r="N359" s="1919"/>
      <c r="O359" s="1920"/>
      <c r="P359" s="1920"/>
      <c r="Q359" s="1921"/>
      <c r="S359" s="1919"/>
      <c r="T359" s="1920"/>
      <c r="U359" s="1920"/>
      <c r="V359" s="1921"/>
      <c r="X359" s="1919"/>
      <c r="Y359" s="1920"/>
      <c r="Z359" s="1920"/>
      <c r="AA359" s="1921"/>
      <c r="AC359" s="1919"/>
      <c r="AD359" s="1920"/>
      <c r="AE359" s="1920"/>
      <c r="AF359" s="1921"/>
      <c r="AH359" s="1919"/>
      <c r="AI359" s="1920"/>
      <c r="AJ359" s="1920"/>
      <c r="AK359" s="1921"/>
    </row>
    <row r="360" spans="2:38" s="180" customFormat="1" ht="15" customHeight="1" x14ac:dyDescent="0.45">
      <c r="B360" s="1942"/>
      <c r="C360" s="1945"/>
      <c r="D360" s="1913" t="str">
        <f ca="1">IF(G340&gt;0,CONCATENATE("Session Aim: 
", CONCATENATE(IF(INDEX(final_duration_secondary,((WEEKDAY(E$3,2)*2-1)+IF(E340="Morning",0,1)),D340)=0, "", "1. "),
INDEX(sessions_aim_primary,, INDEX(plan_session_allocation,((WEEKDAY(E$3,2)*2-1)+IF(E340="Morning",0,1)),D340)), IF(INDEX(final_duration_secondary,((WEEKDAY(E$3,2)*2-1)+IF(E340="Morning",0,1)),D340)=0, "", "
2. "),
IF(INDEX(final_duration_secondary,((WEEKDAY(E$3,2)*2-1)+IF(E340="Morning",0,1)),D340)=0, "", INDEX(sessions_aim_secondary,, INDEX(plan_session_allocation,((WEEKDAY(E$3,2)*2-1)+IF(E340="Morning",0,1)),D340))), IF(INDEX(final_duration_tertiary,((WEEKDAY(E$3,2)*2-1)+IF(E340="Morning",0,1)),D340)=0, "", "
3. "),
IF(INDEX(final_duration_tertiary,((WEEKDAY(E$3,2)*2-1)+IF(E340="Morning",0,1)),D340)=0, "", INDEX(sessions_aim_tertiary,, INDEX(plan_session_allocation,((WEEKDAY(E$3,2)*2-1)+IF(E340="Morning",0,1)),D340))),
IF(INDEX(display_nutrition_description,((WEEKDAY(E$3,2)*2-1)+IF(E340="Morning",0,1)),D340)="","",
CONCATENATE("
Nutrition Aim:
", INDEX(sessions_aim_nutrition,,INDEX(plan_session_allocation,((WEEKDAY(E$3,2)*2-1)+IF(E340="Morning",0,1)),D340))
))
)),"")</f>
        <v xml:space="preserve">Session Aim: 
Improve aerobic fitness while minimising the chance of injury. </v>
      </c>
      <c r="E360" s="1914"/>
      <c r="F360" s="1914"/>
      <c r="G360" s="1915"/>
      <c r="I360" s="1913" t="str">
        <f ca="1">IF(L340&gt;0,CONCATENATE("Session Aim: 
", CONCATENATE(IF(INDEX(final_duration_secondary,((WEEKDAY(J$3,2)*2-1)+IF(J340="Morning",0,1)),I340)=0, "", "1. "),
INDEX(sessions_aim_primary,, INDEX(plan_session_allocation,((WEEKDAY(J$3,2)*2-1)+IF(J340="Morning",0,1)),I340)), IF(INDEX(final_duration_secondary,((WEEKDAY(J$3,2)*2-1)+IF(J340="Morning",0,1)),I340)=0, "", "
2. "),
IF(INDEX(final_duration_secondary,((WEEKDAY(J$3,2)*2-1)+IF(J340="Morning",0,1)),I340)=0, "", INDEX(sessions_aim_secondary,, INDEX(plan_session_allocation,((WEEKDAY(J$3,2)*2-1)+IF(J340="Morning",0,1)),I340))), IF(INDEX(final_duration_tertiary,((WEEKDAY(J$3,2)*2-1)+IF(J340="Morning",0,1)),I340)=0, "", "
3. "),
IF(INDEX(final_duration_tertiary,((WEEKDAY(J$3,2)*2-1)+IF(J340="Morning",0,1)),I340)=0, "", INDEX(sessions_aim_tertiary,, INDEX(plan_session_allocation,((WEEKDAY(J$3,2)*2-1)+IF(J340="Morning",0,1)),I340))),
IF(INDEX(display_nutrition_description,((WEEKDAY(J$3,2)*2-1)+IF(J340="Morning",0,1)),I340)="","",
CONCATENATE("
Nutrition Aim:
", INDEX(sessions_aim_nutrition,,INDEX(plan_session_allocation,((WEEKDAY(J$3,2)*2-1)+IF(J340="Morning",0,1)),I340))
))
)),"")</f>
        <v xml:space="preserve">Session Aim: 
Improve aerobic fitness while minimising the chance of injury. </v>
      </c>
      <c r="J360" s="1914"/>
      <c r="K360" s="1914"/>
      <c r="L360" s="1915"/>
      <c r="N360" s="1913" t="str">
        <f ca="1">IF(Q340&gt;0,CONCATENATE("Session Aim: 
", CONCATENATE(IF(INDEX(final_duration_secondary,((WEEKDAY(O$3,2)*2-1)+IF(O340="Morning",0,1)),N340)=0, "", "1. "),
INDEX(sessions_aim_primary,, INDEX(plan_session_allocation,((WEEKDAY(O$3,2)*2-1)+IF(O340="Morning",0,1)),N340)), IF(INDEX(final_duration_secondary,((WEEKDAY(O$3,2)*2-1)+IF(O340="Morning",0,1)),N340)=0, "", "
2. "),
IF(INDEX(final_duration_secondary,((WEEKDAY(O$3,2)*2-1)+IF(O340="Morning",0,1)),N340)=0, "", INDEX(sessions_aim_secondary,, INDEX(plan_session_allocation,((WEEKDAY(O$3,2)*2-1)+IF(O340="Morning",0,1)),N340))), IF(INDEX(final_duration_tertiary,((WEEKDAY(O$3,2)*2-1)+IF(O340="Morning",0,1)),N340)=0, "", "
3. "),
IF(INDEX(final_duration_tertiary,((WEEKDAY(O$3,2)*2-1)+IF(O340="Morning",0,1)),N340)=0, "", INDEX(sessions_aim_tertiary,, INDEX(plan_session_allocation,((WEEKDAY(O$3,2)*2-1)+IF(O340="Morning",0,1)),N340))),
IF(INDEX(display_nutrition_description,((WEEKDAY(O$3,2)*2-1)+IF(O340="Morning",0,1)),N340)="","",
CONCATENATE("
Nutrition Aim:
", INDEX(sessions_aim_nutrition,,INDEX(plan_session_allocation,((WEEKDAY(O$3,2)*2-1)+IF(O340="Morning",0,1)),N340))
))
)),"")</f>
        <v/>
      </c>
      <c r="O360" s="1914"/>
      <c r="P360" s="1914"/>
      <c r="Q360" s="1915"/>
      <c r="S360" s="1913" t="str">
        <f ca="1">IF(V340&gt;0,CONCATENATE("Session Aim: 
", CONCATENATE(IF(INDEX(final_duration_secondary,((WEEKDAY(T$3,2)*2-1)+IF(T340="Morning",0,1)),S340)=0, "", "1. "),
INDEX(sessions_aim_primary,, INDEX(plan_session_allocation,((WEEKDAY(T$3,2)*2-1)+IF(T340="Morning",0,1)),S340)), IF(INDEX(final_duration_secondary,((WEEKDAY(T$3,2)*2-1)+IF(T340="Morning",0,1)),S340)=0, "", "
2. "),
IF(INDEX(final_duration_secondary,((WEEKDAY(T$3,2)*2-1)+IF(T340="Morning",0,1)),S340)=0, "", INDEX(sessions_aim_secondary,, INDEX(plan_session_allocation,((WEEKDAY(T$3,2)*2-1)+IF(T340="Morning",0,1)),S340))), IF(INDEX(final_duration_tertiary,((WEEKDAY(T$3,2)*2-1)+IF(T340="Morning",0,1)),S340)=0, "", "
3. "),
IF(INDEX(final_duration_tertiary,((WEEKDAY(T$3,2)*2-1)+IF(T340="Morning",0,1)),S340)=0, "", INDEX(sessions_aim_tertiary,, INDEX(plan_session_allocation,((WEEKDAY(T$3,2)*2-1)+IF(T340="Morning",0,1)),S340))),
IF(INDEX(display_nutrition_description,((WEEKDAY(T$3,2)*2-1)+IF(T340="Morning",0,1)),S340)="","",
CONCATENATE("
Nutrition Aim:
", INDEX(sessions_aim_nutrition,,INDEX(plan_session_allocation,((WEEKDAY(T$3,2)*2-1)+IF(T340="Morning",0,1)),S340))
))
)),"")</f>
        <v/>
      </c>
      <c r="T360" s="1914"/>
      <c r="U360" s="1914"/>
      <c r="V360" s="1915"/>
      <c r="X360" s="1913" t="str">
        <f ca="1">IF(AA340&gt;0,CONCATENATE("Session Aim: 
", CONCATENATE(IF(INDEX(final_duration_secondary,((WEEKDAY(Y$3,2)*2-1)+IF(Y340="Morning",0,1)),X340)=0, "", "1. "),
INDEX(sessions_aim_primary,, INDEX(plan_session_allocation,((WEEKDAY(Y$3,2)*2-1)+IF(Y340="Morning",0,1)),X340)), IF(INDEX(final_duration_secondary,((WEEKDAY(Y$3,2)*2-1)+IF(Y340="Morning",0,1)),X340)=0, "", "
2. "),
IF(INDEX(final_duration_secondary,((WEEKDAY(Y$3,2)*2-1)+IF(Y340="Morning",0,1)),X340)=0, "", INDEX(sessions_aim_secondary,, INDEX(plan_session_allocation,((WEEKDAY(Y$3,2)*2-1)+IF(Y340="Morning",0,1)),X340))), IF(INDEX(final_duration_tertiary,((WEEKDAY(Y$3,2)*2-1)+IF(Y340="Morning",0,1)),X340)=0, "", "
3. "),
IF(INDEX(final_duration_tertiary,((WEEKDAY(Y$3,2)*2-1)+IF(Y340="Morning",0,1)),X340)=0, "", INDEX(sessions_aim_tertiary,, INDEX(plan_session_allocation,((WEEKDAY(Y$3,2)*2-1)+IF(Y340="Morning",0,1)),X340))),
IF(INDEX(display_nutrition_description,((WEEKDAY(Y$3,2)*2-1)+IF(Y340="Morning",0,1)),X340)="","",
CONCATENATE("
Nutrition Aim:
", INDEX(sessions_aim_nutrition,,INDEX(plan_session_allocation,((WEEKDAY(Y$3,2)*2-1)+IF(Y340="Morning",0,1)),X340))
))
)),"")</f>
        <v xml:space="preserve">Session Aim: 
Improve aerobic fitness while minimising the chance of injury. </v>
      </c>
      <c r="Y360" s="1914"/>
      <c r="Z360" s="1914"/>
      <c r="AA360" s="1915"/>
      <c r="AC360" s="1913" t="str">
        <f ca="1">IF(AF340&gt;0,CONCATENATE("Session Aim: 
", CONCATENATE(IF(INDEX(final_duration_secondary,((WEEKDAY(AD$3,2)*2-1)+IF(AD340="Morning",0,1)),AC340)=0, "", "1. "),
INDEX(sessions_aim_primary,, INDEX(plan_session_allocation,((WEEKDAY(AD$3,2)*2-1)+IF(AD340="Morning",0,1)),AC340)), IF(INDEX(final_duration_secondary,((WEEKDAY(AD$3,2)*2-1)+IF(AD340="Morning",0,1)),AC340)=0, "", "
2. "),
IF(INDEX(final_duration_secondary,((WEEKDAY(AD$3,2)*2-1)+IF(AD340="Morning",0,1)),AC340)=0, "", INDEX(sessions_aim_secondary,, INDEX(plan_session_allocation,((WEEKDAY(AD$3,2)*2-1)+IF(AD340="Morning",0,1)),AC340))), IF(INDEX(final_duration_tertiary,((WEEKDAY(AD$3,2)*2-1)+IF(AD340="Morning",0,1)),AC340)=0, "", "
3. "),
IF(INDEX(final_duration_tertiary,((WEEKDAY(AD$3,2)*2-1)+IF(AD340="Morning",0,1)),AC340)=0, "", INDEX(sessions_aim_tertiary,, INDEX(plan_session_allocation,((WEEKDAY(AD$3,2)*2-1)+IF(AD340="Morning",0,1)),AC340))),
IF(INDEX(display_nutrition_description,((WEEKDAY(AD$3,2)*2-1)+IF(AD340="Morning",0,1)),AC340)="","",
CONCATENATE("
Nutrition Aim:
", INDEX(sessions_aim_nutrition,,INDEX(plan_session_allocation,((WEEKDAY(AD$3,2)*2-1)+IF(AD340="Morning",0,1)),AC340))
))
)),"")</f>
        <v xml:space="preserve">Session Aim: 
1. Improve running economy and injury resistance. 
2. Improve aerobic fitness while minimising the chance of injury. </v>
      </c>
      <c r="AD360" s="1914"/>
      <c r="AE360" s="1914"/>
      <c r="AF360" s="1915"/>
      <c r="AH360" s="1913" t="str">
        <f ca="1">IF(AK340&gt;0,CONCATENATE("Session Aim: 
", CONCATENATE(IF(INDEX(final_duration_secondary,((WEEKDAY(AI$3,2)*2-1)+IF(AI340="Morning",0,1)),AH340)=0, "", "1. "),
INDEX(sessions_aim_primary,, INDEX(plan_session_allocation,((WEEKDAY(AI$3,2)*2-1)+IF(AI340="Morning",0,1)),AH340)), IF(INDEX(final_duration_secondary,((WEEKDAY(AI$3,2)*2-1)+IF(AI340="Morning",0,1)),AH340)=0, "", "
2. "),
IF(INDEX(final_duration_secondary,((WEEKDAY(AI$3,2)*2-1)+IF(AI340="Morning",0,1)),AH340)=0, "", INDEX(sessions_aim_secondary,, INDEX(plan_session_allocation,((WEEKDAY(AI$3,2)*2-1)+IF(AI340="Morning",0,1)),AH340))), IF(INDEX(final_duration_tertiary,((WEEKDAY(AI$3,2)*2-1)+IF(AI340="Morning",0,1)),AH340)=0, "", "
3. "),
IF(INDEX(final_duration_tertiary,((WEEKDAY(AI$3,2)*2-1)+IF(AI340="Morning",0,1)),AH340)=0, "", INDEX(sessions_aim_tertiary,, INDEX(plan_session_allocation,((WEEKDAY(AI$3,2)*2-1)+IF(AI340="Morning",0,1)),AH340))),
IF(INDEX(display_nutrition_description,((WEEKDAY(AI$3,2)*2-1)+IF(AI340="Morning",0,1)),AH340)="","",
CONCATENATE("
Nutrition Aim:
", INDEX(sessions_aim_nutrition,,INDEX(plan_session_allocation,((WEEKDAY(AI$3,2)*2-1)+IF(AI340="Morning",0,1)),AH340))
))
)),"")</f>
        <v xml:space="preserve">Session Aim: 
Improve aerobic fitness and energy utilisation. </v>
      </c>
      <c r="AI360" s="1914"/>
      <c r="AJ360" s="1914"/>
      <c r="AK360" s="1915"/>
    </row>
    <row r="361" spans="2:38" s="180" customFormat="1" x14ac:dyDescent="0.45">
      <c r="B361" s="1942"/>
      <c r="C361" s="1945"/>
      <c r="D361" s="1916"/>
      <c r="E361" s="1917"/>
      <c r="F361" s="1917"/>
      <c r="G361" s="1918"/>
      <c r="I361" s="1916"/>
      <c r="J361" s="1917"/>
      <c r="K361" s="1917"/>
      <c r="L361" s="1918"/>
      <c r="N361" s="1916"/>
      <c r="O361" s="1917"/>
      <c r="P361" s="1917"/>
      <c r="Q361" s="1918"/>
      <c r="S361" s="1916"/>
      <c r="T361" s="1917"/>
      <c r="U361" s="1917"/>
      <c r="V361" s="1918"/>
      <c r="X361" s="1916"/>
      <c r="Y361" s="1917"/>
      <c r="Z361" s="1917"/>
      <c r="AA361" s="1918"/>
      <c r="AC361" s="1916"/>
      <c r="AD361" s="1917"/>
      <c r="AE361" s="1917"/>
      <c r="AF361" s="1918"/>
      <c r="AH361" s="1916"/>
      <c r="AI361" s="1917"/>
      <c r="AJ361" s="1917"/>
      <c r="AK361" s="1918"/>
    </row>
    <row r="362" spans="2:38" s="180" customFormat="1" x14ac:dyDescent="0.45">
      <c r="B362" s="1942"/>
      <c r="C362" s="1945"/>
      <c r="D362" s="1916"/>
      <c r="E362" s="1917"/>
      <c r="F362" s="1917"/>
      <c r="G362" s="1918"/>
      <c r="I362" s="1916"/>
      <c r="J362" s="1917"/>
      <c r="K362" s="1917"/>
      <c r="L362" s="1918"/>
      <c r="N362" s="1916"/>
      <c r="O362" s="1917"/>
      <c r="P362" s="1917"/>
      <c r="Q362" s="1918"/>
      <c r="S362" s="1916"/>
      <c r="T362" s="1917"/>
      <c r="U362" s="1917"/>
      <c r="V362" s="1918"/>
      <c r="X362" s="1916"/>
      <c r="Y362" s="1917"/>
      <c r="Z362" s="1917"/>
      <c r="AA362" s="1918"/>
      <c r="AC362" s="1916"/>
      <c r="AD362" s="1917"/>
      <c r="AE362" s="1917"/>
      <c r="AF362" s="1918"/>
      <c r="AH362" s="1916"/>
      <c r="AI362" s="1917"/>
      <c r="AJ362" s="1917"/>
      <c r="AK362" s="1918"/>
    </row>
    <row r="363" spans="2:38" s="180" customFormat="1" x14ac:dyDescent="0.45">
      <c r="B363" s="1942"/>
      <c r="C363" s="1945"/>
      <c r="D363" s="1916"/>
      <c r="E363" s="1917"/>
      <c r="F363" s="1917"/>
      <c r="G363" s="1918"/>
      <c r="I363" s="1916"/>
      <c r="J363" s="1917"/>
      <c r="K363" s="1917"/>
      <c r="L363" s="1918"/>
      <c r="N363" s="1916"/>
      <c r="O363" s="1917"/>
      <c r="P363" s="1917"/>
      <c r="Q363" s="1918"/>
      <c r="S363" s="1916"/>
      <c r="T363" s="1917"/>
      <c r="U363" s="1917"/>
      <c r="V363" s="1918"/>
      <c r="X363" s="1916"/>
      <c r="Y363" s="1917"/>
      <c r="Z363" s="1917"/>
      <c r="AA363" s="1918"/>
      <c r="AC363" s="1916"/>
      <c r="AD363" s="1917"/>
      <c r="AE363" s="1917"/>
      <c r="AF363" s="1918"/>
      <c r="AH363" s="1916"/>
      <c r="AI363" s="1917"/>
      <c r="AJ363" s="1917"/>
      <c r="AK363" s="1918"/>
    </row>
    <row r="364" spans="2:38" s="180" customFormat="1" x14ac:dyDescent="0.45">
      <c r="B364" s="1942"/>
      <c r="C364" s="1945"/>
      <c r="D364" s="1916"/>
      <c r="E364" s="1917"/>
      <c r="F364" s="1917"/>
      <c r="G364" s="1918"/>
      <c r="I364" s="1916"/>
      <c r="J364" s="1917"/>
      <c r="K364" s="1917"/>
      <c r="L364" s="1918"/>
      <c r="N364" s="1916"/>
      <c r="O364" s="1917"/>
      <c r="P364" s="1917"/>
      <c r="Q364" s="1918"/>
      <c r="S364" s="1916"/>
      <c r="T364" s="1917"/>
      <c r="U364" s="1917"/>
      <c r="V364" s="1918"/>
      <c r="X364" s="1916"/>
      <c r="Y364" s="1917"/>
      <c r="Z364" s="1917"/>
      <c r="AA364" s="1918"/>
      <c r="AC364" s="1916"/>
      <c r="AD364" s="1917"/>
      <c r="AE364" s="1917"/>
      <c r="AF364" s="1918"/>
      <c r="AH364" s="1916"/>
      <c r="AI364" s="1917"/>
      <c r="AJ364" s="1917"/>
      <c r="AK364" s="1918"/>
    </row>
    <row r="365" spans="2:38" s="180" customFormat="1" x14ac:dyDescent="0.45">
      <c r="B365" s="1942"/>
      <c r="C365" s="1945"/>
      <c r="D365" s="1916"/>
      <c r="E365" s="1917"/>
      <c r="F365" s="1917"/>
      <c r="G365" s="1918"/>
      <c r="I365" s="1916"/>
      <c r="J365" s="1917"/>
      <c r="K365" s="1917"/>
      <c r="L365" s="1918"/>
      <c r="N365" s="1916"/>
      <c r="O365" s="1917"/>
      <c r="P365" s="1917"/>
      <c r="Q365" s="1918"/>
      <c r="S365" s="1916"/>
      <c r="T365" s="1917"/>
      <c r="U365" s="1917"/>
      <c r="V365" s="1918"/>
      <c r="X365" s="1916"/>
      <c r="Y365" s="1917"/>
      <c r="Z365" s="1917"/>
      <c r="AA365" s="1918"/>
      <c r="AC365" s="1916"/>
      <c r="AD365" s="1917"/>
      <c r="AE365" s="1917"/>
      <c r="AF365" s="1918"/>
      <c r="AH365" s="1916"/>
      <c r="AI365" s="1917"/>
      <c r="AJ365" s="1917"/>
      <c r="AK365" s="1918"/>
    </row>
    <row r="366" spans="2:38" s="180" customFormat="1" ht="14.65" thickBot="1" x14ac:dyDescent="0.5">
      <c r="B366" s="1942"/>
      <c r="C366" s="1945"/>
      <c r="D366" s="1938"/>
      <c r="E366" s="1939"/>
      <c r="F366" s="1939"/>
      <c r="G366" s="1940"/>
      <c r="I366" s="1938"/>
      <c r="J366" s="1939"/>
      <c r="K366" s="1939"/>
      <c r="L366" s="1940"/>
      <c r="N366" s="1938"/>
      <c r="O366" s="1939"/>
      <c r="P366" s="1939"/>
      <c r="Q366" s="1940"/>
      <c r="S366" s="1938"/>
      <c r="T366" s="1939"/>
      <c r="U366" s="1939"/>
      <c r="V366" s="1940"/>
      <c r="X366" s="1938"/>
      <c r="Y366" s="1939"/>
      <c r="Z366" s="1939"/>
      <c r="AA366" s="1940"/>
      <c r="AC366" s="1938"/>
      <c r="AD366" s="1939"/>
      <c r="AE366" s="1939"/>
      <c r="AF366" s="1940"/>
      <c r="AH366" s="1938"/>
      <c r="AI366" s="1939"/>
      <c r="AJ366" s="1939"/>
      <c r="AK366" s="1940"/>
    </row>
    <row r="367" spans="2:38" s="176" customFormat="1" ht="15.75" customHeight="1" x14ac:dyDescent="0.45">
      <c r="B367" s="1942"/>
      <c r="C367" s="1945"/>
      <c r="D367" s="1415">
        <f>$B339</f>
        <v>7</v>
      </c>
      <c r="E367" s="1930" t="s">
        <v>352</v>
      </c>
      <c r="F367" s="1930"/>
      <c r="G367" s="1414">
        <f ca="1">INDEX(final_duration_session,((WEEKDAY(E$3,2)*2-1)+IF(E367="Morning",0,1)),$D367)</f>
        <v>60</v>
      </c>
      <c r="H367" s="177"/>
      <c r="I367" s="1415">
        <f>$B339</f>
        <v>7</v>
      </c>
      <c r="J367" s="1930" t="s">
        <v>352</v>
      </c>
      <c r="K367" s="1930"/>
      <c r="L367" s="1414">
        <f ca="1">INDEX(final_duration_session,((WEEKDAY(J$3,2)*2-1)+IF(J367="Morning",0,1)),$D367)</f>
        <v>55</v>
      </c>
      <c r="M367" s="177"/>
      <c r="N367" s="1415">
        <f>$B339</f>
        <v>7</v>
      </c>
      <c r="O367" s="1930" t="s">
        <v>352</v>
      </c>
      <c r="P367" s="1930"/>
      <c r="Q367" s="1414">
        <f ca="1">INDEX(final_duration_session,((WEEKDAY(O$3,2)*2-1)+IF(O367="Morning",0,1)),$D367)</f>
        <v>60</v>
      </c>
      <c r="R367" s="177"/>
      <c r="S367" s="1415">
        <f>$B339</f>
        <v>7</v>
      </c>
      <c r="T367" s="1930" t="s">
        <v>352</v>
      </c>
      <c r="U367" s="1930"/>
      <c r="V367" s="1414">
        <f ca="1">INDEX(final_duration_session,((WEEKDAY(T$3,2)*2-1)+IF(T367="Morning",0,1)),$D367)</f>
        <v>80</v>
      </c>
      <c r="W367" s="177"/>
      <c r="X367" s="1415">
        <f>$B339</f>
        <v>7</v>
      </c>
      <c r="Y367" s="1930" t="s">
        <v>352</v>
      </c>
      <c r="Z367" s="1930"/>
      <c r="AA367" s="1414">
        <f ca="1">INDEX(final_duration_session,((WEEKDAY(Y$3,2)*2-1)+IF(Y367="Morning",0,1)),$D367)</f>
        <v>60</v>
      </c>
      <c r="AB367" s="177"/>
      <c r="AC367" s="1415">
        <f>$B339</f>
        <v>7</v>
      </c>
      <c r="AD367" s="1930" t="s">
        <v>352</v>
      </c>
      <c r="AE367" s="1930"/>
      <c r="AF367" s="1414">
        <f ca="1">INDEX(final_duration_session,((WEEKDAY(AD$3,2)*2-1)+IF(AD367="Morning",0,1)),$D367)</f>
        <v>50</v>
      </c>
      <c r="AG367" s="177"/>
      <c r="AH367" s="1415">
        <f>$B339</f>
        <v>7</v>
      </c>
      <c r="AI367" s="1930" t="s">
        <v>352</v>
      </c>
      <c r="AJ367" s="1930"/>
      <c r="AK367" s="1414">
        <f ca="1">INDEX(final_duration_session,((WEEKDAY(AI$3,2)*2-1)+IF(AI367="Morning",0,1)),$D367)</f>
        <v>0</v>
      </c>
      <c r="AL367" s="177"/>
    </row>
    <row r="368" spans="2:38" s="176" customFormat="1" ht="15" customHeight="1" x14ac:dyDescent="0.45">
      <c r="B368" s="1942"/>
      <c r="C368" s="1945"/>
      <c r="D368" s="1931" t="str">
        <f ca="1">IF(G367&gt;0,INDEX(sessions_name,INDEX(plan_session_allocation,((WEEKDAY(E$3,2)*2-1)+IF(E367="Morning",0,1)),D367)),"")</f>
        <v>Strength and Maintenance</v>
      </c>
      <c r="E368" s="1932"/>
      <c r="F368" s="1932"/>
      <c r="G368" s="1933"/>
      <c r="H368" s="177"/>
      <c r="I368" s="1931" t="str">
        <f ca="1">IF(L367&gt;0,INDEX(sessions_name,INDEX(plan_session_allocation,((WEEKDAY(J$3,2)*2-1)+IF(J367="Morning",0,1)),I367)),"")</f>
        <v>Hill Tempo</v>
      </c>
      <c r="J368" s="1932"/>
      <c r="K368" s="1932"/>
      <c r="L368" s="1933"/>
      <c r="M368" s="177"/>
      <c r="N368" s="1931" t="str">
        <f ca="1">IF(Q367&gt;0,INDEX(sessions_name,INDEX(plan_session_allocation,((WEEKDAY(O$3,2)*2-1)+IF(O367="Morning",0,1)),N367)),"")</f>
        <v xml:space="preserve">Easy </v>
      </c>
      <c r="O368" s="1932"/>
      <c r="P368" s="1932"/>
      <c r="Q368" s="1933"/>
      <c r="R368" s="177"/>
      <c r="S368" s="1931" t="str">
        <f ca="1">IF(V367&gt;0,INDEX(sessions_name,INDEX(plan_session_allocation,((WEEKDAY(T$3,2)*2-1)+IF(T367="Morning",0,1)),S367)),"")</f>
        <v>Steady</v>
      </c>
      <c r="T368" s="1932"/>
      <c r="U368" s="1932"/>
      <c r="V368" s="1933"/>
      <c r="W368" s="177"/>
      <c r="X368" s="1931" t="str">
        <f ca="1">IF(AA367&gt;0,INDEX(sessions_name,INDEX(plan_session_allocation,((WEEKDAY(Y$3,2)*2-1)+IF(Y367="Morning",0,1)),X367)),"")</f>
        <v>Strength and Maintenance</v>
      </c>
      <c r="Y368" s="1932"/>
      <c r="Z368" s="1932"/>
      <c r="AA368" s="1933"/>
      <c r="AB368" s="177"/>
      <c r="AC368" s="1931" t="str">
        <f ca="1">IF(AF367&gt;0,INDEX(sessions_name,INDEX(plan_session_allocation,((WEEKDAY(AD$3,2)*2-1)+IF(AD367="Morning",0,1)),AC367)),"")</f>
        <v>Easy</v>
      </c>
      <c r="AD368" s="1932"/>
      <c r="AE368" s="1932"/>
      <c r="AF368" s="1933"/>
      <c r="AG368" s="177"/>
      <c r="AH368" s="1931" t="str">
        <f ca="1">IF(AK367&gt;0,INDEX(sessions_name,INDEX(plan_session_allocation,((WEEKDAY(AI$3,2)*2-1)+IF(AI367="Morning",0,1)),AH367)),"")</f>
        <v/>
      </c>
      <c r="AI368" s="1932"/>
      <c r="AJ368" s="1932"/>
      <c r="AK368" s="1933"/>
      <c r="AL368" s="177"/>
    </row>
    <row r="369" spans="2:38" s="176" customFormat="1" ht="15" customHeight="1" x14ac:dyDescent="0.45">
      <c r="B369" s="1942"/>
      <c r="C369" s="1945"/>
      <c r="D369" s="1934" t="str">
        <f ca="1">IF(G367&gt;0,CONCATENATE("Sport: ",INDEX(sessions_sport_primary,INDEX(plan_session_allocation,(WEEKDAY(E$3,2)*2-1)+IF(E367="Morning",0,1),D367))),"")</f>
        <v>Sport: Indoor</v>
      </c>
      <c r="E369" s="1935"/>
      <c r="F369" s="1936">
        <f ca="1">IF(G367&gt;0,IFERROR(F370+F371+F372,""),"")</f>
        <v>60</v>
      </c>
      <c r="G369" s="1937"/>
      <c r="H369" s="177"/>
      <c r="I369" s="1934" t="str">
        <f ca="1">IF(L367&gt;0,CONCATENATE("Sport: ",INDEX(sessions_sport_primary,INDEX(plan_session_allocation,(WEEKDAY(J$3,2)*2-1)+IF(J367="Morning",0,1),I367))),"")</f>
        <v>Sport: Hilly Trail Run</v>
      </c>
      <c r="J369" s="1935"/>
      <c r="K369" s="1936">
        <f ca="1">IF(L367&gt;0,IFERROR(K370+K371+K372,""),"")</f>
        <v>55</v>
      </c>
      <c r="L369" s="1937"/>
      <c r="M369" s="177"/>
      <c r="N369" s="1934" t="str">
        <f ca="1">IF(Q367&gt;0,CONCATENATE("Sport: ",INDEX(sessions_sport_primary,INDEX(plan_session_allocation,(WEEKDAY(O$3,2)*2-1)+IF(O367="Morning",0,1),N367))),"")</f>
        <v>Sport: Road Ride</v>
      </c>
      <c r="O369" s="1935"/>
      <c r="P369" s="1936">
        <f ca="1">IF(Q367&gt;0,IFERROR(P370+P371+P372,""),"")</f>
        <v>60</v>
      </c>
      <c r="Q369" s="1937"/>
      <c r="R369" s="177"/>
      <c r="S369" s="1934" t="str">
        <f ca="1">IF(V367&gt;0,CONCATENATE("Sport: ",INDEX(sessions_sport_primary,INDEX(plan_session_allocation,(WEEKDAY(T$3,2)*2-1)+IF(T367="Morning",0,1),S367))),"")</f>
        <v>Sport: Hilly Trail Run</v>
      </c>
      <c r="T369" s="1935"/>
      <c r="U369" s="1936">
        <f ca="1">IF(V367&gt;0,IFERROR(U370+U371+U372,""),"")</f>
        <v>80</v>
      </c>
      <c r="V369" s="1937"/>
      <c r="W369" s="177"/>
      <c r="X369" s="1934" t="str">
        <f ca="1">IF(AA367&gt;0,CONCATENATE("Sport: ",INDEX(sessions_sport_primary,INDEX(plan_session_allocation,(WEEKDAY(Y$3,2)*2-1)+IF(Y367="Morning",0,1),X367))),"")</f>
        <v>Sport: Indoor</v>
      </c>
      <c r="Y369" s="1935"/>
      <c r="Z369" s="1936">
        <f ca="1">IF(AA367&gt;0,IFERROR(Z370+Z371+Z372,""),"")</f>
        <v>60</v>
      </c>
      <c r="AA369" s="1937"/>
      <c r="AB369" s="177"/>
      <c r="AC369" s="1934" t="str">
        <f ca="1">IF(AF367&gt;0,CONCATENATE("Sport: ",INDEX(sessions_sport_primary,INDEX(plan_session_allocation,(WEEKDAY(AD$3,2)*2-1)+IF(AD367="Morning",0,1),AC367))),"")</f>
        <v>Sport: Run</v>
      </c>
      <c r="AD369" s="1935"/>
      <c r="AE369" s="1936">
        <f ca="1">IF(AF367&gt;0,IFERROR(AE370+AE371+AE372,""),"")</f>
        <v>50</v>
      </c>
      <c r="AF369" s="1937"/>
      <c r="AG369" s="177"/>
      <c r="AH369" s="1934" t="str">
        <f ca="1">IF(AK367&gt;0,CONCATENATE("Sport: ",INDEX(sessions_sport_primary,INDEX(plan_session_allocation,(WEEKDAY(AI$3,2)*2-1)+IF(AI367="Morning",0,1),AH367))),"")</f>
        <v/>
      </c>
      <c r="AI369" s="1935"/>
      <c r="AJ369" s="1936" t="str">
        <f ca="1">IF(AK367&gt;0,IFERROR(AJ370+AJ371+AJ372,""),"")</f>
        <v/>
      </c>
      <c r="AK369" s="1937"/>
      <c r="AL369" s="177"/>
    </row>
    <row r="370" spans="2:38" s="177" customFormat="1" ht="15" customHeight="1" x14ac:dyDescent="0.45">
      <c r="B370" s="1942"/>
      <c r="C370" s="1945"/>
      <c r="D370" s="1922" t="str">
        <f ca="1">IF(G367&gt;0,CONCATENATE("HR Target: ",
INDEX(sessions_HR_primary,INDEX(plan_session_allocation,((WEEKDAY(E$3,2)*2-1)+IF(E367="Morning",0,1)),D367)),
IF(INDEX(sessions_HR_primary,INDEX(plan_session_allocation,((WEEKDAY(E$3,2)*2-1)+IF(E367="Morning",0,1)),D367))="N/A","",
" BPM")),"")</f>
        <v>HR Target: N/A</v>
      </c>
      <c r="E370" s="1923"/>
      <c r="F370" s="1924">
        <f ca="1">IF(G367&gt;0,
INDEX(final_duration_effort,((WEEKDAY(E$3,2)*2-1)+IF(E367="Morning",0,1)),D367),"")</f>
        <v>60</v>
      </c>
      <c r="G370" s="1925"/>
      <c r="I370" s="1922" t="str">
        <f ca="1">IF(L367&gt;0,CONCATENATE("HR Target: ",
INDEX(sessions_HR_primary,INDEX(plan_session_allocation,((WEEKDAY(J$3,2)*2-1)+IF(J367="Morning",0,1)),I367)),
IF(INDEX(sessions_HR_primary,INDEX(plan_session_allocation,((WEEKDAY(J$3,2)*2-1)+IF(J367="Morning",0,1)),I367))="N/A","",
" BPM")),"")</f>
        <v>HR Target: 177 BPM</v>
      </c>
      <c r="J370" s="1923"/>
      <c r="K370" s="1924">
        <f ca="1">IF(L367&gt;0,
INDEX(final_duration_effort,((WEEKDAY(J$3,2)*2-1)+IF(J367="Morning",0,1)),I367),"")</f>
        <v>25</v>
      </c>
      <c r="L370" s="1925"/>
      <c r="N370" s="1922" t="str">
        <f ca="1">IF(Q367&gt;0,CONCATENATE("HR Target: ",
INDEX(sessions_HR_primary,INDEX(plan_session_allocation,((WEEKDAY(O$3,2)*2-1)+IF(O367="Morning",0,1)),N367)),
IF(INDEX(sessions_HR_primary,INDEX(plan_session_allocation,((WEEKDAY(O$3,2)*2-1)+IF(O367="Morning",0,1)),N367))="N/A","",
" BPM")),"")</f>
        <v>HR Target: 138 BPM</v>
      </c>
      <c r="O370" s="1923"/>
      <c r="P370" s="1924">
        <f ca="1">IF(Q367&gt;0,
INDEX(final_duration_effort,((WEEKDAY(O$3,2)*2-1)+IF(O367="Morning",0,1)),N367),"")</f>
        <v>60</v>
      </c>
      <c r="Q370" s="1925"/>
      <c r="S370" s="1922" t="str">
        <f ca="1">IF(V367&gt;0,CONCATENATE("HR Target: ",
INDEX(sessions_HR_primary,INDEX(plan_session_allocation,((WEEKDAY(T$3,2)*2-1)+IF(T367="Morning",0,1)),S367)),
IF(INDEX(sessions_HR_primary,INDEX(plan_session_allocation,((WEEKDAY(T$3,2)*2-1)+IF(T367="Morning",0,1)),S367))="N/A","",
" BPM")),"")</f>
        <v>HR Target: 148 BPM</v>
      </c>
      <c r="T370" s="1923"/>
      <c r="U370" s="1924">
        <f ca="1">IF(V367&gt;0,
INDEX(final_duration_effort,((WEEKDAY(T$3,2)*2-1)+IF(T367="Morning",0,1)),S367),"")</f>
        <v>80</v>
      </c>
      <c r="V370" s="1925"/>
      <c r="X370" s="1922" t="str">
        <f ca="1">IF(AA367&gt;0,CONCATENATE("HR Target: ",
INDEX(sessions_HR_primary,INDEX(plan_session_allocation,((WEEKDAY(Y$3,2)*2-1)+IF(Y367="Morning",0,1)),X367)),
IF(INDEX(sessions_HR_primary,INDEX(plan_session_allocation,((WEEKDAY(Y$3,2)*2-1)+IF(Y367="Morning",0,1)),X367))="N/A","",
" BPM")),"")</f>
        <v>HR Target: N/A</v>
      </c>
      <c r="Y370" s="1923"/>
      <c r="Z370" s="1924">
        <f ca="1">IF(AA367&gt;0,
INDEX(final_duration_effort,((WEEKDAY(Y$3,2)*2-1)+IF(Y367="Morning",0,1)),X367),"")</f>
        <v>60</v>
      </c>
      <c r="AA370" s="1925"/>
      <c r="AC370" s="1922" t="str">
        <f ca="1">IF(AF367&gt;0,CONCATENATE("HR Target: ",
INDEX(sessions_HR_primary,INDEX(plan_session_allocation,((WEEKDAY(AD$3,2)*2-1)+IF(AD367="Morning",0,1)),AC367)),
IF(INDEX(sessions_HR_primary,INDEX(plan_session_allocation,((WEEKDAY(AD$3,2)*2-1)+IF(AD367="Morning",0,1)),AC367))="N/A","",
" BPM")),"")</f>
        <v>HR Target: 138 BPM</v>
      </c>
      <c r="AD370" s="1923"/>
      <c r="AE370" s="1924">
        <f ca="1">IF(AF367&gt;0,
INDEX(final_duration_effort,((WEEKDAY(AD$3,2)*2-1)+IF(AD367="Morning",0,1)),AC367),"")</f>
        <v>50</v>
      </c>
      <c r="AF370" s="1925"/>
      <c r="AH370" s="1922" t="str">
        <f ca="1">IF(AK367&gt;0,CONCATENATE("HR Target: ",
INDEX(sessions_HR_primary,INDEX(plan_session_allocation,((WEEKDAY(AI$3,2)*2-1)+IF(AI367="Morning",0,1)),AH367)),
IF(INDEX(sessions_HR_primary,INDEX(plan_session_allocation,((WEEKDAY(AI$3,2)*2-1)+IF(AI367="Morning",0,1)),AH367))="N/A","",
" BPM")),"")</f>
        <v/>
      </c>
      <c r="AI370" s="1923"/>
      <c r="AJ370" s="1924" t="str">
        <f ca="1">IF(AK367&gt;0,
INDEX(final_duration_effort,((WEEKDAY(AI$3,2)*2-1)+IF(AI367="Morning",0,1)),AH367),"")</f>
        <v/>
      </c>
      <c r="AK370" s="1925"/>
    </row>
    <row r="371" spans="2:38" s="177" customFormat="1" ht="15" customHeight="1" x14ac:dyDescent="0.45">
      <c r="B371" s="1942"/>
      <c r="C371" s="1945"/>
      <c r="D371" s="1926" t="str">
        <f ca="1">IF(G367&gt;0,CONCATENATE("HR Range: ",
INDEX(sessions_HR_range_primary,INDEX(plan_session_allocation,((WEEKDAY(E$3,2)*2-1)+IF(E367="Morning",0,1)),D367)),
IF(INDEX(sessions_HR_range_primary,INDEX(plan_session_allocation,((WEEKDAY(E$3,2)*2-1)+IF(E367="Morning",0,1)),D367))="N/A","",
" BPM")),"")</f>
        <v>HR Range: N/A</v>
      </c>
      <c r="E371" s="1927"/>
      <c r="F371" s="1928">
        <f ca="1">IF(G367&gt;0,IF(
INDEX(sessions_recoveries,INDEX(plan_session_allocation,((WEEKDAY(E$3,2)*2-1)+IF(E367="Morning",0,1)),D367))="Yes",
VLOOKUP(INDEX(plan_duration_primary,((WEEKDAY(E$3,2)*2-1)+IF(E367="Morning",0,1)),D367),
INDIRECT(INDEX(sessions_intervals_code_primary,INDEX(plan_session_allocation,((WEEKDAY(E$3,2)*2-1)+IF(E367="Morning",0,1)),D367))),7,TRUE),0),"")</f>
        <v>0</v>
      </c>
      <c r="G371" s="1929"/>
      <c r="I371" s="1926" t="str">
        <f ca="1">IF(L367&gt;0,CONCATENATE("HR Range: ",
INDEX(sessions_HR_range_primary,INDEX(plan_session_allocation,((WEEKDAY(J$3,2)*2-1)+IF(J367="Morning",0,1)),I367)),
IF(INDEX(sessions_HR_range_primary,INDEX(plan_session_allocation,((WEEKDAY(J$3,2)*2-1)+IF(J367="Morning",0,1)),I367))="N/A","",
" BPM")),"")</f>
        <v>HR Range: 173 - 180 BPM</v>
      </c>
      <c r="J371" s="1927"/>
      <c r="K371" s="1928">
        <f ca="1">IF(L367&gt;0,IF(
INDEX(sessions_recoveries,INDEX(plan_session_allocation,((WEEKDAY(J$3,2)*2-1)+IF(J367="Morning",0,1)),I367))="Yes",
VLOOKUP(INDEX(plan_duration_primary,((WEEKDAY(J$3,2)*2-1)+IF(J367="Morning",0,1)),I367),
INDIRECT(INDEX(sessions_intervals_code_primary,INDEX(plan_session_allocation,((WEEKDAY(J$3,2)*2-1)+IF(J367="Morning",0,1)),I367))),7,TRUE),0),"")</f>
        <v>0</v>
      </c>
      <c r="L371" s="1929"/>
      <c r="N371" s="1926" t="str">
        <f ca="1">IF(Q367&gt;0,CONCATENATE("HR Range: ",
INDEX(sessions_HR_range_primary,INDEX(plan_session_allocation,((WEEKDAY(O$3,2)*2-1)+IF(O367="Morning",0,1)),N367)),
IF(INDEX(sessions_HR_range_primary,INDEX(plan_session_allocation,((WEEKDAY(O$3,2)*2-1)+IF(O367="Morning",0,1)),N367))="N/A","",
" BPM")),"")</f>
        <v>HR Range: 129 - 148 BPM</v>
      </c>
      <c r="O371" s="1927"/>
      <c r="P371" s="1928">
        <f ca="1">IF(Q367&gt;0,IF(
INDEX(sessions_recoveries,INDEX(plan_session_allocation,((WEEKDAY(O$3,2)*2-1)+IF(O367="Morning",0,1)),N367))="Yes",
VLOOKUP(INDEX(plan_duration_primary,((WEEKDAY(O$3,2)*2-1)+IF(O367="Morning",0,1)),N367),
INDIRECT(INDEX(sessions_intervals_code_primary,INDEX(plan_session_allocation,((WEEKDAY(O$3,2)*2-1)+IF(O367="Morning",0,1)),N367))),7,TRUE),0),"")</f>
        <v>0</v>
      </c>
      <c r="Q371" s="1929"/>
      <c r="S371" s="1926" t="str">
        <f ca="1">IF(V367&gt;0,CONCATENATE("HR Range: ",
INDEX(sessions_HR_range_primary,INDEX(plan_session_allocation,((WEEKDAY(T$3,2)*2-1)+IF(T367="Morning",0,1)),S367)),
IF(INDEX(sessions_HR_range_primary,INDEX(plan_session_allocation,((WEEKDAY(T$3,2)*2-1)+IF(T367="Morning",0,1)),S367))="N/A","",
" BPM")),"")</f>
        <v>HR Range: 138 - 157 BPM</v>
      </c>
      <c r="T371" s="1927"/>
      <c r="U371" s="1928">
        <f ca="1">IF(V367&gt;0,IF(
INDEX(sessions_recoveries,INDEX(plan_session_allocation,((WEEKDAY(T$3,2)*2-1)+IF(T367="Morning",0,1)),S367))="Yes",
VLOOKUP(INDEX(plan_duration_primary,((WEEKDAY(T$3,2)*2-1)+IF(T367="Morning",0,1)),S367),
INDIRECT(INDEX(sessions_intervals_code_primary,INDEX(plan_session_allocation,((WEEKDAY(T$3,2)*2-1)+IF(T367="Morning",0,1)),S367))),7,TRUE),0),"")</f>
        <v>0</v>
      </c>
      <c r="V371" s="1929"/>
      <c r="X371" s="1926" t="str">
        <f ca="1">IF(AA367&gt;0,CONCATENATE("HR Range: ",
INDEX(sessions_HR_range_primary,INDEX(plan_session_allocation,((WEEKDAY(Y$3,2)*2-1)+IF(Y367="Morning",0,1)),X367)),
IF(INDEX(sessions_HR_range_primary,INDEX(plan_session_allocation,((WEEKDAY(Y$3,2)*2-1)+IF(Y367="Morning",0,1)),X367))="N/A","",
" BPM")),"")</f>
        <v>HR Range: N/A</v>
      </c>
      <c r="Y371" s="1927"/>
      <c r="Z371" s="1928">
        <f ca="1">IF(AA367&gt;0,IF(
INDEX(sessions_recoveries,INDEX(plan_session_allocation,((WEEKDAY(Y$3,2)*2-1)+IF(Y367="Morning",0,1)),X367))="Yes",
VLOOKUP(INDEX(plan_duration_primary,((WEEKDAY(Y$3,2)*2-1)+IF(Y367="Morning",0,1)),X367),
INDIRECT(INDEX(sessions_intervals_code_primary,INDEX(plan_session_allocation,((WEEKDAY(Y$3,2)*2-1)+IF(Y367="Morning",0,1)),X367))),7,TRUE),0),"")</f>
        <v>0</v>
      </c>
      <c r="AA371" s="1929"/>
      <c r="AC371" s="1926" t="str">
        <f ca="1">IF(AF367&gt;0,CONCATENATE("HR Range: ",
INDEX(sessions_HR_range_primary,INDEX(plan_session_allocation,((WEEKDAY(AD$3,2)*2-1)+IF(AD367="Morning",0,1)),AC367)),
IF(INDEX(sessions_HR_range_primary,INDEX(plan_session_allocation,((WEEKDAY(AD$3,2)*2-1)+IF(AD367="Morning",0,1)),AC367))="N/A","",
" BPM")),"")</f>
        <v>HR Range: 129 - 148 BPM</v>
      </c>
      <c r="AD371" s="1927"/>
      <c r="AE371" s="1928">
        <f ca="1">IF(AF367&gt;0,IF(
INDEX(sessions_recoveries,INDEX(plan_session_allocation,((WEEKDAY(AD$3,2)*2-1)+IF(AD367="Morning",0,1)),AC367))="Yes",
VLOOKUP(INDEX(plan_duration_primary,((WEEKDAY(AD$3,2)*2-1)+IF(AD367="Morning",0,1)),AC367),
INDIRECT(INDEX(sessions_intervals_code_primary,INDEX(plan_session_allocation,((WEEKDAY(AD$3,2)*2-1)+IF(AD367="Morning",0,1)),AC367))),7,TRUE),0),"")</f>
        <v>0</v>
      </c>
      <c r="AF371" s="1929"/>
      <c r="AH371" s="1926" t="str">
        <f ca="1">IF(AK367&gt;0,CONCATENATE("HR Range: ",
INDEX(sessions_HR_range_primary,INDEX(plan_session_allocation,((WEEKDAY(AI$3,2)*2-1)+IF(AI367="Morning",0,1)),AH367)),
IF(INDEX(sessions_HR_range_primary,INDEX(plan_session_allocation,((WEEKDAY(AI$3,2)*2-1)+IF(AI367="Morning",0,1)),AH367))="N/A","",
" BPM")),"")</f>
        <v/>
      </c>
      <c r="AI371" s="1927"/>
      <c r="AJ371" s="1928" t="str">
        <f ca="1">IF(AK367&gt;0,IF(
INDEX(sessions_recoveries,INDEX(plan_session_allocation,((WEEKDAY(AI$3,2)*2-1)+IF(AI367="Morning",0,1)),AH367))="Yes",
VLOOKUP(INDEX(plan_duration_primary,((WEEKDAY(AI$3,2)*2-1)+IF(AI367="Morning",0,1)),AH367),
INDIRECT(INDEX(sessions_intervals_code_primary,INDEX(plan_session_allocation,((WEEKDAY(AI$3,2)*2-1)+IF(AI367="Morning",0,1)),AH367))),7,TRUE),0),"")</f>
        <v/>
      </c>
      <c r="AK371" s="1929"/>
    </row>
    <row r="372" spans="2:38" s="177" customFormat="1" ht="15" customHeight="1" x14ac:dyDescent="0.45">
      <c r="B372" s="1942"/>
      <c r="C372" s="1945"/>
      <c r="D372" s="1909" t="str">
        <f ca="1">IF(G367&gt;0,CONCATENATE("Equivalent Pace: ",
TEXT(INDEX(sessions_pace_primary,INDEX(plan_session_allocation,(WEEKDAY(E$3,2)*2-1)+IF(E367="Morning",0,1),D367)),"m:ss"),
" min/km"
),"")</f>
        <v>Equivalent Pace:  min/km</v>
      </c>
      <c r="E372" s="1910"/>
      <c r="F372" s="1911">
        <f ca="1">IF(G367&gt;0, INDEX(final_duration_WU,((WEEKDAY(E$3,2)*2-1)+IF(E367="Morning",0,1)),D367)  + INDEX(final_duration_WD,((WEEKDAY(E$3,2)*2-1)+IF(E367="Morning",0,1)),D367), "")</f>
        <v>0</v>
      </c>
      <c r="G372" s="1912"/>
      <c r="I372" s="1909" t="str">
        <f ca="1">IF(L367&gt;0,CONCATENATE("Equivalent Pace: ",
TEXT(INDEX(sessions_pace_primary,INDEX(plan_session_allocation,(WEEKDAY(J$3,2)*2-1)+IF(J367="Morning",0,1),I367)),"m:ss"),
" min/km"
),"")</f>
        <v>Equivalent Pace: 3:21 min/km</v>
      </c>
      <c r="J372" s="1910"/>
      <c r="K372" s="1911">
        <f ca="1">IF(L367&gt;0, INDEX(final_duration_WU,((WEEKDAY(J$3,2)*2-1)+IF(J367="Morning",0,1)),I367)  + INDEX(final_duration_WD,((WEEKDAY(J$3,2)*2-1)+IF(J367="Morning",0,1)),I367), "")</f>
        <v>30</v>
      </c>
      <c r="L372" s="1912"/>
      <c r="N372" s="1909" t="str">
        <f ca="1">IF(Q367&gt;0,CONCATENATE("Equivalent Pace: ",
TEXT(INDEX(sessions_pace_primary,INDEX(plan_session_allocation,(WEEKDAY(O$3,2)*2-1)+IF(O367="Morning",0,1),N367)),"m:ss"),
" min/km"
),"")</f>
        <v>Equivalent Pace: 4:39 min/km</v>
      </c>
      <c r="O372" s="1910"/>
      <c r="P372" s="1911">
        <f ca="1">IF(Q367&gt;0, INDEX(final_duration_WU,((WEEKDAY(O$3,2)*2-1)+IF(O367="Morning",0,1)),N367)  + INDEX(final_duration_WD,((WEEKDAY(O$3,2)*2-1)+IF(O367="Morning",0,1)),N367), "")</f>
        <v>0</v>
      </c>
      <c r="Q372" s="1912"/>
      <c r="S372" s="1909" t="str">
        <f ca="1">IF(V367&gt;0,CONCATENATE("Equivalent Pace: ",
TEXT(INDEX(sessions_pace_primary,INDEX(plan_session_allocation,(WEEKDAY(T$3,2)*2-1)+IF(T367="Morning",0,1),S367)),"m:ss"),
" min/km"
),"")</f>
        <v>Equivalent Pace: 4:14 min/km</v>
      </c>
      <c r="T372" s="1910"/>
      <c r="U372" s="1911">
        <f ca="1">IF(V367&gt;0, INDEX(final_duration_WU,((WEEKDAY(T$3,2)*2-1)+IF(T367="Morning",0,1)),S367)  + INDEX(final_duration_WD,((WEEKDAY(T$3,2)*2-1)+IF(T367="Morning",0,1)),S367), "")</f>
        <v>0</v>
      </c>
      <c r="V372" s="1912"/>
      <c r="X372" s="1909" t="str">
        <f ca="1">IF(AA367&gt;0,CONCATENATE("Equivalent Pace: ",
TEXT(INDEX(sessions_pace_primary,INDEX(plan_session_allocation,(WEEKDAY(Y$3,2)*2-1)+IF(Y367="Morning",0,1),X367)),"m:ss"),
" min/km"
),"")</f>
        <v>Equivalent Pace:  min/km</v>
      </c>
      <c r="Y372" s="1910"/>
      <c r="Z372" s="1911">
        <f ca="1">IF(AA367&gt;0, INDEX(final_duration_WU,((WEEKDAY(Y$3,2)*2-1)+IF(Y367="Morning",0,1)),X367)  + INDEX(final_duration_WD,((WEEKDAY(Y$3,2)*2-1)+IF(Y367="Morning",0,1)),X367), "")</f>
        <v>0</v>
      </c>
      <c r="AA372" s="1912"/>
      <c r="AC372" s="1909" t="str">
        <f ca="1">IF(AF367&gt;0,CONCATENATE("Equivalent Pace: ",
TEXT(INDEX(sessions_pace_primary,INDEX(plan_session_allocation,(WEEKDAY(AD$3,2)*2-1)+IF(AD367="Morning",0,1),AC367)),"m:ss"),
" min/km"
),"")</f>
        <v>Equivalent Pace: 4:39 min/km</v>
      </c>
      <c r="AD372" s="1910"/>
      <c r="AE372" s="1911">
        <f ca="1">IF(AF367&gt;0, INDEX(final_duration_WU,((WEEKDAY(AD$3,2)*2-1)+IF(AD367="Morning",0,1)),AC367)  + INDEX(final_duration_WD,((WEEKDAY(AD$3,2)*2-1)+IF(AD367="Morning",0,1)),AC367), "")</f>
        <v>0</v>
      </c>
      <c r="AF372" s="1912"/>
      <c r="AH372" s="1909" t="str">
        <f ca="1">IF(AK367&gt;0,CONCATENATE("Equivalent Pace: ",
TEXT(INDEX(sessions_pace_primary,INDEX(plan_session_allocation,(WEEKDAY(AI$3,2)*2-1)+IF(AI367="Morning",0,1),AH367)),"m:ss"),
" min/km"
),"")</f>
        <v/>
      </c>
      <c r="AI372" s="1910"/>
      <c r="AJ372" s="1911" t="str">
        <f ca="1">IF(AK367&gt;0, INDEX(final_duration_WU,((WEEKDAY(AI$3,2)*2-1)+IF(AI367="Morning",0,1)),AH367)  + INDEX(final_duration_WD,((WEEKDAY(AI$3,2)*2-1)+IF(AI367="Morning",0,1)),AH367), "")</f>
        <v/>
      </c>
      <c r="AK372" s="1912"/>
    </row>
    <row r="373" spans="2:38" s="176" customFormat="1" ht="15" customHeight="1" x14ac:dyDescent="0.45">
      <c r="B373" s="1942"/>
      <c r="C373" s="1945"/>
      <c r="D373" s="1913" t="str">
        <f ca="1">IF(G367&gt;0,CONCATENATE(IFERROR(CONCATENATE(IF(INDEX(display_intervals_breakdown,((WEEKDAY(E$3,2)*2-1)+IF(E367="Morning",0,1)),D367)="","",CONCATENATE("Intervals/Reps Breakdown: 
",INDEX(display_intervals_breakdown,((WEEKDAY(E$3,2)*2-1)+IF(E367="Morning",0,1)),D367),"
")),"Session Description: 
",CONCATENATE(IF(INDEX(final_duration_secondary,((WEEKDAY(E$3,2)*2-1)+IF(E367="Morning",0,1)),D367)=0,"","1. "),
INDEX(sessions_description_primary,,INDEX(plan_session_allocation,((WEEKDAY(E$3,2)*2-1)+IF(E367="Morning",0,1)),D367)),IF(INDEX(final_duration_secondary,((WEEKDAY(E$3,2)*2-1)+IF(E367="Morning",0,1)),D367)=0,"","
2. "),
IF(INDEX(final_duration_secondary,((WEEKDAY(E$3,2)*2-1)+IF(E367="Morning",0,1)),D367)=0,"",INDEX(sessions_description_secondary,,INDEX(plan_session_allocation,((WEEKDAY(E$3,2)*2-1)+IF(E367="Morning",0,1)),D367))),IF(INDEX(final_duration_tertiary,((WEEKDAY(E$3,2)*2-1)+IF(E367="Morning",0,1)),D367)=0,"","
3. "),
IF(INDEX(final_duration_tertiary,((WEEKDAY(E$3,2)*2-1)+IF(E367="Morning",0,1)),D367)="","",INDEX(sessions_description_tertiary,,INDEX(plan_session_allocation,((WEEKDAY(E$3,2)*2-1)+IF(E367="Morning",0,1)),D367))),
IF(INDEX(display_nutrition_description,((WEEKDAY(E$3,2)*2-1)+IF(E367="Morning",0,1)),D367)="","",
CONCATENATE("
Meal Plan: ", INDEX(sessions_nutrition,,INDEX(plan_session_allocation,((WEEKDAY(E$3,2)*2-1)+IF(E367="Morning",0,1)),D367)), "
", INDEX(display_nutrition_description,((WEEKDAY(E$3,2)*2-1)+IF(E367="Morning",0,1)),D367)))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373" s="1914"/>
      <c r="F373" s="1914"/>
      <c r="G373" s="1915"/>
      <c r="H373" s="177"/>
      <c r="I373" s="1913" t="str">
        <f ca="1">IF(L367&gt;0,CONCATENATE(IFERROR(CONCATENATE(IF(INDEX(display_intervals_breakdown,((WEEKDAY(J$3,2)*2-1)+IF(J367="Morning",0,1)),I367)="","",CONCATENATE("Intervals/Reps Breakdown: 
",INDEX(display_intervals_breakdown,((WEEKDAY(J$3,2)*2-1)+IF(J367="Morning",0,1)),I367),"
")),"Session Description: 
",CONCATENATE(IF(INDEX(final_duration_secondary,((WEEKDAY(J$3,2)*2-1)+IF(J367="Morning",0,1)),I367)=0,"","1. "),
INDEX(sessions_description_primary,,INDEX(plan_session_allocation,((WEEKDAY(J$3,2)*2-1)+IF(J367="Morning",0,1)),I367)),IF(INDEX(final_duration_secondary,((WEEKDAY(J$3,2)*2-1)+IF(J367="Morning",0,1)),I367)=0,"","
2. "),
IF(INDEX(final_duration_secondary,((WEEKDAY(J$3,2)*2-1)+IF(J367="Morning",0,1)),I367)=0,"",INDEX(sessions_description_secondary,,INDEX(plan_session_allocation,((WEEKDAY(J$3,2)*2-1)+IF(J367="Morning",0,1)),I367))),IF(INDEX(final_duration_tertiary,((WEEKDAY(J$3,2)*2-1)+IF(J367="Morning",0,1)),I367)=0,"","
3. "),
IF(INDEX(final_duration_tertiary,((WEEKDAY(J$3,2)*2-1)+IF(J367="Morning",0,1)),I367)="","",INDEX(sessions_description_tertiary,,INDEX(plan_session_allocation,((WEEKDAY(J$3,2)*2-1)+IF(J367="Morning",0,1)),I367))),
IF(INDEX(display_nutrition_description,((WEEKDAY(J$3,2)*2-1)+IF(J367="Morning",0,1)),I367)="","",
CONCATENATE("
Meal Plan: ", INDEX(sessions_nutrition,,INDEX(plan_session_allocation,((WEEKDAY(J$3,2)*2-1)+IF(J367="Morning",0,1)),I367)), "
", INDEX(display_nutrition_description,((WEEKDAY(J$3,2)*2-1)+IF(J367="Morning",0,1)),I367)))
)),"")),"")</f>
        <v>Session Description: 
Accelerate to a fast pace which you should be able to hold for 50 minutes in a race situation. This will take concentration, but it's important to keep the intensity even, so do not start too hard. Warm up and warm down for 10 minutes each.</v>
      </c>
      <c r="J373" s="1914"/>
      <c r="K373" s="1914"/>
      <c r="L373" s="1915"/>
      <c r="M373" s="177"/>
      <c r="N373" s="1913" t="str">
        <f ca="1">IF(Q367&gt;0,CONCATENATE(IFERROR(CONCATENATE(IF(INDEX(display_intervals_breakdown,((WEEKDAY(O$3,2)*2-1)+IF(O367="Morning",0,1)),N367)="","",CONCATENATE("Intervals/Reps Breakdown: 
",INDEX(display_intervals_breakdown,((WEEKDAY(O$3,2)*2-1)+IF(O367="Morning",0,1)),N367),"
")),"Session Description: 
",CONCATENATE(IF(INDEX(final_duration_secondary,((WEEKDAY(O$3,2)*2-1)+IF(O367="Morning",0,1)),N367)=0,"","1. "),
INDEX(sessions_description_primary,,INDEX(plan_session_allocation,((WEEKDAY(O$3,2)*2-1)+IF(O367="Morning",0,1)),N367)),IF(INDEX(final_duration_secondary,((WEEKDAY(O$3,2)*2-1)+IF(O367="Morning",0,1)),N367)=0,"","
2. "),
IF(INDEX(final_duration_secondary,((WEEKDAY(O$3,2)*2-1)+IF(O367="Morning",0,1)),N367)=0,"",INDEX(sessions_description_secondary,,INDEX(plan_session_allocation,((WEEKDAY(O$3,2)*2-1)+IF(O367="Morning",0,1)),N367))),IF(INDEX(final_duration_tertiary,((WEEKDAY(O$3,2)*2-1)+IF(O367="Morning",0,1)),N367)=0,"","
3. "),
IF(INDEX(final_duration_tertiary,((WEEKDAY(O$3,2)*2-1)+IF(O367="Morning",0,1)),N367)="","",INDEX(sessions_description_tertiary,,INDEX(plan_session_allocation,((WEEKDAY(O$3,2)*2-1)+IF(O367="Morning",0,1)),N367))),
IF(INDEX(display_nutrition_description,((WEEKDAY(O$3,2)*2-1)+IF(O367="Morning",0,1)),N367)="","",
CONCATENATE("
Meal Plan: ", INDEX(sessions_nutrition,,INDEX(plan_session_allocation,((WEEKDAY(O$3,2)*2-1)+IF(O367="Morning",0,1)),N367)), "
", INDEX(display_nutrition_description,((WEEKDAY(O$3,2)*2-1)+IF(O367="Morning",0,1)),N367)))
)),"")),"")</f>
        <v>Session Description: 
Stay at a comfortable and controlled intensity where you should be able to have a conversation without large pauses. Keep an even intensity and accept that your pace may change as the terrain changes.</v>
      </c>
      <c r="O373" s="1914"/>
      <c r="P373" s="1914"/>
      <c r="Q373" s="1915"/>
      <c r="R373" s="177"/>
      <c r="S373" s="1913" t="str">
        <f ca="1">IF(V367&gt;0,CONCATENATE(IFERROR(CONCATENATE(IF(INDEX(display_intervals_breakdown,((WEEKDAY(T$3,2)*2-1)+IF(T367="Morning",0,1)),S367)="","",CONCATENATE("Intervals/Reps Breakdown: 
",INDEX(display_intervals_breakdown,((WEEKDAY(T$3,2)*2-1)+IF(T367="Morning",0,1)),S367),"
")),"Session Description: 
",CONCATENATE(IF(INDEX(final_duration_secondary,((WEEKDAY(T$3,2)*2-1)+IF(T367="Morning",0,1)),S367)=0,"","1. "),
INDEX(sessions_description_primary,,INDEX(plan_session_allocation,((WEEKDAY(T$3,2)*2-1)+IF(T367="Morning",0,1)),S367)),IF(INDEX(final_duration_secondary,((WEEKDAY(T$3,2)*2-1)+IF(T367="Morning",0,1)),S367)=0,"","
2. "),
IF(INDEX(final_duration_secondary,((WEEKDAY(T$3,2)*2-1)+IF(T367="Morning",0,1)),S367)=0,"",INDEX(sessions_description_secondary,,INDEX(plan_session_allocation,((WEEKDAY(T$3,2)*2-1)+IF(T367="Morning",0,1)),S367))),IF(INDEX(final_duration_tertiary,((WEEKDAY(T$3,2)*2-1)+IF(T367="Morning",0,1)),S367)=0,"","
3. "),
IF(INDEX(final_duration_tertiary,((WEEKDAY(T$3,2)*2-1)+IF(T367="Morning",0,1)),S367)="","",INDEX(sessions_description_tertiary,,INDEX(plan_session_allocation,((WEEKDAY(T$3,2)*2-1)+IF(T367="Morning",0,1)),S367))),
IF(INDEX(display_nutrition_description,((WEEKDAY(T$3,2)*2-1)+IF(T367="Morning",0,1)),S367)="","",
CONCATENATE("
Meal Plan: ", INDEX(sessions_nutrition,,INDEX(plan_session_allocation,((WEEKDAY(T$3,2)*2-1)+IF(T367="Morning",0,1)),S367)), "
", INDEX(display_nutrition_description,((WEEKDAY(T$3,2)*2-1)+IF(T367="Morning",0,1)),S367)))
)),"")),"")</f>
        <v>Session Description: 
Stay at a comfortable and controlled intensity where you should be able to have a conversation without large pauses. Keep an even intensity and accept that your pace may change as the terrain changes.</v>
      </c>
      <c r="T373" s="1914"/>
      <c r="U373" s="1914"/>
      <c r="V373" s="1915"/>
      <c r="W373" s="177"/>
      <c r="X373" s="1913" t="str">
        <f ca="1">IF(AA367&gt;0,CONCATENATE(IFERROR(CONCATENATE(IF(INDEX(display_intervals_breakdown,((WEEKDAY(Y$3,2)*2-1)+IF(Y367="Morning",0,1)),X367)="","",CONCATENATE("Intervals/Reps Breakdown: 
",INDEX(display_intervals_breakdown,((WEEKDAY(Y$3,2)*2-1)+IF(Y367="Morning",0,1)),X367),"
")),"Session Description: 
",CONCATENATE(IF(INDEX(final_duration_secondary,((WEEKDAY(Y$3,2)*2-1)+IF(Y367="Morning",0,1)),X367)=0,"","1. "),
INDEX(sessions_description_primary,,INDEX(plan_session_allocation,((WEEKDAY(Y$3,2)*2-1)+IF(Y367="Morning",0,1)),X367)),IF(INDEX(final_duration_secondary,((WEEKDAY(Y$3,2)*2-1)+IF(Y367="Morning",0,1)),X367)=0,"","
2. "),
IF(INDEX(final_duration_secondary,((WEEKDAY(Y$3,2)*2-1)+IF(Y367="Morning",0,1)),X367)=0,"",INDEX(sessions_description_secondary,,INDEX(plan_session_allocation,((WEEKDAY(Y$3,2)*2-1)+IF(Y367="Morning",0,1)),X367))),IF(INDEX(final_duration_tertiary,((WEEKDAY(Y$3,2)*2-1)+IF(Y367="Morning",0,1)),X367)=0,"","
3. "),
IF(INDEX(final_duration_tertiary,((WEEKDAY(Y$3,2)*2-1)+IF(Y367="Morning",0,1)),X367)="","",INDEX(sessions_description_tertiary,,INDEX(plan_session_allocation,((WEEKDAY(Y$3,2)*2-1)+IF(Y367="Morning",0,1)),X367))),
IF(INDEX(display_nutrition_description,((WEEKDAY(Y$3,2)*2-1)+IF(Y367="Morning",0,1)),X367)="","",
CONCATENATE("
Meal Plan: ", INDEX(sessions_nutrition,,INDEX(plan_session_allocation,((WEEKDAY(Y$3,2)*2-1)+IF(Y367="Morning",0,1)),X367)), "
", INDEX(display_nutrition_description,((WEEKDAY(Y$3,2)*2-1)+IF(Y367="Morning",0,1)),X367)))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373" s="1914"/>
      <c r="Z373" s="1914"/>
      <c r="AA373" s="1915"/>
      <c r="AB373" s="177"/>
      <c r="AC373" s="1913" t="str">
        <f ca="1">IF(AF367&gt;0,CONCATENATE(IFERROR(CONCATENATE(IF(INDEX(display_intervals_breakdown,((WEEKDAY(AD$3,2)*2-1)+IF(AD367="Morning",0,1)),AC367)="","",CONCATENATE("Intervals/Reps Breakdown: 
",INDEX(display_intervals_breakdown,((WEEKDAY(AD$3,2)*2-1)+IF(AD367="Morning",0,1)),AC367),"
")),"Session Description: 
",CONCATENATE(IF(INDEX(final_duration_secondary,((WEEKDAY(AD$3,2)*2-1)+IF(AD367="Morning",0,1)),AC367)=0,"","1. "),
INDEX(sessions_description_primary,,INDEX(plan_session_allocation,((WEEKDAY(AD$3,2)*2-1)+IF(AD367="Morning",0,1)),AC367)),IF(INDEX(final_duration_secondary,((WEEKDAY(AD$3,2)*2-1)+IF(AD367="Morning",0,1)),AC367)=0,"","
2. "),
IF(INDEX(final_duration_secondary,((WEEKDAY(AD$3,2)*2-1)+IF(AD367="Morning",0,1)),AC367)=0,"",INDEX(sessions_description_secondary,,INDEX(plan_session_allocation,((WEEKDAY(AD$3,2)*2-1)+IF(AD367="Morning",0,1)),AC367))),IF(INDEX(final_duration_tertiary,((WEEKDAY(AD$3,2)*2-1)+IF(AD367="Morning",0,1)),AC367)=0,"","
3. "),
IF(INDEX(final_duration_tertiary,((WEEKDAY(AD$3,2)*2-1)+IF(AD367="Morning",0,1)),AC367)="","",INDEX(sessions_description_tertiary,,INDEX(plan_session_allocation,((WEEKDAY(AD$3,2)*2-1)+IF(AD367="Morning",0,1)),AC367))),
IF(INDEX(display_nutrition_description,((WEEKDAY(AD$3,2)*2-1)+IF(AD367="Morning",0,1)),AC367)="","",
CONCATENATE("
Meal Plan: ", INDEX(sessions_nutrition,,INDEX(plan_session_allocation,((WEEKDAY(AD$3,2)*2-1)+IF(AD367="Morning",0,1)),AC367)), "
", INDEX(display_nutrition_description,((WEEKDAY(AD$3,2)*2-1)+IF(AD367="Morning",0,1)),AC367)))
)),"")),"")</f>
        <v>Session Description: 
Stay at a comfortable and controlled intensity where you should be able to have a conversation without large pauses. Keep an even intensity and accept that your pace may change as the terrain changes.</v>
      </c>
      <c r="AD373" s="1914"/>
      <c r="AE373" s="1914"/>
      <c r="AF373" s="1915"/>
      <c r="AG373" s="177"/>
      <c r="AH373" s="1913" t="str">
        <f ca="1">IF(AK367&gt;0,CONCATENATE(IFERROR(CONCATENATE(IF(INDEX(display_intervals_breakdown,((WEEKDAY(AI$3,2)*2-1)+IF(AI367="Morning",0,1)),AH367)="","",CONCATENATE("Intervals/Reps Breakdown: 
",INDEX(display_intervals_breakdown,((WEEKDAY(AI$3,2)*2-1)+IF(AI367="Morning",0,1)),AH367),"
")),"Session Description: 
",CONCATENATE(IF(INDEX(final_duration_secondary,((WEEKDAY(AI$3,2)*2-1)+IF(AI367="Morning",0,1)),AH367)=0,"","1. "),
INDEX(sessions_description_primary,,INDEX(plan_session_allocation,((WEEKDAY(AI$3,2)*2-1)+IF(AI367="Morning",0,1)),AH367)),IF(INDEX(final_duration_secondary,((WEEKDAY(AI$3,2)*2-1)+IF(AI367="Morning",0,1)),AH367)=0,"","
2. "),
IF(INDEX(final_duration_secondary,((WEEKDAY(AI$3,2)*2-1)+IF(AI367="Morning",0,1)),AH367)=0,"",INDEX(sessions_description_secondary,,INDEX(plan_session_allocation,((WEEKDAY(AI$3,2)*2-1)+IF(AI367="Morning",0,1)),AH367))),IF(INDEX(final_duration_tertiary,((WEEKDAY(AI$3,2)*2-1)+IF(AI367="Morning",0,1)),AH367)=0,"","
3. "),
IF(INDEX(final_duration_tertiary,((WEEKDAY(AI$3,2)*2-1)+IF(AI367="Morning",0,1)),AH367)="","",INDEX(sessions_description_tertiary,,INDEX(plan_session_allocation,((WEEKDAY(AI$3,2)*2-1)+IF(AI367="Morning",0,1)),AH367))),
IF(INDEX(display_nutrition_description,((WEEKDAY(AI$3,2)*2-1)+IF(AI367="Morning",0,1)),AH367)="","",
CONCATENATE("
Meal Plan: ", INDEX(sessions_nutrition,,INDEX(plan_session_allocation,((WEEKDAY(AI$3,2)*2-1)+IF(AI367="Morning",0,1)),AH367)), "
", INDEX(display_nutrition_description,((WEEKDAY(AI$3,2)*2-1)+IF(AI367="Morning",0,1)),AH367)))
)),"")),"")</f>
        <v/>
      </c>
      <c r="AI373" s="1914"/>
      <c r="AJ373" s="1914"/>
      <c r="AK373" s="1915"/>
      <c r="AL373" s="177"/>
    </row>
    <row r="374" spans="2:38" s="176" customFormat="1" ht="15" customHeight="1" x14ac:dyDescent="0.45">
      <c r="B374" s="1942"/>
      <c r="C374" s="1945"/>
      <c r="D374" s="1916"/>
      <c r="E374" s="1917"/>
      <c r="F374" s="1917"/>
      <c r="G374" s="1918"/>
      <c r="H374" s="177"/>
      <c r="I374" s="1916"/>
      <c r="J374" s="1917"/>
      <c r="K374" s="1917"/>
      <c r="L374" s="1918"/>
      <c r="M374" s="177"/>
      <c r="N374" s="1916"/>
      <c r="O374" s="1917"/>
      <c r="P374" s="1917"/>
      <c r="Q374" s="1918"/>
      <c r="R374" s="177"/>
      <c r="S374" s="1916"/>
      <c r="T374" s="1917"/>
      <c r="U374" s="1917"/>
      <c r="V374" s="1918"/>
      <c r="W374" s="177"/>
      <c r="X374" s="1916"/>
      <c r="Y374" s="1917"/>
      <c r="Z374" s="1917"/>
      <c r="AA374" s="1918"/>
      <c r="AB374" s="177"/>
      <c r="AC374" s="1916"/>
      <c r="AD374" s="1917"/>
      <c r="AE374" s="1917"/>
      <c r="AF374" s="1918"/>
      <c r="AG374" s="177"/>
      <c r="AH374" s="1916"/>
      <c r="AI374" s="1917"/>
      <c r="AJ374" s="1917"/>
      <c r="AK374" s="1918"/>
      <c r="AL374" s="177"/>
    </row>
    <row r="375" spans="2:38" s="176" customFormat="1" ht="15" customHeight="1" x14ac:dyDescent="0.45">
      <c r="B375" s="1942"/>
      <c r="C375" s="1945"/>
      <c r="D375" s="1916"/>
      <c r="E375" s="1917"/>
      <c r="F375" s="1917"/>
      <c r="G375" s="1918"/>
      <c r="H375" s="177"/>
      <c r="I375" s="1916"/>
      <c r="J375" s="1917"/>
      <c r="K375" s="1917"/>
      <c r="L375" s="1918"/>
      <c r="M375" s="177"/>
      <c r="N375" s="1916"/>
      <c r="O375" s="1917"/>
      <c r="P375" s="1917"/>
      <c r="Q375" s="1918"/>
      <c r="R375" s="177"/>
      <c r="S375" s="1916"/>
      <c r="T375" s="1917"/>
      <c r="U375" s="1917"/>
      <c r="V375" s="1918"/>
      <c r="W375" s="177"/>
      <c r="X375" s="1916"/>
      <c r="Y375" s="1917"/>
      <c r="Z375" s="1917"/>
      <c r="AA375" s="1918"/>
      <c r="AB375" s="177"/>
      <c r="AC375" s="1916"/>
      <c r="AD375" s="1917"/>
      <c r="AE375" s="1917"/>
      <c r="AF375" s="1918"/>
      <c r="AG375" s="177"/>
      <c r="AH375" s="1916"/>
      <c r="AI375" s="1917"/>
      <c r="AJ375" s="1917"/>
      <c r="AK375" s="1918"/>
      <c r="AL375" s="177"/>
    </row>
    <row r="376" spans="2:38" s="176" customFormat="1" x14ac:dyDescent="0.45">
      <c r="B376" s="1942"/>
      <c r="C376" s="1945"/>
      <c r="D376" s="1916"/>
      <c r="E376" s="1917"/>
      <c r="F376" s="1917"/>
      <c r="G376" s="1918"/>
      <c r="H376" s="177"/>
      <c r="I376" s="1916"/>
      <c r="J376" s="1917"/>
      <c r="K376" s="1917"/>
      <c r="L376" s="1918"/>
      <c r="M376" s="177"/>
      <c r="N376" s="1916"/>
      <c r="O376" s="1917"/>
      <c r="P376" s="1917"/>
      <c r="Q376" s="1918"/>
      <c r="R376" s="177"/>
      <c r="S376" s="1916"/>
      <c r="T376" s="1917"/>
      <c r="U376" s="1917"/>
      <c r="V376" s="1918"/>
      <c r="W376" s="177"/>
      <c r="X376" s="1916"/>
      <c r="Y376" s="1917"/>
      <c r="Z376" s="1917"/>
      <c r="AA376" s="1918"/>
      <c r="AB376" s="177"/>
      <c r="AC376" s="1916"/>
      <c r="AD376" s="1917"/>
      <c r="AE376" s="1917"/>
      <c r="AF376" s="1918"/>
      <c r="AG376" s="177"/>
      <c r="AH376" s="1916"/>
      <c r="AI376" s="1917"/>
      <c r="AJ376" s="1917"/>
      <c r="AK376" s="1918"/>
      <c r="AL376" s="177"/>
    </row>
    <row r="377" spans="2:38" s="176" customFormat="1" x14ac:dyDescent="0.45">
      <c r="B377" s="1942"/>
      <c r="C377" s="1945"/>
      <c r="D377" s="1916"/>
      <c r="E377" s="1917"/>
      <c r="F377" s="1917"/>
      <c r="G377" s="1918"/>
      <c r="H377" s="177"/>
      <c r="I377" s="1916"/>
      <c r="J377" s="1917"/>
      <c r="K377" s="1917"/>
      <c r="L377" s="1918"/>
      <c r="M377" s="177"/>
      <c r="N377" s="1916"/>
      <c r="O377" s="1917"/>
      <c r="P377" s="1917"/>
      <c r="Q377" s="1918"/>
      <c r="R377" s="177"/>
      <c r="S377" s="1916"/>
      <c r="T377" s="1917"/>
      <c r="U377" s="1917"/>
      <c r="V377" s="1918"/>
      <c r="W377" s="177"/>
      <c r="X377" s="1916"/>
      <c r="Y377" s="1917"/>
      <c r="Z377" s="1917"/>
      <c r="AA377" s="1918"/>
      <c r="AB377" s="177"/>
      <c r="AC377" s="1916"/>
      <c r="AD377" s="1917"/>
      <c r="AE377" s="1917"/>
      <c r="AF377" s="1918"/>
      <c r="AG377" s="177"/>
      <c r="AH377" s="1916"/>
      <c r="AI377" s="1917"/>
      <c r="AJ377" s="1917"/>
      <c r="AK377" s="1918"/>
      <c r="AL377" s="177"/>
    </row>
    <row r="378" spans="2:38" s="176" customFormat="1" x14ac:dyDescent="0.45">
      <c r="B378" s="1942"/>
      <c r="C378" s="1945"/>
      <c r="D378" s="1916"/>
      <c r="E378" s="1917"/>
      <c r="F378" s="1917"/>
      <c r="G378" s="1918"/>
      <c r="H378" s="177"/>
      <c r="I378" s="1916"/>
      <c r="J378" s="1917"/>
      <c r="K378" s="1917"/>
      <c r="L378" s="1918"/>
      <c r="M378" s="177"/>
      <c r="N378" s="1916"/>
      <c r="O378" s="1917"/>
      <c r="P378" s="1917"/>
      <c r="Q378" s="1918"/>
      <c r="R378" s="177"/>
      <c r="S378" s="1916"/>
      <c r="T378" s="1917"/>
      <c r="U378" s="1917"/>
      <c r="V378" s="1918"/>
      <c r="W378" s="177"/>
      <c r="X378" s="1916"/>
      <c r="Y378" s="1917"/>
      <c r="Z378" s="1917"/>
      <c r="AA378" s="1918"/>
      <c r="AB378" s="177"/>
      <c r="AC378" s="1916"/>
      <c r="AD378" s="1917"/>
      <c r="AE378" s="1917"/>
      <c r="AF378" s="1918"/>
      <c r="AG378" s="177"/>
      <c r="AH378" s="1916"/>
      <c r="AI378" s="1917"/>
      <c r="AJ378" s="1917"/>
      <c r="AK378" s="1918"/>
      <c r="AL378" s="177"/>
    </row>
    <row r="379" spans="2:38" s="176" customFormat="1" ht="15" customHeight="1" x14ac:dyDescent="0.45">
      <c r="B379" s="1942"/>
      <c r="C379" s="1945"/>
      <c r="D379" s="1916"/>
      <c r="E379" s="1917"/>
      <c r="F379" s="1917"/>
      <c r="G379" s="1918"/>
      <c r="H379" s="177"/>
      <c r="I379" s="1916"/>
      <c r="J379" s="1917"/>
      <c r="K379" s="1917"/>
      <c r="L379" s="1918"/>
      <c r="M379" s="177"/>
      <c r="N379" s="1916"/>
      <c r="O379" s="1917"/>
      <c r="P379" s="1917"/>
      <c r="Q379" s="1918"/>
      <c r="R379" s="177"/>
      <c r="S379" s="1916"/>
      <c r="T379" s="1917"/>
      <c r="U379" s="1917"/>
      <c r="V379" s="1918"/>
      <c r="W379" s="177"/>
      <c r="X379" s="1916"/>
      <c r="Y379" s="1917"/>
      <c r="Z379" s="1917"/>
      <c r="AA379" s="1918"/>
      <c r="AB379" s="177"/>
      <c r="AC379" s="1916"/>
      <c r="AD379" s="1917"/>
      <c r="AE379" s="1917"/>
      <c r="AF379" s="1918"/>
      <c r="AG379" s="177"/>
      <c r="AH379" s="1916"/>
      <c r="AI379" s="1917"/>
      <c r="AJ379" s="1917"/>
      <c r="AK379" s="1918"/>
      <c r="AL379" s="177"/>
    </row>
    <row r="380" spans="2:38" s="176" customFormat="1" ht="15" customHeight="1" x14ac:dyDescent="0.45">
      <c r="B380" s="1942"/>
      <c r="C380" s="1945"/>
      <c r="D380" s="1916"/>
      <c r="E380" s="1917"/>
      <c r="F380" s="1917"/>
      <c r="G380" s="1918"/>
      <c r="H380" s="177"/>
      <c r="I380" s="1916"/>
      <c r="J380" s="1917"/>
      <c r="K380" s="1917"/>
      <c r="L380" s="1918"/>
      <c r="M380" s="177"/>
      <c r="N380" s="1916"/>
      <c r="O380" s="1917"/>
      <c r="P380" s="1917"/>
      <c r="Q380" s="1918"/>
      <c r="R380" s="177"/>
      <c r="S380" s="1916"/>
      <c r="T380" s="1917"/>
      <c r="U380" s="1917"/>
      <c r="V380" s="1918"/>
      <c r="W380" s="177"/>
      <c r="X380" s="1916"/>
      <c r="Y380" s="1917"/>
      <c r="Z380" s="1917"/>
      <c r="AA380" s="1918"/>
      <c r="AB380" s="177"/>
      <c r="AC380" s="1916"/>
      <c r="AD380" s="1917"/>
      <c r="AE380" s="1917"/>
      <c r="AF380" s="1918"/>
      <c r="AG380" s="177"/>
      <c r="AH380" s="1916"/>
      <c r="AI380" s="1917"/>
      <c r="AJ380" s="1917"/>
      <c r="AK380" s="1918"/>
      <c r="AL380" s="177"/>
    </row>
    <row r="381" spans="2:38" s="176" customFormat="1" x14ac:dyDescent="0.45">
      <c r="B381" s="1942"/>
      <c r="C381" s="1945"/>
      <c r="D381" s="1916"/>
      <c r="E381" s="1917"/>
      <c r="F381" s="1917"/>
      <c r="G381" s="1918"/>
      <c r="H381" s="177"/>
      <c r="I381" s="1916"/>
      <c r="J381" s="1917"/>
      <c r="K381" s="1917"/>
      <c r="L381" s="1918"/>
      <c r="M381" s="177"/>
      <c r="N381" s="1916"/>
      <c r="O381" s="1917"/>
      <c r="P381" s="1917"/>
      <c r="Q381" s="1918"/>
      <c r="R381" s="177"/>
      <c r="S381" s="1916"/>
      <c r="T381" s="1917"/>
      <c r="U381" s="1917"/>
      <c r="V381" s="1918"/>
      <c r="W381" s="177"/>
      <c r="X381" s="1916"/>
      <c r="Y381" s="1917"/>
      <c r="Z381" s="1917"/>
      <c r="AA381" s="1918"/>
      <c r="AB381" s="177"/>
      <c r="AC381" s="1916"/>
      <c r="AD381" s="1917"/>
      <c r="AE381" s="1917"/>
      <c r="AF381" s="1918"/>
      <c r="AG381" s="177"/>
      <c r="AH381" s="1916"/>
      <c r="AI381" s="1917"/>
      <c r="AJ381" s="1917"/>
      <c r="AK381" s="1918"/>
      <c r="AL381" s="177"/>
    </row>
    <row r="382" spans="2:38" s="176" customFormat="1" x14ac:dyDescent="0.45">
      <c r="B382" s="1942"/>
      <c r="C382" s="1945"/>
      <c r="D382" s="1916"/>
      <c r="E382" s="1917"/>
      <c r="F382" s="1917"/>
      <c r="G382" s="1918"/>
      <c r="H382" s="177"/>
      <c r="I382" s="1916"/>
      <c r="J382" s="1917"/>
      <c r="K382" s="1917"/>
      <c r="L382" s="1918"/>
      <c r="M382" s="177"/>
      <c r="N382" s="1916"/>
      <c r="O382" s="1917"/>
      <c r="P382" s="1917"/>
      <c r="Q382" s="1918"/>
      <c r="R382" s="177"/>
      <c r="S382" s="1916"/>
      <c r="T382" s="1917"/>
      <c r="U382" s="1917"/>
      <c r="V382" s="1918"/>
      <c r="W382" s="177"/>
      <c r="X382" s="1916"/>
      <c r="Y382" s="1917"/>
      <c r="Z382" s="1917"/>
      <c r="AA382" s="1918"/>
      <c r="AB382" s="177"/>
      <c r="AC382" s="1916"/>
      <c r="AD382" s="1917"/>
      <c r="AE382" s="1917"/>
      <c r="AF382" s="1918"/>
      <c r="AG382" s="177"/>
      <c r="AH382" s="1916"/>
      <c r="AI382" s="1917"/>
      <c r="AJ382" s="1917"/>
      <c r="AK382" s="1918"/>
      <c r="AL382" s="177"/>
    </row>
    <row r="383" spans="2:38" s="176" customFormat="1" x14ac:dyDescent="0.45">
      <c r="B383" s="1942"/>
      <c r="C383" s="1945"/>
      <c r="D383" s="1916"/>
      <c r="E383" s="1917"/>
      <c r="F383" s="1917"/>
      <c r="G383" s="1918"/>
      <c r="H383" s="177"/>
      <c r="I383" s="1916"/>
      <c r="J383" s="1917"/>
      <c r="K383" s="1917"/>
      <c r="L383" s="1918"/>
      <c r="M383" s="177"/>
      <c r="N383" s="1916"/>
      <c r="O383" s="1917"/>
      <c r="P383" s="1917"/>
      <c r="Q383" s="1918"/>
      <c r="R383" s="177"/>
      <c r="S383" s="1916"/>
      <c r="T383" s="1917"/>
      <c r="U383" s="1917"/>
      <c r="V383" s="1918"/>
      <c r="W383" s="177"/>
      <c r="X383" s="1916"/>
      <c r="Y383" s="1917"/>
      <c r="Z383" s="1917"/>
      <c r="AA383" s="1918"/>
      <c r="AB383" s="177"/>
      <c r="AC383" s="1916"/>
      <c r="AD383" s="1917"/>
      <c r="AE383" s="1917"/>
      <c r="AF383" s="1918"/>
      <c r="AG383" s="177"/>
      <c r="AH383" s="1916"/>
      <c r="AI383" s="1917"/>
      <c r="AJ383" s="1917"/>
      <c r="AK383" s="1918"/>
      <c r="AL383" s="177"/>
    </row>
    <row r="384" spans="2:38" s="176" customFormat="1" x14ac:dyDescent="0.45">
      <c r="B384" s="1942"/>
      <c r="C384" s="1945"/>
      <c r="D384" s="1916"/>
      <c r="E384" s="1917"/>
      <c r="F384" s="1917"/>
      <c r="G384" s="1918"/>
      <c r="H384" s="177"/>
      <c r="I384" s="1916"/>
      <c r="J384" s="1917"/>
      <c r="K384" s="1917"/>
      <c r="L384" s="1918"/>
      <c r="M384" s="177"/>
      <c r="N384" s="1916"/>
      <c r="O384" s="1917"/>
      <c r="P384" s="1917"/>
      <c r="Q384" s="1918"/>
      <c r="R384" s="177"/>
      <c r="S384" s="1916"/>
      <c r="T384" s="1917"/>
      <c r="U384" s="1917"/>
      <c r="V384" s="1918"/>
      <c r="W384" s="177"/>
      <c r="X384" s="1916"/>
      <c r="Y384" s="1917"/>
      <c r="Z384" s="1917"/>
      <c r="AA384" s="1918"/>
      <c r="AB384" s="177"/>
      <c r="AC384" s="1916"/>
      <c r="AD384" s="1917"/>
      <c r="AE384" s="1917"/>
      <c r="AF384" s="1918"/>
      <c r="AG384" s="177"/>
      <c r="AH384" s="1916"/>
      <c r="AI384" s="1917"/>
      <c r="AJ384" s="1917"/>
      <c r="AK384" s="1918"/>
      <c r="AL384" s="177"/>
    </row>
    <row r="385" spans="2:38" s="176" customFormat="1" x14ac:dyDescent="0.45">
      <c r="B385" s="1942"/>
      <c r="C385" s="1945"/>
      <c r="D385" s="1916"/>
      <c r="E385" s="1917"/>
      <c r="F385" s="1917"/>
      <c r="G385" s="1918"/>
      <c r="H385" s="177"/>
      <c r="I385" s="1916"/>
      <c r="J385" s="1917"/>
      <c r="K385" s="1917"/>
      <c r="L385" s="1918"/>
      <c r="M385" s="177"/>
      <c r="N385" s="1916"/>
      <c r="O385" s="1917"/>
      <c r="P385" s="1917"/>
      <c r="Q385" s="1918"/>
      <c r="R385" s="177"/>
      <c r="S385" s="1916"/>
      <c r="T385" s="1917"/>
      <c r="U385" s="1917"/>
      <c r="V385" s="1918"/>
      <c r="W385" s="177"/>
      <c r="X385" s="1916"/>
      <c r="Y385" s="1917"/>
      <c r="Z385" s="1917"/>
      <c r="AA385" s="1918"/>
      <c r="AB385" s="177"/>
      <c r="AC385" s="1916"/>
      <c r="AD385" s="1917"/>
      <c r="AE385" s="1917"/>
      <c r="AF385" s="1918"/>
      <c r="AG385" s="177"/>
      <c r="AH385" s="1916"/>
      <c r="AI385" s="1917"/>
      <c r="AJ385" s="1917"/>
      <c r="AK385" s="1918"/>
      <c r="AL385" s="177"/>
    </row>
    <row r="386" spans="2:38" s="176" customFormat="1" ht="15" customHeight="1" x14ac:dyDescent="0.45">
      <c r="B386" s="1942"/>
      <c r="C386" s="1945"/>
      <c r="D386" s="1919"/>
      <c r="E386" s="1920"/>
      <c r="F386" s="1920"/>
      <c r="G386" s="1921"/>
      <c r="H386" s="177"/>
      <c r="I386" s="1919"/>
      <c r="J386" s="1920"/>
      <c r="K386" s="1920"/>
      <c r="L386" s="1921"/>
      <c r="M386" s="177"/>
      <c r="N386" s="1919"/>
      <c r="O386" s="1920"/>
      <c r="P386" s="1920"/>
      <c r="Q386" s="1921"/>
      <c r="R386" s="177"/>
      <c r="S386" s="1919"/>
      <c r="T386" s="1920"/>
      <c r="U386" s="1920"/>
      <c r="V386" s="1921"/>
      <c r="W386" s="177"/>
      <c r="X386" s="1919"/>
      <c r="Y386" s="1920"/>
      <c r="Z386" s="1920"/>
      <c r="AA386" s="1921"/>
      <c r="AB386" s="177"/>
      <c r="AC386" s="1919"/>
      <c r="AD386" s="1920"/>
      <c r="AE386" s="1920"/>
      <c r="AF386" s="1921"/>
      <c r="AG386" s="177"/>
      <c r="AH386" s="1919"/>
      <c r="AI386" s="1920"/>
      <c r="AJ386" s="1920"/>
      <c r="AK386" s="1921"/>
      <c r="AL386" s="177"/>
    </row>
    <row r="387" spans="2:38" s="176" customFormat="1" ht="15" customHeight="1" x14ac:dyDescent="0.45">
      <c r="B387" s="1942"/>
      <c r="C387" s="1945"/>
      <c r="D387" s="1913" t="str">
        <f ca="1">IF(G367&gt;0,CONCATENATE("Session Aim: 
", CONCATENATE(IF(INDEX(final_duration_secondary,((WEEKDAY(E$3,2)*2-1)+IF(E367="Morning",0,1)),D367)=0, "", "1. "),
INDEX(sessions_aim_primary,, INDEX(plan_session_allocation,((WEEKDAY(E$3,2)*2-1)+IF(E367="Morning",0,1)),D367)), IF(INDEX(final_duration_secondary,((WEEKDAY(E$3,2)*2-1)+IF(E367="Morning",0,1)),D367)=0, "", "
2. "),
IF(INDEX(final_duration_secondary,((WEEKDAY(E$3,2)*2-1)+IF(E367="Morning",0,1)),D367)=0, "", INDEX(sessions_aim_secondary,, INDEX(plan_session_allocation,((WEEKDAY(E$3,2)*2-1)+IF(E367="Morning",0,1)),D367))), IF(INDEX(final_duration_tertiary,((WEEKDAY(E$3,2)*2-1)+IF(E367="Morning",0,1)),D367)=0, "", "
3. "),
IF(INDEX(final_duration_tertiary,((WEEKDAY(E$3,2)*2-1)+IF(E367="Morning",0,1)),D367)=0, "", INDEX(sessions_aim_tertiary,, INDEX(plan_session_allocation,((WEEKDAY(E$3,2)*2-1)+IF(E367="Morning",0,1)),D367))),
IF(INDEX(display_nutrition_description,((WEEKDAY(E$3,2)*2-1)+IF(E367="Morning",0,1)),D367)="","",
CONCATENATE("
Nutrition Aim:
", INDEX(sessions_aim_nutrition,,INDEX(plan_session_allocation,((WEEKDAY(E$3,2)*2-1)+IF(E367="Morning",0,1)),D367))
))
)),"")</f>
        <v xml:space="preserve">Session Aim: 
1. Increase strength of specific muscle groups, running economy and injury resistance. 
2. Release tension that develops in soft tissue from training and non-training stresses. </v>
      </c>
      <c r="E387" s="1914"/>
      <c r="F387" s="1914"/>
      <c r="G387" s="1915"/>
      <c r="H387" s="177"/>
      <c r="I387" s="1913" t="str">
        <f ca="1">IF(L367&gt;0,CONCATENATE("Session Aim: 
", CONCATENATE(IF(INDEX(final_duration_secondary,((WEEKDAY(J$3,2)*2-1)+IF(J367="Morning",0,1)),I367)=0, "", "1. "),
INDEX(sessions_aim_primary,, INDEX(plan_session_allocation,((WEEKDAY(J$3,2)*2-1)+IF(J367="Morning",0,1)),I367)), IF(INDEX(final_duration_secondary,((WEEKDAY(J$3,2)*2-1)+IF(J367="Morning",0,1)),I367)=0, "", "
2. "),
IF(INDEX(final_duration_secondary,((WEEKDAY(J$3,2)*2-1)+IF(J367="Morning",0,1)),I367)=0, "", INDEX(sessions_aim_secondary,, INDEX(plan_session_allocation,((WEEKDAY(J$3,2)*2-1)+IF(J367="Morning",0,1)),I367))), IF(INDEX(final_duration_tertiary,((WEEKDAY(J$3,2)*2-1)+IF(J367="Morning",0,1)),I367)=0, "", "
3. "),
IF(INDEX(final_duration_tertiary,((WEEKDAY(J$3,2)*2-1)+IF(J367="Morning",0,1)),I367)=0, "", INDEX(sessions_aim_tertiary,, INDEX(plan_session_allocation,((WEEKDAY(J$3,2)*2-1)+IF(J367="Morning",0,1)),I367))),
IF(INDEX(display_nutrition_description,((WEEKDAY(J$3,2)*2-1)+IF(J367="Morning",0,1)),I367)="","",
CONCATENATE("
Nutrition Aim:
", INDEX(sessions_aim_nutrition,,INDEX(plan_session_allocation,((WEEKDAY(J$3,2)*2-1)+IF(J367="Morning",0,1)),I367))
))
)),"")</f>
        <v xml:space="preserve">Session Aim: 
Improve endurance by increasing lactate threshold and developing mental toughness. </v>
      </c>
      <c r="J387" s="1914"/>
      <c r="K387" s="1914"/>
      <c r="L387" s="1915"/>
      <c r="M387" s="177"/>
      <c r="N387" s="1913" t="str">
        <f ca="1">IF(Q367&gt;0,CONCATENATE("Session Aim: 
", CONCATENATE(IF(INDEX(final_duration_secondary,((WEEKDAY(O$3,2)*2-1)+IF(O367="Morning",0,1)),N367)=0, "", "1. "),
INDEX(sessions_aim_primary,, INDEX(plan_session_allocation,((WEEKDAY(O$3,2)*2-1)+IF(O367="Morning",0,1)),N367)), IF(INDEX(final_duration_secondary,((WEEKDAY(O$3,2)*2-1)+IF(O367="Morning",0,1)),N367)=0, "", "
2. "),
IF(INDEX(final_duration_secondary,((WEEKDAY(O$3,2)*2-1)+IF(O367="Morning",0,1)),N367)=0, "", INDEX(sessions_aim_secondary,, INDEX(plan_session_allocation,((WEEKDAY(O$3,2)*2-1)+IF(O367="Morning",0,1)),N367))), IF(INDEX(final_duration_tertiary,((WEEKDAY(O$3,2)*2-1)+IF(O367="Morning",0,1)),N367)=0, "", "
3. "),
IF(INDEX(final_duration_tertiary,((WEEKDAY(O$3,2)*2-1)+IF(O367="Morning",0,1)),N367)=0, "", INDEX(sessions_aim_tertiary,, INDEX(plan_session_allocation,((WEEKDAY(O$3,2)*2-1)+IF(O367="Morning",0,1)),N367))),
IF(INDEX(display_nutrition_description,((WEEKDAY(O$3,2)*2-1)+IF(O367="Morning",0,1)),N367)="","",
CONCATENATE("
Nutrition Aim:
", INDEX(sessions_aim_nutrition,,INDEX(plan_session_allocation,((WEEKDAY(O$3,2)*2-1)+IF(O367="Morning",0,1)),N367))
))
)),"")</f>
        <v xml:space="preserve">Session Aim: 
Improve aerobic fitness while minimising the chance of injury. </v>
      </c>
      <c r="O387" s="1914"/>
      <c r="P387" s="1914"/>
      <c r="Q387" s="1915"/>
      <c r="R387" s="177"/>
      <c r="S387" s="1913" t="str">
        <f ca="1">IF(V367&gt;0,CONCATENATE("Session Aim: 
", CONCATENATE(IF(INDEX(final_duration_secondary,((WEEKDAY(T$3,2)*2-1)+IF(T367="Morning",0,1)),S367)=0, "", "1. "),
INDEX(sessions_aim_primary,, INDEX(plan_session_allocation,((WEEKDAY(T$3,2)*2-1)+IF(T367="Morning",0,1)),S367)), IF(INDEX(final_duration_secondary,((WEEKDAY(T$3,2)*2-1)+IF(T367="Morning",0,1)),S367)=0, "", "
2. "),
IF(INDEX(final_duration_secondary,((WEEKDAY(T$3,2)*2-1)+IF(T367="Morning",0,1)),S367)=0, "", INDEX(sessions_aim_secondary,, INDEX(plan_session_allocation,((WEEKDAY(T$3,2)*2-1)+IF(T367="Morning",0,1)),S367))), IF(INDEX(final_duration_tertiary,((WEEKDAY(T$3,2)*2-1)+IF(T367="Morning",0,1)),S367)=0, "", "
3. "),
IF(INDEX(final_duration_tertiary,((WEEKDAY(T$3,2)*2-1)+IF(T367="Morning",0,1)),S367)=0, "", INDEX(sessions_aim_tertiary,, INDEX(plan_session_allocation,((WEEKDAY(T$3,2)*2-1)+IF(T367="Morning",0,1)),S367))),
IF(INDEX(display_nutrition_description,((WEEKDAY(T$3,2)*2-1)+IF(T367="Morning",0,1)),S367)="","",
CONCATENATE("
Nutrition Aim:
", INDEX(sessions_aim_nutrition,,INDEX(plan_session_allocation,((WEEKDAY(T$3,2)*2-1)+IF(T367="Morning",0,1)),S367))
))
)),"")</f>
        <v>Session Aim: 
Improve aerobic fitness at an optimal rate.</v>
      </c>
      <c r="T387" s="1914"/>
      <c r="U387" s="1914"/>
      <c r="V387" s="1915"/>
      <c r="W387" s="177"/>
      <c r="X387" s="1913" t="str">
        <f ca="1">IF(AA367&gt;0,CONCATENATE("Session Aim: 
", CONCATENATE(IF(INDEX(final_duration_secondary,((WEEKDAY(Y$3,2)*2-1)+IF(Y367="Morning",0,1)),X367)=0, "", "1. "),
INDEX(sessions_aim_primary,, INDEX(plan_session_allocation,((WEEKDAY(Y$3,2)*2-1)+IF(Y367="Morning",0,1)),X367)), IF(INDEX(final_duration_secondary,((WEEKDAY(Y$3,2)*2-1)+IF(Y367="Morning",0,1)),X367)=0, "", "
2. "),
IF(INDEX(final_duration_secondary,((WEEKDAY(Y$3,2)*2-1)+IF(Y367="Morning",0,1)),X367)=0, "", INDEX(sessions_aim_secondary,, INDEX(plan_session_allocation,((WEEKDAY(Y$3,2)*2-1)+IF(Y367="Morning",0,1)),X367))), IF(INDEX(final_duration_tertiary,((WEEKDAY(Y$3,2)*2-1)+IF(Y367="Morning",0,1)),X367)=0, "", "
3. "),
IF(INDEX(final_duration_tertiary,((WEEKDAY(Y$3,2)*2-1)+IF(Y367="Morning",0,1)),X367)=0, "", INDEX(sessions_aim_tertiary,, INDEX(plan_session_allocation,((WEEKDAY(Y$3,2)*2-1)+IF(Y367="Morning",0,1)),X367))),
IF(INDEX(display_nutrition_description,((WEEKDAY(Y$3,2)*2-1)+IF(Y367="Morning",0,1)),X367)="","",
CONCATENATE("
Nutrition Aim:
", INDEX(sessions_aim_nutrition,,INDEX(plan_session_allocation,((WEEKDAY(Y$3,2)*2-1)+IF(Y367="Morning",0,1)),X367))
))
)),"")</f>
        <v xml:space="preserve">Session Aim: 
1. Increase strength of specific muscle groups, running economy and injury resistance. 
2. Release tension that develops in soft tissue from training and non-training stresses. </v>
      </c>
      <c r="Y387" s="1914"/>
      <c r="Z387" s="1914"/>
      <c r="AA387" s="1915"/>
      <c r="AB387" s="177"/>
      <c r="AC387" s="1913" t="str">
        <f ca="1">IF(AF367&gt;0,CONCATENATE("Session Aim: 
", CONCATENATE(IF(INDEX(final_duration_secondary,((WEEKDAY(AD$3,2)*2-1)+IF(AD367="Morning",0,1)),AC367)=0, "", "1. "),
INDEX(sessions_aim_primary,, INDEX(plan_session_allocation,((WEEKDAY(AD$3,2)*2-1)+IF(AD367="Morning",0,1)),AC367)), IF(INDEX(final_duration_secondary,((WEEKDAY(AD$3,2)*2-1)+IF(AD367="Morning",0,1)),AC367)=0, "", "
2. "),
IF(INDEX(final_duration_secondary,((WEEKDAY(AD$3,2)*2-1)+IF(AD367="Morning",0,1)),AC367)=0, "", INDEX(sessions_aim_secondary,, INDEX(plan_session_allocation,((WEEKDAY(AD$3,2)*2-1)+IF(AD367="Morning",0,1)),AC367))), IF(INDEX(final_duration_tertiary,((WEEKDAY(AD$3,2)*2-1)+IF(AD367="Morning",0,1)),AC367)=0, "", "
3. "),
IF(INDEX(final_duration_tertiary,((WEEKDAY(AD$3,2)*2-1)+IF(AD367="Morning",0,1)),AC367)=0, "", INDEX(sessions_aim_tertiary,, INDEX(plan_session_allocation,((WEEKDAY(AD$3,2)*2-1)+IF(AD367="Morning",0,1)),AC367))),
IF(INDEX(display_nutrition_description,((WEEKDAY(AD$3,2)*2-1)+IF(AD367="Morning",0,1)),AC367)="","",
CONCATENATE("
Nutrition Aim:
", INDEX(sessions_aim_nutrition,,INDEX(plan_session_allocation,((WEEKDAY(AD$3,2)*2-1)+IF(AD367="Morning",0,1)),AC367))
))
)),"")</f>
        <v xml:space="preserve">Session Aim: 
Improve aerobic fitness while minimising the chance of injury. </v>
      </c>
      <c r="AD387" s="1914"/>
      <c r="AE387" s="1914"/>
      <c r="AF387" s="1915"/>
      <c r="AG387" s="177"/>
      <c r="AH387" s="1913" t="str">
        <f ca="1">IF(AK367&gt;0,CONCATENATE("Session Aim: 
", CONCATENATE(IF(INDEX(final_duration_secondary,((WEEKDAY(AI$3,2)*2-1)+IF(AI367="Morning",0,1)),AH367)=0, "", "1. "),
INDEX(sessions_aim_primary,, INDEX(plan_session_allocation,((WEEKDAY(AI$3,2)*2-1)+IF(AI367="Morning",0,1)),AH367)), IF(INDEX(final_duration_secondary,((WEEKDAY(AI$3,2)*2-1)+IF(AI367="Morning",0,1)),AH367)=0, "", "
2. "),
IF(INDEX(final_duration_secondary,((WEEKDAY(AI$3,2)*2-1)+IF(AI367="Morning",0,1)),AH367)=0, "", INDEX(sessions_aim_secondary,, INDEX(plan_session_allocation,((WEEKDAY(AI$3,2)*2-1)+IF(AI367="Morning",0,1)),AH367))), IF(INDEX(final_duration_tertiary,((WEEKDAY(AI$3,2)*2-1)+IF(AI367="Morning",0,1)),AH367)=0, "", "
3. "),
IF(INDEX(final_duration_tertiary,((WEEKDAY(AI$3,2)*2-1)+IF(AI367="Morning",0,1)),AH367)=0, "", INDEX(sessions_aim_tertiary,, INDEX(plan_session_allocation,((WEEKDAY(AI$3,2)*2-1)+IF(AI367="Morning",0,1)),AH367))),
IF(INDEX(display_nutrition_description,((WEEKDAY(AI$3,2)*2-1)+IF(AI367="Morning",0,1)),AH367)="","",
CONCATENATE("
Nutrition Aim:
", INDEX(sessions_aim_nutrition,,INDEX(plan_session_allocation,((WEEKDAY(AI$3,2)*2-1)+IF(AI367="Morning",0,1)),AH367))
))
)),"")</f>
        <v/>
      </c>
      <c r="AI387" s="1914"/>
      <c r="AJ387" s="1914"/>
      <c r="AK387" s="1915"/>
      <c r="AL387" s="177"/>
    </row>
    <row r="388" spans="2:38" s="176" customFormat="1" x14ac:dyDescent="0.45">
      <c r="B388" s="1942"/>
      <c r="C388" s="1945"/>
      <c r="D388" s="1916"/>
      <c r="E388" s="1917"/>
      <c r="F388" s="1917"/>
      <c r="G388" s="1918"/>
      <c r="H388" s="177"/>
      <c r="I388" s="1916"/>
      <c r="J388" s="1917"/>
      <c r="K388" s="1917"/>
      <c r="L388" s="1918"/>
      <c r="M388" s="177"/>
      <c r="N388" s="1916"/>
      <c r="O388" s="1917"/>
      <c r="P388" s="1917"/>
      <c r="Q388" s="1918"/>
      <c r="R388" s="177"/>
      <c r="S388" s="1916"/>
      <c r="T388" s="1917"/>
      <c r="U388" s="1917"/>
      <c r="V388" s="1918"/>
      <c r="W388" s="177"/>
      <c r="X388" s="1916"/>
      <c r="Y388" s="1917"/>
      <c r="Z388" s="1917"/>
      <c r="AA388" s="1918"/>
      <c r="AB388" s="177"/>
      <c r="AC388" s="1916"/>
      <c r="AD388" s="1917"/>
      <c r="AE388" s="1917"/>
      <c r="AF388" s="1918"/>
      <c r="AG388" s="177"/>
      <c r="AH388" s="1916"/>
      <c r="AI388" s="1917"/>
      <c r="AJ388" s="1917"/>
      <c r="AK388" s="1918"/>
      <c r="AL388" s="177"/>
    </row>
    <row r="389" spans="2:38" s="176" customFormat="1" x14ac:dyDescent="0.45">
      <c r="B389" s="1942"/>
      <c r="C389" s="1945"/>
      <c r="D389" s="1916"/>
      <c r="E389" s="1917"/>
      <c r="F389" s="1917"/>
      <c r="G389" s="1918"/>
      <c r="H389" s="177"/>
      <c r="I389" s="1916"/>
      <c r="J389" s="1917"/>
      <c r="K389" s="1917"/>
      <c r="L389" s="1918"/>
      <c r="M389" s="177"/>
      <c r="N389" s="1916"/>
      <c r="O389" s="1917"/>
      <c r="P389" s="1917"/>
      <c r="Q389" s="1918"/>
      <c r="R389" s="177"/>
      <c r="S389" s="1916"/>
      <c r="T389" s="1917"/>
      <c r="U389" s="1917"/>
      <c r="V389" s="1918"/>
      <c r="W389" s="177"/>
      <c r="X389" s="1916"/>
      <c r="Y389" s="1917"/>
      <c r="Z389" s="1917"/>
      <c r="AA389" s="1918"/>
      <c r="AB389" s="177"/>
      <c r="AC389" s="1916"/>
      <c r="AD389" s="1917"/>
      <c r="AE389" s="1917"/>
      <c r="AF389" s="1918"/>
      <c r="AG389" s="177"/>
      <c r="AH389" s="1916"/>
      <c r="AI389" s="1917"/>
      <c r="AJ389" s="1917"/>
      <c r="AK389" s="1918"/>
      <c r="AL389" s="177"/>
    </row>
    <row r="390" spans="2:38" s="176" customFormat="1" x14ac:dyDescent="0.45">
      <c r="B390" s="1942"/>
      <c r="C390" s="1945"/>
      <c r="D390" s="1916"/>
      <c r="E390" s="1917"/>
      <c r="F390" s="1917"/>
      <c r="G390" s="1918"/>
      <c r="H390" s="177"/>
      <c r="I390" s="1916"/>
      <c r="J390" s="1917"/>
      <c r="K390" s="1917"/>
      <c r="L390" s="1918"/>
      <c r="M390" s="177"/>
      <c r="N390" s="1916"/>
      <c r="O390" s="1917"/>
      <c r="P390" s="1917"/>
      <c r="Q390" s="1918"/>
      <c r="R390" s="177"/>
      <c r="S390" s="1916"/>
      <c r="T390" s="1917"/>
      <c r="U390" s="1917"/>
      <c r="V390" s="1918"/>
      <c r="W390" s="177"/>
      <c r="X390" s="1916"/>
      <c r="Y390" s="1917"/>
      <c r="Z390" s="1917"/>
      <c r="AA390" s="1918"/>
      <c r="AB390" s="177"/>
      <c r="AC390" s="1916"/>
      <c r="AD390" s="1917"/>
      <c r="AE390" s="1917"/>
      <c r="AF390" s="1918"/>
      <c r="AG390" s="177"/>
      <c r="AH390" s="1916"/>
      <c r="AI390" s="1917"/>
      <c r="AJ390" s="1917"/>
      <c r="AK390" s="1918"/>
      <c r="AL390" s="177"/>
    </row>
    <row r="391" spans="2:38" s="176" customFormat="1" x14ac:dyDescent="0.45">
      <c r="B391" s="1942"/>
      <c r="C391" s="1945"/>
      <c r="D391" s="1916"/>
      <c r="E391" s="1917"/>
      <c r="F391" s="1917"/>
      <c r="G391" s="1918"/>
      <c r="H391" s="177"/>
      <c r="I391" s="1916"/>
      <c r="J391" s="1917"/>
      <c r="K391" s="1917"/>
      <c r="L391" s="1918"/>
      <c r="M391" s="177"/>
      <c r="N391" s="1916"/>
      <c r="O391" s="1917"/>
      <c r="P391" s="1917"/>
      <c r="Q391" s="1918"/>
      <c r="R391" s="177"/>
      <c r="S391" s="1916"/>
      <c r="T391" s="1917"/>
      <c r="U391" s="1917"/>
      <c r="V391" s="1918"/>
      <c r="W391" s="177"/>
      <c r="X391" s="1916"/>
      <c r="Y391" s="1917"/>
      <c r="Z391" s="1917"/>
      <c r="AA391" s="1918"/>
      <c r="AB391" s="177"/>
      <c r="AC391" s="1916"/>
      <c r="AD391" s="1917"/>
      <c r="AE391" s="1917"/>
      <c r="AF391" s="1918"/>
      <c r="AG391" s="177"/>
      <c r="AH391" s="1916"/>
      <c r="AI391" s="1917"/>
      <c r="AJ391" s="1917"/>
      <c r="AK391" s="1918"/>
      <c r="AL391" s="177"/>
    </row>
    <row r="392" spans="2:38" s="176" customFormat="1" x14ac:dyDescent="0.45">
      <c r="B392" s="1942"/>
      <c r="C392" s="1945"/>
      <c r="D392" s="1916"/>
      <c r="E392" s="1917"/>
      <c r="F392" s="1917"/>
      <c r="G392" s="1918"/>
      <c r="H392" s="177"/>
      <c r="I392" s="1916"/>
      <c r="J392" s="1917"/>
      <c r="K392" s="1917"/>
      <c r="L392" s="1918"/>
      <c r="N392" s="1916"/>
      <c r="O392" s="1917"/>
      <c r="P392" s="1917"/>
      <c r="Q392" s="1918"/>
      <c r="S392" s="1916"/>
      <c r="T392" s="1917"/>
      <c r="U392" s="1917"/>
      <c r="V392" s="1918"/>
      <c r="X392" s="1916"/>
      <c r="Y392" s="1917"/>
      <c r="Z392" s="1917"/>
      <c r="AA392" s="1918"/>
      <c r="AC392" s="1916"/>
      <c r="AD392" s="1917"/>
      <c r="AE392" s="1917"/>
      <c r="AF392" s="1918"/>
      <c r="AH392" s="1916"/>
      <c r="AI392" s="1917"/>
      <c r="AJ392" s="1917"/>
      <c r="AK392" s="1918"/>
    </row>
    <row r="393" spans="2:38" s="176" customFormat="1" ht="14.65" thickBot="1" x14ac:dyDescent="0.5">
      <c r="B393" s="1943"/>
      <c r="C393" s="1946"/>
      <c r="D393" s="1938"/>
      <c r="E393" s="1939"/>
      <c r="F393" s="1939"/>
      <c r="G393" s="1940"/>
      <c r="H393" s="177"/>
      <c r="I393" s="1938"/>
      <c r="J393" s="1939"/>
      <c r="K393" s="1939"/>
      <c r="L393" s="1940"/>
      <c r="N393" s="1938"/>
      <c r="O393" s="1939"/>
      <c r="P393" s="1939"/>
      <c r="Q393" s="1940"/>
      <c r="S393" s="1938"/>
      <c r="T393" s="1939"/>
      <c r="U393" s="1939"/>
      <c r="V393" s="1940"/>
      <c r="X393" s="1938"/>
      <c r="Y393" s="1939"/>
      <c r="Z393" s="1939"/>
      <c r="AA393" s="1940"/>
      <c r="AC393" s="1938"/>
      <c r="AD393" s="1939"/>
      <c r="AE393" s="1939"/>
      <c r="AF393" s="1940"/>
      <c r="AH393" s="1938"/>
      <c r="AI393" s="1939"/>
      <c r="AJ393" s="1939"/>
      <c r="AK393" s="1940"/>
    </row>
    <row r="394" spans="2:38" s="176" customFormat="1" ht="14.65" thickBot="1" x14ac:dyDescent="0.5">
      <c r="H394" s="177"/>
    </row>
    <row r="395" spans="2:38" s="176" customFormat="1" ht="15" customHeight="1" thickBot="1" x14ac:dyDescent="0.5">
      <c r="B395" s="1941">
        <v>8</v>
      </c>
      <c r="C395" s="1944" t="str">
        <f ca="1">IF(INDEX(display_strategy,1,B395)="","", CONCATENATE(INDEX(display_strategy,1,B395),": ",HLOOKUP(INDEX(display_strategy,1,B395),strategies,4,TRUE)))</f>
        <v>Taper: Freshen up leading into a race without confusing your body.</v>
      </c>
      <c r="D395" s="1418" t="str">
        <f ca="1">CONCATENATE("Strategy: ",INDEX(display_strategy,$B395))</f>
        <v>Strategy: Taper</v>
      </c>
      <c r="E395" s="1947">
        <f>plan_start_date + ($B395-1)*7 + (COLUMN(D$2)-2)/5</f>
        <v>43423.4</v>
      </c>
      <c r="F395" s="1947"/>
      <c r="G395" s="1417" t="str">
        <f>CONCATENATE("Slot: ", ((WEEKDAY(E$3,2)*2-1)+IF(E396="Morning",0,1)))</f>
        <v>Slot: 1</v>
      </c>
      <c r="H395" s="177"/>
      <c r="I395" s="1418" t="str">
        <f ca="1">CONCATENATE("Strategy: ",INDEX(display_strategy,$B395))</f>
        <v>Strategy: Taper</v>
      </c>
      <c r="J395" s="1947">
        <f>plan_start_date + ($B395-1)*7 + (COLUMN(I$2)-2)/5</f>
        <v>43424.4</v>
      </c>
      <c r="K395" s="1947"/>
      <c r="L395" s="1417" t="str">
        <f>CONCATENATE("Slot: ", ((WEEKDAY(J$3,2)*2-1)+IF(J396="Morning",0,1)))</f>
        <v>Slot: 3</v>
      </c>
      <c r="N395" s="1418" t="str">
        <f ca="1">CONCATENATE("Strategy: ",INDEX(display_strategy,$B395))</f>
        <v>Strategy: Taper</v>
      </c>
      <c r="O395" s="1947">
        <f>plan_start_date + ($B395-1)*7 + (COLUMN(N$2)-2)/5</f>
        <v>43425.4</v>
      </c>
      <c r="P395" s="1947"/>
      <c r="Q395" s="1417" t="str">
        <f>CONCATENATE("Slot: ", ((WEEKDAY(O$3,2)*2-1)+IF(O396="Morning",0,1)))</f>
        <v>Slot: 5</v>
      </c>
      <c r="S395" s="1418" t="str">
        <f ca="1">CONCATENATE("Strategy: ",INDEX(display_strategy,$B395))</f>
        <v>Strategy: Taper</v>
      </c>
      <c r="T395" s="1947">
        <f>plan_start_date + ($B395-1)*7 + (COLUMN(S$2)-2)/5</f>
        <v>43426.400000000001</v>
      </c>
      <c r="U395" s="1947"/>
      <c r="V395" s="1417" t="str">
        <f>CONCATENATE("Slot: ", ((WEEKDAY(T$3,2)*2-1)+IF(T396="Morning",0,1)))</f>
        <v>Slot: 7</v>
      </c>
      <c r="X395" s="1418" t="str">
        <f ca="1">CONCATENATE("Strategy: ",INDEX(display_strategy,$B395))</f>
        <v>Strategy: Taper</v>
      </c>
      <c r="Y395" s="1947">
        <f>plan_start_date + ($B395-1)*7 + (COLUMN(X$2)-2)/5</f>
        <v>43427.4</v>
      </c>
      <c r="Z395" s="1947"/>
      <c r="AA395" s="1417" t="str">
        <f>CONCATENATE("Slot: ", ((WEEKDAY(Y$3,2)*2-1)+IF(Y396="Morning",0,1)))</f>
        <v>Slot: 9</v>
      </c>
      <c r="AC395" s="1418" t="str">
        <f ca="1">CONCATENATE("Strategy: ",INDEX(display_strategy,$B395))</f>
        <v>Strategy: Taper</v>
      </c>
      <c r="AD395" s="1947">
        <f>plan_start_date + ($B395-1)*7 + (COLUMN(AC$2)-2)/5</f>
        <v>43428.4</v>
      </c>
      <c r="AE395" s="1947"/>
      <c r="AF395" s="1417" t="str">
        <f>CONCATENATE("Slot: ", ((WEEKDAY(AD$3,2)*2-1)+IF(AD396="Morning",0,1)))</f>
        <v>Slot: 11</v>
      </c>
      <c r="AH395" s="1418" t="str">
        <f ca="1">CONCATENATE("Strategy: ",INDEX(display_strategy,$B395))</f>
        <v>Strategy: Taper</v>
      </c>
      <c r="AI395" s="1947">
        <f>plan_start_date + ($B395-1)*7 + (COLUMN(AH$2)-2)/5</f>
        <v>43429.4</v>
      </c>
      <c r="AJ395" s="1947"/>
      <c r="AK395" s="1417" t="str">
        <f>CONCATENATE("Slot: ", ((WEEKDAY(AI$3,2)*2-1)+IF(AI396="Morning",0,1)))</f>
        <v>Slot: 13</v>
      </c>
    </row>
    <row r="396" spans="2:38" s="176" customFormat="1" x14ac:dyDescent="0.45">
      <c r="B396" s="1942"/>
      <c r="C396" s="1945"/>
      <c r="D396" s="1413">
        <f>$B395</f>
        <v>8</v>
      </c>
      <c r="E396" s="1930" t="s">
        <v>351</v>
      </c>
      <c r="F396" s="1930"/>
      <c r="G396" s="1412">
        <f ca="1">INDEX(final_duration_session, ((WEEKDAY(E$3,2)*2-1)+IF(E396="Morning",0,1)), $D396)</f>
        <v>40</v>
      </c>
      <c r="H396" s="177"/>
      <c r="I396" s="1413">
        <f>$B395</f>
        <v>8</v>
      </c>
      <c r="J396" s="1930" t="s">
        <v>351</v>
      </c>
      <c r="K396" s="1930"/>
      <c r="L396" s="1412">
        <f ca="1">INDEX(final_duration_session, ((WEEKDAY(J$3,2)*2-1)+IF(J396="Morning",0,1)), $D396)</f>
        <v>0</v>
      </c>
      <c r="M396" s="177"/>
      <c r="N396" s="1413">
        <f>$B395</f>
        <v>8</v>
      </c>
      <c r="O396" s="1930" t="s">
        <v>351</v>
      </c>
      <c r="P396" s="1930"/>
      <c r="Q396" s="1412">
        <f ca="1">INDEX(final_duration_session, ((WEEKDAY(O$3,2)*2-1)+IF(O396="Morning",0,1)), $D396)</f>
        <v>0</v>
      </c>
      <c r="R396" s="177"/>
      <c r="S396" s="1413">
        <f>$B395</f>
        <v>8</v>
      </c>
      <c r="T396" s="1930" t="s">
        <v>351</v>
      </c>
      <c r="U396" s="1930"/>
      <c r="V396" s="1412">
        <f ca="1">INDEX(final_duration_session, ((WEEKDAY(T$3,2)*2-1)+IF(T396="Morning",0,1)), $D396)</f>
        <v>0</v>
      </c>
      <c r="W396" s="177"/>
      <c r="X396" s="1413">
        <f>$B395</f>
        <v>8</v>
      </c>
      <c r="Y396" s="1930" t="s">
        <v>351</v>
      </c>
      <c r="Z396" s="1930"/>
      <c r="AA396" s="1412">
        <f ca="1">INDEX(final_duration_session, ((WEEKDAY(Y$3,2)*2-1)+IF(Y396="Morning",0,1)), $D396)</f>
        <v>40</v>
      </c>
      <c r="AB396" s="177"/>
      <c r="AC396" s="1413">
        <f>$B395</f>
        <v>8</v>
      </c>
      <c r="AD396" s="1930" t="s">
        <v>351</v>
      </c>
      <c r="AE396" s="1930"/>
      <c r="AF396" s="1412">
        <f ca="1">INDEX(final_duration_session, ((WEEKDAY(AD$3,2)*2-1)+IF(AD396="Morning",0,1)), $D396)</f>
        <v>70</v>
      </c>
      <c r="AG396" s="177"/>
      <c r="AH396" s="1413">
        <f>$B395</f>
        <v>8</v>
      </c>
      <c r="AI396" s="1930" t="s">
        <v>351</v>
      </c>
      <c r="AJ396" s="1930"/>
      <c r="AK396" s="1412">
        <f ca="1">INDEX(final_duration_session, ((WEEKDAY(AI$3,2)*2-1)+IF(AI396="Morning",0,1)), $D396)</f>
        <v>110</v>
      </c>
      <c r="AL396" s="177"/>
    </row>
    <row r="397" spans="2:38" s="176" customFormat="1" ht="15" customHeight="1" x14ac:dyDescent="0.45">
      <c r="B397" s="1942"/>
      <c r="C397" s="1945"/>
      <c r="D397" s="1931" t="str">
        <f ca="1">IF(G396&gt;0,INDEX(sessions_name,INDEX(plan_session_allocation,((WEEKDAY(E$3,2)*2-1)+IF(E396="Morning",0,1)),D396)),"")</f>
        <v>Easy</v>
      </c>
      <c r="E397" s="1932"/>
      <c r="F397" s="1932"/>
      <c r="G397" s="1933"/>
      <c r="H397" s="177"/>
      <c r="I397" s="1931" t="str">
        <f ca="1">IF(L396&gt;0,INDEX(sessions_name,INDEX(plan_session_allocation,((WEEKDAY(J$3,2)*2-1)+IF(J396="Morning",0,1)),I396)),"")</f>
        <v/>
      </c>
      <c r="J397" s="1932"/>
      <c r="K397" s="1932"/>
      <c r="L397" s="1933"/>
      <c r="M397" s="177"/>
      <c r="N397" s="1931" t="str">
        <f ca="1">IF(Q396&gt;0,INDEX(sessions_name,INDEX(plan_session_allocation,((WEEKDAY(O$3,2)*2-1)+IF(O396="Morning",0,1)),N396)),"")</f>
        <v/>
      </c>
      <c r="O397" s="1932"/>
      <c r="P397" s="1932"/>
      <c r="Q397" s="1933"/>
      <c r="R397" s="177"/>
      <c r="S397" s="1931" t="str">
        <f ca="1">IF(V396&gt;0,INDEX(sessions_name,INDEX(plan_session_allocation,((WEEKDAY(T$3,2)*2-1)+IF(T396="Morning",0,1)),S396)),"")</f>
        <v/>
      </c>
      <c r="T397" s="1932"/>
      <c r="U397" s="1932"/>
      <c r="V397" s="1933"/>
      <c r="W397" s="177"/>
      <c r="X397" s="1931" t="str">
        <f ca="1">IF(AA396&gt;0,INDEX(sessions_name,INDEX(plan_session_allocation,((WEEKDAY(Y$3,2)*2-1)+IF(Y396="Morning",0,1)),X396)),"")</f>
        <v>Easy</v>
      </c>
      <c r="Y397" s="1932"/>
      <c r="Z397" s="1932"/>
      <c r="AA397" s="1933"/>
      <c r="AB397" s="177"/>
      <c r="AC397" s="1931" t="str">
        <f ca="1">IF(AF396&gt;0,INDEX(sessions_name,INDEX(plan_session_allocation,((WEEKDAY(AD$3,2)*2-1)+IF(AD396="Morning",0,1)),AC396)),"")</f>
        <v>Drills</v>
      </c>
      <c r="AD397" s="1932"/>
      <c r="AE397" s="1932"/>
      <c r="AF397" s="1933"/>
      <c r="AG397" s="177"/>
      <c r="AH397" s="1931" t="str">
        <f ca="1">IF(AK396&gt;0,INDEX(sessions_name,INDEX(plan_session_allocation,((WEEKDAY(AI$3,2)*2-1)+IF(AI396="Morning",0,1)),AH396)),"")</f>
        <v>Long</v>
      </c>
      <c r="AI397" s="1932"/>
      <c r="AJ397" s="1932"/>
      <c r="AK397" s="1933"/>
      <c r="AL397" s="177"/>
    </row>
    <row r="398" spans="2:38" s="176" customFormat="1" ht="15" customHeight="1" x14ac:dyDescent="0.45">
      <c r="B398" s="1942"/>
      <c r="C398" s="1945"/>
      <c r="D398" s="1934" t="str">
        <f ca="1">IF(G396&gt;0,CONCATENATE("Sport: ",INDEX(sessions_sport_primary,INDEX(plan_session_allocation,(WEEKDAY(E$3,2)*2-1)+IF(E396="Morning",0,1),D396))),"")</f>
        <v>Sport: Ride</v>
      </c>
      <c r="E398" s="1935"/>
      <c r="F398" s="1936">
        <f ca="1">IF(G396&gt;0,IFERROR(F399+F400+F401,""),"")</f>
        <v>40</v>
      </c>
      <c r="G398" s="1937"/>
      <c r="H398" s="177"/>
      <c r="I398" s="1934" t="str">
        <f ca="1">IF(L396&gt;0,CONCATENATE("Sport: ",INDEX(sessions_sport_primary,INDEX(plan_session_allocation,(WEEKDAY(J$3,2)*2-1)+IF(J396="Morning",0,1),I396))),"")</f>
        <v/>
      </c>
      <c r="J398" s="1935"/>
      <c r="K398" s="1936" t="str">
        <f ca="1">IF(L396&gt;0,IFERROR(K399+K400+K401,""),"")</f>
        <v/>
      </c>
      <c r="L398" s="1937"/>
      <c r="M398" s="177"/>
      <c r="N398" s="1934" t="str">
        <f ca="1">IF(Q396&gt;0,CONCATENATE("Sport: ",INDEX(sessions_sport_primary,INDEX(plan_session_allocation,(WEEKDAY(O$3,2)*2-1)+IF(O396="Morning",0,1),N396))),"")</f>
        <v/>
      </c>
      <c r="O398" s="1935"/>
      <c r="P398" s="1936" t="str">
        <f ca="1">IF(Q396&gt;0,IFERROR(P399+P400+P401,""),"")</f>
        <v/>
      </c>
      <c r="Q398" s="1937"/>
      <c r="R398" s="177"/>
      <c r="S398" s="1934" t="str">
        <f ca="1">IF(V396&gt;0,CONCATENATE("Sport: ",INDEX(sessions_sport_primary,INDEX(plan_session_allocation,(WEEKDAY(T$3,2)*2-1)+IF(T396="Morning",0,1),S396))),"")</f>
        <v/>
      </c>
      <c r="T398" s="1935"/>
      <c r="U398" s="1936" t="str">
        <f ca="1">IF(V396&gt;0,IFERROR(U399+U400+U401,""),"")</f>
        <v/>
      </c>
      <c r="V398" s="1937"/>
      <c r="W398" s="177"/>
      <c r="X398" s="1934" t="str">
        <f ca="1">IF(AA396&gt;0,CONCATENATE("Sport: ",INDEX(sessions_sport_primary,INDEX(plan_session_allocation,(WEEKDAY(Y$3,2)*2-1)+IF(Y396="Morning",0,1),X396))),"")</f>
        <v>Sport: Ride</v>
      </c>
      <c r="Y398" s="1935"/>
      <c r="Z398" s="1936">
        <f ca="1">IF(AA396&gt;0,IFERROR(Z399+Z400+Z401,""),"")</f>
        <v>40</v>
      </c>
      <c r="AA398" s="1937"/>
      <c r="AB398" s="177"/>
      <c r="AC398" s="1934" t="str">
        <f ca="1">IF(AF396&gt;0,CONCATENATE("Sport: ",INDEX(sessions_sport_primary,INDEX(plan_session_allocation,(WEEKDAY(AD$3,2)*2-1)+IF(AD396="Morning",0,1),AC396))),"")</f>
        <v>Sport: Run</v>
      </c>
      <c r="AD398" s="1935"/>
      <c r="AE398" s="1936">
        <f ca="1">IF(AF396&gt;0,IFERROR(AE399+AE400+AE401,""),"")</f>
        <v>70</v>
      </c>
      <c r="AF398" s="1937"/>
      <c r="AG398" s="177"/>
      <c r="AH398" s="1934" t="str">
        <f ca="1">IF(AK396&gt;0,CONCATENATE("Sport: ",INDEX(sessions_sport_primary,INDEX(plan_session_allocation,(WEEKDAY(AI$3,2)*2-1)+IF(AI396="Morning",0,1),AH396))),"")</f>
        <v>Sport: Hilly Trail Run</v>
      </c>
      <c r="AI398" s="1935"/>
      <c r="AJ398" s="1936">
        <f ca="1">IF(AK396&gt;0,IFERROR(AJ399+AJ400+AJ401,""),"")</f>
        <v>110</v>
      </c>
      <c r="AK398" s="1937"/>
      <c r="AL398" s="177"/>
    </row>
    <row r="399" spans="2:38" s="176" customFormat="1" ht="15" customHeight="1" x14ac:dyDescent="0.45">
      <c r="B399" s="1942"/>
      <c r="C399" s="1945"/>
      <c r="D399" s="1922" t="str">
        <f ca="1">IF(G396&gt;0,CONCATENATE("HR Target: ",
INDEX(sessions_HR_primary,INDEX(plan_session_allocation,((WEEKDAY(E$3,2)*2-1)+IF(E396="Morning",0,1)),D396)),
IF(INDEX(sessions_HR_primary,INDEX(plan_session_allocation,((WEEKDAY(E$3,2)*2-1)+IF(E396="Morning",0,1)),D396))="N/A","",
" BPM")),"")</f>
        <v>HR Target: 138 BPM</v>
      </c>
      <c r="E399" s="1923"/>
      <c r="F399" s="1924">
        <f ca="1">IF(G396&gt;0,
INDEX(final_duration_effort,((WEEKDAY(E$3,2)*2-1)+IF(E396="Morning",0,1)),D396),"")</f>
        <v>40</v>
      </c>
      <c r="G399" s="1925"/>
      <c r="H399" s="177"/>
      <c r="I399" s="1922" t="str">
        <f ca="1">IF(L396&gt;0,CONCATENATE("HR Target: ",
INDEX(sessions_HR_primary,INDEX(plan_session_allocation,((WEEKDAY(J$3,2)*2-1)+IF(J396="Morning",0,1)),I396)),
IF(INDEX(sessions_HR_primary,INDEX(plan_session_allocation,((WEEKDAY(J$3,2)*2-1)+IF(J396="Morning",0,1)),I396))="N/A","",
" BPM")),"")</f>
        <v/>
      </c>
      <c r="J399" s="1923"/>
      <c r="K399" s="1924" t="str">
        <f ca="1">IF(L396&gt;0,
INDEX(final_duration_effort,((WEEKDAY(J$3,2)*2-1)+IF(J396="Morning",0,1)),I396),"")</f>
        <v/>
      </c>
      <c r="L399" s="1925"/>
      <c r="M399" s="177"/>
      <c r="N399" s="1922" t="str">
        <f ca="1">IF(Q396&gt;0,CONCATENATE("HR Target: ",
INDEX(sessions_HR_primary,INDEX(plan_session_allocation,((WEEKDAY(O$3,2)*2-1)+IF(O396="Morning",0,1)),N396)),
IF(INDEX(sessions_HR_primary,INDEX(plan_session_allocation,((WEEKDAY(O$3,2)*2-1)+IF(O396="Morning",0,1)),N396))="N/A","",
" BPM")),"")</f>
        <v/>
      </c>
      <c r="O399" s="1923"/>
      <c r="P399" s="1924" t="str">
        <f ca="1">IF(Q396&gt;0,
INDEX(final_duration_effort,((WEEKDAY(O$3,2)*2-1)+IF(O396="Morning",0,1)),N396),"")</f>
        <v/>
      </c>
      <c r="Q399" s="1925"/>
      <c r="R399" s="177"/>
      <c r="S399" s="1922" t="str">
        <f ca="1">IF(V396&gt;0,CONCATENATE("HR Target: ",
INDEX(sessions_HR_primary,INDEX(plan_session_allocation,((WEEKDAY(T$3,2)*2-1)+IF(T396="Morning",0,1)),S396)),
IF(INDEX(sessions_HR_primary,INDEX(plan_session_allocation,((WEEKDAY(T$3,2)*2-1)+IF(T396="Morning",0,1)),S396))="N/A","",
" BPM")),"")</f>
        <v/>
      </c>
      <c r="T399" s="1923"/>
      <c r="U399" s="1924" t="str">
        <f ca="1">IF(V396&gt;0,
INDEX(final_duration_effort,((WEEKDAY(T$3,2)*2-1)+IF(T396="Morning",0,1)),S396),"")</f>
        <v/>
      </c>
      <c r="V399" s="1925"/>
      <c r="W399" s="177"/>
      <c r="X399" s="1922" t="str">
        <f ca="1">IF(AA396&gt;0,CONCATENATE("HR Target: ",
INDEX(sessions_HR_primary,INDEX(plan_session_allocation,((WEEKDAY(Y$3,2)*2-1)+IF(Y396="Morning",0,1)),X396)),
IF(INDEX(sessions_HR_primary,INDEX(plan_session_allocation,((WEEKDAY(Y$3,2)*2-1)+IF(Y396="Morning",0,1)),X396))="N/A","",
" BPM")),"")</f>
        <v>HR Target: 138 BPM</v>
      </c>
      <c r="Y399" s="1923"/>
      <c r="Z399" s="1924">
        <f ca="1">IF(AA396&gt;0,
INDEX(final_duration_effort,((WEEKDAY(Y$3,2)*2-1)+IF(Y396="Morning",0,1)),X396),"")</f>
        <v>40</v>
      </c>
      <c r="AA399" s="1925"/>
      <c r="AB399" s="177"/>
      <c r="AC399" s="1922" t="str">
        <f ca="1">IF(AF396&gt;0,CONCATENATE("HR Target: ",
INDEX(sessions_HR_primary,INDEX(plan_session_allocation,((WEEKDAY(AD$3,2)*2-1)+IF(AD396="Morning",0,1)),AC396)),
IF(INDEX(sessions_HR_primary,INDEX(plan_session_allocation,((WEEKDAY(AD$3,2)*2-1)+IF(AD396="Morning",0,1)),AC396))="N/A","",
" BPM")),"")</f>
        <v>HR Target: 148 BPM</v>
      </c>
      <c r="AD399" s="1923"/>
      <c r="AE399" s="1924">
        <f ca="1">IF(AF396&gt;0,
INDEX(final_duration_effort,((WEEKDAY(AD$3,2)*2-1)+IF(AD396="Morning",0,1)),AC396),"")</f>
        <v>55</v>
      </c>
      <c r="AF399" s="1925"/>
      <c r="AG399" s="177"/>
      <c r="AH399" s="1922" t="str">
        <f ca="1">IF(AK396&gt;0,CONCATENATE("HR Target: ",
INDEX(sessions_HR_primary,INDEX(plan_session_allocation,((WEEKDAY(AI$3,2)*2-1)+IF(AI396="Morning",0,1)),AH396)),
IF(INDEX(sessions_HR_primary,INDEX(plan_session_allocation,((WEEKDAY(AI$3,2)*2-1)+IF(AI396="Morning",0,1)),AH396))="N/A","",
" BPM")),"")</f>
        <v>HR Target: 148 BPM</v>
      </c>
      <c r="AI399" s="1923"/>
      <c r="AJ399" s="1924">
        <f ca="1">IF(AK396&gt;0,
INDEX(final_duration_effort,((WEEKDAY(AI$3,2)*2-1)+IF(AI396="Morning",0,1)),AH396),"")</f>
        <v>110</v>
      </c>
      <c r="AK399" s="1925"/>
      <c r="AL399" s="177"/>
    </row>
    <row r="400" spans="2:38" s="179" customFormat="1" x14ac:dyDescent="0.45">
      <c r="B400" s="1942"/>
      <c r="C400" s="1945"/>
      <c r="D400" s="1926" t="str">
        <f ca="1">IF(G396&gt;0,CONCATENATE("HR Range: ",
INDEX(sessions_HR_range_primary,INDEX(plan_session_allocation,((WEEKDAY(E$3,2)*2-1)+IF(E396="Morning",0,1)),D396)),
IF(INDEX(sessions_HR_range_primary,INDEX(plan_session_allocation,((WEEKDAY(E$3,2)*2-1)+IF(E396="Morning",0,1)),D396))="N/A","",
" BPM")),"")</f>
        <v>HR Range: 129 - 148 BPM</v>
      </c>
      <c r="E400" s="1927"/>
      <c r="F400" s="1928">
        <f ca="1">IF(G396&gt;0,IF(
INDEX(sessions_recoveries,INDEX(plan_session_allocation,((WEEKDAY(E$3,2)*2-1)+IF(E396="Morning",0,1)),D396))="Yes",
VLOOKUP(INDEX(plan_duration_primary,((WEEKDAY(E$3,2)*2-1)+IF(E396="Morning",0,1)),D396),
INDIRECT(INDEX(sessions_intervals_code_primary,INDEX(plan_session_allocation,((WEEKDAY(E$3,2)*2-1)+IF(E396="Morning",0,1)),D396))),7,TRUE),0),"")</f>
        <v>0</v>
      </c>
      <c r="G400" s="1929"/>
      <c r="H400" s="178"/>
      <c r="I400" s="1926" t="str">
        <f ca="1">IF(L396&gt;0,CONCATENATE("HR Range: ",
INDEX(sessions_HR_range_primary,INDEX(plan_session_allocation,((WEEKDAY(J$3,2)*2-1)+IF(J396="Morning",0,1)),I396)),
IF(INDEX(sessions_HR_range_primary,INDEX(plan_session_allocation,((WEEKDAY(J$3,2)*2-1)+IF(J396="Morning",0,1)),I396))="N/A","",
" BPM")),"")</f>
        <v/>
      </c>
      <c r="J400" s="1927"/>
      <c r="K400" s="1928" t="str">
        <f ca="1">IF(L396&gt;0,IF(
INDEX(sessions_recoveries,INDEX(plan_session_allocation,((WEEKDAY(J$3,2)*2-1)+IF(J396="Morning",0,1)),I396))="Yes",
VLOOKUP(INDEX(plan_duration_primary,((WEEKDAY(J$3,2)*2-1)+IF(J396="Morning",0,1)),I396),
INDIRECT(INDEX(sessions_intervals_code_primary,INDEX(plan_session_allocation,((WEEKDAY(J$3,2)*2-1)+IF(J396="Morning",0,1)),I396))),7,TRUE),0),"")</f>
        <v/>
      </c>
      <c r="L400" s="1929"/>
      <c r="M400" s="178"/>
      <c r="N400" s="1926" t="str">
        <f ca="1">IF(Q396&gt;0,CONCATENATE("HR Range: ",
INDEX(sessions_HR_range_primary,INDEX(plan_session_allocation,((WEEKDAY(O$3,2)*2-1)+IF(O396="Morning",0,1)),N396)),
IF(INDEX(sessions_HR_range_primary,INDEX(plan_session_allocation,((WEEKDAY(O$3,2)*2-1)+IF(O396="Morning",0,1)),N396))="N/A","",
" BPM")),"")</f>
        <v/>
      </c>
      <c r="O400" s="1927"/>
      <c r="P400" s="1928" t="str">
        <f ca="1">IF(Q396&gt;0,IF(
INDEX(sessions_recoveries,INDEX(plan_session_allocation,((WEEKDAY(O$3,2)*2-1)+IF(O396="Morning",0,1)),N396))="Yes",
VLOOKUP(INDEX(plan_duration_primary,((WEEKDAY(O$3,2)*2-1)+IF(O396="Morning",0,1)),N396),
INDIRECT(INDEX(sessions_intervals_code_primary,INDEX(plan_session_allocation,((WEEKDAY(O$3,2)*2-1)+IF(O396="Morning",0,1)),N396))),7,TRUE),0),"")</f>
        <v/>
      </c>
      <c r="Q400" s="1929"/>
      <c r="R400" s="178"/>
      <c r="S400" s="1926" t="str">
        <f ca="1">IF(V396&gt;0,CONCATENATE("HR Range: ",
INDEX(sessions_HR_range_primary,INDEX(plan_session_allocation,((WEEKDAY(T$3,2)*2-1)+IF(T396="Morning",0,1)),S396)),
IF(INDEX(sessions_HR_range_primary,INDEX(plan_session_allocation,((WEEKDAY(T$3,2)*2-1)+IF(T396="Morning",0,1)),S396))="N/A","",
" BPM")),"")</f>
        <v/>
      </c>
      <c r="T400" s="1927"/>
      <c r="U400" s="1928" t="str">
        <f ca="1">IF(V396&gt;0,IF(
INDEX(sessions_recoveries,INDEX(plan_session_allocation,((WEEKDAY(T$3,2)*2-1)+IF(T396="Morning",0,1)),S396))="Yes",
VLOOKUP(INDEX(plan_duration_primary,((WEEKDAY(T$3,2)*2-1)+IF(T396="Morning",0,1)),S396),
INDIRECT(INDEX(sessions_intervals_code_primary,INDEX(plan_session_allocation,((WEEKDAY(T$3,2)*2-1)+IF(T396="Morning",0,1)),S396))),7,TRUE),0),"")</f>
        <v/>
      </c>
      <c r="V400" s="1929"/>
      <c r="W400" s="178"/>
      <c r="X400" s="1926" t="str">
        <f ca="1">IF(AA396&gt;0,CONCATENATE("HR Range: ",
INDEX(sessions_HR_range_primary,INDEX(plan_session_allocation,((WEEKDAY(Y$3,2)*2-1)+IF(Y396="Morning",0,1)),X396)),
IF(INDEX(sessions_HR_range_primary,INDEX(plan_session_allocation,((WEEKDAY(Y$3,2)*2-1)+IF(Y396="Morning",0,1)),X396))="N/A","",
" BPM")),"")</f>
        <v>HR Range: 129 - 148 BPM</v>
      </c>
      <c r="Y400" s="1927"/>
      <c r="Z400" s="1928">
        <f ca="1">IF(AA396&gt;0,IF(
INDEX(sessions_recoveries,INDEX(plan_session_allocation,((WEEKDAY(Y$3,2)*2-1)+IF(Y396="Morning",0,1)),X396))="Yes",
VLOOKUP(INDEX(plan_duration_primary,((WEEKDAY(Y$3,2)*2-1)+IF(Y396="Morning",0,1)),X396),
INDIRECT(INDEX(sessions_intervals_code_primary,INDEX(plan_session_allocation,((WEEKDAY(Y$3,2)*2-1)+IF(Y396="Morning",0,1)),X396))),7,TRUE),0),"")</f>
        <v>0</v>
      </c>
      <c r="AA400" s="1929"/>
      <c r="AB400" s="178"/>
      <c r="AC400" s="1926" t="str">
        <f ca="1">IF(AF396&gt;0,CONCATENATE("HR Range: ",
INDEX(sessions_HR_range_primary,INDEX(plan_session_allocation,((WEEKDAY(AD$3,2)*2-1)+IF(AD396="Morning",0,1)),AC396)),
IF(INDEX(sessions_HR_range_primary,INDEX(plan_session_allocation,((WEEKDAY(AD$3,2)*2-1)+IF(AD396="Morning",0,1)),AC396))="N/A","",
" BPM")),"")</f>
        <v>HR Range: 129 - 169 BPM</v>
      </c>
      <c r="AD400" s="1927"/>
      <c r="AE400" s="1928">
        <f ca="1">IF(AF396&gt;0,IF(
INDEX(sessions_recoveries,INDEX(plan_session_allocation,((WEEKDAY(AD$3,2)*2-1)+IF(AD396="Morning",0,1)),AC396))="Yes",
VLOOKUP(INDEX(plan_duration_primary,((WEEKDAY(AD$3,2)*2-1)+IF(AD396="Morning",0,1)),AC396),
INDIRECT(INDEX(sessions_intervals_code_primary,INDEX(plan_session_allocation,((WEEKDAY(AD$3,2)*2-1)+IF(AD396="Morning",0,1)),AC396))),7,TRUE),0),"")</f>
        <v>0</v>
      </c>
      <c r="AF400" s="1929"/>
      <c r="AG400" s="178"/>
      <c r="AH400" s="1926" t="str">
        <f ca="1">IF(AK396&gt;0,CONCATENATE("HR Range: ",
INDEX(sessions_HR_range_primary,INDEX(plan_session_allocation,((WEEKDAY(AI$3,2)*2-1)+IF(AI396="Morning",0,1)),AH396)),
IF(INDEX(sessions_HR_range_primary,INDEX(plan_session_allocation,((WEEKDAY(AI$3,2)*2-1)+IF(AI396="Morning",0,1)),AH396))="N/A","",
" BPM")),"")</f>
        <v>HR Range: 129 - 169 BPM</v>
      </c>
      <c r="AI400" s="1927"/>
      <c r="AJ400" s="1928">
        <f ca="1">IF(AK396&gt;0,IF(
INDEX(sessions_recoveries,INDEX(plan_session_allocation,((WEEKDAY(AI$3,2)*2-1)+IF(AI396="Morning",0,1)),AH396))="Yes",
VLOOKUP(INDEX(plan_duration_primary,((WEEKDAY(AI$3,2)*2-1)+IF(AI396="Morning",0,1)),AH396),
INDIRECT(INDEX(sessions_intervals_code_primary,INDEX(plan_session_allocation,((WEEKDAY(AI$3,2)*2-1)+IF(AI396="Morning",0,1)),AH396))),7,TRUE),0),"")</f>
        <v>0</v>
      </c>
      <c r="AK400" s="1929"/>
      <c r="AL400" s="178"/>
    </row>
    <row r="401" spans="2:38" s="179" customFormat="1" ht="15" customHeight="1" x14ac:dyDescent="0.45">
      <c r="B401" s="1942"/>
      <c r="C401" s="1945"/>
      <c r="D401" s="1909" t="str">
        <f ca="1">IF(G396&gt;0,CONCATENATE("Equivalent Pace: ",
TEXT(INDEX(sessions_pace_primary,INDEX(plan_session_allocation,(WEEKDAY(E$3,2)*2-1)+IF(E396="Morning",0,1),D396)),"m:ss"),
" min/km"
),"")</f>
        <v>Equivalent Pace: 4:39 min/km</v>
      </c>
      <c r="E401" s="1910"/>
      <c r="F401" s="1911">
        <f ca="1">IF(G396&gt;0, INDEX(final_duration_WU,((WEEKDAY(E$3,2)*2-1)+IF(E396="Morning",0,1)),D396)  + INDEX(final_duration_WD,((WEEKDAY(E$3,2)*2-1)+IF(E396="Morning",0,1)),D396), "")</f>
        <v>0</v>
      </c>
      <c r="G401" s="1912"/>
      <c r="H401" s="178"/>
      <c r="I401" s="1909" t="str">
        <f ca="1">IF(L396&gt;0,CONCATENATE("Equivalent Pace: ",
TEXT(INDEX(sessions_pace_primary,INDEX(plan_session_allocation,(WEEKDAY(J$3,2)*2-1)+IF(J396="Morning",0,1),I396)),"m:ss"),
" min/km"
),"")</f>
        <v/>
      </c>
      <c r="J401" s="1910"/>
      <c r="K401" s="1911" t="str">
        <f ca="1">IF(L396&gt;0, INDEX(final_duration_WU,((WEEKDAY(J$3,2)*2-1)+IF(J396="Morning",0,1)),I396)  + INDEX(final_duration_WD,((WEEKDAY(J$3,2)*2-1)+IF(J396="Morning",0,1)),I396), "")</f>
        <v/>
      </c>
      <c r="L401" s="1912"/>
      <c r="M401" s="178"/>
      <c r="N401" s="1909" t="str">
        <f ca="1">IF(Q396&gt;0,CONCATENATE("Equivalent Pace: ",
TEXT(INDEX(sessions_pace_primary,INDEX(plan_session_allocation,(WEEKDAY(O$3,2)*2-1)+IF(O396="Morning",0,1),N396)),"m:ss"),
" min/km"
),"")</f>
        <v/>
      </c>
      <c r="O401" s="1910"/>
      <c r="P401" s="1911" t="str">
        <f ca="1">IF(Q396&gt;0, INDEX(final_duration_WU,((WEEKDAY(O$3,2)*2-1)+IF(O396="Morning",0,1)),N396)  + INDEX(final_duration_WD,((WEEKDAY(O$3,2)*2-1)+IF(O396="Morning",0,1)),N396), "")</f>
        <v/>
      </c>
      <c r="Q401" s="1912"/>
      <c r="R401" s="178"/>
      <c r="S401" s="1909" t="str">
        <f ca="1">IF(V396&gt;0,CONCATENATE("Equivalent Pace: ",
TEXT(INDEX(sessions_pace_primary,INDEX(plan_session_allocation,(WEEKDAY(T$3,2)*2-1)+IF(T396="Morning",0,1),S396)),"m:ss"),
" min/km"
),"")</f>
        <v/>
      </c>
      <c r="T401" s="1910"/>
      <c r="U401" s="1911" t="str">
        <f ca="1">IF(V396&gt;0, INDEX(final_duration_WU,((WEEKDAY(T$3,2)*2-1)+IF(T396="Morning",0,1)),S396)  + INDEX(final_duration_WD,((WEEKDAY(T$3,2)*2-1)+IF(T396="Morning",0,1)),S396), "")</f>
        <v/>
      </c>
      <c r="V401" s="1912"/>
      <c r="W401" s="178"/>
      <c r="X401" s="1909" t="str">
        <f ca="1">IF(AA396&gt;0,CONCATENATE("Equivalent Pace: ",
TEXT(INDEX(sessions_pace_primary,INDEX(plan_session_allocation,(WEEKDAY(Y$3,2)*2-1)+IF(Y396="Morning",0,1),X396)),"m:ss"),
" min/km"
),"")</f>
        <v>Equivalent Pace: 4:39 min/km</v>
      </c>
      <c r="Y401" s="1910"/>
      <c r="Z401" s="1911">
        <f ca="1">IF(AA396&gt;0, INDEX(final_duration_WU,((WEEKDAY(Y$3,2)*2-1)+IF(Y396="Morning",0,1)),X396)  + INDEX(final_duration_WD,((WEEKDAY(Y$3,2)*2-1)+IF(Y396="Morning",0,1)),X396), "")</f>
        <v>0</v>
      </c>
      <c r="AA401" s="1912"/>
      <c r="AB401" s="178"/>
      <c r="AC401" s="1909" t="str">
        <f ca="1">IF(AF396&gt;0,CONCATENATE("Equivalent Pace: ",
TEXT(INDEX(sessions_pace_primary,INDEX(plan_session_allocation,(WEEKDAY(AD$3,2)*2-1)+IF(AD396="Morning",0,1),AC396)),"m:ss"),
" min/km"
),"")</f>
        <v>Equivalent Pace: 4:14 min/km</v>
      </c>
      <c r="AD401" s="1910"/>
      <c r="AE401" s="1911">
        <f ca="1">IF(AF396&gt;0, INDEX(final_duration_WU,((WEEKDAY(AD$3,2)*2-1)+IF(AD396="Morning",0,1)),AC396)  + INDEX(final_duration_WD,((WEEKDAY(AD$3,2)*2-1)+IF(AD396="Morning",0,1)),AC396), "")</f>
        <v>15</v>
      </c>
      <c r="AF401" s="1912"/>
      <c r="AG401" s="178"/>
      <c r="AH401" s="1909" t="str">
        <f ca="1">IF(AK396&gt;0,CONCATENATE("Equivalent Pace: ",
TEXT(INDEX(sessions_pace_primary,INDEX(plan_session_allocation,(WEEKDAY(AI$3,2)*2-1)+IF(AI396="Morning",0,1),AH396)),"m:ss"),
" min/km"
),"")</f>
        <v>Equivalent Pace: 4:14 min/km</v>
      </c>
      <c r="AI401" s="1910"/>
      <c r="AJ401" s="1911">
        <f ca="1">IF(AK396&gt;0, INDEX(final_duration_WU,((WEEKDAY(AI$3,2)*2-1)+IF(AI396="Morning",0,1)),AH396)  + INDEX(final_duration_WD,((WEEKDAY(AI$3,2)*2-1)+IF(AI396="Morning",0,1)),AH396), "")</f>
        <v>0</v>
      </c>
      <c r="AK401" s="1912"/>
      <c r="AL401" s="178"/>
    </row>
    <row r="402" spans="2:38" s="180" customFormat="1" ht="15" customHeight="1" x14ac:dyDescent="0.45">
      <c r="B402" s="1942"/>
      <c r="C402" s="1945"/>
      <c r="D402" s="1913" t="str">
        <f ca="1">IF(G396&gt;0,CONCATENATE(IFERROR(CONCATENATE(IF(INDEX(display_intervals_breakdown,((WEEKDAY(E$3,2)*2-1)+IF(E396="Morning",0,1)),D396)="","",CONCATENATE("Intervals/Reps Breakdown: 
",INDEX(display_intervals_breakdown,((WEEKDAY(E$3,2)*2-1)+IF(E396="Morning",0,1)),D396),"
")),"Session Description: 
",CONCATENATE(IF(INDEX(final_duration_secondary,((WEEKDAY(E$3,2)*2-1)+IF(E396="Morning",0,1)),D396)=0,"","1. "),
INDEX(sessions_description_primary,,INDEX(plan_session_allocation,((WEEKDAY(E$3,2)*2-1)+IF(E396="Morning",0,1)),D396)),IF(INDEX(final_duration_secondary,((WEEKDAY(E$3,2)*2-1)+IF(E396="Morning",0,1)),D396)=0,"","
2. "),
IF(INDEX(final_duration_secondary,((WEEKDAY(E$3,2)*2-1)+IF(E396="Morning",0,1)),D396)=0,"",INDEX(sessions_description_secondary,,INDEX(plan_session_allocation,((WEEKDAY(E$3,2)*2-1)+IF(E396="Morning",0,1)),D396))),IF(INDEX(final_duration_tertiary,((WEEKDAY(E$3,2)*2-1)+IF(E396="Morning",0,1)),D396)=0,"","
3. "),
IF(INDEX(final_duration_tertiary,((WEEKDAY(E$3,2)*2-1)+IF(E396="Morning",0,1)),D396)="","",INDEX(sessions_description_tertiary,,INDEX(plan_session_allocation,((WEEKDAY(E$3,2)*2-1)+IF(E396="Morning",0,1)),D396))),
IF(INDEX(display_nutrition_description,((WEEKDAY(E$3,2)*2-1)+IF(E396="Morning",0,1)),D396)="","",
CONCATENATE("
Meal Plan: ", INDEX(sessions_nutrition,,INDEX(plan_session_allocation,((WEEKDAY(E$3,2)*2-1)+IF(E396="Morning",0,1)),D396)), "
", INDEX(display_nutrition_description,((WEEKDAY(E$3,2)*2-1)+IF(E396="Morning",0,1)),D396)))
)),"")),"")</f>
        <v>Session Description: 
Stay at a comfortable and controlled intensity where you should be able to have a conversation without large pauses. Keep an even intensity and accept that your pace may change as the terrain changes.</v>
      </c>
      <c r="E402" s="1914"/>
      <c r="F402" s="1914"/>
      <c r="G402" s="1915"/>
      <c r="I402" s="1913" t="str">
        <f ca="1">IF(L396&gt;0,CONCATENATE(IFERROR(CONCATENATE(IF(INDEX(display_intervals_breakdown,((WEEKDAY(J$3,2)*2-1)+IF(J396="Morning",0,1)),I396)="","",CONCATENATE("Intervals/Reps Breakdown: 
",INDEX(display_intervals_breakdown,((WEEKDAY(J$3,2)*2-1)+IF(J396="Morning",0,1)),I396),"
")),"Session Description: 
",CONCATENATE(IF(INDEX(final_duration_secondary,((WEEKDAY(J$3,2)*2-1)+IF(J396="Morning",0,1)),I396)=0,"","1. "),
INDEX(sessions_description_primary,,INDEX(plan_session_allocation,((WEEKDAY(J$3,2)*2-1)+IF(J396="Morning",0,1)),I396)),IF(INDEX(final_duration_secondary,((WEEKDAY(J$3,2)*2-1)+IF(J396="Morning",0,1)),I396)=0,"","
2. "),
IF(INDEX(final_duration_secondary,((WEEKDAY(J$3,2)*2-1)+IF(J396="Morning",0,1)),I396)=0,"",INDEX(sessions_description_secondary,,INDEX(plan_session_allocation,((WEEKDAY(J$3,2)*2-1)+IF(J396="Morning",0,1)),I396))),IF(INDEX(final_duration_tertiary,((WEEKDAY(J$3,2)*2-1)+IF(J396="Morning",0,1)),I396)=0,"","
3. "),
IF(INDEX(final_duration_tertiary,((WEEKDAY(J$3,2)*2-1)+IF(J396="Morning",0,1)),I396)="","",INDEX(sessions_description_tertiary,,INDEX(plan_session_allocation,((WEEKDAY(J$3,2)*2-1)+IF(J396="Morning",0,1)),I396))),
IF(INDEX(display_nutrition_description,((WEEKDAY(J$3,2)*2-1)+IF(J396="Morning",0,1)),I396)="","",
CONCATENATE("
Meal Plan: ", INDEX(sessions_nutrition,,INDEX(plan_session_allocation,((WEEKDAY(J$3,2)*2-1)+IF(J396="Morning",0,1)),I396)), "
", INDEX(display_nutrition_description,((WEEKDAY(J$3,2)*2-1)+IF(J396="Morning",0,1)),I396)))
)),"")),"")</f>
        <v/>
      </c>
      <c r="J402" s="1914"/>
      <c r="K402" s="1914"/>
      <c r="L402" s="1915"/>
      <c r="N402" s="1913" t="str">
        <f ca="1">IF(Q396&gt;0,CONCATENATE(IFERROR(CONCATENATE(IF(INDEX(display_intervals_breakdown,((WEEKDAY(O$3,2)*2-1)+IF(O396="Morning",0,1)),N396)="","",CONCATENATE("Intervals/Reps Breakdown: 
",INDEX(display_intervals_breakdown,((WEEKDAY(O$3,2)*2-1)+IF(O396="Morning",0,1)),N396),"
")),"Session Description: 
",CONCATENATE(IF(INDEX(final_duration_secondary,((WEEKDAY(O$3,2)*2-1)+IF(O396="Morning",0,1)),N396)=0,"","1. "),
INDEX(sessions_description_primary,,INDEX(plan_session_allocation,((WEEKDAY(O$3,2)*2-1)+IF(O396="Morning",0,1)),N396)),IF(INDEX(final_duration_secondary,((WEEKDAY(O$3,2)*2-1)+IF(O396="Morning",0,1)),N396)=0,"","
2. "),
IF(INDEX(final_duration_secondary,((WEEKDAY(O$3,2)*2-1)+IF(O396="Morning",0,1)),N396)=0,"",INDEX(sessions_description_secondary,,INDEX(plan_session_allocation,((WEEKDAY(O$3,2)*2-1)+IF(O396="Morning",0,1)),N396))),IF(INDEX(final_duration_tertiary,((WEEKDAY(O$3,2)*2-1)+IF(O396="Morning",0,1)),N396)=0,"","
3. "),
IF(INDEX(final_duration_tertiary,((WEEKDAY(O$3,2)*2-1)+IF(O396="Morning",0,1)),N396)="","",INDEX(sessions_description_tertiary,,INDEX(plan_session_allocation,((WEEKDAY(O$3,2)*2-1)+IF(O396="Morning",0,1)),N396))),
IF(INDEX(display_nutrition_description,((WEEKDAY(O$3,2)*2-1)+IF(O396="Morning",0,1)),N396)="","",
CONCATENATE("
Meal Plan: ", INDEX(sessions_nutrition,,INDEX(plan_session_allocation,((WEEKDAY(O$3,2)*2-1)+IF(O396="Morning",0,1)),N396)), "
", INDEX(display_nutrition_description,((WEEKDAY(O$3,2)*2-1)+IF(O396="Morning",0,1)),N396)))
)),"")),"")</f>
        <v/>
      </c>
      <c r="O402" s="1914"/>
      <c r="P402" s="1914"/>
      <c r="Q402" s="1915"/>
      <c r="S402" s="1913" t="str">
        <f ca="1">IF(V396&gt;0,CONCATENATE(IFERROR(CONCATENATE(IF(INDEX(display_intervals_breakdown,((WEEKDAY(T$3,2)*2-1)+IF(T396="Morning",0,1)),S396)="","",CONCATENATE("Intervals/Reps Breakdown: 
",INDEX(display_intervals_breakdown,((WEEKDAY(T$3,2)*2-1)+IF(T396="Morning",0,1)),S396),"
")),"Session Description: 
",CONCATENATE(IF(INDEX(final_duration_secondary,((WEEKDAY(T$3,2)*2-1)+IF(T396="Morning",0,1)),S396)=0,"","1. "),
INDEX(sessions_description_primary,,INDEX(plan_session_allocation,((WEEKDAY(T$3,2)*2-1)+IF(T396="Morning",0,1)),S396)),IF(INDEX(final_duration_secondary,((WEEKDAY(T$3,2)*2-1)+IF(T396="Morning",0,1)),S396)=0,"","
2. "),
IF(INDEX(final_duration_secondary,((WEEKDAY(T$3,2)*2-1)+IF(T396="Morning",0,1)),S396)=0,"",INDEX(sessions_description_secondary,,INDEX(plan_session_allocation,((WEEKDAY(T$3,2)*2-1)+IF(T396="Morning",0,1)),S396))),IF(INDEX(final_duration_tertiary,((WEEKDAY(T$3,2)*2-1)+IF(T396="Morning",0,1)),S396)=0,"","
3. "),
IF(INDEX(final_duration_tertiary,((WEEKDAY(T$3,2)*2-1)+IF(T396="Morning",0,1)),S396)="","",INDEX(sessions_description_tertiary,,INDEX(plan_session_allocation,((WEEKDAY(T$3,2)*2-1)+IF(T396="Morning",0,1)),S396))),
IF(INDEX(display_nutrition_description,((WEEKDAY(T$3,2)*2-1)+IF(T396="Morning",0,1)),S396)="","",
CONCATENATE("
Meal Plan: ", INDEX(sessions_nutrition,,INDEX(plan_session_allocation,((WEEKDAY(T$3,2)*2-1)+IF(T396="Morning",0,1)),S396)), "
", INDEX(display_nutrition_description,((WEEKDAY(T$3,2)*2-1)+IF(T396="Morning",0,1)),S396)))
)),"")),"")</f>
        <v/>
      </c>
      <c r="T402" s="1914"/>
      <c r="U402" s="1914"/>
      <c r="V402" s="1915"/>
      <c r="X402" s="1913" t="str">
        <f ca="1">IF(AA396&gt;0,CONCATENATE(IFERROR(CONCATENATE(IF(INDEX(display_intervals_breakdown,((WEEKDAY(Y$3,2)*2-1)+IF(Y396="Morning",0,1)),X396)="","",CONCATENATE("Intervals/Reps Breakdown: 
",INDEX(display_intervals_breakdown,((WEEKDAY(Y$3,2)*2-1)+IF(Y396="Morning",0,1)),X396),"
")),"Session Description: 
",CONCATENATE(IF(INDEX(final_duration_secondary,((WEEKDAY(Y$3,2)*2-1)+IF(Y396="Morning",0,1)),X396)=0,"","1. "),
INDEX(sessions_description_primary,,INDEX(plan_session_allocation,((WEEKDAY(Y$3,2)*2-1)+IF(Y396="Morning",0,1)),X396)),IF(INDEX(final_duration_secondary,((WEEKDAY(Y$3,2)*2-1)+IF(Y396="Morning",0,1)),X396)=0,"","
2. "),
IF(INDEX(final_duration_secondary,((WEEKDAY(Y$3,2)*2-1)+IF(Y396="Morning",0,1)),X396)=0,"",INDEX(sessions_description_secondary,,INDEX(plan_session_allocation,((WEEKDAY(Y$3,2)*2-1)+IF(Y396="Morning",0,1)),X396))),IF(INDEX(final_duration_tertiary,((WEEKDAY(Y$3,2)*2-1)+IF(Y396="Morning",0,1)),X396)=0,"","
3. "),
IF(INDEX(final_duration_tertiary,((WEEKDAY(Y$3,2)*2-1)+IF(Y396="Morning",0,1)),X396)="","",INDEX(sessions_description_tertiary,,INDEX(plan_session_allocation,((WEEKDAY(Y$3,2)*2-1)+IF(Y396="Morning",0,1)),X396))),
IF(INDEX(display_nutrition_description,((WEEKDAY(Y$3,2)*2-1)+IF(Y396="Morning",0,1)),X396)="","",
CONCATENATE("
Meal Plan: ", INDEX(sessions_nutrition,,INDEX(plan_session_allocation,((WEEKDAY(Y$3,2)*2-1)+IF(Y396="Morning",0,1)),X396)), "
", INDEX(display_nutrition_description,((WEEKDAY(Y$3,2)*2-1)+IF(Y396="Morning",0,1)),X396)))
)),"")),"")</f>
        <v>Session Description: 
Stay at a comfortable and controlled intensity where you should be able to have a conversation without large pauses. Keep an even intensity and accept that your pace may change as the terrain changes.</v>
      </c>
      <c r="Y402" s="1914"/>
      <c r="Z402" s="1914"/>
      <c r="AA402" s="1915"/>
      <c r="AC402" s="1913" t="str">
        <f ca="1">IF(AF396&gt;0,CONCATENATE(IFERROR(CONCATENATE(IF(INDEX(display_intervals_breakdown,((WEEKDAY(AD$3,2)*2-1)+IF(AD396="Morning",0,1)),AC396)="","",CONCATENATE("Intervals/Reps Breakdown: 
",INDEX(display_intervals_breakdown,((WEEKDAY(AD$3,2)*2-1)+IF(AD396="Morning",0,1)),AC396),"
")),"Session Description: 
",CONCATENATE(IF(INDEX(final_duration_secondary,((WEEKDAY(AD$3,2)*2-1)+IF(AD396="Morning",0,1)),AC396)=0,"","1. "),
INDEX(sessions_description_primary,,INDEX(plan_session_allocation,((WEEKDAY(AD$3,2)*2-1)+IF(AD396="Morning",0,1)),AC396)),IF(INDEX(final_duration_secondary,((WEEKDAY(AD$3,2)*2-1)+IF(AD396="Morning",0,1)),AC396)=0,"","
2. "),
IF(INDEX(final_duration_secondary,((WEEKDAY(AD$3,2)*2-1)+IF(AD396="Morning",0,1)),AC396)=0,"",INDEX(sessions_description_secondary,,INDEX(plan_session_allocation,((WEEKDAY(AD$3,2)*2-1)+IF(AD396="Morning",0,1)),AC396))),IF(INDEX(final_duration_tertiary,((WEEKDAY(AD$3,2)*2-1)+IF(AD396="Morning",0,1)),AC396)=0,"","
3. "),
IF(INDEX(final_duration_tertiary,((WEEKDAY(AD$3,2)*2-1)+IF(AD396="Morning",0,1)),AC396)="","",INDEX(sessions_description_tertiary,,INDEX(plan_session_allocation,((WEEKDAY(AD$3,2)*2-1)+IF(AD396="Morning",0,1)),AC396))),
IF(INDEX(display_nutrition_description,((WEEKDAY(AD$3,2)*2-1)+IF(AD396="Morning",0,1)),AC396)="","",
CONCATENATE("
Meal Plan: ", INDEX(sessions_nutrition,,INDEX(plan_session_allocation,((WEEKDAY(AD$3,2)*2-1)+IF(AD396="Morning",0,1)),AC396)), "
", INDEX(display_nutrition_description,((WEEKDAY(AD$3,2)*2-1)+IF(AD396="Morning",0,1)),AC396)))
)),"")),"")</f>
        <v>Session Description: 
1. Perform a variety of specialised exercises to engage specific muscles and apply them in functional movements. These sessions must be learned with a coach first. Warm up and warm down for 10 minutes each.
2. Stay at a comfortable and controlled intensity where you should be able to have a conversation without large pauses. Keep an even intensity and accept that your pace may change as the terrain changes.</v>
      </c>
      <c r="AD402" s="1914"/>
      <c r="AE402" s="1914"/>
      <c r="AF402" s="1915"/>
      <c r="AH402" s="1913" t="str">
        <f ca="1">IF(AK396&gt;0,CONCATENATE(IFERROR(CONCATENATE(IF(INDEX(display_intervals_breakdown,((WEEKDAY(AI$3,2)*2-1)+IF(AI396="Morning",0,1)),AH396)="","",CONCATENATE("Intervals/Reps Breakdown: 
",INDEX(display_intervals_breakdown,((WEEKDAY(AI$3,2)*2-1)+IF(AI396="Morning",0,1)),AH396),"
")),"Session Description: 
",CONCATENATE(IF(INDEX(final_duration_secondary,((WEEKDAY(AI$3,2)*2-1)+IF(AI396="Morning",0,1)),AH396)=0,"","1. "),
INDEX(sessions_description_primary,,INDEX(plan_session_allocation,((WEEKDAY(AI$3,2)*2-1)+IF(AI396="Morning",0,1)),AH396)),IF(INDEX(final_duration_secondary,((WEEKDAY(AI$3,2)*2-1)+IF(AI396="Morning",0,1)),AH396)=0,"","
2. "),
IF(INDEX(final_duration_secondary,((WEEKDAY(AI$3,2)*2-1)+IF(AI396="Morning",0,1)),AH396)=0,"",INDEX(sessions_description_secondary,,INDEX(plan_session_allocation,((WEEKDAY(AI$3,2)*2-1)+IF(AI396="Morning",0,1)),AH396))),IF(INDEX(final_duration_tertiary,((WEEKDAY(AI$3,2)*2-1)+IF(AI396="Morning",0,1)),AH396)=0,"","
3. "),
IF(INDEX(final_duration_tertiary,((WEEKDAY(AI$3,2)*2-1)+IF(AI396="Morning",0,1)),AH396)="","",INDEX(sessions_description_tertiary,,INDEX(plan_session_allocation,((WEEKDAY(AI$3,2)*2-1)+IF(AI396="Morning",0,1)),AH396))),
IF(INDEX(display_nutrition_description,((WEEKDAY(AI$3,2)*2-1)+IF(AI396="Morning",0,1)),AH396)="","",
CONCATENATE("
Meal Plan: ", INDEX(sessions_nutrition,,INDEX(plan_session_allocation,((WEEKDAY(AI$3,2)*2-1)+IF(AI396="Morning",0,1)),AH396)), "
", INDEX(display_nutrition_description,((WEEKDAY(AI$3,2)*2-1)+IF(AI396="Morning",0,1)),AH396)))
)),"")),"")</f>
        <v xml:space="preserve">Session Description: 
Fundamentally a steady, but you can be less strict at controlling your intensity as long as your average intensity is close to it's target by the end of the session </v>
      </c>
      <c r="AI402" s="1914"/>
      <c r="AJ402" s="1914"/>
      <c r="AK402" s="1915"/>
    </row>
    <row r="403" spans="2:38" s="180" customFormat="1" x14ac:dyDescent="0.45">
      <c r="B403" s="1942"/>
      <c r="C403" s="1945"/>
      <c r="D403" s="1916"/>
      <c r="E403" s="1917"/>
      <c r="F403" s="1917"/>
      <c r="G403" s="1918"/>
      <c r="I403" s="1916"/>
      <c r="J403" s="1917"/>
      <c r="K403" s="1917"/>
      <c r="L403" s="1918"/>
      <c r="N403" s="1916"/>
      <c r="O403" s="1917"/>
      <c r="P403" s="1917"/>
      <c r="Q403" s="1918"/>
      <c r="S403" s="1916"/>
      <c r="T403" s="1917"/>
      <c r="U403" s="1917"/>
      <c r="V403" s="1918"/>
      <c r="X403" s="1916"/>
      <c r="Y403" s="1917"/>
      <c r="Z403" s="1917"/>
      <c r="AA403" s="1918"/>
      <c r="AC403" s="1916"/>
      <c r="AD403" s="1917"/>
      <c r="AE403" s="1917"/>
      <c r="AF403" s="1918"/>
      <c r="AH403" s="1916"/>
      <c r="AI403" s="1917"/>
      <c r="AJ403" s="1917"/>
      <c r="AK403" s="1918"/>
    </row>
    <row r="404" spans="2:38" s="180" customFormat="1" x14ac:dyDescent="0.45">
      <c r="B404" s="1942"/>
      <c r="C404" s="1945"/>
      <c r="D404" s="1916"/>
      <c r="E404" s="1917"/>
      <c r="F404" s="1917"/>
      <c r="G404" s="1918"/>
      <c r="I404" s="1916"/>
      <c r="J404" s="1917"/>
      <c r="K404" s="1917"/>
      <c r="L404" s="1918"/>
      <c r="N404" s="1916"/>
      <c r="O404" s="1917"/>
      <c r="P404" s="1917"/>
      <c r="Q404" s="1918"/>
      <c r="S404" s="1916"/>
      <c r="T404" s="1917"/>
      <c r="U404" s="1917"/>
      <c r="V404" s="1918"/>
      <c r="X404" s="1916"/>
      <c r="Y404" s="1917"/>
      <c r="Z404" s="1917"/>
      <c r="AA404" s="1918"/>
      <c r="AC404" s="1916"/>
      <c r="AD404" s="1917"/>
      <c r="AE404" s="1917"/>
      <c r="AF404" s="1918"/>
      <c r="AH404" s="1916"/>
      <c r="AI404" s="1917"/>
      <c r="AJ404" s="1917"/>
      <c r="AK404" s="1918"/>
    </row>
    <row r="405" spans="2:38" s="180" customFormat="1" x14ac:dyDescent="0.45">
      <c r="B405" s="1942"/>
      <c r="C405" s="1945"/>
      <c r="D405" s="1916"/>
      <c r="E405" s="1917"/>
      <c r="F405" s="1917"/>
      <c r="G405" s="1918"/>
      <c r="I405" s="1916"/>
      <c r="J405" s="1917"/>
      <c r="K405" s="1917"/>
      <c r="L405" s="1918"/>
      <c r="N405" s="1916"/>
      <c r="O405" s="1917"/>
      <c r="P405" s="1917"/>
      <c r="Q405" s="1918"/>
      <c r="S405" s="1916"/>
      <c r="T405" s="1917"/>
      <c r="U405" s="1917"/>
      <c r="V405" s="1918"/>
      <c r="X405" s="1916"/>
      <c r="Y405" s="1917"/>
      <c r="Z405" s="1917"/>
      <c r="AA405" s="1918"/>
      <c r="AC405" s="1916"/>
      <c r="AD405" s="1917"/>
      <c r="AE405" s="1917"/>
      <c r="AF405" s="1918"/>
      <c r="AH405" s="1916"/>
      <c r="AI405" s="1917"/>
      <c r="AJ405" s="1917"/>
      <c r="AK405" s="1918"/>
    </row>
    <row r="406" spans="2:38" s="180" customFormat="1" x14ac:dyDescent="0.45">
      <c r="B406" s="1942"/>
      <c r="C406" s="1945"/>
      <c r="D406" s="1916"/>
      <c r="E406" s="1917"/>
      <c r="F406" s="1917"/>
      <c r="G406" s="1918"/>
      <c r="I406" s="1916"/>
      <c r="J406" s="1917"/>
      <c r="K406" s="1917"/>
      <c r="L406" s="1918"/>
      <c r="N406" s="1916"/>
      <c r="O406" s="1917"/>
      <c r="P406" s="1917"/>
      <c r="Q406" s="1918"/>
      <c r="S406" s="1916"/>
      <c r="T406" s="1917"/>
      <c r="U406" s="1917"/>
      <c r="V406" s="1918"/>
      <c r="X406" s="1916"/>
      <c r="Y406" s="1917"/>
      <c r="Z406" s="1917"/>
      <c r="AA406" s="1918"/>
      <c r="AC406" s="1916"/>
      <c r="AD406" s="1917"/>
      <c r="AE406" s="1917"/>
      <c r="AF406" s="1918"/>
      <c r="AH406" s="1916"/>
      <c r="AI406" s="1917"/>
      <c r="AJ406" s="1917"/>
      <c r="AK406" s="1918"/>
    </row>
    <row r="407" spans="2:38" s="180" customFormat="1" x14ac:dyDescent="0.45">
      <c r="B407" s="1942"/>
      <c r="C407" s="1945"/>
      <c r="D407" s="1916"/>
      <c r="E407" s="1917"/>
      <c r="F407" s="1917"/>
      <c r="G407" s="1918"/>
      <c r="I407" s="1916"/>
      <c r="J407" s="1917"/>
      <c r="K407" s="1917"/>
      <c r="L407" s="1918"/>
      <c r="N407" s="1916"/>
      <c r="O407" s="1917"/>
      <c r="P407" s="1917"/>
      <c r="Q407" s="1918"/>
      <c r="S407" s="1916"/>
      <c r="T407" s="1917"/>
      <c r="U407" s="1917"/>
      <c r="V407" s="1918"/>
      <c r="X407" s="1916"/>
      <c r="Y407" s="1917"/>
      <c r="Z407" s="1917"/>
      <c r="AA407" s="1918"/>
      <c r="AC407" s="1916"/>
      <c r="AD407" s="1917"/>
      <c r="AE407" s="1917"/>
      <c r="AF407" s="1918"/>
      <c r="AH407" s="1916"/>
      <c r="AI407" s="1917"/>
      <c r="AJ407" s="1917"/>
      <c r="AK407" s="1918"/>
    </row>
    <row r="408" spans="2:38" s="180" customFormat="1" x14ac:dyDescent="0.45">
      <c r="B408" s="1942"/>
      <c r="C408" s="1945"/>
      <c r="D408" s="1916"/>
      <c r="E408" s="1917"/>
      <c r="F408" s="1917"/>
      <c r="G408" s="1918"/>
      <c r="I408" s="1916"/>
      <c r="J408" s="1917"/>
      <c r="K408" s="1917"/>
      <c r="L408" s="1918"/>
      <c r="N408" s="1916"/>
      <c r="O408" s="1917"/>
      <c r="P408" s="1917"/>
      <c r="Q408" s="1918"/>
      <c r="S408" s="1916"/>
      <c r="T408" s="1917"/>
      <c r="U408" s="1917"/>
      <c r="V408" s="1918"/>
      <c r="X408" s="1916"/>
      <c r="Y408" s="1917"/>
      <c r="Z408" s="1917"/>
      <c r="AA408" s="1918"/>
      <c r="AC408" s="1916"/>
      <c r="AD408" s="1917"/>
      <c r="AE408" s="1917"/>
      <c r="AF408" s="1918"/>
      <c r="AH408" s="1916"/>
      <c r="AI408" s="1917"/>
      <c r="AJ408" s="1917"/>
      <c r="AK408" s="1918"/>
    </row>
    <row r="409" spans="2:38" s="180" customFormat="1" ht="15.75" customHeight="1" x14ac:dyDescent="0.45">
      <c r="B409" s="1942"/>
      <c r="C409" s="1945"/>
      <c r="D409" s="1916"/>
      <c r="E409" s="1917"/>
      <c r="F409" s="1917"/>
      <c r="G409" s="1918"/>
      <c r="I409" s="1916"/>
      <c r="J409" s="1917"/>
      <c r="K409" s="1917"/>
      <c r="L409" s="1918"/>
      <c r="N409" s="1916"/>
      <c r="O409" s="1917"/>
      <c r="P409" s="1917"/>
      <c r="Q409" s="1918"/>
      <c r="S409" s="1916"/>
      <c r="T409" s="1917"/>
      <c r="U409" s="1917"/>
      <c r="V409" s="1918"/>
      <c r="X409" s="1916"/>
      <c r="Y409" s="1917"/>
      <c r="Z409" s="1917"/>
      <c r="AA409" s="1918"/>
      <c r="AC409" s="1916"/>
      <c r="AD409" s="1917"/>
      <c r="AE409" s="1917"/>
      <c r="AF409" s="1918"/>
      <c r="AH409" s="1916"/>
      <c r="AI409" s="1917"/>
      <c r="AJ409" s="1917"/>
      <c r="AK409" s="1918"/>
    </row>
    <row r="410" spans="2:38" s="180" customFormat="1" x14ac:dyDescent="0.45">
      <c r="B410" s="1942"/>
      <c r="C410" s="1945"/>
      <c r="D410" s="1916"/>
      <c r="E410" s="1917"/>
      <c r="F410" s="1917"/>
      <c r="G410" s="1918"/>
      <c r="I410" s="1916"/>
      <c r="J410" s="1917"/>
      <c r="K410" s="1917"/>
      <c r="L410" s="1918"/>
      <c r="N410" s="1916"/>
      <c r="O410" s="1917"/>
      <c r="P410" s="1917"/>
      <c r="Q410" s="1918"/>
      <c r="S410" s="1916"/>
      <c r="T410" s="1917"/>
      <c r="U410" s="1917"/>
      <c r="V410" s="1918"/>
      <c r="X410" s="1916"/>
      <c r="Y410" s="1917"/>
      <c r="Z410" s="1917"/>
      <c r="AA410" s="1918"/>
      <c r="AC410" s="1916"/>
      <c r="AD410" s="1917"/>
      <c r="AE410" s="1917"/>
      <c r="AF410" s="1918"/>
      <c r="AH410" s="1916"/>
      <c r="AI410" s="1917"/>
      <c r="AJ410" s="1917"/>
      <c r="AK410" s="1918"/>
    </row>
    <row r="411" spans="2:38" s="180" customFormat="1" x14ac:dyDescent="0.45">
      <c r="B411" s="1942"/>
      <c r="C411" s="1945"/>
      <c r="D411" s="1916"/>
      <c r="E411" s="1917"/>
      <c r="F411" s="1917"/>
      <c r="G411" s="1918"/>
      <c r="I411" s="1916"/>
      <c r="J411" s="1917"/>
      <c r="K411" s="1917"/>
      <c r="L411" s="1918"/>
      <c r="N411" s="1916"/>
      <c r="O411" s="1917"/>
      <c r="P411" s="1917"/>
      <c r="Q411" s="1918"/>
      <c r="S411" s="1916"/>
      <c r="T411" s="1917"/>
      <c r="U411" s="1917"/>
      <c r="V411" s="1918"/>
      <c r="X411" s="1916"/>
      <c r="Y411" s="1917"/>
      <c r="Z411" s="1917"/>
      <c r="AA411" s="1918"/>
      <c r="AC411" s="1916"/>
      <c r="AD411" s="1917"/>
      <c r="AE411" s="1917"/>
      <c r="AF411" s="1918"/>
      <c r="AH411" s="1916"/>
      <c r="AI411" s="1917"/>
      <c r="AJ411" s="1917"/>
      <c r="AK411" s="1918"/>
    </row>
    <row r="412" spans="2:38" s="180" customFormat="1" x14ac:dyDescent="0.45">
      <c r="B412" s="1942"/>
      <c r="C412" s="1945"/>
      <c r="D412" s="1916"/>
      <c r="E412" s="1917"/>
      <c r="F412" s="1917"/>
      <c r="G412" s="1918"/>
      <c r="I412" s="1916"/>
      <c r="J412" s="1917"/>
      <c r="K412" s="1917"/>
      <c r="L412" s="1918"/>
      <c r="N412" s="1916"/>
      <c r="O412" s="1917"/>
      <c r="P412" s="1917"/>
      <c r="Q412" s="1918"/>
      <c r="S412" s="1916"/>
      <c r="T412" s="1917"/>
      <c r="U412" s="1917"/>
      <c r="V412" s="1918"/>
      <c r="X412" s="1916"/>
      <c r="Y412" s="1917"/>
      <c r="Z412" s="1917"/>
      <c r="AA412" s="1918"/>
      <c r="AC412" s="1916"/>
      <c r="AD412" s="1917"/>
      <c r="AE412" s="1917"/>
      <c r="AF412" s="1918"/>
      <c r="AH412" s="1916"/>
      <c r="AI412" s="1917"/>
      <c r="AJ412" s="1917"/>
      <c r="AK412" s="1918"/>
    </row>
    <row r="413" spans="2:38" s="180" customFormat="1" x14ac:dyDescent="0.45">
      <c r="B413" s="1942"/>
      <c r="C413" s="1945"/>
      <c r="D413" s="1916"/>
      <c r="E413" s="1917"/>
      <c r="F413" s="1917"/>
      <c r="G413" s="1918"/>
      <c r="I413" s="1916"/>
      <c r="J413" s="1917"/>
      <c r="K413" s="1917"/>
      <c r="L413" s="1918"/>
      <c r="N413" s="1916"/>
      <c r="O413" s="1917"/>
      <c r="P413" s="1917"/>
      <c r="Q413" s="1918"/>
      <c r="S413" s="1916"/>
      <c r="T413" s="1917"/>
      <c r="U413" s="1917"/>
      <c r="V413" s="1918"/>
      <c r="X413" s="1916"/>
      <c r="Y413" s="1917"/>
      <c r="Z413" s="1917"/>
      <c r="AA413" s="1918"/>
      <c r="AC413" s="1916"/>
      <c r="AD413" s="1917"/>
      <c r="AE413" s="1917"/>
      <c r="AF413" s="1918"/>
      <c r="AH413" s="1916"/>
      <c r="AI413" s="1917"/>
      <c r="AJ413" s="1917"/>
      <c r="AK413" s="1918"/>
    </row>
    <row r="414" spans="2:38" s="180" customFormat="1" x14ac:dyDescent="0.45">
      <c r="B414" s="1942"/>
      <c r="C414" s="1945"/>
      <c r="D414" s="1916"/>
      <c r="E414" s="1917"/>
      <c r="F414" s="1917"/>
      <c r="G414" s="1918"/>
      <c r="I414" s="1916"/>
      <c r="J414" s="1917"/>
      <c r="K414" s="1917"/>
      <c r="L414" s="1918"/>
      <c r="N414" s="1916"/>
      <c r="O414" s="1917"/>
      <c r="P414" s="1917"/>
      <c r="Q414" s="1918"/>
      <c r="S414" s="1916"/>
      <c r="T414" s="1917"/>
      <c r="U414" s="1917"/>
      <c r="V414" s="1918"/>
      <c r="X414" s="1916"/>
      <c r="Y414" s="1917"/>
      <c r="Z414" s="1917"/>
      <c r="AA414" s="1918"/>
      <c r="AC414" s="1916"/>
      <c r="AD414" s="1917"/>
      <c r="AE414" s="1917"/>
      <c r="AF414" s="1918"/>
      <c r="AH414" s="1916"/>
      <c r="AI414" s="1917"/>
      <c r="AJ414" s="1917"/>
      <c r="AK414" s="1918"/>
    </row>
    <row r="415" spans="2:38" s="180" customFormat="1" x14ac:dyDescent="0.45">
      <c r="B415" s="1942"/>
      <c r="C415" s="1945"/>
      <c r="D415" s="1919"/>
      <c r="E415" s="1920"/>
      <c r="F415" s="1920"/>
      <c r="G415" s="1921"/>
      <c r="I415" s="1919"/>
      <c r="J415" s="1920"/>
      <c r="K415" s="1920"/>
      <c r="L415" s="1921"/>
      <c r="N415" s="1919"/>
      <c r="O415" s="1920"/>
      <c r="P415" s="1920"/>
      <c r="Q415" s="1921"/>
      <c r="S415" s="1919"/>
      <c r="T415" s="1920"/>
      <c r="U415" s="1920"/>
      <c r="V415" s="1921"/>
      <c r="X415" s="1919"/>
      <c r="Y415" s="1920"/>
      <c r="Z415" s="1920"/>
      <c r="AA415" s="1921"/>
      <c r="AC415" s="1919"/>
      <c r="AD415" s="1920"/>
      <c r="AE415" s="1920"/>
      <c r="AF415" s="1921"/>
      <c r="AH415" s="1919"/>
      <c r="AI415" s="1920"/>
      <c r="AJ415" s="1920"/>
      <c r="AK415" s="1921"/>
    </row>
    <row r="416" spans="2:38" s="180" customFormat="1" ht="15" customHeight="1" x14ac:dyDescent="0.45">
      <c r="B416" s="1942"/>
      <c r="C416" s="1945"/>
      <c r="D416" s="1913" t="str">
        <f ca="1">IF(G396&gt;0,CONCATENATE("Session Aim: 
", CONCATENATE(IF(INDEX(final_duration_secondary,((WEEKDAY(E$3,2)*2-1)+IF(E396="Morning",0,1)),D396)=0, "", "1. "),
INDEX(sessions_aim_primary,, INDEX(plan_session_allocation,((WEEKDAY(E$3,2)*2-1)+IF(E396="Morning",0,1)),D396)), IF(INDEX(final_duration_secondary,((WEEKDAY(E$3,2)*2-1)+IF(E396="Morning",0,1)),D396)=0, "", "
2. "),
IF(INDEX(final_duration_secondary,((WEEKDAY(E$3,2)*2-1)+IF(E396="Morning",0,1)),D396)=0, "", INDEX(sessions_aim_secondary,, INDEX(plan_session_allocation,((WEEKDAY(E$3,2)*2-1)+IF(E396="Morning",0,1)),D396))), IF(INDEX(final_duration_tertiary,((WEEKDAY(E$3,2)*2-1)+IF(E396="Morning",0,1)),D396)=0, "", "
3. "),
IF(INDEX(final_duration_tertiary,((WEEKDAY(E$3,2)*2-1)+IF(E396="Morning",0,1)),D396)=0, "", INDEX(sessions_aim_tertiary,, INDEX(plan_session_allocation,((WEEKDAY(E$3,2)*2-1)+IF(E396="Morning",0,1)),D396))),
IF(INDEX(display_nutrition_description,((WEEKDAY(E$3,2)*2-1)+IF(E396="Morning",0,1)),D396)="","",
CONCATENATE("
Nutrition Aim:
", INDEX(sessions_aim_nutrition,,INDEX(plan_session_allocation,((WEEKDAY(E$3,2)*2-1)+IF(E396="Morning",0,1)),D396))
))
)),"")</f>
        <v xml:space="preserve">Session Aim: 
Improve aerobic fitness while minimising the chance of injury. </v>
      </c>
      <c r="E416" s="1914"/>
      <c r="F416" s="1914"/>
      <c r="G416" s="1915"/>
      <c r="I416" s="1913" t="str">
        <f ca="1">IF(L396&gt;0,CONCATENATE("Session Aim: 
", CONCATENATE(IF(INDEX(final_duration_secondary,((WEEKDAY(J$3,2)*2-1)+IF(J396="Morning",0,1)),I396)=0, "", "1. "),
INDEX(sessions_aim_primary,, INDEX(plan_session_allocation,((WEEKDAY(J$3,2)*2-1)+IF(J396="Morning",0,1)),I396)), IF(INDEX(final_duration_secondary,((WEEKDAY(J$3,2)*2-1)+IF(J396="Morning",0,1)),I396)=0, "", "
2. "),
IF(INDEX(final_duration_secondary,((WEEKDAY(J$3,2)*2-1)+IF(J396="Morning",0,1)),I396)=0, "", INDEX(sessions_aim_secondary,, INDEX(plan_session_allocation,((WEEKDAY(J$3,2)*2-1)+IF(J396="Morning",0,1)),I396))), IF(INDEX(final_duration_tertiary,((WEEKDAY(J$3,2)*2-1)+IF(J396="Morning",0,1)),I396)=0, "", "
3. "),
IF(INDEX(final_duration_tertiary,((WEEKDAY(J$3,2)*2-1)+IF(J396="Morning",0,1)),I396)=0, "", INDEX(sessions_aim_tertiary,, INDEX(plan_session_allocation,((WEEKDAY(J$3,2)*2-1)+IF(J396="Morning",0,1)),I396))),
IF(INDEX(display_nutrition_description,((WEEKDAY(J$3,2)*2-1)+IF(J396="Morning",0,1)),I396)="","",
CONCATENATE("
Nutrition Aim:
", INDEX(sessions_aim_nutrition,,INDEX(plan_session_allocation,((WEEKDAY(J$3,2)*2-1)+IF(J396="Morning",0,1)),I396))
))
)),"")</f>
        <v/>
      </c>
      <c r="J416" s="1914"/>
      <c r="K416" s="1914"/>
      <c r="L416" s="1915"/>
      <c r="N416" s="1913" t="str">
        <f ca="1">IF(Q396&gt;0,CONCATENATE("Session Aim: 
", CONCATENATE(IF(INDEX(final_duration_secondary,((WEEKDAY(O$3,2)*2-1)+IF(O396="Morning",0,1)),N396)=0, "", "1. "),
INDEX(sessions_aim_primary,, INDEX(plan_session_allocation,((WEEKDAY(O$3,2)*2-1)+IF(O396="Morning",0,1)),N396)), IF(INDEX(final_duration_secondary,((WEEKDAY(O$3,2)*2-1)+IF(O396="Morning",0,1)),N396)=0, "", "
2. "),
IF(INDEX(final_duration_secondary,((WEEKDAY(O$3,2)*2-1)+IF(O396="Morning",0,1)),N396)=0, "", INDEX(sessions_aim_secondary,, INDEX(plan_session_allocation,((WEEKDAY(O$3,2)*2-1)+IF(O396="Morning",0,1)),N396))), IF(INDEX(final_duration_tertiary,((WEEKDAY(O$3,2)*2-1)+IF(O396="Morning",0,1)),N396)=0, "", "
3. "),
IF(INDEX(final_duration_tertiary,((WEEKDAY(O$3,2)*2-1)+IF(O396="Morning",0,1)),N396)=0, "", INDEX(sessions_aim_tertiary,, INDEX(plan_session_allocation,((WEEKDAY(O$3,2)*2-1)+IF(O396="Morning",0,1)),N396))),
IF(INDEX(display_nutrition_description,((WEEKDAY(O$3,2)*2-1)+IF(O396="Morning",0,1)),N396)="","",
CONCATENATE("
Nutrition Aim:
", INDEX(sessions_aim_nutrition,,INDEX(plan_session_allocation,((WEEKDAY(O$3,2)*2-1)+IF(O396="Morning",0,1)),N396))
))
)),"")</f>
        <v/>
      </c>
      <c r="O416" s="1914"/>
      <c r="P416" s="1914"/>
      <c r="Q416" s="1915"/>
      <c r="S416" s="1913" t="str">
        <f ca="1">IF(V396&gt;0,CONCATENATE("Session Aim: 
", CONCATENATE(IF(INDEX(final_duration_secondary,((WEEKDAY(T$3,2)*2-1)+IF(T396="Morning",0,1)),S396)=0, "", "1. "),
INDEX(sessions_aim_primary,, INDEX(plan_session_allocation,((WEEKDAY(T$3,2)*2-1)+IF(T396="Morning",0,1)),S396)), IF(INDEX(final_duration_secondary,((WEEKDAY(T$3,2)*2-1)+IF(T396="Morning",0,1)),S396)=0, "", "
2. "),
IF(INDEX(final_duration_secondary,((WEEKDAY(T$3,2)*2-1)+IF(T396="Morning",0,1)),S396)=0, "", INDEX(sessions_aim_secondary,, INDEX(plan_session_allocation,((WEEKDAY(T$3,2)*2-1)+IF(T396="Morning",0,1)),S396))), IF(INDEX(final_duration_tertiary,((WEEKDAY(T$3,2)*2-1)+IF(T396="Morning",0,1)),S396)=0, "", "
3. "),
IF(INDEX(final_duration_tertiary,((WEEKDAY(T$3,2)*2-1)+IF(T396="Morning",0,1)),S396)=0, "", INDEX(sessions_aim_tertiary,, INDEX(plan_session_allocation,((WEEKDAY(T$3,2)*2-1)+IF(T396="Morning",0,1)),S396))),
IF(INDEX(display_nutrition_description,((WEEKDAY(T$3,2)*2-1)+IF(T396="Morning",0,1)),S396)="","",
CONCATENATE("
Nutrition Aim:
", INDEX(sessions_aim_nutrition,,INDEX(plan_session_allocation,((WEEKDAY(T$3,2)*2-1)+IF(T396="Morning",0,1)),S396))
))
)),"")</f>
        <v/>
      </c>
      <c r="T416" s="1914"/>
      <c r="U416" s="1914"/>
      <c r="V416" s="1915"/>
      <c r="X416" s="1913" t="str">
        <f ca="1">IF(AA396&gt;0,CONCATENATE("Session Aim: 
", CONCATENATE(IF(INDEX(final_duration_secondary,((WEEKDAY(Y$3,2)*2-1)+IF(Y396="Morning",0,1)),X396)=0, "", "1. "),
INDEX(sessions_aim_primary,, INDEX(plan_session_allocation,((WEEKDAY(Y$3,2)*2-1)+IF(Y396="Morning",0,1)),X396)), IF(INDEX(final_duration_secondary,((WEEKDAY(Y$3,2)*2-1)+IF(Y396="Morning",0,1)),X396)=0, "", "
2. "),
IF(INDEX(final_duration_secondary,((WEEKDAY(Y$3,2)*2-1)+IF(Y396="Morning",0,1)),X396)=0, "", INDEX(sessions_aim_secondary,, INDEX(plan_session_allocation,((WEEKDAY(Y$3,2)*2-1)+IF(Y396="Morning",0,1)),X396))), IF(INDEX(final_duration_tertiary,((WEEKDAY(Y$3,2)*2-1)+IF(Y396="Morning",0,1)),X396)=0, "", "
3. "),
IF(INDEX(final_duration_tertiary,((WEEKDAY(Y$3,2)*2-1)+IF(Y396="Morning",0,1)),X396)=0, "", INDEX(sessions_aim_tertiary,, INDEX(plan_session_allocation,((WEEKDAY(Y$3,2)*2-1)+IF(Y396="Morning",0,1)),X396))),
IF(INDEX(display_nutrition_description,((WEEKDAY(Y$3,2)*2-1)+IF(Y396="Morning",0,1)),X396)="","",
CONCATENATE("
Nutrition Aim:
", INDEX(sessions_aim_nutrition,,INDEX(plan_session_allocation,((WEEKDAY(Y$3,2)*2-1)+IF(Y396="Morning",0,1)),X396))
))
)),"")</f>
        <v xml:space="preserve">Session Aim: 
Improve aerobic fitness while minimising the chance of injury. </v>
      </c>
      <c r="Y416" s="1914"/>
      <c r="Z416" s="1914"/>
      <c r="AA416" s="1915"/>
      <c r="AC416" s="1913" t="str">
        <f ca="1">IF(AF396&gt;0,CONCATENATE("Session Aim: 
", CONCATENATE(IF(INDEX(final_duration_secondary,((WEEKDAY(AD$3,2)*2-1)+IF(AD396="Morning",0,1)),AC396)=0, "", "1. "),
INDEX(sessions_aim_primary,, INDEX(plan_session_allocation,((WEEKDAY(AD$3,2)*2-1)+IF(AD396="Morning",0,1)),AC396)), IF(INDEX(final_duration_secondary,((WEEKDAY(AD$3,2)*2-1)+IF(AD396="Morning",0,1)),AC396)=0, "", "
2. "),
IF(INDEX(final_duration_secondary,((WEEKDAY(AD$3,2)*2-1)+IF(AD396="Morning",0,1)),AC396)=0, "", INDEX(sessions_aim_secondary,, INDEX(plan_session_allocation,((WEEKDAY(AD$3,2)*2-1)+IF(AD396="Morning",0,1)),AC396))), IF(INDEX(final_duration_tertiary,((WEEKDAY(AD$3,2)*2-1)+IF(AD396="Morning",0,1)),AC396)=0, "", "
3. "),
IF(INDEX(final_duration_tertiary,((WEEKDAY(AD$3,2)*2-1)+IF(AD396="Morning",0,1)),AC396)=0, "", INDEX(sessions_aim_tertiary,, INDEX(plan_session_allocation,((WEEKDAY(AD$3,2)*2-1)+IF(AD396="Morning",0,1)),AC396))),
IF(INDEX(display_nutrition_description,((WEEKDAY(AD$3,2)*2-1)+IF(AD396="Morning",0,1)),AC396)="","",
CONCATENATE("
Nutrition Aim:
", INDEX(sessions_aim_nutrition,,INDEX(plan_session_allocation,((WEEKDAY(AD$3,2)*2-1)+IF(AD396="Morning",0,1)),AC396))
))
)),"")</f>
        <v xml:space="preserve">Session Aim: 
1. Improve running economy and injury resistance. 
2. Improve aerobic fitness while minimising the chance of injury. </v>
      </c>
      <c r="AD416" s="1914"/>
      <c r="AE416" s="1914"/>
      <c r="AF416" s="1915"/>
      <c r="AH416" s="1913" t="str">
        <f ca="1">IF(AK396&gt;0,CONCATENATE("Session Aim: 
", CONCATENATE(IF(INDEX(final_duration_secondary,((WEEKDAY(AI$3,2)*2-1)+IF(AI396="Morning",0,1)),AH396)=0, "", "1. "),
INDEX(sessions_aim_primary,, INDEX(plan_session_allocation,((WEEKDAY(AI$3,2)*2-1)+IF(AI396="Morning",0,1)),AH396)), IF(INDEX(final_duration_secondary,((WEEKDAY(AI$3,2)*2-1)+IF(AI396="Morning",0,1)),AH396)=0, "", "
2. "),
IF(INDEX(final_duration_secondary,((WEEKDAY(AI$3,2)*2-1)+IF(AI396="Morning",0,1)),AH396)=0, "", INDEX(sessions_aim_secondary,, INDEX(plan_session_allocation,((WEEKDAY(AI$3,2)*2-1)+IF(AI396="Morning",0,1)),AH396))), IF(INDEX(final_duration_tertiary,((WEEKDAY(AI$3,2)*2-1)+IF(AI396="Morning",0,1)),AH396)=0, "", "
3. "),
IF(INDEX(final_duration_tertiary,((WEEKDAY(AI$3,2)*2-1)+IF(AI396="Morning",0,1)),AH396)=0, "", INDEX(sessions_aim_tertiary,, INDEX(plan_session_allocation,((WEEKDAY(AI$3,2)*2-1)+IF(AI396="Morning",0,1)),AH396))),
IF(INDEX(display_nutrition_description,((WEEKDAY(AI$3,2)*2-1)+IF(AI396="Morning",0,1)),AH396)="","",
CONCATENATE("
Nutrition Aim:
", INDEX(sessions_aim_nutrition,,INDEX(plan_session_allocation,((WEEKDAY(AI$3,2)*2-1)+IF(AI396="Morning",0,1)),AH396))
))
)),"")</f>
        <v xml:space="preserve">Session Aim: 
Improve aerobic fitness and energy utilisation. </v>
      </c>
      <c r="AI416" s="1914"/>
      <c r="AJ416" s="1914"/>
      <c r="AK416" s="1915"/>
    </row>
    <row r="417" spans="2:38" s="180" customFormat="1" x14ac:dyDescent="0.45">
      <c r="B417" s="1942"/>
      <c r="C417" s="1945"/>
      <c r="D417" s="1916"/>
      <c r="E417" s="1917"/>
      <c r="F417" s="1917"/>
      <c r="G417" s="1918"/>
      <c r="I417" s="1916"/>
      <c r="J417" s="1917"/>
      <c r="K417" s="1917"/>
      <c r="L417" s="1918"/>
      <c r="N417" s="1916"/>
      <c r="O417" s="1917"/>
      <c r="P417" s="1917"/>
      <c r="Q417" s="1918"/>
      <c r="S417" s="1916"/>
      <c r="T417" s="1917"/>
      <c r="U417" s="1917"/>
      <c r="V417" s="1918"/>
      <c r="X417" s="1916"/>
      <c r="Y417" s="1917"/>
      <c r="Z417" s="1917"/>
      <c r="AA417" s="1918"/>
      <c r="AC417" s="1916"/>
      <c r="AD417" s="1917"/>
      <c r="AE417" s="1917"/>
      <c r="AF417" s="1918"/>
      <c r="AH417" s="1916"/>
      <c r="AI417" s="1917"/>
      <c r="AJ417" s="1917"/>
      <c r="AK417" s="1918"/>
    </row>
    <row r="418" spans="2:38" s="180" customFormat="1" x14ac:dyDescent="0.45">
      <c r="B418" s="1942"/>
      <c r="C418" s="1945"/>
      <c r="D418" s="1916"/>
      <c r="E418" s="1917"/>
      <c r="F418" s="1917"/>
      <c r="G418" s="1918"/>
      <c r="I418" s="1916"/>
      <c r="J418" s="1917"/>
      <c r="K418" s="1917"/>
      <c r="L418" s="1918"/>
      <c r="N418" s="1916"/>
      <c r="O418" s="1917"/>
      <c r="P418" s="1917"/>
      <c r="Q418" s="1918"/>
      <c r="S418" s="1916"/>
      <c r="T418" s="1917"/>
      <c r="U418" s="1917"/>
      <c r="V418" s="1918"/>
      <c r="X418" s="1916"/>
      <c r="Y418" s="1917"/>
      <c r="Z418" s="1917"/>
      <c r="AA418" s="1918"/>
      <c r="AC418" s="1916"/>
      <c r="AD418" s="1917"/>
      <c r="AE418" s="1917"/>
      <c r="AF418" s="1918"/>
      <c r="AH418" s="1916"/>
      <c r="AI418" s="1917"/>
      <c r="AJ418" s="1917"/>
      <c r="AK418" s="1918"/>
    </row>
    <row r="419" spans="2:38" s="180" customFormat="1" x14ac:dyDescent="0.45">
      <c r="B419" s="1942"/>
      <c r="C419" s="1945"/>
      <c r="D419" s="1916"/>
      <c r="E419" s="1917"/>
      <c r="F419" s="1917"/>
      <c r="G419" s="1918"/>
      <c r="I419" s="1916"/>
      <c r="J419" s="1917"/>
      <c r="K419" s="1917"/>
      <c r="L419" s="1918"/>
      <c r="N419" s="1916"/>
      <c r="O419" s="1917"/>
      <c r="P419" s="1917"/>
      <c r="Q419" s="1918"/>
      <c r="S419" s="1916"/>
      <c r="T419" s="1917"/>
      <c r="U419" s="1917"/>
      <c r="V419" s="1918"/>
      <c r="X419" s="1916"/>
      <c r="Y419" s="1917"/>
      <c r="Z419" s="1917"/>
      <c r="AA419" s="1918"/>
      <c r="AC419" s="1916"/>
      <c r="AD419" s="1917"/>
      <c r="AE419" s="1917"/>
      <c r="AF419" s="1918"/>
      <c r="AH419" s="1916"/>
      <c r="AI419" s="1917"/>
      <c r="AJ419" s="1917"/>
      <c r="AK419" s="1918"/>
    </row>
    <row r="420" spans="2:38" s="180" customFormat="1" x14ac:dyDescent="0.45">
      <c r="B420" s="1942"/>
      <c r="C420" s="1945"/>
      <c r="D420" s="1916"/>
      <c r="E420" s="1917"/>
      <c r="F420" s="1917"/>
      <c r="G420" s="1918"/>
      <c r="I420" s="1916"/>
      <c r="J420" s="1917"/>
      <c r="K420" s="1917"/>
      <c r="L420" s="1918"/>
      <c r="N420" s="1916"/>
      <c r="O420" s="1917"/>
      <c r="P420" s="1917"/>
      <c r="Q420" s="1918"/>
      <c r="S420" s="1916"/>
      <c r="T420" s="1917"/>
      <c r="U420" s="1917"/>
      <c r="V420" s="1918"/>
      <c r="X420" s="1916"/>
      <c r="Y420" s="1917"/>
      <c r="Z420" s="1917"/>
      <c r="AA420" s="1918"/>
      <c r="AC420" s="1916"/>
      <c r="AD420" s="1917"/>
      <c r="AE420" s="1917"/>
      <c r="AF420" s="1918"/>
      <c r="AH420" s="1916"/>
      <c r="AI420" s="1917"/>
      <c r="AJ420" s="1917"/>
      <c r="AK420" s="1918"/>
    </row>
    <row r="421" spans="2:38" s="180" customFormat="1" x14ac:dyDescent="0.45">
      <c r="B421" s="1942"/>
      <c r="C421" s="1945"/>
      <c r="D421" s="1916"/>
      <c r="E421" s="1917"/>
      <c r="F421" s="1917"/>
      <c r="G421" s="1918"/>
      <c r="I421" s="1916"/>
      <c r="J421" s="1917"/>
      <c r="K421" s="1917"/>
      <c r="L421" s="1918"/>
      <c r="N421" s="1916"/>
      <c r="O421" s="1917"/>
      <c r="P421" s="1917"/>
      <c r="Q421" s="1918"/>
      <c r="S421" s="1916"/>
      <c r="T421" s="1917"/>
      <c r="U421" s="1917"/>
      <c r="V421" s="1918"/>
      <c r="X421" s="1916"/>
      <c r="Y421" s="1917"/>
      <c r="Z421" s="1917"/>
      <c r="AA421" s="1918"/>
      <c r="AC421" s="1916"/>
      <c r="AD421" s="1917"/>
      <c r="AE421" s="1917"/>
      <c r="AF421" s="1918"/>
      <c r="AH421" s="1916"/>
      <c r="AI421" s="1917"/>
      <c r="AJ421" s="1917"/>
      <c r="AK421" s="1918"/>
    </row>
    <row r="422" spans="2:38" s="180" customFormat="1" ht="14.65" thickBot="1" x14ac:dyDescent="0.5">
      <c r="B422" s="1942"/>
      <c r="C422" s="1945"/>
      <c r="D422" s="1938"/>
      <c r="E422" s="1939"/>
      <c r="F422" s="1939"/>
      <c r="G422" s="1940"/>
      <c r="I422" s="1938"/>
      <c r="J422" s="1939"/>
      <c r="K422" s="1939"/>
      <c r="L422" s="1940"/>
      <c r="N422" s="1938"/>
      <c r="O422" s="1939"/>
      <c r="P422" s="1939"/>
      <c r="Q422" s="1940"/>
      <c r="S422" s="1938"/>
      <c r="T422" s="1939"/>
      <c r="U422" s="1939"/>
      <c r="V422" s="1940"/>
      <c r="X422" s="1938"/>
      <c r="Y422" s="1939"/>
      <c r="Z422" s="1939"/>
      <c r="AA422" s="1940"/>
      <c r="AC422" s="1938"/>
      <c r="AD422" s="1939"/>
      <c r="AE422" s="1939"/>
      <c r="AF422" s="1940"/>
      <c r="AH422" s="1938"/>
      <c r="AI422" s="1939"/>
      <c r="AJ422" s="1939"/>
      <c r="AK422" s="1940"/>
    </row>
    <row r="423" spans="2:38" s="176" customFormat="1" ht="15.75" customHeight="1" x14ac:dyDescent="0.45">
      <c r="B423" s="1942"/>
      <c r="C423" s="1945"/>
      <c r="D423" s="1415">
        <f>$B395</f>
        <v>8</v>
      </c>
      <c r="E423" s="1930" t="s">
        <v>352</v>
      </c>
      <c r="F423" s="1930"/>
      <c r="G423" s="1414">
        <f ca="1">INDEX(final_duration_session,((WEEKDAY(E$3,2)*2-1)+IF(E423="Morning",0,1)),$D423)</f>
        <v>60</v>
      </c>
      <c r="H423" s="177"/>
      <c r="I423" s="1415">
        <f>$B395</f>
        <v>8</v>
      </c>
      <c r="J423" s="1930" t="s">
        <v>352</v>
      </c>
      <c r="K423" s="1930"/>
      <c r="L423" s="1414">
        <f ca="1">INDEX(final_duration_session,((WEEKDAY(J$3,2)*2-1)+IF(J423="Morning",0,1)),$D423)</f>
        <v>55</v>
      </c>
      <c r="M423" s="177"/>
      <c r="N423" s="1415">
        <f>$B395</f>
        <v>8</v>
      </c>
      <c r="O423" s="1930" t="s">
        <v>352</v>
      </c>
      <c r="P423" s="1930"/>
      <c r="Q423" s="1414">
        <f ca="1">INDEX(final_duration_session,((WEEKDAY(O$3,2)*2-1)+IF(O423="Morning",0,1)),$D423)</f>
        <v>55</v>
      </c>
      <c r="R423" s="177"/>
      <c r="S423" s="1415">
        <f>$B395</f>
        <v>8</v>
      </c>
      <c r="T423" s="1930" t="s">
        <v>352</v>
      </c>
      <c r="U423" s="1930"/>
      <c r="V423" s="1414">
        <f ca="1">INDEX(final_duration_session,((WEEKDAY(T$3,2)*2-1)+IF(T423="Morning",0,1)),$D423)</f>
        <v>65</v>
      </c>
      <c r="W423" s="177"/>
      <c r="X423" s="1415">
        <f>$B395</f>
        <v>8</v>
      </c>
      <c r="Y423" s="1930" t="s">
        <v>352</v>
      </c>
      <c r="Z423" s="1930"/>
      <c r="AA423" s="1414">
        <f ca="1">INDEX(final_duration_session,((WEEKDAY(Y$3,2)*2-1)+IF(Y423="Morning",0,1)),$D423)</f>
        <v>60</v>
      </c>
      <c r="AB423" s="177"/>
      <c r="AC423" s="1415">
        <f>$B395</f>
        <v>8</v>
      </c>
      <c r="AD423" s="1930" t="s">
        <v>352</v>
      </c>
      <c r="AE423" s="1930"/>
      <c r="AF423" s="1414">
        <f ca="1">INDEX(final_duration_session,((WEEKDAY(AD$3,2)*2-1)+IF(AD423="Morning",0,1)),$D423)</f>
        <v>45</v>
      </c>
      <c r="AG423" s="177"/>
      <c r="AH423" s="1415">
        <f>$B395</f>
        <v>8</v>
      </c>
      <c r="AI423" s="1930" t="s">
        <v>352</v>
      </c>
      <c r="AJ423" s="1930"/>
      <c r="AK423" s="1414">
        <f ca="1">INDEX(final_duration_session,((WEEKDAY(AI$3,2)*2-1)+IF(AI423="Morning",0,1)),$D423)</f>
        <v>0</v>
      </c>
      <c r="AL423" s="177"/>
    </row>
    <row r="424" spans="2:38" s="176" customFormat="1" ht="15" customHeight="1" x14ac:dyDescent="0.45">
      <c r="B424" s="1942"/>
      <c r="C424" s="1945"/>
      <c r="D424" s="1931" t="str">
        <f ca="1">IF(G423&gt;0,INDEX(sessions_name,INDEX(plan_session_allocation,((WEEKDAY(E$3,2)*2-1)+IF(E423="Morning",0,1)),D423)),"")</f>
        <v>Strength and Maintenance</v>
      </c>
      <c r="E424" s="1932"/>
      <c r="F424" s="1932"/>
      <c r="G424" s="1933"/>
      <c r="H424" s="177"/>
      <c r="I424" s="1931" t="str">
        <f ca="1">IF(L423&gt;0,INDEX(sessions_name,INDEX(plan_session_allocation,((WEEKDAY(J$3,2)*2-1)+IF(J423="Morning",0,1)),I423)),"")</f>
        <v>Split Tempo</v>
      </c>
      <c r="J424" s="1932"/>
      <c r="K424" s="1932"/>
      <c r="L424" s="1933"/>
      <c r="M424" s="177"/>
      <c r="N424" s="1931" t="str">
        <f ca="1">IF(Q423&gt;0,INDEX(sessions_name,INDEX(plan_session_allocation,((WEEKDAY(O$3,2)*2-1)+IF(O423="Morning",0,1)),N423)),"")</f>
        <v xml:space="preserve">Easy </v>
      </c>
      <c r="O424" s="1932"/>
      <c r="P424" s="1932"/>
      <c r="Q424" s="1933"/>
      <c r="R424" s="177"/>
      <c r="S424" s="1931" t="str">
        <f ca="1">IF(V423&gt;0,INDEX(sessions_name,INDEX(plan_session_allocation,((WEEKDAY(T$3,2)*2-1)+IF(T423="Morning",0,1)),S423)),"")</f>
        <v>Steady</v>
      </c>
      <c r="T424" s="1932"/>
      <c r="U424" s="1932"/>
      <c r="V424" s="1933"/>
      <c r="W424" s="177"/>
      <c r="X424" s="1931" t="str">
        <f ca="1">IF(AA423&gt;0,INDEX(sessions_name,INDEX(plan_session_allocation,((WEEKDAY(Y$3,2)*2-1)+IF(Y423="Morning",0,1)),X423)),"")</f>
        <v>Strength and Maintenance</v>
      </c>
      <c r="Y424" s="1932"/>
      <c r="Z424" s="1932"/>
      <c r="AA424" s="1933"/>
      <c r="AB424" s="177"/>
      <c r="AC424" s="1931" t="str">
        <f ca="1">IF(AF423&gt;0,INDEX(sessions_name,INDEX(plan_session_allocation,((WEEKDAY(AD$3,2)*2-1)+IF(AD423="Morning",0,1)),AC423)),"")</f>
        <v>Easy</v>
      </c>
      <c r="AD424" s="1932"/>
      <c r="AE424" s="1932"/>
      <c r="AF424" s="1933"/>
      <c r="AG424" s="177"/>
      <c r="AH424" s="1931" t="str">
        <f ca="1">IF(AK423&gt;0,INDEX(sessions_name,INDEX(plan_session_allocation,((WEEKDAY(AI$3,2)*2-1)+IF(AI423="Morning",0,1)),AH423)),"")</f>
        <v/>
      </c>
      <c r="AI424" s="1932"/>
      <c r="AJ424" s="1932"/>
      <c r="AK424" s="1933"/>
      <c r="AL424" s="177"/>
    </row>
    <row r="425" spans="2:38" s="176" customFormat="1" ht="15" customHeight="1" x14ac:dyDescent="0.45">
      <c r="B425" s="1942"/>
      <c r="C425" s="1945"/>
      <c r="D425" s="1934" t="str">
        <f ca="1">IF(G423&gt;0,CONCATENATE("Sport: ",INDEX(sessions_sport_primary,INDEX(plan_session_allocation,(WEEKDAY(E$3,2)*2-1)+IF(E423="Morning",0,1),D423))),"")</f>
        <v>Sport: Indoor</v>
      </c>
      <c r="E425" s="1935"/>
      <c r="F425" s="1936">
        <f ca="1">IF(G423&gt;0,IFERROR(F426+F427+F428,""),"")</f>
        <v>60</v>
      </c>
      <c r="G425" s="1937"/>
      <c r="H425" s="177"/>
      <c r="I425" s="1934" t="str">
        <f ca="1">IF(L423&gt;0,CONCATENATE("Sport: ",INDEX(sessions_sport_primary,INDEX(plan_session_allocation,(WEEKDAY(J$3,2)*2-1)+IF(J423="Morning",0,1),I423))),"")</f>
        <v>Sport: Road Run</v>
      </c>
      <c r="J425" s="1935"/>
      <c r="K425" s="1936">
        <f ca="1">IF(L423&gt;0,IFERROR(K426+K427+K428,""),"")</f>
        <v>55</v>
      </c>
      <c r="L425" s="1937"/>
      <c r="M425" s="177"/>
      <c r="N425" s="1934" t="str">
        <f ca="1">IF(Q423&gt;0,CONCATENATE("Sport: ",INDEX(sessions_sport_primary,INDEX(plan_session_allocation,(WEEKDAY(O$3,2)*2-1)+IF(O423="Morning",0,1),N423))),"")</f>
        <v>Sport: Road Ride</v>
      </c>
      <c r="O425" s="1935"/>
      <c r="P425" s="1936">
        <f ca="1">IF(Q423&gt;0,IFERROR(P426+P427+P428,""),"")</f>
        <v>55</v>
      </c>
      <c r="Q425" s="1937"/>
      <c r="R425" s="177"/>
      <c r="S425" s="1934" t="str">
        <f ca="1">IF(V423&gt;0,CONCATENATE("Sport: ",INDEX(sessions_sport_primary,INDEX(plan_session_allocation,(WEEKDAY(T$3,2)*2-1)+IF(T423="Morning",0,1),S423))),"")</f>
        <v>Sport: Hilly Trail Run</v>
      </c>
      <c r="T425" s="1935"/>
      <c r="U425" s="1936">
        <f ca="1">IF(V423&gt;0,IFERROR(U426+U427+U428,""),"")</f>
        <v>65</v>
      </c>
      <c r="V425" s="1937"/>
      <c r="W425" s="177"/>
      <c r="X425" s="1934" t="str">
        <f ca="1">IF(AA423&gt;0,CONCATENATE("Sport: ",INDEX(sessions_sport_primary,INDEX(plan_session_allocation,(WEEKDAY(Y$3,2)*2-1)+IF(Y423="Morning",0,1),X423))),"")</f>
        <v>Sport: Indoor</v>
      </c>
      <c r="Y425" s="1935"/>
      <c r="Z425" s="1936">
        <f ca="1">IF(AA423&gt;0,IFERROR(Z426+Z427+Z428,""),"")</f>
        <v>60</v>
      </c>
      <c r="AA425" s="1937"/>
      <c r="AB425" s="177"/>
      <c r="AC425" s="1934" t="str">
        <f ca="1">IF(AF423&gt;0,CONCATENATE("Sport: ",INDEX(sessions_sport_primary,INDEX(plan_session_allocation,(WEEKDAY(AD$3,2)*2-1)+IF(AD423="Morning",0,1),AC423))),"")</f>
        <v>Sport: Run</v>
      </c>
      <c r="AD425" s="1935"/>
      <c r="AE425" s="1936">
        <f ca="1">IF(AF423&gt;0,IFERROR(AE426+AE427+AE428,""),"")</f>
        <v>45</v>
      </c>
      <c r="AF425" s="1937"/>
      <c r="AG425" s="177"/>
      <c r="AH425" s="1934" t="str">
        <f ca="1">IF(AK423&gt;0,CONCATENATE("Sport: ",INDEX(sessions_sport_primary,INDEX(plan_session_allocation,(WEEKDAY(AI$3,2)*2-1)+IF(AI423="Morning",0,1),AH423))),"")</f>
        <v/>
      </c>
      <c r="AI425" s="1935"/>
      <c r="AJ425" s="1936" t="str">
        <f ca="1">IF(AK423&gt;0,IFERROR(AJ426+AJ427+AJ428,""),"")</f>
        <v/>
      </c>
      <c r="AK425" s="1937"/>
      <c r="AL425" s="177"/>
    </row>
    <row r="426" spans="2:38" s="177" customFormat="1" ht="15" customHeight="1" x14ac:dyDescent="0.45">
      <c r="B426" s="1942"/>
      <c r="C426" s="1945"/>
      <c r="D426" s="1922" t="str">
        <f ca="1">IF(G423&gt;0,CONCATENATE("HR Target: ",
INDEX(sessions_HR_primary,INDEX(plan_session_allocation,((WEEKDAY(E$3,2)*2-1)+IF(E423="Morning",0,1)),D423)),
IF(INDEX(sessions_HR_primary,INDEX(plan_session_allocation,((WEEKDAY(E$3,2)*2-1)+IF(E423="Morning",0,1)),D423))="N/A","",
" BPM")),"")</f>
        <v>HR Target: N/A</v>
      </c>
      <c r="E426" s="1923"/>
      <c r="F426" s="1924">
        <f ca="1">IF(G423&gt;0,
INDEX(final_duration_effort,((WEEKDAY(E$3,2)*2-1)+IF(E423="Morning",0,1)),D423),"")</f>
        <v>60</v>
      </c>
      <c r="G426" s="1925"/>
      <c r="I426" s="1922" t="str">
        <f ca="1">IF(L423&gt;0,CONCATENATE("HR Target: ",
INDEX(sessions_HR_primary,INDEX(plan_session_allocation,((WEEKDAY(J$3,2)*2-1)+IF(J423="Morning",0,1)),I423)),
IF(INDEX(sessions_HR_primary,INDEX(plan_session_allocation,((WEEKDAY(J$3,2)*2-1)+IF(J423="Morning",0,1)),I423))="N/A","",
" BPM")),"")</f>
        <v>HR Target: 177 BPM</v>
      </c>
      <c r="J426" s="1923"/>
      <c r="K426" s="1924">
        <f ca="1">IF(L423&gt;0,
INDEX(final_duration_effort,((WEEKDAY(J$3,2)*2-1)+IF(J423="Morning",0,1)),I423),"")</f>
        <v>25</v>
      </c>
      <c r="L426" s="1925"/>
      <c r="N426" s="1922" t="str">
        <f ca="1">IF(Q423&gt;0,CONCATENATE("HR Target: ",
INDEX(sessions_HR_primary,INDEX(plan_session_allocation,((WEEKDAY(O$3,2)*2-1)+IF(O423="Morning",0,1)),N423)),
IF(INDEX(sessions_HR_primary,INDEX(plan_session_allocation,((WEEKDAY(O$3,2)*2-1)+IF(O423="Morning",0,1)),N423))="N/A","",
" BPM")),"")</f>
        <v>HR Target: 138 BPM</v>
      </c>
      <c r="O426" s="1923"/>
      <c r="P426" s="1924">
        <f ca="1">IF(Q423&gt;0,
INDEX(final_duration_effort,((WEEKDAY(O$3,2)*2-1)+IF(O423="Morning",0,1)),N423),"")</f>
        <v>55</v>
      </c>
      <c r="Q426" s="1925"/>
      <c r="S426" s="1922" t="str">
        <f ca="1">IF(V423&gt;0,CONCATENATE("HR Target: ",
INDEX(sessions_HR_primary,INDEX(plan_session_allocation,((WEEKDAY(T$3,2)*2-1)+IF(T423="Morning",0,1)),S423)),
IF(INDEX(sessions_HR_primary,INDEX(plan_session_allocation,((WEEKDAY(T$3,2)*2-1)+IF(T423="Morning",0,1)),S423))="N/A","",
" BPM")),"")</f>
        <v>HR Target: 148 BPM</v>
      </c>
      <c r="T426" s="1923"/>
      <c r="U426" s="1924">
        <f ca="1">IF(V423&gt;0,
INDEX(final_duration_effort,((WEEKDAY(T$3,2)*2-1)+IF(T423="Morning",0,1)),S423),"")</f>
        <v>65</v>
      </c>
      <c r="V426" s="1925"/>
      <c r="X426" s="1922" t="str">
        <f ca="1">IF(AA423&gt;0,CONCATENATE("HR Target: ",
INDEX(sessions_HR_primary,INDEX(plan_session_allocation,((WEEKDAY(Y$3,2)*2-1)+IF(Y423="Morning",0,1)),X423)),
IF(INDEX(sessions_HR_primary,INDEX(plan_session_allocation,((WEEKDAY(Y$3,2)*2-1)+IF(Y423="Morning",0,1)),X423))="N/A","",
" BPM")),"")</f>
        <v>HR Target: N/A</v>
      </c>
      <c r="Y426" s="1923"/>
      <c r="Z426" s="1924">
        <f ca="1">IF(AA423&gt;0,
INDEX(final_duration_effort,((WEEKDAY(Y$3,2)*2-1)+IF(Y423="Morning",0,1)),X423),"")</f>
        <v>60</v>
      </c>
      <c r="AA426" s="1925"/>
      <c r="AC426" s="1922" t="str">
        <f ca="1">IF(AF423&gt;0,CONCATENATE("HR Target: ",
INDEX(sessions_HR_primary,INDEX(plan_session_allocation,((WEEKDAY(AD$3,2)*2-1)+IF(AD423="Morning",0,1)),AC423)),
IF(INDEX(sessions_HR_primary,INDEX(plan_session_allocation,((WEEKDAY(AD$3,2)*2-1)+IF(AD423="Morning",0,1)),AC423))="N/A","",
" BPM")),"")</f>
        <v>HR Target: 138 BPM</v>
      </c>
      <c r="AD426" s="1923"/>
      <c r="AE426" s="1924">
        <f ca="1">IF(AF423&gt;0,
INDEX(final_duration_effort,((WEEKDAY(AD$3,2)*2-1)+IF(AD423="Morning",0,1)),AC423),"")</f>
        <v>45</v>
      </c>
      <c r="AF426" s="1925"/>
      <c r="AH426" s="1922" t="str">
        <f ca="1">IF(AK423&gt;0,CONCATENATE("HR Target: ",
INDEX(sessions_HR_primary,INDEX(plan_session_allocation,((WEEKDAY(AI$3,2)*2-1)+IF(AI423="Morning",0,1)),AH423)),
IF(INDEX(sessions_HR_primary,INDEX(plan_session_allocation,((WEEKDAY(AI$3,2)*2-1)+IF(AI423="Morning",0,1)),AH423))="N/A","",
" BPM")),"")</f>
        <v/>
      </c>
      <c r="AI426" s="1923"/>
      <c r="AJ426" s="1924" t="str">
        <f ca="1">IF(AK423&gt;0,
INDEX(final_duration_effort,((WEEKDAY(AI$3,2)*2-1)+IF(AI423="Morning",0,1)),AH423),"")</f>
        <v/>
      </c>
      <c r="AK426" s="1925"/>
    </row>
    <row r="427" spans="2:38" s="177" customFormat="1" ht="15" customHeight="1" x14ac:dyDescent="0.45">
      <c r="B427" s="1942"/>
      <c r="C427" s="1945"/>
      <c r="D427" s="1926" t="str">
        <f ca="1">IF(G423&gt;0,CONCATENATE("HR Range: ",
INDEX(sessions_HR_range_primary,INDEX(plan_session_allocation,((WEEKDAY(E$3,2)*2-1)+IF(E423="Morning",0,1)),D423)),
IF(INDEX(sessions_HR_range_primary,INDEX(plan_session_allocation,((WEEKDAY(E$3,2)*2-1)+IF(E423="Morning",0,1)),D423))="N/A","",
" BPM")),"")</f>
        <v>HR Range: N/A</v>
      </c>
      <c r="E427" s="1927"/>
      <c r="F427" s="1928">
        <f ca="1">IF(G423&gt;0,IF(
INDEX(sessions_recoveries,INDEX(plan_session_allocation,((WEEKDAY(E$3,2)*2-1)+IF(E423="Morning",0,1)),D423))="Yes",
VLOOKUP(INDEX(plan_duration_primary,((WEEKDAY(E$3,2)*2-1)+IF(E423="Morning",0,1)),D423),
INDIRECT(INDEX(sessions_intervals_code_primary,INDEX(plan_session_allocation,((WEEKDAY(E$3,2)*2-1)+IF(E423="Morning",0,1)),D423))),7,TRUE),0),"")</f>
        <v>0</v>
      </c>
      <c r="G427" s="1929"/>
      <c r="I427" s="1926" t="str">
        <f ca="1">IF(L423&gt;0,CONCATENATE("HR Range: ",
INDEX(sessions_HR_range_primary,INDEX(plan_session_allocation,((WEEKDAY(J$3,2)*2-1)+IF(J423="Morning",0,1)),I423)),
IF(INDEX(sessions_HR_range_primary,INDEX(plan_session_allocation,((WEEKDAY(J$3,2)*2-1)+IF(J423="Morning",0,1)),I423))="N/A","",
" BPM")),"")</f>
        <v>HR Range: 173 - 180 BPM</v>
      </c>
      <c r="J427" s="1927"/>
      <c r="K427" s="1928">
        <f ca="1">IF(L423&gt;0,IF(
INDEX(sessions_recoveries,INDEX(plan_session_allocation,((WEEKDAY(J$3,2)*2-1)+IF(J423="Morning",0,1)),I423))="Yes",
VLOOKUP(INDEX(plan_duration_primary,((WEEKDAY(J$3,2)*2-1)+IF(J423="Morning",0,1)),I423),
INDIRECT(INDEX(sessions_intervals_code_primary,INDEX(plan_session_allocation,((WEEKDAY(J$3,2)*2-1)+IF(J423="Morning",0,1)),I423))),7,TRUE),0),"")</f>
        <v>0</v>
      </c>
      <c r="L427" s="1929"/>
      <c r="N427" s="1926" t="str">
        <f ca="1">IF(Q423&gt;0,CONCATENATE("HR Range: ",
INDEX(sessions_HR_range_primary,INDEX(plan_session_allocation,((WEEKDAY(O$3,2)*2-1)+IF(O423="Morning",0,1)),N423)),
IF(INDEX(sessions_HR_range_primary,INDEX(plan_session_allocation,((WEEKDAY(O$3,2)*2-1)+IF(O423="Morning",0,1)),N423))="N/A","",
" BPM")),"")</f>
        <v>HR Range: 129 - 148 BPM</v>
      </c>
      <c r="O427" s="1927"/>
      <c r="P427" s="1928">
        <f ca="1">IF(Q423&gt;0,IF(
INDEX(sessions_recoveries,INDEX(plan_session_allocation,((WEEKDAY(O$3,2)*2-1)+IF(O423="Morning",0,1)),N423))="Yes",
VLOOKUP(INDEX(plan_duration_primary,((WEEKDAY(O$3,2)*2-1)+IF(O423="Morning",0,1)),N423),
INDIRECT(INDEX(sessions_intervals_code_primary,INDEX(plan_session_allocation,((WEEKDAY(O$3,2)*2-1)+IF(O423="Morning",0,1)),N423))),7,TRUE),0),"")</f>
        <v>0</v>
      </c>
      <c r="Q427" s="1929"/>
      <c r="S427" s="1926" t="str">
        <f ca="1">IF(V423&gt;0,CONCATENATE("HR Range: ",
INDEX(sessions_HR_range_primary,INDEX(plan_session_allocation,((WEEKDAY(T$3,2)*2-1)+IF(T423="Morning",0,1)),S423)),
IF(INDEX(sessions_HR_range_primary,INDEX(plan_session_allocation,((WEEKDAY(T$3,2)*2-1)+IF(T423="Morning",0,1)),S423))="N/A","",
" BPM")),"")</f>
        <v>HR Range: 138 - 157 BPM</v>
      </c>
      <c r="T427" s="1927"/>
      <c r="U427" s="1928">
        <f ca="1">IF(V423&gt;0,IF(
INDEX(sessions_recoveries,INDEX(plan_session_allocation,((WEEKDAY(T$3,2)*2-1)+IF(T423="Morning",0,1)),S423))="Yes",
VLOOKUP(INDEX(plan_duration_primary,((WEEKDAY(T$3,2)*2-1)+IF(T423="Morning",0,1)),S423),
INDIRECT(INDEX(sessions_intervals_code_primary,INDEX(plan_session_allocation,((WEEKDAY(T$3,2)*2-1)+IF(T423="Morning",0,1)),S423))),7,TRUE),0),"")</f>
        <v>0</v>
      </c>
      <c r="V427" s="1929"/>
      <c r="X427" s="1926" t="str">
        <f ca="1">IF(AA423&gt;0,CONCATENATE("HR Range: ",
INDEX(sessions_HR_range_primary,INDEX(plan_session_allocation,((WEEKDAY(Y$3,2)*2-1)+IF(Y423="Morning",0,1)),X423)),
IF(INDEX(sessions_HR_range_primary,INDEX(plan_session_allocation,((WEEKDAY(Y$3,2)*2-1)+IF(Y423="Morning",0,1)),X423))="N/A","",
" BPM")),"")</f>
        <v>HR Range: N/A</v>
      </c>
      <c r="Y427" s="1927"/>
      <c r="Z427" s="1928">
        <f ca="1">IF(AA423&gt;0,IF(
INDEX(sessions_recoveries,INDEX(plan_session_allocation,((WEEKDAY(Y$3,2)*2-1)+IF(Y423="Morning",0,1)),X423))="Yes",
VLOOKUP(INDEX(plan_duration_primary,((WEEKDAY(Y$3,2)*2-1)+IF(Y423="Morning",0,1)),X423),
INDIRECT(INDEX(sessions_intervals_code_primary,INDEX(plan_session_allocation,((WEEKDAY(Y$3,2)*2-1)+IF(Y423="Morning",0,1)),X423))),7,TRUE),0),"")</f>
        <v>0</v>
      </c>
      <c r="AA427" s="1929"/>
      <c r="AC427" s="1926" t="str">
        <f ca="1">IF(AF423&gt;0,CONCATENATE("HR Range: ",
INDEX(sessions_HR_range_primary,INDEX(plan_session_allocation,((WEEKDAY(AD$3,2)*2-1)+IF(AD423="Morning",0,1)),AC423)),
IF(INDEX(sessions_HR_range_primary,INDEX(plan_session_allocation,((WEEKDAY(AD$3,2)*2-1)+IF(AD423="Morning",0,1)),AC423))="N/A","",
" BPM")),"")</f>
        <v>HR Range: 129 - 148 BPM</v>
      </c>
      <c r="AD427" s="1927"/>
      <c r="AE427" s="1928">
        <f ca="1">IF(AF423&gt;0,IF(
INDEX(sessions_recoveries,INDEX(plan_session_allocation,((WEEKDAY(AD$3,2)*2-1)+IF(AD423="Morning",0,1)),AC423))="Yes",
VLOOKUP(INDEX(plan_duration_primary,((WEEKDAY(AD$3,2)*2-1)+IF(AD423="Morning",0,1)),AC423),
INDIRECT(INDEX(sessions_intervals_code_primary,INDEX(plan_session_allocation,((WEEKDAY(AD$3,2)*2-1)+IF(AD423="Morning",0,1)),AC423))),7,TRUE),0),"")</f>
        <v>0</v>
      </c>
      <c r="AF427" s="1929"/>
      <c r="AH427" s="1926" t="str">
        <f ca="1">IF(AK423&gt;0,CONCATENATE("HR Range: ",
INDEX(sessions_HR_range_primary,INDEX(plan_session_allocation,((WEEKDAY(AI$3,2)*2-1)+IF(AI423="Morning",0,1)),AH423)),
IF(INDEX(sessions_HR_range_primary,INDEX(plan_session_allocation,((WEEKDAY(AI$3,2)*2-1)+IF(AI423="Morning",0,1)),AH423))="N/A","",
" BPM")),"")</f>
        <v/>
      </c>
      <c r="AI427" s="1927"/>
      <c r="AJ427" s="1928" t="str">
        <f ca="1">IF(AK423&gt;0,IF(
INDEX(sessions_recoveries,INDEX(plan_session_allocation,((WEEKDAY(AI$3,2)*2-1)+IF(AI423="Morning",0,1)),AH423))="Yes",
VLOOKUP(INDEX(plan_duration_primary,((WEEKDAY(AI$3,2)*2-1)+IF(AI423="Morning",0,1)),AH423),
INDIRECT(INDEX(sessions_intervals_code_primary,INDEX(plan_session_allocation,((WEEKDAY(AI$3,2)*2-1)+IF(AI423="Morning",0,1)),AH423))),7,TRUE),0),"")</f>
        <v/>
      </c>
      <c r="AK427" s="1929"/>
    </row>
    <row r="428" spans="2:38" s="177" customFormat="1" ht="15" customHeight="1" x14ac:dyDescent="0.45">
      <c r="B428" s="1942"/>
      <c r="C428" s="1945"/>
      <c r="D428" s="1909" t="str">
        <f ca="1">IF(G423&gt;0,CONCATENATE("Equivalent Pace: ",
TEXT(INDEX(sessions_pace_primary,INDEX(plan_session_allocation,(WEEKDAY(E$3,2)*2-1)+IF(E423="Morning",0,1),D423)),"m:ss"),
" min/km"
),"")</f>
        <v>Equivalent Pace:  min/km</v>
      </c>
      <c r="E428" s="1910"/>
      <c r="F428" s="1911">
        <f ca="1">IF(G423&gt;0, INDEX(final_duration_WU,((WEEKDAY(E$3,2)*2-1)+IF(E423="Morning",0,1)),D423)  + INDEX(final_duration_WD,((WEEKDAY(E$3,2)*2-1)+IF(E423="Morning",0,1)),D423), "")</f>
        <v>0</v>
      </c>
      <c r="G428" s="1912"/>
      <c r="I428" s="1909" t="str">
        <f ca="1">IF(L423&gt;0,CONCATENATE("Equivalent Pace: ",
TEXT(INDEX(sessions_pace_primary,INDEX(plan_session_allocation,(WEEKDAY(J$3,2)*2-1)+IF(J423="Morning",0,1),I423)),"m:ss"),
" min/km"
),"")</f>
        <v>Equivalent Pace: 3:21 min/km</v>
      </c>
      <c r="J428" s="1910"/>
      <c r="K428" s="1911">
        <f ca="1">IF(L423&gt;0, INDEX(final_duration_WU,((WEEKDAY(J$3,2)*2-1)+IF(J423="Morning",0,1)),I423)  + INDEX(final_duration_WD,((WEEKDAY(J$3,2)*2-1)+IF(J423="Morning",0,1)),I423), "")</f>
        <v>30</v>
      </c>
      <c r="L428" s="1912"/>
      <c r="N428" s="1909" t="str">
        <f ca="1">IF(Q423&gt;0,CONCATENATE("Equivalent Pace: ",
TEXT(INDEX(sessions_pace_primary,INDEX(plan_session_allocation,(WEEKDAY(O$3,2)*2-1)+IF(O423="Morning",0,1),N423)),"m:ss"),
" min/km"
),"")</f>
        <v>Equivalent Pace: 4:39 min/km</v>
      </c>
      <c r="O428" s="1910"/>
      <c r="P428" s="1911">
        <f ca="1">IF(Q423&gt;0, INDEX(final_duration_WU,((WEEKDAY(O$3,2)*2-1)+IF(O423="Morning",0,1)),N423)  + INDEX(final_duration_WD,((WEEKDAY(O$3,2)*2-1)+IF(O423="Morning",0,1)),N423), "")</f>
        <v>0</v>
      </c>
      <c r="Q428" s="1912"/>
      <c r="S428" s="1909" t="str">
        <f ca="1">IF(V423&gt;0,CONCATENATE("Equivalent Pace: ",
TEXT(INDEX(sessions_pace_primary,INDEX(plan_session_allocation,(WEEKDAY(T$3,2)*2-1)+IF(T423="Morning",0,1),S423)),"m:ss"),
" min/km"
),"")</f>
        <v>Equivalent Pace: 4:14 min/km</v>
      </c>
      <c r="T428" s="1910"/>
      <c r="U428" s="1911">
        <f ca="1">IF(V423&gt;0, INDEX(final_duration_WU,((WEEKDAY(T$3,2)*2-1)+IF(T423="Morning",0,1)),S423)  + INDEX(final_duration_WD,((WEEKDAY(T$3,2)*2-1)+IF(T423="Morning",0,1)),S423), "")</f>
        <v>0</v>
      </c>
      <c r="V428" s="1912"/>
      <c r="X428" s="1909" t="str">
        <f ca="1">IF(AA423&gt;0,CONCATENATE("Equivalent Pace: ",
TEXT(INDEX(sessions_pace_primary,INDEX(plan_session_allocation,(WEEKDAY(Y$3,2)*2-1)+IF(Y423="Morning",0,1),X423)),"m:ss"),
" min/km"
),"")</f>
        <v>Equivalent Pace:  min/km</v>
      </c>
      <c r="Y428" s="1910"/>
      <c r="Z428" s="1911">
        <f ca="1">IF(AA423&gt;0, INDEX(final_duration_WU,((WEEKDAY(Y$3,2)*2-1)+IF(Y423="Morning",0,1)),X423)  + INDEX(final_duration_WD,((WEEKDAY(Y$3,2)*2-1)+IF(Y423="Morning",0,1)),X423), "")</f>
        <v>0</v>
      </c>
      <c r="AA428" s="1912"/>
      <c r="AC428" s="1909" t="str">
        <f ca="1">IF(AF423&gt;0,CONCATENATE("Equivalent Pace: ",
TEXT(INDEX(sessions_pace_primary,INDEX(plan_session_allocation,(WEEKDAY(AD$3,2)*2-1)+IF(AD423="Morning",0,1),AC423)),"m:ss"),
" min/km"
),"")</f>
        <v>Equivalent Pace: 4:39 min/km</v>
      </c>
      <c r="AD428" s="1910"/>
      <c r="AE428" s="1911">
        <f ca="1">IF(AF423&gt;0, INDEX(final_duration_WU,((WEEKDAY(AD$3,2)*2-1)+IF(AD423="Morning",0,1)),AC423)  + INDEX(final_duration_WD,((WEEKDAY(AD$3,2)*2-1)+IF(AD423="Morning",0,1)),AC423), "")</f>
        <v>0</v>
      </c>
      <c r="AF428" s="1912"/>
      <c r="AH428" s="1909" t="str">
        <f ca="1">IF(AK423&gt;0,CONCATENATE("Equivalent Pace: ",
TEXT(INDEX(sessions_pace_primary,INDEX(plan_session_allocation,(WEEKDAY(AI$3,2)*2-1)+IF(AI423="Morning",0,1),AH423)),"m:ss"),
" min/km"
),"")</f>
        <v/>
      </c>
      <c r="AI428" s="1910"/>
      <c r="AJ428" s="1911" t="str">
        <f ca="1">IF(AK423&gt;0, INDEX(final_duration_WU,((WEEKDAY(AI$3,2)*2-1)+IF(AI423="Morning",0,1)),AH423)  + INDEX(final_duration_WD,((WEEKDAY(AI$3,2)*2-1)+IF(AI423="Morning",0,1)),AH423), "")</f>
        <v/>
      </c>
      <c r="AK428" s="1912"/>
    </row>
    <row r="429" spans="2:38" s="176" customFormat="1" ht="15" customHeight="1" x14ac:dyDescent="0.45">
      <c r="B429" s="1942"/>
      <c r="C429" s="1945"/>
      <c r="D429" s="1913" t="str">
        <f ca="1">IF(G423&gt;0,CONCATENATE(IFERROR(CONCATENATE(IF(INDEX(display_intervals_breakdown,((WEEKDAY(E$3,2)*2-1)+IF(E423="Morning",0,1)),D423)="","",CONCATENATE("Intervals/Reps Breakdown: 
",INDEX(display_intervals_breakdown,((WEEKDAY(E$3,2)*2-1)+IF(E423="Morning",0,1)),D423),"
")),"Session Description: 
",CONCATENATE(IF(INDEX(final_duration_secondary,((WEEKDAY(E$3,2)*2-1)+IF(E423="Morning",0,1)),D423)=0,"","1. "),
INDEX(sessions_description_primary,,INDEX(plan_session_allocation,((WEEKDAY(E$3,2)*2-1)+IF(E423="Morning",0,1)),D423)),IF(INDEX(final_duration_secondary,((WEEKDAY(E$3,2)*2-1)+IF(E423="Morning",0,1)),D423)=0,"","
2. "),
IF(INDEX(final_duration_secondary,((WEEKDAY(E$3,2)*2-1)+IF(E423="Morning",0,1)),D423)=0,"",INDEX(sessions_description_secondary,,INDEX(plan_session_allocation,((WEEKDAY(E$3,2)*2-1)+IF(E423="Morning",0,1)),D423))),IF(INDEX(final_duration_tertiary,((WEEKDAY(E$3,2)*2-1)+IF(E423="Morning",0,1)),D423)=0,"","
3. "),
IF(INDEX(final_duration_tertiary,((WEEKDAY(E$3,2)*2-1)+IF(E423="Morning",0,1)),D423)="","",INDEX(sessions_description_tertiary,,INDEX(plan_session_allocation,((WEEKDAY(E$3,2)*2-1)+IF(E423="Morning",0,1)),D423))),
IF(INDEX(display_nutrition_description,((WEEKDAY(E$3,2)*2-1)+IF(E423="Morning",0,1)),D423)="","",
CONCATENATE("
Meal Plan: ", INDEX(sessions_nutrition,,INDEX(plan_session_allocation,((WEEKDAY(E$3,2)*2-1)+IF(E423="Morning",0,1)),D423)), "
", INDEX(display_nutrition_description,((WEEKDAY(E$3,2)*2-1)+IF(E423="Morning",0,1)),D423)))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429" s="1914"/>
      <c r="F429" s="1914"/>
      <c r="G429" s="1915"/>
      <c r="H429" s="177"/>
      <c r="I429" s="1913" t="str">
        <f ca="1">IF(L423&gt;0,CONCATENATE(IFERROR(CONCATENATE(IF(INDEX(display_intervals_breakdown,((WEEKDAY(J$3,2)*2-1)+IF(J423="Morning",0,1)),I423)="","",CONCATENATE("Intervals/Reps Breakdown: 
",INDEX(display_intervals_breakdown,((WEEKDAY(J$3,2)*2-1)+IF(J423="Morning",0,1)),I423),"
")),"Session Description: 
",CONCATENATE(IF(INDEX(final_duration_secondary,((WEEKDAY(J$3,2)*2-1)+IF(J423="Morning",0,1)),I423)=0,"","1. "),
INDEX(sessions_description_primary,,INDEX(plan_session_allocation,((WEEKDAY(J$3,2)*2-1)+IF(J423="Morning",0,1)),I423)),IF(INDEX(final_duration_secondary,((WEEKDAY(J$3,2)*2-1)+IF(J423="Morning",0,1)),I423)=0,"","
2. "),
IF(INDEX(final_duration_secondary,((WEEKDAY(J$3,2)*2-1)+IF(J423="Morning",0,1)),I423)=0,"",INDEX(sessions_description_secondary,,INDEX(plan_session_allocation,((WEEKDAY(J$3,2)*2-1)+IF(J423="Morning",0,1)),I423))),IF(INDEX(final_duration_tertiary,((WEEKDAY(J$3,2)*2-1)+IF(J423="Morning",0,1)),I423)=0,"","
3. "),
IF(INDEX(final_duration_tertiary,((WEEKDAY(J$3,2)*2-1)+IF(J423="Morning",0,1)),I423)="","",INDEX(sessions_description_tertiary,,INDEX(plan_session_allocation,((WEEKDAY(J$3,2)*2-1)+IF(J423="Morning",0,1)),I423))),
IF(INDEX(display_nutrition_description,((WEEKDAY(J$3,2)*2-1)+IF(J423="Morning",0,1)),I423)="","",
CONCATENATE("
Meal Plan: ", INDEX(sessions_nutrition,,INDEX(plan_session_allocation,((WEEKDAY(J$3,2)*2-1)+IF(J423="Morning",0,1)),I423)), "
", INDEX(display_nutrition_description,((WEEKDAY(J$3,2)*2-1)+IF(J423="Morning",0,1)),I423)))
)),"")),"")</f>
        <v>Session Description: 
Accelerate to a fast pace which you should be able to hold for 50 minutes in a race situation. This will take concentration, but it's important to keep the intensity even, so do not start too hard. Warm up and warm down for 10 minutes each.</v>
      </c>
      <c r="J429" s="1914"/>
      <c r="K429" s="1914"/>
      <c r="L429" s="1915"/>
      <c r="M429" s="177"/>
      <c r="N429" s="1913" t="str">
        <f ca="1">IF(Q423&gt;0,CONCATENATE(IFERROR(CONCATENATE(IF(INDEX(display_intervals_breakdown,((WEEKDAY(O$3,2)*2-1)+IF(O423="Morning",0,1)),N423)="","",CONCATENATE("Intervals/Reps Breakdown: 
",INDEX(display_intervals_breakdown,((WEEKDAY(O$3,2)*2-1)+IF(O423="Morning",0,1)),N423),"
")),"Session Description: 
",CONCATENATE(IF(INDEX(final_duration_secondary,((WEEKDAY(O$3,2)*2-1)+IF(O423="Morning",0,1)),N423)=0,"","1. "),
INDEX(sessions_description_primary,,INDEX(plan_session_allocation,((WEEKDAY(O$3,2)*2-1)+IF(O423="Morning",0,1)),N423)),IF(INDEX(final_duration_secondary,((WEEKDAY(O$3,2)*2-1)+IF(O423="Morning",0,1)),N423)=0,"","
2. "),
IF(INDEX(final_duration_secondary,((WEEKDAY(O$3,2)*2-1)+IF(O423="Morning",0,1)),N423)=0,"",INDEX(sessions_description_secondary,,INDEX(plan_session_allocation,((WEEKDAY(O$3,2)*2-1)+IF(O423="Morning",0,1)),N423))),IF(INDEX(final_duration_tertiary,((WEEKDAY(O$3,2)*2-1)+IF(O423="Morning",0,1)),N423)=0,"","
3. "),
IF(INDEX(final_duration_tertiary,((WEEKDAY(O$3,2)*2-1)+IF(O423="Morning",0,1)),N423)="","",INDEX(sessions_description_tertiary,,INDEX(plan_session_allocation,((WEEKDAY(O$3,2)*2-1)+IF(O423="Morning",0,1)),N423))),
IF(INDEX(display_nutrition_description,((WEEKDAY(O$3,2)*2-1)+IF(O423="Morning",0,1)),N423)="","",
CONCATENATE("
Meal Plan: ", INDEX(sessions_nutrition,,INDEX(plan_session_allocation,((WEEKDAY(O$3,2)*2-1)+IF(O423="Morning",0,1)),N423)), "
", INDEX(display_nutrition_description,((WEEKDAY(O$3,2)*2-1)+IF(O423="Morning",0,1)),N423)))
)),"")),"")</f>
        <v>Session Description: 
Stay at a comfortable and controlled intensity where you should be able to have a conversation without large pauses. Keep an even intensity and accept that your pace may change as the terrain changes.</v>
      </c>
      <c r="O429" s="1914"/>
      <c r="P429" s="1914"/>
      <c r="Q429" s="1915"/>
      <c r="R429" s="177"/>
      <c r="S429" s="1913" t="str">
        <f ca="1">IF(V423&gt;0,CONCATENATE(IFERROR(CONCATENATE(IF(INDEX(display_intervals_breakdown,((WEEKDAY(T$3,2)*2-1)+IF(T423="Morning",0,1)),S423)="","",CONCATENATE("Intervals/Reps Breakdown: 
",INDEX(display_intervals_breakdown,((WEEKDAY(T$3,2)*2-1)+IF(T423="Morning",0,1)),S423),"
")),"Session Description: 
",CONCATENATE(IF(INDEX(final_duration_secondary,((WEEKDAY(T$3,2)*2-1)+IF(T423="Morning",0,1)),S423)=0,"","1. "),
INDEX(sessions_description_primary,,INDEX(plan_session_allocation,((WEEKDAY(T$3,2)*2-1)+IF(T423="Morning",0,1)),S423)),IF(INDEX(final_duration_secondary,((WEEKDAY(T$3,2)*2-1)+IF(T423="Morning",0,1)),S423)=0,"","
2. "),
IF(INDEX(final_duration_secondary,((WEEKDAY(T$3,2)*2-1)+IF(T423="Morning",0,1)),S423)=0,"",INDEX(sessions_description_secondary,,INDEX(plan_session_allocation,((WEEKDAY(T$3,2)*2-1)+IF(T423="Morning",0,1)),S423))),IF(INDEX(final_duration_tertiary,((WEEKDAY(T$3,2)*2-1)+IF(T423="Morning",0,1)),S423)=0,"","
3. "),
IF(INDEX(final_duration_tertiary,((WEEKDAY(T$3,2)*2-1)+IF(T423="Morning",0,1)),S423)="","",INDEX(sessions_description_tertiary,,INDEX(plan_session_allocation,((WEEKDAY(T$3,2)*2-1)+IF(T423="Morning",0,1)),S423))),
IF(INDEX(display_nutrition_description,((WEEKDAY(T$3,2)*2-1)+IF(T423="Morning",0,1)),S423)="","",
CONCATENATE("
Meal Plan: ", INDEX(sessions_nutrition,,INDEX(plan_session_allocation,((WEEKDAY(T$3,2)*2-1)+IF(T423="Morning",0,1)),S423)), "
", INDEX(display_nutrition_description,((WEEKDAY(T$3,2)*2-1)+IF(T423="Morning",0,1)),S423)))
)),"")),"")</f>
        <v>Session Description: 
Stay at a comfortable and controlled intensity where you should be able to have a conversation without large pauses. Keep an even intensity and accept that your pace may change as the terrain changes.</v>
      </c>
      <c r="T429" s="1914"/>
      <c r="U429" s="1914"/>
      <c r="V429" s="1915"/>
      <c r="W429" s="177"/>
      <c r="X429" s="1913" t="str">
        <f ca="1">IF(AA423&gt;0,CONCATENATE(IFERROR(CONCATENATE(IF(INDEX(display_intervals_breakdown,((WEEKDAY(Y$3,2)*2-1)+IF(Y423="Morning",0,1)),X423)="","",CONCATENATE("Intervals/Reps Breakdown: 
",INDEX(display_intervals_breakdown,((WEEKDAY(Y$3,2)*2-1)+IF(Y423="Morning",0,1)),X423),"
")),"Session Description: 
",CONCATENATE(IF(INDEX(final_duration_secondary,((WEEKDAY(Y$3,2)*2-1)+IF(Y423="Morning",0,1)),X423)=0,"","1. "),
INDEX(sessions_description_primary,,INDEX(plan_session_allocation,((WEEKDAY(Y$3,2)*2-1)+IF(Y423="Morning",0,1)),X423)),IF(INDEX(final_duration_secondary,((WEEKDAY(Y$3,2)*2-1)+IF(Y423="Morning",0,1)),X423)=0,"","
2. "),
IF(INDEX(final_duration_secondary,((WEEKDAY(Y$3,2)*2-1)+IF(Y423="Morning",0,1)),X423)=0,"",INDEX(sessions_description_secondary,,INDEX(plan_session_allocation,((WEEKDAY(Y$3,2)*2-1)+IF(Y423="Morning",0,1)),X423))),IF(INDEX(final_duration_tertiary,((WEEKDAY(Y$3,2)*2-1)+IF(Y423="Morning",0,1)),X423)=0,"","
3. "),
IF(INDEX(final_duration_tertiary,((WEEKDAY(Y$3,2)*2-1)+IF(Y423="Morning",0,1)),X423)="","",INDEX(sessions_description_tertiary,,INDEX(plan_session_allocation,((WEEKDAY(Y$3,2)*2-1)+IF(Y423="Morning",0,1)),X423))),
IF(INDEX(display_nutrition_description,((WEEKDAY(Y$3,2)*2-1)+IF(Y423="Morning",0,1)),X423)="","",
CONCATENATE("
Meal Plan: ", INDEX(sessions_nutrition,,INDEX(plan_session_allocation,((WEEKDAY(Y$3,2)*2-1)+IF(Y423="Morning",0,1)),X423)), "
", INDEX(display_nutrition_description,((WEEKDAY(Y$3,2)*2-1)+IF(Y423="Morning",0,1)),X423)))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429" s="1914"/>
      <c r="Z429" s="1914"/>
      <c r="AA429" s="1915"/>
      <c r="AB429" s="177"/>
      <c r="AC429" s="1913" t="str">
        <f ca="1">IF(AF423&gt;0,CONCATENATE(IFERROR(CONCATENATE(IF(INDEX(display_intervals_breakdown,((WEEKDAY(AD$3,2)*2-1)+IF(AD423="Morning",0,1)),AC423)="","",CONCATENATE("Intervals/Reps Breakdown: 
",INDEX(display_intervals_breakdown,((WEEKDAY(AD$3,2)*2-1)+IF(AD423="Morning",0,1)),AC423),"
")),"Session Description: 
",CONCATENATE(IF(INDEX(final_duration_secondary,((WEEKDAY(AD$3,2)*2-1)+IF(AD423="Morning",0,1)),AC423)=0,"","1. "),
INDEX(sessions_description_primary,,INDEX(plan_session_allocation,((WEEKDAY(AD$3,2)*2-1)+IF(AD423="Morning",0,1)),AC423)),IF(INDEX(final_duration_secondary,((WEEKDAY(AD$3,2)*2-1)+IF(AD423="Morning",0,1)),AC423)=0,"","
2. "),
IF(INDEX(final_duration_secondary,((WEEKDAY(AD$3,2)*2-1)+IF(AD423="Morning",0,1)),AC423)=0,"",INDEX(sessions_description_secondary,,INDEX(plan_session_allocation,((WEEKDAY(AD$3,2)*2-1)+IF(AD423="Morning",0,1)),AC423))),IF(INDEX(final_duration_tertiary,((WEEKDAY(AD$3,2)*2-1)+IF(AD423="Morning",0,1)),AC423)=0,"","
3. "),
IF(INDEX(final_duration_tertiary,((WEEKDAY(AD$3,2)*2-1)+IF(AD423="Morning",0,1)),AC423)="","",INDEX(sessions_description_tertiary,,INDEX(plan_session_allocation,((WEEKDAY(AD$3,2)*2-1)+IF(AD423="Morning",0,1)),AC423))),
IF(INDEX(display_nutrition_description,((WEEKDAY(AD$3,2)*2-1)+IF(AD423="Morning",0,1)),AC423)="","",
CONCATENATE("
Meal Plan: ", INDEX(sessions_nutrition,,INDEX(plan_session_allocation,((WEEKDAY(AD$3,2)*2-1)+IF(AD423="Morning",0,1)),AC423)), "
", INDEX(display_nutrition_description,((WEEKDAY(AD$3,2)*2-1)+IF(AD423="Morning",0,1)),AC423)))
)),"")),"")</f>
        <v>Session Description: 
Stay at a comfortable and controlled intensity where you should be able to have a conversation without large pauses. Keep an even intensity and accept that your pace may change as the terrain changes.</v>
      </c>
      <c r="AD429" s="1914"/>
      <c r="AE429" s="1914"/>
      <c r="AF429" s="1915"/>
      <c r="AG429" s="177"/>
      <c r="AH429" s="1913" t="str">
        <f ca="1">IF(AK423&gt;0,CONCATENATE(IFERROR(CONCATENATE(IF(INDEX(display_intervals_breakdown,((WEEKDAY(AI$3,2)*2-1)+IF(AI423="Morning",0,1)),AH423)="","",CONCATENATE("Intervals/Reps Breakdown: 
",INDEX(display_intervals_breakdown,((WEEKDAY(AI$3,2)*2-1)+IF(AI423="Morning",0,1)),AH423),"
")),"Session Description: 
",CONCATENATE(IF(INDEX(final_duration_secondary,((WEEKDAY(AI$3,2)*2-1)+IF(AI423="Morning",0,1)),AH423)=0,"","1. "),
INDEX(sessions_description_primary,,INDEX(plan_session_allocation,((WEEKDAY(AI$3,2)*2-1)+IF(AI423="Morning",0,1)),AH423)),IF(INDEX(final_duration_secondary,((WEEKDAY(AI$3,2)*2-1)+IF(AI423="Morning",0,1)),AH423)=0,"","
2. "),
IF(INDEX(final_duration_secondary,((WEEKDAY(AI$3,2)*2-1)+IF(AI423="Morning",0,1)),AH423)=0,"",INDEX(sessions_description_secondary,,INDEX(plan_session_allocation,((WEEKDAY(AI$3,2)*2-1)+IF(AI423="Morning",0,1)),AH423))),IF(INDEX(final_duration_tertiary,((WEEKDAY(AI$3,2)*2-1)+IF(AI423="Morning",0,1)),AH423)=0,"","
3. "),
IF(INDEX(final_duration_tertiary,((WEEKDAY(AI$3,2)*2-1)+IF(AI423="Morning",0,1)),AH423)="","",INDEX(sessions_description_tertiary,,INDEX(plan_session_allocation,((WEEKDAY(AI$3,2)*2-1)+IF(AI423="Morning",0,1)),AH423))),
IF(INDEX(display_nutrition_description,((WEEKDAY(AI$3,2)*2-1)+IF(AI423="Morning",0,1)),AH423)="","",
CONCATENATE("
Meal Plan: ", INDEX(sessions_nutrition,,INDEX(plan_session_allocation,((WEEKDAY(AI$3,2)*2-1)+IF(AI423="Morning",0,1)),AH423)), "
", INDEX(display_nutrition_description,((WEEKDAY(AI$3,2)*2-1)+IF(AI423="Morning",0,1)),AH423)))
)),"")),"")</f>
        <v/>
      </c>
      <c r="AI429" s="1914"/>
      <c r="AJ429" s="1914"/>
      <c r="AK429" s="1915"/>
      <c r="AL429" s="177"/>
    </row>
    <row r="430" spans="2:38" s="176" customFormat="1" ht="15" customHeight="1" x14ac:dyDescent="0.45">
      <c r="B430" s="1942"/>
      <c r="C430" s="1945"/>
      <c r="D430" s="1916"/>
      <c r="E430" s="1917"/>
      <c r="F430" s="1917"/>
      <c r="G430" s="1918"/>
      <c r="H430" s="177"/>
      <c r="I430" s="1916"/>
      <c r="J430" s="1917"/>
      <c r="K430" s="1917"/>
      <c r="L430" s="1918"/>
      <c r="M430" s="177"/>
      <c r="N430" s="1916"/>
      <c r="O430" s="1917"/>
      <c r="P430" s="1917"/>
      <c r="Q430" s="1918"/>
      <c r="R430" s="177"/>
      <c r="S430" s="1916"/>
      <c r="T430" s="1917"/>
      <c r="U430" s="1917"/>
      <c r="V430" s="1918"/>
      <c r="W430" s="177"/>
      <c r="X430" s="1916"/>
      <c r="Y430" s="1917"/>
      <c r="Z430" s="1917"/>
      <c r="AA430" s="1918"/>
      <c r="AB430" s="177"/>
      <c r="AC430" s="1916"/>
      <c r="AD430" s="1917"/>
      <c r="AE430" s="1917"/>
      <c r="AF430" s="1918"/>
      <c r="AG430" s="177"/>
      <c r="AH430" s="1916"/>
      <c r="AI430" s="1917"/>
      <c r="AJ430" s="1917"/>
      <c r="AK430" s="1918"/>
      <c r="AL430" s="177"/>
    </row>
    <row r="431" spans="2:38" s="176" customFormat="1" ht="15" customHeight="1" x14ac:dyDescent="0.45">
      <c r="B431" s="1942"/>
      <c r="C431" s="1945"/>
      <c r="D431" s="1916"/>
      <c r="E431" s="1917"/>
      <c r="F431" s="1917"/>
      <c r="G431" s="1918"/>
      <c r="H431" s="177"/>
      <c r="I431" s="1916"/>
      <c r="J431" s="1917"/>
      <c r="K431" s="1917"/>
      <c r="L431" s="1918"/>
      <c r="M431" s="177"/>
      <c r="N431" s="1916"/>
      <c r="O431" s="1917"/>
      <c r="P431" s="1917"/>
      <c r="Q431" s="1918"/>
      <c r="R431" s="177"/>
      <c r="S431" s="1916"/>
      <c r="T431" s="1917"/>
      <c r="U431" s="1917"/>
      <c r="V431" s="1918"/>
      <c r="W431" s="177"/>
      <c r="X431" s="1916"/>
      <c r="Y431" s="1917"/>
      <c r="Z431" s="1917"/>
      <c r="AA431" s="1918"/>
      <c r="AB431" s="177"/>
      <c r="AC431" s="1916"/>
      <c r="AD431" s="1917"/>
      <c r="AE431" s="1917"/>
      <c r="AF431" s="1918"/>
      <c r="AG431" s="177"/>
      <c r="AH431" s="1916"/>
      <c r="AI431" s="1917"/>
      <c r="AJ431" s="1917"/>
      <c r="AK431" s="1918"/>
      <c r="AL431" s="177"/>
    </row>
    <row r="432" spans="2:38" s="176" customFormat="1" x14ac:dyDescent="0.45">
      <c r="B432" s="1942"/>
      <c r="C432" s="1945"/>
      <c r="D432" s="1916"/>
      <c r="E432" s="1917"/>
      <c r="F432" s="1917"/>
      <c r="G432" s="1918"/>
      <c r="H432" s="177"/>
      <c r="I432" s="1916"/>
      <c r="J432" s="1917"/>
      <c r="K432" s="1917"/>
      <c r="L432" s="1918"/>
      <c r="M432" s="177"/>
      <c r="N432" s="1916"/>
      <c r="O432" s="1917"/>
      <c r="P432" s="1917"/>
      <c r="Q432" s="1918"/>
      <c r="R432" s="177"/>
      <c r="S432" s="1916"/>
      <c r="T432" s="1917"/>
      <c r="U432" s="1917"/>
      <c r="V432" s="1918"/>
      <c r="W432" s="177"/>
      <c r="X432" s="1916"/>
      <c r="Y432" s="1917"/>
      <c r="Z432" s="1917"/>
      <c r="AA432" s="1918"/>
      <c r="AB432" s="177"/>
      <c r="AC432" s="1916"/>
      <c r="AD432" s="1917"/>
      <c r="AE432" s="1917"/>
      <c r="AF432" s="1918"/>
      <c r="AG432" s="177"/>
      <c r="AH432" s="1916"/>
      <c r="AI432" s="1917"/>
      <c r="AJ432" s="1917"/>
      <c r="AK432" s="1918"/>
      <c r="AL432" s="177"/>
    </row>
    <row r="433" spans="2:38" s="176" customFormat="1" x14ac:dyDescent="0.45">
      <c r="B433" s="1942"/>
      <c r="C433" s="1945"/>
      <c r="D433" s="1916"/>
      <c r="E433" s="1917"/>
      <c r="F433" s="1917"/>
      <c r="G433" s="1918"/>
      <c r="H433" s="177"/>
      <c r="I433" s="1916"/>
      <c r="J433" s="1917"/>
      <c r="K433" s="1917"/>
      <c r="L433" s="1918"/>
      <c r="M433" s="177"/>
      <c r="N433" s="1916"/>
      <c r="O433" s="1917"/>
      <c r="P433" s="1917"/>
      <c r="Q433" s="1918"/>
      <c r="R433" s="177"/>
      <c r="S433" s="1916"/>
      <c r="T433" s="1917"/>
      <c r="U433" s="1917"/>
      <c r="V433" s="1918"/>
      <c r="W433" s="177"/>
      <c r="X433" s="1916"/>
      <c r="Y433" s="1917"/>
      <c r="Z433" s="1917"/>
      <c r="AA433" s="1918"/>
      <c r="AB433" s="177"/>
      <c r="AC433" s="1916"/>
      <c r="AD433" s="1917"/>
      <c r="AE433" s="1917"/>
      <c r="AF433" s="1918"/>
      <c r="AG433" s="177"/>
      <c r="AH433" s="1916"/>
      <c r="AI433" s="1917"/>
      <c r="AJ433" s="1917"/>
      <c r="AK433" s="1918"/>
      <c r="AL433" s="177"/>
    </row>
    <row r="434" spans="2:38" s="176" customFormat="1" x14ac:dyDescent="0.45">
      <c r="B434" s="1942"/>
      <c r="C434" s="1945"/>
      <c r="D434" s="1916"/>
      <c r="E434" s="1917"/>
      <c r="F434" s="1917"/>
      <c r="G434" s="1918"/>
      <c r="H434" s="177"/>
      <c r="I434" s="1916"/>
      <c r="J434" s="1917"/>
      <c r="K434" s="1917"/>
      <c r="L434" s="1918"/>
      <c r="M434" s="177"/>
      <c r="N434" s="1916"/>
      <c r="O434" s="1917"/>
      <c r="P434" s="1917"/>
      <c r="Q434" s="1918"/>
      <c r="R434" s="177"/>
      <c r="S434" s="1916"/>
      <c r="T434" s="1917"/>
      <c r="U434" s="1917"/>
      <c r="V434" s="1918"/>
      <c r="W434" s="177"/>
      <c r="X434" s="1916"/>
      <c r="Y434" s="1917"/>
      <c r="Z434" s="1917"/>
      <c r="AA434" s="1918"/>
      <c r="AB434" s="177"/>
      <c r="AC434" s="1916"/>
      <c r="AD434" s="1917"/>
      <c r="AE434" s="1917"/>
      <c r="AF434" s="1918"/>
      <c r="AG434" s="177"/>
      <c r="AH434" s="1916"/>
      <c r="AI434" s="1917"/>
      <c r="AJ434" s="1917"/>
      <c r="AK434" s="1918"/>
      <c r="AL434" s="177"/>
    </row>
    <row r="435" spans="2:38" s="176" customFormat="1" ht="15" customHeight="1" x14ac:dyDescent="0.45">
      <c r="B435" s="1942"/>
      <c r="C435" s="1945"/>
      <c r="D435" s="1916"/>
      <c r="E435" s="1917"/>
      <c r="F435" s="1917"/>
      <c r="G435" s="1918"/>
      <c r="H435" s="177"/>
      <c r="I435" s="1916"/>
      <c r="J435" s="1917"/>
      <c r="K435" s="1917"/>
      <c r="L435" s="1918"/>
      <c r="M435" s="177"/>
      <c r="N435" s="1916"/>
      <c r="O435" s="1917"/>
      <c r="P435" s="1917"/>
      <c r="Q435" s="1918"/>
      <c r="R435" s="177"/>
      <c r="S435" s="1916"/>
      <c r="T435" s="1917"/>
      <c r="U435" s="1917"/>
      <c r="V435" s="1918"/>
      <c r="W435" s="177"/>
      <c r="X435" s="1916"/>
      <c r="Y435" s="1917"/>
      <c r="Z435" s="1917"/>
      <c r="AA435" s="1918"/>
      <c r="AB435" s="177"/>
      <c r="AC435" s="1916"/>
      <c r="AD435" s="1917"/>
      <c r="AE435" s="1917"/>
      <c r="AF435" s="1918"/>
      <c r="AG435" s="177"/>
      <c r="AH435" s="1916"/>
      <c r="AI435" s="1917"/>
      <c r="AJ435" s="1917"/>
      <c r="AK435" s="1918"/>
      <c r="AL435" s="177"/>
    </row>
    <row r="436" spans="2:38" s="176" customFormat="1" ht="15" customHeight="1" x14ac:dyDescent="0.45">
      <c r="B436" s="1942"/>
      <c r="C436" s="1945"/>
      <c r="D436" s="1916"/>
      <c r="E436" s="1917"/>
      <c r="F436" s="1917"/>
      <c r="G436" s="1918"/>
      <c r="H436" s="177"/>
      <c r="I436" s="1916"/>
      <c r="J436" s="1917"/>
      <c r="K436" s="1917"/>
      <c r="L436" s="1918"/>
      <c r="M436" s="177"/>
      <c r="N436" s="1916"/>
      <c r="O436" s="1917"/>
      <c r="P436" s="1917"/>
      <c r="Q436" s="1918"/>
      <c r="R436" s="177"/>
      <c r="S436" s="1916"/>
      <c r="T436" s="1917"/>
      <c r="U436" s="1917"/>
      <c r="V436" s="1918"/>
      <c r="W436" s="177"/>
      <c r="X436" s="1916"/>
      <c r="Y436" s="1917"/>
      <c r="Z436" s="1917"/>
      <c r="AA436" s="1918"/>
      <c r="AB436" s="177"/>
      <c r="AC436" s="1916"/>
      <c r="AD436" s="1917"/>
      <c r="AE436" s="1917"/>
      <c r="AF436" s="1918"/>
      <c r="AG436" s="177"/>
      <c r="AH436" s="1916"/>
      <c r="AI436" s="1917"/>
      <c r="AJ436" s="1917"/>
      <c r="AK436" s="1918"/>
      <c r="AL436" s="177"/>
    </row>
    <row r="437" spans="2:38" s="176" customFormat="1" x14ac:dyDescent="0.45">
      <c r="B437" s="1942"/>
      <c r="C437" s="1945"/>
      <c r="D437" s="1916"/>
      <c r="E437" s="1917"/>
      <c r="F437" s="1917"/>
      <c r="G437" s="1918"/>
      <c r="H437" s="177"/>
      <c r="I437" s="1916"/>
      <c r="J437" s="1917"/>
      <c r="K437" s="1917"/>
      <c r="L437" s="1918"/>
      <c r="M437" s="177"/>
      <c r="N437" s="1916"/>
      <c r="O437" s="1917"/>
      <c r="P437" s="1917"/>
      <c r="Q437" s="1918"/>
      <c r="R437" s="177"/>
      <c r="S437" s="1916"/>
      <c r="T437" s="1917"/>
      <c r="U437" s="1917"/>
      <c r="V437" s="1918"/>
      <c r="W437" s="177"/>
      <c r="X437" s="1916"/>
      <c r="Y437" s="1917"/>
      <c r="Z437" s="1917"/>
      <c r="AA437" s="1918"/>
      <c r="AB437" s="177"/>
      <c r="AC437" s="1916"/>
      <c r="AD437" s="1917"/>
      <c r="AE437" s="1917"/>
      <c r="AF437" s="1918"/>
      <c r="AG437" s="177"/>
      <c r="AH437" s="1916"/>
      <c r="AI437" s="1917"/>
      <c r="AJ437" s="1917"/>
      <c r="AK437" s="1918"/>
      <c r="AL437" s="177"/>
    </row>
    <row r="438" spans="2:38" s="176" customFormat="1" x14ac:dyDescent="0.45">
      <c r="B438" s="1942"/>
      <c r="C438" s="1945"/>
      <c r="D438" s="1916"/>
      <c r="E438" s="1917"/>
      <c r="F438" s="1917"/>
      <c r="G438" s="1918"/>
      <c r="H438" s="177"/>
      <c r="I438" s="1916"/>
      <c r="J438" s="1917"/>
      <c r="K438" s="1917"/>
      <c r="L438" s="1918"/>
      <c r="M438" s="177"/>
      <c r="N438" s="1916"/>
      <c r="O438" s="1917"/>
      <c r="P438" s="1917"/>
      <c r="Q438" s="1918"/>
      <c r="R438" s="177"/>
      <c r="S438" s="1916"/>
      <c r="T438" s="1917"/>
      <c r="U438" s="1917"/>
      <c r="V438" s="1918"/>
      <c r="W438" s="177"/>
      <c r="X438" s="1916"/>
      <c r="Y438" s="1917"/>
      <c r="Z438" s="1917"/>
      <c r="AA438" s="1918"/>
      <c r="AB438" s="177"/>
      <c r="AC438" s="1916"/>
      <c r="AD438" s="1917"/>
      <c r="AE438" s="1917"/>
      <c r="AF438" s="1918"/>
      <c r="AG438" s="177"/>
      <c r="AH438" s="1916"/>
      <c r="AI438" s="1917"/>
      <c r="AJ438" s="1917"/>
      <c r="AK438" s="1918"/>
      <c r="AL438" s="177"/>
    </row>
    <row r="439" spans="2:38" s="176" customFormat="1" x14ac:dyDescent="0.45">
      <c r="B439" s="1942"/>
      <c r="C439" s="1945"/>
      <c r="D439" s="1916"/>
      <c r="E439" s="1917"/>
      <c r="F439" s="1917"/>
      <c r="G439" s="1918"/>
      <c r="H439" s="177"/>
      <c r="I439" s="1916"/>
      <c r="J439" s="1917"/>
      <c r="K439" s="1917"/>
      <c r="L439" s="1918"/>
      <c r="M439" s="177"/>
      <c r="N439" s="1916"/>
      <c r="O439" s="1917"/>
      <c r="P439" s="1917"/>
      <c r="Q439" s="1918"/>
      <c r="R439" s="177"/>
      <c r="S439" s="1916"/>
      <c r="T439" s="1917"/>
      <c r="U439" s="1917"/>
      <c r="V439" s="1918"/>
      <c r="W439" s="177"/>
      <c r="X439" s="1916"/>
      <c r="Y439" s="1917"/>
      <c r="Z439" s="1917"/>
      <c r="AA439" s="1918"/>
      <c r="AB439" s="177"/>
      <c r="AC439" s="1916"/>
      <c r="AD439" s="1917"/>
      <c r="AE439" s="1917"/>
      <c r="AF439" s="1918"/>
      <c r="AG439" s="177"/>
      <c r="AH439" s="1916"/>
      <c r="AI439" s="1917"/>
      <c r="AJ439" s="1917"/>
      <c r="AK439" s="1918"/>
      <c r="AL439" s="177"/>
    </row>
    <row r="440" spans="2:38" s="176" customFormat="1" x14ac:dyDescent="0.45">
      <c r="B440" s="1942"/>
      <c r="C440" s="1945"/>
      <c r="D440" s="1916"/>
      <c r="E440" s="1917"/>
      <c r="F440" s="1917"/>
      <c r="G440" s="1918"/>
      <c r="H440" s="177"/>
      <c r="I440" s="1916"/>
      <c r="J440" s="1917"/>
      <c r="K440" s="1917"/>
      <c r="L440" s="1918"/>
      <c r="M440" s="177"/>
      <c r="N440" s="1916"/>
      <c r="O440" s="1917"/>
      <c r="P440" s="1917"/>
      <c r="Q440" s="1918"/>
      <c r="R440" s="177"/>
      <c r="S440" s="1916"/>
      <c r="T440" s="1917"/>
      <c r="U440" s="1917"/>
      <c r="V440" s="1918"/>
      <c r="W440" s="177"/>
      <c r="X440" s="1916"/>
      <c r="Y440" s="1917"/>
      <c r="Z440" s="1917"/>
      <c r="AA440" s="1918"/>
      <c r="AB440" s="177"/>
      <c r="AC440" s="1916"/>
      <c r="AD440" s="1917"/>
      <c r="AE440" s="1917"/>
      <c r="AF440" s="1918"/>
      <c r="AG440" s="177"/>
      <c r="AH440" s="1916"/>
      <c r="AI440" s="1917"/>
      <c r="AJ440" s="1917"/>
      <c r="AK440" s="1918"/>
      <c r="AL440" s="177"/>
    </row>
    <row r="441" spans="2:38" s="176" customFormat="1" x14ac:dyDescent="0.45">
      <c r="B441" s="1942"/>
      <c r="C441" s="1945"/>
      <c r="D441" s="1916"/>
      <c r="E441" s="1917"/>
      <c r="F441" s="1917"/>
      <c r="G441" s="1918"/>
      <c r="H441" s="177"/>
      <c r="I441" s="1916"/>
      <c r="J441" s="1917"/>
      <c r="K441" s="1917"/>
      <c r="L441" s="1918"/>
      <c r="M441" s="177"/>
      <c r="N441" s="1916"/>
      <c r="O441" s="1917"/>
      <c r="P441" s="1917"/>
      <c r="Q441" s="1918"/>
      <c r="R441" s="177"/>
      <c r="S441" s="1916"/>
      <c r="T441" s="1917"/>
      <c r="U441" s="1917"/>
      <c r="V441" s="1918"/>
      <c r="W441" s="177"/>
      <c r="X441" s="1916"/>
      <c r="Y441" s="1917"/>
      <c r="Z441" s="1917"/>
      <c r="AA441" s="1918"/>
      <c r="AB441" s="177"/>
      <c r="AC441" s="1916"/>
      <c r="AD441" s="1917"/>
      <c r="AE441" s="1917"/>
      <c r="AF441" s="1918"/>
      <c r="AG441" s="177"/>
      <c r="AH441" s="1916"/>
      <c r="AI441" s="1917"/>
      <c r="AJ441" s="1917"/>
      <c r="AK441" s="1918"/>
      <c r="AL441" s="177"/>
    </row>
    <row r="442" spans="2:38" s="176" customFormat="1" ht="15" customHeight="1" x14ac:dyDescent="0.45">
      <c r="B442" s="1942"/>
      <c r="C442" s="1945"/>
      <c r="D442" s="1919"/>
      <c r="E442" s="1920"/>
      <c r="F442" s="1920"/>
      <c r="G442" s="1921"/>
      <c r="H442" s="177"/>
      <c r="I442" s="1919"/>
      <c r="J442" s="1920"/>
      <c r="K442" s="1920"/>
      <c r="L442" s="1921"/>
      <c r="M442" s="177"/>
      <c r="N442" s="1919"/>
      <c r="O442" s="1920"/>
      <c r="P442" s="1920"/>
      <c r="Q442" s="1921"/>
      <c r="R442" s="177"/>
      <c r="S442" s="1919"/>
      <c r="T442" s="1920"/>
      <c r="U442" s="1920"/>
      <c r="V442" s="1921"/>
      <c r="W442" s="177"/>
      <c r="X442" s="1919"/>
      <c r="Y442" s="1920"/>
      <c r="Z442" s="1920"/>
      <c r="AA442" s="1921"/>
      <c r="AB442" s="177"/>
      <c r="AC442" s="1919"/>
      <c r="AD442" s="1920"/>
      <c r="AE442" s="1920"/>
      <c r="AF442" s="1921"/>
      <c r="AG442" s="177"/>
      <c r="AH442" s="1919"/>
      <c r="AI442" s="1920"/>
      <c r="AJ442" s="1920"/>
      <c r="AK442" s="1921"/>
      <c r="AL442" s="177"/>
    </row>
    <row r="443" spans="2:38" s="176" customFormat="1" ht="15" customHeight="1" x14ac:dyDescent="0.45">
      <c r="B443" s="1942"/>
      <c r="C443" s="1945"/>
      <c r="D443" s="1913" t="str">
        <f ca="1">IF(G423&gt;0,CONCATENATE("Session Aim: 
", CONCATENATE(IF(INDEX(final_duration_secondary,((WEEKDAY(E$3,2)*2-1)+IF(E423="Morning",0,1)),D423)=0, "", "1. "),
INDEX(sessions_aim_primary,, INDEX(plan_session_allocation,((WEEKDAY(E$3,2)*2-1)+IF(E423="Morning",0,1)),D423)), IF(INDEX(final_duration_secondary,((WEEKDAY(E$3,2)*2-1)+IF(E423="Morning",0,1)),D423)=0, "", "
2. "),
IF(INDEX(final_duration_secondary,((WEEKDAY(E$3,2)*2-1)+IF(E423="Morning",0,1)),D423)=0, "", INDEX(sessions_aim_secondary,, INDEX(plan_session_allocation,((WEEKDAY(E$3,2)*2-1)+IF(E423="Morning",0,1)),D423))), IF(INDEX(final_duration_tertiary,((WEEKDAY(E$3,2)*2-1)+IF(E423="Morning",0,1)),D423)=0, "", "
3. "),
IF(INDEX(final_duration_tertiary,((WEEKDAY(E$3,2)*2-1)+IF(E423="Morning",0,1)),D423)=0, "", INDEX(sessions_aim_tertiary,, INDEX(plan_session_allocation,((WEEKDAY(E$3,2)*2-1)+IF(E423="Morning",0,1)),D423))),
IF(INDEX(display_nutrition_description,((WEEKDAY(E$3,2)*2-1)+IF(E423="Morning",0,1)),D423)="","",
CONCATENATE("
Nutrition Aim:
", INDEX(sessions_aim_nutrition,,INDEX(plan_session_allocation,((WEEKDAY(E$3,2)*2-1)+IF(E423="Morning",0,1)),D423))
))
)),"")</f>
        <v xml:space="preserve">Session Aim: 
1. Increase strength of specific muscle groups, running economy and injury resistance. 
2. Release tension that develops in soft tissue from training and non-training stresses. </v>
      </c>
      <c r="E443" s="1914"/>
      <c r="F443" s="1914"/>
      <c r="G443" s="1915"/>
      <c r="H443" s="177"/>
      <c r="I443" s="1913" t="str">
        <f ca="1">IF(L423&gt;0,CONCATENATE("Session Aim: 
", CONCATENATE(IF(INDEX(final_duration_secondary,((WEEKDAY(J$3,2)*2-1)+IF(J423="Morning",0,1)),I423)=0, "", "1. "),
INDEX(sessions_aim_primary,, INDEX(plan_session_allocation,((WEEKDAY(J$3,2)*2-1)+IF(J423="Morning",0,1)),I423)), IF(INDEX(final_duration_secondary,((WEEKDAY(J$3,2)*2-1)+IF(J423="Morning",0,1)),I423)=0, "", "
2. "),
IF(INDEX(final_duration_secondary,((WEEKDAY(J$3,2)*2-1)+IF(J423="Morning",0,1)),I423)=0, "", INDEX(sessions_aim_secondary,, INDEX(plan_session_allocation,((WEEKDAY(J$3,2)*2-1)+IF(J423="Morning",0,1)),I423))), IF(INDEX(final_duration_tertiary,((WEEKDAY(J$3,2)*2-1)+IF(J423="Morning",0,1)),I423)=0, "", "
3. "),
IF(INDEX(final_duration_tertiary,((WEEKDAY(J$3,2)*2-1)+IF(J423="Morning",0,1)),I423)=0, "", INDEX(sessions_aim_tertiary,, INDEX(plan_session_allocation,((WEEKDAY(J$3,2)*2-1)+IF(J423="Morning",0,1)),I423))),
IF(INDEX(display_nutrition_description,((WEEKDAY(J$3,2)*2-1)+IF(J423="Morning",0,1)),I423)="","",
CONCATENATE("
Nutrition Aim:
", INDEX(sessions_aim_nutrition,,INDEX(plan_session_allocation,((WEEKDAY(J$3,2)*2-1)+IF(J423="Morning",0,1)),I423))
))
)),"")</f>
        <v xml:space="preserve">Session Aim: 
Improve endurance by increasing lactate threshold and developing mental toughness. </v>
      </c>
      <c r="J443" s="1914"/>
      <c r="K443" s="1914"/>
      <c r="L443" s="1915"/>
      <c r="M443" s="177"/>
      <c r="N443" s="1913" t="str">
        <f ca="1">IF(Q423&gt;0,CONCATENATE("Session Aim: 
", CONCATENATE(IF(INDEX(final_duration_secondary,((WEEKDAY(O$3,2)*2-1)+IF(O423="Morning",0,1)),N423)=0, "", "1. "),
INDEX(sessions_aim_primary,, INDEX(plan_session_allocation,((WEEKDAY(O$3,2)*2-1)+IF(O423="Morning",0,1)),N423)), IF(INDEX(final_duration_secondary,((WEEKDAY(O$3,2)*2-1)+IF(O423="Morning",0,1)),N423)=0, "", "
2. "),
IF(INDEX(final_duration_secondary,((WEEKDAY(O$3,2)*2-1)+IF(O423="Morning",0,1)),N423)=0, "", INDEX(sessions_aim_secondary,, INDEX(plan_session_allocation,((WEEKDAY(O$3,2)*2-1)+IF(O423="Morning",0,1)),N423))), IF(INDEX(final_duration_tertiary,((WEEKDAY(O$3,2)*2-1)+IF(O423="Morning",0,1)),N423)=0, "", "
3. "),
IF(INDEX(final_duration_tertiary,((WEEKDAY(O$3,2)*2-1)+IF(O423="Morning",0,1)),N423)=0, "", INDEX(sessions_aim_tertiary,, INDEX(plan_session_allocation,((WEEKDAY(O$3,2)*2-1)+IF(O423="Morning",0,1)),N423))),
IF(INDEX(display_nutrition_description,((WEEKDAY(O$3,2)*2-1)+IF(O423="Morning",0,1)),N423)="","",
CONCATENATE("
Nutrition Aim:
", INDEX(sessions_aim_nutrition,,INDEX(plan_session_allocation,((WEEKDAY(O$3,2)*2-1)+IF(O423="Morning",0,1)),N423))
))
)),"")</f>
        <v xml:space="preserve">Session Aim: 
Improve aerobic fitness while minimising the chance of injury. </v>
      </c>
      <c r="O443" s="1914"/>
      <c r="P443" s="1914"/>
      <c r="Q443" s="1915"/>
      <c r="R443" s="177"/>
      <c r="S443" s="1913" t="str">
        <f ca="1">IF(V423&gt;0,CONCATENATE("Session Aim: 
", CONCATENATE(IF(INDEX(final_duration_secondary,((WEEKDAY(T$3,2)*2-1)+IF(T423="Morning",0,1)),S423)=0, "", "1. "),
INDEX(sessions_aim_primary,, INDEX(plan_session_allocation,((WEEKDAY(T$3,2)*2-1)+IF(T423="Morning",0,1)),S423)), IF(INDEX(final_duration_secondary,((WEEKDAY(T$3,2)*2-1)+IF(T423="Morning",0,1)),S423)=0, "", "
2. "),
IF(INDEX(final_duration_secondary,((WEEKDAY(T$3,2)*2-1)+IF(T423="Morning",0,1)),S423)=0, "", INDEX(sessions_aim_secondary,, INDEX(plan_session_allocation,((WEEKDAY(T$3,2)*2-1)+IF(T423="Morning",0,1)),S423))), IF(INDEX(final_duration_tertiary,((WEEKDAY(T$3,2)*2-1)+IF(T423="Morning",0,1)),S423)=0, "", "
3. "),
IF(INDEX(final_duration_tertiary,((WEEKDAY(T$3,2)*2-1)+IF(T423="Morning",0,1)),S423)=0, "", INDEX(sessions_aim_tertiary,, INDEX(plan_session_allocation,((WEEKDAY(T$3,2)*2-1)+IF(T423="Morning",0,1)),S423))),
IF(INDEX(display_nutrition_description,((WEEKDAY(T$3,2)*2-1)+IF(T423="Morning",0,1)),S423)="","",
CONCATENATE("
Nutrition Aim:
", INDEX(sessions_aim_nutrition,,INDEX(plan_session_allocation,((WEEKDAY(T$3,2)*2-1)+IF(T423="Morning",0,1)),S423))
))
)),"")</f>
        <v>Session Aim: 
Improve aerobic fitness at an optimal rate.</v>
      </c>
      <c r="T443" s="1914"/>
      <c r="U443" s="1914"/>
      <c r="V443" s="1915"/>
      <c r="W443" s="177"/>
      <c r="X443" s="1913" t="str">
        <f ca="1">IF(AA423&gt;0,CONCATENATE("Session Aim: 
", CONCATENATE(IF(INDEX(final_duration_secondary,((WEEKDAY(Y$3,2)*2-1)+IF(Y423="Morning",0,1)),X423)=0, "", "1. "),
INDEX(sessions_aim_primary,, INDEX(plan_session_allocation,((WEEKDAY(Y$3,2)*2-1)+IF(Y423="Morning",0,1)),X423)), IF(INDEX(final_duration_secondary,((WEEKDAY(Y$3,2)*2-1)+IF(Y423="Morning",0,1)),X423)=0, "", "
2. "),
IF(INDEX(final_duration_secondary,((WEEKDAY(Y$3,2)*2-1)+IF(Y423="Morning",0,1)),X423)=0, "", INDEX(sessions_aim_secondary,, INDEX(plan_session_allocation,((WEEKDAY(Y$3,2)*2-1)+IF(Y423="Morning",0,1)),X423))), IF(INDEX(final_duration_tertiary,((WEEKDAY(Y$3,2)*2-1)+IF(Y423="Morning",0,1)),X423)=0, "", "
3. "),
IF(INDEX(final_duration_tertiary,((WEEKDAY(Y$3,2)*2-1)+IF(Y423="Morning",0,1)),X423)=0, "", INDEX(sessions_aim_tertiary,, INDEX(plan_session_allocation,((WEEKDAY(Y$3,2)*2-1)+IF(Y423="Morning",0,1)),X423))),
IF(INDEX(display_nutrition_description,((WEEKDAY(Y$3,2)*2-1)+IF(Y423="Morning",0,1)),X423)="","",
CONCATENATE("
Nutrition Aim:
", INDEX(sessions_aim_nutrition,,INDEX(plan_session_allocation,((WEEKDAY(Y$3,2)*2-1)+IF(Y423="Morning",0,1)),X423))
))
)),"")</f>
        <v xml:space="preserve">Session Aim: 
1. Increase strength of specific muscle groups, running economy and injury resistance. 
2. Release tension that develops in soft tissue from training and non-training stresses. </v>
      </c>
      <c r="Y443" s="1914"/>
      <c r="Z443" s="1914"/>
      <c r="AA443" s="1915"/>
      <c r="AB443" s="177"/>
      <c r="AC443" s="1913" t="str">
        <f ca="1">IF(AF423&gt;0,CONCATENATE("Session Aim: 
", CONCATENATE(IF(INDEX(final_duration_secondary,((WEEKDAY(AD$3,2)*2-1)+IF(AD423="Morning",0,1)),AC423)=0, "", "1. "),
INDEX(sessions_aim_primary,, INDEX(plan_session_allocation,((WEEKDAY(AD$3,2)*2-1)+IF(AD423="Morning",0,1)),AC423)), IF(INDEX(final_duration_secondary,((WEEKDAY(AD$3,2)*2-1)+IF(AD423="Morning",0,1)),AC423)=0, "", "
2. "),
IF(INDEX(final_duration_secondary,((WEEKDAY(AD$3,2)*2-1)+IF(AD423="Morning",0,1)),AC423)=0, "", INDEX(sessions_aim_secondary,, INDEX(plan_session_allocation,((WEEKDAY(AD$3,2)*2-1)+IF(AD423="Morning",0,1)),AC423))), IF(INDEX(final_duration_tertiary,((WEEKDAY(AD$3,2)*2-1)+IF(AD423="Morning",0,1)),AC423)=0, "", "
3. "),
IF(INDEX(final_duration_tertiary,((WEEKDAY(AD$3,2)*2-1)+IF(AD423="Morning",0,1)),AC423)=0, "", INDEX(sessions_aim_tertiary,, INDEX(plan_session_allocation,((WEEKDAY(AD$3,2)*2-1)+IF(AD423="Morning",0,1)),AC423))),
IF(INDEX(display_nutrition_description,((WEEKDAY(AD$3,2)*2-1)+IF(AD423="Morning",0,1)),AC423)="","",
CONCATENATE("
Nutrition Aim:
", INDEX(sessions_aim_nutrition,,INDEX(plan_session_allocation,((WEEKDAY(AD$3,2)*2-1)+IF(AD423="Morning",0,1)),AC423))
))
)),"")</f>
        <v xml:space="preserve">Session Aim: 
Improve aerobic fitness while minimising the chance of injury. </v>
      </c>
      <c r="AD443" s="1914"/>
      <c r="AE443" s="1914"/>
      <c r="AF443" s="1915"/>
      <c r="AG443" s="177"/>
      <c r="AH443" s="1913" t="str">
        <f ca="1">IF(AK423&gt;0,CONCATENATE("Session Aim: 
", CONCATENATE(IF(INDEX(final_duration_secondary,((WEEKDAY(AI$3,2)*2-1)+IF(AI423="Morning",0,1)),AH423)=0, "", "1. "),
INDEX(sessions_aim_primary,, INDEX(plan_session_allocation,((WEEKDAY(AI$3,2)*2-1)+IF(AI423="Morning",0,1)),AH423)), IF(INDEX(final_duration_secondary,((WEEKDAY(AI$3,2)*2-1)+IF(AI423="Morning",0,1)),AH423)=0, "", "
2. "),
IF(INDEX(final_duration_secondary,((WEEKDAY(AI$3,2)*2-1)+IF(AI423="Morning",0,1)),AH423)=0, "", INDEX(sessions_aim_secondary,, INDEX(plan_session_allocation,((WEEKDAY(AI$3,2)*2-1)+IF(AI423="Morning",0,1)),AH423))), IF(INDEX(final_duration_tertiary,((WEEKDAY(AI$3,2)*2-1)+IF(AI423="Morning",0,1)),AH423)=0, "", "
3. "),
IF(INDEX(final_duration_tertiary,((WEEKDAY(AI$3,2)*2-1)+IF(AI423="Morning",0,1)),AH423)=0, "", INDEX(sessions_aim_tertiary,, INDEX(plan_session_allocation,((WEEKDAY(AI$3,2)*2-1)+IF(AI423="Morning",0,1)),AH423))),
IF(INDEX(display_nutrition_description,((WEEKDAY(AI$3,2)*2-1)+IF(AI423="Morning",0,1)),AH423)="","",
CONCATENATE("
Nutrition Aim:
", INDEX(sessions_aim_nutrition,,INDEX(plan_session_allocation,((WEEKDAY(AI$3,2)*2-1)+IF(AI423="Morning",0,1)),AH423))
))
)),"")</f>
        <v/>
      </c>
      <c r="AI443" s="1914"/>
      <c r="AJ443" s="1914"/>
      <c r="AK443" s="1915"/>
      <c r="AL443" s="177"/>
    </row>
    <row r="444" spans="2:38" s="176" customFormat="1" x14ac:dyDescent="0.45">
      <c r="B444" s="1942"/>
      <c r="C444" s="1945"/>
      <c r="D444" s="1916"/>
      <c r="E444" s="1917"/>
      <c r="F444" s="1917"/>
      <c r="G444" s="1918"/>
      <c r="H444" s="177"/>
      <c r="I444" s="1916"/>
      <c r="J444" s="1917"/>
      <c r="K444" s="1917"/>
      <c r="L444" s="1918"/>
      <c r="M444" s="177"/>
      <c r="N444" s="1916"/>
      <c r="O444" s="1917"/>
      <c r="P444" s="1917"/>
      <c r="Q444" s="1918"/>
      <c r="R444" s="177"/>
      <c r="S444" s="1916"/>
      <c r="T444" s="1917"/>
      <c r="U444" s="1917"/>
      <c r="V444" s="1918"/>
      <c r="W444" s="177"/>
      <c r="X444" s="1916"/>
      <c r="Y444" s="1917"/>
      <c r="Z444" s="1917"/>
      <c r="AA444" s="1918"/>
      <c r="AB444" s="177"/>
      <c r="AC444" s="1916"/>
      <c r="AD444" s="1917"/>
      <c r="AE444" s="1917"/>
      <c r="AF444" s="1918"/>
      <c r="AG444" s="177"/>
      <c r="AH444" s="1916"/>
      <c r="AI444" s="1917"/>
      <c r="AJ444" s="1917"/>
      <c r="AK444" s="1918"/>
      <c r="AL444" s="177"/>
    </row>
    <row r="445" spans="2:38" s="176" customFormat="1" x14ac:dyDescent="0.45">
      <c r="B445" s="1942"/>
      <c r="C445" s="1945"/>
      <c r="D445" s="1916"/>
      <c r="E445" s="1917"/>
      <c r="F445" s="1917"/>
      <c r="G445" s="1918"/>
      <c r="H445" s="177"/>
      <c r="I445" s="1916"/>
      <c r="J445" s="1917"/>
      <c r="K445" s="1917"/>
      <c r="L445" s="1918"/>
      <c r="M445" s="177"/>
      <c r="N445" s="1916"/>
      <c r="O445" s="1917"/>
      <c r="P445" s="1917"/>
      <c r="Q445" s="1918"/>
      <c r="R445" s="177"/>
      <c r="S445" s="1916"/>
      <c r="T445" s="1917"/>
      <c r="U445" s="1917"/>
      <c r="V445" s="1918"/>
      <c r="W445" s="177"/>
      <c r="X445" s="1916"/>
      <c r="Y445" s="1917"/>
      <c r="Z445" s="1917"/>
      <c r="AA445" s="1918"/>
      <c r="AB445" s="177"/>
      <c r="AC445" s="1916"/>
      <c r="AD445" s="1917"/>
      <c r="AE445" s="1917"/>
      <c r="AF445" s="1918"/>
      <c r="AG445" s="177"/>
      <c r="AH445" s="1916"/>
      <c r="AI445" s="1917"/>
      <c r="AJ445" s="1917"/>
      <c r="AK445" s="1918"/>
      <c r="AL445" s="177"/>
    </row>
    <row r="446" spans="2:38" s="176" customFormat="1" x14ac:dyDescent="0.45">
      <c r="B446" s="1942"/>
      <c r="C446" s="1945"/>
      <c r="D446" s="1916"/>
      <c r="E446" s="1917"/>
      <c r="F446" s="1917"/>
      <c r="G446" s="1918"/>
      <c r="H446" s="177"/>
      <c r="I446" s="1916"/>
      <c r="J446" s="1917"/>
      <c r="K446" s="1917"/>
      <c r="L446" s="1918"/>
      <c r="M446" s="177"/>
      <c r="N446" s="1916"/>
      <c r="O446" s="1917"/>
      <c r="P446" s="1917"/>
      <c r="Q446" s="1918"/>
      <c r="R446" s="177"/>
      <c r="S446" s="1916"/>
      <c r="T446" s="1917"/>
      <c r="U446" s="1917"/>
      <c r="V446" s="1918"/>
      <c r="W446" s="177"/>
      <c r="X446" s="1916"/>
      <c r="Y446" s="1917"/>
      <c r="Z446" s="1917"/>
      <c r="AA446" s="1918"/>
      <c r="AB446" s="177"/>
      <c r="AC446" s="1916"/>
      <c r="AD446" s="1917"/>
      <c r="AE446" s="1917"/>
      <c r="AF446" s="1918"/>
      <c r="AG446" s="177"/>
      <c r="AH446" s="1916"/>
      <c r="AI446" s="1917"/>
      <c r="AJ446" s="1917"/>
      <c r="AK446" s="1918"/>
      <c r="AL446" s="177"/>
    </row>
    <row r="447" spans="2:38" s="176" customFormat="1" x14ac:dyDescent="0.45">
      <c r="B447" s="1942"/>
      <c r="C447" s="1945"/>
      <c r="D447" s="1916"/>
      <c r="E447" s="1917"/>
      <c r="F447" s="1917"/>
      <c r="G447" s="1918"/>
      <c r="H447" s="177"/>
      <c r="I447" s="1916"/>
      <c r="J447" s="1917"/>
      <c r="K447" s="1917"/>
      <c r="L447" s="1918"/>
      <c r="M447" s="177"/>
      <c r="N447" s="1916"/>
      <c r="O447" s="1917"/>
      <c r="P447" s="1917"/>
      <c r="Q447" s="1918"/>
      <c r="R447" s="177"/>
      <c r="S447" s="1916"/>
      <c r="T447" s="1917"/>
      <c r="U447" s="1917"/>
      <c r="V447" s="1918"/>
      <c r="W447" s="177"/>
      <c r="X447" s="1916"/>
      <c r="Y447" s="1917"/>
      <c r="Z447" s="1917"/>
      <c r="AA447" s="1918"/>
      <c r="AB447" s="177"/>
      <c r="AC447" s="1916"/>
      <c r="AD447" s="1917"/>
      <c r="AE447" s="1917"/>
      <c r="AF447" s="1918"/>
      <c r="AG447" s="177"/>
      <c r="AH447" s="1916"/>
      <c r="AI447" s="1917"/>
      <c r="AJ447" s="1917"/>
      <c r="AK447" s="1918"/>
      <c r="AL447" s="177"/>
    </row>
    <row r="448" spans="2:38" s="176" customFormat="1" x14ac:dyDescent="0.45">
      <c r="B448" s="1942"/>
      <c r="C448" s="1945"/>
      <c r="D448" s="1916"/>
      <c r="E448" s="1917"/>
      <c r="F448" s="1917"/>
      <c r="G448" s="1918"/>
      <c r="H448" s="177"/>
      <c r="I448" s="1916"/>
      <c r="J448" s="1917"/>
      <c r="K448" s="1917"/>
      <c r="L448" s="1918"/>
      <c r="N448" s="1916"/>
      <c r="O448" s="1917"/>
      <c r="P448" s="1917"/>
      <c r="Q448" s="1918"/>
      <c r="S448" s="1916"/>
      <c r="T448" s="1917"/>
      <c r="U448" s="1917"/>
      <c r="V448" s="1918"/>
      <c r="X448" s="1916"/>
      <c r="Y448" s="1917"/>
      <c r="Z448" s="1917"/>
      <c r="AA448" s="1918"/>
      <c r="AC448" s="1916"/>
      <c r="AD448" s="1917"/>
      <c r="AE448" s="1917"/>
      <c r="AF448" s="1918"/>
      <c r="AH448" s="1916"/>
      <c r="AI448" s="1917"/>
      <c r="AJ448" s="1917"/>
      <c r="AK448" s="1918"/>
    </row>
    <row r="449" spans="2:38" s="176" customFormat="1" ht="14.65" thickBot="1" x14ac:dyDescent="0.5">
      <c r="B449" s="1943"/>
      <c r="C449" s="1946"/>
      <c r="D449" s="1938"/>
      <c r="E449" s="1939"/>
      <c r="F449" s="1939"/>
      <c r="G449" s="1940"/>
      <c r="H449" s="177"/>
      <c r="I449" s="1938"/>
      <c r="J449" s="1939"/>
      <c r="K449" s="1939"/>
      <c r="L449" s="1940"/>
      <c r="N449" s="1938"/>
      <c r="O449" s="1939"/>
      <c r="P449" s="1939"/>
      <c r="Q449" s="1940"/>
      <c r="S449" s="1938"/>
      <c r="T449" s="1939"/>
      <c r="U449" s="1939"/>
      <c r="V449" s="1940"/>
      <c r="X449" s="1938"/>
      <c r="Y449" s="1939"/>
      <c r="Z449" s="1939"/>
      <c r="AA449" s="1940"/>
      <c r="AC449" s="1938"/>
      <c r="AD449" s="1939"/>
      <c r="AE449" s="1939"/>
      <c r="AF449" s="1940"/>
      <c r="AH449" s="1938"/>
      <c r="AI449" s="1939"/>
      <c r="AJ449" s="1939"/>
      <c r="AK449" s="1940"/>
    </row>
    <row r="450" spans="2:38" s="176" customFormat="1" ht="14.65" thickBot="1" x14ac:dyDescent="0.5">
      <c r="H450" s="177"/>
    </row>
    <row r="451" spans="2:38" s="176" customFormat="1" ht="15" customHeight="1" thickBot="1" x14ac:dyDescent="0.5">
      <c r="B451" s="1941">
        <v>9</v>
      </c>
      <c r="C451" s="1944" t="str">
        <f ca="1">IF(INDEX(display_strategy,1,B451)="","", CONCATENATE(INDEX(display_strategy,1,B451),": ",HLOOKUP(INDEX(display_strategy,1,B451),strategies,4,TRUE)))</f>
        <v>Maintain: Stress aerobic power and develop racing level speed.</v>
      </c>
      <c r="D451" s="1418" t="str">
        <f ca="1">CONCATENATE("Strategy: ",INDEX(display_strategy,$B451))</f>
        <v>Strategy: Maintain</v>
      </c>
      <c r="E451" s="1947">
        <f>plan_start_date + ($B451-1)*7 + (COLUMN(D$2)-2)/5</f>
        <v>43430.400000000001</v>
      </c>
      <c r="F451" s="1947"/>
      <c r="G451" s="1417" t="str">
        <f>CONCATENATE("Slot: ", ((WEEKDAY(E$3,2)*2-1)+IF(E452="Morning",0,1)))</f>
        <v>Slot: 1</v>
      </c>
      <c r="H451" s="177"/>
      <c r="I451" s="1418" t="str">
        <f ca="1">CONCATENATE("Strategy: ",INDEX(display_strategy,$B451))</f>
        <v>Strategy: Maintain</v>
      </c>
      <c r="J451" s="1947">
        <f>plan_start_date + ($B451-1)*7 + (COLUMN(I$2)-2)/5</f>
        <v>43431.4</v>
      </c>
      <c r="K451" s="1947"/>
      <c r="L451" s="1417" t="str">
        <f>CONCATENATE("Slot: ", ((WEEKDAY(J$3,2)*2-1)+IF(J452="Morning",0,1)))</f>
        <v>Slot: 3</v>
      </c>
      <c r="N451" s="1418" t="str">
        <f ca="1">CONCATENATE("Strategy: ",INDEX(display_strategy,$B451))</f>
        <v>Strategy: Maintain</v>
      </c>
      <c r="O451" s="1947">
        <f>plan_start_date + ($B451-1)*7 + (COLUMN(N$2)-2)/5</f>
        <v>43432.4</v>
      </c>
      <c r="P451" s="1947"/>
      <c r="Q451" s="1417" t="str">
        <f>CONCATENATE("Slot: ", ((WEEKDAY(O$3,2)*2-1)+IF(O452="Morning",0,1)))</f>
        <v>Slot: 5</v>
      </c>
      <c r="S451" s="1418" t="str">
        <f ca="1">CONCATENATE("Strategy: ",INDEX(display_strategy,$B451))</f>
        <v>Strategy: Maintain</v>
      </c>
      <c r="T451" s="1947">
        <f>plan_start_date + ($B451-1)*7 + (COLUMN(S$2)-2)/5</f>
        <v>43433.4</v>
      </c>
      <c r="U451" s="1947"/>
      <c r="V451" s="1417" t="str">
        <f>CONCATENATE("Slot: ", ((WEEKDAY(T$3,2)*2-1)+IF(T452="Morning",0,1)))</f>
        <v>Slot: 7</v>
      </c>
      <c r="X451" s="1418" t="str">
        <f ca="1">CONCATENATE("Strategy: ",INDEX(display_strategy,$B451))</f>
        <v>Strategy: Maintain</v>
      </c>
      <c r="Y451" s="1947">
        <f>plan_start_date + ($B451-1)*7 + (COLUMN(X$2)-2)/5</f>
        <v>43434.400000000001</v>
      </c>
      <c r="Z451" s="1947"/>
      <c r="AA451" s="1417" t="str">
        <f>CONCATENATE("Slot: ", ((WEEKDAY(Y$3,2)*2-1)+IF(Y452="Morning",0,1)))</f>
        <v>Slot: 9</v>
      </c>
      <c r="AC451" s="1418" t="str">
        <f ca="1">CONCATENATE("Strategy: ",INDEX(display_strategy,$B451))</f>
        <v>Strategy: Maintain</v>
      </c>
      <c r="AD451" s="1947">
        <f>plan_start_date + ($B451-1)*7 + (COLUMN(AC$2)-2)/5</f>
        <v>43435.4</v>
      </c>
      <c r="AE451" s="1947"/>
      <c r="AF451" s="1417" t="str">
        <f>CONCATENATE("Slot: ", ((WEEKDAY(AD$3,2)*2-1)+IF(AD452="Morning",0,1)))</f>
        <v>Slot: 11</v>
      </c>
      <c r="AH451" s="1418" t="str">
        <f ca="1">CONCATENATE("Strategy: ",INDEX(display_strategy,$B451))</f>
        <v>Strategy: Maintain</v>
      </c>
      <c r="AI451" s="1947">
        <f>plan_start_date + ($B451-1)*7 + (COLUMN(AH$2)-2)/5</f>
        <v>43436.4</v>
      </c>
      <c r="AJ451" s="1947"/>
      <c r="AK451" s="1417" t="str">
        <f>CONCATENATE("Slot: ", ((WEEKDAY(AI$3,2)*2-1)+IF(AI452="Morning",0,1)))</f>
        <v>Slot: 13</v>
      </c>
    </row>
    <row r="452" spans="2:38" s="176" customFormat="1" x14ac:dyDescent="0.45">
      <c r="B452" s="1942"/>
      <c r="C452" s="1945"/>
      <c r="D452" s="1413">
        <f>$B451</f>
        <v>9</v>
      </c>
      <c r="E452" s="1930" t="s">
        <v>351</v>
      </c>
      <c r="F452" s="1930"/>
      <c r="G452" s="1412">
        <f ca="1">INDEX(final_duration_session, ((WEEKDAY(E$3,2)*2-1)+IF(E452="Morning",0,1)), $D452)</f>
        <v>40</v>
      </c>
      <c r="H452" s="177"/>
      <c r="I452" s="1413">
        <f>$B451</f>
        <v>9</v>
      </c>
      <c r="J452" s="1930" t="s">
        <v>351</v>
      </c>
      <c r="K452" s="1930"/>
      <c r="L452" s="1412">
        <f ca="1">INDEX(final_duration_session, ((WEEKDAY(J$3,2)*2-1)+IF(J452="Morning",0,1)), $D452)</f>
        <v>0</v>
      </c>
      <c r="M452" s="177"/>
      <c r="N452" s="1413">
        <f>$B451</f>
        <v>9</v>
      </c>
      <c r="O452" s="1930" t="s">
        <v>351</v>
      </c>
      <c r="P452" s="1930"/>
      <c r="Q452" s="1412">
        <f ca="1">INDEX(final_duration_session, ((WEEKDAY(O$3,2)*2-1)+IF(O452="Morning",0,1)), $D452)</f>
        <v>0</v>
      </c>
      <c r="R452" s="177"/>
      <c r="S452" s="1413">
        <f>$B451</f>
        <v>9</v>
      </c>
      <c r="T452" s="1930" t="s">
        <v>351</v>
      </c>
      <c r="U452" s="1930"/>
      <c r="V452" s="1412">
        <f ca="1">INDEX(final_duration_session, ((WEEKDAY(T$3,2)*2-1)+IF(T452="Morning",0,1)), $D452)</f>
        <v>0</v>
      </c>
      <c r="W452" s="177"/>
      <c r="X452" s="1413">
        <f>$B451</f>
        <v>9</v>
      </c>
      <c r="Y452" s="1930" t="s">
        <v>351</v>
      </c>
      <c r="Z452" s="1930"/>
      <c r="AA452" s="1412">
        <f ca="1">INDEX(final_duration_session, ((WEEKDAY(Y$3,2)*2-1)+IF(Y452="Morning",0,1)), $D452)</f>
        <v>40</v>
      </c>
      <c r="AB452" s="177"/>
      <c r="AC452" s="1413">
        <f>$B451</f>
        <v>9</v>
      </c>
      <c r="AD452" s="1930" t="s">
        <v>351</v>
      </c>
      <c r="AE452" s="1930"/>
      <c r="AF452" s="1412">
        <f ca="1">INDEX(final_duration_session, ((WEEKDAY(AD$3,2)*2-1)+IF(AD452="Morning",0,1)), $D452)</f>
        <v>330</v>
      </c>
      <c r="AG452" s="177"/>
      <c r="AH452" s="1413">
        <f>$B451</f>
        <v>9</v>
      </c>
      <c r="AI452" s="1930" t="s">
        <v>351</v>
      </c>
      <c r="AJ452" s="1930"/>
      <c r="AK452" s="1412">
        <f ca="1">INDEX(final_duration_session, ((WEEKDAY(AI$3,2)*2-1)+IF(AI452="Morning",0,1)), $D452)</f>
        <v>0</v>
      </c>
      <c r="AL452" s="177"/>
    </row>
    <row r="453" spans="2:38" s="176" customFormat="1" ht="15" customHeight="1" x14ac:dyDescent="0.45">
      <c r="B453" s="1942"/>
      <c r="C453" s="1945"/>
      <c r="D453" s="1931" t="str">
        <f ca="1">IF(G452&gt;0,INDEX(sessions_name,INDEX(plan_session_allocation,((WEEKDAY(E$3,2)*2-1)+IF(E452="Morning",0,1)),D452)),"")</f>
        <v>Easy</v>
      </c>
      <c r="E453" s="1932"/>
      <c r="F453" s="1932"/>
      <c r="G453" s="1933"/>
      <c r="H453" s="177"/>
      <c r="I453" s="1931" t="str">
        <f ca="1">IF(L452&gt;0,INDEX(sessions_name,INDEX(plan_session_allocation,((WEEKDAY(J$3,2)*2-1)+IF(J452="Morning",0,1)),I452)),"")</f>
        <v/>
      </c>
      <c r="J453" s="1932"/>
      <c r="K453" s="1932"/>
      <c r="L453" s="1933"/>
      <c r="M453" s="177"/>
      <c r="N453" s="1931" t="str">
        <f ca="1">IF(Q452&gt;0,INDEX(sessions_name,INDEX(plan_session_allocation,((WEEKDAY(O$3,2)*2-1)+IF(O452="Morning",0,1)),N452)),"")</f>
        <v/>
      </c>
      <c r="O453" s="1932"/>
      <c r="P453" s="1932"/>
      <c r="Q453" s="1933"/>
      <c r="R453" s="177"/>
      <c r="S453" s="1931" t="str">
        <f ca="1">IF(V452&gt;0,INDEX(sessions_name,INDEX(plan_session_allocation,((WEEKDAY(T$3,2)*2-1)+IF(T452="Morning",0,1)),S452)),"")</f>
        <v/>
      </c>
      <c r="T453" s="1932"/>
      <c r="U453" s="1932"/>
      <c r="V453" s="1933"/>
      <c r="W453" s="177"/>
      <c r="X453" s="1931" t="str">
        <f ca="1">IF(AA452&gt;0,INDEX(sessions_name,INDEX(plan_session_allocation,((WEEKDAY(Y$3,2)*2-1)+IF(Y452="Morning",0,1)),X452)),"")</f>
        <v>Easy + Strides</v>
      </c>
      <c r="Y453" s="1932"/>
      <c r="Z453" s="1932"/>
      <c r="AA453" s="1933"/>
      <c r="AB453" s="177"/>
      <c r="AC453" s="1931" t="str">
        <f ca="1">IF(AF452&gt;0,INDEX(sessions_name,INDEX(plan_session_allocation,((WEEKDAY(AD$3,2)*2-1)+IF(AD452="Morning",0,1)),AC452)),"")</f>
        <v>Race: 5 hours</v>
      </c>
      <c r="AD453" s="1932"/>
      <c r="AE453" s="1932"/>
      <c r="AF453" s="1933"/>
      <c r="AG453" s="177"/>
      <c r="AH453" s="1931" t="str">
        <f ca="1">IF(AK452&gt;0,INDEX(sessions_name,INDEX(plan_session_allocation,((WEEKDAY(AI$3,2)*2-1)+IF(AI452="Morning",0,1)),AH452)),"")</f>
        <v/>
      </c>
      <c r="AI453" s="1932"/>
      <c r="AJ453" s="1932"/>
      <c r="AK453" s="1933"/>
      <c r="AL453" s="177"/>
    </row>
    <row r="454" spans="2:38" s="176" customFormat="1" ht="15" customHeight="1" x14ac:dyDescent="0.45">
      <c r="B454" s="1942"/>
      <c r="C454" s="1945"/>
      <c r="D454" s="1934" t="str">
        <f ca="1">IF(G452&gt;0,CONCATENATE("Sport: ",INDEX(sessions_sport_primary,INDEX(plan_session_allocation,(WEEKDAY(E$3,2)*2-1)+IF(E452="Morning",0,1),D452))),"")</f>
        <v>Sport: Ride</v>
      </c>
      <c r="E454" s="1935"/>
      <c r="F454" s="1936">
        <f ca="1">IF(G452&gt;0,IFERROR(F455+F456+F457,""),"")</f>
        <v>40</v>
      </c>
      <c r="G454" s="1937"/>
      <c r="H454" s="177"/>
      <c r="I454" s="1934" t="str">
        <f ca="1">IF(L452&gt;0,CONCATENATE("Sport: ",INDEX(sessions_sport_primary,INDEX(plan_session_allocation,(WEEKDAY(J$3,2)*2-1)+IF(J452="Morning",0,1),I452))),"")</f>
        <v/>
      </c>
      <c r="J454" s="1935"/>
      <c r="K454" s="1936" t="str">
        <f ca="1">IF(L452&gt;0,IFERROR(K455+K456+K457,""),"")</f>
        <v/>
      </c>
      <c r="L454" s="1937"/>
      <c r="M454" s="177"/>
      <c r="N454" s="1934" t="str">
        <f ca="1">IF(Q452&gt;0,CONCATENATE("Sport: ",INDEX(sessions_sport_primary,INDEX(plan_session_allocation,(WEEKDAY(O$3,2)*2-1)+IF(O452="Morning",0,1),N452))),"")</f>
        <v/>
      </c>
      <c r="O454" s="1935"/>
      <c r="P454" s="1936" t="str">
        <f ca="1">IF(Q452&gt;0,IFERROR(P455+P456+P457,""),"")</f>
        <v/>
      </c>
      <c r="Q454" s="1937"/>
      <c r="R454" s="177"/>
      <c r="S454" s="1934" t="str">
        <f ca="1">IF(V452&gt;0,CONCATENATE("Sport: ",INDEX(sessions_sport_primary,INDEX(plan_session_allocation,(WEEKDAY(T$3,2)*2-1)+IF(T452="Morning",0,1),S452))),"")</f>
        <v/>
      </c>
      <c r="T454" s="1935"/>
      <c r="U454" s="1936" t="str">
        <f ca="1">IF(V452&gt;0,IFERROR(U455+U456+U457,""),"")</f>
        <v/>
      </c>
      <c r="V454" s="1937"/>
      <c r="W454" s="177"/>
      <c r="X454" s="1934" t="str">
        <f ca="1">IF(AA452&gt;0,CONCATENATE("Sport: ",INDEX(sessions_sport_primary,INDEX(plan_session_allocation,(WEEKDAY(Y$3,2)*2-1)+IF(Y452="Morning",0,1),X452))),"")</f>
        <v>Sport: Road Run</v>
      </c>
      <c r="Y454" s="1935"/>
      <c r="Z454" s="1936">
        <f ca="1">IF(AA452&gt;0,IFERROR(Z455+Z456+Z457,""),"")</f>
        <v>40</v>
      </c>
      <c r="AA454" s="1937"/>
      <c r="AB454" s="177"/>
      <c r="AC454" s="1934" t="str">
        <f ca="1">IF(AF452&gt;0,CONCATENATE("Sport: ",INDEX(sessions_sport_primary,INDEX(plan_session_allocation,(WEEKDAY(AD$3,2)*2-1)+IF(AD452="Morning",0,1),AC452))),"")</f>
        <v>Sport: Hilly Trail Run</v>
      </c>
      <c r="AD454" s="1935"/>
      <c r="AE454" s="1936">
        <f ca="1">IF(AF452&gt;0,IFERROR(AE455+AE456+AE457,""),"")</f>
        <v>330</v>
      </c>
      <c r="AF454" s="1937"/>
      <c r="AG454" s="177"/>
      <c r="AH454" s="1934" t="str">
        <f ca="1">IF(AK452&gt;0,CONCATENATE("Sport: ",INDEX(sessions_sport_primary,INDEX(plan_session_allocation,(WEEKDAY(AI$3,2)*2-1)+IF(AI452="Morning",0,1),AH452))),"")</f>
        <v/>
      </c>
      <c r="AI454" s="1935"/>
      <c r="AJ454" s="1936" t="str">
        <f ca="1">IF(AK452&gt;0,IFERROR(AJ455+AJ456+AJ457,""),"")</f>
        <v/>
      </c>
      <c r="AK454" s="1937"/>
      <c r="AL454" s="177"/>
    </row>
    <row r="455" spans="2:38" s="176" customFormat="1" ht="15" customHeight="1" x14ac:dyDescent="0.45">
      <c r="B455" s="1942"/>
      <c r="C455" s="1945"/>
      <c r="D455" s="1922" t="str">
        <f ca="1">IF(G452&gt;0,CONCATENATE("HR Target: ",
INDEX(sessions_HR_primary,INDEX(plan_session_allocation,((WEEKDAY(E$3,2)*2-1)+IF(E452="Morning",0,1)),D452)),
IF(INDEX(sessions_HR_primary,INDEX(plan_session_allocation,((WEEKDAY(E$3,2)*2-1)+IF(E452="Morning",0,1)),D452))="N/A","",
" BPM")),"")</f>
        <v>HR Target: 138 BPM</v>
      </c>
      <c r="E455" s="1923"/>
      <c r="F455" s="1924">
        <f ca="1">IF(G452&gt;0,
INDEX(final_duration_effort,((WEEKDAY(E$3,2)*2-1)+IF(E452="Morning",0,1)),D452),"")</f>
        <v>40</v>
      </c>
      <c r="G455" s="1925"/>
      <c r="H455" s="177"/>
      <c r="I455" s="1922" t="str">
        <f ca="1">IF(L452&gt;0,CONCATENATE("HR Target: ",
INDEX(sessions_HR_primary,INDEX(plan_session_allocation,((WEEKDAY(J$3,2)*2-1)+IF(J452="Morning",0,1)),I452)),
IF(INDEX(sessions_HR_primary,INDEX(plan_session_allocation,((WEEKDAY(J$3,2)*2-1)+IF(J452="Morning",0,1)),I452))="N/A","",
" BPM")),"")</f>
        <v/>
      </c>
      <c r="J455" s="1923"/>
      <c r="K455" s="1924" t="str">
        <f ca="1">IF(L452&gt;0,
INDEX(final_duration_effort,((WEEKDAY(J$3,2)*2-1)+IF(J452="Morning",0,1)),I452),"")</f>
        <v/>
      </c>
      <c r="L455" s="1925"/>
      <c r="M455" s="177"/>
      <c r="N455" s="1922" t="str">
        <f ca="1">IF(Q452&gt;0,CONCATENATE("HR Target: ",
INDEX(sessions_HR_primary,INDEX(plan_session_allocation,((WEEKDAY(O$3,2)*2-1)+IF(O452="Morning",0,1)),N452)),
IF(INDEX(sessions_HR_primary,INDEX(plan_session_allocation,((WEEKDAY(O$3,2)*2-1)+IF(O452="Morning",0,1)),N452))="N/A","",
" BPM")),"")</f>
        <v/>
      </c>
      <c r="O455" s="1923"/>
      <c r="P455" s="1924" t="str">
        <f ca="1">IF(Q452&gt;0,
INDEX(final_duration_effort,((WEEKDAY(O$3,2)*2-1)+IF(O452="Morning",0,1)),N452),"")</f>
        <v/>
      </c>
      <c r="Q455" s="1925"/>
      <c r="R455" s="177"/>
      <c r="S455" s="1922" t="str">
        <f ca="1">IF(V452&gt;0,CONCATENATE("HR Target: ",
INDEX(sessions_HR_primary,INDEX(plan_session_allocation,((WEEKDAY(T$3,2)*2-1)+IF(T452="Morning",0,1)),S452)),
IF(INDEX(sessions_HR_primary,INDEX(plan_session_allocation,((WEEKDAY(T$3,2)*2-1)+IF(T452="Morning",0,1)),S452))="N/A","",
" BPM")),"")</f>
        <v/>
      </c>
      <c r="T455" s="1923"/>
      <c r="U455" s="1924" t="str">
        <f ca="1">IF(V452&gt;0,
INDEX(final_duration_effort,((WEEKDAY(T$3,2)*2-1)+IF(T452="Morning",0,1)),S452),"")</f>
        <v/>
      </c>
      <c r="V455" s="1925"/>
      <c r="W455" s="177"/>
      <c r="X455" s="1922" t="str">
        <f ca="1">IF(AA452&gt;0,CONCATENATE("HR Target: ",
INDEX(sessions_HR_primary,INDEX(plan_session_allocation,((WEEKDAY(Y$3,2)*2-1)+IF(Y452="Morning",0,1)),X452)),
IF(INDEX(sessions_HR_primary,INDEX(plan_session_allocation,((WEEKDAY(Y$3,2)*2-1)+IF(Y452="Morning",0,1)),X452))="N/A","",
" BPM")),"")</f>
        <v>HR Target: 138 BPM</v>
      </c>
      <c r="Y455" s="1923"/>
      <c r="Z455" s="1924">
        <f ca="1">IF(AA452&gt;0,
INDEX(final_duration_effort,((WEEKDAY(Y$3,2)*2-1)+IF(Y452="Morning",0,1)),X452),"")</f>
        <v>25</v>
      </c>
      <c r="AA455" s="1925"/>
      <c r="AB455" s="177"/>
      <c r="AC455" s="1922" t="str">
        <f ca="1">IF(AF452&gt;0,CONCATENATE("HR Target: ",
INDEX(sessions_HR_primary,INDEX(plan_session_allocation,((WEEKDAY(AD$3,2)*2-1)+IF(AD452="Morning",0,1)),AC452)),
IF(INDEX(sessions_HR_primary,INDEX(plan_session_allocation,((WEEKDAY(AD$3,2)*2-1)+IF(AD452="Morning",0,1)),AC452))="N/A","",
" BPM")),"")</f>
        <v>HR Target: 166 BPM</v>
      </c>
      <c r="AD455" s="1923"/>
      <c r="AE455" s="1924">
        <f ca="1">IF(AF452&gt;0,
INDEX(final_duration_effort,((WEEKDAY(AD$3,2)*2-1)+IF(AD452="Morning",0,1)),AC452),"")</f>
        <v>300</v>
      </c>
      <c r="AF455" s="1925"/>
      <c r="AG455" s="177"/>
      <c r="AH455" s="1922" t="str">
        <f ca="1">IF(AK452&gt;0,CONCATENATE("HR Target: ",
INDEX(sessions_HR_primary,INDEX(plan_session_allocation,((WEEKDAY(AI$3,2)*2-1)+IF(AI452="Morning",0,1)),AH452)),
IF(INDEX(sessions_HR_primary,INDEX(plan_session_allocation,((WEEKDAY(AI$3,2)*2-1)+IF(AI452="Morning",0,1)),AH452))="N/A","",
" BPM")),"")</f>
        <v/>
      </c>
      <c r="AI455" s="1923"/>
      <c r="AJ455" s="1924" t="str">
        <f ca="1">IF(AK452&gt;0,
INDEX(final_duration_effort,((WEEKDAY(AI$3,2)*2-1)+IF(AI452="Morning",0,1)),AH452),"")</f>
        <v/>
      </c>
      <c r="AK455" s="1925"/>
      <c r="AL455" s="177"/>
    </row>
    <row r="456" spans="2:38" s="179" customFormat="1" x14ac:dyDescent="0.45">
      <c r="B456" s="1942"/>
      <c r="C456" s="1945"/>
      <c r="D456" s="1926" t="str">
        <f ca="1">IF(G452&gt;0,CONCATENATE("HR Range: ",
INDEX(sessions_HR_range_primary,INDEX(plan_session_allocation,((WEEKDAY(E$3,2)*2-1)+IF(E452="Morning",0,1)),D452)),
IF(INDEX(sessions_HR_range_primary,INDEX(plan_session_allocation,((WEEKDAY(E$3,2)*2-1)+IF(E452="Morning",0,1)),D452))="N/A","",
" BPM")),"")</f>
        <v>HR Range: 129 - 148 BPM</v>
      </c>
      <c r="E456" s="1927"/>
      <c r="F456" s="1928">
        <f ca="1">IF(G452&gt;0,IF(
INDEX(sessions_recoveries,INDEX(plan_session_allocation,((WEEKDAY(E$3,2)*2-1)+IF(E452="Morning",0,1)),D452))="Yes",
VLOOKUP(INDEX(plan_duration_primary,((WEEKDAY(E$3,2)*2-1)+IF(E452="Morning",0,1)),D452),
INDIRECT(INDEX(sessions_intervals_code_primary,INDEX(plan_session_allocation,((WEEKDAY(E$3,2)*2-1)+IF(E452="Morning",0,1)),D452))),7,TRUE),0),"")</f>
        <v>0</v>
      </c>
      <c r="G456" s="1929"/>
      <c r="H456" s="178"/>
      <c r="I456" s="1926" t="str">
        <f ca="1">IF(L452&gt;0,CONCATENATE("HR Range: ",
INDEX(sessions_HR_range_primary,INDEX(plan_session_allocation,((WEEKDAY(J$3,2)*2-1)+IF(J452="Morning",0,1)),I452)),
IF(INDEX(sessions_HR_range_primary,INDEX(plan_session_allocation,((WEEKDAY(J$3,2)*2-1)+IF(J452="Morning",0,1)),I452))="N/A","",
" BPM")),"")</f>
        <v/>
      </c>
      <c r="J456" s="1927"/>
      <c r="K456" s="1928" t="str">
        <f ca="1">IF(L452&gt;0,IF(
INDEX(sessions_recoveries,INDEX(plan_session_allocation,((WEEKDAY(J$3,2)*2-1)+IF(J452="Morning",0,1)),I452))="Yes",
VLOOKUP(INDEX(plan_duration_primary,((WEEKDAY(J$3,2)*2-1)+IF(J452="Morning",0,1)),I452),
INDIRECT(INDEX(sessions_intervals_code_primary,INDEX(plan_session_allocation,((WEEKDAY(J$3,2)*2-1)+IF(J452="Morning",0,1)),I452))),7,TRUE),0),"")</f>
        <v/>
      </c>
      <c r="L456" s="1929"/>
      <c r="M456" s="178"/>
      <c r="N456" s="1926" t="str">
        <f ca="1">IF(Q452&gt;0,CONCATENATE("HR Range: ",
INDEX(sessions_HR_range_primary,INDEX(plan_session_allocation,((WEEKDAY(O$3,2)*2-1)+IF(O452="Morning",0,1)),N452)),
IF(INDEX(sessions_HR_range_primary,INDEX(plan_session_allocation,((WEEKDAY(O$3,2)*2-1)+IF(O452="Morning",0,1)),N452))="N/A","",
" BPM")),"")</f>
        <v/>
      </c>
      <c r="O456" s="1927"/>
      <c r="P456" s="1928" t="str">
        <f ca="1">IF(Q452&gt;0,IF(
INDEX(sessions_recoveries,INDEX(plan_session_allocation,((WEEKDAY(O$3,2)*2-1)+IF(O452="Morning",0,1)),N452))="Yes",
VLOOKUP(INDEX(plan_duration_primary,((WEEKDAY(O$3,2)*2-1)+IF(O452="Morning",0,1)),N452),
INDIRECT(INDEX(sessions_intervals_code_primary,INDEX(plan_session_allocation,((WEEKDAY(O$3,2)*2-1)+IF(O452="Morning",0,1)),N452))),7,TRUE),0),"")</f>
        <v/>
      </c>
      <c r="Q456" s="1929"/>
      <c r="R456" s="178"/>
      <c r="S456" s="1926" t="str">
        <f ca="1">IF(V452&gt;0,CONCATENATE("HR Range: ",
INDEX(sessions_HR_range_primary,INDEX(plan_session_allocation,((WEEKDAY(T$3,2)*2-1)+IF(T452="Morning",0,1)),S452)),
IF(INDEX(sessions_HR_range_primary,INDEX(plan_session_allocation,((WEEKDAY(T$3,2)*2-1)+IF(T452="Morning",0,1)),S452))="N/A","",
" BPM")),"")</f>
        <v/>
      </c>
      <c r="T456" s="1927"/>
      <c r="U456" s="1928" t="str">
        <f ca="1">IF(V452&gt;0,IF(
INDEX(sessions_recoveries,INDEX(plan_session_allocation,((WEEKDAY(T$3,2)*2-1)+IF(T452="Morning",0,1)),S452))="Yes",
VLOOKUP(INDEX(plan_duration_primary,((WEEKDAY(T$3,2)*2-1)+IF(T452="Morning",0,1)),S452),
INDIRECT(INDEX(sessions_intervals_code_primary,INDEX(plan_session_allocation,((WEEKDAY(T$3,2)*2-1)+IF(T452="Morning",0,1)),S452))),7,TRUE),0),"")</f>
        <v/>
      </c>
      <c r="V456" s="1929"/>
      <c r="W456" s="178"/>
      <c r="X456" s="1926" t="str">
        <f ca="1">IF(AA452&gt;0,CONCATENATE("HR Range: ",
INDEX(sessions_HR_range_primary,INDEX(plan_session_allocation,((WEEKDAY(Y$3,2)*2-1)+IF(Y452="Morning",0,1)),X452)),
IF(INDEX(sessions_HR_range_primary,INDEX(plan_session_allocation,((WEEKDAY(Y$3,2)*2-1)+IF(Y452="Morning",0,1)),X452))="N/A","",
" BPM")),"")</f>
        <v>HR Range: 129 - 148 BPM</v>
      </c>
      <c r="Y456" s="1927"/>
      <c r="Z456" s="1928">
        <f ca="1">IF(AA452&gt;0,IF(
INDEX(sessions_recoveries,INDEX(plan_session_allocation,((WEEKDAY(Y$3,2)*2-1)+IF(Y452="Morning",0,1)),X452))="Yes",
VLOOKUP(INDEX(plan_duration_primary,((WEEKDAY(Y$3,2)*2-1)+IF(Y452="Morning",0,1)),X452),
INDIRECT(INDEX(sessions_intervals_code_primary,INDEX(plan_session_allocation,((WEEKDAY(Y$3,2)*2-1)+IF(Y452="Morning",0,1)),X452))),7,TRUE),0),"")</f>
        <v>0</v>
      </c>
      <c r="AA456" s="1929"/>
      <c r="AB456" s="178"/>
      <c r="AC456" s="1926" t="str">
        <f ca="1">IF(AF452&gt;0,CONCATENATE("HR Range: ",
INDEX(sessions_HR_range_primary,INDEX(plan_session_allocation,((WEEKDAY(AD$3,2)*2-1)+IF(AD452="Morning",0,1)),AC452)),
IF(INDEX(sessions_HR_range_primary,INDEX(plan_session_allocation,((WEEKDAY(AD$3,2)*2-1)+IF(AD452="Morning",0,1)),AC452))="N/A","",
" BPM")),"")</f>
        <v>HR Range: N/A</v>
      </c>
      <c r="AD456" s="1927"/>
      <c r="AE456" s="1928">
        <f ca="1">IF(AF452&gt;0,IF(
INDEX(sessions_recoveries,INDEX(plan_session_allocation,((WEEKDAY(AD$3,2)*2-1)+IF(AD452="Morning",0,1)),AC452))="Yes",
VLOOKUP(INDEX(plan_duration_primary,((WEEKDAY(AD$3,2)*2-1)+IF(AD452="Morning",0,1)),AC452),
INDIRECT(INDEX(sessions_intervals_code_primary,INDEX(plan_session_allocation,((WEEKDAY(AD$3,2)*2-1)+IF(AD452="Morning",0,1)),AC452))),7,TRUE),0),"")</f>
        <v>0</v>
      </c>
      <c r="AF456" s="1929"/>
      <c r="AG456" s="178"/>
      <c r="AH456" s="1926" t="str">
        <f ca="1">IF(AK452&gt;0,CONCATENATE("HR Range: ",
INDEX(sessions_HR_range_primary,INDEX(plan_session_allocation,((WEEKDAY(AI$3,2)*2-1)+IF(AI452="Morning",0,1)),AH452)),
IF(INDEX(sessions_HR_range_primary,INDEX(plan_session_allocation,((WEEKDAY(AI$3,2)*2-1)+IF(AI452="Morning",0,1)),AH452))="N/A","",
" BPM")),"")</f>
        <v/>
      </c>
      <c r="AI456" s="1927"/>
      <c r="AJ456" s="1928" t="str">
        <f ca="1">IF(AK452&gt;0,IF(
INDEX(sessions_recoveries,INDEX(plan_session_allocation,((WEEKDAY(AI$3,2)*2-1)+IF(AI452="Morning",0,1)),AH452))="Yes",
VLOOKUP(INDEX(plan_duration_primary,((WEEKDAY(AI$3,2)*2-1)+IF(AI452="Morning",0,1)),AH452),
INDIRECT(INDEX(sessions_intervals_code_primary,INDEX(plan_session_allocation,((WEEKDAY(AI$3,2)*2-1)+IF(AI452="Morning",0,1)),AH452))),7,TRUE),0),"")</f>
        <v/>
      </c>
      <c r="AK456" s="1929"/>
      <c r="AL456" s="178"/>
    </row>
    <row r="457" spans="2:38" s="179" customFormat="1" ht="15" customHeight="1" x14ac:dyDescent="0.45">
      <c r="B457" s="1942"/>
      <c r="C457" s="1945"/>
      <c r="D457" s="1909" t="str">
        <f ca="1">IF(G452&gt;0,CONCATENATE("Equivalent Pace: ",
TEXT(INDEX(sessions_pace_primary,INDEX(plan_session_allocation,(WEEKDAY(E$3,2)*2-1)+IF(E452="Morning",0,1),D452)),"m:ss"),
" min/km"
),"")</f>
        <v>Equivalent Pace: 4:39 min/km</v>
      </c>
      <c r="E457" s="1910"/>
      <c r="F457" s="1911">
        <f ca="1">IF(G452&gt;0, INDEX(final_duration_WU,((WEEKDAY(E$3,2)*2-1)+IF(E452="Morning",0,1)),D452)  + INDEX(final_duration_WD,((WEEKDAY(E$3,2)*2-1)+IF(E452="Morning",0,1)),D452), "")</f>
        <v>0</v>
      </c>
      <c r="G457" s="1912"/>
      <c r="H457" s="178"/>
      <c r="I457" s="1909" t="str">
        <f ca="1">IF(L452&gt;0,CONCATENATE("Equivalent Pace: ",
TEXT(INDEX(sessions_pace_primary,INDEX(plan_session_allocation,(WEEKDAY(J$3,2)*2-1)+IF(J452="Morning",0,1),I452)),"m:ss"),
" min/km"
),"")</f>
        <v/>
      </c>
      <c r="J457" s="1910"/>
      <c r="K457" s="1911" t="str">
        <f ca="1">IF(L452&gt;0, INDEX(final_duration_WU,((WEEKDAY(J$3,2)*2-1)+IF(J452="Morning",0,1)),I452)  + INDEX(final_duration_WD,((WEEKDAY(J$3,2)*2-1)+IF(J452="Morning",0,1)),I452), "")</f>
        <v/>
      </c>
      <c r="L457" s="1912"/>
      <c r="M457" s="178"/>
      <c r="N457" s="1909" t="str">
        <f ca="1">IF(Q452&gt;0,CONCATENATE("Equivalent Pace: ",
TEXT(INDEX(sessions_pace_primary,INDEX(plan_session_allocation,(WEEKDAY(O$3,2)*2-1)+IF(O452="Morning",0,1),N452)),"m:ss"),
" min/km"
),"")</f>
        <v/>
      </c>
      <c r="O457" s="1910"/>
      <c r="P457" s="1911" t="str">
        <f ca="1">IF(Q452&gt;0, INDEX(final_duration_WU,((WEEKDAY(O$3,2)*2-1)+IF(O452="Morning",0,1)),N452)  + INDEX(final_duration_WD,((WEEKDAY(O$3,2)*2-1)+IF(O452="Morning",0,1)),N452), "")</f>
        <v/>
      </c>
      <c r="Q457" s="1912"/>
      <c r="R457" s="178"/>
      <c r="S457" s="1909" t="str">
        <f ca="1">IF(V452&gt;0,CONCATENATE("Equivalent Pace: ",
TEXT(INDEX(sessions_pace_primary,INDEX(plan_session_allocation,(WEEKDAY(T$3,2)*2-1)+IF(T452="Morning",0,1),S452)),"m:ss"),
" min/km"
),"")</f>
        <v/>
      </c>
      <c r="T457" s="1910"/>
      <c r="U457" s="1911" t="str">
        <f ca="1">IF(V452&gt;0, INDEX(final_duration_WU,((WEEKDAY(T$3,2)*2-1)+IF(T452="Morning",0,1)),S452)  + INDEX(final_duration_WD,((WEEKDAY(T$3,2)*2-1)+IF(T452="Morning",0,1)),S452), "")</f>
        <v/>
      </c>
      <c r="V457" s="1912"/>
      <c r="W457" s="178"/>
      <c r="X457" s="1909" t="str">
        <f ca="1">IF(AA452&gt;0,CONCATENATE("Equivalent Pace: ",
TEXT(INDEX(sessions_pace_primary,INDEX(plan_session_allocation,(WEEKDAY(Y$3,2)*2-1)+IF(Y452="Morning",0,1),X452)),"m:ss"),
" min/km"
),"")</f>
        <v>Equivalent Pace: 4:39 min/km</v>
      </c>
      <c r="Y457" s="1910"/>
      <c r="Z457" s="1911">
        <f ca="1">IF(AA452&gt;0, INDEX(final_duration_WU,((WEEKDAY(Y$3,2)*2-1)+IF(Y452="Morning",0,1)),X452)  + INDEX(final_duration_WD,((WEEKDAY(Y$3,2)*2-1)+IF(Y452="Morning",0,1)),X452), "")</f>
        <v>15</v>
      </c>
      <c r="AA457" s="1912"/>
      <c r="AB457" s="178"/>
      <c r="AC457" s="1909" t="str">
        <f ca="1">IF(AF452&gt;0,CONCATENATE("Equivalent Pace: ",
TEXT(INDEX(sessions_pace_primary,INDEX(plan_session_allocation,(WEEKDAY(AD$3,2)*2-1)+IF(AD452="Morning",0,1),AC452)),"m:ss"),
" min/km"
),"")</f>
        <v>Equivalent Pace: 3:37 min/km</v>
      </c>
      <c r="AD457" s="1910"/>
      <c r="AE457" s="1911">
        <f ca="1">IF(AF452&gt;0, INDEX(final_duration_WU,((WEEKDAY(AD$3,2)*2-1)+IF(AD452="Morning",0,1)),AC452)  + INDEX(final_duration_WD,((WEEKDAY(AD$3,2)*2-1)+IF(AD452="Morning",0,1)),AC452), "")</f>
        <v>30</v>
      </c>
      <c r="AF457" s="1912"/>
      <c r="AG457" s="178"/>
      <c r="AH457" s="1909" t="str">
        <f ca="1">IF(AK452&gt;0,CONCATENATE("Equivalent Pace: ",
TEXT(INDEX(sessions_pace_primary,INDEX(plan_session_allocation,(WEEKDAY(AI$3,2)*2-1)+IF(AI452="Morning",0,1),AH452)),"m:ss"),
" min/km"
),"")</f>
        <v/>
      </c>
      <c r="AI457" s="1910"/>
      <c r="AJ457" s="1911" t="str">
        <f ca="1">IF(AK452&gt;0, INDEX(final_duration_WU,((WEEKDAY(AI$3,2)*2-1)+IF(AI452="Morning",0,1)),AH452)  + INDEX(final_duration_WD,((WEEKDAY(AI$3,2)*2-1)+IF(AI452="Morning",0,1)),AH452), "")</f>
        <v/>
      </c>
      <c r="AK457" s="1912"/>
      <c r="AL457" s="178"/>
    </row>
    <row r="458" spans="2:38" s="180" customFormat="1" ht="15" customHeight="1" x14ac:dyDescent="0.45">
      <c r="B458" s="1942"/>
      <c r="C458" s="1945"/>
      <c r="D458" s="1913" t="str">
        <f ca="1">IF(G452&gt;0,CONCATENATE(IFERROR(CONCATENATE(IF(INDEX(display_intervals_breakdown,((WEEKDAY(E$3,2)*2-1)+IF(E452="Morning",0,1)),D452)="","",CONCATENATE("Intervals/Reps Breakdown: 
",INDEX(display_intervals_breakdown,((WEEKDAY(E$3,2)*2-1)+IF(E452="Morning",0,1)),D452),"
")),"Session Description: 
",CONCATENATE(IF(INDEX(final_duration_secondary,((WEEKDAY(E$3,2)*2-1)+IF(E452="Morning",0,1)),D452)=0,"","1. "),
INDEX(sessions_description_primary,,INDEX(plan_session_allocation,((WEEKDAY(E$3,2)*2-1)+IF(E452="Morning",0,1)),D452)),IF(INDEX(final_duration_secondary,((WEEKDAY(E$3,2)*2-1)+IF(E452="Morning",0,1)),D452)=0,"","
2. "),
IF(INDEX(final_duration_secondary,((WEEKDAY(E$3,2)*2-1)+IF(E452="Morning",0,1)),D452)=0,"",INDEX(sessions_description_secondary,,INDEX(plan_session_allocation,((WEEKDAY(E$3,2)*2-1)+IF(E452="Morning",0,1)),D452))),IF(INDEX(final_duration_tertiary,((WEEKDAY(E$3,2)*2-1)+IF(E452="Morning",0,1)),D452)=0,"","
3. "),
IF(INDEX(final_duration_tertiary,((WEEKDAY(E$3,2)*2-1)+IF(E452="Morning",0,1)),D452)="","",INDEX(sessions_description_tertiary,,INDEX(plan_session_allocation,((WEEKDAY(E$3,2)*2-1)+IF(E452="Morning",0,1)),D452))),
IF(INDEX(display_nutrition_description,((WEEKDAY(E$3,2)*2-1)+IF(E452="Morning",0,1)),D452)="","",
CONCATENATE("
Meal Plan: ", INDEX(sessions_nutrition,,INDEX(plan_session_allocation,((WEEKDAY(E$3,2)*2-1)+IF(E452="Morning",0,1)),D452)), "
", INDEX(display_nutrition_description,((WEEKDAY(E$3,2)*2-1)+IF(E452="Morning",0,1)),D452)))
)),"")),"")</f>
        <v>Session Description: 
Stay at a comfortable and controlled intensity where you should be able to have a conversation without large pauses. Keep an even intensity and accept that your pace may change as the terrain changes.</v>
      </c>
      <c r="E458" s="1914"/>
      <c r="F458" s="1914"/>
      <c r="G458" s="1915"/>
      <c r="I458" s="1913" t="str">
        <f ca="1">IF(L452&gt;0,CONCATENATE(IFERROR(CONCATENATE(IF(INDEX(display_intervals_breakdown,((WEEKDAY(J$3,2)*2-1)+IF(J452="Morning",0,1)),I452)="","",CONCATENATE("Intervals/Reps Breakdown: 
",INDEX(display_intervals_breakdown,((WEEKDAY(J$3,2)*2-1)+IF(J452="Morning",0,1)),I452),"
")),"Session Description: 
",CONCATENATE(IF(INDEX(final_duration_secondary,((WEEKDAY(J$3,2)*2-1)+IF(J452="Morning",0,1)),I452)=0,"","1. "),
INDEX(sessions_description_primary,,INDEX(plan_session_allocation,((WEEKDAY(J$3,2)*2-1)+IF(J452="Morning",0,1)),I452)),IF(INDEX(final_duration_secondary,((WEEKDAY(J$3,2)*2-1)+IF(J452="Morning",0,1)),I452)=0,"","
2. "),
IF(INDEX(final_duration_secondary,((WEEKDAY(J$3,2)*2-1)+IF(J452="Morning",0,1)),I452)=0,"",INDEX(sessions_description_secondary,,INDEX(plan_session_allocation,((WEEKDAY(J$3,2)*2-1)+IF(J452="Morning",0,1)),I452))),IF(INDEX(final_duration_tertiary,((WEEKDAY(J$3,2)*2-1)+IF(J452="Morning",0,1)),I452)=0,"","
3. "),
IF(INDEX(final_duration_tertiary,((WEEKDAY(J$3,2)*2-1)+IF(J452="Morning",0,1)),I452)="","",INDEX(sessions_description_tertiary,,INDEX(plan_session_allocation,((WEEKDAY(J$3,2)*2-1)+IF(J452="Morning",0,1)),I452))),
IF(INDEX(display_nutrition_description,((WEEKDAY(J$3,2)*2-1)+IF(J452="Morning",0,1)),I452)="","",
CONCATENATE("
Meal Plan: ", INDEX(sessions_nutrition,,INDEX(plan_session_allocation,((WEEKDAY(J$3,2)*2-1)+IF(J452="Morning",0,1)),I452)), "
", INDEX(display_nutrition_description,((WEEKDAY(J$3,2)*2-1)+IF(J452="Morning",0,1)),I452)))
)),"")),"")</f>
        <v/>
      </c>
      <c r="J458" s="1914"/>
      <c r="K458" s="1914"/>
      <c r="L458" s="1915"/>
      <c r="N458" s="1913" t="str">
        <f ca="1">IF(Q452&gt;0,CONCATENATE(IFERROR(CONCATENATE(IF(INDEX(display_intervals_breakdown,((WEEKDAY(O$3,2)*2-1)+IF(O452="Morning",0,1)),N452)="","",CONCATENATE("Intervals/Reps Breakdown: 
",INDEX(display_intervals_breakdown,((WEEKDAY(O$3,2)*2-1)+IF(O452="Morning",0,1)),N452),"
")),"Session Description: 
",CONCATENATE(IF(INDEX(final_duration_secondary,((WEEKDAY(O$3,2)*2-1)+IF(O452="Morning",0,1)),N452)=0,"","1. "),
INDEX(sessions_description_primary,,INDEX(plan_session_allocation,((WEEKDAY(O$3,2)*2-1)+IF(O452="Morning",0,1)),N452)),IF(INDEX(final_duration_secondary,((WEEKDAY(O$3,2)*2-1)+IF(O452="Morning",0,1)),N452)=0,"","
2. "),
IF(INDEX(final_duration_secondary,((WEEKDAY(O$3,2)*2-1)+IF(O452="Morning",0,1)),N452)=0,"",INDEX(sessions_description_secondary,,INDEX(plan_session_allocation,((WEEKDAY(O$3,2)*2-1)+IF(O452="Morning",0,1)),N452))),IF(INDEX(final_duration_tertiary,((WEEKDAY(O$3,2)*2-1)+IF(O452="Morning",0,1)),N452)=0,"","
3. "),
IF(INDEX(final_duration_tertiary,((WEEKDAY(O$3,2)*2-1)+IF(O452="Morning",0,1)),N452)="","",INDEX(sessions_description_tertiary,,INDEX(plan_session_allocation,((WEEKDAY(O$3,2)*2-1)+IF(O452="Morning",0,1)),N452))),
IF(INDEX(display_nutrition_description,((WEEKDAY(O$3,2)*2-1)+IF(O452="Morning",0,1)),N452)="","",
CONCATENATE("
Meal Plan: ", INDEX(sessions_nutrition,,INDEX(plan_session_allocation,((WEEKDAY(O$3,2)*2-1)+IF(O452="Morning",0,1)),N452)), "
", INDEX(display_nutrition_description,((WEEKDAY(O$3,2)*2-1)+IF(O452="Morning",0,1)),N452)))
)),"")),"")</f>
        <v/>
      </c>
      <c r="O458" s="1914"/>
      <c r="P458" s="1914"/>
      <c r="Q458" s="1915"/>
      <c r="S458" s="1913" t="str">
        <f ca="1">IF(V452&gt;0,CONCATENATE(IFERROR(CONCATENATE(IF(INDEX(display_intervals_breakdown,((WEEKDAY(T$3,2)*2-1)+IF(T452="Morning",0,1)),S452)="","",CONCATENATE("Intervals/Reps Breakdown: 
",INDEX(display_intervals_breakdown,((WEEKDAY(T$3,2)*2-1)+IF(T452="Morning",0,1)),S452),"
")),"Session Description: 
",CONCATENATE(IF(INDEX(final_duration_secondary,((WEEKDAY(T$3,2)*2-1)+IF(T452="Morning",0,1)),S452)=0,"","1. "),
INDEX(sessions_description_primary,,INDEX(plan_session_allocation,((WEEKDAY(T$3,2)*2-1)+IF(T452="Morning",0,1)),S452)),IF(INDEX(final_duration_secondary,((WEEKDAY(T$3,2)*2-1)+IF(T452="Morning",0,1)),S452)=0,"","
2. "),
IF(INDEX(final_duration_secondary,((WEEKDAY(T$3,2)*2-1)+IF(T452="Morning",0,1)),S452)=0,"",INDEX(sessions_description_secondary,,INDEX(plan_session_allocation,((WEEKDAY(T$3,2)*2-1)+IF(T452="Morning",0,1)),S452))),IF(INDEX(final_duration_tertiary,((WEEKDAY(T$3,2)*2-1)+IF(T452="Morning",0,1)),S452)=0,"","
3. "),
IF(INDEX(final_duration_tertiary,((WEEKDAY(T$3,2)*2-1)+IF(T452="Morning",0,1)),S452)="","",INDEX(sessions_description_tertiary,,INDEX(plan_session_allocation,((WEEKDAY(T$3,2)*2-1)+IF(T452="Morning",0,1)),S452))),
IF(INDEX(display_nutrition_description,((WEEKDAY(T$3,2)*2-1)+IF(T452="Morning",0,1)),S452)="","",
CONCATENATE("
Meal Plan: ", INDEX(sessions_nutrition,,INDEX(plan_session_allocation,((WEEKDAY(T$3,2)*2-1)+IF(T452="Morning",0,1)),S452)), "
", INDEX(display_nutrition_description,((WEEKDAY(T$3,2)*2-1)+IF(T452="Morning",0,1)),S452)))
)),"")),"")</f>
        <v/>
      </c>
      <c r="T458" s="1914"/>
      <c r="U458" s="1914"/>
      <c r="V458" s="1915"/>
      <c r="X458" s="1913" t="str">
        <f ca="1">IF(AA452&gt;0,CONCATENATE(IFERROR(CONCATENATE(IF(INDEX(display_intervals_breakdown,((WEEKDAY(Y$3,2)*2-1)+IF(Y452="Morning",0,1)),X452)="","",CONCATENATE("Intervals/Reps Breakdown: 
",INDEX(display_intervals_breakdown,((WEEKDAY(Y$3,2)*2-1)+IF(Y452="Morning",0,1)),X452),"
")),"Session Description: 
",CONCATENATE(IF(INDEX(final_duration_secondary,((WEEKDAY(Y$3,2)*2-1)+IF(Y452="Morning",0,1)),X452)=0,"","1. "),
INDEX(sessions_description_primary,,INDEX(plan_session_allocation,((WEEKDAY(Y$3,2)*2-1)+IF(Y452="Morning",0,1)),X452)),IF(INDEX(final_duration_secondary,((WEEKDAY(Y$3,2)*2-1)+IF(Y452="Morning",0,1)),X452)=0,"","
2. "),
IF(INDEX(final_duration_secondary,((WEEKDAY(Y$3,2)*2-1)+IF(Y452="Morning",0,1)),X452)=0,"",INDEX(sessions_description_secondary,,INDEX(plan_session_allocation,((WEEKDAY(Y$3,2)*2-1)+IF(Y452="Morning",0,1)),X452))),IF(INDEX(final_duration_tertiary,((WEEKDAY(Y$3,2)*2-1)+IF(Y452="Morning",0,1)),X452)=0,"","
3. "),
IF(INDEX(final_duration_tertiary,((WEEKDAY(Y$3,2)*2-1)+IF(Y452="Morning",0,1)),X452)="","",INDEX(sessions_description_tertiary,,INDEX(plan_session_allocation,((WEEKDAY(Y$3,2)*2-1)+IF(Y452="Morning",0,1)),X452))),
IF(INDEX(display_nutrition_description,((WEEKDAY(Y$3,2)*2-1)+IF(Y452="Morning",0,1)),X452)="","",
CONCATENATE("
Meal Plan: ", INDEX(sessions_nutrition,,INDEX(plan_session_allocation,((WEEKDAY(Y$3,2)*2-1)+IF(Y452="Morning",0,1)),X452)), "
", INDEX(display_nutrition_description,((WEEKDAY(Y$3,2)*2-1)+IF(Y452="Morning",0,1)),X452)))
)),"")),"")</f>
        <v>Session Description: 
1. Stay at a comfortable and controlled intensity where you should be able to have a conversation without large pauses. Keep an even intensity and accept that your pace may change as the terrain changes.
2. Do these either in the middlle or at the end of the session. Accelerate to just below sprint speed for 50 - 100 meters and use form focuses to enhance your technique. Walk back to the start before starting the next stride out.</v>
      </c>
      <c r="Y458" s="1914"/>
      <c r="Z458" s="1914"/>
      <c r="AA458" s="1915"/>
      <c r="AC458" s="1913" t="str">
        <f ca="1">IF(AF452&gt;0,CONCATENATE(IFERROR(CONCATENATE(IF(INDEX(display_intervals_breakdown,((WEEKDAY(AD$3,2)*2-1)+IF(AD452="Morning",0,1)),AC452)="","",CONCATENATE("Intervals/Reps Breakdown: 
",INDEX(display_intervals_breakdown,((WEEKDAY(AD$3,2)*2-1)+IF(AD452="Morning",0,1)),AC452),"
")),"Session Description: 
",CONCATENATE(IF(INDEX(final_duration_secondary,((WEEKDAY(AD$3,2)*2-1)+IF(AD452="Morning",0,1)),AC452)=0,"","1. "),
INDEX(sessions_description_primary,,INDEX(plan_session_allocation,((WEEKDAY(AD$3,2)*2-1)+IF(AD452="Morning",0,1)),AC452)),IF(INDEX(final_duration_secondary,((WEEKDAY(AD$3,2)*2-1)+IF(AD452="Morning",0,1)),AC452)=0,"","
2. "),
IF(INDEX(final_duration_secondary,((WEEKDAY(AD$3,2)*2-1)+IF(AD452="Morning",0,1)),AC452)=0,"",INDEX(sessions_description_secondary,,INDEX(plan_session_allocation,((WEEKDAY(AD$3,2)*2-1)+IF(AD452="Morning",0,1)),AC452))),IF(INDEX(final_duration_tertiary,((WEEKDAY(AD$3,2)*2-1)+IF(AD452="Morning",0,1)),AC452)=0,"","
3. "),
IF(INDEX(final_duration_tertiary,((WEEKDAY(AD$3,2)*2-1)+IF(AD452="Morning",0,1)),AC452)="","",INDEX(sessions_description_tertiary,,INDEX(plan_session_allocation,((WEEKDAY(AD$3,2)*2-1)+IF(AD452="Morning",0,1)),AC452))),
IF(INDEX(display_nutrition_description,((WEEKDAY(AD$3,2)*2-1)+IF(AD452="Morning",0,1)),AC452)="","",
CONCATENATE("
Meal Plan: ", INDEX(sessions_nutrition,,INDEX(plan_session_allocation,((WEEKDAY(AD$3,2)*2-1)+IF(AD452="Morning",0,1)),AC452)), "
", INDEX(display_nutrition_description,((WEEKDAY(AD$3,2)*2-1)+IF(AD452="Morning",0,1)),AC452)))
)),"")),"")</f>
        <v>Session Description: 
The exact intensity will change depending on the length of the race. This optimum intensity can be found though a mix of natural urgency and reasoning with what your body is telling you.</v>
      </c>
      <c r="AD458" s="1914"/>
      <c r="AE458" s="1914"/>
      <c r="AF458" s="1915"/>
      <c r="AH458" s="1913" t="str">
        <f ca="1">IF(AK452&gt;0,CONCATENATE(IFERROR(CONCATENATE(IF(INDEX(display_intervals_breakdown,((WEEKDAY(AI$3,2)*2-1)+IF(AI452="Morning",0,1)),AH452)="","",CONCATENATE("Intervals/Reps Breakdown: 
",INDEX(display_intervals_breakdown,((WEEKDAY(AI$3,2)*2-1)+IF(AI452="Morning",0,1)),AH452),"
")),"Session Description: 
",CONCATENATE(IF(INDEX(final_duration_secondary,((WEEKDAY(AI$3,2)*2-1)+IF(AI452="Morning",0,1)),AH452)=0,"","1. "),
INDEX(sessions_description_primary,,INDEX(plan_session_allocation,((WEEKDAY(AI$3,2)*2-1)+IF(AI452="Morning",0,1)),AH452)),IF(INDEX(final_duration_secondary,((WEEKDAY(AI$3,2)*2-1)+IF(AI452="Morning",0,1)),AH452)=0,"","
2. "),
IF(INDEX(final_duration_secondary,((WEEKDAY(AI$3,2)*2-1)+IF(AI452="Morning",0,1)),AH452)=0,"",INDEX(sessions_description_secondary,,INDEX(plan_session_allocation,((WEEKDAY(AI$3,2)*2-1)+IF(AI452="Morning",0,1)),AH452))),IF(INDEX(final_duration_tertiary,((WEEKDAY(AI$3,2)*2-1)+IF(AI452="Morning",0,1)),AH452)=0,"","
3. "),
IF(INDEX(final_duration_tertiary,((WEEKDAY(AI$3,2)*2-1)+IF(AI452="Morning",0,1)),AH452)="","",INDEX(sessions_description_tertiary,,INDEX(plan_session_allocation,((WEEKDAY(AI$3,2)*2-1)+IF(AI452="Morning",0,1)),AH452))),
IF(INDEX(display_nutrition_description,((WEEKDAY(AI$3,2)*2-1)+IF(AI452="Morning",0,1)),AH452)="","",
CONCATENATE("
Meal Plan: ", INDEX(sessions_nutrition,,INDEX(plan_session_allocation,((WEEKDAY(AI$3,2)*2-1)+IF(AI452="Morning",0,1)),AH452)), "
", INDEX(display_nutrition_description,((WEEKDAY(AI$3,2)*2-1)+IF(AI452="Morning",0,1)),AH452)))
)),"")),"")</f>
        <v/>
      </c>
      <c r="AI458" s="1914"/>
      <c r="AJ458" s="1914"/>
      <c r="AK458" s="1915"/>
    </row>
    <row r="459" spans="2:38" s="180" customFormat="1" x14ac:dyDescent="0.45">
      <c r="B459" s="1942"/>
      <c r="C459" s="1945"/>
      <c r="D459" s="1916"/>
      <c r="E459" s="1917"/>
      <c r="F459" s="1917"/>
      <c r="G459" s="1918"/>
      <c r="I459" s="1916"/>
      <c r="J459" s="1917"/>
      <c r="K459" s="1917"/>
      <c r="L459" s="1918"/>
      <c r="N459" s="1916"/>
      <c r="O459" s="1917"/>
      <c r="P459" s="1917"/>
      <c r="Q459" s="1918"/>
      <c r="S459" s="1916"/>
      <c r="T459" s="1917"/>
      <c r="U459" s="1917"/>
      <c r="V459" s="1918"/>
      <c r="X459" s="1916"/>
      <c r="Y459" s="1917"/>
      <c r="Z459" s="1917"/>
      <c r="AA459" s="1918"/>
      <c r="AC459" s="1916"/>
      <c r="AD459" s="1917"/>
      <c r="AE459" s="1917"/>
      <c r="AF459" s="1918"/>
      <c r="AH459" s="1916"/>
      <c r="AI459" s="1917"/>
      <c r="AJ459" s="1917"/>
      <c r="AK459" s="1918"/>
    </row>
    <row r="460" spans="2:38" s="180" customFormat="1" x14ac:dyDescent="0.45">
      <c r="B460" s="1942"/>
      <c r="C460" s="1945"/>
      <c r="D460" s="1916"/>
      <c r="E460" s="1917"/>
      <c r="F460" s="1917"/>
      <c r="G460" s="1918"/>
      <c r="I460" s="1916"/>
      <c r="J460" s="1917"/>
      <c r="K460" s="1917"/>
      <c r="L460" s="1918"/>
      <c r="N460" s="1916"/>
      <c r="O460" s="1917"/>
      <c r="P460" s="1917"/>
      <c r="Q460" s="1918"/>
      <c r="S460" s="1916"/>
      <c r="T460" s="1917"/>
      <c r="U460" s="1917"/>
      <c r="V460" s="1918"/>
      <c r="X460" s="1916"/>
      <c r="Y460" s="1917"/>
      <c r="Z460" s="1917"/>
      <c r="AA460" s="1918"/>
      <c r="AC460" s="1916"/>
      <c r="AD460" s="1917"/>
      <c r="AE460" s="1917"/>
      <c r="AF460" s="1918"/>
      <c r="AH460" s="1916"/>
      <c r="AI460" s="1917"/>
      <c r="AJ460" s="1917"/>
      <c r="AK460" s="1918"/>
    </row>
    <row r="461" spans="2:38" s="180" customFormat="1" x14ac:dyDescent="0.45">
      <c r="B461" s="1942"/>
      <c r="C461" s="1945"/>
      <c r="D461" s="1916"/>
      <c r="E461" s="1917"/>
      <c r="F461" s="1917"/>
      <c r="G461" s="1918"/>
      <c r="I461" s="1916"/>
      <c r="J461" s="1917"/>
      <c r="K461" s="1917"/>
      <c r="L461" s="1918"/>
      <c r="N461" s="1916"/>
      <c r="O461" s="1917"/>
      <c r="P461" s="1917"/>
      <c r="Q461" s="1918"/>
      <c r="S461" s="1916"/>
      <c r="T461" s="1917"/>
      <c r="U461" s="1917"/>
      <c r="V461" s="1918"/>
      <c r="X461" s="1916"/>
      <c r="Y461" s="1917"/>
      <c r="Z461" s="1917"/>
      <c r="AA461" s="1918"/>
      <c r="AC461" s="1916"/>
      <c r="AD461" s="1917"/>
      <c r="AE461" s="1917"/>
      <c r="AF461" s="1918"/>
      <c r="AH461" s="1916"/>
      <c r="AI461" s="1917"/>
      <c r="AJ461" s="1917"/>
      <c r="AK461" s="1918"/>
    </row>
    <row r="462" spans="2:38" s="180" customFormat="1" x14ac:dyDescent="0.45">
      <c r="B462" s="1942"/>
      <c r="C462" s="1945"/>
      <c r="D462" s="1916"/>
      <c r="E462" s="1917"/>
      <c r="F462" s="1917"/>
      <c r="G462" s="1918"/>
      <c r="I462" s="1916"/>
      <c r="J462" s="1917"/>
      <c r="K462" s="1917"/>
      <c r="L462" s="1918"/>
      <c r="N462" s="1916"/>
      <c r="O462" s="1917"/>
      <c r="P462" s="1917"/>
      <c r="Q462" s="1918"/>
      <c r="S462" s="1916"/>
      <c r="T462" s="1917"/>
      <c r="U462" s="1917"/>
      <c r="V462" s="1918"/>
      <c r="X462" s="1916"/>
      <c r="Y462" s="1917"/>
      <c r="Z462" s="1917"/>
      <c r="AA462" s="1918"/>
      <c r="AC462" s="1916"/>
      <c r="AD462" s="1917"/>
      <c r="AE462" s="1917"/>
      <c r="AF462" s="1918"/>
      <c r="AH462" s="1916"/>
      <c r="AI462" s="1917"/>
      <c r="AJ462" s="1917"/>
      <c r="AK462" s="1918"/>
    </row>
    <row r="463" spans="2:38" s="180" customFormat="1" x14ac:dyDescent="0.45">
      <c r="B463" s="1942"/>
      <c r="C463" s="1945"/>
      <c r="D463" s="1916"/>
      <c r="E463" s="1917"/>
      <c r="F463" s="1917"/>
      <c r="G463" s="1918"/>
      <c r="I463" s="1916"/>
      <c r="J463" s="1917"/>
      <c r="K463" s="1917"/>
      <c r="L463" s="1918"/>
      <c r="N463" s="1916"/>
      <c r="O463" s="1917"/>
      <c r="P463" s="1917"/>
      <c r="Q463" s="1918"/>
      <c r="S463" s="1916"/>
      <c r="T463" s="1917"/>
      <c r="U463" s="1917"/>
      <c r="V463" s="1918"/>
      <c r="X463" s="1916"/>
      <c r="Y463" s="1917"/>
      <c r="Z463" s="1917"/>
      <c r="AA463" s="1918"/>
      <c r="AC463" s="1916"/>
      <c r="AD463" s="1917"/>
      <c r="AE463" s="1917"/>
      <c r="AF463" s="1918"/>
      <c r="AH463" s="1916"/>
      <c r="AI463" s="1917"/>
      <c r="AJ463" s="1917"/>
      <c r="AK463" s="1918"/>
    </row>
    <row r="464" spans="2:38" s="180" customFormat="1" x14ac:dyDescent="0.45">
      <c r="B464" s="1942"/>
      <c r="C464" s="1945"/>
      <c r="D464" s="1916"/>
      <c r="E464" s="1917"/>
      <c r="F464" s="1917"/>
      <c r="G464" s="1918"/>
      <c r="I464" s="1916"/>
      <c r="J464" s="1917"/>
      <c r="K464" s="1917"/>
      <c r="L464" s="1918"/>
      <c r="N464" s="1916"/>
      <c r="O464" s="1917"/>
      <c r="P464" s="1917"/>
      <c r="Q464" s="1918"/>
      <c r="S464" s="1916"/>
      <c r="T464" s="1917"/>
      <c r="U464" s="1917"/>
      <c r="V464" s="1918"/>
      <c r="X464" s="1916"/>
      <c r="Y464" s="1917"/>
      <c r="Z464" s="1917"/>
      <c r="AA464" s="1918"/>
      <c r="AC464" s="1916"/>
      <c r="AD464" s="1917"/>
      <c r="AE464" s="1917"/>
      <c r="AF464" s="1918"/>
      <c r="AH464" s="1916"/>
      <c r="AI464" s="1917"/>
      <c r="AJ464" s="1917"/>
      <c r="AK464" s="1918"/>
    </row>
    <row r="465" spans="2:38" s="180" customFormat="1" ht="15.75" customHeight="1" x14ac:dyDescent="0.45">
      <c r="B465" s="1942"/>
      <c r="C465" s="1945"/>
      <c r="D465" s="1916"/>
      <c r="E465" s="1917"/>
      <c r="F465" s="1917"/>
      <c r="G465" s="1918"/>
      <c r="I465" s="1916"/>
      <c r="J465" s="1917"/>
      <c r="K465" s="1917"/>
      <c r="L465" s="1918"/>
      <c r="N465" s="1916"/>
      <c r="O465" s="1917"/>
      <c r="P465" s="1917"/>
      <c r="Q465" s="1918"/>
      <c r="S465" s="1916"/>
      <c r="T465" s="1917"/>
      <c r="U465" s="1917"/>
      <c r="V465" s="1918"/>
      <c r="X465" s="1916"/>
      <c r="Y465" s="1917"/>
      <c r="Z465" s="1917"/>
      <c r="AA465" s="1918"/>
      <c r="AC465" s="1916"/>
      <c r="AD465" s="1917"/>
      <c r="AE465" s="1917"/>
      <c r="AF465" s="1918"/>
      <c r="AH465" s="1916"/>
      <c r="AI465" s="1917"/>
      <c r="AJ465" s="1917"/>
      <c r="AK465" s="1918"/>
    </row>
    <row r="466" spans="2:38" s="180" customFormat="1" x14ac:dyDescent="0.45">
      <c r="B466" s="1942"/>
      <c r="C466" s="1945"/>
      <c r="D466" s="1916"/>
      <c r="E466" s="1917"/>
      <c r="F466" s="1917"/>
      <c r="G466" s="1918"/>
      <c r="I466" s="1916"/>
      <c r="J466" s="1917"/>
      <c r="K466" s="1917"/>
      <c r="L466" s="1918"/>
      <c r="N466" s="1916"/>
      <c r="O466" s="1917"/>
      <c r="P466" s="1917"/>
      <c r="Q466" s="1918"/>
      <c r="S466" s="1916"/>
      <c r="T466" s="1917"/>
      <c r="U466" s="1917"/>
      <c r="V466" s="1918"/>
      <c r="X466" s="1916"/>
      <c r="Y466" s="1917"/>
      <c r="Z466" s="1917"/>
      <c r="AA466" s="1918"/>
      <c r="AC466" s="1916"/>
      <c r="AD466" s="1917"/>
      <c r="AE466" s="1917"/>
      <c r="AF466" s="1918"/>
      <c r="AH466" s="1916"/>
      <c r="AI466" s="1917"/>
      <c r="AJ466" s="1917"/>
      <c r="AK466" s="1918"/>
    </row>
    <row r="467" spans="2:38" s="180" customFormat="1" x14ac:dyDescent="0.45">
      <c r="B467" s="1942"/>
      <c r="C467" s="1945"/>
      <c r="D467" s="1916"/>
      <c r="E467" s="1917"/>
      <c r="F467" s="1917"/>
      <c r="G467" s="1918"/>
      <c r="I467" s="1916"/>
      <c r="J467" s="1917"/>
      <c r="K467" s="1917"/>
      <c r="L467" s="1918"/>
      <c r="N467" s="1916"/>
      <c r="O467" s="1917"/>
      <c r="P467" s="1917"/>
      <c r="Q467" s="1918"/>
      <c r="S467" s="1916"/>
      <c r="T467" s="1917"/>
      <c r="U467" s="1917"/>
      <c r="V467" s="1918"/>
      <c r="X467" s="1916"/>
      <c r="Y467" s="1917"/>
      <c r="Z467" s="1917"/>
      <c r="AA467" s="1918"/>
      <c r="AC467" s="1916"/>
      <c r="AD467" s="1917"/>
      <c r="AE467" s="1917"/>
      <c r="AF467" s="1918"/>
      <c r="AH467" s="1916"/>
      <c r="AI467" s="1917"/>
      <c r="AJ467" s="1917"/>
      <c r="AK467" s="1918"/>
    </row>
    <row r="468" spans="2:38" s="180" customFormat="1" x14ac:dyDescent="0.45">
      <c r="B468" s="1942"/>
      <c r="C468" s="1945"/>
      <c r="D468" s="1916"/>
      <c r="E468" s="1917"/>
      <c r="F468" s="1917"/>
      <c r="G468" s="1918"/>
      <c r="I468" s="1916"/>
      <c r="J468" s="1917"/>
      <c r="K468" s="1917"/>
      <c r="L468" s="1918"/>
      <c r="N468" s="1916"/>
      <c r="O468" s="1917"/>
      <c r="P468" s="1917"/>
      <c r="Q468" s="1918"/>
      <c r="S468" s="1916"/>
      <c r="T468" s="1917"/>
      <c r="U468" s="1917"/>
      <c r="V468" s="1918"/>
      <c r="X468" s="1916"/>
      <c r="Y468" s="1917"/>
      <c r="Z468" s="1917"/>
      <c r="AA468" s="1918"/>
      <c r="AC468" s="1916"/>
      <c r="AD468" s="1917"/>
      <c r="AE468" s="1917"/>
      <c r="AF468" s="1918"/>
      <c r="AH468" s="1916"/>
      <c r="AI468" s="1917"/>
      <c r="AJ468" s="1917"/>
      <c r="AK468" s="1918"/>
    </row>
    <row r="469" spans="2:38" s="180" customFormat="1" x14ac:dyDescent="0.45">
      <c r="B469" s="1942"/>
      <c r="C469" s="1945"/>
      <c r="D469" s="1916"/>
      <c r="E469" s="1917"/>
      <c r="F469" s="1917"/>
      <c r="G469" s="1918"/>
      <c r="I469" s="1916"/>
      <c r="J469" s="1917"/>
      <c r="K469" s="1917"/>
      <c r="L469" s="1918"/>
      <c r="N469" s="1916"/>
      <c r="O469" s="1917"/>
      <c r="P469" s="1917"/>
      <c r="Q469" s="1918"/>
      <c r="S469" s="1916"/>
      <c r="T469" s="1917"/>
      <c r="U469" s="1917"/>
      <c r="V469" s="1918"/>
      <c r="X469" s="1916"/>
      <c r="Y469" s="1917"/>
      <c r="Z469" s="1917"/>
      <c r="AA469" s="1918"/>
      <c r="AC469" s="1916"/>
      <c r="AD469" s="1917"/>
      <c r="AE469" s="1917"/>
      <c r="AF469" s="1918"/>
      <c r="AH469" s="1916"/>
      <c r="AI469" s="1917"/>
      <c r="AJ469" s="1917"/>
      <c r="AK469" s="1918"/>
    </row>
    <row r="470" spans="2:38" s="180" customFormat="1" x14ac:dyDescent="0.45">
      <c r="B470" s="1942"/>
      <c r="C470" s="1945"/>
      <c r="D470" s="1916"/>
      <c r="E470" s="1917"/>
      <c r="F470" s="1917"/>
      <c r="G470" s="1918"/>
      <c r="I470" s="1916"/>
      <c r="J470" s="1917"/>
      <c r="K470" s="1917"/>
      <c r="L470" s="1918"/>
      <c r="N470" s="1916"/>
      <c r="O470" s="1917"/>
      <c r="P470" s="1917"/>
      <c r="Q470" s="1918"/>
      <c r="S470" s="1916"/>
      <c r="T470" s="1917"/>
      <c r="U470" s="1917"/>
      <c r="V470" s="1918"/>
      <c r="X470" s="1916"/>
      <c r="Y470" s="1917"/>
      <c r="Z470" s="1917"/>
      <c r="AA470" s="1918"/>
      <c r="AC470" s="1916"/>
      <c r="AD470" s="1917"/>
      <c r="AE470" s="1917"/>
      <c r="AF470" s="1918"/>
      <c r="AH470" s="1916"/>
      <c r="AI470" s="1917"/>
      <c r="AJ470" s="1917"/>
      <c r="AK470" s="1918"/>
    </row>
    <row r="471" spans="2:38" s="180" customFormat="1" x14ac:dyDescent="0.45">
      <c r="B471" s="1942"/>
      <c r="C471" s="1945"/>
      <c r="D471" s="1919"/>
      <c r="E471" s="1920"/>
      <c r="F471" s="1920"/>
      <c r="G471" s="1921"/>
      <c r="I471" s="1919"/>
      <c r="J471" s="1920"/>
      <c r="K471" s="1920"/>
      <c r="L471" s="1921"/>
      <c r="N471" s="1919"/>
      <c r="O471" s="1920"/>
      <c r="P471" s="1920"/>
      <c r="Q471" s="1921"/>
      <c r="S471" s="1919"/>
      <c r="T471" s="1920"/>
      <c r="U471" s="1920"/>
      <c r="V471" s="1921"/>
      <c r="X471" s="1919"/>
      <c r="Y471" s="1920"/>
      <c r="Z471" s="1920"/>
      <c r="AA471" s="1921"/>
      <c r="AC471" s="1919"/>
      <c r="AD471" s="1920"/>
      <c r="AE471" s="1920"/>
      <c r="AF471" s="1921"/>
      <c r="AH471" s="1919"/>
      <c r="AI471" s="1920"/>
      <c r="AJ471" s="1920"/>
      <c r="AK471" s="1921"/>
    </row>
    <row r="472" spans="2:38" s="180" customFormat="1" ht="15" customHeight="1" x14ac:dyDescent="0.45">
      <c r="B472" s="1942"/>
      <c r="C472" s="1945"/>
      <c r="D472" s="1913" t="str">
        <f ca="1">IF(G452&gt;0,CONCATENATE("Session Aim: 
", CONCATENATE(IF(INDEX(final_duration_secondary,((WEEKDAY(E$3,2)*2-1)+IF(E452="Morning",0,1)),D452)=0, "", "1. "),
INDEX(sessions_aim_primary,, INDEX(plan_session_allocation,((WEEKDAY(E$3,2)*2-1)+IF(E452="Morning",0,1)),D452)), IF(INDEX(final_duration_secondary,((WEEKDAY(E$3,2)*2-1)+IF(E452="Morning",0,1)),D452)=0, "", "
2. "),
IF(INDEX(final_duration_secondary,((WEEKDAY(E$3,2)*2-1)+IF(E452="Morning",0,1)),D452)=0, "", INDEX(sessions_aim_secondary,, INDEX(plan_session_allocation,((WEEKDAY(E$3,2)*2-1)+IF(E452="Morning",0,1)),D452))), IF(INDEX(final_duration_tertiary,((WEEKDAY(E$3,2)*2-1)+IF(E452="Morning",0,1)),D452)=0, "", "
3. "),
IF(INDEX(final_duration_tertiary,((WEEKDAY(E$3,2)*2-1)+IF(E452="Morning",0,1)),D452)=0, "", INDEX(sessions_aim_tertiary,, INDEX(plan_session_allocation,((WEEKDAY(E$3,2)*2-1)+IF(E452="Morning",0,1)),D452))),
IF(INDEX(display_nutrition_description,((WEEKDAY(E$3,2)*2-1)+IF(E452="Morning",0,1)),D452)="","",
CONCATENATE("
Nutrition Aim:
", INDEX(sessions_aim_nutrition,,INDEX(plan_session_allocation,((WEEKDAY(E$3,2)*2-1)+IF(E452="Morning",0,1)),D452))
))
)),"")</f>
        <v xml:space="preserve">Session Aim: 
Improve aerobic fitness while minimising the chance of injury. </v>
      </c>
      <c r="E472" s="1914"/>
      <c r="F472" s="1914"/>
      <c r="G472" s="1915"/>
      <c r="I472" s="1913" t="str">
        <f ca="1">IF(L452&gt;0,CONCATENATE("Session Aim: 
", CONCATENATE(IF(INDEX(final_duration_secondary,((WEEKDAY(J$3,2)*2-1)+IF(J452="Morning",0,1)),I452)=0, "", "1. "),
INDEX(sessions_aim_primary,, INDEX(plan_session_allocation,((WEEKDAY(J$3,2)*2-1)+IF(J452="Morning",0,1)),I452)), IF(INDEX(final_duration_secondary,((WEEKDAY(J$3,2)*2-1)+IF(J452="Morning",0,1)),I452)=0, "", "
2. "),
IF(INDEX(final_duration_secondary,((WEEKDAY(J$3,2)*2-1)+IF(J452="Morning",0,1)),I452)=0, "", INDEX(sessions_aim_secondary,, INDEX(plan_session_allocation,((WEEKDAY(J$3,2)*2-1)+IF(J452="Morning",0,1)),I452))), IF(INDEX(final_duration_tertiary,((WEEKDAY(J$3,2)*2-1)+IF(J452="Morning",0,1)),I452)=0, "", "
3. "),
IF(INDEX(final_duration_tertiary,((WEEKDAY(J$3,2)*2-1)+IF(J452="Morning",0,1)),I452)=0, "", INDEX(sessions_aim_tertiary,, INDEX(plan_session_allocation,((WEEKDAY(J$3,2)*2-1)+IF(J452="Morning",0,1)),I452))),
IF(INDEX(display_nutrition_description,((WEEKDAY(J$3,2)*2-1)+IF(J452="Morning",0,1)),I452)="","",
CONCATENATE("
Nutrition Aim:
", INDEX(sessions_aim_nutrition,,INDEX(plan_session_allocation,((WEEKDAY(J$3,2)*2-1)+IF(J452="Morning",0,1)),I452))
))
)),"")</f>
        <v/>
      </c>
      <c r="J472" s="1914"/>
      <c r="K472" s="1914"/>
      <c r="L472" s="1915"/>
      <c r="N472" s="1913" t="str">
        <f ca="1">IF(Q452&gt;0,CONCATENATE("Session Aim: 
", CONCATENATE(IF(INDEX(final_duration_secondary,((WEEKDAY(O$3,2)*2-1)+IF(O452="Morning",0,1)),N452)=0, "", "1. "),
INDEX(sessions_aim_primary,, INDEX(plan_session_allocation,((WEEKDAY(O$3,2)*2-1)+IF(O452="Morning",0,1)),N452)), IF(INDEX(final_duration_secondary,((WEEKDAY(O$3,2)*2-1)+IF(O452="Morning",0,1)),N452)=0, "", "
2. "),
IF(INDEX(final_duration_secondary,((WEEKDAY(O$3,2)*2-1)+IF(O452="Morning",0,1)),N452)=0, "", INDEX(sessions_aim_secondary,, INDEX(plan_session_allocation,((WEEKDAY(O$3,2)*2-1)+IF(O452="Morning",0,1)),N452))), IF(INDEX(final_duration_tertiary,((WEEKDAY(O$3,2)*2-1)+IF(O452="Morning",0,1)),N452)=0, "", "
3. "),
IF(INDEX(final_duration_tertiary,((WEEKDAY(O$3,2)*2-1)+IF(O452="Morning",0,1)),N452)=0, "", INDEX(sessions_aim_tertiary,, INDEX(plan_session_allocation,((WEEKDAY(O$3,2)*2-1)+IF(O452="Morning",0,1)),N452))),
IF(INDEX(display_nutrition_description,((WEEKDAY(O$3,2)*2-1)+IF(O452="Morning",0,1)),N452)="","",
CONCATENATE("
Nutrition Aim:
", INDEX(sessions_aim_nutrition,,INDEX(plan_session_allocation,((WEEKDAY(O$3,2)*2-1)+IF(O452="Morning",0,1)),N452))
))
)),"")</f>
        <v/>
      </c>
      <c r="O472" s="1914"/>
      <c r="P472" s="1914"/>
      <c r="Q472" s="1915"/>
      <c r="S472" s="1913" t="str">
        <f ca="1">IF(V452&gt;0,CONCATENATE("Session Aim: 
", CONCATENATE(IF(INDEX(final_duration_secondary,((WEEKDAY(T$3,2)*2-1)+IF(T452="Morning",0,1)),S452)=0, "", "1. "),
INDEX(sessions_aim_primary,, INDEX(plan_session_allocation,((WEEKDAY(T$3,2)*2-1)+IF(T452="Morning",0,1)),S452)), IF(INDEX(final_duration_secondary,((WEEKDAY(T$3,2)*2-1)+IF(T452="Morning",0,1)),S452)=0, "", "
2. "),
IF(INDEX(final_duration_secondary,((WEEKDAY(T$3,2)*2-1)+IF(T452="Morning",0,1)),S452)=0, "", INDEX(sessions_aim_secondary,, INDEX(plan_session_allocation,((WEEKDAY(T$3,2)*2-1)+IF(T452="Morning",0,1)),S452))), IF(INDEX(final_duration_tertiary,((WEEKDAY(T$3,2)*2-1)+IF(T452="Morning",0,1)),S452)=0, "", "
3. "),
IF(INDEX(final_duration_tertiary,((WEEKDAY(T$3,2)*2-1)+IF(T452="Morning",0,1)),S452)=0, "", INDEX(sessions_aim_tertiary,, INDEX(plan_session_allocation,((WEEKDAY(T$3,2)*2-1)+IF(T452="Morning",0,1)),S452))),
IF(INDEX(display_nutrition_description,((WEEKDAY(T$3,2)*2-1)+IF(T452="Morning",0,1)),S452)="","",
CONCATENATE("
Nutrition Aim:
", INDEX(sessions_aim_nutrition,,INDEX(plan_session_allocation,((WEEKDAY(T$3,2)*2-1)+IF(T452="Morning",0,1)),S452))
))
)),"")</f>
        <v/>
      </c>
      <c r="T472" s="1914"/>
      <c r="U472" s="1914"/>
      <c r="V472" s="1915"/>
      <c r="X472" s="1913" t="str">
        <f ca="1">IF(AA452&gt;0,CONCATENATE("Session Aim: 
", CONCATENATE(IF(INDEX(final_duration_secondary,((WEEKDAY(Y$3,2)*2-1)+IF(Y452="Morning",0,1)),X452)=0, "", "1. "),
INDEX(sessions_aim_primary,, INDEX(plan_session_allocation,((WEEKDAY(Y$3,2)*2-1)+IF(Y452="Morning",0,1)),X452)), IF(INDEX(final_duration_secondary,((WEEKDAY(Y$3,2)*2-1)+IF(Y452="Morning",0,1)),X452)=0, "", "
2. "),
IF(INDEX(final_duration_secondary,((WEEKDAY(Y$3,2)*2-1)+IF(Y452="Morning",0,1)),X452)=0, "", INDEX(sessions_aim_secondary,, INDEX(plan_session_allocation,((WEEKDAY(Y$3,2)*2-1)+IF(Y452="Morning",0,1)),X452))), IF(INDEX(final_duration_tertiary,((WEEKDAY(Y$3,2)*2-1)+IF(Y452="Morning",0,1)),X452)=0, "", "
3. "),
IF(INDEX(final_duration_tertiary,((WEEKDAY(Y$3,2)*2-1)+IF(Y452="Morning",0,1)),X452)=0, "", INDEX(sessions_aim_tertiary,, INDEX(plan_session_allocation,((WEEKDAY(Y$3,2)*2-1)+IF(Y452="Morning",0,1)),X452))),
IF(INDEX(display_nutrition_description,((WEEKDAY(Y$3,2)*2-1)+IF(Y452="Morning",0,1)),X452)="","",
CONCATENATE("
Nutrition Aim:
", INDEX(sessions_aim_nutrition,,INDEX(plan_session_allocation,((WEEKDAY(Y$3,2)*2-1)+IF(Y452="Morning",0,1)),X452))
))
)),"")</f>
        <v>Session Aim: 
1. Improve aerobic fitness while minimising the chance of injury. 
2. Improve running mechanics.</v>
      </c>
      <c r="Y472" s="1914"/>
      <c r="Z472" s="1914"/>
      <c r="AA472" s="1915"/>
      <c r="AC472" s="1913" t="str">
        <f ca="1">IF(AF452&gt;0,CONCATENATE("Session Aim: 
", CONCATENATE(IF(INDEX(final_duration_secondary,((WEEKDAY(AD$3,2)*2-1)+IF(AD452="Morning",0,1)),AC452)=0, "", "1. "),
INDEX(sessions_aim_primary,, INDEX(plan_session_allocation,((WEEKDAY(AD$3,2)*2-1)+IF(AD452="Morning",0,1)),AC452)), IF(INDEX(final_duration_secondary,((WEEKDAY(AD$3,2)*2-1)+IF(AD452="Morning",0,1)),AC452)=0, "", "
2. "),
IF(INDEX(final_duration_secondary,((WEEKDAY(AD$3,2)*2-1)+IF(AD452="Morning",0,1)),AC452)=0, "", INDEX(sessions_aim_secondary,, INDEX(plan_session_allocation,((WEEKDAY(AD$3,2)*2-1)+IF(AD452="Morning",0,1)),AC452))), IF(INDEX(final_duration_tertiary,((WEEKDAY(AD$3,2)*2-1)+IF(AD452="Morning",0,1)),AC452)=0, "", "
3. "),
IF(INDEX(final_duration_tertiary,((WEEKDAY(AD$3,2)*2-1)+IF(AD452="Morning",0,1)),AC452)=0, "", INDEX(sessions_aim_tertiary,, INDEX(plan_session_allocation,((WEEKDAY(AD$3,2)*2-1)+IF(AD452="Morning",0,1)),AC452))),
IF(INDEX(display_nutrition_description,((WEEKDAY(AD$3,2)*2-1)+IF(AD452="Morning",0,1)),AC452)="","",
CONCATENATE("
Nutrition Aim:
", INDEX(sessions_aim_nutrition,,INDEX(plan_session_allocation,((WEEKDAY(AD$3,2)*2-1)+IF(AD452="Morning",0,1)),AC452))
))
)),"")</f>
        <v>Session Aim: 
Push your physical and mental limits and put tactics and techniques to the test.</v>
      </c>
      <c r="AD472" s="1914"/>
      <c r="AE472" s="1914"/>
      <c r="AF472" s="1915"/>
      <c r="AH472" s="1913" t="str">
        <f ca="1">IF(AK452&gt;0,CONCATENATE("Session Aim: 
", CONCATENATE(IF(INDEX(final_duration_secondary,((WEEKDAY(AI$3,2)*2-1)+IF(AI452="Morning",0,1)),AH452)=0, "", "1. "),
INDEX(sessions_aim_primary,, INDEX(plan_session_allocation,((WEEKDAY(AI$3,2)*2-1)+IF(AI452="Morning",0,1)),AH452)), IF(INDEX(final_duration_secondary,((WEEKDAY(AI$3,2)*2-1)+IF(AI452="Morning",0,1)),AH452)=0, "", "
2. "),
IF(INDEX(final_duration_secondary,((WEEKDAY(AI$3,2)*2-1)+IF(AI452="Morning",0,1)),AH452)=0, "", INDEX(sessions_aim_secondary,, INDEX(plan_session_allocation,((WEEKDAY(AI$3,2)*2-1)+IF(AI452="Morning",0,1)),AH452))), IF(INDEX(final_duration_tertiary,((WEEKDAY(AI$3,2)*2-1)+IF(AI452="Morning",0,1)),AH452)=0, "", "
3. "),
IF(INDEX(final_duration_tertiary,((WEEKDAY(AI$3,2)*2-1)+IF(AI452="Morning",0,1)),AH452)=0, "", INDEX(sessions_aim_tertiary,, INDEX(plan_session_allocation,((WEEKDAY(AI$3,2)*2-1)+IF(AI452="Morning",0,1)),AH452))),
IF(INDEX(display_nutrition_description,((WEEKDAY(AI$3,2)*2-1)+IF(AI452="Morning",0,1)),AH452)="","",
CONCATENATE("
Nutrition Aim:
", INDEX(sessions_aim_nutrition,,INDEX(plan_session_allocation,((WEEKDAY(AI$3,2)*2-1)+IF(AI452="Morning",0,1)),AH452))
))
)),"")</f>
        <v/>
      </c>
      <c r="AI472" s="1914"/>
      <c r="AJ472" s="1914"/>
      <c r="AK472" s="1915"/>
    </row>
    <row r="473" spans="2:38" s="180" customFormat="1" x14ac:dyDescent="0.45">
      <c r="B473" s="1942"/>
      <c r="C473" s="1945"/>
      <c r="D473" s="1916"/>
      <c r="E473" s="1917"/>
      <c r="F473" s="1917"/>
      <c r="G473" s="1918"/>
      <c r="I473" s="1916"/>
      <c r="J473" s="1917"/>
      <c r="K473" s="1917"/>
      <c r="L473" s="1918"/>
      <c r="N473" s="1916"/>
      <c r="O473" s="1917"/>
      <c r="P473" s="1917"/>
      <c r="Q473" s="1918"/>
      <c r="S473" s="1916"/>
      <c r="T473" s="1917"/>
      <c r="U473" s="1917"/>
      <c r="V473" s="1918"/>
      <c r="X473" s="1916"/>
      <c r="Y473" s="1917"/>
      <c r="Z473" s="1917"/>
      <c r="AA473" s="1918"/>
      <c r="AC473" s="1916"/>
      <c r="AD473" s="1917"/>
      <c r="AE473" s="1917"/>
      <c r="AF473" s="1918"/>
      <c r="AH473" s="1916"/>
      <c r="AI473" s="1917"/>
      <c r="AJ473" s="1917"/>
      <c r="AK473" s="1918"/>
    </row>
    <row r="474" spans="2:38" s="180" customFormat="1" x14ac:dyDescent="0.45">
      <c r="B474" s="1942"/>
      <c r="C474" s="1945"/>
      <c r="D474" s="1916"/>
      <c r="E474" s="1917"/>
      <c r="F474" s="1917"/>
      <c r="G474" s="1918"/>
      <c r="I474" s="1916"/>
      <c r="J474" s="1917"/>
      <c r="K474" s="1917"/>
      <c r="L474" s="1918"/>
      <c r="N474" s="1916"/>
      <c r="O474" s="1917"/>
      <c r="P474" s="1917"/>
      <c r="Q474" s="1918"/>
      <c r="S474" s="1916"/>
      <c r="T474" s="1917"/>
      <c r="U474" s="1917"/>
      <c r="V474" s="1918"/>
      <c r="X474" s="1916"/>
      <c r="Y474" s="1917"/>
      <c r="Z474" s="1917"/>
      <c r="AA474" s="1918"/>
      <c r="AC474" s="1916"/>
      <c r="AD474" s="1917"/>
      <c r="AE474" s="1917"/>
      <c r="AF474" s="1918"/>
      <c r="AH474" s="1916"/>
      <c r="AI474" s="1917"/>
      <c r="AJ474" s="1917"/>
      <c r="AK474" s="1918"/>
    </row>
    <row r="475" spans="2:38" s="180" customFormat="1" x14ac:dyDescent="0.45">
      <c r="B475" s="1942"/>
      <c r="C475" s="1945"/>
      <c r="D475" s="1916"/>
      <c r="E475" s="1917"/>
      <c r="F475" s="1917"/>
      <c r="G475" s="1918"/>
      <c r="I475" s="1916"/>
      <c r="J475" s="1917"/>
      <c r="K475" s="1917"/>
      <c r="L475" s="1918"/>
      <c r="N475" s="1916"/>
      <c r="O475" s="1917"/>
      <c r="P475" s="1917"/>
      <c r="Q475" s="1918"/>
      <c r="S475" s="1916"/>
      <c r="T475" s="1917"/>
      <c r="U475" s="1917"/>
      <c r="V475" s="1918"/>
      <c r="X475" s="1916"/>
      <c r="Y475" s="1917"/>
      <c r="Z475" s="1917"/>
      <c r="AA475" s="1918"/>
      <c r="AC475" s="1916"/>
      <c r="AD475" s="1917"/>
      <c r="AE475" s="1917"/>
      <c r="AF475" s="1918"/>
      <c r="AH475" s="1916"/>
      <c r="AI475" s="1917"/>
      <c r="AJ475" s="1917"/>
      <c r="AK475" s="1918"/>
    </row>
    <row r="476" spans="2:38" s="180" customFormat="1" x14ac:dyDescent="0.45">
      <c r="B476" s="1942"/>
      <c r="C476" s="1945"/>
      <c r="D476" s="1916"/>
      <c r="E476" s="1917"/>
      <c r="F476" s="1917"/>
      <c r="G476" s="1918"/>
      <c r="I476" s="1916"/>
      <c r="J476" s="1917"/>
      <c r="K476" s="1917"/>
      <c r="L476" s="1918"/>
      <c r="N476" s="1916"/>
      <c r="O476" s="1917"/>
      <c r="P476" s="1917"/>
      <c r="Q476" s="1918"/>
      <c r="S476" s="1916"/>
      <c r="T476" s="1917"/>
      <c r="U476" s="1917"/>
      <c r="V476" s="1918"/>
      <c r="X476" s="1916"/>
      <c r="Y476" s="1917"/>
      <c r="Z476" s="1917"/>
      <c r="AA476" s="1918"/>
      <c r="AC476" s="1916"/>
      <c r="AD476" s="1917"/>
      <c r="AE476" s="1917"/>
      <c r="AF476" s="1918"/>
      <c r="AH476" s="1916"/>
      <c r="AI476" s="1917"/>
      <c r="AJ476" s="1917"/>
      <c r="AK476" s="1918"/>
    </row>
    <row r="477" spans="2:38" s="180" customFormat="1" x14ac:dyDescent="0.45">
      <c r="B477" s="1942"/>
      <c r="C477" s="1945"/>
      <c r="D477" s="1916"/>
      <c r="E477" s="1917"/>
      <c r="F477" s="1917"/>
      <c r="G477" s="1918"/>
      <c r="I477" s="1916"/>
      <c r="J477" s="1917"/>
      <c r="K477" s="1917"/>
      <c r="L477" s="1918"/>
      <c r="N477" s="1916"/>
      <c r="O477" s="1917"/>
      <c r="P477" s="1917"/>
      <c r="Q477" s="1918"/>
      <c r="S477" s="1916"/>
      <c r="T477" s="1917"/>
      <c r="U477" s="1917"/>
      <c r="V477" s="1918"/>
      <c r="X477" s="1916"/>
      <c r="Y477" s="1917"/>
      <c r="Z477" s="1917"/>
      <c r="AA477" s="1918"/>
      <c r="AC477" s="1916"/>
      <c r="AD477" s="1917"/>
      <c r="AE477" s="1917"/>
      <c r="AF477" s="1918"/>
      <c r="AH477" s="1916"/>
      <c r="AI477" s="1917"/>
      <c r="AJ477" s="1917"/>
      <c r="AK477" s="1918"/>
    </row>
    <row r="478" spans="2:38" s="180" customFormat="1" ht="14.65" thickBot="1" x14ac:dyDescent="0.5">
      <c r="B478" s="1942"/>
      <c r="C478" s="1945"/>
      <c r="D478" s="1938"/>
      <c r="E478" s="1939"/>
      <c r="F478" s="1939"/>
      <c r="G478" s="1940"/>
      <c r="I478" s="1938"/>
      <c r="J478" s="1939"/>
      <c r="K478" s="1939"/>
      <c r="L478" s="1940"/>
      <c r="N478" s="1938"/>
      <c r="O478" s="1939"/>
      <c r="P478" s="1939"/>
      <c r="Q478" s="1940"/>
      <c r="S478" s="1938"/>
      <c r="T478" s="1939"/>
      <c r="U478" s="1939"/>
      <c r="V478" s="1940"/>
      <c r="X478" s="1938"/>
      <c r="Y478" s="1939"/>
      <c r="Z478" s="1939"/>
      <c r="AA478" s="1940"/>
      <c r="AC478" s="1938"/>
      <c r="AD478" s="1939"/>
      <c r="AE478" s="1939"/>
      <c r="AF478" s="1940"/>
      <c r="AH478" s="1938"/>
      <c r="AI478" s="1939"/>
      <c r="AJ478" s="1939"/>
      <c r="AK478" s="1940"/>
    </row>
    <row r="479" spans="2:38" s="176" customFormat="1" ht="15.75" customHeight="1" x14ac:dyDescent="0.45">
      <c r="B479" s="1942"/>
      <c r="C479" s="1945"/>
      <c r="D479" s="1415">
        <f>$B451</f>
        <v>9</v>
      </c>
      <c r="E479" s="1930" t="s">
        <v>352</v>
      </c>
      <c r="F479" s="1930"/>
      <c r="G479" s="1414">
        <f ca="1">INDEX(final_duration_session,((WEEKDAY(E$3,2)*2-1)+IF(E479="Morning",0,1)),$D479)</f>
        <v>60</v>
      </c>
      <c r="H479" s="177"/>
      <c r="I479" s="1415">
        <f>$B451</f>
        <v>9</v>
      </c>
      <c r="J479" s="1930" t="s">
        <v>352</v>
      </c>
      <c r="K479" s="1930"/>
      <c r="L479" s="1414">
        <f ca="1">INDEX(final_duration_session,((WEEKDAY(J$3,2)*2-1)+IF(J479="Morning",0,1)),$D479)</f>
        <v>55</v>
      </c>
      <c r="M479" s="177"/>
      <c r="N479" s="1415">
        <f>$B451</f>
        <v>9</v>
      </c>
      <c r="O479" s="1930" t="s">
        <v>352</v>
      </c>
      <c r="P479" s="1930"/>
      <c r="Q479" s="1414">
        <f ca="1">INDEX(final_duration_session,((WEEKDAY(O$3,2)*2-1)+IF(O479="Morning",0,1)),$D479)</f>
        <v>45</v>
      </c>
      <c r="R479" s="177"/>
      <c r="S479" s="1415">
        <f>$B451</f>
        <v>9</v>
      </c>
      <c r="T479" s="1930" t="s">
        <v>352</v>
      </c>
      <c r="U479" s="1930"/>
      <c r="V479" s="1414">
        <f ca="1">INDEX(final_duration_session,((WEEKDAY(T$3,2)*2-1)+IF(T479="Morning",0,1)),$D479)</f>
        <v>0</v>
      </c>
      <c r="W479" s="177"/>
      <c r="X479" s="1415">
        <f>$B451</f>
        <v>9</v>
      </c>
      <c r="Y479" s="1930" t="s">
        <v>352</v>
      </c>
      <c r="Z479" s="1930"/>
      <c r="AA479" s="1414">
        <f ca="1">INDEX(final_duration_session,((WEEKDAY(Y$3,2)*2-1)+IF(Y479="Morning",0,1)),$D479)</f>
        <v>0</v>
      </c>
      <c r="AB479" s="177"/>
      <c r="AC479" s="1415">
        <f>$B451</f>
        <v>9</v>
      </c>
      <c r="AD479" s="1930" t="s">
        <v>352</v>
      </c>
      <c r="AE479" s="1930"/>
      <c r="AF479" s="1414">
        <f ca="1">INDEX(final_duration_session,((WEEKDAY(AD$3,2)*2-1)+IF(AD479="Morning",0,1)),$D479)</f>
        <v>0</v>
      </c>
      <c r="AG479" s="177"/>
      <c r="AH479" s="1415">
        <f>$B451</f>
        <v>9</v>
      </c>
      <c r="AI479" s="1930" t="s">
        <v>352</v>
      </c>
      <c r="AJ479" s="1930"/>
      <c r="AK479" s="1414">
        <f ca="1">INDEX(final_duration_session,((WEEKDAY(AI$3,2)*2-1)+IF(AI479="Morning",0,1)),$D479)</f>
        <v>0</v>
      </c>
      <c r="AL479" s="177"/>
    </row>
    <row r="480" spans="2:38" s="176" customFormat="1" ht="15" customHeight="1" x14ac:dyDescent="0.45">
      <c r="B480" s="1942"/>
      <c r="C480" s="1945"/>
      <c r="D480" s="1931" t="str">
        <f ca="1">IF(G479&gt;0,INDEX(sessions_name,INDEX(plan_session_allocation,((WEEKDAY(E$3,2)*2-1)+IF(E479="Morning",0,1)),D479)),"")</f>
        <v>Strength and Maintenance</v>
      </c>
      <c r="E480" s="1932"/>
      <c r="F480" s="1932"/>
      <c r="G480" s="1933"/>
      <c r="H480" s="177"/>
      <c r="I480" s="1931" t="str">
        <f ca="1">IF(L479&gt;0,INDEX(sessions_name,INDEX(plan_session_allocation,((WEEKDAY(J$3,2)*2-1)+IF(J479="Morning",0,1)),I479)),"")</f>
        <v>Split Tempo</v>
      </c>
      <c r="J480" s="1932"/>
      <c r="K480" s="1932"/>
      <c r="L480" s="1933"/>
      <c r="M480" s="177"/>
      <c r="N480" s="1931" t="str">
        <f ca="1">IF(Q479&gt;0,INDEX(sessions_name,INDEX(plan_session_allocation,((WEEKDAY(O$3,2)*2-1)+IF(O479="Morning",0,1)),N479)),"")</f>
        <v>Easy</v>
      </c>
      <c r="O480" s="1932"/>
      <c r="P480" s="1932"/>
      <c r="Q480" s="1933"/>
      <c r="R480" s="177"/>
      <c r="S480" s="1931" t="str">
        <f ca="1">IF(V479&gt;0,INDEX(sessions_name,INDEX(plan_session_allocation,((WEEKDAY(T$3,2)*2-1)+IF(T479="Morning",0,1)),S479)),"")</f>
        <v/>
      </c>
      <c r="T480" s="1932"/>
      <c r="U480" s="1932"/>
      <c r="V480" s="1933"/>
      <c r="W480" s="177"/>
      <c r="X480" s="1931" t="str">
        <f ca="1">IF(AA479&gt;0,INDEX(sessions_name,INDEX(plan_session_allocation,((WEEKDAY(Y$3,2)*2-1)+IF(Y479="Morning",0,1)),X479)),"")</f>
        <v/>
      </c>
      <c r="Y480" s="1932"/>
      <c r="Z480" s="1932"/>
      <c r="AA480" s="1933"/>
      <c r="AB480" s="177"/>
      <c r="AC480" s="1931" t="str">
        <f ca="1">IF(AF479&gt;0,INDEX(sessions_name,INDEX(plan_session_allocation,((WEEKDAY(AD$3,2)*2-1)+IF(AD479="Morning",0,1)),AC479)),"")</f>
        <v/>
      </c>
      <c r="AD480" s="1932"/>
      <c r="AE480" s="1932"/>
      <c r="AF480" s="1933"/>
      <c r="AG480" s="177"/>
      <c r="AH480" s="1931" t="str">
        <f ca="1">IF(AK479&gt;0,INDEX(sessions_name,INDEX(plan_session_allocation,((WEEKDAY(AI$3,2)*2-1)+IF(AI479="Morning",0,1)),AH479)),"")</f>
        <v/>
      </c>
      <c r="AI480" s="1932"/>
      <c r="AJ480" s="1932"/>
      <c r="AK480" s="1933"/>
      <c r="AL480" s="177"/>
    </row>
    <row r="481" spans="2:38" s="176" customFormat="1" ht="15" customHeight="1" x14ac:dyDescent="0.45">
      <c r="B481" s="1942"/>
      <c r="C481" s="1945"/>
      <c r="D481" s="1934" t="str">
        <f ca="1">IF(G479&gt;0,CONCATENATE("Sport: ",INDEX(sessions_sport_primary,INDEX(plan_session_allocation,(WEEKDAY(E$3,2)*2-1)+IF(E479="Morning",0,1),D479))),"")</f>
        <v>Sport: Indoor</v>
      </c>
      <c r="E481" s="1935"/>
      <c r="F481" s="1936">
        <f ca="1">IF(G479&gt;0,IFERROR(F482+F483+F484,""),"")</f>
        <v>60</v>
      </c>
      <c r="G481" s="1937"/>
      <c r="H481" s="177"/>
      <c r="I481" s="1934" t="str">
        <f ca="1">IF(L479&gt;0,CONCATENATE("Sport: ",INDEX(sessions_sport_primary,INDEX(plan_session_allocation,(WEEKDAY(J$3,2)*2-1)+IF(J479="Morning",0,1),I479))),"")</f>
        <v>Sport: Road Run</v>
      </c>
      <c r="J481" s="1935"/>
      <c r="K481" s="1936">
        <f ca="1">IF(L479&gt;0,IFERROR(K482+K483+K484,""),"")</f>
        <v>55</v>
      </c>
      <c r="L481" s="1937"/>
      <c r="M481" s="177"/>
      <c r="N481" s="1934" t="str">
        <f ca="1">IF(Q479&gt;0,CONCATENATE("Sport: ",INDEX(sessions_sport_primary,INDEX(plan_session_allocation,(WEEKDAY(O$3,2)*2-1)+IF(O479="Morning",0,1),N479))),"")</f>
        <v>Sport: Road Ride</v>
      </c>
      <c r="O481" s="1935"/>
      <c r="P481" s="1936">
        <f ca="1">IF(Q479&gt;0,IFERROR(P482+P483+P484,""),"")</f>
        <v>45</v>
      </c>
      <c r="Q481" s="1937"/>
      <c r="R481" s="177"/>
      <c r="S481" s="1934" t="str">
        <f ca="1">IF(V479&gt;0,CONCATENATE("Sport: ",INDEX(sessions_sport_primary,INDEX(plan_session_allocation,(WEEKDAY(T$3,2)*2-1)+IF(T479="Morning",0,1),S479))),"")</f>
        <v/>
      </c>
      <c r="T481" s="1935"/>
      <c r="U481" s="1936" t="str">
        <f ca="1">IF(V479&gt;0,IFERROR(U482+U483+U484,""),"")</f>
        <v/>
      </c>
      <c r="V481" s="1937"/>
      <c r="W481" s="177"/>
      <c r="X481" s="1934" t="str">
        <f ca="1">IF(AA479&gt;0,CONCATENATE("Sport: ",INDEX(sessions_sport_primary,INDEX(plan_session_allocation,(WEEKDAY(Y$3,2)*2-1)+IF(Y479="Morning",0,1),X479))),"")</f>
        <v/>
      </c>
      <c r="Y481" s="1935"/>
      <c r="Z481" s="1936" t="str">
        <f ca="1">IF(AA479&gt;0,IFERROR(Z482+Z483+Z484,""),"")</f>
        <v/>
      </c>
      <c r="AA481" s="1937"/>
      <c r="AB481" s="177"/>
      <c r="AC481" s="1934" t="str">
        <f ca="1">IF(AF479&gt;0,CONCATENATE("Sport: ",INDEX(sessions_sport_primary,INDEX(plan_session_allocation,(WEEKDAY(AD$3,2)*2-1)+IF(AD479="Morning",0,1),AC479))),"")</f>
        <v/>
      </c>
      <c r="AD481" s="1935"/>
      <c r="AE481" s="1936" t="str">
        <f ca="1">IF(AF479&gt;0,IFERROR(AE482+AE483+AE484,""),"")</f>
        <v/>
      </c>
      <c r="AF481" s="1937"/>
      <c r="AG481" s="177"/>
      <c r="AH481" s="1934" t="str">
        <f ca="1">IF(AK479&gt;0,CONCATENATE("Sport: ",INDEX(sessions_sport_primary,INDEX(plan_session_allocation,(WEEKDAY(AI$3,2)*2-1)+IF(AI479="Morning",0,1),AH479))),"")</f>
        <v/>
      </c>
      <c r="AI481" s="1935"/>
      <c r="AJ481" s="1936" t="str">
        <f ca="1">IF(AK479&gt;0,IFERROR(AJ482+AJ483+AJ484,""),"")</f>
        <v/>
      </c>
      <c r="AK481" s="1937"/>
      <c r="AL481" s="177"/>
    </row>
    <row r="482" spans="2:38" s="177" customFormat="1" ht="15" customHeight="1" x14ac:dyDescent="0.45">
      <c r="B482" s="1942"/>
      <c r="C482" s="1945"/>
      <c r="D482" s="1922" t="str">
        <f ca="1">IF(G479&gt;0,CONCATENATE("HR Target: ",
INDEX(sessions_HR_primary,INDEX(plan_session_allocation,((WEEKDAY(E$3,2)*2-1)+IF(E479="Morning",0,1)),D479)),
IF(INDEX(sessions_HR_primary,INDEX(plan_session_allocation,((WEEKDAY(E$3,2)*2-1)+IF(E479="Morning",0,1)),D479))="N/A","",
" BPM")),"")</f>
        <v>HR Target: N/A</v>
      </c>
      <c r="E482" s="1923"/>
      <c r="F482" s="1924">
        <f ca="1">IF(G479&gt;0,
INDEX(final_duration_effort,((WEEKDAY(E$3,2)*2-1)+IF(E479="Morning",0,1)),D479),"")</f>
        <v>60</v>
      </c>
      <c r="G482" s="1925"/>
      <c r="I482" s="1922" t="str">
        <f ca="1">IF(L479&gt;0,CONCATENATE("HR Target: ",
INDEX(sessions_HR_primary,INDEX(plan_session_allocation,((WEEKDAY(J$3,2)*2-1)+IF(J479="Morning",0,1)),I479)),
IF(INDEX(sessions_HR_primary,INDEX(plan_session_allocation,((WEEKDAY(J$3,2)*2-1)+IF(J479="Morning",0,1)),I479))="N/A","",
" BPM")),"")</f>
        <v>HR Target: 177 BPM</v>
      </c>
      <c r="J482" s="1923"/>
      <c r="K482" s="1924">
        <f ca="1">IF(L479&gt;0,
INDEX(final_duration_effort,((WEEKDAY(J$3,2)*2-1)+IF(J479="Morning",0,1)),I479),"")</f>
        <v>25</v>
      </c>
      <c r="L482" s="1925"/>
      <c r="N482" s="1922" t="str">
        <f ca="1">IF(Q479&gt;0,CONCATENATE("HR Target: ",
INDEX(sessions_HR_primary,INDEX(plan_session_allocation,((WEEKDAY(O$3,2)*2-1)+IF(O479="Morning",0,1)),N479)),
IF(INDEX(sessions_HR_primary,INDEX(plan_session_allocation,((WEEKDAY(O$3,2)*2-1)+IF(O479="Morning",0,1)),N479))="N/A","",
" BPM")),"")</f>
        <v>HR Target: 138 BPM</v>
      </c>
      <c r="O482" s="1923"/>
      <c r="P482" s="1924">
        <f ca="1">IF(Q479&gt;0,
INDEX(final_duration_effort,((WEEKDAY(O$3,2)*2-1)+IF(O479="Morning",0,1)),N479),"")</f>
        <v>45</v>
      </c>
      <c r="Q482" s="1925"/>
      <c r="S482" s="1922" t="str">
        <f ca="1">IF(V479&gt;0,CONCATENATE("HR Target: ",
INDEX(sessions_HR_primary,INDEX(plan_session_allocation,((WEEKDAY(T$3,2)*2-1)+IF(T479="Morning",0,1)),S479)),
IF(INDEX(sessions_HR_primary,INDEX(plan_session_allocation,((WEEKDAY(T$3,2)*2-1)+IF(T479="Morning",0,1)),S479))="N/A","",
" BPM")),"")</f>
        <v/>
      </c>
      <c r="T482" s="1923"/>
      <c r="U482" s="1924" t="str">
        <f ca="1">IF(V479&gt;0,
INDEX(final_duration_effort,((WEEKDAY(T$3,2)*2-1)+IF(T479="Morning",0,1)),S479),"")</f>
        <v/>
      </c>
      <c r="V482" s="1925"/>
      <c r="X482" s="1922" t="str">
        <f ca="1">IF(AA479&gt;0,CONCATENATE("HR Target: ",
INDEX(sessions_HR_primary,INDEX(plan_session_allocation,((WEEKDAY(Y$3,2)*2-1)+IF(Y479="Morning",0,1)),X479)),
IF(INDEX(sessions_HR_primary,INDEX(plan_session_allocation,((WEEKDAY(Y$3,2)*2-1)+IF(Y479="Morning",0,1)),X479))="N/A","",
" BPM")),"")</f>
        <v/>
      </c>
      <c r="Y482" s="1923"/>
      <c r="Z482" s="1924" t="str">
        <f ca="1">IF(AA479&gt;0,
INDEX(final_duration_effort,((WEEKDAY(Y$3,2)*2-1)+IF(Y479="Morning",0,1)),X479),"")</f>
        <v/>
      </c>
      <c r="AA482" s="1925"/>
      <c r="AC482" s="1922" t="str">
        <f ca="1">IF(AF479&gt;0,CONCATENATE("HR Target: ",
INDEX(sessions_HR_primary,INDEX(plan_session_allocation,((WEEKDAY(AD$3,2)*2-1)+IF(AD479="Morning",0,1)),AC479)),
IF(INDEX(sessions_HR_primary,INDEX(plan_session_allocation,((WEEKDAY(AD$3,2)*2-1)+IF(AD479="Morning",0,1)),AC479))="N/A","",
" BPM")),"")</f>
        <v/>
      </c>
      <c r="AD482" s="1923"/>
      <c r="AE482" s="1924" t="str">
        <f ca="1">IF(AF479&gt;0,
INDEX(final_duration_effort,((WEEKDAY(AD$3,2)*2-1)+IF(AD479="Morning",0,1)),AC479),"")</f>
        <v/>
      </c>
      <c r="AF482" s="1925"/>
      <c r="AH482" s="1922" t="str">
        <f ca="1">IF(AK479&gt;0,CONCATENATE("HR Target: ",
INDEX(sessions_HR_primary,INDEX(plan_session_allocation,((WEEKDAY(AI$3,2)*2-1)+IF(AI479="Morning",0,1)),AH479)),
IF(INDEX(sessions_HR_primary,INDEX(plan_session_allocation,((WEEKDAY(AI$3,2)*2-1)+IF(AI479="Morning",0,1)),AH479))="N/A","",
" BPM")),"")</f>
        <v/>
      </c>
      <c r="AI482" s="1923"/>
      <c r="AJ482" s="1924" t="str">
        <f ca="1">IF(AK479&gt;0,
INDEX(final_duration_effort,((WEEKDAY(AI$3,2)*2-1)+IF(AI479="Morning",0,1)),AH479),"")</f>
        <v/>
      </c>
      <c r="AK482" s="1925"/>
    </row>
    <row r="483" spans="2:38" s="177" customFormat="1" ht="15" customHeight="1" x14ac:dyDescent="0.45">
      <c r="B483" s="1942"/>
      <c r="C483" s="1945"/>
      <c r="D483" s="1926" t="str">
        <f ca="1">IF(G479&gt;0,CONCATENATE("HR Range: ",
INDEX(sessions_HR_range_primary,INDEX(plan_session_allocation,((WEEKDAY(E$3,2)*2-1)+IF(E479="Morning",0,1)),D479)),
IF(INDEX(sessions_HR_range_primary,INDEX(plan_session_allocation,((WEEKDAY(E$3,2)*2-1)+IF(E479="Morning",0,1)),D479))="N/A","",
" BPM")),"")</f>
        <v>HR Range: N/A</v>
      </c>
      <c r="E483" s="1927"/>
      <c r="F483" s="1928">
        <f ca="1">IF(G479&gt;0,IF(
INDEX(sessions_recoveries,INDEX(plan_session_allocation,((WEEKDAY(E$3,2)*2-1)+IF(E479="Morning",0,1)),D479))="Yes",
VLOOKUP(INDEX(plan_duration_primary,((WEEKDAY(E$3,2)*2-1)+IF(E479="Morning",0,1)),D479),
INDIRECT(INDEX(sessions_intervals_code_primary,INDEX(plan_session_allocation,((WEEKDAY(E$3,2)*2-1)+IF(E479="Morning",0,1)),D479))),7,TRUE),0),"")</f>
        <v>0</v>
      </c>
      <c r="G483" s="1929"/>
      <c r="I483" s="1926" t="str">
        <f ca="1">IF(L479&gt;0,CONCATENATE("HR Range: ",
INDEX(sessions_HR_range_primary,INDEX(plan_session_allocation,((WEEKDAY(J$3,2)*2-1)+IF(J479="Morning",0,1)),I479)),
IF(INDEX(sessions_HR_range_primary,INDEX(plan_session_allocation,((WEEKDAY(J$3,2)*2-1)+IF(J479="Morning",0,1)),I479))="N/A","",
" BPM")),"")</f>
        <v>HR Range: 173 - 180 BPM</v>
      </c>
      <c r="J483" s="1927"/>
      <c r="K483" s="1928">
        <f ca="1">IF(L479&gt;0,IF(
INDEX(sessions_recoveries,INDEX(plan_session_allocation,((WEEKDAY(J$3,2)*2-1)+IF(J479="Morning",0,1)),I479))="Yes",
VLOOKUP(INDEX(plan_duration_primary,((WEEKDAY(J$3,2)*2-1)+IF(J479="Morning",0,1)),I479),
INDIRECT(INDEX(sessions_intervals_code_primary,INDEX(plan_session_allocation,((WEEKDAY(J$3,2)*2-1)+IF(J479="Morning",0,1)),I479))),7,TRUE),0),"")</f>
        <v>0</v>
      </c>
      <c r="L483" s="1929"/>
      <c r="N483" s="1926" t="str">
        <f ca="1">IF(Q479&gt;0,CONCATENATE("HR Range: ",
INDEX(sessions_HR_range_primary,INDEX(plan_session_allocation,((WEEKDAY(O$3,2)*2-1)+IF(O479="Morning",0,1)),N479)),
IF(INDEX(sessions_HR_range_primary,INDEX(plan_session_allocation,((WEEKDAY(O$3,2)*2-1)+IF(O479="Morning",0,1)),N479))="N/A","",
" BPM")),"")</f>
        <v>HR Range: 129 - 148 BPM</v>
      </c>
      <c r="O483" s="1927"/>
      <c r="P483" s="1928">
        <f ca="1">IF(Q479&gt;0,IF(
INDEX(sessions_recoveries,INDEX(plan_session_allocation,((WEEKDAY(O$3,2)*2-1)+IF(O479="Morning",0,1)),N479))="Yes",
VLOOKUP(INDEX(plan_duration_primary,((WEEKDAY(O$3,2)*2-1)+IF(O479="Morning",0,1)),N479),
INDIRECT(INDEX(sessions_intervals_code_primary,INDEX(plan_session_allocation,((WEEKDAY(O$3,2)*2-1)+IF(O479="Morning",0,1)),N479))),7,TRUE),0),"")</f>
        <v>0</v>
      </c>
      <c r="Q483" s="1929"/>
      <c r="S483" s="1926" t="str">
        <f ca="1">IF(V479&gt;0,CONCATENATE("HR Range: ",
INDEX(sessions_HR_range_primary,INDEX(plan_session_allocation,((WEEKDAY(T$3,2)*2-1)+IF(T479="Morning",0,1)),S479)),
IF(INDEX(sessions_HR_range_primary,INDEX(plan_session_allocation,((WEEKDAY(T$3,2)*2-1)+IF(T479="Morning",0,1)),S479))="N/A","",
" BPM")),"")</f>
        <v/>
      </c>
      <c r="T483" s="1927"/>
      <c r="U483" s="1928" t="str">
        <f ca="1">IF(V479&gt;0,IF(
INDEX(sessions_recoveries,INDEX(plan_session_allocation,((WEEKDAY(T$3,2)*2-1)+IF(T479="Morning",0,1)),S479))="Yes",
VLOOKUP(INDEX(plan_duration_primary,((WEEKDAY(T$3,2)*2-1)+IF(T479="Morning",0,1)),S479),
INDIRECT(INDEX(sessions_intervals_code_primary,INDEX(plan_session_allocation,((WEEKDAY(T$3,2)*2-1)+IF(T479="Morning",0,1)),S479))),7,TRUE),0),"")</f>
        <v/>
      </c>
      <c r="V483" s="1929"/>
      <c r="X483" s="1926" t="str">
        <f ca="1">IF(AA479&gt;0,CONCATENATE("HR Range: ",
INDEX(sessions_HR_range_primary,INDEX(plan_session_allocation,((WEEKDAY(Y$3,2)*2-1)+IF(Y479="Morning",0,1)),X479)),
IF(INDEX(sessions_HR_range_primary,INDEX(plan_session_allocation,((WEEKDAY(Y$3,2)*2-1)+IF(Y479="Morning",0,1)),X479))="N/A","",
" BPM")),"")</f>
        <v/>
      </c>
      <c r="Y483" s="1927"/>
      <c r="Z483" s="1928" t="str">
        <f ca="1">IF(AA479&gt;0,IF(
INDEX(sessions_recoveries,INDEX(plan_session_allocation,((WEEKDAY(Y$3,2)*2-1)+IF(Y479="Morning",0,1)),X479))="Yes",
VLOOKUP(INDEX(plan_duration_primary,((WEEKDAY(Y$3,2)*2-1)+IF(Y479="Morning",0,1)),X479),
INDIRECT(INDEX(sessions_intervals_code_primary,INDEX(plan_session_allocation,((WEEKDAY(Y$3,2)*2-1)+IF(Y479="Morning",0,1)),X479))),7,TRUE),0),"")</f>
        <v/>
      </c>
      <c r="AA483" s="1929"/>
      <c r="AC483" s="1926" t="str">
        <f ca="1">IF(AF479&gt;0,CONCATENATE("HR Range: ",
INDEX(sessions_HR_range_primary,INDEX(plan_session_allocation,((WEEKDAY(AD$3,2)*2-1)+IF(AD479="Morning",0,1)),AC479)),
IF(INDEX(sessions_HR_range_primary,INDEX(plan_session_allocation,((WEEKDAY(AD$3,2)*2-1)+IF(AD479="Morning",0,1)),AC479))="N/A","",
" BPM")),"")</f>
        <v/>
      </c>
      <c r="AD483" s="1927"/>
      <c r="AE483" s="1928" t="str">
        <f ca="1">IF(AF479&gt;0,IF(
INDEX(sessions_recoveries,INDEX(plan_session_allocation,((WEEKDAY(AD$3,2)*2-1)+IF(AD479="Morning",0,1)),AC479))="Yes",
VLOOKUP(INDEX(plan_duration_primary,((WEEKDAY(AD$3,2)*2-1)+IF(AD479="Morning",0,1)),AC479),
INDIRECT(INDEX(sessions_intervals_code_primary,INDEX(plan_session_allocation,((WEEKDAY(AD$3,2)*2-1)+IF(AD479="Morning",0,1)),AC479))),7,TRUE),0),"")</f>
        <v/>
      </c>
      <c r="AF483" s="1929"/>
      <c r="AH483" s="1926" t="str">
        <f ca="1">IF(AK479&gt;0,CONCATENATE("HR Range: ",
INDEX(sessions_HR_range_primary,INDEX(plan_session_allocation,((WEEKDAY(AI$3,2)*2-1)+IF(AI479="Morning",0,1)),AH479)),
IF(INDEX(sessions_HR_range_primary,INDEX(plan_session_allocation,((WEEKDAY(AI$3,2)*2-1)+IF(AI479="Morning",0,1)),AH479))="N/A","",
" BPM")),"")</f>
        <v/>
      </c>
      <c r="AI483" s="1927"/>
      <c r="AJ483" s="1928" t="str">
        <f ca="1">IF(AK479&gt;0,IF(
INDEX(sessions_recoveries,INDEX(plan_session_allocation,((WEEKDAY(AI$3,2)*2-1)+IF(AI479="Morning",0,1)),AH479))="Yes",
VLOOKUP(INDEX(plan_duration_primary,((WEEKDAY(AI$3,2)*2-1)+IF(AI479="Morning",0,1)),AH479),
INDIRECT(INDEX(sessions_intervals_code_primary,INDEX(plan_session_allocation,((WEEKDAY(AI$3,2)*2-1)+IF(AI479="Morning",0,1)),AH479))),7,TRUE),0),"")</f>
        <v/>
      </c>
      <c r="AK483" s="1929"/>
    </row>
    <row r="484" spans="2:38" s="177" customFormat="1" ht="15" customHeight="1" x14ac:dyDescent="0.45">
      <c r="B484" s="1942"/>
      <c r="C484" s="1945"/>
      <c r="D484" s="1909" t="str">
        <f ca="1">IF(G479&gt;0,CONCATENATE("Equivalent Pace: ",
TEXT(INDEX(sessions_pace_primary,INDEX(plan_session_allocation,(WEEKDAY(E$3,2)*2-1)+IF(E479="Morning",0,1),D479)),"m:ss"),
" min/km"
),"")</f>
        <v>Equivalent Pace:  min/km</v>
      </c>
      <c r="E484" s="1910"/>
      <c r="F484" s="1911">
        <f ca="1">IF(G479&gt;0, INDEX(final_duration_WU,((WEEKDAY(E$3,2)*2-1)+IF(E479="Morning",0,1)),D479)  + INDEX(final_duration_WD,((WEEKDAY(E$3,2)*2-1)+IF(E479="Morning",0,1)),D479), "")</f>
        <v>0</v>
      </c>
      <c r="G484" s="1912"/>
      <c r="I484" s="1909" t="str">
        <f ca="1">IF(L479&gt;0,CONCATENATE("Equivalent Pace: ",
TEXT(INDEX(sessions_pace_primary,INDEX(plan_session_allocation,(WEEKDAY(J$3,2)*2-1)+IF(J479="Morning",0,1),I479)),"m:ss"),
" min/km"
),"")</f>
        <v>Equivalent Pace: 3:21 min/km</v>
      </c>
      <c r="J484" s="1910"/>
      <c r="K484" s="1911">
        <f ca="1">IF(L479&gt;0, INDEX(final_duration_WU,((WEEKDAY(J$3,2)*2-1)+IF(J479="Morning",0,1)),I479)  + INDEX(final_duration_WD,((WEEKDAY(J$3,2)*2-1)+IF(J479="Morning",0,1)),I479), "")</f>
        <v>30</v>
      </c>
      <c r="L484" s="1912"/>
      <c r="N484" s="1909" t="str">
        <f ca="1">IF(Q479&gt;0,CONCATENATE("Equivalent Pace: ",
TEXT(INDEX(sessions_pace_primary,INDEX(plan_session_allocation,(WEEKDAY(O$3,2)*2-1)+IF(O479="Morning",0,1),N479)),"m:ss"),
" min/km"
),"")</f>
        <v>Equivalent Pace: 4:39 min/km</v>
      </c>
      <c r="O484" s="1910"/>
      <c r="P484" s="1911">
        <f ca="1">IF(Q479&gt;0, INDEX(final_duration_WU,((WEEKDAY(O$3,2)*2-1)+IF(O479="Morning",0,1)),N479)  + INDEX(final_duration_WD,((WEEKDAY(O$3,2)*2-1)+IF(O479="Morning",0,1)),N479), "")</f>
        <v>0</v>
      </c>
      <c r="Q484" s="1912"/>
      <c r="S484" s="1909" t="str">
        <f ca="1">IF(V479&gt;0,CONCATENATE("Equivalent Pace: ",
TEXT(INDEX(sessions_pace_primary,INDEX(plan_session_allocation,(WEEKDAY(T$3,2)*2-1)+IF(T479="Morning",0,1),S479)),"m:ss"),
" min/km"
),"")</f>
        <v/>
      </c>
      <c r="T484" s="1910"/>
      <c r="U484" s="1911" t="str">
        <f ca="1">IF(V479&gt;0, INDEX(final_duration_WU,((WEEKDAY(T$3,2)*2-1)+IF(T479="Morning",0,1)),S479)  + INDEX(final_duration_WD,((WEEKDAY(T$3,2)*2-1)+IF(T479="Morning",0,1)),S479), "")</f>
        <v/>
      </c>
      <c r="V484" s="1912"/>
      <c r="X484" s="1909" t="str">
        <f ca="1">IF(AA479&gt;0,CONCATENATE("Equivalent Pace: ",
TEXT(INDEX(sessions_pace_primary,INDEX(plan_session_allocation,(WEEKDAY(Y$3,2)*2-1)+IF(Y479="Morning",0,1),X479)),"m:ss"),
" min/km"
),"")</f>
        <v/>
      </c>
      <c r="Y484" s="1910"/>
      <c r="Z484" s="1911" t="str">
        <f ca="1">IF(AA479&gt;0, INDEX(final_duration_WU,((WEEKDAY(Y$3,2)*2-1)+IF(Y479="Morning",0,1)),X479)  + INDEX(final_duration_WD,((WEEKDAY(Y$3,2)*2-1)+IF(Y479="Morning",0,1)),X479), "")</f>
        <v/>
      </c>
      <c r="AA484" s="1912"/>
      <c r="AC484" s="1909" t="str">
        <f ca="1">IF(AF479&gt;0,CONCATENATE("Equivalent Pace: ",
TEXT(INDEX(sessions_pace_primary,INDEX(plan_session_allocation,(WEEKDAY(AD$3,2)*2-1)+IF(AD479="Morning",0,1),AC479)),"m:ss"),
" min/km"
),"")</f>
        <v/>
      </c>
      <c r="AD484" s="1910"/>
      <c r="AE484" s="1911" t="str">
        <f ca="1">IF(AF479&gt;0, INDEX(final_duration_WU,((WEEKDAY(AD$3,2)*2-1)+IF(AD479="Morning",0,1)),AC479)  + INDEX(final_duration_WD,((WEEKDAY(AD$3,2)*2-1)+IF(AD479="Morning",0,1)),AC479), "")</f>
        <v/>
      </c>
      <c r="AF484" s="1912"/>
      <c r="AH484" s="1909" t="str">
        <f ca="1">IF(AK479&gt;0,CONCATENATE("Equivalent Pace: ",
TEXT(INDEX(sessions_pace_primary,INDEX(plan_session_allocation,(WEEKDAY(AI$3,2)*2-1)+IF(AI479="Morning",0,1),AH479)),"m:ss"),
" min/km"
),"")</f>
        <v/>
      </c>
      <c r="AI484" s="1910"/>
      <c r="AJ484" s="1911" t="str">
        <f ca="1">IF(AK479&gt;0, INDEX(final_duration_WU,((WEEKDAY(AI$3,2)*2-1)+IF(AI479="Morning",0,1)),AH479)  + INDEX(final_duration_WD,((WEEKDAY(AI$3,2)*2-1)+IF(AI479="Morning",0,1)),AH479), "")</f>
        <v/>
      </c>
      <c r="AK484" s="1912"/>
    </row>
    <row r="485" spans="2:38" s="176" customFormat="1" ht="15" customHeight="1" x14ac:dyDescent="0.45">
      <c r="B485" s="1942"/>
      <c r="C485" s="1945"/>
      <c r="D485" s="1913" t="str">
        <f ca="1">IF(G479&gt;0,CONCATENATE(IFERROR(CONCATENATE(IF(INDEX(display_intervals_breakdown,((WEEKDAY(E$3,2)*2-1)+IF(E479="Morning",0,1)),D479)="","",CONCATENATE("Intervals/Reps Breakdown: 
",INDEX(display_intervals_breakdown,((WEEKDAY(E$3,2)*2-1)+IF(E479="Morning",0,1)),D479),"
")),"Session Description: 
",CONCATENATE(IF(INDEX(final_duration_secondary,((WEEKDAY(E$3,2)*2-1)+IF(E479="Morning",0,1)),D479)=0,"","1. "),
INDEX(sessions_description_primary,,INDEX(plan_session_allocation,((WEEKDAY(E$3,2)*2-1)+IF(E479="Morning",0,1)),D479)),IF(INDEX(final_duration_secondary,((WEEKDAY(E$3,2)*2-1)+IF(E479="Morning",0,1)),D479)=0,"","
2. "),
IF(INDEX(final_duration_secondary,((WEEKDAY(E$3,2)*2-1)+IF(E479="Morning",0,1)),D479)=0,"",INDEX(sessions_description_secondary,,INDEX(plan_session_allocation,((WEEKDAY(E$3,2)*2-1)+IF(E479="Morning",0,1)),D479))),IF(INDEX(final_duration_tertiary,((WEEKDAY(E$3,2)*2-1)+IF(E479="Morning",0,1)),D479)=0,"","
3. "),
IF(INDEX(final_duration_tertiary,((WEEKDAY(E$3,2)*2-1)+IF(E479="Morning",0,1)),D479)="","",INDEX(sessions_description_tertiary,,INDEX(plan_session_allocation,((WEEKDAY(E$3,2)*2-1)+IF(E479="Morning",0,1)),D479))),
IF(INDEX(display_nutrition_description,((WEEKDAY(E$3,2)*2-1)+IF(E479="Morning",0,1)),D479)="","",
CONCATENATE("
Meal Plan: ", INDEX(sessions_nutrition,,INDEX(plan_session_allocation,((WEEKDAY(E$3,2)*2-1)+IF(E479="Morning",0,1)),D479)), "
", INDEX(display_nutrition_description,((WEEKDAY(E$3,2)*2-1)+IF(E479="Morning",0,1)),D479)))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485" s="1914"/>
      <c r="F485" s="1914"/>
      <c r="G485" s="1915"/>
      <c r="H485" s="177"/>
      <c r="I485" s="1913" t="str">
        <f ca="1">IF(L479&gt;0,CONCATENATE(IFERROR(CONCATENATE(IF(INDEX(display_intervals_breakdown,((WEEKDAY(J$3,2)*2-1)+IF(J479="Morning",0,1)),I479)="","",CONCATENATE("Intervals/Reps Breakdown: 
",INDEX(display_intervals_breakdown,((WEEKDAY(J$3,2)*2-1)+IF(J479="Morning",0,1)),I479),"
")),"Session Description: 
",CONCATENATE(IF(INDEX(final_duration_secondary,((WEEKDAY(J$3,2)*2-1)+IF(J479="Morning",0,1)),I479)=0,"","1. "),
INDEX(sessions_description_primary,,INDEX(plan_session_allocation,((WEEKDAY(J$3,2)*2-1)+IF(J479="Morning",0,1)),I479)),IF(INDEX(final_duration_secondary,((WEEKDAY(J$3,2)*2-1)+IF(J479="Morning",0,1)),I479)=0,"","
2. "),
IF(INDEX(final_duration_secondary,((WEEKDAY(J$3,2)*2-1)+IF(J479="Morning",0,1)),I479)=0,"",INDEX(sessions_description_secondary,,INDEX(plan_session_allocation,((WEEKDAY(J$3,2)*2-1)+IF(J479="Morning",0,1)),I479))),IF(INDEX(final_duration_tertiary,((WEEKDAY(J$3,2)*2-1)+IF(J479="Morning",0,1)),I479)=0,"","
3. "),
IF(INDEX(final_duration_tertiary,((WEEKDAY(J$3,2)*2-1)+IF(J479="Morning",0,1)),I479)="","",INDEX(sessions_description_tertiary,,INDEX(plan_session_allocation,((WEEKDAY(J$3,2)*2-1)+IF(J479="Morning",0,1)),I479))),
IF(INDEX(display_nutrition_description,((WEEKDAY(J$3,2)*2-1)+IF(J479="Morning",0,1)),I479)="","",
CONCATENATE("
Meal Plan: ", INDEX(sessions_nutrition,,INDEX(plan_session_allocation,((WEEKDAY(J$3,2)*2-1)+IF(J479="Morning",0,1)),I479)), "
", INDEX(display_nutrition_description,((WEEKDAY(J$3,2)*2-1)+IF(J479="Morning",0,1)),I479)))
)),"")),"")</f>
        <v>Session Description: 
Accelerate to a fast pace which you should be able to hold for 50 minutes in a race situation. This will take concentration, but it's important to keep the intensity even, so do not start too hard. Warm up and warm down for 10 minutes each.</v>
      </c>
      <c r="J485" s="1914"/>
      <c r="K485" s="1914"/>
      <c r="L485" s="1915"/>
      <c r="M485" s="177"/>
      <c r="N485" s="1913" t="str">
        <f ca="1">IF(Q479&gt;0,CONCATENATE(IFERROR(CONCATENATE(IF(INDEX(display_intervals_breakdown,((WEEKDAY(O$3,2)*2-1)+IF(O479="Morning",0,1)),N479)="","",CONCATENATE("Intervals/Reps Breakdown: 
",INDEX(display_intervals_breakdown,((WEEKDAY(O$3,2)*2-1)+IF(O479="Morning",0,1)),N479),"
")),"Session Description: 
",CONCATENATE(IF(INDEX(final_duration_secondary,((WEEKDAY(O$3,2)*2-1)+IF(O479="Morning",0,1)),N479)=0,"","1. "),
INDEX(sessions_description_primary,,INDEX(plan_session_allocation,((WEEKDAY(O$3,2)*2-1)+IF(O479="Morning",0,1)),N479)),IF(INDEX(final_duration_secondary,((WEEKDAY(O$3,2)*2-1)+IF(O479="Morning",0,1)),N479)=0,"","
2. "),
IF(INDEX(final_duration_secondary,((WEEKDAY(O$3,2)*2-1)+IF(O479="Morning",0,1)),N479)=0,"",INDEX(sessions_description_secondary,,INDEX(plan_session_allocation,((WEEKDAY(O$3,2)*2-1)+IF(O479="Morning",0,1)),N479))),IF(INDEX(final_duration_tertiary,((WEEKDAY(O$3,2)*2-1)+IF(O479="Morning",0,1)),N479)=0,"","
3. "),
IF(INDEX(final_duration_tertiary,((WEEKDAY(O$3,2)*2-1)+IF(O479="Morning",0,1)),N479)="","",INDEX(sessions_description_tertiary,,INDEX(plan_session_allocation,((WEEKDAY(O$3,2)*2-1)+IF(O479="Morning",0,1)),N479))),
IF(INDEX(display_nutrition_description,((WEEKDAY(O$3,2)*2-1)+IF(O479="Morning",0,1)),N479)="","",
CONCATENATE("
Meal Plan: ", INDEX(sessions_nutrition,,INDEX(plan_session_allocation,((WEEKDAY(O$3,2)*2-1)+IF(O479="Morning",0,1)),N479)), "
", INDEX(display_nutrition_description,((WEEKDAY(O$3,2)*2-1)+IF(O479="Morning",0,1)),N479)))
)),"")),"")</f>
        <v>Session Description: 
Stay at a comfortable and controlled intensity where you should be able to have a conversation without large pauses. Keep an even intensity and accept that your pace may change as the terrain changes.</v>
      </c>
      <c r="O485" s="1914"/>
      <c r="P485" s="1914"/>
      <c r="Q485" s="1915"/>
      <c r="R485" s="177"/>
      <c r="S485" s="1913" t="str">
        <f ca="1">IF(V479&gt;0,CONCATENATE(IFERROR(CONCATENATE(IF(INDEX(display_intervals_breakdown,((WEEKDAY(T$3,2)*2-1)+IF(T479="Morning",0,1)),S479)="","",CONCATENATE("Intervals/Reps Breakdown: 
",INDEX(display_intervals_breakdown,((WEEKDAY(T$3,2)*2-1)+IF(T479="Morning",0,1)),S479),"
")),"Session Description: 
",CONCATENATE(IF(INDEX(final_duration_secondary,((WEEKDAY(T$3,2)*2-1)+IF(T479="Morning",0,1)),S479)=0,"","1. "),
INDEX(sessions_description_primary,,INDEX(plan_session_allocation,((WEEKDAY(T$3,2)*2-1)+IF(T479="Morning",0,1)),S479)),IF(INDEX(final_duration_secondary,((WEEKDAY(T$3,2)*2-1)+IF(T479="Morning",0,1)),S479)=0,"","
2. "),
IF(INDEX(final_duration_secondary,((WEEKDAY(T$3,2)*2-1)+IF(T479="Morning",0,1)),S479)=0,"",INDEX(sessions_description_secondary,,INDEX(plan_session_allocation,((WEEKDAY(T$3,2)*2-1)+IF(T479="Morning",0,1)),S479))),IF(INDEX(final_duration_tertiary,((WEEKDAY(T$3,2)*2-1)+IF(T479="Morning",0,1)),S479)=0,"","
3. "),
IF(INDEX(final_duration_tertiary,((WEEKDAY(T$3,2)*2-1)+IF(T479="Morning",0,1)),S479)="","",INDEX(sessions_description_tertiary,,INDEX(plan_session_allocation,((WEEKDAY(T$3,2)*2-1)+IF(T479="Morning",0,1)),S479))),
IF(INDEX(display_nutrition_description,((WEEKDAY(T$3,2)*2-1)+IF(T479="Morning",0,1)),S479)="","",
CONCATENATE("
Meal Plan: ", INDEX(sessions_nutrition,,INDEX(plan_session_allocation,((WEEKDAY(T$3,2)*2-1)+IF(T479="Morning",0,1)),S479)), "
", INDEX(display_nutrition_description,((WEEKDAY(T$3,2)*2-1)+IF(T479="Morning",0,1)),S479)))
)),"")),"")</f>
        <v/>
      </c>
      <c r="T485" s="1914"/>
      <c r="U485" s="1914"/>
      <c r="V485" s="1915"/>
      <c r="W485" s="177"/>
      <c r="X485" s="1913" t="str">
        <f ca="1">IF(AA479&gt;0,CONCATENATE(IFERROR(CONCATENATE(IF(INDEX(display_intervals_breakdown,((WEEKDAY(Y$3,2)*2-1)+IF(Y479="Morning",0,1)),X479)="","",CONCATENATE("Intervals/Reps Breakdown: 
",INDEX(display_intervals_breakdown,((WEEKDAY(Y$3,2)*2-1)+IF(Y479="Morning",0,1)),X479),"
")),"Session Description: 
",CONCATENATE(IF(INDEX(final_duration_secondary,((WEEKDAY(Y$3,2)*2-1)+IF(Y479="Morning",0,1)),X479)=0,"","1. "),
INDEX(sessions_description_primary,,INDEX(plan_session_allocation,((WEEKDAY(Y$3,2)*2-1)+IF(Y479="Morning",0,1)),X479)),IF(INDEX(final_duration_secondary,((WEEKDAY(Y$3,2)*2-1)+IF(Y479="Morning",0,1)),X479)=0,"","
2. "),
IF(INDEX(final_duration_secondary,((WEEKDAY(Y$3,2)*2-1)+IF(Y479="Morning",0,1)),X479)=0,"",INDEX(sessions_description_secondary,,INDEX(plan_session_allocation,((WEEKDAY(Y$3,2)*2-1)+IF(Y479="Morning",0,1)),X479))),IF(INDEX(final_duration_tertiary,((WEEKDAY(Y$3,2)*2-1)+IF(Y479="Morning",0,1)),X479)=0,"","
3. "),
IF(INDEX(final_duration_tertiary,((WEEKDAY(Y$3,2)*2-1)+IF(Y479="Morning",0,1)),X479)="","",INDEX(sessions_description_tertiary,,INDEX(plan_session_allocation,((WEEKDAY(Y$3,2)*2-1)+IF(Y479="Morning",0,1)),X479))),
IF(INDEX(display_nutrition_description,((WEEKDAY(Y$3,2)*2-1)+IF(Y479="Morning",0,1)),X479)="","",
CONCATENATE("
Meal Plan: ", INDEX(sessions_nutrition,,INDEX(plan_session_allocation,((WEEKDAY(Y$3,2)*2-1)+IF(Y479="Morning",0,1)),X479)), "
", INDEX(display_nutrition_description,((WEEKDAY(Y$3,2)*2-1)+IF(Y479="Morning",0,1)),X479)))
)),"")),"")</f>
        <v/>
      </c>
      <c r="Y485" s="1914"/>
      <c r="Z485" s="1914"/>
      <c r="AA485" s="1915"/>
      <c r="AB485" s="177"/>
      <c r="AC485" s="1913" t="str">
        <f ca="1">IF(AF479&gt;0,CONCATENATE(IFERROR(CONCATENATE(IF(INDEX(display_intervals_breakdown,((WEEKDAY(AD$3,2)*2-1)+IF(AD479="Morning",0,1)),AC479)="","",CONCATENATE("Intervals/Reps Breakdown: 
",INDEX(display_intervals_breakdown,((WEEKDAY(AD$3,2)*2-1)+IF(AD479="Morning",0,1)),AC479),"
")),"Session Description: 
",CONCATENATE(IF(INDEX(final_duration_secondary,((WEEKDAY(AD$3,2)*2-1)+IF(AD479="Morning",0,1)),AC479)=0,"","1. "),
INDEX(sessions_description_primary,,INDEX(plan_session_allocation,((WEEKDAY(AD$3,2)*2-1)+IF(AD479="Morning",0,1)),AC479)),IF(INDEX(final_duration_secondary,((WEEKDAY(AD$3,2)*2-1)+IF(AD479="Morning",0,1)),AC479)=0,"","
2. "),
IF(INDEX(final_duration_secondary,((WEEKDAY(AD$3,2)*2-1)+IF(AD479="Morning",0,1)),AC479)=0,"",INDEX(sessions_description_secondary,,INDEX(plan_session_allocation,((WEEKDAY(AD$3,2)*2-1)+IF(AD479="Morning",0,1)),AC479))),IF(INDEX(final_duration_tertiary,((WEEKDAY(AD$3,2)*2-1)+IF(AD479="Morning",0,1)),AC479)=0,"","
3. "),
IF(INDEX(final_duration_tertiary,((WEEKDAY(AD$3,2)*2-1)+IF(AD479="Morning",0,1)),AC479)="","",INDEX(sessions_description_tertiary,,INDEX(plan_session_allocation,((WEEKDAY(AD$3,2)*2-1)+IF(AD479="Morning",0,1)),AC479))),
IF(INDEX(display_nutrition_description,((WEEKDAY(AD$3,2)*2-1)+IF(AD479="Morning",0,1)),AC479)="","",
CONCATENATE("
Meal Plan: ", INDEX(sessions_nutrition,,INDEX(plan_session_allocation,((WEEKDAY(AD$3,2)*2-1)+IF(AD479="Morning",0,1)),AC479)), "
", INDEX(display_nutrition_description,((WEEKDAY(AD$3,2)*2-1)+IF(AD479="Morning",0,1)),AC479)))
)),"")),"")</f>
        <v/>
      </c>
      <c r="AD485" s="1914"/>
      <c r="AE485" s="1914"/>
      <c r="AF485" s="1915"/>
      <c r="AG485" s="177"/>
      <c r="AH485" s="1913" t="str">
        <f ca="1">IF(AK479&gt;0,CONCATENATE(IFERROR(CONCATENATE(IF(INDEX(display_intervals_breakdown,((WEEKDAY(AI$3,2)*2-1)+IF(AI479="Morning",0,1)),AH479)="","",CONCATENATE("Intervals/Reps Breakdown: 
",INDEX(display_intervals_breakdown,((WEEKDAY(AI$3,2)*2-1)+IF(AI479="Morning",0,1)),AH479),"
")),"Session Description: 
",CONCATENATE(IF(INDEX(final_duration_secondary,((WEEKDAY(AI$3,2)*2-1)+IF(AI479="Morning",0,1)),AH479)=0,"","1. "),
INDEX(sessions_description_primary,,INDEX(plan_session_allocation,((WEEKDAY(AI$3,2)*2-1)+IF(AI479="Morning",0,1)),AH479)),IF(INDEX(final_duration_secondary,((WEEKDAY(AI$3,2)*2-1)+IF(AI479="Morning",0,1)),AH479)=0,"","
2. "),
IF(INDEX(final_duration_secondary,((WEEKDAY(AI$3,2)*2-1)+IF(AI479="Morning",0,1)),AH479)=0,"",INDEX(sessions_description_secondary,,INDEX(plan_session_allocation,((WEEKDAY(AI$3,2)*2-1)+IF(AI479="Morning",0,1)),AH479))),IF(INDEX(final_duration_tertiary,((WEEKDAY(AI$3,2)*2-1)+IF(AI479="Morning",0,1)),AH479)=0,"","
3. "),
IF(INDEX(final_duration_tertiary,((WEEKDAY(AI$3,2)*2-1)+IF(AI479="Morning",0,1)),AH479)="","",INDEX(sessions_description_tertiary,,INDEX(plan_session_allocation,((WEEKDAY(AI$3,2)*2-1)+IF(AI479="Morning",0,1)),AH479))),
IF(INDEX(display_nutrition_description,((WEEKDAY(AI$3,2)*2-1)+IF(AI479="Morning",0,1)),AH479)="","",
CONCATENATE("
Meal Plan: ", INDEX(sessions_nutrition,,INDEX(plan_session_allocation,((WEEKDAY(AI$3,2)*2-1)+IF(AI479="Morning",0,1)),AH479)), "
", INDEX(display_nutrition_description,((WEEKDAY(AI$3,2)*2-1)+IF(AI479="Morning",0,1)),AH479)))
)),"")),"")</f>
        <v/>
      </c>
      <c r="AI485" s="1914"/>
      <c r="AJ485" s="1914"/>
      <c r="AK485" s="1915"/>
      <c r="AL485" s="177"/>
    </row>
    <row r="486" spans="2:38" s="176" customFormat="1" ht="15" customHeight="1" x14ac:dyDescent="0.45">
      <c r="B486" s="1942"/>
      <c r="C486" s="1945"/>
      <c r="D486" s="1916"/>
      <c r="E486" s="1917"/>
      <c r="F486" s="1917"/>
      <c r="G486" s="1918"/>
      <c r="H486" s="177"/>
      <c r="I486" s="1916"/>
      <c r="J486" s="1917"/>
      <c r="K486" s="1917"/>
      <c r="L486" s="1918"/>
      <c r="M486" s="177"/>
      <c r="N486" s="1916"/>
      <c r="O486" s="1917"/>
      <c r="P486" s="1917"/>
      <c r="Q486" s="1918"/>
      <c r="R486" s="177"/>
      <c r="S486" s="1916"/>
      <c r="T486" s="1917"/>
      <c r="U486" s="1917"/>
      <c r="V486" s="1918"/>
      <c r="W486" s="177"/>
      <c r="X486" s="1916"/>
      <c r="Y486" s="1917"/>
      <c r="Z486" s="1917"/>
      <c r="AA486" s="1918"/>
      <c r="AB486" s="177"/>
      <c r="AC486" s="1916"/>
      <c r="AD486" s="1917"/>
      <c r="AE486" s="1917"/>
      <c r="AF486" s="1918"/>
      <c r="AG486" s="177"/>
      <c r="AH486" s="1916"/>
      <c r="AI486" s="1917"/>
      <c r="AJ486" s="1917"/>
      <c r="AK486" s="1918"/>
      <c r="AL486" s="177"/>
    </row>
    <row r="487" spans="2:38" s="176" customFormat="1" ht="15" customHeight="1" x14ac:dyDescent="0.45">
      <c r="B487" s="1942"/>
      <c r="C487" s="1945"/>
      <c r="D487" s="1916"/>
      <c r="E487" s="1917"/>
      <c r="F487" s="1917"/>
      <c r="G487" s="1918"/>
      <c r="H487" s="177"/>
      <c r="I487" s="1916"/>
      <c r="J487" s="1917"/>
      <c r="K487" s="1917"/>
      <c r="L487" s="1918"/>
      <c r="M487" s="177"/>
      <c r="N487" s="1916"/>
      <c r="O487" s="1917"/>
      <c r="P487" s="1917"/>
      <c r="Q487" s="1918"/>
      <c r="R487" s="177"/>
      <c r="S487" s="1916"/>
      <c r="T487" s="1917"/>
      <c r="U487" s="1917"/>
      <c r="V487" s="1918"/>
      <c r="W487" s="177"/>
      <c r="X487" s="1916"/>
      <c r="Y487" s="1917"/>
      <c r="Z487" s="1917"/>
      <c r="AA487" s="1918"/>
      <c r="AB487" s="177"/>
      <c r="AC487" s="1916"/>
      <c r="AD487" s="1917"/>
      <c r="AE487" s="1917"/>
      <c r="AF487" s="1918"/>
      <c r="AG487" s="177"/>
      <c r="AH487" s="1916"/>
      <c r="AI487" s="1917"/>
      <c r="AJ487" s="1917"/>
      <c r="AK487" s="1918"/>
      <c r="AL487" s="177"/>
    </row>
    <row r="488" spans="2:38" s="176" customFormat="1" x14ac:dyDescent="0.45">
      <c r="B488" s="1942"/>
      <c r="C488" s="1945"/>
      <c r="D488" s="1916"/>
      <c r="E488" s="1917"/>
      <c r="F488" s="1917"/>
      <c r="G488" s="1918"/>
      <c r="H488" s="177"/>
      <c r="I488" s="1916"/>
      <c r="J488" s="1917"/>
      <c r="K488" s="1917"/>
      <c r="L488" s="1918"/>
      <c r="M488" s="177"/>
      <c r="N488" s="1916"/>
      <c r="O488" s="1917"/>
      <c r="P488" s="1917"/>
      <c r="Q488" s="1918"/>
      <c r="R488" s="177"/>
      <c r="S488" s="1916"/>
      <c r="T488" s="1917"/>
      <c r="U488" s="1917"/>
      <c r="V488" s="1918"/>
      <c r="W488" s="177"/>
      <c r="X488" s="1916"/>
      <c r="Y488" s="1917"/>
      <c r="Z488" s="1917"/>
      <c r="AA488" s="1918"/>
      <c r="AB488" s="177"/>
      <c r="AC488" s="1916"/>
      <c r="AD488" s="1917"/>
      <c r="AE488" s="1917"/>
      <c r="AF488" s="1918"/>
      <c r="AG488" s="177"/>
      <c r="AH488" s="1916"/>
      <c r="AI488" s="1917"/>
      <c r="AJ488" s="1917"/>
      <c r="AK488" s="1918"/>
      <c r="AL488" s="177"/>
    </row>
    <row r="489" spans="2:38" s="176" customFormat="1" x14ac:dyDescent="0.45">
      <c r="B489" s="1942"/>
      <c r="C489" s="1945"/>
      <c r="D489" s="1916"/>
      <c r="E489" s="1917"/>
      <c r="F489" s="1917"/>
      <c r="G489" s="1918"/>
      <c r="H489" s="177"/>
      <c r="I489" s="1916"/>
      <c r="J489" s="1917"/>
      <c r="K489" s="1917"/>
      <c r="L489" s="1918"/>
      <c r="M489" s="177"/>
      <c r="N489" s="1916"/>
      <c r="O489" s="1917"/>
      <c r="P489" s="1917"/>
      <c r="Q489" s="1918"/>
      <c r="R489" s="177"/>
      <c r="S489" s="1916"/>
      <c r="T489" s="1917"/>
      <c r="U489" s="1917"/>
      <c r="V489" s="1918"/>
      <c r="W489" s="177"/>
      <c r="X489" s="1916"/>
      <c r="Y489" s="1917"/>
      <c r="Z489" s="1917"/>
      <c r="AA489" s="1918"/>
      <c r="AB489" s="177"/>
      <c r="AC489" s="1916"/>
      <c r="AD489" s="1917"/>
      <c r="AE489" s="1917"/>
      <c r="AF489" s="1918"/>
      <c r="AG489" s="177"/>
      <c r="AH489" s="1916"/>
      <c r="AI489" s="1917"/>
      <c r="AJ489" s="1917"/>
      <c r="AK489" s="1918"/>
      <c r="AL489" s="177"/>
    </row>
    <row r="490" spans="2:38" s="176" customFormat="1" x14ac:dyDescent="0.45">
      <c r="B490" s="1942"/>
      <c r="C490" s="1945"/>
      <c r="D490" s="1916"/>
      <c r="E490" s="1917"/>
      <c r="F490" s="1917"/>
      <c r="G490" s="1918"/>
      <c r="H490" s="177"/>
      <c r="I490" s="1916"/>
      <c r="J490" s="1917"/>
      <c r="K490" s="1917"/>
      <c r="L490" s="1918"/>
      <c r="M490" s="177"/>
      <c r="N490" s="1916"/>
      <c r="O490" s="1917"/>
      <c r="P490" s="1917"/>
      <c r="Q490" s="1918"/>
      <c r="R490" s="177"/>
      <c r="S490" s="1916"/>
      <c r="T490" s="1917"/>
      <c r="U490" s="1917"/>
      <c r="V490" s="1918"/>
      <c r="W490" s="177"/>
      <c r="X490" s="1916"/>
      <c r="Y490" s="1917"/>
      <c r="Z490" s="1917"/>
      <c r="AA490" s="1918"/>
      <c r="AB490" s="177"/>
      <c r="AC490" s="1916"/>
      <c r="AD490" s="1917"/>
      <c r="AE490" s="1917"/>
      <c r="AF490" s="1918"/>
      <c r="AG490" s="177"/>
      <c r="AH490" s="1916"/>
      <c r="AI490" s="1917"/>
      <c r="AJ490" s="1917"/>
      <c r="AK490" s="1918"/>
      <c r="AL490" s="177"/>
    </row>
    <row r="491" spans="2:38" s="176" customFormat="1" ht="15" customHeight="1" x14ac:dyDescent="0.45">
      <c r="B491" s="1942"/>
      <c r="C491" s="1945"/>
      <c r="D491" s="1916"/>
      <c r="E491" s="1917"/>
      <c r="F491" s="1917"/>
      <c r="G491" s="1918"/>
      <c r="H491" s="177"/>
      <c r="I491" s="1916"/>
      <c r="J491" s="1917"/>
      <c r="K491" s="1917"/>
      <c r="L491" s="1918"/>
      <c r="M491" s="177"/>
      <c r="N491" s="1916"/>
      <c r="O491" s="1917"/>
      <c r="P491" s="1917"/>
      <c r="Q491" s="1918"/>
      <c r="R491" s="177"/>
      <c r="S491" s="1916"/>
      <c r="T491" s="1917"/>
      <c r="U491" s="1917"/>
      <c r="V491" s="1918"/>
      <c r="W491" s="177"/>
      <c r="X491" s="1916"/>
      <c r="Y491" s="1917"/>
      <c r="Z491" s="1917"/>
      <c r="AA491" s="1918"/>
      <c r="AB491" s="177"/>
      <c r="AC491" s="1916"/>
      <c r="AD491" s="1917"/>
      <c r="AE491" s="1917"/>
      <c r="AF491" s="1918"/>
      <c r="AG491" s="177"/>
      <c r="AH491" s="1916"/>
      <c r="AI491" s="1917"/>
      <c r="AJ491" s="1917"/>
      <c r="AK491" s="1918"/>
      <c r="AL491" s="177"/>
    </row>
    <row r="492" spans="2:38" s="176" customFormat="1" ht="15" customHeight="1" x14ac:dyDescent="0.45">
      <c r="B492" s="1942"/>
      <c r="C492" s="1945"/>
      <c r="D492" s="1916"/>
      <c r="E492" s="1917"/>
      <c r="F492" s="1917"/>
      <c r="G492" s="1918"/>
      <c r="H492" s="177"/>
      <c r="I492" s="1916"/>
      <c r="J492" s="1917"/>
      <c r="K492" s="1917"/>
      <c r="L492" s="1918"/>
      <c r="M492" s="177"/>
      <c r="N492" s="1916"/>
      <c r="O492" s="1917"/>
      <c r="P492" s="1917"/>
      <c r="Q492" s="1918"/>
      <c r="R492" s="177"/>
      <c r="S492" s="1916"/>
      <c r="T492" s="1917"/>
      <c r="U492" s="1917"/>
      <c r="V492" s="1918"/>
      <c r="W492" s="177"/>
      <c r="X492" s="1916"/>
      <c r="Y492" s="1917"/>
      <c r="Z492" s="1917"/>
      <c r="AA492" s="1918"/>
      <c r="AB492" s="177"/>
      <c r="AC492" s="1916"/>
      <c r="AD492" s="1917"/>
      <c r="AE492" s="1917"/>
      <c r="AF492" s="1918"/>
      <c r="AG492" s="177"/>
      <c r="AH492" s="1916"/>
      <c r="AI492" s="1917"/>
      <c r="AJ492" s="1917"/>
      <c r="AK492" s="1918"/>
      <c r="AL492" s="177"/>
    </row>
    <row r="493" spans="2:38" s="176" customFormat="1" x14ac:dyDescent="0.45">
      <c r="B493" s="1942"/>
      <c r="C493" s="1945"/>
      <c r="D493" s="1916"/>
      <c r="E493" s="1917"/>
      <c r="F493" s="1917"/>
      <c r="G493" s="1918"/>
      <c r="H493" s="177"/>
      <c r="I493" s="1916"/>
      <c r="J493" s="1917"/>
      <c r="K493" s="1917"/>
      <c r="L493" s="1918"/>
      <c r="M493" s="177"/>
      <c r="N493" s="1916"/>
      <c r="O493" s="1917"/>
      <c r="P493" s="1917"/>
      <c r="Q493" s="1918"/>
      <c r="R493" s="177"/>
      <c r="S493" s="1916"/>
      <c r="T493" s="1917"/>
      <c r="U493" s="1917"/>
      <c r="V493" s="1918"/>
      <c r="W493" s="177"/>
      <c r="X493" s="1916"/>
      <c r="Y493" s="1917"/>
      <c r="Z493" s="1917"/>
      <c r="AA493" s="1918"/>
      <c r="AB493" s="177"/>
      <c r="AC493" s="1916"/>
      <c r="AD493" s="1917"/>
      <c r="AE493" s="1917"/>
      <c r="AF493" s="1918"/>
      <c r="AG493" s="177"/>
      <c r="AH493" s="1916"/>
      <c r="AI493" s="1917"/>
      <c r="AJ493" s="1917"/>
      <c r="AK493" s="1918"/>
      <c r="AL493" s="177"/>
    </row>
    <row r="494" spans="2:38" s="176" customFormat="1" x14ac:dyDescent="0.45">
      <c r="B494" s="1942"/>
      <c r="C494" s="1945"/>
      <c r="D494" s="1916"/>
      <c r="E494" s="1917"/>
      <c r="F494" s="1917"/>
      <c r="G494" s="1918"/>
      <c r="H494" s="177"/>
      <c r="I494" s="1916"/>
      <c r="J494" s="1917"/>
      <c r="K494" s="1917"/>
      <c r="L494" s="1918"/>
      <c r="M494" s="177"/>
      <c r="N494" s="1916"/>
      <c r="O494" s="1917"/>
      <c r="P494" s="1917"/>
      <c r="Q494" s="1918"/>
      <c r="R494" s="177"/>
      <c r="S494" s="1916"/>
      <c r="T494" s="1917"/>
      <c r="U494" s="1917"/>
      <c r="V494" s="1918"/>
      <c r="W494" s="177"/>
      <c r="X494" s="1916"/>
      <c r="Y494" s="1917"/>
      <c r="Z494" s="1917"/>
      <c r="AA494" s="1918"/>
      <c r="AB494" s="177"/>
      <c r="AC494" s="1916"/>
      <c r="AD494" s="1917"/>
      <c r="AE494" s="1917"/>
      <c r="AF494" s="1918"/>
      <c r="AG494" s="177"/>
      <c r="AH494" s="1916"/>
      <c r="AI494" s="1917"/>
      <c r="AJ494" s="1917"/>
      <c r="AK494" s="1918"/>
      <c r="AL494" s="177"/>
    </row>
    <row r="495" spans="2:38" s="176" customFormat="1" x14ac:dyDescent="0.45">
      <c r="B495" s="1942"/>
      <c r="C495" s="1945"/>
      <c r="D495" s="1916"/>
      <c r="E495" s="1917"/>
      <c r="F495" s="1917"/>
      <c r="G495" s="1918"/>
      <c r="H495" s="177"/>
      <c r="I495" s="1916"/>
      <c r="J495" s="1917"/>
      <c r="K495" s="1917"/>
      <c r="L495" s="1918"/>
      <c r="M495" s="177"/>
      <c r="N495" s="1916"/>
      <c r="O495" s="1917"/>
      <c r="P495" s="1917"/>
      <c r="Q495" s="1918"/>
      <c r="R495" s="177"/>
      <c r="S495" s="1916"/>
      <c r="T495" s="1917"/>
      <c r="U495" s="1917"/>
      <c r="V495" s="1918"/>
      <c r="W495" s="177"/>
      <c r="X495" s="1916"/>
      <c r="Y495" s="1917"/>
      <c r="Z495" s="1917"/>
      <c r="AA495" s="1918"/>
      <c r="AB495" s="177"/>
      <c r="AC495" s="1916"/>
      <c r="AD495" s="1917"/>
      <c r="AE495" s="1917"/>
      <c r="AF495" s="1918"/>
      <c r="AG495" s="177"/>
      <c r="AH495" s="1916"/>
      <c r="AI495" s="1917"/>
      <c r="AJ495" s="1917"/>
      <c r="AK495" s="1918"/>
      <c r="AL495" s="177"/>
    </row>
    <row r="496" spans="2:38" s="176" customFormat="1" x14ac:dyDescent="0.45">
      <c r="B496" s="1942"/>
      <c r="C496" s="1945"/>
      <c r="D496" s="1916"/>
      <c r="E496" s="1917"/>
      <c r="F496" s="1917"/>
      <c r="G496" s="1918"/>
      <c r="H496" s="177"/>
      <c r="I496" s="1916"/>
      <c r="J496" s="1917"/>
      <c r="K496" s="1917"/>
      <c r="L496" s="1918"/>
      <c r="M496" s="177"/>
      <c r="N496" s="1916"/>
      <c r="O496" s="1917"/>
      <c r="P496" s="1917"/>
      <c r="Q496" s="1918"/>
      <c r="R496" s="177"/>
      <c r="S496" s="1916"/>
      <c r="T496" s="1917"/>
      <c r="U496" s="1917"/>
      <c r="V496" s="1918"/>
      <c r="W496" s="177"/>
      <c r="X496" s="1916"/>
      <c r="Y496" s="1917"/>
      <c r="Z496" s="1917"/>
      <c r="AA496" s="1918"/>
      <c r="AB496" s="177"/>
      <c r="AC496" s="1916"/>
      <c r="AD496" s="1917"/>
      <c r="AE496" s="1917"/>
      <c r="AF496" s="1918"/>
      <c r="AG496" s="177"/>
      <c r="AH496" s="1916"/>
      <c r="AI496" s="1917"/>
      <c r="AJ496" s="1917"/>
      <c r="AK496" s="1918"/>
      <c r="AL496" s="177"/>
    </row>
    <row r="497" spans="2:38" s="176" customFormat="1" x14ac:dyDescent="0.45">
      <c r="B497" s="1942"/>
      <c r="C497" s="1945"/>
      <c r="D497" s="1916"/>
      <c r="E497" s="1917"/>
      <c r="F497" s="1917"/>
      <c r="G497" s="1918"/>
      <c r="H497" s="177"/>
      <c r="I497" s="1916"/>
      <c r="J497" s="1917"/>
      <c r="K497" s="1917"/>
      <c r="L497" s="1918"/>
      <c r="M497" s="177"/>
      <c r="N497" s="1916"/>
      <c r="O497" s="1917"/>
      <c r="P497" s="1917"/>
      <c r="Q497" s="1918"/>
      <c r="R497" s="177"/>
      <c r="S497" s="1916"/>
      <c r="T497" s="1917"/>
      <c r="U497" s="1917"/>
      <c r="V497" s="1918"/>
      <c r="W497" s="177"/>
      <c r="X497" s="1916"/>
      <c r="Y497" s="1917"/>
      <c r="Z497" s="1917"/>
      <c r="AA497" s="1918"/>
      <c r="AB497" s="177"/>
      <c r="AC497" s="1916"/>
      <c r="AD497" s="1917"/>
      <c r="AE497" s="1917"/>
      <c r="AF497" s="1918"/>
      <c r="AG497" s="177"/>
      <c r="AH497" s="1916"/>
      <c r="AI497" s="1917"/>
      <c r="AJ497" s="1917"/>
      <c r="AK497" s="1918"/>
      <c r="AL497" s="177"/>
    </row>
    <row r="498" spans="2:38" s="176" customFormat="1" ht="15" customHeight="1" x14ac:dyDescent="0.45">
      <c r="B498" s="1942"/>
      <c r="C498" s="1945"/>
      <c r="D498" s="1919"/>
      <c r="E498" s="1920"/>
      <c r="F498" s="1920"/>
      <c r="G498" s="1921"/>
      <c r="H498" s="177"/>
      <c r="I498" s="1919"/>
      <c r="J498" s="1920"/>
      <c r="K498" s="1920"/>
      <c r="L498" s="1921"/>
      <c r="M498" s="177"/>
      <c r="N498" s="1919"/>
      <c r="O498" s="1920"/>
      <c r="P498" s="1920"/>
      <c r="Q498" s="1921"/>
      <c r="R498" s="177"/>
      <c r="S498" s="1919"/>
      <c r="T498" s="1920"/>
      <c r="U498" s="1920"/>
      <c r="V498" s="1921"/>
      <c r="W498" s="177"/>
      <c r="X498" s="1919"/>
      <c r="Y498" s="1920"/>
      <c r="Z498" s="1920"/>
      <c r="AA498" s="1921"/>
      <c r="AB498" s="177"/>
      <c r="AC498" s="1919"/>
      <c r="AD498" s="1920"/>
      <c r="AE498" s="1920"/>
      <c r="AF498" s="1921"/>
      <c r="AG498" s="177"/>
      <c r="AH498" s="1919"/>
      <c r="AI498" s="1920"/>
      <c r="AJ498" s="1920"/>
      <c r="AK498" s="1921"/>
      <c r="AL498" s="177"/>
    </row>
    <row r="499" spans="2:38" s="176" customFormat="1" ht="15" customHeight="1" x14ac:dyDescent="0.45">
      <c r="B499" s="1942"/>
      <c r="C499" s="1945"/>
      <c r="D499" s="1913" t="str">
        <f ca="1">IF(G479&gt;0,CONCATENATE("Session Aim: 
", CONCATENATE(IF(INDEX(final_duration_secondary,((WEEKDAY(E$3,2)*2-1)+IF(E479="Morning",0,1)),D479)=0, "", "1. "),
INDEX(sessions_aim_primary,, INDEX(plan_session_allocation,((WEEKDAY(E$3,2)*2-1)+IF(E479="Morning",0,1)),D479)), IF(INDEX(final_duration_secondary,((WEEKDAY(E$3,2)*2-1)+IF(E479="Morning",0,1)),D479)=0, "", "
2. "),
IF(INDEX(final_duration_secondary,((WEEKDAY(E$3,2)*2-1)+IF(E479="Morning",0,1)),D479)=0, "", INDEX(sessions_aim_secondary,, INDEX(plan_session_allocation,((WEEKDAY(E$3,2)*2-1)+IF(E479="Morning",0,1)),D479))), IF(INDEX(final_duration_tertiary,((WEEKDAY(E$3,2)*2-1)+IF(E479="Morning",0,1)),D479)=0, "", "
3. "),
IF(INDEX(final_duration_tertiary,((WEEKDAY(E$3,2)*2-1)+IF(E479="Morning",0,1)),D479)=0, "", INDEX(sessions_aim_tertiary,, INDEX(plan_session_allocation,((WEEKDAY(E$3,2)*2-1)+IF(E479="Morning",0,1)),D479))),
IF(INDEX(display_nutrition_description,((WEEKDAY(E$3,2)*2-1)+IF(E479="Morning",0,1)),D479)="","",
CONCATENATE("
Nutrition Aim:
", INDEX(sessions_aim_nutrition,,INDEX(plan_session_allocation,((WEEKDAY(E$3,2)*2-1)+IF(E479="Morning",0,1)),D479))
))
)),"")</f>
        <v xml:space="preserve">Session Aim: 
1. Increase strength of specific muscle groups, running economy and injury resistance. 
2. Release tension that develops in soft tissue from training and non-training stresses. </v>
      </c>
      <c r="E499" s="1914"/>
      <c r="F499" s="1914"/>
      <c r="G499" s="1915"/>
      <c r="H499" s="177"/>
      <c r="I499" s="1913" t="str">
        <f ca="1">IF(L479&gt;0,CONCATENATE("Session Aim: 
", CONCATENATE(IF(INDEX(final_duration_secondary,((WEEKDAY(J$3,2)*2-1)+IF(J479="Morning",0,1)),I479)=0, "", "1. "),
INDEX(sessions_aim_primary,, INDEX(plan_session_allocation,((WEEKDAY(J$3,2)*2-1)+IF(J479="Morning",0,1)),I479)), IF(INDEX(final_duration_secondary,((WEEKDAY(J$3,2)*2-1)+IF(J479="Morning",0,1)),I479)=0, "", "
2. "),
IF(INDEX(final_duration_secondary,((WEEKDAY(J$3,2)*2-1)+IF(J479="Morning",0,1)),I479)=0, "", INDEX(sessions_aim_secondary,, INDEX(plan_session_allocation,((WEEKDAY(J$3,2)*2-1)+IF(J479="Morning",0,1)),I479))), IF(INDEX(final_duration_tertiary,((WEEKDAY(J$3,2)*2-1)+IF(J479="Morning",0,1)),I479)=0, "", "
3. "),
IF(INDEX(final_duration_tertiary,((WEEKDAY(J$3,2)*2-1)+IF(J479="Morning",0,1)),I479)=0, "", INDEX(sessions_aim_tertiary,, INDEX(plan_session_allocation,((WEEKDAY(J$3,2)*2-1)+IF(J479="Morning",0,1)),I479))),
IF(INDEX(display_nutrition_description,((WEEKDAY(J$3,2)*2-1)+IF(J479="Morning",0,1)),I479)="","",
CONCATENATE("
Nutrition Aim:
", INDEX(sessions_aim_nutrition,,INDEX(plan_session_allocation,((WEEKDAY(J$3,2)*2-1)+IF(J479="Morning",0,1)),I479))
))
)),"")</f>
        <v xml:space="preserve">Session Aim: 
Improve endurance by increasing lactate threshold and developing mental toughness. </v>
      </c>
      <c r="J499" s="1914"/>
      <c r="K499" s="1914"/>
      <c r="L499" s="1915"/>
      <c r="M499" s="177"/>
      <c r="N499" s="1913" t="str">
        <f ca="1">IF(Q479&gt;0,CONCATENATE("Session Aim: 
", CONCATENATE(IF(INDEX(final_duration_secondary,((WEEKDAY(O$3,2)*2-1)+IF(O479="Morning",0,1)),N479)=0, "", "1. "),
INDEX(sessions_aim_primary,, INDEX(plan_session_allocation,((WEEKDAY(O$3,2)*2-1)+IF(O479="Morning",0,1)),N479)), IF(INDEX(final_duration_secondary,((WEEKDAY(O$3,2)*2-1)+IF(O479="Morning",0,1)),N479)=0, "", "
2. "),
IF(INDEX(final_duration_secondary,((WEEKDAY(O$3,2)*2-1)+IF(O479="Morning",0,1)),N479)=0, "", INDEX(sessions_aim_secondary,, INDEX(plan_session_allocation,((WEEKDAY(O$3,2)*2-1)+IF(O479="Morning",0,1)),N479))), IF(INDEX(final_duration_tertiary,((WEEKDAY(O$3,2)*2-1)+IF(O479="Morning",0,1)),N479)=0, "", "
3. "),
IF(INDEX(final_duration_tertiary,((WEEKDAY(O$3,2)*2-1)+IF(O479="Morning",0,1)),N479)=0, "", INDEX(sessions_aim_tertiary,, INDEX(plan_session_allocation,((WEEKDAY(O$3,2)*2-1)+IF(O479="Morning",0,1)),N479))),
IF(INDEX(display_nutrition_description,((WEEKDAY(O$3,2)*2-1)+IF(O479="Morning",0,1)),N479)="","",
CONCATENATE("
Nutrition Aim:
", INDEX(sessions_aim_nutrition,,INDEX(plan_session_allocation,((WEEKDAY(O$3,2)*2-1)+IF(O479="Morning",0,1)),N479))
))
)),"")</f>
        <v xml:space="preserve">Session Aim: 
Improve aerobic fitness while minimising the chance of injury. </v>
      </c>
      <c r="O499" s="1914"/>
      <c r="P499" s="1914"/>
      <c r="Q499" s="1915"/>
      <c r="R499" s="177"/>
      <c r="S499" s="1913" t="str">
        <f ca="1">IF(V479&gt;0,CONCATENATE("Session Aim: 
", CONCATENATE(IF(INDEX(final_duration_secondary,((WEEKDAY(T$3,2)*2-1)+IF(T479="Morning",0,1)),S479)=0, "", "1. "),
INDEX(sessions_aim_primary,, INDEX(plan_session_allocation,((WEEKDAY(T$3,2)*2-1)+IF(T479="Morning",0,1)),S479)), IF(INDEX(final_duration_secondary,((WEEKDAY(T$3,2)*2-1)+IF(T479="Morning",0,1)),S479)=0, "", "
2. "),
IF(INDEX(final_duration_secondary,((WEEKDAY(T$3,2)*2-1)+IF(T479="Morning",0,1)),S479)=0, "", INDEX(sessions_aim_secondary,, INDEX(plan_session_allocation,((WEEKDAY(T$3,2)*2-1)+IF(T479="Morning",0,1)),S479))), IF(INDEX(final_duration_tertiary,((WEEKDAY(T$3,2)*2-1)+IF(T479="Morning",0,1)),S479)=0, "", "
3. "),
IF(INDEX(final_duration_tertiary,((WEEKDAY(T$3,2)*2-1)+IF(T479="Morning",0,1)),S479)=0, "", INDEX(sessions_aim_tertiary,, INDEX(plan_session_allocation,((WEEKDAY(T$3,2)*2-1)+IF(T479="Morning",0,1)),S479))),
IF(INDEX(display_nutrition_description,((WEEKDAY(T$3,2)*2-1)+IF(T479="Morning",0,1)),S479)="","",
CONCATENATE("
Nutrition Aim:
", INDEX(sessions_aim_nutrition,,INDEX(plan_session_allocation,((WEEKDAY(T$3,2)*2-1)+IF(T479="Morning",0,1)),S479))
))
)),"")</f>
        <v/>
      </c>
      <c r="T499" s="1914"/>
      <c r="U499" s="1914"/>
      <c r="V499" s="1915"/>
      <c r="W499" s="177"/>
      <c r="X499" s="1913" t="str">
        <f ca="1">IF(AA479&gt;0,CONCATENATE("Session Aim: 
", CONCATENATE(IF(INDEX(final_duration_secondary,((WEEKDAY(Y$3,2)*2-1)+IF(Y479="Morning",0,1)),X479)=0, "", "1. "),
INDEX(sessions_aim_primary,, INDEX(plan_session_allocation,((WEEKDAY(Y$3,2)*2-1)+IF(Y479="Morning",0,1)),X479)), IF(INDEX(final_duration_secondary,((WEEKDAY(Y$3,2)*2-1)+IF(Y479="Morning",0,1)),X479)=0, "", "
2. "),
IF(INDEX(final_duration_secondary,((WEEKDAY(Y$3,2)*2-1)+IF(Y479="Morning",0,1)),X479)=0, "", INDEX(sessions_aim_secondary,, INDEX(plan_session_allocation,((WEEKDAY(Y$3,2)*2-1)+IF(Y479="Morning",0,1)),X479))), IF(INDEX(final_duration_tertiary,((WEEKDAY(Y$3,2)*2-1)+IF(Y479="Morning",0,1)),X479)=0, "", "
3. "),
IF(INDEX(final_duration_tertiary,((WEEKDAY(Y$3,2)*2-1)+IF(Y479="Morning",0,1)),X479)=0, "", INDEX(sessions_aim_tertiary,, INDEX(plan_session_allocation,((WEEKDAY(Y$3,2)*2-1)+IF(Y479="Morning",0,1)),X479))),
IF(INDEX(display_nutrition_description,((WEEKDAY(Y$3,2)*2-1)+IF(Y479="Morning",0,1)),X479)="","",
CONCATENATE("
Nutrition Aim:
", INDEX(sessions_aim_nutrition,,INDEX(plan_session_allocation,((WEEKDAY(Y$3,2)*2-1)+IF(Y479="Morning",0,1)),X479))
))
)),"")</f>
        <v/>
      </c>
      <c r="Y499" s="1914"/>
      <c r="Z499" s="1914"/>
      <c r="AA499" s="1915"/>
      <c r="AB499" s="177"/>
      <c r="AC499" s="1913" t="str">
        <f ca="1">IF(AF479&gt;0,CONCATENATE("Session Aim: 
", CONCATENATE(IF(INDEX(final_duration_secondary,((WEEKDAY(AD$3,2)*2-1)+IF(AD479="Morning",0,1)),AC479)=0, "", "1. "),
INDEX(sessions_aim_primary,, INDEX(plan_session_allocation,((WEEKDAY(AD$3,2)*2-1)+IF(AD479="Morning",0,1)),AC479)), IF(INDEX(final_duration_secondary,((WEEKDAY(AD$3,2)*2-1)+IF(AD479="Morning",0,1)),AC479)=0, "", "
2. "),
IF(INDEX(final_duration_secondary,((WEEKDAY(AD$3,2)*2-1)+IF(AD479="Morning",0,1)),AC479)=0, "", INDEX(sessions_aim_secondary,, INDEX(plan_session_allocation,((WEEKDAY(AD$3,2)*2-1)+IF(AD479="Morning",0,1)),AC479))), IF(INDEX(final_duration_tertiary,((WEEKDAY(AD$3,2)*2-1)+IF(AD479="Morning",0,1)),AC479)=0, "", "
3. "),
IF(INDEX(final_duration_tertiary,((WEEKDAY(AD$3,2)*2-1)+IF(AD479="Morning",0,1)),AC479)=0, "", INDEX(sessions_aim_tertiary,, INDEX(plan_session_allocation,((WEEKDAY(AD$3,2)*2-1)+IF(AD479="Morning",0,1)),AC479))),
IF(INDEX(display_nutrition_description,((WEEKDAY(AD$3,2)*2-1)+IF(AD479="Morning",0,1)),AC479)="","",
CONCATENATE("
Nutrition Aim:
", INDEX(sessions_aim_nutrition,,INDEX(plan_session_allocation,((WEEKDAY(AD$3,2)*2-1)+IF(AD479="Morning",0,1)),AC479))
))
)),"")</f>
        <v/>
      </c>
      <c r="AD499" s="1914"/>
      <c r="AE499" s="1914"/>
      <c r="AF499" s="1915"/>
      <c r="AG499" s="177"/>
      <c r="AH499" s="1913" t="str">
        <f ca="1">IF(AK479&gt;0,CONCATENATE("Session Aim: 
", CONCATENATE(IF(INDEX(final_duration_secondary,((WEEKDAY(AI$3,2)*2-1)+IF(AI479="Morning",0,1)),AH479)=0, "", "1. "),
INDEX(sessions_aim_primary,, INDEX(plan_session_allocation,((WEEKDAY(AI$3,2)*2-1)+IF(AI479="Morning",0,1)),AH479)), IF(INDEX(final_duration_secondary,((WEEKDAY(AI$3,2)*2-1)+IF(AI479="Morning",0,1)),AH479)=0, "", "
2. "),
IF(INDEX(final_duration_secondary,((WEEKDAY(AI$3,2)*2-1)+IF(AI479="Morning",0,1)),AH479)=0, "", INDEX(sessions_aim_secondary,, INDEX(plan_session_allocation,((WEEKDAY(AI$3,2)*2-1)+IF(AI479="Morning",0,1)),AH479))), IF(INDEX(final_duration_tertiary,((WEEKDAY(AI$3,2)*2-1)+IF(AI479="Morning",0,1)),AH479)=0, "", "
3. "),
IF(INDEX(final_duration_tertiary,((WEEKDAY(AI$3,2)*2-1)+IF(AI479="Morning",0,1)),AH479)=0, "", INDEX(sessions_aim_tertiary,, INDEX(plan_session_allocation,((WEEKDAY(AI$3,2)*2-1)+IF(AI479="Morning",0,1)),AH479))),
IF(INDEX(display_nutrition_description,((WEEKDAY(AI$3,2)*2-1)+IF(AI479="Morning",0,1)),AH479)="","",
CONCATENATE("
Nutrition Aim:
", INDEX(sessions_aim_nutrition,,INDEX(plan_session_allocation,((WEEKDAY(AI$3,2)*2-1)+IF(AI479="Morning",0,1)),AH479))
))
)),"")</f>
        <v/>
      </c>
      <c r="AI499" s="1914"/>
      <c r="AJ499" s="1914"/>
      <c r="AK499" s="1915"/>
      <c r="AL499" s="177"/>
    </row>
    <row r="500" spans="2:38" s="176" customFormat="1" x14ac:dyDescent="0.45">
      <c r="B500" s="1942"/>
      <c r="C500" s="1945"/>
      <c r="D500" s="1916"/>
      <c r="E500" s="1917"/>
      <c r="F500" s="1917"/>
      <c r="G500" s="1918"/>
      <c r="H500" s="177"/>
      <c r="I500" s="1916"/>
      <c r="J500" s="1917"/>
      <c r="K500" s="1917"/>
      <c r="L500" s="1918"/>
      <c r="M500" s="177"/>
      <c r="N500" s="1916"/>
      <c r="O500" s="1917"/>
      <c r="P500" s="1917"/>
      <c r="Q500" s="1918"/>
      <c r="R500" s="177"/>
      <c r="S500" s="1916"/>
      <c r="T500" s="1917"/>
      <c r="U500" s="1917"/>
      <c r="V500" s="1918"/>
      <c r="W500" s="177"/>
      <c r="X500" s="1916"/>
      <c r="Y500" s="1917"/>
      <c r="Z500" s="1917"/>
      <c r="AA500" s="1918"/>
      <c r="AB500" s="177"/>
      <c r="AC500" s="1916"/>
      <c r="AD500" s="1917"/>
      <c r="AE500" s="1917"/>
      <c r="AF500" s="1918"/>
      <c r="AG500" s="177"/>
      <c r="AH500" s="1916"/>
      <c r="AI500" s="1917"/>
      <c r="AJ500" s="1917"/>
      <c r="AK500" s="1918"/>
      <c r="AL500" s="177"/>
    </row>
    <row r="501" spans="2:38" s="176" customFormat="1" x14ac:dyDescent="0.45">
      <c r="B501" s="1942"/>
      <c r="C501" s="1945"/>
      <c r="D501" s="1916"/>
      <c r="E501" s="1917"/>
      <c r="F501" s="1917"/>
      <c r="G501" s="1918"/>
      <c r="H501" s="177"/>
      <c r="I501" s="1916"/>
      <c r="J501" s="1917"/>
      <c r="K501" s="1917"/>
      <c r="L501" s="1918"/>
      <c r="M501" s="177"/>
      <c r="N501" s="1916"/>
      <c r="O501" s="1917"/>
      <c r="P501" s="1917"/>
      <c r="Q501" s="1918"/>
      <c r="R501" s="177"/>
      <c r="S501" s="1916"/>
      <c r="T501" s="1917"/>
      <c r="U501" s="1917"/>
      <c r="V501" s="1918"/>
      <c r="W501" s="177"/>
      <c r="X501" s="1916"/>
      <c r="Y501" s="1917"/>
      <c r="Z501" s="1917"/>
      <c r="AA501" s="1918"/>
      <c r="AB501" s="177"/>
      <c r="AC501" s="1916"/>
      <c r="AD501" s="1917"/>
      <c r="AE501" s="1917"/>
      <c r="AF501" s="1918"/>
      <c r="AG501" s="177"/>
      <c r="AH501" s="1916"/>
      <c r="AI501" s="1917"/>
      <c r="AJ501" s="1917"/>
      <c r="AK501" s="1918"/>
      <c r="AL501" s="177"/>
    </row>
    <row r="502" spans="2:38" s="176" customFormat="1" x14ac:dyDescent="0.45">
      <c r="B502" s="1942"/>
      <c r="C502" s="1945"/>
      <c r="D502" s="1916"/>
      <c r="E502" s="1917"/>
      <c r="F502" s="1917"/>
      <c r="G502" s="1918"/>
      <c r="H502" s="177"/>
      <c r="I502" s="1916"/>
      <c r="J502" s="1917"/>
      <c r="K502" s="1917"/>
      <c r="L502" s="1918"/>
      <c r="M502" s="177"/>
      <c r="N502" s="1916"/>
      <c r="O502" s="1917"/>
      <c r="P502" s="1917"/>
      <c r="Q502" s="1918"/>
      <c r="R502" s="177"/>
      <c r="S502" s="1916"/>
      <c r="T502" s="1917"/>
      <c r="U502" s="1917"/>
      <c r="V502" s="1918"/>
      <c r="W502" s="177"/>
      <c r="X502" s="1916"/>
      <c r="Y502" s="1917"/>
      <c r="Z502" s="1917"/>
      <c r="AA502" s="1918"/>
      <c r="AB502" s="177"/>
      <c r="AC502" s="1916"/>
      <c r="AD502" s="1917"/>
      <c r="AE502" s="1917"/>
      <c r="AF502" s="1918"/>
      <c r="AG502" s="177"/>
      <c r="AH502" s="1916"/>
      <c r="AI502" s="1917"/>
      <c r="AJ502" s="1917"/>
      <c r="AK502" s="1918"/>
      <c r="AL502" s="177"/>
    </row>
    <row r="503" spans="2:38" s="176" customFormat="1" x14ac:dyDescent="0.45">
      <c r="B503" s="1942"/>
      <c r="C503" s="1945"/>
      <c r="D503" s="1916"/>
      <c r="E503" s="1917"/>
      <c r="F503" s="1917"/>
      <c r="G503" s="1918"/>
      <c r="H503" s="177"/>
      <c r="I503" s="1916"/>
      <c r="J503" s="1917"/>
      <c r="K503" s="1917"/>
      <c r="L503" s="1918"/>
      <c r="M503" s="177"/>
      <c r="N503" s="1916"/>
      <c r="O503" s="1917"/>
      <c r="P503" s="1917"/>
      <c r="Q503" s="1918"/>
      <c r="R503" s="177"/>
      <c r="S503" s="1916"/>
      <c r="T503" s="1917"/>
      <c r="U503" s="1917"/>
      <c r="V503" s="1918"/>
      <c r="W503" s="177"/>
      <c r="X503" s="1916"/>
      <c r="Y503" s="1917"/>
      <c r="Z503" s="1917"/>
      <c r="AA503" s="1918"/>
      <c r="AB503" s="177"/>
      <c r="AC503" s="1916"/>
      <c r="AD503" s="1917"/>
      <c r="AE503" s="1917"/>
      <c r="AF503" s="1918"/>
      <c r="AG503" s="177"/>
      <c r="AH503" s="1916"/>
      <c r="AI503" s="1917"/>
      <c r="AJ503" s="1917"/>
      <c r="AK503" s="1918"/>
      <c r="AL503" s="177"/>
    </row>
    <row r="504" spans="2:38" s="176" customFormat="1" x14ac:dyDescent="0.45">
      <c r="B504" s="1942"/>
      <c r="C504" s="1945"/>
      <c r="D504" s="1916"/>
      <c r="E504" s="1917"/>
      <c r="F504" s="1917"/>
      <c r="G504" s="1918"/>
      <c r="H504" s="177"/>
      <c r="I504" s="1916"/>
      <c r="J504" s="1917"/>
      <c r="K504" s="1917"/>
      <c r="L504" s="1918"/>
      <c r="N504" s="1916"/>
      <c r="O504" s="1917"/>
      <c r="P504" s="1917"/>
      <c r="Q504" s="1918"/>
      <c r="S504" s="1916"/>
      <c r="T504" s="1917"/>
      <c r="U504" s="1917"/>
      <c r="V504" s="1918"/>
      <c r="X504" s="1916"/>
      <c r="Y504" s="1917"/>
      <c r="Z504" s="1917"/>
      <c r="AA504" s="1918"/>
      <c r="AC504" s="1916"/>
      <c r="AD504" s="1917"/>
      <c r="AE504" s="1917"/>
      <c r="AF504" s="1918"/>
      <c r="AH504" s="1916"/>
      <c r="AI504" s="1917"/>
      <c r="AJ504" s="1917"/>
      <c r="AK504" s="1918"/>
    </row>
    <row r="505" spans="2:38" s="176" customFormat="1" ht="14.65" thickBot="1" x14ac:dyDescent="0.5">
      <c r="B505" s="1943"/>
      <c r="C505" s="1946"/>
      <c r="D505" s="1938"/>
      <c r="E505" s="1939"/>
      <c r="F505" s="1939"/>
      <c r="G505" s="1940"/>
      <c r="H505" s="177"/>
      <c r="I505" s="1938"/>
      <c r="J505" s="1939"/>
      <c r="K505" s="1939"/>
      <c r="L505" s="1940"/>
      <c r="N505" s="1938"/>
      <c r="O505" s="1939"/>
      <c r="P505" s="1939"/>
      <c r="Q505" s="1940"/>
      <c r="S505" s="1938"/>
      <c r="T505" s="1939"/>
      <c r="U505" s="1939"/>
      <c r="V505" s="1940"/>
      <c r="X505" s="1938"/>
      <c r="Y505" s="1939"/>
      <c r="Z505" s="1939"/>
      <c r="AA505" s="1940"/>
      <c r="AC505" s="1938"/>
      <c r="AD505" s="1939"/>
      <c r="AE505" s="1939"/>
      <c r="AF505" s="1940"/>
      <c r="AH505" s="1938"/>
      <c r="AI505" s="1939"/>
      <c r="AJ505" s="1939"/>
      <c r="AK505" s="1940"/>
    </row>
    <row r="506" spans="2:38" s="176" customFormat="1" ht="14.65" thickBot="1" x14ac:dyDescent="0.5">
      <c r="H506" s="177"/>
    </row>
    <row r="507" spans="2:38" s="176" customFormat="1" ht="15" customHeight="1" thickBot="1" x14ac:dyDescent="0.5">
      <c r="B507" s="1941">
        <v>10</v>
      </c>
      <c r="C507" s="1944" t="str">
        <f ca="1">IF(INDEX(display_strategy,1,B507)="","", CONCATENATE(INDEX(display_strategy,1,B507),": ",HLOOKUP(INDEX(display_strategy,1,B507),strategies,4,TRUE)))</f>
        <v>Recover: A maximal week, should be fascilitated by maximal recovery and nutrition.</v>
      </c>
      <c r="D507" s="1418" t="str">
        <f ca="1">CONCATENATE("Strategy: ",INDEX(display_strategy,$B507))</f>
        <v>Strategy: Recover</v>
      </c>
      <c r="E507" s="1947">
        <f>plan_start_date + ($B507-1)*7 + (COLUMN(D$2)-2)/5</f>
        <v>43437.4</v>
      </c>
      <c r="F507" s="1947"/>
      <c r="G507" s="1417" t="str">
        <f>CONCATENATE("Slot: ", ((WEEKDAY(E$3,2)*2-1)+IF(E508="Morning",0,1)))</f>
        <v>Slot: 1</v>
      </c>
      <c r="H507" s="177"/>
      <c r="I507" s="1418" t="str">
        <f ca="1">CONCATENATE("Strategy: ",INDEX(display_strategy,$B507))</f>
        <v>Strategy: Recover</v>
      </c>
      <c r="J507" s="1947">
        <f>plan_start_date + ($B507-1)*7 + (COLUMN(I$2)-2)/5</f>
        <v>43438.400000000001</v>
      </c>
      <c r="K507" s="1947"/>
      <c r="L507" s="1417" t="str">
        <f>CONCATENATE("Slot: ", ((WEEKDAY(J$3,2)*2-1)+IF(J508="Morning",0,1)))</f>
        <v>Slot: 3</v>
      </c>
      <c r="N507" s="1418" t="str">
        <f ca="1">CONCATENATE("Strategy: ",INDEX(display_strategy,$B507))</f>
        <v>Strategy: Recover</v>
      </c>
      <c r="O507" s="1947">
        <f>plan_start_date + ($B507-1)*7 + (COLUMN(N$2)-2)/5</f>
        <v>43439.4</v>
      </c>
      <c r="P507" s="1947"/>
      <c r="Q507" s="1417" t="str">
        <f>CONCATENATE("Slot: ", ((WEEKDAY(O$3,2)*2-1)+IF(O508="Morning",0,1)))</f>
        <v>Slot: 5</v>
      </c>
      <c r="S507" s="1418" t="str">
        <f ca="1">CONCATENATE("Strategy: ",INDEX(display_strategy,$B507))</f>
        <v>Strategy: Recover</v>
      </c>
      <c r="T507" s="1947">
        <f>plan_start_date + ($B507-1)*7 + (COLUMN(S$2)-2)/5</f>
        <v>43440.4</v>
      </c>
      <c r="U507" s="1947"/>
      <c r="V507" s="1417" t="str">
        <f>CONCATENATE("Slot: ", ((WEEKDAY(T$3,2)*2-1)+IF(T508="Morning",0,1)))</f>
        <v>Slot: 7</v>
      </c>
      <c r="X507" s="1418" t="str">
        <f ca="1">CONCATENATE("Strategy: ",INDEX(display_strategy,$B507))</f>
        <v>Strategy: Recover</v>
      </c>
      <c r="Y507" s="1947">
        <f>plan_start_date + ($B507-1)*7 + (COLUMN(X$2)-2)/5</f>
        <v>43441.4</v>
      </c>
      <c r="Z507" s="1947"/>
      <c r="AA507" s="1417" t="str">
        <f>CONCATENATE("Slot: ", ((WEEKDAY(Y$3,2)*2-1)+IF(Y508="Morning",0,1)))</f>
        <v>Slot: 9</v>
      </c>
      <c r="AC507" s="1418" t="str">
        <f ca="1">CONCATENATE("Strategy: ",INDEX(display_strategy,$B507))</f>
        <v>Strategy: Recover</v>
      </c>
      <c r="AD507" s="1947">
        <f>plan_start_date + ($B507-1)*7 + (COLUMN(AC$2)-2)/5</f>
        <v>43442.400000000001</v>
      </c>
      <c r="AE507" s="1947"/>
      <c r="AF507" s="1417" t="str">
        <f>CONCATENATE("Slot: ", ((WEEKDAY(AD$3,2)*2-1)+IF(AD508="Morning",0,1)))</f>
        <v>Slot: 11</v>
      </c>
      <c r="AH507" s="1418" t="str">
        <f ca="1">CONCATENATE("Strategy: ",INDEX(display_strategy,$B507))</f>
        <v>Strategy: Recover</v>
      </c>
      <c r="AI507" s="1947">
        <f>plan_start_date + ($B507-1)*7 + (COLUMN(AH$2)-2)/5</f>
        <v>43443.4</v>
      </c>
      <c r="AJ507" s="1947"/>
      <c r="AK507" s="1417" t="str">
        <f>CONCATENATE("Slot: ", ((WEEKDAY(AI$3,2)*2-1)+IF(AI508="Morning",0,1)))</f>
        <v>Slot: 13</v>
      </c>
    </row>
    <row r="508" spans="2:38" s="176" customFormat="1" x14ac:dyDescent="0.45">
      <c r="B508" s="1942"/>
      <c r="C508" s="1945"/>
      <c r="D508" s="1413">
        <f>$B507</f>
        <v>10</v>
      </c>
      <c r="E508" s="1930" t="s">
        <v>351</v>
      </c>
      <c r="F508" s="1930"/>
      <c r="G508" s="1412">
        <f ca="1">INDEX(final_duration_session, ((WEEKDAY(E$3,2)*2-1)+IF(E508="Morning",0,1)), $D508)</f>
        <v>0</v>
      </c>
      <c r="H508" s="177"/>
      <c r="I508" s="1413">
        <f>$B507</f>
        <v>10</v>
      </c>
      <c r="J508" s="1930" t="s">
        <v>351</v>
      </c>
      <c r="K508" s="1930"/>
      <c r="L508" s="1412">
        <f ca="1">INDEX(final_duration_session, ((WEEKDAY(J$3,2)*2-1)+IF(J508="Morning",0,1)), $D508)</f>
        <v>0</v>
      </c>
      <c r="M508" s="177"/>
      <c r="N508" s="1413">
        <f>$B507</f>
        <v>10</v>
      </c>
      <c r="O508" s="1930" t="s">
        <v>351</v>
      </c>
      <c r="P508" s="1930"/>
      <c r="Q508" s="1412">
        <f ca="1">INDEX(final_duration_session, ((WEEKDAY(O$3,2)*2-1)+IF(O508="Morning",0,1)), $D508)</f>
        <v>0</v>
      </c>
      <c r="R508" s="177"/>
      <c r="S508" s="1413">
        <f>$B507</f>
        <v>10</v>
      </c>
      <c r="T508" s="1930" t="s">
        <v>351</v>
      </c>
      <c r="U508" s="1930"/>
      <c r="V508" s="1412">
        <f ca="1">INDEX(final_duration_session, ((WEEKDAY(T$3,2)*2-1)+IF(T508="Morning",0,1)), $D508)</f>
        <v>0</v>
      </c>
      <c r="W508" s="177"/>
      <c r="X508" s="1413">
        <f>$B507</f>
        <v>10</v>
      </c>
      <c r="Y508" s="1930" t="s">
        <v>351</v>
      </c>
      <c r="Z508" s="1930"/>
      <c r="AA508" s="1412">
        <f ca="1">INDEX(final_duration_session, ((WEEKDAY(Y$3,2)*2-1)+IF(Y508="Morning",0,1)), $D508)</f>
        <v>0</v>
      </c>
      <c r="AB508" s="177"/>
      <c r="AC508" s="1413">
        <f>$B507</f>
        <v>10</v>
      </c>
      <c r="AD508" s="1930" t="s">
        <v>351</v>
      </c>
      <c r="AE508" s="1930"/>
      <c r="AF508" s="1412">
        <f ca="1">INDEX(final_duration_session, ((WEEKDAY(AD$3,2)*2-1)+IF(AD508="Morning",0,1)), $D508)</f>
        <v>0</v>
      </c>
      <c r="AG508" s="177"/>
      <c r="AH508" s="1413">
        <f>$B507</f>
        <v>10</v>
      </c>
      <c r="AI508" s="1930" t="s">
        <v>351</v>
      </c>
      <c r="AJ508" s="1930"/>
      <c r="AK508" s="1412">
        <f ca="1">INDEX(final_duration_session, ((WEEKDAY(AI$3,2)*2-1)+IF(AI508="Morning",0,1)), $D508)</f>
        <v>0</v>
      </c>
      <c r="AL508" s="177"/>
    </row>
    <row r="509" spans="2:38" s="176" customFormat="1" ht="15" customHeight="1" x14ac:dyDescent="0.45">
      <c r="B509" s="1942"/>
      <c r="C509" s="1945"/>
      <c r="D509" s="1931" t="str">
        <f ca="1">IF(G508&gt;0,INDEX(sessions_name,INDEX(plan_session_allocation,((WEEKDAY(E$3,2)*2-1)+IF(E508="Morning",0,1)),D508)),"")</f>
        <v/>
      </c>
      <c r="E509" s="1932"/>
      <c r="F509" s="1932"/>
      <c r="G509" s="1933"/>
      <c r="H509" s="177"/>
      <c r="I509" s="1931" t="str">
        <f ca="1">IF(L508&gt;0,INDEX(sessions_name,INDEX(plan_session_allocation,((WEEKDAY(J$3,2)*2-1)+IF(J508="Morning",0,1)),I508)),"")</f>
        <v/>
      </c>
      <c r="J509" s="1932"/>
      <c r="K509" s="1932"/>
      <c r="L509" s="1933"/>
      <c r="M509" s="177"/>
      <c r="N509" s="1931" t="str">
        <f ca="1">IF(Q508&gt;0,INDEX(sessions_name,INDEX(plan_session_allocation,((WEEKDAY(O$3,2)*2-1)+IF(O508="Morning",0,1)),N508)),"")</f>
        <v/>
      </c>
      <c r="O509" s="1932"/>
      <c r="P509" s="1932"/>
      <c r="Q509" s="1933"/>
      <c r="R509" s="177"/>
      <c r="S509" s="1931" t="str">
        <f ca="1">IF(V508&gt;0,INDEX(sessions_name,INDEX(plan_session_allocation,((WEEKDAY(T$3,2)*2-1)+IF(T508="Morning",0,1)),S508)),"")</f>
        <v/>
      </c>
      <c r="T509" s="1932"/>
      <c r="U509" s="1932"/>
      <c r="V509" s="1933"/>
      <c r="W509" s="177"/>
      <c r="X509" s="1931" t="str">
        <f ca="1">IF(AA508&gt;0,INDEX(sessions_name,INDEX(plan_session_allocation,((WEEKDAY(Y$3,2)*2-1)+IF(Y508="Morning",0,1)),X508)),"")</f>
        <v/>
      </c>
      <c r="Y509" s="1932"/>
      <c r="Z509" s="1932"/>
      <c r="AA509" s="1933"/>
      <c r="AB509" s="177"/>
      <c r="AC509" s="1931" t="str">
        <f ca="1">IF(AF508&gt;0,INDEX(sessions_name,INDEX(plan_session_allocation,((WEEKDAY(AD$3,2)*2-1)+IF(AD508="Morning",0,1)),AC508)),"")</f>
        <v/>
      </c>
      <c r="AD509" s="1932"/>
      <c r="AE509" s="1932"/>
      <c r="AF509" s="1933"/>
      <c r="AG509" s="177"/>
      <c r="AH509" s="1931" t="str">
        <f ca="1">IF(AK508&gt;0,INDEX(sessions_name,INDEX(plan_session_allocation,((WEEKDAY(AI$3,2)*2-1)+IF(AI508="Morning",0,1)),AH508)),"")</f>
        <v/>
      </c>
      <c r="AI509" s="1932"/>
      <c r="AJ509" s="1932"/>
      <c r="AK509" s="1933"/>
      <c r="AL509" s="177"/>
    </row>
    <row r="510" spans="2:38" s="176" customFormat="1" ht="15" customHeight="1" x14ac:dyDescent="0.45">
      <c r="B510" s="1942"/>
      <c r="C510" s="1945"/>
      <c r="D510" s="1934" t="str">
        <f ca="1">IF(G508&gt;0,CONCATENATE("Sport: ",INDEX(sessions_sport_primary,INDEX(plan_session_allocation,(WEEKDAY(E$3,2)*2-1)+IF(E508="Morning",0,1),D508))),"")</f>
        <v/>
      </c>
      <c r="E510" s="1935"/>
      <c r="F510" s="1936" t="str">
        <f ca="1">IF(G508&gt;0,IFERROR(F511+F512+F513,""),"")</f>
        <v/>
      </c>
      <c r="G510" s="1937"/>
      <c r="H510" s="177"/>
      <c r="I510" s="1934" t="str">
        <f ca="1">IF(L508&gt;0,CONCATENATE("Sport: ",INDEX(sessions_sport_primary,INDEX(plan_session_allocation,(WEEKDAY(J$3,2)*2-1)+IF(J508="Morning",0,1),I508))),"")</f>
        <v/>
      </c>
      <c r="J510" s="1935"/>
      <c r="K510" s="1936" t="str">
        <f ca="1">IF(L508&gt;0,IFERROR(K511+K512+K513,""),"")</f>
        <v/>
      </c>
      <c r="L510" s="1937"/>
      <c r="M510" s="177"/>
      <c r="N510" s="1934" t="str">
        <f ca="1">IF(Q508&gt;0,CONCATENATE("Sport: ",INDEX(sessions_sport_primary,INDEX(plan_session_allocation,(WEEKDAY(O$3,2)*2-1)+IF(O508="Morning",0,1),N508))),"")</f>
        <v/>
      </c>
      <c r="O510" s="1935"/>
      <c r="P510" s="1936" t="str">
        <f ca="1">IF(Q508&gt;0,IFERROR(P511+P512+P513,""),"")</f>
        <v/>
      </c>
      <c r="Q510" s="1937"/>
      <c r="R510" s="177"/>
      <c r="S510" s="1934" t="str">
        <f ca="1">IF(V508&gt;0,CONCATENATE("Sport: ",INDEX(sessions_sport_primary,INDEX(plan_session_allocation,(WEEKDAY(T$3,2)*2-1)+IF(T508="Morning",0,1),S508))),"")</f>
        <v/>
      </c>
      <c r="T510" s="1935"/>
      <c r="U510" s="1936" t="str">
        <f ca="1">IF(V508&gt;0,IFERROR(U511+U512+U513,""),"")</f>
        <v/>
      </c>
      <c r="V510" s="1937"/>
      <c r="W510" s="177"/>
      <c r="X510" s="1934" t="str">
        <f ca="1">IF(AA508&gt;0,CONCATENATE("Sport: ",INDEX(sessions_sport_primary,INDEX(plan_session_allocation,(WEEKDAY(Y$3,2)*2-1)+IF(Y508="Morning",0,1),X508))),"")</f>
        <v/>
      </c>
      <c r="Y510" s="1935"/>
      <c r="Z510" s="1936" t="str">
        <f ca="1">IF(AA508&gt;0,IFERROR(Z511+Z512+Z513,""),"")</f>
        <v/>
      </c>
      <c r="AA510" s="1937"/>
      <c r="AB510" s="177"/>
      <c r="AC510" s="1934" t="str">
        <f ca="1">IF(AF508&gt;0,CONCATENATE("Sport: ",INDEX(sessions_sport_primary,INDEX(plan_session_allocation,(WEEKDAY(AD$3,2)*2-1)+IF(AD508="Morning",0,1),AC508))),"")</f>
        <v/>
      </c>
      <c r="AD510" s="1935"/>
      <c r="AE510" s="1936" t="str">
        <f ca="1">IF(AF508&gt;0,IFERROR(AE511+AE512+AE513,""),"")</f>
        <v/>
      </c>
      <c r="AF510" s="1937"/>
      <c r="AG510" s="177"/>
      <c r="AH510" s="1934" t="str">
        <f ca="1">IF(AK508&gt;0,CONCATENATE("Sport: ",INDEX(sessions_sport_primary,INDEX(plan_session_allocation,(WEEKDAY(AI$3,2)*2-1)+IF(AI508="Morning",0,1),AH508))),"")</f>
        <v/>
      </c>
      <c r="AI510" s="1935"/>
      <c r="AJ510" s="1936" t="str">
        <f ca="1">IF(AK508&gt;0,IFERROR(AJ511+AJ512+AJ513,""),"")</f>
        <v/>
      </c>
      <c r="AK510" s="1937"/>
      <c r="AL510" s="177"/>
    </row>
    <row r="511" spans="2:38" s="176" customFormat="1" ht="15" customHeight="1" x14ac:dyDescent="0.45">
      <c r="B511" s="1942"/>
      <c r="C511" s="1945"/>
      <c r="D511" s="1922" t="str">
        <f ca="1">IF(G508&gt;0,CONCATENATE("HR Target: ",
INDEX(sessions_HR_primary,INDEX(plan_session_allocation,((WEEKDAY(E$3,2)*2-1)+IF(E508="Morning",0,1)),D508)),
IF(INDEX(sessions_HR_primary,INDEX(plan_session_allocation,((WEEKDAY(E$3,2)*2-1)+IF(E508="Morning",0,1)),D508))="N/A","",
" BPM")),"")</f>
        <v/>
      </c>
      <c r="E511" s="1923"/>
      <c r="F511" s="1924" t="str">
        <f ca="1">IF(G508&gt;0,
INDEX(final_duration_effort,((WEEKDAY(E$3,2)*2-1)+IF(E508="Morning",0,1)),D508),"")</f>
        <v/>
      </c>
      <c r="G511" s="1925"/>
      <c r="H511" s="177"/>
      <c r="I511" s="1922" t="str">
        <f ca="1">IF(L508&gt;0,CONCATENATE("HR Target: ",
INDEX(sessions_HR_primary,INDEX(plan_session_allocation,((WEEKDAY(J$3,2)*2-1)+IF(J508="Morning",0,1)),I508)),
IF(INDEX(sessions_HR_primary,INDEX(plan_session_allocation,((WEEKDAY(J$3,2)*2-1)+IF(J508="Morning",0,1)),I508))="N/A","",
" BPM")),"")</f>
        <v/>
      </c>
      <c r="J511" s="1923"/>
      <c r="K511" s="1924" t="str">
        <f ca="1">IF(L508&gt;0,
INDEX(final_duration_effort,((WEEKDAY(J$3,2)*2-1)+IF(J508="Morning",0,1)),I508),"")</f>
        <v/>
      </c>
      <c r="L511" s="1925"/>
      <c r="M511" s="177"/>
      <c r="N511" s="1922" t="str">
        <f ca="1">IF(Q508&gt;0,CONCATENATE("HR Target: ",
INDEX(sessions_HR_primary,INDEX(plan_session_allocation,((WEEKDAY(O$3,2)*2-1)+IF(O508="Morning",0,1)),N508)),
IF(INDEX(sessions_HR_primary,INDEX(plan_session_allocation,((WEEKDAY(O$3,2)*2-1)+IF(O508="Morning",0,1)),N508))="N/A","",
" BPM")),"")</f>
        <v/>
      </c>
      <c r="O511" s="1923"/>
      <c r="P511" s="1924" t="str">
        <f ca="1">IF(Q508&gt;0,
INDEX(final_duration_effort,((WEEKDAY(O$3,2)*2-1)+IF(O508="Morning",0,1)),N508),"")</f>
        <v/>
      </c>
      <c r="Q511" s="1925"/>
      <c r="R511" s="177"/>
      <c r="S511" s="1922" t="str">
        <f ca="1">IF(V508&gt;0,CONCATENATE("HR Target: ",
INDEX(sessions_HR_primary,INDEX(plan_session_allocation,((WEEKDAY(T$3,2)*2-1)+IF(T508="Morning",0,1)),S508)),
IF(INDEX(sessions_HR_primary,INDEX(plan_session_allocation,((WEEKDAY(T$3,2)*2-1)+IF(T508="Morning",0,1)),S508))="N/A","",
" BPM")),"")</f>
        <v/>
      </c>
      <c r="T511" s="1923"/>
      <c r="U511" s="1924" t="str">
        <f ca="1">IF(V508&gt;0,
INDEX(final_duration_effort,((WEEKDAY(T$3,2)*2-1)+IF(T508="Morning",0,1)),S508),"")</f>
        <v/>
      </c>
      <c r="V511" s="1925"/>
      <c r="W511" s="177"/>
      <c r="X511" s="1922" t="str">
        <f ca="1">IF(AA508&gt;0,CONCATENATE("HR Target: ",
INDEX(sessions_HR_primary,INDEX(plan_session_allocation,((WEEKDAY(Y$3,2)*2-1)+IF(Y508="Morning",0,1)),X508)),
IF(INDEX(sessions_HR_primary,INDEX(plan_session_allocation,((WEEKDAY(Y$3,2)*2-1)+IF(Y508="Morning",0,1)),X508))="N/A","",
" BPM")),"")</f>
        <v/>
      </c>
      <c r="Y511" s="1923"/>
      <c r="Z511" s="1924" t="str">
        <f ca="1">IF(AA508&gt;0,
INDEX(final_duration_effort,((WEEKDAY(Y$3,2)*2-1)+IF(Y508="Morning",0,1)),X508),"")</f>
        <v/>
      </c>
      <c r="AA511" s="1925"/>
      <c r="AB511" s="177"/>
      <c r="AC511" s="1922" t="str">
        <f ca="1">IF(AF508&gt;0,CONCATENATE("HR Target: ",
INDEX(sessions_HR_primary,INDEX(plan_session_allocation,((WEEKDAY(AD$3,2)*2-1)+IF(AD508="Morning",0,1)),AC508)),
IF(INDEX(sessions_HR_primary,INDEX(plan_session_allocation,((WEEKDAY(AD$3,2)*2-1)+IF(AD508="Morning",0,1)),AC508))="N/A","",
" BPM")),"")</f>
        <v/>
      </c>
      <c r="AD511" s="1923"/>
      <c r="AE511" s="1924" t="str">
        <f ca="1">IF(AF508&gt;0,
INDEX(final_duration_effort,((WEEKDAY(AD$3,2)*2-1)+IF(AD508="Morning",0,1)),AC508),"")</f>
        <v/>
      </c>
      <c r="AF511" s="1925"/>
      <c r="AG511" s="177"/>
      <c r="AH511" s="1922" t="str">
        <f ca="1">IF(AK508&gt;0,CONCATENATE("HR Target: ",
INDEX(sessions_HR_primary,INDEX(plan_session_allocation,((WEEKDAY(AI$3,2)*2-1)+IF(AI508="Morning",0,1)),AH508)),
IF(INDEX(sessions_HR_primary,INDEX(plan_session_allocation,((WEEKDAY(AI$3,2)*2-1)+IF(AI508="Morning",0,1)),AH508))="N/A","",
" BPM")),"")</f>
        <v/>
      </c>
      <c r="AI511" s="1923"/>
      <c r="AJ511" s="1924" t="str">
        <f ca="1">IF(AK508&gt;0,
INDEX(final_duration_effort,((WEEKDAY(AI$3,2)*2-1)+IF(AI508="Morning",0,1)),AH508),"")</f>
        <v/>
      </c>
      <c r="AK511" s="1925"/>
      <c r="AL511" s="177"/>
    </row>
    <row r="512" spans="2:38" s="179" customFormat="1" x14ac:dyDescent="0.45">
      <c r="B512" s="1942"/>
      <c r="C512" s="1945"/>
      <c r="D512" s="1926" t="str">
        <f ca="1">IF(G508&gt;0,CONCATENATE("HR Range: ",
INDEX(sessions_HR_range_primary,INDEX(plan_session_allocation,((WEEKDAY(E$3,2)*2-1)+IF(E508="Morning",0,1)),D508)),
IF(INDEX(sessions_HR_range_primary,INDEX(plan_session_allocation,((WEEKDAY(E$3,2)*2-1)+IF(E508="Morning",0,1)),D508))="N/A","",
" BPM")),"")</f>
        <v/>
      </c>
      <c r="E512" s="1927"/>
      <c r="F512" s="1928" t="str">
        <f ca="1">IF(G508&gt;0,IF(
INDEX(sessions_recoveries,INDEX(plan_session_allocation,((WEEKDAY(E$3,2)*2-1)+IF(E508="Morning",0,1)),D508))="Yes",
VLOOKUP(INDEX(plan_duration_primary,((WEEKDAY(E$3,2)*2-1)+IF(E508="Morning",0,1)),D508),
INDIRECT(INDEX(sessions_intervals_code_primary,INDEX(plan_session_allocation,((WEEKDAY(E$3,2)*2-1)+IF(E508="Morning",0,1)),D508))),7,TRUE),0),"")</f>
        <v/>
      </c>
      <c r="G512" s="1929"/>
      <c r="H512" s="178"/>
      <c r="I512" s="1926" t="str">
        <f ca="1">IF(L508&gt;0,CONCATENATE("HR Range: ",
INDEX(sessions_HR_range_primary,INDEX(plan_session_allocation,((WEEKDAY(J$3,2)*2-1)+IF(J508="Morning",0,1)),I508)),
IF(INDEX(sessions_HR_range_primary,INDEX(plan_session_allocation,((WEEKDAY(J$3,2)*2-1)+IF(J508="Morning",0,1)),I508))="N/A","",
" BPM")),"")</f>
        <v/>
      </c>
      <c r="J512" s="1927"/>
      <c r="K512" s="1928" t="str">
        <f ca="1">IF(L508&gt;0,IF(
INDEX(sessions_recoveries,INDEX(plan_session_allocation,((WEEKDAY(J$3,2)*2-1)+IF(J508="Morning",0,1)),I508))="Yes",
VLOOKUP(INDEX(plan_duration_primary,((WEEKDAY(J$3,2)*2-1)+IF(J508="Morning",0,1)),I508),
INDIRECT(INDEX(sessions_intervals_code_primary,INDEX(plan_session_allocation,((WEEKDAY(J$3,2)*2-1)+IF(J508="Morning",0,1)),I508))),7,TRUE),0),"")</f>
        <v/>
      </c>
      <c r="L512" s="1929"/>
      <c r="M512" s="178"/>
      <c r="N512" s="1926" t="str">
        <f ca="1">IF(Q508&gt;0,CONCATENATE("HR Range: ",
INDEX(sessions_HR_range_primary,INDEX(plan_session_allocation,((WEEKDAY(O$3,2)*2-1)+IF(O508="Morning",0,1)),N508)),
IF(INDEX(sessions_HR_range_primary,INDEX(plan_session_allocation,((WEEKDAY(O$3,2)*2-1)+IF(O508="Morning",0,1)),N508))="N/A","",
" BPM")),"")</f>
        <v/>
      </c>
      <c r="O512" s="1927"/>
      <c r="P512" s="1928" t="str">
        <f ca="1">IF(Q508&gt;0,IF(
INDEX(sessions_recoveries,INDEX(plan_session_allocation,((WEEKDAY(O$3,2)*2-1)+IF(O508="Morning",0,1)),N508))="Yes",
VLOOKUP(INDEX(plan_duration_primary,((WEEKDAY(O$3,2)*2-1)+IF(O508="Morning",0,1)),N508),
INDIRECT(INDEX(sessions_intervals_code_primary,INDEX(plan_session_allocation,((WEEKDAY(O$3,2)*2-1)+IF(O508="Morning",0,1)),N508))),7,TRUE),0),"")</f>
        <v/>
      </c>
      <c r="Q512" s="1929"/>
      <c r="R512" s="178"/>
      <c r="S512" s="1926" t="str">
        <f ca="1">IF(V508&gt;0,CONCATENATE("HR Range: ",
INDEX(sessions_HR_range_primary,INDEX(plan_session_allocation,((WEEKDAY(T$3,2)*2-1)+IF(T508="Morning",0,1)),S508)),
IF(INDEX(sessions_HR_range_primary,INDEX(plan_session_allocation,((WEEKDAY(T$3,2)*2-1)+IF(T508="Morning",0,1)),S508))="N/A","",
" BPM")),"")</f>
        <v/>
      </c>
      <c r="T512" s="1927"/>
      <c r="U512" s="1928" t="str">
        <f ca="1">IF(V508&gt;0,IF(
INDEX(sessions_recoveries,INDEX(plan_session_allocation,((WEEKDAY(T$3,2)*2-1)+IF(T508="Morning",0,1)),S508))="Yes",
VLOOKUP(INDEX(plan_duration_primary,((WEEKDAY(T$3,2)*2-1)+IF(T508="Morning",0,1)),S508),
INDIRECT(INDEX(sessions_intervals_code_primary,INDEX(plan_session_allocation,((WEEKDAY(T$3,2)*2-1)+IF(T508="Morning",0,1)),S508))),7,TRUE),0),"")</f>
        <v/>
      </c>
      <c r="V512" s="1929"/>
      <c r="W512" s="178"/>
      <c r="X512" s="1926" t="str">
        <f ca="1">IF(AA508&gt;0,CONCATENATE("HR Range: ",
INDEX(sessions_HR_range_primary,INDEX(plan_session_allocation,((WEEKDAY(Y$3,2)*2-1)+IF(Y508="Morning",0,1)),X508)),
IF(INDEX(sessions_HR_range_primary,INDEX(plan_session_allocation,((WEEKDAY(Y$3,2)*2-1)+IF(Y508="Morning",0,1)),X508))="N/A","",
" BPM")),"")</f>
        <v/>
      </c>
      <c r="Y512" s="1927"/>
      <c r="Z512" s="1928" t="str">
        <f ca="1">IF(AA508&gt;0,IF(
INDEX(sessions_recoveries,INDEX(plan_session_allocation,((WEEKDAY(Y$3,2)*2-1)+IF(Y508="Morning",0,1)),X508))="Yes",
VLOOKUP(INDEX(plan_duration_primary,((WEEKDAY(Y$3,2)*2-1)+IF(Y508="Morning",0,1)),X508),
INDIRECT(INDEX(sessions_intervals_code_primary,INDEX(plan_session_allocation,((WEEKDAY(Y$3,2)*2-1)+IF(Y508="Morning",0,1)),X508))),7,TRUE),0),"")</f>
        <v/>
      </c>
      <c r="AA512" s="1929"/>
      <c r="AB512" s="178"/>
      <c r="AC512" s="1926" t="str">
        <f ca="1">IF(AF508&gt;0,CONCATENATE("HR Range: ",
INDEX(sessions_HR_range_primary,INDEX(plan_session_allocation,((WEEKDAY(AD$3,2)*2-1)+IF(AD508="Morning",0,1)),AC508)),
IF(INDEX(sessions_HR_range_primary,INDEX(plan_session_allocation,((WEEKDAY(AD$3,2)*2-1)+IF(AD508="Morning",0,1)),AC508))="N/A","",
" BPM")),"")</f>
        <v/>
      </c>
      <c r="AD512" s="1927"/>
      <c r="AE512" s="1928" t="str">
        <f ca="1">IF(AF508&gt;0,IF(
INDEX(sessions_recoveries,INDEX(plan_session_allocation,((WEEKDAY(AD$3,2)*2-1)+IF(AD508="Morning",0,1)),AC508))="Yes",
VLOOKUP(INDEX(plan_duration_primary,((WEEKDAY(AD$3,2)*2-1)+IF(AD508="Morning",0,1)),AC508),
INDIRECT(INDEX(sessions_intervals_code_primary,INDEX(plan_session_allocation,((WEEKDAY(AD$3,2)*2-1)+IF(AD508="Morning",0,1)),AC508))),7,TRUE),0),"")</f>
        <v/>
      </c>
      <c r="AF512" s="1929"/>
      <c r="AG512" s="178"/>
      <c r="AH512" s="1926" t="str">
        <f ca="1">IF(AK508&gt;0,CONCATENATE("HR Range: ",
INDEX(sessions_HR_range_primary,INDEX(plan_session_allocation,((WEEKDAY(AI$3,2)*2-1)+IF(AI508="Morning",0,1)),AH508)),
IF(INDEX(sessions_HR_range_primary,INDEX(plan_session_allocation,((WEEKDAY(AI$3,2)*2-1)+IF(AI508="Morning",0,1)),AH508))="N/A","",
" BPM")),"")</f>
        <v/>
      </c>
      <c r="AI512" s="1927"/>
      <c r="AJ512" s="1928" t="str">
        <f ca="1">IF(AK508&gt;0,IF(
INDEX(sessions_recoveries,INDEX(plan_session_allocation,((WEEKDAY(AI$3,2)*2-1)+IF(AI508="Morning",0,1)),AH508))="Yes",
VLOOKUP(INDEX(plan_duration_primary,((WEEKDAY(AI$3,2)*2-1)+IF(AI508="Morning",0,1)),AH508),
INDIRECT(INDEX(sessions_intervals_code_primary,INDEX(plan_session_allocation,((WEEKDAY(AI$3,2)*2-1)+IF(AI508="Morning",0,1)),AH508))),7,TRUE),0),"")</f>
        <v/>
      </c>
      <c r="AK512" s="1929"/>
      <c r="AL512" s="178"/>
    </row>
    <row r="513" spans="2:38" s="179" customFormat="1" ht="15" customHeight="1" x14ac:dyDescent="0.45">
      <c r="B513" s="1942"/>
      <c r="C513" s="1945"/>
      <c r="D513" s="1909" t="str">
        <f ca="1">IF(G508&gt;0,CONCATENATE("Equivalent Pace: ",
TEXT(INDEX(sessions_pace_primary,INDEX(plan_session_allocation,(WEEKDAY(E$3,2)*2-1)+IF(E508="Morning",0,1),D508)),"m:ss"),
" min/km"
),"")</f>
        <v/>
      </c>
      <c r="E513" s="1910"/>
      <c r="F513" s="1911" t="str">
        <f ca="1">IF(G508&gt;0, INDEX(final_duration_WU,((WEEKDAY(E$3,2)*2-1)+IF(E508="Morning",0,1)),D508)  + INDEX(final_duration_WD,((WEEKDAY(E$3,2)*2-1)+IF(E508="Morning",0,1)),D508), "")</f>
        <v/>
      </c>
      <c r="G513" s="1912"/>
      <c r="H513" s="178"/>
      <c r="I513" s="1909" t="str">
        <f ca="1">IF(L508&gt;0,CONCATENATE("Equivalent Pace: ",
TEXT(INDEX(sessions_pace_primary,INDEX(plan_session_allocation,(WEEKDAY(J$3,2)*2-1)+IF(J508="Morning",0,1),I508)),"m:ss"),
" min/km"
),"")</f>
        <v/>
      </c>
      <c r="J513" s="1910"/>
      <c r="K513" s="1911" t="str">
        <f ca="1">IF(L508&gt;0, INDEX(final_duration_WU,((WEEKDAY(J$3,2)*2-1)+IF(J508="Morning",0,1)),I508)  + INDEX(final_duration_WD,((WEEKDAY(J$3,2)*2-1)+IF(J508="Morning",0,1)),I508), "")</f>
        <v/>
      </c>
      <c r="L513" s="1912"/>
      <c r="M513" s="178"/>
      <c r="N513" s="1909" t="str">
        <f ca="1">IF(Q508&gt;0,CONCATENATE("Equivalent Pace: ",
TEXT(INDEX(sessions_pace_primary,INDEX(plan_session_allocation,(WEEKDAY(O$3,2)*2-1)+IF(O508="Morning",0,1),N508)),"m:ss"),
" min/km"
),"")</f>
        <v/>
      </c>
      <c r="O513" s="1910"/>
      <c r="P513" s="1911" t="str">
        <f ca="1">IF(Q508&gt;0, INDEX(final_duration_WU,((WEEKDAY(O$3,2)*2-1)+IF(O508="Morning",0,1)),N508)  + INDEX(final_duration_WD,((WEEKDAY(O$3,2)*2-1)+IF(O508="Morning",0,1)),N508), "")</f>
        <v/>
      </c>
      <c r="Q513" s="1912"/>
      <c r="R513" s="178"/>
      <c r="S513" s="1909" t="str">
        <f ca="1">IF(V508&gt;0,CONCATENATE("Equivalent Pace: ",
TEXT(INDEX(sessions_pace_primary,INDEX(plan_session_allocation,(WEEKDAY(T$3,2)*2-1)+IF(T508="Morning",0,1),S508)),"m:ss"),
" min/km"
),"")</f>
        <v/>
      </c>
      <c r="T513" s="1910"/>
      <c r="U513" s="1911" t="str">
        <f ca="1">IF(V508&gt;0, INDEX(final_duration_WU,((WEEKDAY(T$3,2)*2-1)+IF(T508="Morning",0,1)),S508)  + INDEX(final_duration_WD,((WEEKDAY(T$3,2)*2-1)+IF(T508="Morning",0,1)),S508), "")</f>
        <v/>
      </c>
      <c r="V513" s="1912"/>
      <c r="W513" s="178"/>
      <c r="X513" s="1909" t="str">
        <f ca="1">IF(AA508&gt;0,CONCATENATE("Equivalent Pace: ",
TEXT(INDEX(sessions_pace_primary,INDEX(plan_session_allocation,(WEEKDAY(Y$3,2)*2-1)+IF(Y508="Morning",0,1),X508)),"m:ss"),
" min/km"
),"")</f>
        <v/>
      </c>
      <c r="Y513" s="1910"/>
      <c r="Z513" s="1911" t="str">
        <f ca="1">IF(AA508&gt;0, INDEX(final_duration_WU,((WEEKDAY(Y$3,2)*2-1)+IF(Y508="Morning",0,1)),X508)  + INDEX(final_duration_WD,((WEEKDAY(Y$3,2)*2-1)+IF(Y508="Morning",0,1)),X508), "")</f>
        <v/>
      </c>
      <c r="AA513" s="1912"/>
      <c r="AB513" s="178"/>
      <c r="AC513" s="1909" t="str">
        <f ca="1">IF(AF508&gt;0,CONCATENATE("Equivalent Pace: ",
TEXT(INDEX(sessions_pace_primary,INDEX(plan_session_allocation,(WEEKDAY(AD$3,2)*2-1)+IF(AD508="Morning",0,1),AC508)),"m:ss"),
" min/km"
),"")</f>
        <v/>
      </c>
      <c r="AD513" s="1910"/>
      <c r="AE513" s="1911" t="str">
        <f ca="1">IF(AF508&gt;0, INDEX(final_duration_WU,((WEEKDAY(AD$3,2)*2-1)+IF(AD508="Morning",0,1)),AC508)  + INDEX(final_duration_WD,((WEEKDAY(AD$3,2)*2-1)+IF(AD508="Morning",0,1)),AC508), "")</f>
        <v/>
      </c>
      <c r="AF513" s="1912"/>
      <c r="AG513" s="178"/>
      <c r="AH513" s="1909" t="str">
        <f ca="1">IF(AK508&gt;0,CONCATENATE("Equivalent Pace: ",
TEXT(INDEX(sessions_pace_primary,INDEX(plan_session_allocation,(WEEKDAY(AI$3,2)*2-1)+IF(AI508="Morning",0,1),AH508)),"m:ss"),
" min/km"
),"")</f>
        <v/>
      </c>
      <c r="AI513" s="1910"/>
      <c r="AJ513" s="1911" t="str">
        <f ca="1">IF(AK508&gt;0, INDEX(final_duration_WU,((WEEKDAY(AI$3,2)*2-1)+IF(AI508="Morning",0,1)),AH508)  + INDEX(final_duration_WD,((WEEKDAY(AI$3,2)*2-1)+IF(AI508="Morning",0,1)),AH508), "")</f>
        <v/>
      </c>
      <c r="AK513" s="1912"/>
      <c r="AL513" s="178"/>
    </row>
    <row r="514" spans="2:38" s="180" customFormat="1" ht="15" customHeight="1" x14ac:dyDescent="0.45">
      <c r="B514" s="1942"/>
      <c r="C514" s="1945"/>
      <c r="D514" s="1913" t="str">
        <f ca="1">IF(G508&gt;0,CONCATENATE(IFERROR(CONCATENATE(IF(INDEX(display_intervals_breakdown,((WEEKDAY(E$3,2)*2-1)+IF(E508="Morning",0,1)),D508)="","",CONCATENATE("Intervals/Reps Breakdown: 
",INDEX(display_intervals_breakdown,((WEEKDAY(E$3,2)*2-1)+IF(E508="Morning",0,1)),D508),"
")),"Session Description: 
",CONCATENATE(IF(INDEX(final_duration_secondary,((WEEKDAY(E$3,2)*2-1)+IF(E508="Morning",0,1)),D508)=0,"","1. "),
INDEX(sessions_description_primary,,INDEX(plan_session_allocation,((WEEKDAY(E$3,2)*2-1)+IF(E508="Morning",0,1)),D508)),IF(INDEX(final_duration_secondary,((WEEKDAY(E$3,2)*2-1)+IF(E508="Morning",0,1)),D508)=0,"","
2. "),
IF(INDEX(final_duration_secondary,((WEEKDAY(E$3,2)*2-1)+IF(E508="Morning",0,1)),D508)=0,"",INDEX(sessions_description_secondary,,INDEX(plan_session_allocation,((WEEKDAY(E$3,2)*2-1)+IF(E508="Morning",0,1)),D508))),IF(INDEX(final_duration_tertiary,((WEEKDAY(E$3,2)*2-1)+IF(E508="Morning",0,1)),D508)=0,"","
3. "),
IF(INDEX(final_duration_tertiary,((WEEKDAY(E$3,2)*2-1)+IF(E508="Morning",0,1)),D508)="","",INDEX(sessions_description_tertiary,,INDEX(plan_session_allocation,((WEEKDAY(E$3,2)*2-1)+IF(E508="Morning",0,1)),D508))),
IF(INDEX(display_nutrition_description,((WEEKDAY(E$3,2)*2-1)+IF(E508="Morning",0,1)),D508)="","",
CONCATENATE("
Meal Plan: ", INDEX(sessions_nutrition,,INDEX(plan_session_allocation,((WEEKDAY(E$3,2)*2-1)+IF(E508="Morning",0,1)),D508)), "
", INDEX(display_nutrition_description,((WEEKDAY(E$3,2)*2-1)+IF(E508="Morning",0,1)),D508)))
)),"")),"")</f>
        <v/>
      </c>
      <c r="E514" s="1914"/>
      <c r="F514" s="1914"/>
      <c r="G514" s="1915"/>
      <c r="I514" s="1913" t="str">
        <f ca="1">IF(L508&gt;0,CONCATENATE(IFERROR(CONCATENATE(IF(INDEX(display_intervals_breakdown,((WEEKDAY(J$3,2)*2-1)+IF(J508="Morning",0,1)),I508)="","",CONCATENATE("Intervals/Reps Breakdown: 
",INDEX(display_intervals_breakdown,((WEEKDAY(J$3,2)*2-1)+IF(J508="Morning",0,1)),I508),"
")),"Session Description: 
",CONCATENATE(IF(INDEX(final_duration_secondary,((WEEKDAY(J$3,2)*2-1)+IF(J508="Morning",0,1)),I508)=0,"","1. "),
INDEX(sessions_description_primary,,INDEX(plan_session_allocation,((WEEKDAY(J$3,2)*2-1)+IF(J508="Morning",0,1)),I508)),IF(INDEX(final_duration_secondary,((WEEKDAY(J$3,2)*2-1)+IF(J508="Morning",0,1)),I508)=0,"","
2. "),
IF(INDEX(final_duration_secondary,((WEEKDAY(J$3,2)*2-1)+IF(J508="Morning",0,1)),I508)=0,"",INDEX(sessions_description_secondary,,INDEX(plan_session_allocation,((WEEKDAY(J$3,2)*2-1)+IF(J508="Morning",0,1)),I508))),IF(INDEX(final_duration_tertiary,((WEEKDAY(J$3,2)*2-1)+IF(J508="Morning",0,1)),I508)=0,"","
3. "),
IF(INDEX(final_duration_tertiary,((WEEKDAY(J$3,2)*2-1)+IF(J508="Morning",0,1)),I508)="","",INDEX(sessions_description_tertiary,,INDEX(plan_session_allocation,((WEEKDAY(J$3,2)*2-1)+IF(J508="Morning",0,1)),I508))),
IF(INDEX(display_nutrition_description,((WEEKDAY(J$3,2)*2-1)+IF(J508="Morning",0,1)),I508)="","",
CONCATENATE("
Meal Plan: ", INDEX(sessions_nutrition,,INDEX(plan_session_allocation,((WEEKDAY(J$3,2)*2-1)+IF(J508="Morning",0,1)),I508)), "
", INDEX(display_nutrition_description,((WEEKDAY(J$3,2)*2-1)+IF(J508="Morning",0,1)),I508)))
)),"")),"")</f>
        <v/>
      </c>
      <c r="J514" s="1914"/>
      <c r="K514" s="1914"/>
      <c r="L514" s="1915"/>
      <c r="N514" s="1913" t="str">
        <f ca="1">IF(Q508&gt;0,CONCATENATE(IFERROR(CONCATENATE(IF(INDEX(display_intervals_breakdown,((WEEKDAY(O$3,2)*2-1)+IF(O508="Morning",0,1)),N508)="","",CONCATENATE("Intervals/Reps Breakdown: 
",INDEX(display_intervals_breakdown,((WEEKDAY(O$3,2)*2-1)+IF(O508="Morning",0,1)),N508),"
")),"Session Description: 
",CONCATENATE(IF(INDEX(final_duration_secondary,((WEEKDAY(O$3,2)*2-1)+IF(O508="Morning",0,1)),N508)=0,"","1. "),
INDEX(sessions_description_primary,,INDEX(plan_session_allocation,((WEEKDAY(O$3,2)*2-1)+IF(O508="Morning",0,1)),N508)),IF(INDEX(final_duration_secondary,((WEEKDAY(O$3,2)*2-1)+IF(O508="Morning",0,1)),N508)=0,"","
2. "),
IF(INDEX(final_duration_secondary,((WEEKDAY(O$3,2)*2-1)+IF(O508="Morning",0,1)),N508)=0,"",INDEX(sessions_description_secondary,,INDEX(plan_session_allocation,((WEEKDAY(O$3,2)*2-1)+IF(O508="Morning",0,1)),N508))),IF(INDEX(final_duration_tertiary,((WEEKDAY(O$3,2)*2-1)+IF(O508="Morning",0,1)),N508)=0,"","
3. "),
IF(INDEX(final_duration_tertiary,((WEEKDAY(O$3,2)*2-1)+IF(O508="Morning",0,1)),N508)="","",INDEX(sessions_description_tertiary,,INDEX(plan_session_allocation,((WEEKDAY(O$3,2)*2-1)+IF(O508="Morning",0,1)),N508))),
IF(INDEX(display_nutrition_description,((WEEKDAY(O$3,2)*2-1)+IF(O508="Morning",0,1)),N508)="","",
CONCATENATE("
Meal Plan: ", INDEX(sessions_nutrition,,INDEX(plan_session_allocation,((WEEKDAY(O$3,2)*2-1)+IF(O508="Morning",0,1)),N508)), "
", INDEX(display_nutrition_description,((WEEKDAY(O$3,2)*2-1)+IF(O508="Morning",0,1)),N508)))
)),"")),"")</f>
        <v/>
      </c>
      <c r="O514" s="1914"/>
      <c r="P514" s="1914"/>
      <c r="Q514" s="1915"/>
      <c r="S514" s="1913" t="str">
        <f ca="1">IF(V508&gt;0,CONCATENATE(IFERROR(CONCATENATE(IF(INDEX(display_intervals_breakdown,((WEEKDAY(T$3,2)*2-1)+IF(T508="Morning",0,1)),S508)="","",CONCATENATE("Intervals/Reps Breakdown: 
",INDEX(display_intervals_breakdown,((WEEKDAY(T$3,2)*2-1)+IF(T508="Morning",0,1)),S508),"
")),"Session Description: 
",CONCATENATE(IF(INDEX(final_duration_secondary,((WEEKDAY(T$3,2)*2-1)+IF(T508="Morning",0,1)),S508)=0,"","1. "),
INDEX(sessions_description_primary,,INDEX(plan_session_allocation,((WEEKDAY(T$3,2)*2-1)+IF(T508="Morning",0,1)),S508)),IF(INDEX(final_duration_secondary,((WEEKDAY(T$3,2)*2-1)+IF(T508="Morning",0,1)),S508)=0,"","
2. "),
IF(INDEX(final_duration_secondary,((WEEKDAY(T$3,2)*2-1)+IF(T508="Morning",0,1)),S508)=0,"",INDEX(sessions_description_secondary,,INDEX(plan_session_allocation,((WEEKDAY(T$3,2)*2-1)+IF(T508="Morning",0,1)),S508))),IF(INDEX(final_duration_tertiary,((WEEKDAY(T$3,2)*2-1)+IF(T508="Morning",0,1)),S508)=0,"","
3. "),
IF(INDEX(final_duration_tertiary,((WEEKDAY(T$3,2)*2-1)+IF(T508="Morning",0,1)),S508)="","",INDEX(sessions_description_tertiary,,INDEX(plan_session_allocation,((WEEKDAY(T$3,2)*2-1)+IF(T508="Morning",0,1)),S508))),
IF(INDEX(display_nutrition_description,((WEEKDAY(T$3,2)*2-1)+IF(T508="Morning",0,1)),S508)="","",
CONCATENATE("
Meal Plan: ", INDEX(sessions_nutrition,,INDEX(plan_session_allocation,((WEEKDAY(T$3,2)*2-1)+IF(T508="Morning",0,1)),S508)), "
", INDEX(display_nutrition_description,((WEEKDAY(T$3,2)*2-1)+IF(T508="Morning",0,1)),S508)))
)),"")),"")</f>
        <v/>
      </c>
      <c r="T514" s="1914"/>
      <c r="U514" s="1914"/>
      <c r="V514" s="1915"/>
      <c r="X514" s="1913" t="str">
        <f ca="1">IF(AA508&gt;0,CONCATENATE(IFERROR(CONCATENATE(IF(INDEX(display_intervals_breakdown,((WEEKDAY(Y$3,2)*2-1)+IF(Y508="Morning",0,1)),X508)="","",CONCATENATE("Intervals/Reps Breakdown: 
",INDEX(display_intervals_breakdown,((WEEKDAY(Y$3,2)*2-1)+IF(Y508="Morning",0,1)),X508),"
")),"Session Description: 
",CONCATENATE(IF(INDEX(final_duration_secondary,((WEEKDAY(Y$3,2)*2-1)+IF(Y508="Morning",0,1)),X508)=0,"","1. "),
INDEX(sessions_description_primary,,INDEX(plan_session_allocation,((WEEKDAY(Y$3,2)*2-1)+IF(Y508="Morning",0,1)),X508)),IF(INDEX(final_duration_secondary,((WEEKDAY(Y$3,2)*2-1)+IF(Y508="Morning",0,1)),X508)=0,"","
2. "),
IF(INDEX(final_duration_secondary,((WEEKDAY(Y$3,2)*2-1)+IF(Y508="Morning",0,1)),X508)=0,"",INDEX(sessions_description_secondary,,INDEX(plan_session_allocation,((WEEKDAY(Y$3,2)*2-1)+IF(Y508="Morning",0,1)),X508))),IF(INDEX(final_duration_tertiary,((WEEKDAY(Y$3,2)*2-1)+IF(Y508="Morning",0,1)),X508)=0,"","
3. "),
IF(INDEX(final_duration_tertiary,((WEEKDAY(Y$3,2)*2-1)+IF(Y508="Morning",0,1)),X508)="","",INDEX(sessions_description_tertiary,,INDEX(plan_session_allocation,((WEEKDAY(Y$3,2)*2-1)+IF(Y508="Morning",0,1)),X508))),
IF(INDEX(display_nutrition_description,((WEEKDAY(Y$3,2)*2-1)+IF(Y508="Morning",0,1)),X508)="","",
CONCATENATE("
Meal Plan: ", INDEX(sessions_nutrition,,INDEX(plan_session_allocation,((WEEKDAY(Y$3,2)*2-1)+IF(Y508="Morning",0,1)),X508)), "
", INDEX(display_nutrition_description,((WEEKDAY(Y$3,2)*2-1)+IF(Y508="Morning",0,1)),X508)))
)),"")),"")</f>
        <v/>
      </c>
      <c r="Y514" s="1914"/>
      <c r="Z514" s="1914"/>
      <c r="AA514" s="1915"/>
      <c r="AC514" s="1913" t="str">
        <f ca="1">IF(AF508&gt;0,CONCATENATE(IFERROR(CONCATENATE(IF(INDEX(display_intervals_breakdown,((WEEKDAY(AD$3,2)*2-1)+IF(AD508="Morning",0,1)),AC508)="","",CONCATENATE("Intervals/Reps Breakdown: 
",INDEX(display_intervals_breakdown,((WEEKDAY(AD$3,2)*2-1)+IF(AD508="Morning",0,1)),AC508),"
")),"Session Description: 
",CONCATENATE(IF(INDEX(final_duration_secondary,((WEEKDAY(AD$3,2)*2-1)+IF(AD508="Morning",0,1)),AC508)=0,"","1. "),
INDEX(sessions_description_primary,,INDEX(plan_session_allocation,((WEEKDAY(AD$3,2)*2-1)+IF(AD508="Morning",0,1)),AC508)),IF(INDEX(final_duration_secondary,((WEEKDAY(AD$3,2)*2-1)+IF(AD508="Morning",0,1)),AC508)=0,"","
2. "),
IF(INDEX(final_duration_secondary,((WEEKDAY(AD$3,2)*2-1)+IF(AD508="Morning",0,1)),AC508)=0,"",INDEX(sessions_description_secondary,,INDEX(plan_session_allocation,((WEEKDAY(AD$3,2)*2-1)+IF(AD508="Morning",0,1)),AC508))),IF(INDEX(final_duration_tertiary,((WEEKDAY(AD$3,2)*2-1)+IF(AD508="Morning",0,1)),AC508)=0,"","
3. "),
IF(INDEX(final_duration_tertiary,((WEEKDAY(AD$3,2)*2-1)+IF(AD508="Morning",0,1)),AC508)="","",INDEX(sessions_description_tertiary,,INDEX(plan_session_allocation,((WEEKDAY(AD$3,2)*2-1)+IF(AD508="Morning",0,1)),AC508))),
IF(INDEX(display_nutrition_description,((WEEKDAY(AD$3,2)*2-1)+IF(AD508="Morning",0,1)),AC508)="","",
CONCATENATE("
Meal Plan: ", INDEX(sessions_nutrition,,INDEX(plan_session_allocation,((WEEKDAY(AD$3,2)*2-1)+IF(AD508="Morning",0,1)),AC508)), "
", INDEX(display_nutrition_description,((WEEKDAY(AD$3,2)*2-1)+IF(AD508="Morning",0,1)),AC508)))
)),"")),"")</f>
        <v/>
      </c>
      <c r="AD514" s="1914"/>
      <c r="AE514" s="1914"/>
      <c r="AF514" s="1915"/>
      <c r="AH514" s="1913" t="str">
        <f ca="1">IF(AK508&gt;0,CONCATENATE(IFERROR(CONCATENATE(IF(INDEX(display_intervals_breakdown,((WEEKDAY(AI$3,2)*2-1)+IF(AI508="Morning",0,1)),AH508)="","",CONCATENATE("Intervals/Reps Breakdown: 
",INDEX(display_intervals_breakdown,((WEEKDAY(AI$3,2)*2-1)+IF(AI508="Morning",0,1)),AH508),"
")),"Session Description: 
",CONCATENATE(IF(INDEX(final_duration_secondary,((WEEKDAY(AI$3,2)*2-1)+IF(AI508="Morning",0,1)),AH508)=0,"","1. "),
INDEX(sessions_description_primary,,INDEX(plan_session_allocation,((WEEKDAY(AI$3,2)*2-1)+IF(AI508="Morning",0,1)),AH508)),IF(INDEX(final_duration_secondary,((WEEKDAY(AI$3,2)*2-1)+IF(AI508="Morning",0,1)),AH508)=0,"","
2. "),
IF(INDEX(final_duration_secondary,((WEEKDAY(AI$3,2)*2-1)+IF(AI508="Morning",0,1)),AH508)=0,"",INDEX(sessions_description_secondary,,INDEX(plan_session_allocation,((WEEKDAY(AI$3,2)*2-1)+IF(AI508="Morning",0,1)),AH508))),IF(INDEX(final_duration_tertiary,((WEEKDAY(AI$3,2)*2-1)+IF(AI508="Morning",0,1)),AH508)=0,"","
3. "),
IF(INDEX(final_duration_tertiary,((WEEKDAY(AI$3,2)*2-1)+IF(AI508="Morning",0,1)),AH508)="","",INDEX(sessions_description_tertiary,,INDEX(plan_session_allocation,((WEEKDAY(AI$3,2)*2-1)+IF(AI508="Morning",0,1)),AH508))),
IF(INDEX(display_nutrition_description,((WEEKDAY(AI$3,2)*2-1)+IF(AI508="Morning",0,1)),AH508)="","",
CONCATENATE("
Meal Plan: ", INDEX(sessions_nutrition,,INDEX(plan_session_allocation,((WEEKDAY(AI$3,2)*2-1)+IF(AI508="Morning",0,1)),AH508)), "
", INDEX(display_nutrition_description,((WEEKDAY(AI$3,2)*2-1)+IF(AI508="Morning",0,1)),AH508)))
)),"")),"")</f>
        <v/>
      </c>
      <c r="AI514" s="1914"/>
      <c r="AJ514" s="1914"/>
      <c r="AK514" s="1915"/>
    </row>
    <row r="515" spans="2:38" s="180" customFormat="1" x14ac:dyDescent="0.45">
      <c r="B515" s="1942"/>
      <c r="C515" s="1945"/>
      <c r="D515" s="1916"/>
      <c r="E515" s="1917"/>
      <c r="F515" s="1917"/>
      <c r="G515" s="1918"/>
      <c r="I515" s="1916"/>
      <c r="J515" s="1917"/>
      <c r="K515" s="1917"/>
      <c r="L515" s="1918"/>
      <c r="N515" s="1916"/>
      <c r="O515" s="1917"/>
      <c r="P515" s="1917"/>
      <c r="Q515" s="1918"/>
      <c r="S515" s="1916"/>
      <c r="T515" s="1917"/>
      <c r="U515" s="1917"/>
      <c r="V515" s="1918"/>
      <c r="X515" s="1916"/>
      <c r="Y515" s="1917"/>
      <c r="Z515" s="1917"/>
      <c r="AA515" s="1918"/>
      <c r="AC515" s="1916"/>
      <c r="AD515" s="1917"/>
      <c r="AE515" s="1917"/>
      <c r="AF515" s="1918"/>
      <c r="AH515" s="1916"/>
      <c r="AI515" s="1917"/>
      <c r="AJ515" s="1917"/>
      <c r="AK515" s="1918"/>
    </row>
    <row r="516" spans="2:38" s="180" customFormat="1" x14ac:dyDescent="0.45">
      <c r="B516" s="1942"/>
      <c r="C516" s="1945"/>
      <c r="D516" s="1916"/>
      <c r="E516" s="1917"/>
      <c r="F516" s="1917"/>
      <c r="G516" s="1918"/>
      <c r="I516" s="1916"/>
      <c r="J516" s="1917"/>
      <c r="K516" s="1917"/>
      <c r="L516" s="1918"/>
      <c r="N516" s="1916"/>
      <c r="O516" s="1917"/>
      <c r="P516" s="1917"/>
      <c r="Q516" s="1918"/>
      <c r="S516" s="1916"/>
      <c r="T516" s="1917"/>
      <c r="U516" s="1917"/>
      <c r="V516" s="1918"/>
      <c r="X516" s="1916"/>
      <c r="Y516" s="1917"/>
      <c r="Z516" s="1917"/>
      <c r="AA516" s="1918"/>
      <c r="AC516" s="1916"/>
      <c r="AD516" s="1917"/>
      <c r="AE516" s="1917"/>
      <c r="AF516" s="1918"/>
      <c r="AH516" s="1916"/>
      <c r="AI516" s="1917"/>
      <c r="AJ516" s="1917"/>
      <c r="AK516" s="1918"/>
    </row>
    <row r="517" spans="2:38" s="180" customFormat="1" x14ac:dyDescent="0.45">
      <c r="B517" s="1942"/>
      <c r="C517" s="1945"/>
      <c r="D517" s="1916"/>
      <c r="E517" s="1917"/>
      <c r="F517" s="1917"/>
      <c r="G517" s="1918"/>
      <c r="I517" s="1916"/>
      <c r="J517" s="1917"/>
      <c r="K517" s="1917"/>
      <c r="L517" s="1918"/>
      <c r="N517" s="1916"/>
      <c r="O517" s="1917"/>
      <c r="P517" s="1917"/>
      <c r="Q517" s="1918"/>
      <c r="S517" s="1916"/>
      <c r="T517" s="1917"/>
      <c r="U517" s="1917"/>
      <c r="V517" s="1918"/>
      <c r="X517" s="1916"/>
      <c r="Y517" s="1917"/>
      <c r="Z517" s="1917"/>
      <c r="AA517" s="1918"/>
      <c r="AC517" s="1916"/>
      <c r="AD517" s="1917"/>
      <c r="AE517" s="1917"/>
      <c r="AF517" s="1918"/>
      <c r="AH517" s="1916"/>
      <c r="AI517" s="1917"/>
      <c r="AJ517" s="1917"/>
      <c r="AK517" s="1918"/>
    </row>
    <row r="518" spans="2:38" s="180" customFormat="1" x14ac:dyDescent="0.45">
      <c r="B518" s="1942"/>
      <c r="C518" s="1945"/>
      <c r="D518" s="1916"/>
      <c r="E518" s="1917"/>
      <c r="F518" s="1917"/>
      <c r="G518" s="1918"/>
      <c r="I518" s="1916"/>
      <c r="J518" s="1917"/>
      <c r="K518" s="1917"/>
      <c r="L518" s="1918"/>
      <c r="N518" s="1916"/>
      <c r="O518" s="1917"/>
      <c r="P518" s="1917"/>
      <c r="Q518" s="1918"/>
      <c r="S518" s="1916"/>
      <c r="T518" s="1917"/>
      <c r="U518" s="1917"/>
      <c r="V518" s="1918"/>
      <c r="X518" s="1916"/>
      <c r="Y518" s="1917"/>
      <c r="Z518" s="1917"/>
      <c r="AA518" s="1918"/>
      <c r="AC518" s="1916"/>
      <c r="AD518" s="1917"/>
      <c r="AE518" s="1917"/>
      <c r="AF518" s="1918"/>
      <c r="AH518" s="1916"/>
      <c r="AI518" s="1917"/>
      <c r="AJ518" s="1917"/>
      <c r="AK518" s="1918"/>
    </row>
    <row r="519" spans="2:38" s="180" customFormat="1" x14ac:dyDescent="0.45">
      <c r="B519" s="1942"/>
      <c r="C519" s="1945"/>
      <c r="D519" s="1916"/>
      <c r="E519" s="1917"/>
      <c r="F519" s="1917"/>
      <c r="G519" s="1918"/>
      <c r="I519" s="1916"/>
      <c r="J519" s="1917"/>
      <c r="K519" s="1917"/>
      <c r="L519" s="1918"/>
      <c r="N519" s="1916"/>
      <c r="O519" s="1917"/>
      <c r="P519" s="1917"/>
      <c r="Q519" s="1918"/>
      <c r="S519" s="1916"/>
      <c r="T519" s="1917"/>
      <c r="U519" s="1917"/>
      <c r="V519" s="1918"/>
      <c r="X519" s="1916"/>
      <c r="Y519" s="1917"/>
      <c r="Z519" s="1917"/>
      <c r="AA519" s="1918"/>
      <c r="AC519" s="1916"/>
      <c r="AD519" s="1917"/>
      <c r="AE519" s="1917"/>
      <c r="AF519" s="1918"/>
      <c r="AH519" s="1916"/>
      <c r="AI519" s="1917"/>
      <c r="AJ519" s="1917"/>
      <c r="AK519" s="1918"/>
    </row>
    <row r="520" spans="2:38" s="180" customFormat="1" x14ac:dyDescent="0.45">
      <c r="B520" s="1942"/>
      <c r="C520" s="1945"/>
      <c r="D520" s="1916"/>
      <c r="E520" s="1917"/>
      <c r="F520" s="1917"/>
      <c r="G520" s="1918"/>
      <c r="I520" s="1916"/>
      <c r="J520" s="1917"/>
      <c r="K520" s="1917"/>
      <c r="L520" s="1918"/>
      <c r="N520" s="1916"/>
      <c r="O520" s="1917"/>
      <c r="P520" s="1917"/>
      <c r="Q520" s="1918"/>
      <c r="S520" s="1916"/>
      <c r="T520" s="1917"/>
      <c r="U520" s="1917"/>
      <c r="V520" s="1918"/>
      <c r="X520" s="1916"/>
      <c r="Y520" s="1917"/>
      <c r="Z520" s="1917"/>
      <c r="AA520" s="1918"/>
      <c r="AC520" s="1916"/>
      <c r="AD520" s="1917"/>
      <c r="AE520" s="1917"/>
      <c r="AF520" s="1918"/>
      <c r="AH520" s="1916"/>
      <c r="AI520" s="1917"/>
      <c r="AJ520" s="1917"/>
      <c r="AK520" s="1918"/>
    </row>
    <row r="521" spans="2:38" s="180" customFormat="1" ht="15.75" customHeight="1" x14ac:dyDescent="0.45">
      <c r="B521" s="1942"/>
      <c r="C521" s="1945"/>
      <c r="D521" s="1916"/>
      <c r="E521" s="1917"/>
      <c r="F521" s="1917"/>
      <c r="G521" s="1918"/>
      <c r="I521" s="1916"/>
      <c r="J521" s="1917"/>
      <c r="K521" s="1917"/>
      <c r="L521" s="1918"/>
      <c r="N521" s="1916"/>
      <c r="O521" s="1917"/>
      <c r="P521" s="1917"/>
      <c r="Q521" s="1918"/>
      <c r="S521" s="1916"/>
      <c r="T521" s="1917"/>
      <c r="U521" s="1917"/>
      <c r="V521" s="1918"/>
      <c r="X521" s="1916"/>
      <c r="Y521" s="1917"/>
      <c r="Z521" s="1917"/>
      <c r="AA521" s="1918"/>
      <c r="AC521" s="1916"/>
      <c r="AD521" s="1917"/>
      <c r="AE521" s="1917"/>
      <c r="AF521" s="1918"/>
      <c r="AH521" s="1916"/>
      <c r="AI521" s="1917"/>
      <c r="AJ521" s="1917"/>
      <c r="AK521" s="1918"/>
    </row>
    <row r="522" spans="2:38" s="180" customFormat="1" x14ac:dyDescent="0.45">
      <c r="B522" s="1942"/>
      <c r="C522" s="1945"/>
      <c r="D522" s="1916"/>
      <c r="E522" s="1917"/>
      <c r="F522" s="1917"/>
      <c r="G522" s="1918"/>
      <c r="I522" s="1916"/>
      <c r="J522" s="1917"/>
      <c r="K522" s="1917"/>
      <c r="L522" s="1918"/>
      <c r="N522" s="1916"/>
      <c r="O522" s="1917"/>
      <c r="P522" s="1917"/>
      <c r="Q522" s="1918"/>
      <c r="S522" s="1916"/>
      <c r="T522" s="1917"/>
      <c r="U522" s="1917"/>
      <c r="V522" s="1918"/>
      <c r="X522" s="1916"/>
      <c r="Y522" s="1917"/>
      <c r="Z522" s="1917"/>
      <c r="AA522" s="1918"/>
      <c r="AC522" s="1916"/>
      <c r="AD522" s="1917"/>
      <c r="AE522" s="1917"/>
      <c r="AF522" s="1918"/>
      <c r="AH522" s="1916"/>
      <c r="AI522" s="1917"/>
      <c r="AJ522" s="1917"/>
      <c r="AK522" s="1918"/>
    </row>
    <row r="523" spans="2:38" s="180" customFormat="1" x14ac:dyDescent="0.45">
      <c r="B523" s="1942"/>
      <c r="C523" s="1945"/>
      <c r="D523" s="1916"/>
      <c r="E523" s="1917"/>
      <c r="F523" s="1917"/>
      <c r="G523" s="1918"/>
      <c r="I523" s="1916"/>
      <c r="J523" s="1917"/>
      <c r="K523" s="1917"/>
      <c r="L523" s="1918"/>
      <c r="N523" s="1916"/>
      <c r="O523" s="1917"/>
      <c r="P523" s="1917"/>
      <c r="Q523" s="1918"/>
      <c r="S523" s="1916"/>
      <c r="T523" s="1917"/>
      <c r="U523" s="1917"/>
      <c r="V523" s="1918"/>
      <c r="X523" s="1916"/>
      <c r="Y523" s="1917"/>
      <c r="Z523" s="1917"/>
      <c r="AA523" s="1918"/>
      <c r="AC523" s="1916"/>
      <c r="AD523" s="1917"/>
      <c r="AE523" s="1917"/>
      <c r="AF523" s="1918"/>
      <c r="AH523" s="1916"/>
      <c r="AI523" s="1917"/>
      <c r="AJ523" s="1917"/>
      <c r="AK523" s="1918"/>
    </row>
    <row r="524" spans="2:38" s="180" customFormat="1" x14ac:dyDescent="0.45">
      <c r="B524" s="1942"/>
      <c r="C524" s="1945"/>
      <c r="D524" s="1916"/>
      <c r="E524" s="1917"/>
      <c r="F524" s="1917"/>
      <c r="G524" s="1918"/>
      <c r="I524" s="1916"/>
      <c r="J524" s="1917"/>
      <c r="K524" s="1917"/>
      <c r="L524" s="1918"/>
      <c r="N524" s="1916"/>
      <c r="O524" s="1917"/>
      <c r="P524" s="1917"/>
      <c r="Q524" s="1918"/>
      <c r="S524" s="1916"/>
      <c r="T524" s="1917"/>
      <c r="U524" s="1917"/>
      <c r="V524" s="1918"/>
      <c r="X524" s="1916"/>
      <c r="Y524" s="1917"/>
      <c r="Z524" s="1917"/>
      <c r="AA524" s="1918"/>
      <c r="AC524" s="1916"/>
      <c r="AD524" s="1917"/>
      <c r="AE524" s="1917"/>
      <c r="AF524" s="1918"/>
      <c r="AH524" s="1916"/>
      <c r="AI524" s="1917"/>
      <c r="AJ524" s="1917"/>
      <c r="AK524" s="1918"/>
    </row>
    <row r="525" spans="2:38" s="180" customFormat="1" x14ac:dyDescent="0.45">
      <c r="B525" s="1942"/>
      <c r="C525" s="1945"/>
      <c r="D525" s="1916"/>
      <c r="E525" s="1917"/>
      <c r="F525" s="1917"/>
      <c r="G525" s="1918"/>
      <c r="I525" s="1916"/>
      <c r="J525" s="1917"/>
      <c r="K525" s="1917"/>
      <c r="L525" s="1918"/>
      <c r="N525" s="1916"/>
      <c r="O525" s="1917"/>
      <c r="P525" s="1917"/>
      <c r="Q525" s="1918"/>
      <c r="S525" s="1916"/>
      <c r="T525" s="1917"/>
      <c r="U525" s="1917"/>
      <c r="V525" s="1918"/>
      <c r="X525" s="1916"/>
      <c r="Y525" s="1917"/>
      <c r="Z525" s="1917"/>
      <c r="AA525" s="1918"/>
      <c r="AC525" s="1916"/>
      <c r="AD525" s="1917"/>
      <c r="AE525" s="1917"/>
      <c r="AF525" s="1918"/>
      <c r="AH525" s="1916"/>
      <c r="AI525" s="1917"/>
      <c r="AJ525" s="1917"/>
      <c r="AK525" s="1918"/>
    </row>
    <row r="526" spans="2:38" s="180" customFormat="1" x14ac:dyDescent="0.45">
      <c r="B526" s="1942"/>
      <c r="C526" s="1945"/>
      <c r="D526" s="1916"/>
      <c r="E526" s="1917"/>
      <c r="F526" s="1917"/>
      <c r="G526" s="1918"/>
      <c r="I526" s="1916"/>
      <c r="J526" s="1917"/>
      <c r="K526" s="1917"/>
      <c r="L526" s="1918"/>
      <c r="N526" s="1916"/>
      <c r="O526" s="1917"/>
      <c r="P526" s="1917"/>
      <c r="Q526" s="1918"/>
      <c r="S526" s="1916"/>
      <c r="T526" s="1917"/>
      <c r="U526" s="1917"/>
      <c r="V526" s="1918"/>
      <c r="X526" s="1916"/>
      <c r="Y526" s="1917"/>
      <c r="Z526" s="1917"/>
      <c r="AA526" s="1918"/>
      <c r="AC526" s="1916"/>
      <c r="AD526" s="1917"/>
      <c r="AE526" s="1917"/>
      <c r="AF526" s="1918"/>
      <c r="AH526" s="1916"/>
      <c r="AI526" s="1917"/>
      <c r="AJ526" s="1917"/>
      <c r="AK526" s="1918"/>
    </row>
    <row r="527" spans="2:38" s="180" customFormat="1" x14ac:dyDescent="0.45">
      <c r="B527" s="1942"/>
      <c r="C527" s="1945"/>
      <c r="D527" s="1919"/>
      <c r="E527" s="1920"/>
      <c r="F527" s="1920"/>
      <c r="G527" s="1921"/>
      <c r="I527" s="1919"/>
      <c r="J527" s="1920"/>
      <c r="K527" s="1920"/>
      <c r="L527" s="1921"/>
      <c r="N527" s="1919"/>
      <c r="O527" s="1920"/>
      <c r="P527" s="1920"/>
      <c r="Q527" s="1921"/>
      <c r="S527" s="1919"/>
      <c r="T527" s="1920"/>
      <c r="U527" s="1920"/>
      <c r="V527" s="1921"/>
      <c r="X527" s="1919"/>
      <c r="Y527" s="1920"/>
      <c r="Z527" s="1920"/>
      <c r="AA527" s="1921"/>
      <c r="AC527" s="1919"/>
      <c r="AD527" s="1920"/>
      <c r="AE527" s="1920"/>
      <c r="AF527" s="1921"/>
      <c r="AH527" s="1919"/>
      <c r="AI527" s="1920"/>
      <c r="AJ527" s="1920"/>
      <c r="AK527" s="1921"/>
    </row>
    <row r="528" spans="2:38" s="180" customFormat="1" ht="15" customHeight="1" x14ac:dyDescent="0.45">
      <c r="B528" s="1942"/>
      <c r="C528" s="1945"/>
      <c r="D528" s="1913" t="str">
        <f ca="1">IF(G508&gt;0,CONCATENATE("Session Aim: 
", CONCATENATE(IF(INDEX(final_duration_secondary,((WEEKDAY(E$3,2)*2-1)+IF(E508="Morning",0,1)),D508)=0, "", "1. "),
INDEX(sessions_aim_primary,, INDEX(plan_session_allocation,((WEEKDAY(E$3,2)*2-1)+IF(E508="Morning",0,1)),D508)), IF(INDEX(final_duration_secondary,((WEEKDAY(E$3,2)*2-1)+IF(E508="Morning",0,1)),D508)=0, "", "
2. "),
IF(INDEX(final_duration_secondary,((WEEKDAY(E$3,2)*2-1)+IF(E508="Morning",0,1)),D508)=0, "", INDEX(sessions_aim_secondary,, INDEX(plan_session_allocation,((WEEKDAY(E$3,2)*2-1)+IF(E508="Morning",0,1)),D508))), IF(INDEX(final_duration_tertiary,((WEEKDAY(E$3,2)*2-1)+IF(E508="Morning",0,1)),D508)=0, "", "
3. "),
IF(INDEX(final_duration_tertiary,((WEEKDAY(E$3,2)*2-1)+IF(E508="Morning",0,1)),D508)=0, "", INDEX(sessions_aim_tertiary,, INDEX(plan_session_allocation,((WEEKDAY(E$3,2)*2-1)+IF(E508="Morning",0,1)),D508))),
IF(INDEX(display_nutrition_description,((WEEKDAY(E$3,2)*2-1)+IF(E508="Morning",0,1)),D508)="","",
CONCATENATE("
Nutrition Aim:
", INDEX(sessions_aim_nutrition,,INDEX(plan_session_allocation,((WEEKDAY(E$3,2)*2-1)+IF(E508="Morning",0,1)),D508))
))
)),"")</f>
        <v/>
      </c>
      <c r="E528" s="1914"/>
      <c r="F528" s="1914"/>
      <c r="G528" s="1915"/>
      <c r="I528" s="1913" t="str">
        <f ca="1">IF(L508&gt;0,CONCATENATE("Session Aim: 
", CONCATENATE(IF(INDEX(final_duration_secondary,((WEEKDAY(J$3,2)*2-1)+IF(J508="Morning",0,1)),I508)=0, "", "1. "),
INDEX(sessions_aim_primary,, INDEX(plan_session_allocation,((WEEKDAY(J$3,2)*2-1)+IF(J508="Morning",0,1)),I508)), IF(INDEX(final_duration_secondary,((WEEKDAY(J$3,2)*2-1)+IF(J508="Morning",0,1)),I508)=0, "", "
2. "),
IF(INDEX(final_duration_secondary,((WEEKDAY(J$3,2)*2-1)+IF(J508="Morning",0,1)),I508)=0, "", INDEX(sessions_aim_secondary,, INDEX(plan_session_allocation,((WEEKDAY(J$3,2)*2-1)+IF(J508="Morning",0,1)),I508))), IF(INDEX(final_duration_tertiary,((WEEKDAY(J$3,2)*2-1)+IF(J508="Morning",0,1)),I508)=0, "", "
3. "),
IF(INDEX(final_duration_tertiary,((WEEKDAY(J$3,2)*2-1)+IF(J508="Morning",0,1)),I508)=0, "", INDEX(sessions_aim_tertiary,, INDEX(plan_session_allocation,((WEEKDAY(J$3,2)*2-1)+IF(J508="Morning",0,1)),I508))),
IF(INDEX(display_nutrition_description,((WEEKDAY(J$3,2)*2-1)+IF(J508="Morning",0,1)),I508)="","",
CONCATENATE("
Nutrition Aim:
", INDEX(sessions_aim_nutrition,,INDEX(plan_session_allocation,((WEEKDAY(J$3,2)*2-1)+IF(J508="Morning",0,1)),I508))
))
)),"")</f>
        <v/>
      </c>
      <c r="J528" s="1914"/>
      <c r="K528" s="1914"/>
      <c r="L528" s="1915"/>
      <c r="N528" s="1913" t="str">
        <f ca="1">IF(Q508&gt;0,CONCATENATE("Session Aim: 
", CONCATENATE(IF(INDEX(final_duration_secondary,((WEEKDAY(O$3,2)*2-1)+IF(O508="Morning",0,1)),N508)=0, "", "1. "),
INDEX(sessions_aim_primary,, INDEX(plan_session_allocation,((WEEKDAY(O$3,2)*2-1)+IF(O508="Morning",0,1)),N508)), IF(INDEX(final_duration_secondary,((WEEKDAY(O$3,2)*2-1)+IF(O508="Morning",0,1)),N508)=0, "", "
2. "),
IF(INDEX(final_duration_secondary,((WEEKDAY(O$3,2)*2-1)+IF(O508="Morning",0,1)),N508)=0, "", INDEX(sessions_aim_secondary,, INDEX(plan_session_allocation,((WEEKDAY(O$3,2)*2-1)+IF(O508="Morning",0,1)),N508))), IF(INDEX(final_duration_tertiary,((WEEKDAY(O$3,2)*2-1)+IF(O508="Morning",0,1)),N508)=0, "", "
3. "),
IF(INDEX(final_duration_tertiary,((WEEKDAY(O$3,2)*2-1)+IF(O508="Morning",0,1)),N508)=0, "", INDEX(sessions_aim_tertiary,, INDEX(plan_session_allocation,((WEEKDAY(O$3,2)*2-1)+IF(O508="Morning",0,1)),N508))),
IF(INDEX(display_nutrition_description,((WEEKDAY(O$3,2)*2-1)+IF(O508="Morning",0,1)),N508)="","",
CONCATENATE("
Nutrition Aim:
", INDEX(sessions_aim_nutrition,,INDEX(plan_session_allocation,((WEEKDAY(O$3,2)*2-1)+IF(O508="Morning",0,1)),N508))
))
)),"")</f>
        <v/>
      </c>
      <c r="O528" s="1914"/>
      <c r="P528" s="1914"/>
      <c r="Q528" s="1915"/>
      <c r="S528" s="1913" t="str">
        <f ca="1">IF(V508&gt;0,CONCATENATE("Session Aim: 
", CONCATENATE(IF(INDEX(final_duration_secondary,((WEEKDAY(T$3,2)*2-1)+IF(T508="Morning",0,1)),S508)=0, "", "1. "),
INDEX(sessions_aim_primary,, INDEX(plan_session_allocation,((WEEKDAY(T$3,2)*2-1)+IF(T508="Morning",0,1)),S508)), IF(INDEX(final_duration_secondary,((WEEKDAY(T$3,2)*2-1)+IF(T508="Morning",0,1)),S508)=0, "", "
2. "),
IF(INDEX(final_duration_secondary,((WEEKDAY(T$3,2)*2-1)+IF(T508="Morning",0,1)),S508)=0, "", INDEX(sessions_aim_secondary,, INDEX(plan_session_allocation,((WEEKDAY(T$3,2)*2-1)+IF(T508="Morning",0,1)),S508))), IF(INDEX(final_duration_tertiary,((WEEKDAY(T$3,2)*2-1)+IF(T508="Morning",0,1)),S508)=0, "", "
3. "),
IF(INDEX(final_duration_tertiary,((WEEKDAY(T$3,2)*2-1)+IF(T508="Morning",0,1)),S508)=0, "", INDEX(sessions_aim_tertiary,, INDEX(plan_session_allocation,((WEEKDAY(T$3,2)*2-1)+IF(T508="Morning",0,1)),S508))),
IF(INDEX(display_nutrition_description,((WEEKDAY(T$3,2)*2-1)+IF(T508="Morning",0,1)),S508)="","",
CONCATENATE("
Nutrition Aim:
", INDEX(sessions_aim_nutrition,,INDEX(plan_session_allocation,((WEEKDAY(T$3,2)*2-1)+IF(T508="Morning",0,1)),S508))
))
)),"")</f>
        <v/>
      </c>
      <c r="T528" s="1914"/>
      <c r="U528" s="1914"/>
      <c r="V528" s="1915"/>
      <c r="X528" s="1913" t="str">
        <f ca="1">IF(AA508&gt;0,CONCATENATE("Session Aim: 
", CONCATENATE(IF(INDEX(final_duration_secondary,((WEEKDAY(Y$3,2)*2-1)+IF(Y508="Morning",0,1)),X508)=0, "", "1. "),
INDEX(sessions_aim_primary,, INDEX(plan_session_allocation,((WEEKDAY(Y$3,2)*2-1)+IF(Y508="Morning",0,1)),X508)), IF(INDEX(final_duration_secondary,((WEEKDAY(Y$3,2)*2-1)+IF(Y508="Morning",0,1)),X508)=0, "", "
2. "),
IF(INDEX(final_duration_secondary,((WEEKDAY(Y$3,2)*2-1)+IF(Y508="Morning",0,1)),X508)=0, "", INDEX(sessions_aim_secondary,, INDEX(plan_session_allocation,((WEEKDAY(Y$3,2)*2-1)+IF(Y508="Morning",0,1)),X508))), IF(INDEX(final_duration_tertiary,((WEEKDAY(Y$3,2)*2-1)+IF(Y508="Morning",0,1)),X508)=0, "", "
3. "),
IF(INDEX(final_duration_tertiary,((WEEKDAY(Y$3,2)*2-1)+IF(Y508="Morning",0,1)),X508)=0, "", INDEX(sessions_aim_tertiary,, INDEX(plan_session_allocation,((WEEKDAY(Y$3,2)*2-1)+IF(Y508="Morning",0,1)),X508))),
IF(INDEX(display_nutrition_description,((WEEKDAY(Y$3,2)*2-1)+IF(Y508="Morning",0,1)),X508)="","",
CONCATENATE("
Nutrition Aim:
", INDEX(sessions_aim_nutrition,,INDEX(plan_session_allocation,((WEEKDAY(Y$3,2)*2-1)+IF(Y508="Morning",0,1)),X508))
))
)),"")</f>
        <v/>
      </c>
      <c r="Y528" s="1914"/>
      <c r="Z528" s="1914"/>
      <c r="AA528" s="1915"/>
      <c r="AC528" s="1913" t="str">
        <f ca="1">IF(AF508&gt;0,CONCATENATE("Session Aim: 
", CONCATENATE(IF(INDEX(final_duration_secondary,((WEEKDAY(AD$3,2)*2-1)+IF(AD508="Morning",0,1)),AC508)=0, "", "1. "),
INDEX(sessions_aim_primary,, INDEX(plan_session_allocation,((WEEKDAY(AD$3,2)*2-1)+IF(AD508="Morning",0,1)),AC508)), IF(INDEX(final_duration_secondary,((WEEKDAY(AD$3,2)*2-1)+IF(AD508="Morning",0,1)),AC508)=0, "", "
2. "),
IF(INDEX(final_duration_secondary,((WEEKDAY(AD$3,2)*2-1)+IF(AD508="Morning",0,1)),AC508)=0, "", INDEX(sessions_aim_secondary,, INDEX(plan_session_allocation,((WEEKDAY(AD$3,2)*2-1)+IF(AD508="Morning",0,1)),AC508))), IF(INDEX(final_duration_tertiary,((WEEKDAY(AD$3,2)*2-1)+IF(AD508="Morning",0,1)),AC508)=0, "", "
3. "),
IF(INDEX(final_duration_tertiary,((WEEKDAY(AD$3,2)*2-1)+IF(AD508="Morning",0,1)),AC508)=0, "", INDEX(sessions_aim_tertiary,, INDEX(plan_session_allocation,((WEEKDAY(AD$3,2)*2-1)+IF(AD508="Morning",0,1)),AC508))),
IF(INDEX(display_nutrition_description,((WEEKDAY(AD$3,2)*2-1)+IF(AD508="Morning",0,1)),AC508)="","",
CONCATENATE("
Nutrition Aim:
", INDEX(sessions_aim_nutrition,,INDEX(plan_session_allocation,((WEEKDAY(AD$3,2)*2-1)+IF(AD508="Morning",0,1)),AC508))
))
)),"")</f>
        <v/>
      </c>
      <c r="AD528" s="1914"/>
      <c r="AE528" s="1914"/>
      <c r="AF528" s="1915"/>
      <c r="AH528" s="1913" t="str">
        <f ca="1">IF(AK508&gt;0,CONCATENATE("Session Aim: 
", CONCATENATE(IF(INDEX(final_duration_secondary,((WEEKDAY(AI$3,2)*2-1)+IF(AI508="Morning",0,1)),AH508)=0, "", "1. "),
INDEX(sessions_aim_primary,, INDEX(plan_session_allocation,((WEEKDAY(AI$3,2)*2-1)+IF(AI508="Morning",0,1)),AH508)), IF(INDEX(final_duration_secondary,((WEEKDAY(AI$3,2)*2-1)+IF(AI508="Morning",0,1)),AH508)=0, "", "
2. "),
IF(INDEX(final_duration_secondary,((WEEKDAY(AI$3,2)*2-1)+IF(AI508="Morning",0,1)),AH508)=0, "", INDEX(sessions_aim_secondary,, INDEX(plan_session_allocation,((WEEKDAY(AI$3,2)*2-1)+IF(AI508="Morning",0,1)),AH508))), IF(INDEX(final_duration_tertiary,((WEEKDAY(AI$3,2)*2-1)+IF(AI508="Morning",0,1)),AH508)=0, "", "
3. "),
IF(INDEX(final_duration_tertiary,((WEEKDAY(AI$3,2)*2-1)+IF(AI508="Morning",0,1)),AH508)=0, "", INDEX(sessions_aim_tertiary,, INDEX(plan_session_allocation,((WEEKDAY(AI$3,2)*2-1)+IF(AI508="Morning",0,1)),AH508))),
IF(INDEX(display_nutrition_description,((WEEKDAY(AI$3,2)*2-1)+IF(AI508="Morning",0,1)),AH508)="","",
CONCATENATE("
Nutrition Aim:
", INDEX(sessions_aim_nutrition,,INDEX(plan_session_allocation,((WEEKDAY(AI$3,2)*2-1)+IF(AI508="Morning",0,1)),AH508))
))
)),"")</f>
        <v/>
      </c>
      <c r="AI528" s="1914"/>
      <c r="AJ528" s="1914"/>
      <c r="AK528" s="1915"/>
    </row>
    <row r="529" spans="2:38" s="180" customFormat="1" x14ac:dyDescent="0.45">
      <c r="B529" s="1942"/>
      <c r="C529" s="1945"/>
      <c r="D529" s="1916"/>
      <c r="E529" s="1917"/>
      <c r="F529" s="1917"/>
      <c r="G529" s="1918"/>
      <c r="I529" s="1916"/>
      <c r="J529" s="1917"/>
      <c r="K529" s="1917"/>
      <c r="L529" s="1918"/>
      <c r="N529" s="1916"/>
      <c r="O529" s="1917"/>
      <c r="P529" s="1917"/>
      <c r="Q529" s="1918"/>
      <c r="S529" s="1916"/>
      <c r="T529" s="1917"/>
      <c r="U529" s="1917"/>
      <c r="V529" s="1918"/>
      <c r="X529" s="1916"/>
      <c r="Y529" s="1917"/>
      <c r="Z529" s="1917"/>
      <c r="AA529" s="1918"/>
      <c r="AC529" s="1916"/>
      <c r="AD529" s="1917"/>
      <c r="AE529" s="1917"/>
      <c r="AF529" s="1918"/>
      <c r="AH529" s="1916"/>
      <c r="AI529" s="1917"/>
      <c r="AJ529" s="1917"/>
      <c r="AK529" s="1918"/>
    </row>
    <row r="530" spans="2:38" s="180" customFormat="1" x14ac:dyDescent="0.45">
      <c r="B530" s="1942"/>
      <c r="C530" s="1945"/>
      <c r="D530" s="1916"/>
      <c r="E530" s="1917"/>
      <c r="F530" s="1917"/>
      <c r="G530" s="1918"/>
      <c r="I530" s="1916"/>
      <c r="J530" s="1917"/>
      <c r="K530" s="1917"/>
      <c r="L530" s="1918"/>
      <c r="N530" s="1916"/>
      <c r="O530" s="1917"/>
      <c r="P530" s="1917"/>
      <c r="Q530" s="1918"/>
      <c r="S530" s="1916"/>
      <c r="T530" s="1917"/>
      <c r="U530" s="1917"/>
      <c r="V530" s="1918"/>
      <c r="X530" s="1916"/>
      <c r="Y530" s="1917"/>
      <c r="Z530" s="1917"/>
      <c r="AA530" s="1918"/>
      <c r="AC530" s="1916"/>
      <c r="AD530" s="1917"/>
      <c r="AE530" s="1917"/>
      <c r="AF530" s="1918"/>
      <c r="AH530" s="1916"/>
      <c r="AI530" s="1917"/>
      <c r="AJ530" s="1917"/>
      <c r="AK530" s="1918"/>
    </row>
    <row r="531" spans="2:38" s="180" customFormat="1" x14ac:dyDescent="0.45">
      <c r="B531" s="1942"/>
      <c r="C531" s="1945"/>
      <c r="D531" s="1916"/>
      <c r="E531" s="1917"/>
      <c r="F531" s="1917"/>
      <c r="G531" s="1918"/>
      <c r="I531" s="1916"/>
      <c r="J531" s="1917"/>
      <c r="K531" s="1917"/>
      <c r="L531" s="1918"/>
      <c r="N531" s="1916"/>
      <c r="O531" s="1917"/>
      <c r="P531" s="1917"/>
      <c r="Q531" s="1918"/>
      <c r="S531" s="1916"/>
      <c r="T531" s="1917"/>
      <c r="U531" s="1917"/>
      <c r="V531" s="1918"/>
      <c r="X531" s="1916"/>
      <c r="Y531" s="1917"/>
      <c r="Z531" s="1917"/>
      <c r="AA531" s="1918"/>
      <c r="AC531" s="1916"/>
      <c r="AD531" s="1917"/>
      <c r="AE531" s="1917"/>
      <c r="AF531" s="1918"/>
      <c r="AH531" s="1916"/>
      <c r="AI531" s="1917"/>
      <c r="AJ531" s="1917"/>
      <c r="AK531" s="1918"/>
    </row>
    <row r="532" spans="2:38" s="180" customFormat="1" x14ac:dyDescent="0.45">
      <c r="B532" s="1942"/>
      <c r="C532" s="1945"/>
      <c r="D532" s="1916"/>
      <c r="E532" s="1917"/>
      <c r="F532" s="1917"/>
      <c r="G532" s="1918"/>
      <c r="I532" s="1916"/>
      <c r="J532" s="1917"/>
      <c r="K532" s="1917"/>
      <c r="L532" s="1918"/>
      <c r="N532" s="1916"/>
      <c r="O532" s="1917"/>
      <c r="P532" s="1917"/>
      <c r="Q532" s="1918"/>
      <c r="S532" s="1916"/>
      <c r="T532" s="1917"/>
      <c r="U532" s="1917"/>
      <c r="V532" s="1918"/>
      <c r="X532" s="1916"/>
      <c r="Y532" s="1917"/>
      <c r="Z532" s="1917"/>
      <c r="AA532" s="1918"/>
      <c r="AC532" s="1916"/>
      <c r="AD532" s="1917"/>
      <c r="AE532" s="1917"/>
      <c r="AF532" s="1918"/>
      <c r="AH532" s="1916"/>
      <c r="AI532" s="1917"/>
      <c r="AJ532" s="1917"/>
      <c r="AK532" s="1918"/>
    </row>
    <row r="533" spans="2:38" s="180" customFormat="1" x14ac:dyDescent="0.45">
      <c r="B533" s="1942"/>
      <c r="C533" s="1945"/>
      <c r="D533" s="1916"/>
      <c r="E533" s="1917"/>
      <c r="F533" s="1917"/>
      <c r="G533" s="1918"/>
      <c r="I533" s="1916"/>
      <c r="J533" s="1917"/>
      <c r="K533" s="1917"/>
      <c r="L533" s="1918"/>
      <c r="N533" s="1916"/>
      <c r="O533" s="1917"/>
      <c r="P533" s="1917"/>
      <c r="Q533" s="1918"/>
      <c r="S533" s="1916"/>
      <c r="T533" s="1917"/>
      <c r="U533" s="1917"/>
      <c r="V533" s="1918"/>
      <c r="X533" s="1916"/>
      <c r="Y533" s="1917"/>
      <c r="Z533" s="1917"/>
      <c r="AA533" s="1918"/>
      <c r="AC533" s="1916"/>
      <c r="AD533" s="1917"/>
      <c r="AE533" s="1917"/>
      <c r="AF533" s="1918"/>
      <c r="AH533" s="1916"/>
      <c r="AI533" s="1917"/>
      <c r="AJ533" s="1917"/>
      <c r="AK533" s="1918"/>
    </row>
    <row r="534" spans="2:38" s="180" customFormat="1" ht="14.65" thickBot="1" x14ac:dyDescent="0.5">
      <c r="B534" s="1942"/>
      <c r="C534" s="1945"/>
      <c r="D534" s="1938"/>
      <c r="E534" s="1939"/>
      <c r="F534" s="1939"/>
      <c r="G534" s="1940"/>
      <c r="I534" s="1938"/>
      <c r="J534" s="1939"/>
      <c r="K534" s="1939"/>
      <c r="L534" s="1940"/>
      <c r="N534" s="1938"/>
      <c r="O534" s="1939"/>
      <c r="P534" s="1939"/>
      <c r="Q534" s="1940"/>
      <c r="S534" s="1938"/>
      <c r="T534" s="1939"/>
      <c r="U534" s="1939"/>
      <c r="V534" s="1940"/>
      <c r="X534" s="1938"/>
      <c r="Y534" s="1939"/>
      <c r="Z534" s="1939"/>
      <c r="AA534" s="1940"/>
      <c r="AC534" s="1938"/>
      <c r="AD534" s="1939"/>
      <c r="AE534" s="1939"/>
      <c r="AF534" s="1940"/>
      <c r="AH534" s="1938"/>
      <c r="AI534" s="1939"/>
      <c r="AJ534" s="1939"/>
      <c r="AK534" s="1940"/>
    </row>
    <row r="535" spans="2:38" s="176" customFormat="1" ht="15.75" customHeight="1" x14ac:dyDescent="0.45">
      <c r="B535" s="1942"/>
      <c r="C535" s="1945"/>
      <c r="D535" s="1415">
        <f>$B507</f>
        <v>10</v>
      </c>
      <c r="E535" s="1930" t="s">
        <v>352</v>
      </c>
      <c r="F535" s="1930"/>
      <c r="G535" s="1414">
        <f ca="1">INDEX(final_duration_session,((WEEKDAY(E$3,2)*2-1)+IF(E535="Morning",0,1)),$D535)</f>
        <v>0</v>
      </c>
      <c r="H535" s="177"/>
      <c r="I535" s="1415">
        <f>$B507</f>
        <v>10</v>
      </c>
      <c r="J535" s="1930" t="s">
        <v>352</v>
      </c>
      <c r="K535" s="1930"/>
      <c r="L535" s="1414">
        <f ca="1">INDEX(final_duration_session,((WEEKDAY(J$3,2)*2-1)+IF(J535="Morning",0,1)),$D535)</f>
        <v>0</v>
      </c>
      <c r="M535" s="177"/>
      <c r="N535" s="1415">
        <f>$B507</f>
        <v>10</v>
      </c>
      <c r="O535" s="1930" t="s">
        <v>352</v>
      </c>
      <c r="P535" s="1930"/>
      <c r="Q535" s="1414">
        <f ca="1">INDEX(final_duration_session,((WEEKDAY(O$3,2)*2-1)+IF(O535="Morning",0,1)),$D535)</f>
        <v>0</v>
      </c>
      <c r="R535" s="177"/>
      <c r="S535" s="1415">
        <f>$B507</f>
        <v>10</v>
      </c>
      <c r="T535" s="1930" t="s">
        <v>352</v>
      </c>
      <c r="U535" s="1930"/>
      <c r="V535" s="1414">
        <f ca="1">INDEX(final_duration_session,((WEEKDAY(T$3,2)*2-1)+IF(T535="Morning",0,1)),$D535)</f>
        <v>0</v>
      </c>
      <c r="W535" s="177"/>
      <c r="X535" s="1415">
        <f>$B507</f>
        <v>10</v>
      </c>
      <c r="Y535" s="1930" t="s">
        <v>352</v>
      </c>
      <c r="Z535" s="1930"/>
      <c r="AA535" s="1414">
        <f ca="1">INDEX(final_duration_session,((WEEKDAY(Y$3,2)*2-1)+IF(Y535="Morning",0,1)),$D535)</f>
        <v>0</v>
      </c>
      <c r="AB535" s="177"/>
      <c r="AC535" s="1415">
        <f>$B507</f>
        <v>10</v>
      </c>
      <c r="AD535" s="1930" t="s">
        <v>352</v>
      </c>
      <c r="AE535" s="1930"/>
      <c r="AF535" s="1414">
        <f ca="1">INDEX(final_duration_session,((WEEKDAY(AD$3,2)*2-1)+IF(AD535="Morning",0,1)),$D535)</f>
        <v>0</v>
      </c>
      <c r="AG535" s="177"/>
      <c r="AH535" s="1415">
        <f>$B507</f>
        <v>10</v>
      </c>
      <c r="AI535" s="1930" t="s">
        <v>352</v>
      </c>
      <c r="AJ535" s="1930"/>
      <c r="AK535" s="1414">
        <f ca="1">INDEX(final_duration_session,((WEEKDAY(AI$3,2)*2-1)+IF(AI535="Morning",0,1)),$D535)</f>
        <v>50</v>
      </c>
      <c r="AL535" s="177"/>
    </row>
    <row r="536" spans="2:38" s="176" customFormat="1" ht="15" customHeight="1" x14ac:dyDescent="0.45">
      <c r="B536" s="1942"/>
      <c r="C536" s="1945"/>
      <c r="D536" s="1931" t="str">
        <f ca="1">IF(G535&gt;0,INDEX(sessions_name,INDEX(plan_session_allocation,((WEEKDAY(E$3,2)*2-1)+IF(E535="Morning",0,1)),D535)),"")</f>
        <v/>
      </c>
      <c r="E536" s="1932"/>
      <c r="F536" s="1932"/>
      <c r="G536" s="1933"/>
      <c r="H536" s="177"/>
      <c r="I536" s="1931" t="str">
        <f ca="1">IF(L535&gt;0,INDEX(sessions_name,INDEX(plan_session_allocation,((WEEKDAY(J$3,2)*2-1)+IF(J535="Morning",0,1)),I535)),"")</f>
        <v/>
      </c>
      <c r="J536" s="1932"/>
      <c r="K536" s="1932"/>
      <c r="L536" s="1933"/>
      <c r="M536" s="177"/>
      <c r="N536" s="1931" t="str">
        <f ca="1">IF(Q535&gt;0,INDEX(sessions_name,INDEX(plan_session_allocation,((WEEKDAY(O$3,2)*2-1)+IF(O535="Morning",0,1)),N535)),"")</f>
        <v/>
      </c>
      <c r="O536" s="1932"/>
      <c r="P536" s="1932"/>
      <c r="Q536" s="1933"/>
      <c r="R536" s="177"/>
      <c r="S536" s="1931" t="str">
        <f ca="1">IF(V535&gt;0,INDEX(sessions_name,INDEX(plan_session_allocation,((WEEKDAY(T$3,2)*2-1)+IF(T535="Morning",0,1)),S535)),"")</f>
        <v/>
      </c>
      <c r="T536" s="1932"/>
      <c r="U536" s="1932"/>
      <c r="V536" s="1933"/>
      <c r="W536" s="177"/>
      <c r="X536" s="1931" t="str">
        <f ca="1">IF(AA535&gt;0,INDEX(sessions_name,INDEX(plan_session_allocation,((WEEKDAY(Y$3,2)*2-1)+IF(Y535="Morning",0,1)),X535)),"")</f>
        <v/>
      </c>
      <c r="Y536" s="1932"/>
      <c r="Z536" s="1932"/>
      <c r="AA536" s="1933"/>
      <c r="AB536" s="177"/>
      <c r="AC536" s="1931" t="str">
        <f ca="1">IF(AF535&gt;0,INDEX(sessions_name,INDEX(plan_session_allocation,((WEEKDAY(AD$3,2)*2-1)+IF(AD535="Morning",0,1)),AC535)),"")</f>
        <v/>
      </c>
      <c r="AD536" s="1932"/>
      <c r="AE536" s="1932"/>
      <c r="AF536" s="1933"/>
      <c r="AG536" s="177"/>
      <c r="AH536" s="1931" t="str">
        <f ca="1">IF(AK535&gt;0,INDEX(sessions_name,INDEX(plan_session_allocation,((WEEKDAY(AI$3,2)*2-1)+IF(AI535="Morning",0,1)),AH535)),"")</f>
        <v>Steady</v>
      </c>
      <c r="AI536" s="1932"/>
      <c r="AJ536" s="1932"/>
      <c r="AK536" s="1933"/>
      <c r="AL536" s="177"/>
    </row>
    <row r="537" spans="2:38" s="176" customFormat="1" ht="15" customHeight="1" x14ac:dyDescent="0.45">
      <c r="B537" s="1942"/>
      <c r="C537" s="1945"/>
      <c r="D537" s="1934" t="str">
        <f ca="1">IF(G535&gt;0,CONCATENATE("Sport: ",INDEX(sessions_sport_primary,INDEX(plan_session_allocation,(WEEKDAY(E$3,2)*2-1)+IF(E535="Morning",0,1),D535))),"")</f>
        <v/>
      </c>
      <c r="E537" s="1935"/>
      <c r="F537" s="1936" t="str">
        <f ca="1">IF(G535&gt;0,IFERROR(F538+F539+F540,""),"")</f>
        <v/>
      </c>
      <c r="G537" s="1937"/>
      <c r="H537" s="177"/>
      <c r="I537" s="1934" t="str">
        <f ca="1">IF(L535&gt;0,CONCATENATE("Sport: ",INDEX(sessions_sport_primary,INDEX(plan_session_allocation,(WEEKDAY(J$3,2)*2-1)+IF(J535="Morning",0,1),I535))),"")</f>
        <v/>
      </c>
      <c r="J537" s="1935"/>
      <c r="K537" s="1936" t="str">
        <f ca="1">IF(L535&gt;0,IFERROR(K538+K539+K540,""),"")</f>
        <v/>
      </c>
      <c r="L537" s="1937"/>
      <c r="M537" s="177"/>
      <c r="N537" s="1934" t="str">
        <f ca="1">IF(Q535&gt;0,CONCATENATE("Sport: ",INDEX(sessions_sport_primary,INDEX(plan_session_allocation,(WEEKDAY(O$3,2)*2-1)+IF(O535="Morning",0,1),N535))),"")</f>
        <v/>
      </c>
      <c r="O537" s="1935"/>
      <c r="P537" s="1936" t="str">
        <f ca="1">IF(Q535&gt;0,IFERROR(P538+P539+P540,""),"")</f>
        <v/>
      </c>
      <c r="Q537" s="1937"/>
      <c r="R537" s="177"/>
      <c r="S537" s="1934" t="str">
        <f ca="1">IF(V535&gt;0,CONCATENATE("Sport: ",INDEX(sessions_sport_primary,INDEX(plan_session_allocation,(WEEKDAY(T$3,2)*2-1)+IF(T535="Morning",0,1),S535))),"")</f>
        <v/>
      </c>
      <c r="T537" s="1935"/>
      <c r="U537" s="1936" t="str">
        <f ca="1">IF(V535&gt;0,IFERROR(U538+U539+U540,""),"")</f>
        <v/>
      </c>
      <c r="V537" s="1937"/>
      <c r="W537" s="177"/>
      <c r="X537" s="1934" t="str">
        <f ca="1">IF(AA535&gt;0,CONCATENATE("Sport: ",INDEX(sessions_sport_primary,INDEX(plan_session_allocation,(WEEKDAY(Y$3,2)*2-1)+IF(Y535="Morning",0,1),X535))),"")</f>
        <v/>
      </c>
      <c r="Y537" s="1935"/>
      <c r="Z537" s="1936" t="str">
        <f ca="1">IF(AA535&gt;0,IFERROR(Z538+Z539+Z540,""),"")</f>
        <v/>
      </c>
      <c r="AA537" s="1937"/>
      <c r="AB537" s="177"/>
      <c r="AC537" s="1934" t="str">
        <f ca="1">IF(AF535&gt;0,CONCATENATE("Sport: ",INDEX(sessions_sport_primary,INDEX(plan_session_allocation,(WEEKDAY(AD$3,2)*2-1)+IF(AD535="Morning",0,1),AC535))),"")</f>
        <v/>
      </c>
      <c r="AD537" s="1935"/>
      <c r="AE537" s="1936" t="str">
        <f ca="1">IF(AF535&gt;0,IFERROR(AE538+AE539+AE540,""),"")</f>
        <v/>
      </c>
      <c r="AF537" s="1937"/>
      <c r="AG537" s="177"/>
      <c r="AH537" s="1934" t="str">
        <f ca="1">IF(AK535&gt;0,CONCATENATE("Sport: ",INDEX(sessions_sport_primary,INDEX(plan_session_allocation,(WEEKDAY(AI$3,2)*2-1)+IF(AI535="Morning",0,1),AH535))),"")</f>
        <v>Sport: Hilly Trail Run</v>
      </c>
      <c r="AI537" s="1935"/>
      <c r="AJ537" s="1936">
        <f ca="1">IF(AK535&gt;0,IFERROR(AJ538+AJ539+AJ540,""),"")</f>
        <v>50</v>
      </c>
      <c r="AK537" s="1937"/>
      <c r="AL537" s="177"/>
    </row>
    <row r="538" spans="2:38" s="177" customFormat="1" ht="15" customHeight="1" x14ac:dyDescent="0.45">
      <c r="B538" s="1942"/>
      <c r="C538" s="1945"/>
      <c r="D538" s="1922" t="str">
        <f ca="1">IF(G535&gt;0,CONCATENATE("HR Target: ",
INDEX(sessions_HR_primary,INDEX(plan_session_allocation,((WEEKDAY(E$3,2)*2-1)+IF(E535="Morning",0,1)),D535)),
IF(INDEX(sessions_HR_primary,INDEX(plan_session_allocation,((WEEKDAY(E$3,2)*2-1)+IF(E535="Morning",0,1)),D535))="N/A","",
" BPM")),"")</f>
        <v/>
      </c>
      <c r="E538" s="1923"/>
      <c r="F538" s="1924" t="str">
        <f ca="1">IF(G535&gt;0,
INDEX(final_duration_effort,((WEEKDAY(E$3,2)*2-1)+IF(E535="Morning",0,1)),D535),"")</f>
        <v/>
      </c>
      <c r="G538" s="1925"/>
      <c r="I538" s="1922" t="str">
        <f ca="1">IF(L535&gt;0,CONCATENATE("HR Target: ",
INDEX(sessions_HR_primary,INDEX(plan_session_allocation,((WEEKDAY(J$3,2)*2-1)+IF(J535="Morning",0,1)),I535)),
IF(INDEX(sessions_HR_primary,INDEX(plan_session_allocation,((WEEKDAY(J$3,2)*2-1)+IF(J535="Morning",0,1)),I535))="N/A","",
" BPM")),"")</f>
        <v/>
      </c>
      <c r="J538" s="1923"/>
      <c r="K538" s="1924" t="str">
        <f ca="1">IF(L535&gt;0,
INDEX(final_duration_effort,((WEEKDAY(J$3,2)*2-1)+IF(J535="Morning",0,1)),I535),"")</f>
        <v/>
      </c>
      <c r="L538" s="1925"/>
      <c r="N538" s="1922" t="str">
        <f ca="1">IF(Q535&gt;0,CONCATENATE("HR Target: ",
INDEX(sessions_HR_primary,INDEX(plan_session_allocation,((WEEKDAY(O$3,2)*2-1)+IF(O535="Morning",0,1)),N535)),
IF(INDEX(sessions_HR_primary,INDEX(plan_session_allocation,((WEEKDAY(O$3,2)*2-1)+IF(O535="Morning",0,1)),N535))="N/A","",
" BPM")),"")</f>
        <v/>
      </c>
      <c r="O538" s="1923"/>
      <c r="P538" s="1924" t="str">
        <f ca="1">IF(Q535&gt;0,
INDEX(final_duration_effort,((WEEKDAY(O$3,2)*2-1)+IF(O535="Morning",0,1)),N535),"")</f>
        <v/>
      </c>
      <c r="Q538" s="1925"/>
      <c r="S538" s="1922" t="str">
        <f ca="1">IF(V535&gt;0,CONCATENATE("HR Target: ",
INDEX(sessions_HR_primary,INDEX(plan_session_allocation,((WEEKDAY(T$3,2)*2-1)+IF(T535="Morning",0,1)),S535)),
IF(INDEX(sessions_HR_primary,INDEX(plan_session_allocation,((WEEKDAY(T$3,2)*2-1)+IF(T535="Morning",0,1)),S535))="N/A","",
" BPM")),"")</f>
        <v/>
      </c>
      <c r="T538" s="1923"/>
      <c r="U538" s="1924" t="str">
        <f ca="1">IF(V535&gt;0,
INDEX(final_duration_effort,((WEEKDAY(T$3,2)*2-1)+IF(T535="Morning",0,1)),S535),"")</f>
        <v/>
      </c>
      <c r="V538" s="1925"/>
      <c r="X538" s="1922" t="str">
        <f ca="1">IF(AA535&gt;0,CONCATENATE("HR Target: ",
INDEX(sessions_HR_primary,INDEX(plan_session_allocation,((WEEKDAY(Y$3,2)*2-1)+IF(Y535="Morning",0,1)),X535)),
IF(INDEX(sessions_HR_primary,INDEX(plan_session_allocation,((WEEKDAY(Y$3,2)*2-1)+IF(Y535="Morning",0,1)),X535))="N/A","",
" BPM")),"")</f>
        <v/>
      </c>
      <c r="Y538" s="1923"/>
      <c r="Z538" s="1924" t="str">
        <f ca="1">IF(AA535&gt;0,
INDEX(final_duration_effort,((WEEKDAY(Y$3,2)*2-1)+IF(Y535="Morning",0,1)),X535),"")</f>
        <v/>
      </c>
      <c r="AA538" s="1925"/>
      <c r="AC538" s="1922" t="str">
        <f ca="1">IF(AF535&gt;0,CONCATENATE("HR Target: ",
INDEX(sessions_HR_primary,INDEX(plan_session_allocation,((WEEKDAY(AD$3,2)*2-1)+IF(AD535="Morning",0,1)),AC535)),
IF(INDEX(sessions_HR_primary,INDEX(plan_session_allocation,((WEEKDAY(AD$3,2)*2-1)+IF(AD535="Morning",0,1)),AC535))="N/A","",
" BPM")),"")</f>
        <v/>
      </c>
      <c r="AD538" s="1923"/>
      <c r="AE538" s="1924" t="str">
        <f ca="1">IF(AF535&gt;0,
INDEX(final_duration_effort,((WEEKDAY(AD$3,2)*2-1)+IF(AD535="Morning",0,1)),AC535),"")</f>
        <v/>
      </c>
      <c r="AF538" s="1925"/>
      <c r="AH538" s="1922" t="str">
        <f ca="1">IF(AK535&gt;0,CONCATENATE("HR Target: ",
INDEX(sessions_HR_primary,INDEX(plan_session_allocation,((WEEKDAY(AI$3,2)*2-1)+IF(AI535="Morning",0,1)),AH535)),
IF(INDEX(sessions_HR_primary,INDEX(plan_session_allocation,((WEEKDAY(AI$3,2)*2-1)+IF(AI535="Morning",0,1)),AH535))="N/A","",
" BPM")),"")</f>
        <v>HR Target: 148 BPM</v>
      </c>
      <c r="AI538" s="1923"/>
      <c r="AJ538" s="1924">
        <f ca="1">IF(AK535&gt;0,
INDEX(final_duration_effort,((WEEKDAY(AI$3,2)*2-1)+IF(AI535="Morning",0,1)),AH535),"")</f>
        <v>50</v>
      </c>
      <c r="AK538" s="1925"/>
    </row>
    <row r="539" spans="2:38" s="177" customFormat="1" ht="15" customHeight="1" x14ac:dyDescent="0.45">
      <c r="B539" s="1942"/>
      <c r="C539" s="1945"/>
      <c r="D539" s="1926" t="str">
        <f ca="1">IF(G535&gt;0,CONCATENATE("HR Range: ",
INDEX(sessions_HR_range_primary,INDEX(plan_session_allocation,((WEEKDAY(E$3,2)*2-1)+IF(E535="Morning",0,1)),D535)),
IF(INDEX(sessions_HR_range_primary,INDEX(plan_session_allocation,((WEEKDAY(E$3,2)*2-1)+IF(E535="Morning",0,1)),D535))="N/A","",
" BPM")),"")</f>
        <v/>
      </c>
      <c r="E539" s="1927"/>
      <c r="F539" s="1928" t="str">
        <f ca="1">IF(G535&gt;0,IF(
INDEX(sessions_recoveries,INDEX(plan_session_allocation,((WEEKDAY(E$3,2)*2-1)+IF(E535="Morning",0,1)),D535))="Yes",
VLOOKUP(INDEX(plan_duration_primary,((WEEKDAY(E$3,2)*2-1)+IF(E535="Morning",0,1)),D535),
INDIRECT(INDEX(sessions_intervals_code_primary,INDEX(plan_session_allocation,((WEEKDAY(E$3,2)*2-1)+IF(E535="Morning",0,1)),D535))),7,TRUE),0),"")</f>
        <v/>
      </c>
      <c r="G539" s="1929"/>
      <c r="I539" s="1926" t="str">
        <f ca="1">IF(L535&gt;0,CONCATENATE("HR Range: ",
INDEX(sessions_HR_range_primary,INDEX(plan_session_allocation,((WEEKDAY(J$3,2)*2-1)+IF(J535="Morning",0,1)),I535)),
IF(INDEX(sessions_HR_range_primary,INDEX(plan_session_allocation,((WEEKDAY(J$3,2)*2-1)+IF(J535="Morning",0,1)),I535))="N/A","",
" BPM")),"")</f>
        <v/>
      </c>
      <c r="J539" s="1927"/>
      <c r="K539" s="1928" t="str">
        <f ca="1">IF(L535&gt;0,IF(
INDEX(sessions_recoveries,INDEX(plan_session_allocation,((WEEKDAY(J$3,2)*2-1)+IF(J535="Morning",0,1)),I535))="Yes",
VLOOKUP(INDEX(plan_duration_primary,((WEEKDAY(J$3,2)*2-1)+IF(J535="Morning",0,1)),I535),
INDIRECT(INDEX(sessions_intervals_code_primary,INDEX(plan_session_allocation,((WEEKDAY(J$3,2)*2-1)+IF(J535="Morning",0,1)),I535))),7,TRUE),0),"")</f>
        <v/>
      </c>
      <c r="L539" s="1929"/>
      <c r="N539" s="1926" t="str">
        <f ca="1">IF(Q535&gt;0,CONCATENATE("HR Range: ",
INDEX(sessions_HR_range_primary,INDEX(plan_session_allocation,((WEEKDAY(O$3,2)*2-1)+IF(O535="Morning",0,1)),N535)),
IF(INDEX(sessions_HR_range_primary,INDEX(plan_session_allocation,((WEEKDAY(O$3,2)*2-1)+IF(O535="Morning",0,1)),N535))="N/A","",
" BPM")),"")</f>
        <v/>
      </c>
      <c r="O539" s="1927"/>
      <c r="P539" s="1928" t="str">
        <f ca="1">IF(Q535&gt;0,IF(
INDEX(sessions_recoveries,INDEX(plan_session_allocation,((WEEKDAY(O$3,2)*2-1)+IF(O535="Morning",0,1)),N535))="Yes",
VLOOKUP(INDEX(plan_duration_primary,((WEEKDAY(O$3,2)*2-1)+IF(O535="Morning",0,1)),N535),
INDIRECT(INDEX(sessions_intervals_code_primary,INDEX(plan_session_allocation,((WEEKDAY(O$3,2)*2-1)+IF(O535="Morning",0,1)),N535))),7,TRUE),0),"")</f>
        <v/>
      </c>
      <c r="Q539" s="1929"/>
      <c r="S539" s="1926" t="str">
        <f ca="1">IF(V535&gt;0,CONCATENATE("HR Range: ",
INDEX(sessions_HR_range_primary,INDEX(plan_session_allocation,((WEEKDAY(T$3,2)*2-1)+IF(T535="Morning",0,1)),S535)),
IF(INDEX(sessions_HR_range_primary,INDEX(plan_session_allocation,((WEEKDAY(T$3,2)*2-1)+IF(T535="Morning",0,1)),S535))="N/A","",
" BPM")),"")</f>
        <v/>
      </c>
      <c r="T539" s="1927"/>
      <c r="U539" s="1928" t="str">
        <f ca="1">IF(V535&gt;0,IF(
INDEX(sessions_recoveries,INDEX(plan_session_allocation,((WEEKDAY(T$3,2)*2-1)+IF(T535="Morning",0,1)),S535))="Yes",
VLOOKUP(INDEX(plan_duration_primary,((WEEKDAY(T$3,2)*2-1)+IF(T535="Morning",0,1)),S535),
INDIRECT(INDEX(sessions_intervals_code_primary,INDEX(plan_session_allocation,((WEEKDAY(T$3,2)*2-1)+IF(T535="Morning",0,1)),S535))),7,TRUE),0),"")</f>
        <v/>
      </c>
      <c r="V539" s="1929"/>
      <c r="X539" s="1926" t="str">
        <f ca="1">IF(AA535&gt;0,CONCATENATE("HR Range: ",
INDEX(sessions_HR_range_primary,INDEX(plan_session_allocation,((WEEKDAY(Y$3,2)*2-1)+IF(Y535="Morning",0,1)),X535)),
IF(INDEX(sessions_HR_range_primary,INDEX(plan_session_allocation,((WEEKDAY(Y$3,2)*2-1)+IF(Y535="Morning",0,1)),X535))="N/A","",
" BPM")),"")</f>
        <v/>
      </c>
      <c r="Y539" s="1927"/>
      <c r="Z539" s="1928" t="str">
        <f ca="1">IF(AA535&gt;0,IF(
INDEX(sessions_recoveries,INDEX(plan_session_allocation,((WEEKDAY(Y$3,2)*2-1)+IF(Y535="Morning",0,1)),X535))="Yes",
VLOOKUP(INDEX(plan_duration_primary,((WEEKDAY(Y$3,2)*2-1)+IF(Y535="Morning",0,1)),X535),
INDIRECT(INDEX(sessions_intervals_code_primary,INDEX(plan_session_allocation,((WEEKDAY(Y$3,2)*2-1)+IF(Y535="Morning",0,1)),X535))),7,TRUE),0),"")</f>
        <v/>
      </c>
      <c r="AA539" s="1929"/>
      <c r="AC539" s="1926" t="str">
        <f ca="1">IF(AF535&gt;0,CONCATENATE("HR Range: ",
INDEX(sessions_HR_range_primary,INDEX(plan_session_allocation,((WEEKDAY(AD$3,2)*2-1)+IF(AD535="Morning",0,1)),AC535)),
IF(INDEX(sessions_HR_range_primary,INDEX(plan_session_allocation,((WEEKDAY(AD$3,2)*2-1)+IF(AD535="Morning",0,1)),AC535))="N/A","",
" BPM")),"")</f>
        <v/>
      </c>
      <c r="AD539" s="1927"/>
      <c r="AE539" s="1928" t="str">
        <f ca="1">IF(AF535&gt;0,IF(
INDEX(sessions_recoveries,INDEX(plan_session_allocation,((WEEKDAY(AD$3,2)*2-1)+IF(AD535="Morning",0,1)),AC535))="Yes",
VLOOKUP(INDEX(plan_duration_primary,((WEEKDAY(AD$3,2)*2-1)+IF(AD535="Morning",0,1)),AC535),
INDIRECT(INDEX(sessions_intervals_code_primary,INDEX(plan_session_allocation,((WEEKDAY(AD$3,2)*2-1)+IF(AD535="Morning",0,1)),AC535))),7,TRUE),0),"")</f>
        <v/>
      </c>
      <c r="AF539" s="1929"/>
      <c r="AH539" s="1926" t="str">
        <f ca="1">IF(AK535&gt;0,CONCATENATE("HR Range: ",
INDEX(sessions_HR_range_primary,INDEX(plan_session_allocation,((WEEKDAY(AI$3,2)*2-1)+IF(AI535="Morning",0,1)),AH535)),
IF(INDEX(sessions_HR_range_primary,INDEX(plan_session_allocation,((WEEKDAY(AI$3,2)*2-1)+IF(AI535="Morning",0,1)),AH535))="N/A","",
" BPM")),"")</f>
        <v>HR Range: 138 - 157 BPM</v>
      </c>
      <c r="AI539" s="1927"/>
      <c r="AJ539" s="1928">
        <f ca="1">IF(AK535&gt;0,IF(
INDEX(sessions_recoveries,INDEX(plan_session_allocation,((WEEKDAY(AI$3,2)*2-1)+IF(AI535="Morning",0,1)),AH535))="Yes",
VLOOKUP(INDEX(plan_duration_primary,((WEEKDAY(AI$3,2)*2-1)+IF(AI535="Morning",0,1)),AH535),
INDIRECT(INDEX(sessions_intervals_code_primary,INDEX(plan_session_allocation,((WEEKDAY(AI$3,2)*2-1)+IF(AI535="Morning",0,1)),AH535))),7,TRUE),0),"")</f>
        <v>0</v>
      </c>
      <c r="AK539" s="1929"/>
    </row>
    <row r="540" spans="2:38" s="177" customFormat="1" ht="15" customHeight="1" x14ac:dyDescent="0.45">
      <c r="B540" s="1942"/>
      <c r="C540" s="1945"/>
      <c r="D540" s="1909" t="str">
        <f ca="1">IF(G535&gt;0,CONCATENATE("Equivalent Pace: ",
TEXT(INDEX(sessions_pace_primary,INDEX(plan_session_allocation,(WEEKDAY(E$3,2)*2-1)+IF(E535="Morning",0,1),D535)),"m:ss"),
" min/km"
),"")</f>
        <v/>
      </c>
      <c r="E540" s="1910"/>
      <c r="F540" s="1911" t="str">
        <f ca="1">IF(G535&gt;0, INDEX(final_duration_WU,((WEEKDAY(E$3,2)*2-1)+IF(E535="Morning",0,1)),D535)  + INDEX(final_duration_WD,((WEEKDAY(E$3,2)*2-1)+IF(E535="Morning",0,1)),D535), "")</f>
        <v/>
      </c>
      <c r="G540" s="1912"/>
      <c r="I540" s="1909" t="str">
        <f ca="1">IF(L535&gt;0,CONCATENATE("Equivalent Pace: ",
TEXT(INDEX(sessions_pace_primary,INDEX(plan_session_allocation,(WEEKDAY(J$3,2)*2-1)+IF(J535="Morning",0,1),I535)),"m:ss"),
" min/km"
),"")</f>
        <v/>
      </c>
      <c r="J540" s="1910"/>
      <c r="K540" s="1911" t="str">
        <f ca="1">IF(L535&gt;0, INDEX(final_duration_WU,((WEEKDAY(J$3,2)*2-1)+IF(J535="Morning",0,1)),I535)  + INDEX(final_duration_WD,((WEEKDAY(J$3,2)*2-1)+IF(J535="Morning",0,1)),I535), "")</f>
        <v/>
      </c>
      <c r="L540" s="1912"/>
      <c r="N540" s="1909" t="str">
        <f ca="1">IF(Q535&gt;0,CONCATENATE("Equivalent Pace: ",
TEXT(INDEX(sessions_pace_primary,INDEX(plan_session_allocation,(WEEKDAY(O$3,2)*2-1)+IF(O535="Morning",0,1),N535)),"m:ss"),
" min/km"
),"")</f>
        <v/>
      </c>
      <c r="O540" s="1910"/>
      <c r="P540" s="1911" t="str">
        <f ca="1">IF(Q535&gt;0, INDEX(final_duration_WU,((WEEKDAY(O$3,2)*2-1)+IF(O535="Morning",0,1)),N535)  + INDEX(final_duration_WD,((WEEKDAY(O$3,2)*2-1)+IF(O535="Morning",0,1)),N535), "")</f>
        <v/>
      </c>
      <c r="Q540" s="1912"/>
      <c r="S540" s="1909" t="str">
        <f ca="1">IF(V535&gt;0,CONCATENATE("Equivalent Pace: ",
TEXT(INDEX(sessions_pace_primary,INDEX(plan_session_allocation,(WEEKDAY(T$3,2)*2-1)+IF(T535="Morning",0,1),S535)),"m:ss"),
" min/km"
),"")</f>
        <v/>
      </c>
      <c r="T540" s="1910"/>
      <c r="U540" s="1911" t="str">
        <f ca="1">IF(V535&gt;0, INDEX(final_duration_WU,((WEEKDAY(T$3,2)*2-1)+IF(T535="Morning",0,1)),S535)  + INDEX(final_duration_WD,((WEEKDAY(T$3,2)*2-1)+IF(T535="Morning",0,1)),S535), "")</f>
        <v/>
      </c>
      <c r="V540" s="1912"/>
      <c r="X540" s="1909" t="str">
        <f ca="1">IF(AA535&gt;0,CONCATENATE("Equivalent Pace: ",
TEXT(INDEX(sessions_pace_primary,INDEX(plan_session_allocation,(WEEKDAY(Y$3,2)*2-1)+IF(Y535="Morning",0,1),X535)),"m:ss"),
" min/km"
),"")</f>
        <v/>
      </c>
      <c r="Y540" s="1910"/>
      <c r="Z540" s="1911" t="str">
        <f ca="1">IF(AA535&gt;0, INDEX(final_duration_WU,((WEEKDAY(Y$3,2)*2-1)+IF(Y535="Morning",0,1)),X535)  + INDEX(final_duration_WD,((WEEKDAY(Y$3,2)*2-1)+IF(Y535="Morning",0,1)),X535), "")</f>
        <v/>
      </c>
      <c r="AA540" s="1912"/>
      <c r="AC540" s="1909" t="str">
        <f ca="1">IF(AF535&gt;0,CONCATENATE("Equivalent Pace: ",
TEXT(INDEX(sessions_pace_primary,INDEX(plan_session_allocation,(WEEKDAY(AD$3,2)*2-1)+IF(AD535="Morning",0,1),AC535)),"m:ss"),
" min/km"
),"")</f>
        <v/>
      </c>
      <c r="AD540" s="1910"/>
      <c r="AE540" s="1911" t="str">
        <f ca="1">IF(AF535&gt;0, INDEX(final_duration_WU,((WEEKDAY(AD$3,2)*2-1)+IF(AD535="Morning",0,1)),AC535)  + INDEX(final_duration_WD,((WEEKDAY(AD$3,2)*2-1)+IF(AD535="Morning",0,1)),AC535), "")</f>
        <v/>
      </c>
      <c r="AF540" s="1912"/>
      <c r="AH540" s="1909" t="str">
        <f ca="1">IF(AK535&gt;0,CONCATENATE("Equivalent Pace: ",
TEXT(INDEX(sessions_pace_primary,INDEX(plan_session_allocation,(WEEKDAY(AI$3,2)*2-1)+IF(AI535="Morning",0,1),AH535)),"m:ss"),
" min/km"
),"")</f>
        <v>Equivalent Pace: 4:14 min/km</v>
      </c>
      <c r="AI540" s="1910"/>
      <c r="AJ540" s="1911">
        <f ca="1">IF(AK535&gt;0, INDEX(final_duration_WU,((WEEKDAY(AI$3,2)*2-1)+IF(AI535="Morning",0,1)),AH535)  + INDEX(final_duration_WD,((WEEKDAY(AI$3,2)*2-1)+IF(AI535="Morning",0,1)),AH535), "")</f>
        <v>0</v>
      </c>
      <c r="AK540" s="1912"/>
    </row>
    <row r="541" spans="2:38" s="176" customFormat="1" ht="15" customHeight="1" x14ac:dyDescent="0.45">
      <c r="B541" s="1942"/>
      <c r="C541" s="1945"/>
      <c r="D541" s="1913" t="str">
        <f ca="1">IF(G535&gt;0,CONCATENATE(IFERROR(CONCATENATE(IF(INDEX(display_intervals_breakdown,((WEEKDAY(E$3,2)*2-1)+IF(E535="Morning",0,1)),D535)="","",CONCATENATE("Intervals/Reps Breakdown: 
",INDEX(display_intervals_breakdown,((WEEKDAY(E$3,2)*2-1)+IF(E535="Morning",0,1)),D535),"
")),"Session Description: 
",CONCATENATE(IF(INDEX(final_duration_secondary,((WEEKDAY(E$3,2)*2-1)+IF(E535="Morning",0,1)),D535)=0,"","1. "),
INDEX(sessions_description_primary,,INDEX(plan_session_allocation,((WEEKDAY(E$3,2)*2-1)+IF(E535="Morning",0,1)),D535)),IF(INDEX(final_duration_secondary,((WEEKDAY(E$3,2)*2-1)+IF(E535="Morning",0,1)),D535)=0,"","
2. "),
IF(INDEX(final_duration_secondary,((WEEKDAY(E$3,2)*2-1)+IF(E535="Morning",0,1)),D535)=0,"",INDEX(sessions_description_secondary,,INDEX(plan_session_allocation,((WEEKDAY(E$3,2)*2-1)+IF(E535="Morning",0,1)),D535))),IF(INDEX(final_duration_tertiary,((WEEKDAY(E$3,2)*2-1)+IF(E535="Morning",0,1)),D535)=0,"","
3. "),
IF(INDEX(final_duration_tertiary,((WEEKDAY(E$3,2)*2-1)+IF(E535="Morning",0,1)),D535)="","",INDEX(sessions_description_tertiary,,INDEX(plan_session_allocation,((WEEKDAY(E$3,2)*2-1)+IF(E535="Morning",0,1)),D535))),
IF(INDEX(display_nutrition_description,((WEEKDAY(E$3,2)*2-1)+IF(E535="Morning",0,1)),D535)="","",
CONCATENATE("
Meal Plan: ", INDEX(sessions_nutrition,,INDEX(plan_session_allocation,((WEEKDAY(E$3,2)*2-1)+IF(E535="Morning",0,1)),D535)), "
", INDEX(display_nutrition_description,((WEEKDAY(E$3,2)*2-1)+IF(E535="Morning",0,1)),D535)))
)),"")),"")</f>
        <v/>
      </c>
      <c r="E541" s="1914"/>
      <c r="F541" s="1914"/>
      <c r="G541" s="1915"/>
      <c r="H541" s="177"/>
      <c r="I541" s="1913" t="str">
        <f ca="1">IF(L535&gt;0,CONCATENATE(IFERROR(CONCATENATE(IF(INDEX(display_intervals_breakdown,((WEEKDAY(J$3,2)*2-1)+IF(J535="Morning",0,1)),I535)="","",CONCATENATE("Intervals/Reps Breakdown: 
",INDEX(display_intervals_breakdown,((WEEKDAY(J$3,2)*2-1)+IF(J535="Morning",0,1)),I535),"
")),"Session Description: 
",CONCATENATE(IF(INDEX(final_duration_secondary,((WEEKDAY(J$3,2)*2-1)+IF(J535="Morning",0,1)),I535)=0,"","1. "),
INDEX(sessions_description_primary,,INDEX(plan_session_allocation,((WEEKDAY(J$3,2)*2-1)+IF(J535="Morning",0,1)),I535)),IF(INDEX(final_duration_secondary,((WEEKDAY(J$3,2)*2-1)+IF(J535="Morning",0,1)),I535)=0,"","
2. "),
IF(INDEX(final_duration_secondary,((WEEKDAY(J$3,2)*2-1)+IF(J535="Morning",0,1)),I535)=0,"",INDEX(sessions_description_secondary,,INDEX(plan_session_allocation,((WEEKDAY(J$3,2)*2-1)+IF(J535="Morning",0,1)),I535))),IF(INDEX(final_duration_tertiary,((WEEKDAY(J$3,2)*2-1)+IF(J535="Morning",0,1)),I535)=0,"","
3. "),
IF(INDEX(final_duration_tertiary,((WEEKDAY(J$3,2)*2-1)+IF(J535="Morning",0,1)),I535)="","",INDEX(sessions_description_tertiary,,INDEX(plan_session_allocation,((WEEKDAY(J$3,2)*2-1)+IF(J535="Morning",0,1)),I535))),
IF(INDEX(display_nutrition_description,((WEEKDAY(J$3,2)*2-1)+IF(J535="Morning",0,1)),I535)="","",
CONCATENATE("
Meal Plan: ", INDEX(sessions_nutrition,,INDEX(plan_session_allocation,((WEEKDAY(J$3,2)*2-1)+IF(J535="Morning",0,1)),I535)), "
", INDEX(display_nutrition_description,((WEEKDAY(J$3,2)*2-1)+IF(J535="Morning",0,1)),I535)))
)),"")),"")</f>
        <v/>
      </c>
      <c r="J541" s="1914"/>
      <c r="K541" s="1914"/>
      <c r="L541" s="1915"/>
      <c r="M541" s="177"/>
      <c r="N541" s="1913" t="str">
        <f ca="1">IF(Q535&gt;0,CONCATENATE(IFERROR(CONCATENATE(IF(INDEX(display_intervals_breakdown,((WEEKDAY(O$3,2)*2-1)+IF(O535="Morning",0,1)),N535)="","",CONCATENATE("Intervals/Reps Breakdown: 
",INDEX(display_intervals_breakdown,((WEEKDAY(O$3,2)*2-1)+IF(O535="Morning",0,1)),N535),"
")),"Session Description: 
",CONCATENATE(IF(INDEX(final_duration_secondary,((WEEKDAY(O$3,2)*2-1)+IF(O535="Morning",0,1)),N535)=0,"","1. "),
INDEX(sessions_description_primary,,INDEX(plan_session_allocation,((WEEKDAY(O$3,2)*2-1)+IF(O535="Morning",0,1)),N535)),IF(INDEX(final_duration_secondary,((WEEKDAY(O$3,2)*2-1)+IF(O535="Morning",0,1)),N535)=0,"","
2. "),
IF(INDEX(final_duration_secondary,((WEEKDAY(O$3,2)*2-1)+IF(O535="Morning",0,1)),N535)=0,"",INDEX(sessions_description_secondary,,INDEX(plan_session_allocation,((WEEKDAY(O$3,2)*2-1)+IF(O535="Morning",0,1)),N535))),IF(INDEX(final_duration_tertiary,((WEEKDAY(O$3,2)*2-1)+IF(O535="Morning",0,1)),N535)=0,"","
3. "),
IF(INDEX(final_duration_tertiary,((WEEKDAY(O$3,2)*2-1)+IF(O535="Morning",0,1)),N535)="","",INDEX(sessions_description_tertiary,,INDEX(plan_session_allocation,((WEEKDAY(O$3,2)*2-1)+IF(O535="Morning",0,1)),N535))),
IF(INDEX(display_nutrition_description,((WEEKDAY(O$3,2)*2-1)+IF(O535="Morning",0,1)),N535)="","",
CONCATENATE("
Meal Plan: ", INDEX(sessions_nutrition,,INDEX(plan_session_allocation,((WEEKDAY(O$3,2)*2-1)+IF(O535="Morning",0,1)),N535)), "
", INDEX(display_nutrition_description,((WEEKDAY(O$3,2)*2-1)+IF(O535="Morning",0,1)),N535)))
)),"")),"")</f>
        <v/>
      </c>
      <c r="O541" s="1914"/>
      <c r="P541" s="1914"/>
      <c r="Q541" s="1915"/>
      <c r="R541" s="177"/>
      <c r="S541" s="1913" t="str">
        <f ca="1">IF(V535&gt;0,CONCATENATE(IFERROR(CONCATENATE(IF(INDEX(display_intervals_breakdown,((WEEKDAY(T$3,2)*2-1)+IF(T535="Morning",0,1)),S535)="","",CONCATENATE("Intervals/Reps Breakdown: 
",INDEX(display_intervals_breakdown,((WEEKDAY(T$3,2)*2-1)+IF(T535="Morning",0,1)),S535),"
")),"Session Description: 
",CONCATENATE(IF(INDEX(final_duration_secondary,((WEEKDAY(T$3,2)*2-1)+IF(T535="Morning",0,1)),S535)=0,"","1. "),
INDEX(sessions_description_primary,,INDEX(plan_session_allocation,((WEEKDAY(T$3,2)*2-1)+IF(T535="Morning",0,1)),S535)),IF(INDEX(final_duration_secondary,((WEEKDAY(T$3,2)*2-1)+IF(T535="Morning",0,1)),S535)=0,"","
2. "),
IF(INDEX(final_duration_secondary,((WEEKDAY(T$3,2)*2-1)+IF(T535="Morning",0,1)),S535)=0,"",INDEX(sessions_description_secondary,,INDEX(plan_session_allocation,((WEEKDAY(T$3,2)*2-1)+IF(T535="Morning",0,1)),S535))),IF(INDEX(final_duration_tertiary,((WEEKDAY(T$3,2)*2-1)+IF(T535="Morning",0,1)),S535)=0,"","
3. "),
IF(INDEX(final_duration_tertiary,((WEEKDAY(T$3,2)*2-1)+IF(T535="Morning",0,1)),S535)="","",INDEX(sessions_description_tertiary,,INDEX(plan_session_allocation,((WEEKDAY(T$3,2)*2-1)+IF(T535="Morning",0,1)),S535))),
IF(INDEX(display_nutrition_description,((WEEKDAY(T$3,2)*2-1)+IF(T535="Morning",0,1)),S535)="","",
CONCATENATE("
Meal Plan: ", INDEX(sessions_nutrition,,INDEX(plan_session_allocation,((WEEKDAY(T$3,2)*2-1)+IF(T535="Morning",0,1)),S535)), "
", INDEX(display_nutrition_description,((WEEKDAY(T$3,2)*2-1)+IF(T535="Morning",0,1)),S535)))
)),"")),"")</f>
        <v/>
      </c>
      <c r="T541" s="1914"/>
      <c r="U541" s="1914"/>
      <c r="V541" s="1915"/>
      <c r="W541" s="177"/>
      <c r="X541" s="1913" t="str">
        <f ca="1">IF(AA535&gt;0,CONCATENATE(IFERROR(CONCATENATE(IF(INDEX(display_intervals_breakdown,((WEEKDAY(Y$3,2)*2-1)+IF(Y535="Morning",0,1)),X535)="","",CONCATENATE("Intervals/Reps Breakdown: 
",INDEX(display_intervals_breakdown,((WEEKDAY(Y$3,2)*2-1)+IF(Y535="Morning",0,1)),X535),"
")),"Session Description: 
",CONCATENATE(IF(INDEX(final_duration_secondary,((WEEKDAY(Y$3,2)*2-1)+IF(Y535="Morning",0,1)),X535)=0,"","1. "),
INDEX(sessions_description_primary,,INDEX(plan_session_allocation,((WEEKDAY(Y$3,2)*2-1)+IF(Y535="Morning",0,1)),X535)),IF(INDEX(final_duration_secondary,((WEEKDAY(Y$3,2)*2-1)+IF(Y535="Morning",0,1)),X535)=0,"","
2. "),
IF(INDEX(final_duration_secondary,((WEEKDAY(Y$3,2)*2-1)+IF(Y535="Morning",0,1)),X535)=0,"",INDEX(sessions_description_secondary,,INDEX(plan_session_allocation,((WEEKDAY(Y$3,2)*2-1)+IF(Y535="Morning",0,1)),X535))),IF(INDEX(final_duration_tertiary,((WEEKDAY(Y$3,2)*2-1)+IF(Y535="Morning",0,1)),X535)=0,"","
3. "),
IF(INDEX(final_duration_tertiary,((WEEKDAY(Y$3,2)*2-1)+IF(Y535="Morning",0,1)),X535)="","",INDEX(sessions_description_tertiary,,INDEX(plan_session_allocation,((WEEKDAY(Y$3,2)*2-1)+IF(Y535="Morning",0,1)),X535))),
IF(INDEX(display_nutrition_description,((WEEKDAY(Y$3,2)*2-1)+IF(Y535="Morning",0,1)),X535)="","",
CONCATENATE("
Meal Plan: ", INDEX(sessions_nutrition,,INDEX(plan_session_allocation,((WEEKDAY(Y$3,2)*2-1)+IF(Y535="Morning",0,1)),X535)), "
", INDEX(display_nutrition_description,((WEEKDAY(Y$3,2)*2-1)+IF(Y535="Morning",0,1)),X535)))
)),"")),"")</f>
        <v/>
      </c>
      <c r="Y541" s="1914"/>
      <c r="Z541" s="1914"/>
      <c r="AA541" s="1915"/>
      <c r="AB541" s="177"/>
      <c r="AC541" s="1913" t="str">
        <f ca="1">IF(AF535&gt;0,CONCATENATE(IFERROR(CONCATENATE(IF(INDEX(display_intervals_breakdown,((WEEKDAY(AD$3,2)*2-1)+IF(AD535="Morning",0,1)),AC535)="","",CONCATENATE("Intervals/Reps Breakdown: 
",INDEX(display_intervals_breakdown,((WEEKDAY(AD$3,2)*2-1)+IF(AD535="Morning",0,1)),AC535),"
")),"Session Description: 
",CONCATENATE(IF(INDEX(final_duration_secondary,((WEEKDAY(AD$3,2)*2-1)+IF(AD535="Morning",0,1)),AC535)=0,"","1. "),
INDEX(sessions_description_primary,,INDEX(plan_session_allocation,((WEEKDAY(AD$3,2)*2-1)+IF(AD535="Morning",0,1)),AC535)),IF(INDEX(final_duration_secondary,((WEEKDAY(AD$3,2)*2-1)+IF(AD535="Morning",0,1)),AC535)=0,"","
2. "),
IF(INDEX(final_duration_secondary,((WEEKDAY(AD$3,2)*2-1)+IF(AD535="Morning",0,1)),AC535)=0,"",INDEX(sessions_description_secondary,,INDEX(plan_session_allocation,((WEEKDAY(AD$3,2)*2-1)+IF(AD535="Morning",0,1)),AC535))),IF(INDEX(final_duration_tertiary,((WEEKDAY(AD$3,2)*2-1)+IF(AD535="Morning",0,1)),AC535)=0,"","
3. "),
IF(INDEX(final_duration_tertiary,((WEEKDAY(AD$3,2)*2-1)+IF(AD535="Morning",0,1)),AC535)="","",INDEX(sessions_description_tertiary,,INDEX(plan_session_allocation,((WEEKDAY(AD$3,2)*2-1)+IF(AD535="Morning",0,1)),AC535))),
IF(INDEX(display_nutrition_description,((WEEKDAY(AD$3,2)*2-1)+IF(AD535="Morning",0,1)),AC535)="","",
CONCATENATE("
Meal Plan: ", INDEX(sessions_nutrition,,INDEX(plan_session_allocation,((WEEKDAY(AD$3,2)*2-1)+IF(AD535="Morning",0,1)),AC535)), "
", INDEX(display_nutrition_description,((WEEKDAY(AD$3,2)*2-1)+IF(AD535="Morning",0,1)),AC535)))
)),"")),"")</f>
        <v/>
      </c>
      <c r="AD541" s="1914"/>
      <c r="AE541" s="1914"/>
      <c r="AF541" s="1915"/>
      <c r="AG541" s="177"/>
      <c r="AH541" s="1913" t="str">
        <f ca="1">IF(AK535&gt;0,CONCATENATE(IFERROR(CONCATENATE(IF(INDEX(display_intervals_breakdown,((WEEKDAY(AI$3,2)*2-1)+IF(AI535="Morning",0,1)),AH535)="","",CONCATENATE("Intervals/Reps Breakdown: 
",INDEX(display_intervals_breakdown,((WEEKDAY(AI$3,2)*2-1)+IF(AI535="Morning",0,1)),AH535),"
")),"Session Description: 
",CONCATENATE(IF(INDEX(final_duration_secondary,((WEEKDAY(AI$3,2)*2-1)+IF(AI535="Morning",0,1)),AH535)=0,"","1. "),
INDEX(sessions_description_primary,,INDEX(plan_session_allocation,((WEEKDAY(AI$3,2)*2-1)+IF(AI535="Morning",0,1)),AH535)),IF(INDEX(final_duration_secondary,((WEEKDAY(AI$3,2)*2-1)+IF(AI535="Morning",0,1)),AH535)=0,"","
2. "),
IF(INDEX(final_duration_secondary,((WEEKDAY(AI$3,2)*2-1)+IF(AI535="Morning",0,1)),AH535)=0,"",INDEX(sessions_description_secondary,,INDEX(plan_session_allocation,((WEEKDAY(AI$3,2)*2-1)+IF(AI535="Morning",0,1)),AH535))),IF(INDEX(final_duration_tertiary,((WEEKDAY(AI$3,2)*2-1)+IF(AI535="Morning",0,1)),AH535)=0,"","
3. "),
IF(INDEX(final_duration_tertiary,((WEEKDAY(AI$3,2)*2-1)+IF(AI535="Morning",0,1)),AH535)="","",INDEX(sessions_description_tertiary,,INDEX(plan_session_allocation,((WEEKDAY(AI$3,2)*2-1)+IF(AI535="Morning",0,1)),AH535))),
IF(INDEX(display_nutrition_description,((WEEKDAY(AI$3,2)*2-1)+IF(AI535="Morning",0,1)),AH535)="","",
CONCATENATE("
Meal Plan: ", INDEX(sessions_nutrition,,INDEX(plan_session_allocation,((WEEKDAY(AI$3,2)*2-1)+IF(AI535="Morning",0,1)),AH535)), "
", INDEX(display_nutrition_description,((WEEKDAY(AI$3,2)*2-1)+IF(AI535="Morning",0,1)),AH535)))
)),"")),"")</f>
        <v>Session Description: 
Stay at a comfortable and controlled intensity where you should be able to have a conversation without large pauses. Keep an even intensity and accept that your pace may change as the terrain changes.</v>
      </c>
      <c r="AI541" s="1914"/>
      <c r="AJ541" s="1914"/>
      <c r="AK541" s="1915"/>
      <c r="AL541" s="177"/>
    </row>
    <row r="542" spans="2:38" s="176" customFormat="1" ht="15" customHeight="1" x14ac:dyDescent="0.45">
      <c r="B542" s="1942"/>
      <c r="C542" s="1945"/>
      <c r="D542" s="1916"/>
      <c r="E542" s="1917"/>
      <c r="F542" s="1917"/>
      <c r="G542" s="1918"/>
      <c r="H542" s="177"/>
      <c r="I542" s="1916"/>
      <c r="J542" s="1917"/>
      <c r="K542" s="1917"/>
      <c r="L542" s="1918"/>
      <c r="M542" s="177"/>
      <c r="N542" s="1916"/>
      <c r="O542" s="1917"/>
      <c r="P542" s="1917"/>
      <c r="Q542" s="1918"/>
      <c r="R542" s="177"/>
      <c r="S542" s="1916"/>
      <c r="T542" s="1917"/>
      <c r="U542" s="1917"/>
      <c r="V542" s="1918"/>
      <c r="W542" s="177"/>
      <c r="X542" s="1916"/>
      <c r="Y542" s="1917"/>
      <c r="Z542" s="1917"/>
      <c r="AA542" s="1918"/>
      <c r="AB542" s="177"/>
      <c r="AC542" s="1916"/>
      <c r="AD542" s="1917"/>
      <c r="AE542" s="1917"/>
      <c r="AF542" s="1918"/>
      <c r="AG542" s="177"/>
      <c r="AH542" s="1916"/>
      <c r="AI542" s="1917"/>
      <c r="AJ542" s="1917"/>
      <c r="AK542" s="1918"/>
      <c r="AL542" s="177"/>
    </row>
    <row r="543" spans="2:38" s="176" customFormat="1" ht="15" customHeight="1" x14ac:dyDescent="0.45">
      <c r="B543" s="1942"/>
      <c r="C543" s="1945"/>
      <c r="D543" s="1916"/>
      <c r="E543" s="1917"/>
      <c r="F543" s="1917"/>
      <c r="G543" s="1918"/>
      <c r="H543" s="177"/>
      <c r="I543" s="1916"/>
      <c r="J543" s="1917"/>
      <c r="K543" s="1917"/>
      <c r="L543" s="1918"/>
      <c r="M543" s="177"/>
      <c r="N543" s="1916"/>
      <c r="O543" s="1917"/>
      <c r="P543" s="1917"/>
      <c r="Q543" s="1918"/>
      <c r="R543" s="177"/>
      <c r="S543" s="1916"/>
      <c r="T543" s="1917"/>
      <c r="U543" s="1917"/>
      <c r="V543" s="1918"/>
      <c r="W543" s="177"/>
      <c r="X543" s="1916"/>
      <c r="Y543" s="1917"/>
      <c r="Z543" s="1917"/>
      <c r="AA543" s="1918"/>
      <c r="AB543" s="177"/>
      <c r="AC543" s="1916"/>
      <c r="AD543" s="1917"/>
      <c r="AE543" s="1917"/>
      <c r="AF543" s="1918"/>
      <c r="AG543" s="177"/>
      <c r="AH543" s="1916"/>
      <c r="AI543" s="1917"/>
      <c r="AJ543" s="1917"/>
      <c r="AK543" s="1918"/>
      <c r="AL543" s="177"/>
    </row>
    <row r="544" spans="2:38" s="176" customFormat="1" x14ac:dyDescent="0.45">
      <c r="B544" s="1942"/>
      <c r="C544" s="1945"/>
      <c r="D544" s="1916"/>
      <c r="E544" s="1917"/>
      <c r="F544" s="1917"/>
      <c r="G544" s="1918"/>
      <c r="H544" s="177"/>
      <c r="I544" s="1916"/>
      <c r="J544" s="1917"/>
      <c r="K544" s="1917"/>
      <c r="L544" s="1918"/>
      <c r="M544" s="177"/>
      <c r="N544" s="1916"/>
      <c r="O544" s="1917"/>
      <c r="P544" s="1917"/>
      <c r="Q544" s="1918"/>
      <c r="R544" s="177"/>
      <c r="S544" s="1916"/>
      <c r="T544" s="1917"/>
      <c r="U544" s="1917"/>
      <c r="V544" s="1918"/>
      <c r="W544" s="177"/>
      <c r="X544" s="1916"/>
      <c r="Y544" s="1917"/>
      <c r="Z544" s="1917"/>
      <c r="AA544" s="1918"/>
      <c r="AB544" s="177"/>
      <c r="AC544" s="1916"/>
      <c r="AD544" s="1917"/>
      <c r="AE544" s="1917"/>
      <c r="AF544" s="1918"/>
      <c r="AG544" s="177"/>
      <c r="AH544" s="1916"/>
      <c r="AI544" s="1917"/>
      <c r="AJ544" s="1917"/>
      <c r="AK544" s="1918"/>
      <c r="AL544" s="177"/>
    </row>
    <row r="545" spans="2:38" s="176" customFormat="1" x14ac:dyDescent="0.45">
      <c r="B545" s="1942"/>
      <c r="C545" s="1945"/>
      <c r="D545" s="1916"/>
      <c r="E545" s="1917"/>
      <c r="F545" s="1917"/>
      <c r="G545" s="1918"/>
      <c r="H545" s="177"/>
      <c r="I545" s="1916"/>
      <c r="J545" s="1917"/>
      <c r="K545" s="1917"/>
      <c r="L545" s="1918"/>
      <c r="M545" s="177"/>
      <c r="N545" s="1916"/>
      <c r="O545" s="1917"/>
      <c r="P545" s="1917"/>
      <c r="Q545" s="1918"/>
      <c r="R545" s="177"/>
      <c r="S545" s="1916"/>
      <c r="T545" s="1917"/>
      <c r="U545" s="1917"/>
      <c r="V545" s="1918"/>
      <c r="W545" s="177"/>
      <c r="X545" s="1916"/>
      <c r="Y545" s="1917"/>
      <c r="Z545" s="1917"/>
      <c r="AA545" s="1918"/>
      <c r="AB545" s="177"/>
      <c r="AC545" s="1916"/>
      <c r="AD545" s="1917"/>
      <c r="AE545" s="1917"/>
      <c r="AF545" s="1918"/>
      <c r="AG545" s="177"/>
      <c r="AH545" s="1916"/>
      <c r="AI545" s="1917"/>
      <c r="AJ545" s="1917"/>
      <c r="AK545" s="1918"/>
      <c r="AL545" s="177"/>
    </row>
    <row r="546" spans="2:38" s="176" customFormat="1" x14ac:dyDescent="0.45">
      <c r="B546" s="1942"/>
      <c r="C546" s="1945"/>
      <c r="D546" s="1916"/>
      <c r="E546" s="1917"/>
      <c r="F546" s="1917"/>
      <c r="G546" s="1918"/>
      <c r="H546" s="177"/>
      <c r="I546" s="1916"/>
      <c r="J546" s="1917"/>
      <c r="K546" s="1917"/>
      <c r="L546" s="1918"/>
      <c r="M546" s="177"/>
      <c r="N546" s="1916"/>
      <c r="O546" s="1917"/>
      <c r="P546" s="1917"/>
      <c r="Q546" s="1918"/>
      <c r="R546" s="177"/>
      <c r="S546" s="1916"/>
      <c r="T546" s="1917"/>
      <c r="U546" s="1917"/>
      <c r="V546" s="1918"/>
      <c r="W546" s="177"/>
      <c r="X546" s="1916"/>
      <c r="Y546" s="1917"/>
      <c r="Z546" s="1917"/>
      <c r="AA546" s="1918"/>
      <c r="AB546" s="177"/>
      <c r="AC546" s="1916"/>
      <c r="AD546" s="1917"/>
      <c r="AE546" s="1917"/>
      <c r="AF546" s="1918"/>
      <c r="AG546" s="177"/>
      <c r="AH546" s="1916"/>
      <c r="AI546" s="1917"/>
      <c r="AJ546" s="1917"/>
      <c r="AK546" s="1918"/>
      <c r="AL546" s="177"/>
    </row>
    <row r="547" spans="2:38" s="176" customFormat="1" ht="15" customHeight="1" x14ac:dyDescent="0.45">
      <c r="B547" s="1942"/>
      <c r="C547" s="1945"/>
      <c r="D547" s="1916"/>
      <c r="E547" s="1917"/>
      <c r="F547" s="1917"/>
      <c r="G547" s="1918"/>
      <c r="H547" s="177"/>
      <c r="I547" s="1916"/>
      <c r="J547" s="1917"/>
      <c r="K547" s="1917"/>
      <c r="L547" s="1918"/>
      <c r="M547" s="177"/>
      <c r="N547" s="1916"/>
      <c r="O547" s="1917"/>
      <c r="P547" s="1917"/>
      <c r="Q547" s="1918"/>
      <c r="R547" s="177"/>
      <c r="S547" s="1916"/>
      <c r="T547" s="1917"/>
      <c r="U547" s="1917"/>
      <c r="V547" s="1918"/>
      <c r="W547" s="177"/>
      <c r="X547" s="1916"/>
      <c r="Y547" s="1917"/>
      <c r="Z547" s="1917"/>
      <c r="AA547" s="1918"/>
      <c r="AB547" s="177"/>
      <c r="AC547" s="1916"/>
      <c r="AD547" s="1917"/>
      <c r="AE547" s="1917"/>
      <c r="AF547" s="1918"/>
      <c r="AG547" s="177"/>
      <c r="AH547" s="1916"/>
      <c r="AI547" s="1917"/>
      <c r="AJ547" s="1917"/>
      <c r="AK547" s="1918"/>
      <c r="AL547" s="177"/>
    </row>
    <row r="548" spans="2:38" s="176" customFormat="1" ht="15" customHeight="1" x14ac:dyDescent="0.45">
      <c r="B548" s="1942"/>
      <c r="C548" s="1945"/>
      <c r="D548" s="1916"/>
      <c r="E548" s="1917"/>
      <c r="F548" s="1917"/>
      <c r="G548" s="1918"/>
      <c r="H548" s="177"/>
      <c r="I548" s="1916"/>
      <c r="J548" s="1917"/>
      <c r="K548" s="1917"/>
      <c r="L548" s="1918"/>
      <c r="M548" s="177"/>
      <c r="N548" s="1916"/>
      <c r="O548" s="1917"/>
      <c r="P548" s="1917"/>
      <c r="Q548" s="1918"/>
      <c r="R548" s="177"/>
      <c r="S548" s="1916"/>
      <c r="T548" s="1917"/>
      <c r="U548" s="1917"/>
      <c r="V548" s="1918"/>
      <c r="W548" s="177"/>
      <c r="X548" s="1916"/>
      <c r="Y548" s="1917"/>
      <c r="Z548" s="1917"/>
      <c r="AA548" s="1918"/>
      <c r="AB548" s="177"/>
      <c r="AC548" s="1916"/>
      <c r="AD548" s="1917"/>
      <c r="AE548" s="1917"/>
      <c r="AF548" s="1918"/>
      <c r="AG548" s="177"/>
      <c r="AH548" s="1916"/>
      <c r="AI548" s="1917"/>
      <c r="AJ548" s="1917"/>
      <c r="AK548" s="1918"/>
      <c r="AL548" s="177"/>
    </row>
    <row r="549" spans="2:38" s="176" customFormat="1" x14ac:dyDescent="0.45">
      <c r="B549" s="1942"/>
      <c r="C549" s="1945"/>
      <c r="D549" s="1916"/>
      <c r="E549" s="1917"/>
      <c r="F549" s="1917"/>
      <c r="G549" s="1918"/>
      <c r="H549" s="177"/>
      <c r="I549" s="1916"/>
      <c r="J549" s="1917"/>
      <c r="K549" s="1917"/>
      <c r="L549" s="1918"/>
      <c r="M549" s="177"/>
      <c r="N549" s="1916"/>
      <c r="O549" s="1917"/>
      <c r="P549" s="1917"/>
      <c r="Q549" s="1918"/>
      <c r="R549" s="177"/>
      <c r="S549" s="1916"/>
      <c r="T549" s="1917"/>
      <c r="U549" s="1917"/>
      <c r="V549" s="1918"/>
      <c r="W549" s="177"/>
      <c r="X549" s="1916"/>
      <c r="Y549" s="1917"/>
      <c r="Z549" s="1917"/>
      <c r="AA549" s="1918"/>
      <c r="AB549" s="177"/>
      <c r="AC549" s="1916"/>
      <c r="AD549" s="1917"/>
      <c r="AE549" s="1917"/>
      <c r="AF549" s="1918"/>
      <c r="AG549" s="177"/>
      <c r="AH549" s="1916"/>
      <c r="AI549" s="1917"/>
      <c r="AJ549" s="1917"/>
      <c r="AK549" s="1918"/>
      <c r="AL549" s="177"/>
    </row>
    <row r="550" spans="2:38" s="176" customFormat="1" x14ac:dyDescent="0.45">
      <c r="B550" s="1942"/>
      <c r="C550" s="1945"/>
      <c r="D550" s="1916"/>
      <c r="E550" s="1917"/>
      <c r="F550" s="1917"/>
      <c r="G550" s="1918"/>
      <c r="H550" s="177"/>
      <c r="I550" s="1916"/>
      <c r="J550" s="1917"/>
      <c r="K550" s="1917"/>
      <c r="L550" s="1918"/>
      <c r="M550" s="177"/>
      <c r="N550" s="1916"/>
      <c r="O550" s="1917"/>
      <c r="P550" s="1917"/>
      <c r="Q550" s="1918"/>
      <c r="R550" s="177"/>
      <c r="S550" s="1916"/>
      <c r="T550" s="1917"/>
      <c r="U550" s="1917"/>
      <c r="V550" s="1918"/>
      <c r="W550" s="177"/>
      <c r="X550" s="1916"/>
      <c r="Y550" s="1917"/>
      <c r="Z550" s="1917"/>
      <c r="AA550" s="1918"/>
      <c r="AB550" s="177"/>
      <c r="AC550" s="1916"/>
      <c r="AD550" s="1917"/>
      <c r="AE550" s="1917"/>
      <c r="AF550" s="1918"/>
      <c r="AG550" s="177"/>
      <c r="AH550" s="1916"/>
      <c r="AI550" s="1917"/>
      <c r="AJ550" s="1917"/>
      <c r="AK550" s="1918"/>
      <c r="AL550" s="177"/>
    </row>
    <row r="551" spans="2:38" s="176" customFormat="1" x14ac:dyDescent="0.45">
      <c r="B551" s="1942"/>
      <c r="C551" s="1945"/>
      <c r="D551" s="1916"/>
      <c r="E551" s="1917"/>
      <c r="F551" s="1917"/>
      <c r="G551" s="1918"/>
      <c r="H551" s="177"/>
      <c r="I551" s="1916"/>
      <c r="J551" s="1917"/>
      <c r="K551" s="1917"/>
      <c r="L551" s="1918"/>
      <c r="M551" s="177"/>
      <c r="N551" s="1916"/>
      <c r="O551" s="1917"/>
      <c r="P551" s="1917"/>
      <c r="Q551" s="1918"/>
      <c r="R551" s="177"/>
      <c r="S551" s="1916"/>
      <c r="T551" s="1917"/>
      <c r="U551" s="1917"/>
      <c r="V551" s="1918"/>
      <c r="W551" s="177"/>
      <c r="X551" s="1916"/>
      <c r="Y551" s="1917"/>
      <c r="Z551" s="1917"/>
      <c r="AA551" s="1918"/>
      <c r="AB551" s="177"/>
      <c r="AC551" s="1916"/>
      <c r="AD551" s="1917"/>
      <c r="AE551" s="1917"/>
      <c r="AF551" s="1918"/>
      <c r="AG551" s="177"/>
      <c r="AH551" s="1916"/>
      <c r="AI551" s="1917"/>
      <c r="AJ551" s="1917"/>
      <c r="AK551" s="1918"/>
      <c r="AL551" s="177"/>
    </row>
    <row r="552" spans="2:38" s="176" customFormat="1" x14ac:dyDescent="0.45">
      <c r="B552" s="1942"/>
      <c r="C552" s="1945"/>
      <c r="D552" s="1916"/>
      <c r="E552" s="1917"/>
      <c r="F552" s="1917"/>
      <c r="G552" s="1918"/>
      <c r="H552" s="177"/>
      <c r="I552" s="1916"/>
      <c r="J552" s="1917"/>
      <c r="K552" s="1917"/>
      <c r="L552" s="1918"/>
      <c r="M552" s="177"/>
      <c r="N552" s="1916"/>
      <c r="O552" s="1917"/>
      <c r="P552" s="1917"/>
      <c r="Q552" s="1918"/>
      <c r="R552" s="177"/>
      <c r="S552" s="1916"/>
      <c r="T552" s="1917"/>
      <c r="U552" s="1917"/>
      <c r="V552" s="1918"/>
      <c r="W552" s="177"/>
      <c r="X552" s="1916"/>
      <c r="Y552" s="1917"/>
      <c r="Z552" s="1917"/>
      <c r="AA552" s="1918"/>
      <c r="AB552" s="177"/>
      <c r="AC552" s="1916"/>
      <c r="AD552" s="1917"/>
      <c r="AE552" s="1917"/>
      <c r="AF552" s="1918"/>
      <c r="AG552" s="177"/>
      <c r="AH552" s="1916"/>
      <c r="AI552" s="1917"/>
      <c r="AJ552" s="1917"/>
      <c r="AK552" s="1918"/>
      <c r="AL552" s="177"/>
    </row>
    <row r="553" spans="2:38" s="176" customFormat="1" x14ac:dyDescent="0.45">
      <c r="B553" s="1942"/>
      <c r="C553" s="1945"/>
      <c r="D553" s="1916"/>
      <c r="E553" s="1917"/>
      <c r="F553" s="1917"/>
      <c r="G553" s="1918"/>
      <c r="H553" s="177"/>
      <c r="I553" s="1916"/>
      <c r="J553" s="1917"/>
      <c r="K553" s="1917"/>
      <c r="L553" s="1918"/>
      <c r="M553" s="177"/>
      <c r="N553" s="1916"/>
      <c r="O553" s="1917"/>
      <c r="P553" s="1917"/>
      <c r="Q553" s="1918"/>
      <c r="R553" s="177"/>
      <c r="S553" s="1916"/>
      <c r="T553" s="1917"/>
      <c r="U553" s="1917"/>
      <c r="V553" s="1918"/>
      <c r="W553" s="177"/>
      <c r="X553" s="1916"/>
      <c r="Y553" s="1917"/>
      <c r="Z553" s="1917"/>
      <c r="AA553" s="1918"/>
      <c r="AB553" s="177"/>
      <c r="AC553" s="1916"/>
      <c r="AD553" s="1917"/>
      <c r="AE553" s="1917"/>
      <c r="AF553" s="1918"/>
      <c r="AG553" s="177"/>
      <c r="AH553" s="1916"/>
      <c r="AI553" s="1917"/>
      <c r="AJ553" s="1917"/>
      <c r="AK553" s="1918"/>
      <c r="AL553" s="177"/>
    </row>
    <row r="554" spans="2:38" s="176" customFormat="1" ht="15" customHeight="1" x14ac:dyDescent="0.45">
      <c r="B554" s="1942"/>
      <c r="C554" s="1945"/>
      <c r="D554" s="1919"/>
      <c r="E554" s="1920"/>
      <c r="F554" s="1920"/>
      <c r="G554" s="1921"/>
      <c r="H554" s="177"/>
      <c r="I554" s="1919"/>
      <c r="J554" s="1920"/>
      <c r="K554" s="1920"/>
      <c r="L554" s="1921"/>
      <c r="M554" s="177"/>
      <c r="N554" s="1919"/>
      <c r="O554" s="1920"/>
      <c r="P554" s="1920"/>
      <c r="Q554" s="1921"/>
      <c r="R554" s="177"/>
      <c r="S554" s="1919"/>
      <c r="T554" s="1920"/>
      <c r="U554" s="1920"/>
      <c r="V554" s="1921"/>
      <c r="W554" s="177"/>
      <c r="X554" s="1919"/>
      <c r="Y554" s="1920"/>
      <c r="Z554" s="1920"/>
      <c r="AA554" s="1921"/>
      <c r="AB554" s="177"/>
      <c r="AC554" s="1919"/>
      <c r="AD554" s="1920"/>
      <c r="AE554" s="1920"/>
      <c r="AF554" s="1921"/>
      <c r="AG554" s="177"/>
      <c r="AH554" s="1919"/>
      <c r="AI554" s="1920"/>
      <c r="AJ554" s="1920"/>
      <c r="AK554" s="1921"/>
      <c r="AL554" s="177"/>
    </row>
    <row r="555" spans="2:38" s="176" customFormat="1" ht="15" customHeight="1" x14ac:dyDescent="0.45">
      <c r="B555" s="1942"/>
      <c r="C555" s="1945"/>
      <c r="D555" s="1913" t="str">
        <f ca="1">IF(G535&gt;0,CONCATENATE("Session Aim: 
", CONCATENATE(IF(INDEX(final_duration_secondary,((WEEKDAY(E$3,2)*2-1)+IF(E535="Morning",0,1)),D535)=0, "", "1. "),
INDEX(sessions_aim_primary,, INDEX(plan_session_allocation,((WEEKDAY(E$3,2)*2-1)+IF(E535="Morning",0,1)),D535)), IF(INDEX(final_duration_secondary,((WEEKDAY(E$3,2)*2-1)+IF(E535="Morning",0,1)),D535)=0, "", "
2. "),
IF(INDEX(final_duration_secondary,((WEEKDAY(E$3,2)*2-1)+IF(E535="Morning",0,1)),D535)=0, "", INDEX(sessions_aim_secondary,, INDEX(plan_session_allocation,((WEEKDAY(E$3,2)*2-1)+IF(E535="Morning",0,1)),D535))), IF(INDEX(final_duration_tertiary,((WEEKDAY(E$3,2)*2-1)+IF(E535="Morning",0,1)),D535)=0, "", "
3. "),
IF(INDEX(final_duration_tertiary,((WEEKDAY(E$3,2)*2-1)+IF(E535="Morning",0,1)),D535)=0, "", INDEX(sessions_aim_tertiary,, INDEX(plan_session_allocation,((WEEKDAY(E$3,2)*2-1)+IF(E535="Morning",0,1)),D535))),
IF(INDEX(display_nutrition_description,((WEEKDAY(E$3,2)*2-1)+IF(E535="Morning",0,1)),D535)="","",
CONCATENATE("
Nutrition Aim:
", INDEX(sessions_aim_nutrition,,INDEX(plan_session_allocation,((WEEKDAY(E$3,2)*2-1)+IF(E535="Morning",0,1)),D535))
))
)),"")</f>
        <v/>
      </c>
      <c r="E555" s="1914"/>
      <c r="F555" s="1914"/>
      <c r="G555" s="1915"/>
      <c r="H555" s="177"/>
      <c r="I555" s="1913" t="str">
        <f ca="1">IF(L535&gt;0,CONCATENATE("Session Aim: 
", CONCATENATE(IF(INDEX(final_duration_secondary,((WEEKDAY(J$3,2)*2-1)+IF(J535="Morning",0,1)),I535)=0, "", "1. "),
INDEX(sessions_aim_primary,, INDEX(plan_session_allocation,((WEEKDAY(J$3,2)*2-1)+IF(J535="Morning",0,1)),I535)), IF(INDEX(final_duration_secondary,((WEEKDAY(J$3,2)*2-1)+IF(J535="Morning",0,1)),I535)=0, "", "
2. "),
IF(INDEX(final_duration_secondary,((WEEKDAY(J$3,2)*2-1)+IF(J535="Morning",0,1)),I535)=0, "", INDEX(sessions_aim_secondary,, INDEX(plan_session_allocation,((WEEKDAY(J$3,2)*2-1)+IF(J535="Morning",0,1)),I535))), IF(INDEX(final_duration_tertiary,((WEEKDAY(J$3,2)*2-1)+IF(J535="Morning",0,1)),I535)=0, "", "
3. "),
IF(INDEX(final_duration_tertiary,((WEEKDAY(J$3,2)*2-1)+IF(J535="Morning",0,1)),I535)=0, "", INDEX(sessions_aim_tertiary,, INDEX(plan_session_allocation,((WEEKDAY(J$3,2)*2-1)+IF(J535="Morning",0,1)),I535))),
IF(INDEX(display_nutrition_description,((WEEKDAY(J$3,2)*2-1)+IF(J535="Morning",0,1)),I535)="","",
CONCATENATE("
Nutrition Aim:
", INDEX(sessions_aim_nutrition,,INDEX(plan_session_allocation,((WEEKDAY(J$3,2)*2-1)+IF(J535="Morning",0,1)),I535))
))
)),"")</f>
        <v/>
      </c>
      <c r="J555" s="1914"/>
      <c r="K555" s="1914"/>
      <c r="L555" s="1915"/>
      <c r="M555" s="177"/>
      <c r="N555" s="1913" t="str">
        <f ca="1">IF(Q535&gt;0,CONCATENATE("Session Aim: 
", CONCATENATE(IF(INDEX(final_duration_secondary,((WEEKDAY(O$3,2)*2-1)+IF(O535="Morning",0,1)),N535)=0, "", "1. "),
INDEX(sessions_aim_primary,, INDEX(plan_session_allocation,((WEEKDAY(O$3,2)*2-1)+IF(O535="Morning",0,1)),N535)), IF(INDEX(final_duration_secondary,((WEEKDAY(O$3,2)*2-1)+IF(O535="Morning",0,1)),N535)=0, "", "
2. "),
IF(INDEX(final_duration_secondary,((WEEKDAY(O$3,2)*2-1)+IF(O535="Morning",0,1)),N535)=0, "", INDEX(sessions_aim_secondary,, INDEX(plan_session_allocation,((WEEKDAY(O$3,2)*2-1)+IF(O535="Morning",0,1)),N535))), IF(INDEX(final_duration_tertiary,((WEEKDAY(O$3,2)*2-1)+IF(O535="Morning",0,1)),N535)=0, "", "
3. "),
IF(INDEX(final_duration_tertiary,((WEEKDAY(O$3,2)*2-1)+IF(O535="Morning",0,1)),N535)=0, "", INDEX(sessions_aim_tertiary,, INDEX(plan_session_allocation,((WEEKDAY(O$3,2)*2-1)+IF(O535="Morning",0,1)),N535))),
IF(INDEX(display_nutrition_description,((WEEKDAY(O$3,2)*2-1)+IF(O535="Morning",0,1)),N535)="","",
CONCATENATE("
Nutrition Aim:
", INDEX(sessions_aim_nutrition,,INDEX(plan_session_allocation,((WEEKDAY(O$3,2)*2-1)+IF(O535="Morning",0,1)),N535))
))
)),"")</f>
        <v/>
      </c>
      <c r="O555" s="1914"/>
      <c r="P555" s="1914"/>
      <c r="Q555" s="1915"/>
      <c r="R555" s="177"/>
      <c r="S555" s="1913" t="str">
        <f ca="1">IF(V535&gt;0,CONCATENATE("Session Aim: 
", CONCATENATE(IF(INDEX(final_duration_secondary,((WEEKDAY(T$3,2)*2-1)+IF(T535="Morning",0,1)),S535)=0, "", "1. "),
INDEX(sessions_aim_primary,, INDEX(plan_session_allocation,((WEEKDAY(T$3,2)*2-1)+IF(T535="Morning",0,1)),S535)), IF(INDEX(final_duration_secondary,((WEEKDAY(T$3,2)*2-1)+IF(T535="Morning",0,1)),S535)=0, "", "
2. "),
IF(INDEX(final_duration_secondary,((WEEKDAY(T$3,2)*2-1)+IF(T535="Morning",0,1)),S535)=0, "", INDEX(sessions_aim_secondary,, INDEX(plan_session_allocation,((WEEKDAY(T$3,2)*2-1)+IF(T535="Morning",0,1)),S535))), IF(INDEX(final_duration_tertiary,((WEEKDAY(T$3,2)*2-1)+IF(T535="Morning",0,1)),S535)=0, "", "
3. "),
IF(INDEX(final_duration_tertiary,((WEEKDAY(T$3,2)*2-1)+IF(T535="Morning",0,1)),S535)=0, "", INDEX(sessions_aim_tertiary,, INDEX(plan_session_allocation,((WEEKDAY(T$3,2)*2-1)+IF(T535="Morning",0,1)),S535))),
IF(INDEX(display_nutrition_description,((WEEKDAY(T$3,2)*2-1)+IF(T535="Morning",0,1)),S535)="","",
CONCATENATE("
Nutrition Aim:
", INDEX(sessions_aim_nutrition,,INDEX(plan_session_allocation,((WEEKDAY(T$3,2)*2-1)+IF(T535="Morning",0,1)),S535))
))
)),"")</f>
        <v/>
      </c>
      <c r="T555" s="1914"/>
      <c r="U555" s="1914"/>
      <c r="V555" s="1915"/>
      <c r="W555" s="177"/>
      <c r="X555" s="1913" t="str">
        <f ca="1">IF(AA535&gt;0,CONCATENATE("Session Aim: 
", CONCATENATE(IF(INDEX(final_duration_secondary,((WEEKDAY(Y$3,2)*2-1)+IF(Y535="Morning",0,1)),X535)=0, "", "1. "),
INDEX(sessions_aim_primary,, INDEX(plan_session_allocation,((WEEKDAY(Y$3,2)*2-1)+IF(Y535="Morning",0,1)),X535)), IF(INDEX(final_duration_secondary,((WEEKDAY(Y$3,2)*2-1)+IF(Y535="Morning",0,1)),X535)=0, "", "
2. "),
IF(INDEX(final_duration_secondary,((WEEKDAY(Y$3,2)*2-1)+IF(Y535="Morning",0,1)),X535)=0, "", INDEX(sessions_aim_secondary,, INDEX(plan_session_allocation,((WEEKDAY(Y$3,2)*2-1)+IF(Y535="Morning",0,1)),X535))), IF(INDEX(final_duration_tertiary,((WEEKDAY(Y$3,2)*2-1)+IF(Y535="Morning",0,1)),X535)=0, "", "
3. "),
IF(INDEX(final_duration_tertiary,((WEEKDAY(Y$3,2)*2-1)+IF(Y535="Morning",0,1)),X535)=0, "", INDEX(sessions_aim_tertiary,, INDEX(plan_session_allocation,((WEEKDAY(Y$3,2)*2-1)+IF(Y535="Morning",0,1)),X535))),
IF(INDEX(display_nutrition_description,((WEEKDAY(Y$3,2)*2-1)+IF(Y535="Morning",0,1)),X535)="","",
CONCATENATE("
Nutrition Aim:
", INDEX(sessions_aim_nutrition,,INDEX(plan_session_allocation,((WEEKDAY(Y$3,2)*2-1)+IF(Y535="Morning",0,1)),X535))
))
)),"")</f>
        <v/>
      </c>
      <c r="Y555" s="1914"/>
      <c r="Z555" s="1914"/>
      <c r="AA555" s="1915"/>
      <c r="AB555" s="177"/>
      <c r="AC555" s="1913" t="str">
        <f ca="1">IF(AF535&gt;0,CONCATENATE("Session Aim: 
", CONCATENATE(IF(INDEX(final_duration_secondary,((WEEKDAY(AD$3,2)*2-1)+IF(AD535="Morning",0,1)),AC535)=0, "", "1. "),
INDEX(sessions_aim_primary,, INDEX(plan_session_allocation,((WEEKDAY(AD$3,2)*2-1)+IF(AD535="Morning",0,1)),AC535)), IF(INDEX(final_duration_secondary,((WEEKDAY(AD$3,2)*2-1)+IF(AD535="Morning",0,1)),AC535)=0, "", "
2. "),
IF(INDEX(final_duration_secondary,((WEEKDAY(AD$3,2)*2-1)+IF(AD535="Morning",0,1)),AC535)=0, "", INDEX(sessions_aim_secondary,, INDEX(plan_session_allocation,((WEEKDAY(AD$3,2)*2-1)+IF(AD535="Morning",0,1)),AC535))), IF(INDEX(final_duration_tertiary,((WEEKDAY(AD$3,2)*2-1)+IF(AD535="Morning",0,1)),AC535)=0, "", "
3. "),
IF(INDEX(final_duration_tertiary,((WEEKDAY(AD$3,2)*2-1)+IF(AD535="Morning",0,1)),AC535)=0, "", INDEX(sessions_aim_tertiary,, INDEX(plan_session_allocation,((WEEKDAY(AD$3,2)*2-1)+IF(AD535="Morning",0,1)),AC535))),
IF(INDEX(display_nutrition_description,((WEEKDAY(AD$3,2)*2-1)+IF(AD535="Morning",0,1)),AC535)="","",
CONCATENATE("
Nutrition Aim:
", INDEX(sessions_aim_nutrition,,INDEX(plan_session_allocation,((WEEKDAY(AD$3,2)*2-1)+IF(AD535="Morning",0,1)),AC535))
))
)),"")</f>
        <v/>
      </c>
      <c r="AD555" s="1914"/>
      <c r="AE555" s="1914"/>
      <c r="AF555" s="1915"/>
      <c r="AG555" s="177"/>
      <c r="AH555" s="1913" t="str">
        <f ca="1">IF(AK535&gt;0,CONCATENATE("Session Aim: 
", CONCATENATE(IF(INDEX(final_duration_secondary,((WEEKDAY(AI$3,2)*2-1)+IF(AI535="Morning",0,1)),AH535)=0, "", "1. "),
INDEX(sessions_aim_primary,, INDEX(plan_session_allocation,((WEEKDAY(AI$3,2)*2-1)+IF(AI535="Morning",0,1)),AH535)), IF(INDEX(final_duration_secondary,((WEEKDAY(AI$3,2)*2-1)+IF(AI535="Morning",0,1)),AH535)=0, "", "
2. "),
IF(INDEX(final_duration_secondary,((WEEKDAY(AI$3,2)*2-1)+IF(AI535="Morning",0,1)),AH535)=0, "", INDEX(sessions_aim_secondary,, INDEX(plan_session_allocation,((WEEKDAY(AI$3,2)*2-1)+IF(AI535="Morning",0,1)),AH535))), IF(INDEX(final_duration_tertiary,((WEEKDAY(AI$3,2)*2-1)+IF(AI535="Morning",0,1)),AH535)=0, "", "
3. "),
IF(INDEX(final_duration_tertiary,((WEEKDAY(AI$3,2)*2-1)+IF(AI535="Morning",0,1)),AH535)=0, "", INDEX(sessions_aim_tertiary,, INDEX(plan_session_allocation,((WEEKDAY(AI$3,2)*2-1)+IF(AI535="Morning",0,1)),AH535))),
IF(INDEX(display_nutrition_description,((WEEKDAY(AI$3,2)*2-1)+IF(AI535="Morning",0,1)),AH535)="","",
CONCATENATE("
Nutrition Aim:
", INDEX(sessions_aim_nutrition,,INDEX(plan_session_allocation,((WEEKDAY(AI$3,2)*2-1)+IF(AI535="Morning",0,1)),AH535))
))
)),"")</f>
        <v>Session Aim: 
Improve aerobic fitness at an optimal rate.</v>
      </c>
      <c r="AI555" s="1914"/>
      <c r="AJ555" s="1914"/>
      <c r="AK555" s="1915"/>
      <c r="AL555" s="177"/>
    </row>
    <row r="556" spans="2:38" s="176" customFormat="1" x14ac:dyDescent="0.45">
      <c r="B556" s="1942"/>
      <c r="C556" s="1945"/>
      <c r="D556" s="1916"/>
      <c r="E556" s="1917"/>
      <c r="F556" s="1917"/>
      <c r="G556" s="1918"/>
      <c r="H556" s="177"/>
      <c r="I556" s="1916"/>
      <c r="J556" s="1917"/>
      <c r="K556" s="1917"/>
      <c r="L556" s="1918"/>
      <c r="M556" s="177"/>
      <c r="N556" s="1916"/>
      <c r="O556" s="1917"/>
      <c r="P556" s="1917"/>
      <c r="Q556" s="1918"/>
      <c r="R556" s="177"/>
      <c r="S556" s="1916"/>
      <c r="T556" s="1917"/>
      <c r="U556" s="1917"/>
      <c r="V556" s="1918"/>
      <c r="W556" s="177"/>
      <c r="X556" s="1916"/>
      <c r="Y556" s="1917"/>
      <c r="Z556" s="1917"/>
      <c r="AA556" s="1918"/>
      <c r="AB556" s="177"/>
      <c r="AC556" s="1916"/>
      <c r="AD556" s="1917"/>
      <c r="AE556" s="1917"/>
      <c r="AF556" s="1918"/>
      <c r="AG556" s="177"/>
      <c r="AH556" s="1916"/>
      <c r="AI556" s="1917"/>
      <c r="AJ556" s="1917"/>
      <c r="AK556" s="1918"/>
      <c r="AL556" s="177"/>
    </row>
    <row r="557" spans="2:38" s="176" customFormat="1" x14ac:dyDescent="0.45">
      <c r="B557" s="1942"/>
      <c r="C557" s="1945"/>
      <c r="D557" s="1916"/>
      <c r="E557" s="1917"/>
      <c r="F557" s="1917"/>
      <c r="G557" s="1918"/>
      <c r="H557" s="177"/>
      <c r="I557" s="1916"/>
      <c r="J557" s="1917"/>
      <c r="K557" s="1917"/>
      <c r="L557" s="1918"/>
      <c r="M557" s="177"/>
      <c r="N557" s="1916"/>
      <c r="O557" s="1917"/>
      <c r="P557" s="1917"/>
      <c r="Q557" s="1918"/>
      <c r="R557" s="177"/>
      <c r="S557" s="1916"/>
      <c r="T557" s="1917"/>
      <c r="U557" s="1917"/>
      <c r="V557" s="1918"/>
      <c r="W557" s="177"/>
      <c r="X557" s="1916"/>
      <c r="Y557" s="1917"/>
      <c r="Z557" s="1917"/>
      <c r="AA557" s="1918"/>
      <c r="AB557" s="177"/>
      <c r="AC557" s="1916"/>
      <c r="AD557" s="1917"/>
      <c r="AE557" s="1917"/>
      <c r="AF557" s="1918"/>
      <c r="AG557" s="177"/>
      <c r="AH557" s="1916"/>
      <c r="AI557" s="1917"/>
      <c r="AJ557" s="1917"/>
      <c r="AK557" s="1918"/>
      <c r="AL557" s="177"/>
    </row>
    <row r="558" spans="2:38" s="176" customFormat="1" x14ac:dyDescent="0.45">
      <c r="B558" s="1942"/>
      <c r="C558" s="1945"/>
      <c r="D558" s="1916"/>
      <c r="E558" s="1917"/>
      <c r="F558" s="1917"/>
      <c r="G558" s="1918"/>
      <c r="H558" s="177"/>
      <c r="I558" s="1916"/>
      <c r="J558" s="1917"/>
      <c r="K558" s="1917"/>
      <c r="L558" s="1918"/>
      <c r="M558" s="177"/>
      <c r="N558" s="1916"/>
      <c r="O558" s="1917"/>
      <c r="P558" s="1917"/>
      <c r="Q558" s="1918"/>
      <c r="R558" s="177"/>
      <c r="S558" s="1916"/>
      <c r="T558" s="1917"/>
      <c r="U558" s="1917"/>
      <c r="V558" s="1918"/>
      <c r="W558" s="177"/>
      <c r="X558" s="1916"/>
      <c r="Y558" s="1917"/>
      <c r="Z558" s="1917"/>
      <c r="AA558" s="1918"/>
      <c r="AB558" s="177"/>
      <c r="AC558" s="1916"/>
      <c r="AD558" s="1917"/>
      <c r="AE558" s="1917"/>
      <c r="AF558" s="1918"/>
      <c r="AG558" s="177"/>
      <c r="AH558" s="1916"/>
      <c r="AI558" s="1917"/>
      <c r="AJ558" s="1917"/>
      <c r="AK558" s="1918"/>
      <c r="AL558" s="177"/>
    </row>
    <row r="559" spans="2:38" s="176" customFormat="1" x14ac:dyDescent="0.45">
      <c r="B559" s="1942"/>
      <c r="C559" s="1945"/>
      <c r="D559" s="1916"/>
      <c r="E559" s="1917"/>
      <c r="F559" s="1917"/>
      <c r="G559" s="1918"/>
      <c r="H559" s="177"/>
      <c r="I559" s="1916"/>
      <c r="J559" s="1917"/>
      <c r="K559" s="1917"/>
      <c r="L559" s="1918"/>
      <c r="M559" s="177"/>
      <c r="N559" s="1916"/>
      <c r="O559" s="1917"/>
      <c r="P559" s="1917"/>
      <c r="Q559" s="1918"/>
      <c r="R559" s="177"/>
      <c r="S559" s="1916"/>
      <c r="T559" s="1917"/>
      <c r="U559" s="1917"/>
      <c r="V559" s="1918"/>
      <c r="W559" s="177"/>
      <c r="X559" s="1916"/>
      <c r="Y559" s="1917"/>
      <c r="Z559" s="1917"/>
      <c r="AA559" s="1918"/>
      <c r="AB559" s="177"/>
      <c r="AC559" s="1916"/>
      <c r="AD559" s="1917"/>
      <c r="AE559" s="1917"/>
      <c r="AF559" s="1918"/>
      <c r="AG559" s="177"/>
      <c r="AH559" s="1916"/>
      <c r="AI559" s="1917"/>
      <c r="AJ559" s="1917"/>
      <c r="AK559" s="1918"/>
      <c r="AL559" s="177"/>
    </row>
    <row r="560" spans="2:38" s="176" customFormat="1" x14ac:dyDescent="0.45">
      <c r="B560" s="1942"/>
      <c r="C560" s="1945"/>
      <c r="D560" s="1916"/>
      <c r="E560" s="1917"/>
      <c r="F560" s="1917"/>
      <c r="G560" s="1918"/>
      <c r="H560" s="177"/>
      <c r="I560" s="1916"/>
      <c r="J560" s="1917"/>
      <c r="K560" s="1917"/>
      <c r="L560" s="1918"/>
      <c r="N560" s="1916"/>
      <c r="O560" s="1917"/>
      <c r="P560" s="1917"/>
      <c r="Q560" s="1918"/>
      <c r="S560" s="1916"/>
      <c r="T560" s="1917"/>
      <c r="U560" s="1917"/>
      <c r="V560" s="1918"/>
      <c r="X560" s="1916"/>
      <c r="Y560" s="1917"/>
      <c r="Z560" s="1917"/>
      <c r="AA560" s="1918"/>
      <c r="AC560" s="1916"/>
      <c r="AD560" s="1917"/>
      <c r="AE560" s="1917"/>
      <c r="AF560" s="1918"/>
      <c r="AH560" s="1916"/>
      <c r="AI560" s="1917"/>
      <c r="AJ560" s="1917"/>
      <c r="AK560" s="1918"/>
    </row>
    <row r="561" spans="2:38" s="176" customFormat="1" ht="14.65" thickBot="1" x14ac:dyDescent="0.5">
      <c r="B561" s="1943"/>
      <c r="C561" s="1946"/>
      <c r="D561" s="1938"/>
      <c r="E561" s="1939"/>
      <c r="F561" s="1939"/>
      <c r="G561" s="1940"/>
      <c r="H561" s="177"/>
      <c r="I561" s="1938"/>
      <c r="J561" s="1939"/>
      <c r="K561" s="1939"/>
      <c r="L561" s="1940"/>
      <c r="N561" s="1938"/>
      <c r="O561" s="1939"/>
      <c r="P561" s="1939"/>
      <c r="Q561" s="1940"/>
      <c r="S561" s="1938"/>
      <c r="T561" s="1939"/>
      <c r="U561" s="1939"/>
      <c r="V561" s="1940"/>
      <c r="X561" s="1938"/>
      <c r="Y561" s="1939"/>
      <c r="Z561" s="1939"/>
      <c r="AA561" s="1940"/>
      <c r="AC561" s="1938"/>
      <c r="AD561" s="1939"/>
      <c r="AE561" s="1939"/>
      <c r="AF561" s="1940"/>
      <c r="AH561" s="1938"/>
      <c r="AI561" s="1939"/>
      <c r="AJ561" s="1939"/>
      <c r="AK561" s="1940"/>
    </row>
    <row r="562" spans="2:38" s="176" customFormat="1" ht="14.65" thickBot="1" x14ac:dyDescent="0.5">
      <c r="H562" s="177"/>
    </row>
    <row r="563" spans="2:38" s="176" customFormat="1" ht="15" customHeight="1" thickBot="1" x14ac:dyDescent="0.5">
      <c r="B563" s="1941">
        <v>11</v>
      </c>
      <c r="C563" s="1944" t="str">
        <f ca="1">IF(INDEX(display_strategy,1,B563)="","", CONCATENATE(INDEX(display_strategy,1,B563),": ",HLOOKUP(INDEX(display_strategy,1,B563),strategies,4,TRUE)))</f>
        <v>Overload: A maximal week, should be fascilitated by maximal recovery and nutrition.</v>
      </c>
      <c r="D563" s="1418" t="str">
        <f ca="1">CONCATENATE("Strategy: ",INDEX(display_strategy,$B563))</f>
        <v>Strategy: Overload</v>
      </c>
      <c r="E563" s="1947">
        <f>plan_start_date + ($B563-1)*7 + (COLUMN(D$2)-2)/5</f>
        <v>43444.4</v>
      </c>
      <c r="F563" s="1947"/>
      <c r="G563" s="1417" t="str">
        <f>CONCATENATE("Slot: ", ((WEEKDAY(E$3,2)*2-1)+IF(E564="Morning",0,1)))</f>
        <v>Slot: 1</v>
      </c>
      <c r="H563" s="177"/>
      <c r="I563" s="1418" t="str">
        <f ca="1">CONCATENATE("Strategy: ",INDEX(display_strategy,$B563))</f>
        <v>Strategy: Overload</v>
      </c>
      <c r="J563" s="1947">
        <f>plan_start_date + ($B563-1)*7 + (COLUMN(I$2)-2)/5</f>
        <v>43445.4</v>
      </c>
      <c r="K563" s="1947"/>
      <c r="L563" s="1417" t="str">
        <f>CONCATENATE("Slot: ", ((WEEKDAY(J$3,2)*2-1)+IF(J564="Morning",0,1)))</f>
        <v>Slot: 3</v>
      </c>
      <c r="N563" s="1418" t="str">
        <f ca="1">CONCATENATE("Strategy: ",INDEX(display_strategy,$B563))</f>
        <v>Strategy: Overload</v>
      </c>
      <c r="O563" s="1947">
        <f>plan_start_date + ($B563-1)*7 + (COLUMN(N$2)-2)/5</f>
        <v>43446.400000000001</v>
      </c>
      <c r="P563" s="1947"/>
      <c r="Q563" s="1417" t="str">
        <f>CONCATENATE("Slot: ", ((WEEKDAY(O$3,2)*2-1)+IF(O564="Morning",0,1)))</f>
        <v>Slot: 5</v>
      </c>
      <c r="S563" s="1418" t="str">
        <f ca="1">CONCATENATE("Strategy: ",INDEX(display_strategy,$B563))</f>
        <v>Strategy: Overload</v>
      </c>
      <c r="T563" s="1947">
        <f>plan_start_date + ($B563-1)*7 + (COLUMN(S$2)-2)/5</f>
        <v>43447.4</v>
      </c>
      <c r="U563" s="1947"/>
      <c r="V563" s="1417" t="str">
        <f>CONCATENATE("Slot: ", ((WEEKDAY(T$3,2)*2-1)+IF(T564="Morning",0,1)))</f>
        <v>Slot: 7</v>
      </c>
      <c r="X563" s="1418" t="str">
        <f ca="1">CONCATENATE("Strategy: ",INDEX(display_strategy,$B563))</f>
        <v>Strategy: Overload</v>
      </c>
      <c r="Y563" s="1947">
        <f>plan_start_date + ($B563-1)*7 + (COLUMN(X$2)-2)/5</f>
        <v>43448.4</v>
      </c>
      <c r="Z563" s="1947"/>
      <c r="AA563" s="1417" t="str">
        <f>CONCATENATE("Slot: ", ((WEEKDAY(Y$3,2)*2-1)+IF(Y564="Morning",0,1)))</f>
        <v>Slot: 9</v>
      </c>
      <c r="AC563" s="1418" t="str">
        <f ca="1">CONCATENATE("Strategy: ",INDEX(display_strategy,$B563))</f>
        <v>Strategy: Overload</v>
      </c>
      <c r="AD563" s="1947">
        <f>plan_start_date + ($B563-1)*7 + (COLUMN(AC$2)-2)/5</f>
        <v>43449.4</v>
      </c>
      <c r="AE563" s="1947"/>
      <c r="AF563" s="1417" t="str">
        <f>CONCATENATE("Slot: ", ((WEEKDAY(AD$3,2)*2-1)+IF(AD564="Morning",0,1)))</f>
        <v>Slot: 11</v>
      </c>
      <c r="AH563" s="1418" t="str">
        <f ca="1">CONCATENATE("Strategy: ",INDEX(display_strategy,$B563))</f>
        <v>Strategy: Overload</v>
      </c>
      <c r="AI563" s="1947">
        <f>plan_start_date + ($B563-1)*7 + (COLUMN(AH$2)-2)/5</f>
        <v>43450.400000000001</v>
      </c>
      <c r="AJ563" s="1947"/>
      <c r="AK563" s="1417" t="str">
        <f>CONCATENATE("Slot: ", ((WEEKDAY(AI$3,2)*2-1)+IF(AI564="Morning",0,1)))</f>
        <v>Slot: 13</v>
      </c>
    </row>
    <row r="564" spans="2:38" s="176" customFormat="1" x14ac:dyDescent="0.45">
      <c r="B564" s="1942"/>
      <c r="C564" s="1945"/>
      <c r="D564" s="1413">
        <f>$B563</f>
        <v>11</v>
      </c>
      <c r="E564" s="1930" t="s">
        <v>351</v>
      </c>
      <c r="F564" s="1930"/>
      <c r="G564" s="1412">
        <f ca="1">INDEX(final_duration_session, ((WEEKDAY(E$3,2)*2-1)+IF(E564="Morning",0,1)), $D564)</f>
        <v>0</v>
      </c>
      <c r="H564" s="177"/>
      <c r="I564" s="1413">
        <f>$B563</f>
        <v>11</v>
      </c>
      <c r="J564" s="1930" t="s">
        <v>351</v>
      </c>
      <c r="K564" s="1930"/>
      <c r="L564" s="1412">
        <f ca="1">INDEX(final_duration_session, ((WEEKDAY(J$3,2)*2-1)+IF(J564="Morning",0,1)), $D564)</f>
        <v>0</v>
      </c>
      <c r="M564" s="177"/>
      <c r="N564" s="1413">
        <f>$B563</f>
        <v>11</v>
      </c>
      <c r="O564" s="1930" t="s">
        <v>351</v>
      </c>
      <c r="P564" s="1930"/>
      <c r="Q564" s="1412">
        <f ca="1">INDEX(final_duration_session, ((WEEKDAY(O$3,2)*2-1)+IF(O564="Morning",0,1)), $D564)</f>
        <v>0</v>
      </c>
      <c r="R564" s="177"/>
      <c r="S564" s="1413">
        <f>$B563</f>
        <v>11</v>
      </c>
      <c r="T564" s="1930" t="s">
        <v>351</v>
      </c>
      <c r="U564" s="1930"/>
      <c r="V564" s="1412">
        <f ca="1">INDEX(final_duration_session, ((WEEKDAY(T$3,2)*2-1)+IF(T564="Morning",0,1)), $D564)</f>
        <v>0</v>
      </c>
      <c r="W564" s="177"/>
      <c r="X564" s="1413">
        <f>$B563</f>
        <v>11</v>
      </c>
      <c r="Y564" s="1930" t="s">
        <v>351</v>
      </c>
      <c r="Z564" s="1930"/>
      <c r="AA564" s="1412">
        <f ca="1">INDEX(final_duration_session, ((WEEKDAY(Y$3,2)*2-1)+IF(Y564="Morning",0,1)), $D564)</f>
        <v>0</v>
      </c>
      <c r="AB564" s="177"/>
      <c r="AC564" s="1413">
        <f>$B563</f>
        <v>11</v>
      </c>
      <c r="AD564" s="1930" t="s">
        <v>351</v>
      </c>
      <c r="AE564" s="1930"/>
      <c r="AF564" s="1412">
        <f ca="1">INDEX(final_duration_session, ((WEEKDAY(AD$3,2)*2-1)+IF(AD564="Morning",0,1)), $D564)</f>
        <v>145</v>
      </c>
      <c r="AG564" s="177"/>
      <c r="AH564" s="1413">
        <f>$B563</f>
        <v>11</v>
      </c>
      <c r="AI564" s="1930" t="s">
        <v>351</v>
      </c>
      <c r="AJ564" s="1930"/>
      <c r="AK564" s="1412">
        <f ca="1">INDEX(final_duration_session, ((WEEKDAY(AI$3,2)*2-1)+IF(AI564="Morning",0,1)), $D564)</f>
        <v>145</v>
      </c>
      <c r="AL564" s="177"/>
    </row>
    <row r="565" spans="2:38" s="176" customFormat="1" ht="15" customHeight="1" x14ac:dyDescent="0.45">
      <c r="B565" s="1942"/>
      <c r="C565" s="1945"/>
      <c r="D565" s="1931" t="str">
        <f ca="1">IF(G564&gt;0,INDEX(sessions_name,INDEX(plan_session_allocation,((WEEKDAY(E$3,2)*2-1)+IF(E564="Morning",0,1)),D564)),"")</f>
        <v/>
      </c>
      <c r="E565" s="1932"/>
      <c r="F565" s="1932"/>
      <c r="G565" s="1933"/>
      <c r="H565" s="177"/>
      <c r="I565" s="1931" t="str">
        <f ca="1">IF(L564&gt;0,INDEX(sessions_name,INDEX(plan_session_allocation,((WEEKDAY(J$3,2)*2-1)+IF(J564="Morning",0,1)),I564)),"")</f>
        <v/>
      </c>
      <c r="J565" s="1932"/>
      <c r="K565" s="1932"/>
      <c r="L565" s="1933"/>
      <c r="M565" s="177"/>
      <c r="N565" s="1931" t="str">
        <f ca="1">IF(Q564&gt;0,INDEX(sessions_name,INDEX(plan_session_allocation,((WEEKDAY(O$3,2)*2-1)+IF(O564="Morning",0,1)),N564)),"")</f>
        <v/>
      </c>
      <c r="O565" s="1932"/>
      <c r="P565" s="1932"/>
      <c r="Q565" s="1933"/>
      <c r="R565" s="177"/>
      <c r="S565" s="1931" t="str">
        <f ca="1">IF(V564&gt;0,INDEX(sessions_name,INDEX(plan_session_allocation,((WEEKDAY(T$3,2)*2-1)+IF(T564="Morning",0,1)),S564)),"")</f>
        <v/>
      </c>
      <c r="T565" s="1932"/>
      <c r="U565" s="1932"/>
      <c r="V565" s="1933"/>
      <c r="W565" s="177"/>
      <c r="X565" s="1931" t="str">
        <f ca="1">IF(AA564&gt;0,INDEX(sessions_name,INDEX(plan_session_allocation,((WEEKDAY(Y$3,2)*2-1)+IF(Y564="Morning",0,1)),X564)),"")</f>
        <v/>
      </c>
      <c r="Y565" s="1932"/>
      <c r="Z565" s="1932"/>
      <c r="AA565" s="1933"/>
      <c r="AB565" s="177"/>
      <c r="AC565" s="1931" t="str">
        <f ca="1">IF(AF564&gt;0,INDEX(sessions_name,INDEX(plan_session_allocation,((WEEKDAY(AD$3,2)*2-1)+IF(AD564="Morning",0,1)),AC564)),"")</f>
        <v>Long</v>
      </c>
      <c r="AD565" s="1932"/>
      <c r="AE565" s="1932"/>
      <c r="AF565" s="1933"/>
      <c r="AG565" s="177"/>
      <c r="AH565" s="1931" t="str">
        <f ca="1">IF(AK564&gt;0,INDEX(sessions_name,INDEX(plan_session_allocation,((WEEKDAY(AI$3,2)*2-1)+IF(AI564="Morning",0,1)),AH564)),"")</f>
        <v>Long</v>
      </c>
      <c r="AI565" s="1932"/>
      <c r="AJ565" s="1932"/>
      <c r="AK565" s="1933"/>
      <c r="AL565" s="177"/>
    </row>
    <row r="566" spans="2:38" s="176" customFormat="1" ht="15" customHeight="1" x14ac:dyDescent="0.45">
      <c r="B566" s="1942"/>
      <c r="C566" s="1945"/>
      <c r="D566" s="1934" t="str">
        <f ca="1">IF(G564&gt;0,CONCATENATE("Sport: ",INDEX(sessions_sport_primary,INDEX(plan_session_allocation,(WEEKDAY(E$3,2)*2-1)+IF(E564="Morning",0,1),D564))),"")</f>
        <v/>
      </c>
      <c r="E566" s="1935"/>
      <c r="F566" s="1936" t="str">
        <f ca="1">IF(G564&gt;0,IFERROR(F567+F568+F569,""),"")</f>
        <v/>
      </c>
      <c r="G566" s="1937"/>
      <c r="H566" s="177"/>
      <c r="I566" s="1934" t="str">
        <f ca="1">IF(L564&gt;0,CONCATENATE("Sport: ",INDEX(sessions_sport_primary,INDEX(plan_session_allocation,(WEEKDAY(J$3,2)*2-1)+IF(J564="Morning",0,1),I564))),"")</f>
        <v/>
      </c>
      <c r="J566" s="1935"/>
      <c r="K566" s="1936" t="str">
        <f ca="1">IF(L564&gt;0,IFERROR(K567+K568+K569,""),"")</f>
        <v/>
      </c>
      <c r="L566" s="1937"/>
      <c r="M566" s="177"/>
      <c r="N566" s="1934" t="str">
        <f ca="1">IF(Q564&gt;0,CONCATENATE("Sport: ",INDEX(sessions_sport_primary,INDEX(plan_session_allocation,(WEEKDAY(O$3,2)*2-1)+IF(O564="Morning",0,1),N564))),"")</f>
        <v/>
      </c>
      <c r="O566" s="1935"/>
      <c r="P566" s="1936" t="str">
        <f ca="1">IF(Q564&gt;0,IFERROR(P567+P568+P569,""),"")</f>
        <v/>
      </c>
      <c r="Q566" s="1937"/>
      <c r="R566" s="177"/>
      <c r="S566" s="1934" t="str">
        <f ca="1">IF(V564&gt;0,CONCATENATE("Sport: ",INDEX(sessions_sport_primary,INDEX(plan_session_allocation,(WEEKDAY(T$3,2)*2-1)+IF(T564="Morning",0,1),S564))),"")</f>
        <v/>
      </c>
      <c r="T566" s="1935"/>
      <c r="U566" s="1936" t="str">
        <f ca="1">IF(V564&gt;0,IFERROR(U567+U568+U569,""),"")</f>
        <v/>
      </c>
      <c r="V566" s="1937"/>
      <c r="W566" s="177"/>
      <c r="X566" s="1934" t="str">
        <f ca="1">IF(AA564&gt;0,CONCATENATE("Sport: ",INDEX(sessions_sport_primary,INDEX(plan_session_allocation,(WEEKDAY(Y$3,2)*2-1)+IF(Y564="Morning",0,1),X564))),"")</f>
        <v/>
      </c>
      <c r="Y566" s="1935"/>
      <c r="Z566" s="1936" t="str">
        <f ca="1">IF(AA564&gt;0,IFERROR(Z567+Z568+Z569,""),"")</f>
        <v/>
      </c>
      <c r="AA566" s="1937"/>
      <c r="AB566" s="177"/>
      <c r="AC566" s="1934" t="str">
        <f ca="1">IF(AF564&gt;0,CONCATENATE("Sport: ",INDEX(sessions_sport_primary,INDEX(plan_session_allocation,(WEEKDAY(AD$3,2)*2-1)+IF(AD564="Morning",0,1),AC564))),"")</f>
        <v>Sport: Hilly Trail Run</v>
      </c>
      <c r="AD566" s="1935"/>
      <c r="AE566" s="1936">
        <f ca="1">IF(AF564&gt;0,IFERROR(AE567+AE568+AE569,""),"")</f>
        <v>145</v>
      </c>
      <c r="AF566" s="1937"/>
      <c r="AG566" s="177"/>
      <c r="AH566" s="1934" t="str">
        <f ca="1">IF(AK564&gt;0,CONCATENATE("Sport: ",INDEX(sessions_sport_primary,INDEX(plan_session_allocation,(WEEKDAY(AI$3,2)*2-1)+IF(AI564="Morning",0,1),AH564))),"")</f>
        <v>Sport: Hilly Trail Run</v>
      </c>
      <c r="AI566" s="1935"/>
      <c r="AJ566" s="1936">
        <f ca="1">IF(AK564&gt;0,IFERROR(AJ567+AJ568+AJ569,""),"")</f>
        <v>145</v>
      </c>
      <c r="AK566" s="1937"/>
      <c r="AL566" s="177"/>
    </row>
    <row r="567" spans="2:38" s="176" customFormat="1" ht="15" customHeight="1" x14ac:dyDescent="0.45">
      <c r="B567" s="1942"/>
      <c r="C567" s="1945"/>
      <c r="D567" s="1922" t="str">
        <f ca="1">IF(G564&gt;0,CONCATENATE("HR Target: ",
INDEX(sessions_HR_primary,INDEX(plan_session_allocation,((WEEKDAY(E$3,2)*2-1)+IF(E564="Morning",0,1)),D564)),
IF(INDEX(sessions_HR_primary,INDEX(plan_session_allocation,((WEEKDAY(E$3,2)*2-1)+IF(E564="Morning",0,1)),D564))="N/A","",
" BPM")),"")</f>
        <v/>
      </c>
      <c r="E567" s="1923"/>
      <c r="F567" s="1924" t="str">
        <f ca="1">IF(G564&gt;0,
INDEX(final_duration_effort,((WEEKDAY(E$3,2)*2-1)+IF(E564="Morning",0,1)),D564),"")</f>
        <v/>
      </c>
      <c r="G567" s="1925"/>
      <c r="H567" s="177"/>
      <c r="I567" s="1922" t="str">
        <f ca="1">IF(L564&gt;0,CONCATENATE("HR Target: ",
INDEX(sessions_HR_primary,INDEX(plan_session_allocation,((WEEKDAY(J$3,2)*2-1)+IF(J564="Morning",0,1)),I564)),
IF(INDEX(sessions_HR_primary,INDEX(plan_session_allocation,((WEEKDAY(J$3,2)*2-1)+IF(J564="Morning",0,1)),I564))="N/A","",
" BPM")),"")</f>
        <v/>
      </c>
      <c r="J567" s="1923"/>
      <c r="K567" s="1924" t="str">
        <f ca="1">IF(L564&gt;0,
INDEX(final_duration_effort,((WEEKDAY(J$3,2)*2-1)+IF(J564="Morning",0,1)),I564),"")</f>
        <v/>
      </c>
      <c r="L567" s="1925"/>
      <c r="M567" s="177"/>
      <c r="N567" s="1922" t="str">
        <f ca="1">IF(Q564&gt;0,CONCATENATE("HR Target: ",
INDEX(sessions_HR_primary,INDEX(plan_session_allocation,((WEEKDAY(O$3,2)*2-1)+IF(O564="Morning",0,1)),N564)),
IF(INDEX(sessions_HR_primary,INDEX(plan_session_allocation,((WEEKDAY(O$3,2)*2-1)+IF(O564="Morning",0,1)),N564))="N/A","",
" BPM")),"")</f>
        <v/>
      </c>
      <c r="O567" s="1923"/>
      <c r="P567" s="1924" t="str">
        <f ca="1">IF(Q564&gt;0,
INDEX(final_duration_effort,((WEEKDAY(O$3,2)*2-1)+IF(O564="Morning",0,1)),N564),"")</f>
        <v/>
      </c>
      <c r="Q567" s="1925"/>
      <c r="R567" s="177"/>
      <c r="S567" s="1922" t="str">
        <f ca="1">IF(V564&gt;0,CONCATENATE("HR Target: ",
INDEX(sessions_HR_primary,INDEX(plan_session_allocation,((WEEKDAY(T$3,2)*2-1)+IF(T564="Morning",0,1)),S564)),
IF(INDEX(sessions_HR_primary,INDEX(plan_session_allocation,((WEEKDAY(T$3,2)*2-1)+IF(T564="Morning",0,1)),S564))="N/A","",
" BPM")),"")</f>
        <v/>
      </c>
      <c r="T567" s="1923"/>
      <c r="U567" s="1924" t="str">
        <f ca="1">IF(V564&gt;0,
INDEX(final_duration_effort,((WEEKDAY(T$3,2)*2-1)+IF(T564="Morning",0,1)),S564),"")</f>
        <v/>
      </c>
      <c r="V567" s="1925"/>
      <c r="W567" s="177"/>
      <c r="X567" s="1922" t="str">
        <f ca="1">IF(AA564&gt;0,CONCATENATE("HR Target: ",
INDEX(sessions_HR_primary,INDEX(plan_session_allocation,((WEEKDAY(Y$3,2)*2-1)+IF(Y564="Morning",0,1)),X564)),
IF(INDEX(sessions_HR_primary,INDEX(plan_session_allocation,((WEEKDAY(Y$3,2)*2-1)+IF(Y564="Morning",0,1)),X564))="N/A","",
" BPM")),"")</f>
        <v/>
      </c>
      <c r="Y567" s="1923"/>
      <c r="Z567" s="1924" t="str">
        <f ca="1">IF(AA564&gt;0,
INDEX(final_duration_effort,((WEEKDAY(Y$3,2)*2-1)+IF(Y564="Morning",0,1)),X564),"")</f>
        <v/>
      </c>
      <c r="AA567" s="1925"/>
      <c r="AB567" s="177"/>
      <c r="AC567" s="1922" t="str">
        <f ca="1">IF(AF564&gt;0,CONCATENATE("HR Target: ",
INDEX(sessions_HR_primary,INDEX(plan_session_allocation,((WEEKDAY(AD$3,2)*2-1)+IF(AD564="Morning",0,1)),AC564)),
IF(INDEX(sessions_HR_primary,INDEX(plan_session_allocation,((WEEKDAY(AD$3,2)*2-1)+IF(AD564="Morning",0,1)),AC564))="N/A","",
" BPM")),"")</f>
        <v>HR Target: 148 BPM</v>
      </c>
      <c r="AD567" s="1923"/>
      <c r="AE567" s="1924">
        <f ca="1">IF(AF564&gt;0,
INDEX(final_duration_effort,((WEEKDAY(AD$3,2)*2-1)+IF(AD564="Morning",0,1)),AC564),"")</f>
        <v>145</v>
      </c>
      <c r="AF567" s="1925"/>
      <c r="AG567" s="177"/>
      <c r="AH567" s="1922" t="str">
        <f ca="1">IF(AK564&gt;0,CONCATENATE("HR Target: ",
INDEX(sessions_HR_primary,INDEX(plan_session_allocation,((WEEKDAY(AI$3,2)*2-1)+IF(AI564="Morning",0,1)),AH564)),
IF(INDEX(sessions_HR_primary,INDEX(plan_session_allocation,((WEEKDAY(AI$3,2)*2-1)+IF(AI564="Morning",0,1)),AH564))="N/A","",
" BPM")),"")</f>
        <v>HR Target: 148 BPM</v>
      </c>
      <c r="AI567" s="1923"/>
      <c r="AJ567" s="1924">
        <f ca="1">IF(AK564&gt;0,
INDEX(final_duration_effort,((WEEKDAY(AI$3,2)*2-1)+IF(AI564="Morning",0,1)),AH564),"")</f>
        <v>145</v>
      </c>
      <c r="AK567" s="1925"/>
      <c r="AL567" s="177"/>
    </row>
    <row r="568" spans="2:38" s="179" customFormat="1" x14ac:dyDescent="0.45">
      <c r="B568" s="1942"/>
      <c r="C568" s="1945"/>
      <c r="D568" s="1926" t="str">
        <f ca="1">IF(G564&gt;0,CONCATENATE("HR Range: ",
INDEX(sessions_HR_range_primary,INDEX(plan_session_allocation,((WEEKDAY(E$3,2)*2-1)+IF(E564="Morning",0,1)),D564)),
IF(INDEX(sessions_HR_range_primary,INDEX(plan_session_allocation,((WEEKDAY(E$3,2)*2-1)+IF(E564="Morning",0,1)),D564))="N/A","",
" BPM")),"")</f>
        <v/>
      </c>
      <c r="E568" s="1927"/>
      <c r="F568" s="1928" t="str">
        <f ca="1">IF(G564&gt;0,IF(
INDEX(sessions_recoveries,INDEX(plan_session_allocation,((WEEKDAY(E$3,2)*2-1)+IF(E564="Morning",0,1)),D564))="Yes",
VLOOKUP(INDEX(plan_duration_primary,((WEEKDAY(E$3,2)*2-1)+IF(E564="Morning",0,1)),D564),
INDIRECT(INDEX(sessions_intervals_code_primary,INDEX(plan_session_allocation,((WEEKDAY(E$3,2)*2-1)+IF(E564="Morning",0,1)),D564))),7,TRUE),0),"")</f>
        <v/>
      </c>
      <c r="G568" s="1929"/>
      <c r="H568" s="178"/>
      <c r="I568" s="1926" t="str">
        <f ca="1">IF(L564&gt;0,CONCATENATE("HR Range: ",
INDEX(sessions_HR_range_primary,INDEX(plan_session_allocation,((WEEKDAY(J$3,2)*2-1)+IF(J564="Morning",0,1)),I564)),
IF(INDEX(sessions_HR_range_primary,INDEX(plan_session_allocation,((WEEKDAY(J$3,2)*2-1)+IF(J564="Morning",0,1)),I564))="N/A","",
" BPM")),"")</f>
        <v/>
      </c>
      <c r="J568" s="1927"/>
      <c r="K568" s="1928" t="str">
        <f ca="1">IF(L564&gt;0,IF(
INDEX(sessions_recoveries,INDEX(plan_session_allocation,((WEEKDAY(J$3,2)*2-1)+IF(J564="Morning",0,1)),I564))="Yes",
VLOOKUP(INDEX(plan_duration_primary,((WEEKDAY(J$3,2)*2-1)+IF(J564="Morning",0,1)),I564),
INDIRECT(INDEX(sessions_intervals_code_primary,INDEX(plan_session_allocation,((WEEKDAY(J$3,2)*2-1)+IF(J564="Morning",0,1)),I564))),7,TRUE),0),"")</f>
        <v/>
      </c>
      <c r="L568" s="1929"/>
      <c r="M568" s="178"/>
      <c r="N568" s="1926" t="str">
        <f ca="1">IF(Q564&gt;0,CONCATENATE("HR Range: ",
INDEX(sessions_HR_range_primary,INDEX(plan_session_allocation,((WEEKDAY(O$3,2)*2-1)+IF(O564="Morning",0,1)),N564)),
IF(INDEX(sessions_HR_range_primary,INDEX(plan_session_allocation,((WEEKDAY(O$3,2)*2-1)+IF(O564="Morning",0,1)),N564))="N/A","",
" BPM")),"")</f>
        <v/>
      </c>
      <c r="O568" s="1927"/>
      <c r="P568" s="1928" t="str">
        <f ca="1">IF(Q564&gt;0,IF(
INDEX(sessions_recoveries,INDEX(plan_session_allocation,((WEEKDAY(O$3,2)*2-1)+IF(O564="Morning",0,1)),N564))="Yes",
VLOOKUP(INDEX(plan_duration_primary,((WEEKDAY(O$3,2)*2-1)+IF(O564="Morning",0,1)),N564),
INDIRECT(INDEX(sessions_intervals_code_primary,INDEX(plan_session_allocation,((WEEKDAY(O$3,2)*2-1)+IF(O564="Morning",0,1)),N564))),7,TRUE),0),"")</f>
        <v/>
      </c>
      <c r="Q568" s="1929"/>
      <c r="R568" s="178"/>
      <c r="S568" s="1926" t="str">
        <f ca="1">IF(V564&gt;0,CONCATENATE("HR Range: ",
INDEX(sessions_HR_range_primary,INDEX(plan_session_allocation,((WEEKDAY(T$3,2)*2-1)+IF(T564="Morning",0,1)),S564)),
IF(INDEX(sessions_HR_range_primary,INDEX(plan_session_allocation,((WEEKDAY(T$3,2)*2-1)+IF(T564="Morning",0,1)),S564))="N/A","",
" BPM")),"")</f>
        <v/>
      </c>
      <c r="T568" s="1927"/>
      <c r="U568" s="1928" t="str">
        <f ca="1">IF(V564&gt;0,IF(
INDEX(sessions_recoveries,INDEX(plan_session_allocation,((WEEKDAY(T$3,2)*2-1)+IF(T564="Morning",0,1)),S564))="Yes",
VLOOKUP(INDEX(plan_duration_primary,((WEEKDAY(T$3,2)*2-1)+IF(T564="Morning",0,1)),S564),
INDIRECT(INDEX(sessions_intervals_code_primary,INDEX(plan_session_allocation,((WEEKDAY(T$3,2)*2-1)+IF(T564="Morning",0,1)),S564))),7,TRUE),0),"")</f>
        <v/>
      </c>
      <c r="V568" s="1929"/>
      <c r="W568" s="178"/>
      <c r="X568" s="1926" t="str">
        <f ca="1">IF(AA564&gt;0,CONCATENATE("HR Range: ",
INDEX(sessions_HR_range_primary,INDEX(plan_session_allocation,((WEEKDAY(Y$3,2)*2-1)+IF(Y564="Morning",0,1)),X564)),
IF(INDEX(sessions_HR_range_primary,INDEX(plan_session_allocation,((WEEKDAY(Y$3,2)*2-1)+IF(Y564="Morning",0,1)),X564))="N/A","",
" BPM")),"")</f>
        <v/>
      </c>
      <c r="Y568" s="1927"/>
      <c r="Z568" s="1928" t="str">
        <f ca="1">IF(AA564&gt;0,IF(
INDEX(sessions_recoveries,INDEX(plan_session_allocation,((WEEKDAY(Y$3,2)*2-1)+IF(Y564="Morning",0,1)),X564))="Yes",
VLOOKUP(INDEX(plan_duration_primary,((WEEKDAY(Y$3,2)*2-1)+IF(Y564="Morning",0,1)),X564),
INDIRECT(INDEX(sessions_intervals_code_primary,INDEX(plan_session_allocation,((WEEKDAY(Y$3,2)*2-1)+IF(Y564="Morning",0,1)),X564))),7,TRUE),0),"")</f>
        <v/>
      </c>
      <c r="AA568" s="1929"/>
      <c r="AB568" s="178"/>
      <c r="AC568" s="1926" t="str">
        <f ca="1">IF(AF564&gt;0,CONCATENATE("HR Range: ",
INDEX(sessions_HR_range_primary,INDEX(plan_session_allocation,((WEEKDAY(AD$3,2)*2-1)+IF(AD564="Morning",0,1)),AC564)),
IF(INDEX(sessions_HR_range_primary,INDEX(plan_session_allocation,((WEEKDAY(AD$3,2)*2-1)+IF(AD564="Morning",0,1)),AC564))="N/A","",
" BPM")),"")</f>
        <v>HR Range: 129 - 169 BPM</v>
      </c>
      <c r="AD568" s="1927"/>
      <c r="AE568" s="1928">
        <f ca="1">IF(AF564&gt;0,IF(
INDEX(sessions_recoveries,INDEX(plan_session_allocation,((WEEKDAY(AD$3,2)*2-1)+IF(AD564="Morning",0,1)),AC564))="Yes",
VLOOKUP(INDEX(plan_duration_primary,((WEEKDAY(AD$3,2)*2-1)+IF(AD564="Morning",0,1)),AC564),
INDIRECT(INDEX(sessions_intervals_code_primary,INDEX(plan_session_allocation,((WEEKDAY(AD$3,2)*2-1)+IF(AD564="Morning",0,1)),AC564))),7,TRUE),0),"")</f>
        <v>0</v>
      </c>
      <c r="AF568" s="1929"/>
      <c r="AG568" s="178"/>
      <c r="AH568" s="1926" t="str">
        <f ca="1">IF(AK564&gt;0,CONCATENATE("HR Range: ",
INDEX(sessions_HR_range_primary,INDEX(plan_session_allocation,((WEEKDAY(AI$3,2)*2-1)+IF(AI564="Morning",0,1)),AH564)),
IF(INDEX(sessions_HR_range_primary,INDEX(plan_session_allocation,((WEEKDAY(AI$3,2)*2-1)+IF(AI564="Morning",0,1)),AH564))="N/A","",
" BPM")),"")</f>
        <v>HR Range: 129 - 169 BPM</v>
      </c>
      <c r="AI568" s="1927"/>
      <c r="AJ568" s="1928">
        <f ca="1">IF(AK564&gt;0,IF(
INDEX(sessions_recoveries,INDEX(plan_session_allocation,((WEEKDAY(AI$3,2)*2-1)+IF(AI564="Morning",0,1)),AH564))="Yes",
VLOOKUP(INDEX(plan_duration_primary,((WEEKDAY(AI$3,2)*2-1)+IF(AI564="Morning",0,1)),AH564),
INDIRECT(INDEX(sessions_intervals_code_primary,INDEX(plan_session_allocation,((WEEKDAY(AI$3,2)*2-1)+IF(AI564="Morning",0,1)),AH564))),7,TRUE),0),"")</f>
        <v>0</v>
      </c>
      <c r="AK568" s="1929"/>
      <c r="AL568" s="178"/>
    </row>
    <row r="569" spans="2:38" s="179" customFormat="1" ht="15" customHeight="1" x14ac:dyDescent="0.45">
      <c r="B569" s="1942"/>
      <c r="C569" s="1945"/>
      <c r="D569" s="1909" t="str">
        <f ca="1">IF(G564&gt;0,CONCATENATE("Equivalent Pace: ",
TEXT(INDEX(sessions_pace_primary,INDEX(plan_session_allocation,(WEEKDAY(E$3,2)*2-1)+IF(E564="Morning",0,1),D564)),"m:ss"),
" min/km"
),"")</f>
        <v/>
      </c>
      <c r="E569" s="1910"/>
      <c r="F569" s="1911" t="str">
        <f ca="1">IF(G564&gt;0, INDEX(final_duration_WU,((WEEKDAY(E$3,2)*2-1)+IF(E564="Morning",0,1)),D564)  + INDEX(final_duration_WD,((WEEKDAY(E$3,2)*2-1)+IF(E564="Morning",0,1)),D564), "")</f>
        <v/>
      </c>
      <c r="G569" s="1912"/>
      <c r="H569" s="178"/>
      <c r="I569" s="1909" t="str">
        <f ca="1">IF(L564&gt;0,CONCATENATE("Equivalent Pace: ",
TEXT(INDEX(sessions_pace_primary,INDEX(plan_session_allocation,(WEEKDAY(J$3,2)*2-1)+IF(J564="Morning",0,1),I564)),"m:ss"),
" min/km"
),"")</f>
        <v/>
      </c>
      <c r="J569" s="1910"/>
      <c r="K569" s="1911" t="str">
        <f ca="1">IF(L564&gt;0, INDEX(final_duration_WU,((WEEKDAY(J$3,2)*2-1)+IF(J564="Morning",0,1)),I564)  + INDEX(final_duration_WD,((WEEKDAY(J$3,2)*2-1)+IF(J564="Morning",0,1)),I564), "")</f>
        <v/>
      </c>
      <c r="L569" s="1912"/>
      <c r="M569" s="178"/>
      <c r="N569" s="1909" t="str">
        <f ca="1">IF(Q564&gt;0,CONCATENATE("Equivalent Pace: ",
TEXT(INDEX(sessions_pace_primary,INDEX(plan_session_allocation,(WEEKDAY(O$3,2)*2-1)+IF(O564="Morning",0,1),N564)),"m:ss"),
" min/km"
),"")</f>
        <v/>
      </c>
      <c r="O569" s="1910"/>
      <c r="P569" s="1911" t="str">
        <f ca="1">IF(Q564&gt;0, INDEX(final_duration_WU,((WEEKDAY(O$3,2)*2-1)+IF(O564="Morning",0,1)),N564)  + INDEX(final_duration_WD,((WEEKDAY(O$3,2)*2-1)+IF(O564="Morning",0,1)),N564), "")</f>
        <v/>
      </c>
      <c r="Q569" s="1912"/>
      <c r="R569" s="178"/>
      <c r="S569" s="1909" t="str">
        <f ca="1">IF(V564&gt;0,CONCATENATE("Equivalent Pace: ",
TEXT(INDEX(sessions_pace_primary,INDEX(plan_session_allocation,(WEEKDAY(T$3,2)*2-1)+IF(T564="Morning",0,1),S564)),"m:ss"),
" min/km"
),"")</f>
        <v/>
      </c>
      <c r="T569" s="1910"/>
      <c r="U569" s="1911" t="str">
        <f ca="1">IF(V564&gt;0, INDEX(final_duration_WU,((WEEKDAY(T$3,2)*2-1)+IF(T564="Morning",0,1)),S564)  + INDEX(final_duration_WD,((WEEKDAY(T$3,2)*2-1)+IF(T564="Morning",0,1)),S564), "")</f>
        <v/>
      </c>
      <c r="V569" s="1912"/>
      <c r="W569" s="178"/>
      <c r="X569" s="1909" t="str">
        <f ca="1">IF(AA564&gt;0,CONCATENATE("Equivalent Pace: ",
TEXT(INDEX(sessions_pace_primary,INDEX(plan_session_allocation,(WEEKDAY(Y$3,2)*2-1)+IF(Y564="Morning",0,1),X564)),"m:ss"),
" min/km"
),"")</f>
        <v/>
      </c>
      <c r="Y569" s="1910"/>
      <c r="Z569" s="1911" t="str">
        <f ca="1">IF(AA564&gt;0, INDEX(final_duration_WU,((WEEKDAY(Y$3,2)*2-1)+IF(Y564="Morning",0,1)),X564)  + INDEX(final_duration_WD,((WEEKDAY(Y$3,2)*2-1)+IF(Y564="Morning",0,1)),X564), "")</f>
        <v/>
      </c>
      <c r="AA569" s="1912"/>
      <c r="AB569" s="178"/>
      <c r="AC569" s="1909" t="str">
        <f ca="1">IF(AF564&gt;0,CONCATENATE("Equivalent Pace: ",
TEXT(INDEX(sessions_pace_primary,INDEX(plan_session_allocation,(WEEKDAY(AD$3,2)*2-1)+IF(AD564="Morning",0,1),AC564)),"m:ss"),
" min/km"
),"")</f>
        <v>Equivalent Pace: 4:14 min/km</v>
      </c>
      <c r="AD569" s="1910"/>
      <c r="AE569" s="1911">
        <f ca="1">IF(AF564&gt;0, INDEX(final_duration_WU,((WEEKDAY(AD$3,2)*2-1)+IF(AD564="Morning",0,1)),AC564)  + INDEX(final_duration_WD,((WEEKDAY(AD$3,2)*2-1)+IF(AD564="Morning",0,1)),AC564), "")</f>
        <v>0</v>
      </c>
      <c r="AF569" s="1912"/>
      <c r="AG569" s="178"/>
      <c r="AH569" s="1909" t="str">
        <f ca="1">IF(AK564&gt;0,CONCATENATE("Equivalent Pace: ",
TEXT(INDEX(sessions_pace_primary,INDEX(plan_session_allocation,(WEEKDAY(AI$3,2)*2-1)+IF(AI564="Morning",0,1),AH564)),"m:ss"),
" min/km"
),"")</f>
        <v>Equivalent Pace: 4:14 min/km</v>
      </c>
      <c r="AI569" s="1910"/>
      <c r="AJ569" s="1911">
        <f ca="1">IF(AK564&gt;0, INDEX(final_duration_WU,((WEEKDAY(AI$3,2)*2-1)+IF(AI564="Morning",0,1)),AH564)  + INDEX(final_duration_WD,((WEEKDAY(AI$3,2)*2-1)+IF(AI564="Morning",0,1)),AH564), "")</f>
        <v>0</v>
      </c>
      <c r="AK569" s="1912"/>
      <c r="AL569" s="178"/>
    </row>
    <row r="570" spans="2:38" s="180" customFormat="1" ht="15" customHeight="1" x14ac:dyDescent="0.45">
      <c r="B570" s="1942"/>
      <c r="C570" s="1945"/>
      <c r="D570" s="1913" t="str">
        <f ca="1">IF(G564&gt;0,CONCATENATE(IFERROR(CONCATENATE(IF(INDEX(display_intervals_breakdown,((WEEKDAY(E$3,2)*2-1)+IF(E564="Morning",0,1)),D564)="","",CONCATENATE("Intervals/Reps Breakdown: 
",INDEX(display_intervals_breakdown,((WEEKDAY(E$3,2)*2-1)+IF(E564="Morning",0,1)),D564),"
")),"Session Description: 
",CONCATENATE(IF(INDEX(final_duration_secondary,((WEEKDAY(E$3,2)*2-1)+IF(E564="Morning",0,1)),D564)=0,"","1. "),
INDEX(sessions_description_primary,,INDEX(plan_session_allocation,((WEEKDAY(E$3,2)*2-1)+IF(E564="Morning",0,1)),D564)),IF(INDEX(final_duration_secondary,((WEEKDAY(E$3,2)*2-1)+IF(E564="Morning",0,1)),D564)=0,"","
2. "),
IF(INDEX(final_duration_secondary,((WEEKDAY(E$3,2)*2-1)+IF(E564="Morning",0,1)),D564)=0,"",INDEX(sessions_description_secondary,,INDEX(plan_session_allocation,((WEEKDAY(E$3,2)*2-1)+IF(E564="Morning",0,1)),D564))),IF(INDEX(final_duration_tertiary,((WEEKDAY(E$3,2)*2-1)+IF(E564="Morning",0,1)),D564)=0,"","
3. "),
IF(INDEX(final_duration_tertiary,((WEEKDAY(E$3,2)*2-1)+IF(E564="Morning",0,1)),D564)="","",INDEX(sessions_description_tertiary,,INDEX(plan_session_allocation,((WEEKDAY(E$3,2)*2-1)+IF(E564="Morning",0,1)),D564))),
IF(INDEX(display_nutrition_description,((WEEKDAY(E$3,2)*2-1)+IF(E564="Morning",0,1)),D564)="","",
CONCATENATE("
Meal Plan: ", INDEX(sessions_nutrition,,INDEX(plan_session_allocation,((WEEKDAY(E$3,2)*2-1)+IF(E564="Morning",0,1)),D564)), "
", INDEX(display_nutrition_description,((WEEKDAY(E$3,2)*2-1)+IF(E564="Morning",0,1)),D564)))
)),"")),"")</f>
        <v/>
      </c>
      <c r="E570" s="1914"/>
      <c r="F570" s="1914"/>
      <c r="G570" s="1915"/>
      <c r="I570" s="1913" t="str">
        <f ca="1">IF(L564&gt;0,CONCATENATE(IFERROR(CONCATENATE(IF(INDEX(display_intervals_breakdown,((WEEKDAY(J$3,2)*2-1)+IF(J564="Morning",0,1)),I564)="","",CONCATENATE("Intervals/Reps Breakdown: 
",INDEX(display_intervals_breakdown,((WEEKDAY(J$3,2)*2-1)+IF(J564="Morning",0,1)),I564),"
")),"Session Description: 
",CONCATENATE(IF(INDEX(final_duration_secondary,((WEEKDAY(J$3,2)*2-1)+IF(J564="Morning",0,1)),I564)=0,"","1. "),
INDEX(sessions_description_primary,,INDEX(plan_session_allocation,((WEEKDAY(J$3,2)*2-1)+IF(J564="Morning",0,1)),I564)),IF(INDEX(final_duration_secondary,((WEEKDAY(J$3,2)*2-1)+IF(J564="Morning",0,1)),I564)=0,"","
2. "),
IF(INDEX(final_duration_secondary,((WEEKDAY(J$3,2)*2-1)+IF(J564="Morning",0,1)),I564)=0,"",INDEX(sessions_description_secondary,,INDEX(plan_session_allocation,((WEEKDAY(J$3,2)*2-1)+IF(J564="Morning",0,1)),I564))),IF(INDEX(final_duration_tertiary,((WEEKDAY(J$3,2)*2-1)+IF(J564="Morning",0,1)),I564)=0,"","
3. "),
IF(INDEX(final_duration_tertiary,((WEEKDAY(J$3,2)*2-1)+IF(J564="Morning",0,1)),I564)="","",INDEX(sessions_description_tertiary,,INDEX(plan_session_allocation,((WEEKDAY(J$3,2)*2-1)+IF(J564="Morning",0,1)),I564))),
IF(INDEX(display_nutrition_description,((WEEKDAY(J$3,2)*2-1)+IF(J564="Morning",0,1)),I564)="","",
CONCATENATE("
Meal Plan: ", INDEX(sessions_nutrition,,INDEX(plan_session_allocation,((WEEKDAY(J$3,2)*2-1)+IF(J564="Morning",0,1)),I564)), "
", INDEX(display_nutrition_description,((WEEKDAY(J$3,2)*2-1)+IF(J564="Morning",0,1)),I564)))
)),"")),"")</f>
        <v/>
      </c>
      <c r="J570" s="1914"/>
      <c r="K570" s="1914"/>
      <c r="L570" s="1915"/>
      <c r="N570" s="1913" t="str">
        <f ca="1">IF(Q564&gt;0,CONCATENATE(IFERROR(CONCATENATE(IF(INDEX(display_intervals_breakdown,((WEEKDAY(O$3,2)*2-1)+IF(O564="Morning",0,1)),N564)="","",CONCATENATE("Intervals/Reps Breakdown: 
",INDEX(display_intervals_breakdown,((WEEKDAY(O$3,2)*2-1)+IF(O564="Morning",0,1)),N564),"
")),"Session Description: 
",CONCATENATE(IF(INDEX(final_duration_secondary,((WEEKDAY(O$3,2)*2-1)+IF(O564="Morning",0,1)),N564)=0,"","1. "),
INDEX(sessions_description_primary,,INDEX(plan_session_allocation,((WEEKDAY(O$3,2)*2-1)+IF(O564="Morning",0,1)),N564)),IF(INDEX(final_duration_secondary,((WEEKDAY(O$3,2)*2-1)+IF(O564="Morning",0,1)),N564)=0,"","
2. "),
IF(INDEX(final_duration_secondary,((WEEKDAY(O$3,2)*2-1)+IF(O564="Morning",0,1)),N564)=0,"",INDEX(sessions_description_secondary,,INDEX(plan_session_allocation,((WEEKDAY(O$3,2)*2-1)+IF(O564="Morning",0,1)),N564))),IF(INDEX(final_duration_tertiary,((WEEKDAY(O$3,2)*2-1)+IF(O564="Morning",0,1)),N564)=0,"","
3. "),
IF(INDEX(final_duration_tertiary,((WEEKDAY(O$3,2)*2-1)+IF(O564="Morning",0,1)),N564)="","",INDEX(sessions_description_tertiary,,INDEX(plan_session_allocation,((WEEKDAY(O$3,2)*2-1)+IF(O564="Morning",0,1)),N564))),
IF(INDEX(display_nutrition_description,((WEEKDAY(O$3,2)*2-1)+IF(O564="Morning",0,1)),N564)="","",
CONCATENATE("
Meal Plan: ", INDEX(sessions_nutrition,,INDEX(plan_session_allocation,((WEEKDAY(O$3,2)*2-1)+IF(O564="Morning",0,1)),N564)), "
", INDEX(display_nutrition_description,((WEEKDAY(O$3,2)*2-1)+IF(O564="Morning",0,1)),N564)))
)),"")),"")</f>
        <v/>
      </c>
      <c r="O570" s="1914"/>
      <c r="P570" s="1914"/>
      <c r="Q570" s="1915"/>
      <c r="S570" s="1913" t="str">
        <f ca="1">IF(V564&gt;0,CONCATENATE(IFERROR(CONCATENATE(IF(INDEX(display_intervals_breakdown,((WEEKDAY(T$3,2)*2-1)+IF(T564="Morning",0,1)),S564)="","",CONCATENATE("Intervals/Reps Breakdown: 
",INDEX(display_intervals_breakdown,((WEEKDAY(T$3,2)*2-1)+IF(T564="Morning",0,1)),S564),"
")),"Session Description: 
",CONCATENATE(IF(INDEX(final_duration_secondary,((WEEKDAY(T$3,2)*2-1)+IF(T564="Morning",0,1)),S564)=0,"","1. "),
INDEX(sessions_description_primary,,INDEX(plan_session_allocation,((WEEKDAY(T$3,2)*2-1)+IF(T564="Morning",0,1)),S564)),IF(INDEX(final_duration_secondary,((WEEKDAY(T$3,2)*2-1)+IF(T564="Morning",0,1)),S564)=0,"","
2. "),
IF(INDEX(final_duration_secondary,((WEEKDAY(T$3,2)*2-1)+IF(T564="Morning",0,1)),S564)=0,"",INDEX(sessions_description_secondary,,INDEX(plan_session_allocation,((WEEKDAY(T$3,2)*2-1)+IF(T564="Morning",0,1)),S564))),IF(INDEX(final_duration_tertiary,((WEEKDAY(T$3,2)*2-1)+IF(T564="Morning",0,1)),S564)=0,"","
3. "),
IF(INDEX(final_duration_tertiary,((WEEKDAY(T$3,2)*2-1)+IF(T564="Morning",0,1)),S564)="","",INDEX(sessions_description_tertiary,,INDEX(plan_session_allocation,((WEEKDAY(T$3,2)*2-1)+IF(T564="Morning",0,1)),S564))),
IF(INDEX(display_nutrition_description,((WEEKDAY(T$3,2)*2-1)+IF(T564="Morning",0,1)),S564)="","",
CONCATENATE("
Meal Plan: ", INDEX(sessions_nutrition,,INDEX(plan_session_allocation,((WEEKDAY(T$3,2)*2-1)+IF(T564="Morning",0,1)),S564)), "
", INDEX(display_nutrition_description,((WEEKDAY(T$3,2)*2-1)+IF(T564="Morning",0,1)),S564)))
)),"")),"")</f>
        <v/>
      </c>
      <c r="T570" s="1914"/>
      <c r="U570" s="1914"/>
      <c r="V570" s="1915"/>
      <c r="X570" s="1913" t="str">
        <f ca="1">IF(AA564&gt;0,CONCATENATE(IFERROR(CONCATENATE(IF(INDEX(display_intervals_breakdown,((WEEKDAY(Y$3,2)*2-1)+IF(Y564="Morning",0,1)),X564)="","",CONCATENATE("Intervals/Reps Breakdown: 
",INDEX(display_intervals_breakdown,((WEEKDAY(Y$3,2)*2-1)+IF(Y564="Morning",0,1)),X564),"
")),"Session Description: 
",CONCATENATE(IF(INDEX(final_duration_secondary,((WEEKDAY(Y$3,2)*2-1)+IF(Y564="Morning",0,1)),X564)=0,"","1. "),
INDEX(sessions_description_primary,,INDEX(plan_session_allocation,((WEEKDAY(Y$3,2)*2-1)+IF(Y564="Morning",0,1)),X564)),IF(INDEX(final_duration_secondary,((WEEKDAY(Y$3,2)*2-1)+IF(Y564="Morning",0,1)),X564)=0,"","
2. "),
IF(INDEX(final_duration_secondary,((WEEKDAY(Y$3,2)*2-1)+IF(Y564="Morning",0,1)),X564)=0,"",INDEX(sessions_description_secondary,,INDEX(plan_session_allocation,((WEEKDAY(Y$3,2)*2-1)+IF(Y564="Morning",0,1)),X564))),IF(INDEX(final_duration_tertiary,((WEEKDAY(Y$3,2)*2-1)+IF(Y564="Morning",0,1)),X564)=0,"","
3. "),
IF(INDEX(final_duration_tertiary,((WEEKDAY(Y$3,2)*2-1)+IF(Y564="Morning",0,1)),X564)="","",INDEX(sessions_description_tertiary,,INDEX(plan_session_allocation,((WEEKDAY(Y$3,2)*2-1)+IF(Y564="Morning",0,1)),X564))),
IF(INDEX(display_nutrition_description,((WEEKDAY(Y$3,2)*2-1)+IF(Y564="Morning",0,1)),X564)="","",
CONCATENATE("
Meal Plan: ", INDEX(sessions_nutrition,,INDEX(plan_session_allocation,((WEEKDAY(Y$3,2)*2-1)+IF(Y564="Morning",0,1)),X564)), "
", INDEX(display_nutrition_description,((WEEKDAY(Y$3,2)*2-1)+IF(Y564="Morning",0,1)),X564)))
)),"")),"")</f>
        <v/>
      </c>
      <c r="Y570" s="1914"/>
      <c r="Z570" s="1914"/>
      <c r="AA570" s="1915"/>
      <c r="AC570" s="1913" t="str">
        <f ca="1">IF(AF564&gt;0,CONCATENATE(IFERROR(CONCATENATE(IF(INDEX(display_intervals_breakdown,((WEEKDAY(AD$3,2)*2-1)+IF(AD564="Morning",0,1)),AC564)="","",CONCATENATE("Intervals/Reps Breakdown: 
",INDEX(display_intervals_breakdown,((WEEKDAY(AD$3,2)*2-1)+IF(AD564="Morning",0,1)),AC564),"
")),"Session Description: 
",CONCATENATE(IF(INDEX(final_duration_secondary,((WEEKDAY(AD$3,2)*2-1)+IF(AD564="Morning",0,1)),AC564)=0,"","1. "),
INDEX(sessions_description_primary,,INDEX(plan_session_allocation,((WEEKDAY(AD$3,2)*2-1)+IF(AD564="Morning",0,1)),AC564)),IF(INDEX(final_duration_secondary,((WEEKDAY(AD$3,2)*2-1)+IF(AD564="Morning",0,1)),AC564)=0,"","
2. "),
IF(INDEX(final_duration_secondary,((WEEKDAY(AD$3,2)*2-1)+IF(AD564="Morning",0,1)),AC564)=0,"",INDEX(sessions_description_secondary,,INDEX(plan_session_allocation,((WEEKDAY(AD$3,2)*2-1)+IF(AD564="Morning",0,1)),AC564))),IF(INDEX(final_duration_tertiary,((WEEKDAY(AD$3,2)*2-1)+IF(AD564="Morning",0,1)),AC564)=0,"","
3. "),
IF(INDEX(final_duration_tertiary,((WEEKDAY(AD$3,2)*2-1)+IF(AD564="Morning",0,1)),AC564)="","",INDEX(sessions_description_tertiary,,INDEX(plan_session_allocation,((WEEKDAY(AD$3,2)*2-1)+IF(AD564="Morning",0,1)),AC564))),
IF(INDEX(display_nutrition_description,((WEEKDAY(AD$3,2)*2-1)+IF(AD564="Morning",0,1)),AC564)="","",
CONCATENATE("
Meal Plan: ", INDEX(sessions_nutrition,,INDEX(plan_session_allocation,((WEEKDAY(AD$3,2)*2-1)+IF(AD564="Morning",0,1)),AC564)), "
", INDEX(display_nutrition_description,((WEEKDAY(AD$3,2)*2-1)+IF(AD564="Morning",0,1)),AC564)))
)),"")),"")</f>
        <v xml:space="preserve">Session Description: 
Fundamentally a steady, but you can be less strict at controlling your intensity as long as your average intensity is close to it's target by the end of the session </v>
      </c>
      <c r="AD570" s="1914"/>
      <c r="AE570" s="1914"/>
      <c r="AF570" s="1915"/>
      <c r="AH570" s="1913" t="str">
        <f ca="1">IF(AK564&gt;0,CONCATENATE(IFERROR(CONCATENATE(IF(INDEX(display_intervals_breakdown,((WEEKDAY(AI$3,2)*2-1)+IF(AI564="Morning",0,1)),AH564)="","",CONCATENATE("Intervals/Reps Breakdown: 
",INDEX(display_intervals_breakdown,((WEEKDAY(AI$3,2)*2-1)+IF(AI564="Morning",0,1)),AH564),"
")),"Session Description: 
",CONCATENATE(IF(INDEX(final_duration_secondary,((WEEKDAY(AI$3,2)*2-1)+IF(AI564="Morning",0,1)),AH564)=0,"","1. "),
INDEX(sessions_description_primary,,INDEX(plan_session_allocation,((WEEKDAY(AI$3,2)*2-1)+IF(AI564="Morning",0,1)),AH564)),IF(INDEX(final_duration_secondary,((WEEKDAY(AI$3,2)*2-1)+IF(AI564="Morning",0,1)),AH564)=0,"","
2. "),
IF(INDEX(final_duration_secondary,((WEEKDAY(AI$3,2)*2-1)+IF(AI564="Morning",0,1)),AH564)=0,"",INDEX(sessions_description_secondary,,INDEX(plan_session_allocation,((WEEKDAY(AI$3,2)*2-1)+IF(AI564="Morning",0,1)),AH564))),IF(INDEX(final_duration_tertiary,((WEEKDAY(AI$3,2)*2-1)+IF(AI564="Morning",0,1)),AH564)=0,"","
3. "),
IF(INDEX(final_duration_tertiary,((WEEKDAY(AI$3,2)*2-1)+IF(AI564="Morning",0,1)),AH564)="","",INDEX(sessions_description_tertiary,,INDEX(plan_session_allocation,((WEEKDAY(AI$3,2)*2-1)+IF(AI564="Morning",0,1)),AH564))),
IF(INDEX(display_nutrition_description,((WEEKDAY(AI$3,2)*2-1)+IF(AI564="Morning",0,1)),AH564)="","",
CONCATENATE("
Meal Plan: ", INDEX(sessions_nutrition,,INDEX(plan_session_allocation,((WEEKDAY(AI$3,2)*2-1)+IF(AI564="Morning",0,1)),AH564)), "
", INDEX(display_nutrition_description,((WEEKDAY(AI$3,2)*2-1)+IF(AI564="Morning",0,1)),AH564)))
)),"")),"")</f>
        <v xml:space="preserve">Session Description: 
Fundamentally a steady, but you can be less strict at controlling your intensity as long as your average intensity is close to it's target by the end of the session </v>
      </c>
      <c r="AI570" s="1914"/>
      <c r="AJ570" s="1914"/>
      <c r="AK570" s="1915"/>
    </row>
    <row r="571" spans="2:38" s="180" customFormat="1" x14ac:dyDescent="0.45">
      <c r="B571" s="1942"/>
      <c r="C571" s="1945"/>
      <c r="D571" s="1916"/>
      <c r="E571" s="1917"/>
      <c r="F571" s="1917"/>
      <c r="G571" s="1918"/>
      <c r="I571" s="1916"/>
      <c r="J571" s="1917"/>
      <c r="K571" s="1917"/>
      <c r="L571" s="1918"/>
      <c r="N571" s="1916"/>
      <c r="O571" s="1917"/>
      <c r="P571" s="1917"/>
      <c r="Q571" s="1918"/>
      <c r="S571" s="1916"/>
      <c r="T571" s="1917"/>
      <c r="U571" s="1917"/>
      <c r="V571" s="1918"/>
      <c r="X571" s="1916"/>
      <c r="Y571" s="1917"/>
      <c r="Z571" s="1917"/>
      <c r="AA571" s="1918"/>
      <c r="AC571" s="1916"/>
      <c r="AD571" s="1917"/>
      <c r="AE571" s="1917"/>
      <c r="AF571" s="1918"/>
      <c r="AH571" s="1916"/>
      <c r="AI571" s="1917"/>
      <c r="AJ571" s="1917"/>
      <c r="AK571" s="1918"/>
    </row>
    <row r="572" spans="2:38" s="180" customFormat="1" x14ac:dyDescent="0.45">
      <c r="B572" s="1942"/>
      <c r="C572" s="1945"/>
      <c r="D572" s="1916"/>
      <c r="E572" s="1917"/>
      <c r="F572" s="1917"/>
      <c r="G572" s="1918"/>
      <c r="I572" s="1916"/>
      <c r="J572" s="1917"/>
      <c r="K572" s="1917"/>
      <c r="L572" s="1918"/>
      <c r="N572" s="1916"/>
      <c r="O572" s="1917"/>
      <c r="P572" s="1917"/>
      <c r="Q572" s="1918"/>
      <c r="S572" s="1916"/>
      <c r="T572" s="1917"/>
      <c r="U572" s="1917"/>
      <c r="V572" s="1918"/>
      <c r="X572" s="1916"/>
      <c r="Y572" s="1917"/>
      <c r="Z572" s="1917"/>
      <c r="AA572" s="1918"/>
      <c r="AC572" s="1916"/>
      <c r="AD572" s="1917"/>
      <c r="AE572" s="1917"/>
      <c r="AF572" s="1918"/>
      <c r="AH572" s="1916"/>
      <c r="AI572" s="1917"/>
      <c r="AJ572" s="1917"/>
      <c r="AK572" s="1918"/>
    </row>
    <row r="573" spans="2:38" s="180" customFormat="1" x14ac:dyDescent="0.45">
      <c r="B573" s="1942"/>
      <c r="C573" s="1945"/>
      <c r="D573" s="1916"/>
      <c r="E573" s="1917"/>
      <c r="F573" s="1917"/>
      <c r="G573" s="1918"/>
      <c r="I573" s="1916"/>
      <c r="J573" s="1917"/>
      <c r="K573" s="1917"/>
      <c r="L573" s="1918"/>
      <c r="N573" s="1916"/>
      <c r="O573" s="1917"/>
      <c r="P573" s="1917"/>
      <c r="Q573" s="1918"/>
      <c r="S573" s="1916"/>
      <c r="T573" s="1917"/>
      <c r="U573" s="1917"/>
      <c r="V573" s="1918"/>
      <c r="X573" s="1916"/>
      <c r="Y573" s="1917"/>
      <c r="Z573" s="1917"/>
      <c r="AA573" s="1918"/>
      <c r="AC573" s="1916"/>
      <c r="AD573" s="1917"/>
      <c r="AE573" s="1917"/>
      <c r="AF573" s="1918"/>
      <c r="AH573" s="1916"/>
      <c r="AI573" s="1917"/>
      <c r="AJ573" s="1917"/>
      <c r="AK573" s="1918"/>
    </row>
    <row r="574" spans="2:38" s="180" customFormat="1" x14ac:dyDescent="0.45">
      <c r="B574" s="1942"/>
      <c r="C574" s="1945"/>
      <c r="D574" s="1916"/>
      <c r="E574" s="1917"/>
      <c r="F574" s="1917"/>
      <c r="G574" s="1918"/>
      <c r="I574" s="1916"/>
      <c r="J574" s="1917"/>
      <c r="K574" s="1917"/>
      <c r="L574" s="1918"/>
      <c r="N574" s="1916"/>
      <c r="O574" s="1917"/>
      <c r="P574" s="1917"/>
      <c r="Q574" s="1918"/>
      <c r="S574" s="1916"/>
      <c r="T574" s="1917"/>
      <c r="U574" s="1917"/>
      <c r="V574" s="1918"/>
      <c r="X574" s="1916"/>
      <c r="Y574" s="1917"/>
      <c r="Z574" s="1917"/>
      <c r="AA574" s="1918"/>
      <c r="AC574" s="1916"/>
      <c r="AD574" s="1917"/>
      <c r="AE574" s="1917"/>
      <c r="AF574" s="1918"/>
      <c r="AH574" s="1916"/>
      <c r="AI574" s="1917"/>
      <c r="AJ574" s="1917"/>
      <c r="AK574" s="1918"/>
    </row>
    <row r="575" spans="2:38" s="180" customFormat="1" x14ac:dyDescent="0.45">
      <c r="B575" s="1942"/>
      <c r="C575" s="1945"/>
      <c r="D575" s="1916"/>
      <c r="E575" s="1917"/>
      <c r="F575" s="1917"/>
      <c r="G575" s="1918"/>
      <c r="I575" s="1916"/>
      <c r="J575" s="1917"/>
      <c r="K575" s="1917"/>
      <c r="L575" s="1918"/>
      <c r="N575" s="1916"/>
      <c r="O575" s="1917"/>
      <c r="P575" s="1917"/>
      <c r="Q575" s="1918"/>
      <c r="S575" s="1916"/>
      <c r="T575" s="1917"/>
      <c r="U575" s="1917"/>
      <c r="V575" s="1918"/>
      <c r="X575" s="1916"/>
      <c r="Y575" s="1917"/>
      <c r="Z575" s="1917"/>
      <c r="AA575" s="1918"/>
      <c r="AC575" s="1916"/>
      <c r="AD575" s="1917"/>
      <c r="AE575" s="1917"/>
      <c r="AF575" s="1918"/>
      <c r="AH575" s="1916"/>
      <c r="AI575" s="1917"/>
      <c r="AJ575" s="1917"/>
      <c r="AK575" s="1918"/>
    </row>
    <row r="576" spans="2:38" s="180" customFormat="1" x14ac:dyDescent="0.45">
      <c r="B576" s="1942"/>
      <c r="C576" s="1945"/>
      <c r="D576" s="1916"/>
      <c r="E576" s="1917"/>
      <c r="F576" s="1917"/>
      <c r="G576" s="1918"/>
      <c r="I576" s="1916"/>
      <c r="J576" s="1917"/>
      <c r="K576" s="1917"/>
      <c r="L576" s="1918"/>
      <c r="N576" s="1916"/>
      <c r="O576" s="1917"/>
      <c r="P576" s="1917"/>
      <c r="Q576" s="1918"/>
      <c r="S576" s="1916"/>
      <c r="T576" s="1917"/>
      <c r="U576" s="1917"/>
      <c r="V576" s="1918"/>
      <c r="X576" s="1916"/>
      <c r="Y576" s="1917"/>
      <c r="Z576" s="1917"/>
      <c r="AA576" s="1918"/>
      <c r="AC576" s="1916"/>
      <c r="AD576" s="1917"/>
      <c r="AE576" s="1917"/>
      <c r="AF576" s="1918"/>
      <c r="AH576" s="1916"/>
      <c r="AI576" s="1917"/>
      <c r="AJ576" s="1917"/>
      <c r="AK576" s="1918"/>
    </row>
    <row r="577" spans="2:38" s="180" customFormat="1" ht="15.75" customHeight="1" x14ac:dyDescent="0.45">
      <c r="B577" s="1942"/>
      <c r="C577" s="1945"/>
      <c r="D577" s="1916"/>
      <c r="E577" s="1917"/>
      <c r="F577" s="1917"/>
      <c r="G577" s="1918"/>
      <c r="I577" s="1916"/>
      <c r="J577" s="1917"/>
      <c r="K577" s="1917"/>
      <c r="L577" s="1918"/>
      <c r="N577" s="1916"/>
      <c r="O577" s="1917"/>
      <c r="P577" s="1917"/>
      <c r="Q577" s="1918"/>
      <c r="S577" s="1916"/>
      <c r="T577" s="1917"/>
      <c r="U577" s="1917"/>
      <c r="V577" s="1918"/>
      <c r="X577" s="1916"/>
      <c r="Y577" s="1917"/>
      <c r="Z577" s="1917"/>
      <c r="AA577" s="1918"/>
      <c r="AC577" s="1916"/>
      <c r="AD577" s="1917"/>
      <c r="AE577" s="1917"/>
      <c r="AF577" s="1918"/>
      <c r="AH577" s="1916"/>
      <c r="AI577" s="1917"/>
      <c r="AJ577" s="1917"/>
      <c r="AK577" s="1918"/>
    </row>
    <row r="578" spans="2:38" s="180" customFormat="1" x14ac:dyDescent="0.45">
      <c r="B578" s="1942"/>
      <c r="C578" s="1945"/>
      <c r="D578" s="1916"/>
      <c r="E578" s="1917"/>
      <c r="F578" s="1917"/>
      <c r="G578" s="1918"/>
      <c r="I578" s="1916"/>
      <c r="J578" s="1917"/>
      <c r="K578" s="1917"/>
      <c r="L578" s="1918"/>
      <c r="N578" s="1916"/>
      <c r="O578" s="1917"/>
      <c r="P578" s="1917"/>
      <c r="Q578" s="1918"/>
      <c r="S578" s="1916"/>
      <c r="T578" s="1917"/>
      <c r="U578" s="1917"/>
      <c r="V578" s="1918"/>
      <c r="X578" s="1916"/>
      <c r="Y578" s="1917"/>
      <c r="Z578" s="1917"/>
      <c r="AA578" s="1918"/>
      <c r="AC578" s="1916"/>
      <c r="AD578" s="1917"/>
      <c r="AE578" s="1917"/>
      <c r="AF578" s="1918"/>
      <c r="AH578" s="1916"/>
      <c r="AI578" s="1917"/>
      <c r="AJ578" s="1917"/>
      <c r="AK578" s="1918"/>
    </row>
    <row r="579" spans="2:38" s="180" customFormat="1" x14ac:dyDescent="0.45">
      <c r="B579" s="1942"/>
      <c r="C579" s="1945"/>
      <c r="D579" s="1916"/>
      <c r="E579" s="1917"/>
      <c r="F579" s="1917"/>
      <c r="G579" s="1918"/>
      <c r="I579" s="1916"/>
      <c r="J579" s="1917"/>
      <c r="K579" s="1917"/>
      <c r="L579" s="1918"/>
      <c r="N579" s="1916"/>
      <c r="O579" s="1917"/>
      <c r="P579" s="1917"/>
      <c r="Q579" s="1918"/>
      <c r="S579" s="1916"/>
      <c r="T579" s="1917"/>
      <c r="U579" s="1917"/>
      <c r="V579" s="1918"/>
      <c r="X579" s="1916"/>
      <c r="Y579" s="1917"/>
      <c r="Z579" s="1917"/>
      <c r="AA579" s="1918"/>
      <c r="AC579" s="1916"/>
      <c r="AD579" s="1917"/>
      <c r="AE579" s="1917"/>
      <c r="AF579" s="1918"/>
      <c r="AH579" s="1916"/>
      <c r="AI579" s="1917"/>
      <c r="AJ579" s="1917"/>
      <c r="AK579" s="1918"/>
    </row>
    <row r="580" spans="2:38" s="180" customFormat="1" x14ac:dyDescent="0.45">
      <c r="B580" s="1942"/>
      <c r="C580" s="1945"/>
      <c r="D580" s="1916"/>
      <c r="E580" s="1917"/>
      <c r="F580" s="1917"/>
      <c r="G580" s="1918"/>
      <c r="I580" s="1916"/>
      <c r="J580" s="1917"/>
      <c r="K580" s="1917"/>
      <c r="L580" s="1918"/>
      <c r="N580" s="1916"/>
      <c r="O580" s="1917"/>
      <c r="P580" s="1917"/>
      <c r="Q580" s="1918"/>
      <c r="S580" s="1916"/>
      <c r="T580" s="1917"/>
      <c r="U580" s="1917"/>
      <c r="V580" s="1918"/>
      <c r="X580" s="1916"/>
      <c r="Y580" s="1917"/>
      <c r="Z580" s="1917"/>
      <c r="AA580" s="1918"/>
      <c r="AC580" s="1916"/>
      <c r="AD580" s="1917"/>
      <c r="AE580" s="1917"/>
      <c r="AF580" s="1918"/>
      <c r="AH580" s="1916"/>
      <c r="AI580" s="1917"/>
      <c r="AJ580" s="1917"/>
      <c r="AK580" s="1918"/>
    </row>
    <row r="581" spans="2:38" s="180" customFormat="1" x14ac:dyDescent="0.45">
      <c r="B581" s="1942"/>
      <c r="C581" s="1945"/>
      <c r="D581" s="1916"/>
      <c r="E581" s="1917"/>
      <c r="F581" s="1917"/>
      <c r="G581" s="1918"/>
      <c r="I581" s="1916"/>
      <c r="J581" s="1917"/>
      <c r="K581" s="1917"/>
      <c r="L581" s="1918"/>
      <c r="N581" s="1916"/>
      <c r="O581" s="1917"/>
      <c r="P581" s="1917"/>
      <c r="Q581" s="1918"/>
      <c r="S581" s="1916"/>
      <c r="T581" s="1917"/>
      <c r="U581" s="1917"/>
      <c r="V581" s="1918"/>
      <c r="X581" s="1916"/>
      <c r="Y581" s="1917"/>
      <c r="Z581" s="1917"/>
      <c r="AA581" s="1918"/>
      <c r="AC581" s="1916"/>
      <c r="AD581" s="1917"/>
      <c r="AE581" s="1917"/>
      <c r="AF581" s="1918"/>
      <c r="AH581" s="1916"/>
      <c r="AI581" s="1917"/>
      <c r="AJ581" s="1917"/>
      <c r="AK581" s="1918"/>
    </row>
    <row r="582" spans="2:38" s="180" customFormat="1" x14ac:dyDescent="0.45">
      <c r="B582" s="1942"/>
      <c r="C582" s="1945"/>
      <c r="D582" s="1916"/>
      <c r="E582" s="1917"/>
      <c r="F582" s="1917"/>
      <c r="G582" s="1918"/>
      <c r="I582" s="1916"/>
      <c r="J582" s="1917"/>
      <c r="K582" s="1917"/>
      <c r="L582" s="1918"/>
      <c r="N582" s="1916"/>
      <c r="O582" s="1917"/>
      <c r="P582" s="1917"/>
      <c r="Q582" s="1918"/>
      <c r="S582" s="1916"/>
      <c r="T582" s="1917"/>
      <c r="U582" s="1917"/>
      <c r="V582" s="1918"/>
      <c r="X582" s="1916"/>
      <c r="Y582" s="1917"/>
      <c r="Z582" s="1917"/>
      <c r="AA582" s="1918"/>
      <c r="AC582" s="1916"/>
      <c r="AD582" s="1917"/>
      <c r="AE582" s="1917"/>
      <c r="AF582" s="1918"/>
      <c r="AH582" s="1916"/>
      <c r="AI582" s="1917"/>
      <c r="AJ582" s="1917"/>
      <c r="AK582" s="1918"/>
    </row>
    <row r="583" spans="2:38" s="180" customFormat="1" x14ac:dyDescent="0.45">
      <c r="B583" s="1942"/>
      <c r="C583" s="1945"/>
      <c r="D583" s="1919"/>
      <c r="E583" s="1920"/>
      <c r="F583" s="1920"/>
      <c r="G583" s="1921"/>
      <c r="I583" s="1919"/>
      <c r="J583" s="1920"/>
      <c r="K583" s="1920"/>
      <c r="L583" s="1921"/>
      <c r="N583" s="1919"/>
      <c r="O583" s="1920"/>
      <c r="P583" s="1920"/>
      <c r="Q583" s="1921"/>
      <c r="S583" s="1919"/>
      <c r="T583" s="1920"/>
      <c r="U583" s="1920"/>
      <c r="V583" s="1921"/>
      <c r="X583" s="1919"/>
      <c r="Y583" s="1920"/>
      <c r="Z583" s="1920"/>
      <c r="AA583" s="1921"/>
      <c r="AC583" s="1919"/>
      <c r="AD583" s="1920"/>
      <c r="AE583" s="1920"/>
      <c r="AF583" s="1921"/>
      <c r="AH583" s="1919"/>
      <c r="AI583" s="1920"/>
      <c r="AJ583" s="1920"/>
      <c r="AK583" s="1921"/>
    </row>
    <row r="584" spans="2:38" s="180" customFormat="1" ht="15" customHeight="1" x14ac:dyDescent="0.45">
      <c r="B584" s="1942"/>
      <c r="C584" s="1945"/>
      <c r="D584" s="1913" t="str">
        <f ca="1">IF(G564&gt;0,CONCATENATE("Session Aim: 
", CONCATENATE(IF(INDEX(final_duration_secondary,((WEEKDAY(E$3,2)*2-1)+IF(E564="Morning",0,1)),D564)=0, "", "1. "),
INDEX(sessions_aim_primary,, INDEX(plan_session_allocation,((WEEKDAY(E$3,2)*2-1)+IF(E564="Morning",0,1)),D564)), IF(INDEX(final_duration_secondary,((WEEKDAY(E$3,2)*2-1)+IF(E564="Morning",0,1)),D564)=0, "", "
2. "),
IF(INDEX(final_duration_secondary,((WEEKDAY(E$3,2)*2-1)+IF(E564="Morning",0,1)),D564)=0, "", INDEX(sessions_aim_secondary,, INDEX(plan_session_allocation,((WEEKDAY(E$3,2)*2-1)+IF(E564="Morning",0,1)),D564))), IF(INDEX(final_duration_tertiary,((WEEKDAY(E$3,2)*2-1)+IF(E564="Morning",0,1)),D564)=0, "", "
3. "),
IF(INDEX(final_duration_tertiary,((WEEKDAY(E$3,2)*2-1)+IF(E564="Morning",0,1)),D564)=0, "", INDEX(sessions_aim_tertiary,, INDEX(plan_session_allocation,((WEEKDAY(E$3,2)*2-1)+IF(E564="Morning",0,1)),D564))),
IF(INDEX(display_nutrition_description,((WEEKDAY(E$3,2)*2-1)+IF(E564="Morning",0,1)),D564)="","",
CONCATENATE("
Nutrition Aim:
", INDEX(sessions_aim_nutrition,,INDEX(plan_session_allocation,((WEEKDAY(E$3,2)*2-1)+IF(E564="Morning",0,1)),D564))
))
)),"")</f>
        <v/>
      </c>
      <c r="E584" s="1914"/>
      <c r="F584" s="1914"/>
      <c r="G584" s="1915"/>
      <c r="I584" s="1913" t="str">
        <f ca="1">IF(L564&gt;0,CONCATENATE("Session Aim: 
", CONCATENATE(IF(INDEX(final_duration_secondary,((WEEKDAY(J$3,2)*2-1)+IF(J564="Morning",0,1)),I564)=0, "", "1. "),
INDEX(sessions_aim_primary,, INDEX(plan_session_allocation,((WEEKDAY(J$3,2)*2-1)+IF(J564="Morning",0,1)),I564)), IF(INDEX(final_duration_secondary,((WEEKDAY(J$3,2)*2-1)+IF(J564="Morning",0,1)),I564)=0, "", "
2. "),
IF(INDEX(final_duration_secondary,((WEEKDAY(J$3,2)*2-1)+IF(J564="Morning",0,1)),I564)=0, "", INDEX(sessions_aim_secondary,, INDEX(plan_session_allocation,((WEEKDAY(J$3,2)*2-1)+IF(J564="Morning",0,1)),I564))), IF(INDEX(final_duration_tertiary,((WEEKDAY(J$3,2)*2-1)+IF(J564="Morning",0,1)),I564)=0, "", "
3. "),
IF(INDEX(final_duration_tertiary,((WEEKDAY(J$3,2)*2-1)+IF(J564="Morning",0,1)),I564)=0, "", INDEX(sessions_aim_tertiary,, INDEX(plan_session_allocation,((WEEKDAY(J$3,2)*2-1)+IF(J564="Morning",0,1)),I564))),
IF(INDEX(display_nutrition_description,((WEEKDAY(J$3,2)*2-1)+IF(J564="Morning",0,1)),I564)="","",
CONCATENATE("
Nutrition Aim:
", INDEX(sessions_aim_nutrition,,INDEX(plan_session_allocation,((WEEKDAY(J$3,2)*2-1)+IF(J564="Morning",0,1)),I564))
))
)),"")</f>
        <v/>
      </c>
      <c r="J584" s="1914"/>
      <c r="K584" s="1914"/>
      <c r="L584" s="1915"/>
      <c r="N584" s="1913" t="str">
        <f ca="1">IF(Q564&gt;0,CONCATENATE("Session Aim: 
", CONCATENATE(IF(INDEX(final_duration_secondary,((WEEKDAY(O$3,2)*2-1)+IF(O564="Morning",0,1)),N564)=0, "", "1. "),
INDEX(sessions_aim_primary,, INDEX(plan_session_allocation,((WEEKDAY(O$3,2)*2-1)+IF(O564="Morning",0,1)),N564)), IF(INDEX(final_duration_secondary,((WEEKDAY(O$3,2)*2-1)+IF(O564="Morning",0,1)),N564)=0, "", "
2. "),
IF(INDEX(final_duration_secondary,((WEEKDAY(O$3,2)*2-1)+IF(O564="Morning",0,1)),N564)=0, "", INDEX(sessions_aim_secondary,, INDEX(plan_session_allocation,((WEEKDAY(O$3,2)*2-1)+IF(O564="Morning",0,1)),N564))), IF(INDEX(final_duration_tertiary,((WEEKDAY(O$3,2)*2-1)+IF(O564="Morning",0,1)),N564)=0, "", "
3. "),
IF(INDEX(final_duration_tertiary,((WEEKDAY(O$3,2)*2-1)+IF(O564="Morning",0,1)),N564)=0, "", INDEX(sessions_aim_tertiary,, INDEX(plan_session_allocation,((WEEKDAY(O$3,2)*2-1)+IF(O564="Morning",0,1)),N564))),
IF(INDEX(display_nutrition_description,((WEEKDAY(O$3,2)*2-1)+IF(O564="Morning",0,1)),N564)="","",
CONCATENATE("
Nutrition Aim:
", INDEX(sessions_aim_nutrition,,INDEX(plan_session_allocation,((WEEKDAY(O$3,2)*2-1)+IF(O564="Morning",0,1)),N564))
))
)),"")</f>
        <v/>
      </c>
      <c r="O584" s="1914"/>
      <c r="P584" s="1914"/>
      <c r="Q584" s="1915"/>
      <c r="S584" s="1913" t="str">
        <f ca="1">IF(V564&gt;0,CONCATENATE("Session Aim: 
", CONCATENATE(IF(INDEX(final_duration_secondary,((WEEKDAY(T$3,2)*2-1)+IF(T564="Morning",0,1)),S564)=0, "", "1. "),
INDEX(sessions_aim_primary,, INDEX(plan_session_allocation,((WEEKDAY(T$3,2)*2-1)+IF(T564="Morning",0,1)),S564)), IF(INDEX(final_duration_secondary,((WEEKDAY(T$3,2)*2-1)+IF(T564="Morning",0,1)),S564)=0, "", "
2. "),
IF(INDEX(final_duration_secondary,((WEEKDAY(T$3,2)*2-1)+IF(T564="Morning",0,1)),S564)=0, "", INDEX(sessions_aim_secondary,, INDEX(plan_session_allocation,((WEEKDAY(T$3,2)*2-1)+IF(T564="Morning",0,1)),S564))), IF(INDEX(final_duration_tertiary,((WEEKDAY(T$3,2)*2-1)+IF(T564="Morning",0,1)),S564)=0, "", "
3. "),
IF(INDEX(final_duration_tertiary,((WEEKDAY(T$3,2)*2-1)+IF(T564="Morning",0,1)),S564)=0, "", INDEX(sessions_aim_tertiary,, INDEX(plan_session_allocation,((WEEKDAY(T$3,2)*2-1)+IF(T564="Morning",0,1)),S564))),
IF(INDEX(display_nutrition_description,((WEEKDAY(T$3,2)*2-1)+IF(T564="Morning",0,1)),S564)="","",
CONCATENATE("
Nutrition Aim:
", INDEX(sessions_aim_nutrition,,INDEX(plan_session_allocation,((WEEKDAY(T$3,2)*2-1)+IF(T564="Morning",0,1)),S564))
))
)),"")</f>
        <v/>
      </c>
      <c r="T584" s="1914"/>
      <c r="U584" s="1914"/>
      <c r="V584" s="1915"/>
      <c r="X584" s="1913" t="str">
        <f ca="1">IF(AA564&gt;0,CONCATENATE("Session Aim: 
", CONCATENATE(IF(INDEX(final_duration_secondary,((WEEKDAY(Y$3,2)*2-1)+IF(Y564="Morning",0,1)),X564)=0, "", "1. "),
INDEX(sessions_aim_primary,, INDEX(plan_session_allocation,((WEEKDAY(Y$3,2)*2-1)+IF(Y564="Morning",0,1)),X564)), IF(INDEX(final_duration_secondary,((WEEKDAY(Y$3,2)*2-1)+IF(Y564="Morning",0,1)),X564)=0, "", "
2. "),
IF(INDEX(final_duration_secondary,((WEEKDAY(Y$3,2)*2-1)+IF(Y564="Morning",0,1)),X564)=0, "", INDEX(sessions_aim_secondary,, INDEX(plan_session_allocation,((WEEKDAY(Y$3,2)*2-1)+IF(Y564="Morning",0,1)),X564))), IF(INDEX(final_duration_tertiary,((WEEKDAY(Y$3,2)*2-1)+IF(Y564="Morning",0,1)),X564)=0, "", "
3. "),
IF(INDEX(final_duration_tertiary,((WEEKDAY(Y$3,2)*2-1)+IF(Y564="Morning",0,1)),X564)=0, "", INDEX(sessions_aim_tertiary,, INDEX(plan_session_allocation,((WEEKDAY(Y$3,2)*2-1)+IF(Y564="Morning",0,1)),X564))),
IF(INDEX(display_nutrition_description,((WEEKDAY(Y$3,2)*2-1)+IF(Y564="Morning",0,1)),X564)="","",
CONCATENATE("
Nutrition Aim:
", INDEX(sessions_aim_nutrition,,INDEX(plan_session_allocation,((WEEKDAY(Y$3,2)*2-1)+IF(Y564="Morning",0,1)),X564))
))
)),"")</f>
        <v/>
      </c>
      <c r="Y584" s="1914"/>
      <c r="Z584" s="1914"/>
      <c r="AA584" s="1915"/>
      <c r="AC584" s="1913" t="str">
        <f ca="1">IF(AF564&gt;0,CONCATENATE("Session Aim: 
", CONCATENATE(IF(INDEX(final_duration_secondary,((WEEKDAY(AD$3,2)*2-1)+IF(AD564="Morning",0,1)),AC564)=0, "", "1. "),
INDEX(sessions_aim_primary,, INDEX(plan_session_allocation,((WEEKDAY(AD$3,2)*2-1)+IF(AD564="Morning",0,1)),AC564)), IF(INDEX(final_duration_secondary,((WEEKDAY(AD$3,2)*2-1)+IF(AD564="Morning",0,1)),AC564)=0, "", "
2. "),
IF(INDEX(final_duration_secondary,((WEEKDAY(AD$3,2)*2-1)+IF(AD564="Morning",0,1)),AC564)=0, "", INDEX(sessions_aim_secondary,, INDEX(plan_session_allocation,((WEEKDAY(AD$3,2)*2-1)+IF(AD564="Morning",0,1)),AC564))), IF(INDEX(final_duration_tertiary,((WEEKDAY(AD$3,2)*2-1)+IF(AD564="Morning",0,1)),AC564)=0, "", "
3. "),
IF(INDEX(final_duration_tertiary,((WEEKDAY(AD$3,2)*2-1)+IF(AD564="Morning",0,1)),AC564)=0, "", INDEX(sessions_aim_tertiary,, INDEX(plan_session_allocation,((WEEKDAY(AD$3,2)*2-1)+IF(AD564="Morning",0,1)),AC564))),
IF(INDEX(display_nutrition_description,((WEEKDAY(AD$3,2)*2-1)+IF(AD564="Morning",0,1)),AC564)="","",
CONCATENATE("
Nutrition Aim:
", INDEX(sessions_aim_nutrition,,INDEX(plan_session_allocation,((WEEKDAY(AD$3,2)*2-1)+IF(AD564="Morning",0,1)),AC564))
))
)),"")</f>
        <v xml:space="preserve">Session Aim: 
Improve aerobic fitness and energy utilisation. </v>
      </c>
      <c r="AD584" s="1914"/>
      <c r="AE584" s="1914"/>
      <c r="AF584" s="1915"/>
      <c r="AH584" s="1913" t="str">
        <f ca="1">IF(AK564&gt;0,CONCATENATE("Session Aim: 
", CONCATENATE(IF(INDEX(final_duration_secondary,((WEEKDAY(AI$3,2)*2-1)+IF(AI564="Morning",0,1)),AH564)=0, "", "1. "),
INDEX(sessions_aim_primary,, INDEX(plan_session_allocation,((WEEKDAY(AI$3,2)*2-1)+IF(AI564="Morning",0,1)),AH564)), IF(INDEX(final_duration_secondary,((WEEKDAY(AI$3,2)*2-1)+IF(AI564="Morning",0,1)),AH564)=0, "", "
2. "),
IF(INDEX(final_duration_secondary,((WEEKDAY(AI$3,2)*2-1)+IF(AI564="Morning",0,1)),AH564)=0, "", INDEX(sessions_aim_secondary,, INDEX(plan_session_allocation,((WEEKDAY(AI$3,2)*2-1)+IF(AI564="Morning",0,1)),AH564))), IF(INDEX(final_duration_tertiary,((WEEKDAY(AI$3,2)*2-1)+IF(AI564="Morning",0,1)),AH564)=0, "", "
3. "),
IF(INDEX(final_duration_tertiary,((WEEKDAY(AI$3,2)*2-1)+IF(AI564="Morning",0,1)),AH564)=0, "", INDEX(sessions_aim_tertiary,, INDEX(plan_session_allocation,((WEEKDAY(AI$3,2)*2-1)+IF(AI564="Morning",0,1)),AH564))),
IF(INDEX(display_nutrition_description,((WEEKDAY(AI$3,2)*2-1)+IF(AI564="Morning",0,1)),AH564)="","",
CONCATENATE("
Nutrition Aim:
", INDEX(sessions_aim_nutrition,,INDEX(plan_session_allocation,((WEEKDAY(AI$3,2)*2-1)+IF(AI564="Morning",0,1)),AH564))
))
)),"")</f>
        <v xml:space="preserve">Session Aim: 
Improve aerobic fitness and energy utilisation. </v>
      </c>
      <c r="AI584" s="1914"/>
      <c r="AJ584" s="1914"/>
      <c r="AK584" s="1915"/>
    </row>
    <row r="585" spans="2:38" s="180" customFormat="1" x14ac:dyDescent="0.45">
      <c r="B585" s="1942"/>
      <c r="C585" s="1945"/>
      <c r="D585" s="1916"/>
      <c r="E585" s="1917"/>
      <c r="F585" s="1917"/>
      <c r="G585" s="1918"/>
      <c r="I585" s="1916"/>
      <c r="J585" s="1917"/>
      <c r="K585" s="1917"/>
      <c r="L585" s="1918"/>
      <c r="N585" s="1916"/>
      <c r="O585" s="1917"/>
      <c r="P585" s="1917"/>
      <c r="Q585" s="1918"/>
      <c r="S585" s="1916"/>
      <c r="T585" s="1917"/>
      <c r="U585" s="1917"/>
      <c r="V585" s="1918"/>
      <c r="X585" s="1916"/>
      <c r="Y585" s="1917"/>
      <c r="Z585" s="1917"/>
      <c r="AA585" s="1918"/>
      <c r="AC585" s="1916"/>
      <c r="AD585" s="1917"/>
      <c r="AE585" s="1917"/>
      <c r="AF585" s="1918"/>
      <c r="AH585" s="1916"/>
      <c r="AI585" s="1917"/>
      <c r="AJ585" s="1917"/>
      <c r="AK585" s="1918"/>
    </row>
    <row r="586" spans="2:38" s="180" customFormat="1" x14ac:dyDescent="0.45">
      <c r="B586" s="1942"/>
      <c r="C586" s="1945"/>
      <c r="D586" s="1916"/>
      <c r="E586" s="1917"/>
      <c r="F586" s="1917"/>
      <c r="G586" s="1918"/>
      <c r="I586" s="1916"/>
      <c r="J586" s="1917"/>
      <c r="K586" s="1917"/>
      <c r="L586" s="1918"/>
      <c r="N586" s="1916"/>
      <c r="O586" s="1917"/>
      <c r="P586" s="1917"/>
      <c r="Q586" s="1918"/>
      <c r="S586" s="1916"/>
      <c r="T586" s="1917"/>
      <c r="U586" s="1917"/>
      <c r="V586" s="1918"/>
      <c r="X586" s="1916"/>
      <c r="Y586" s="1917"/>
      <c r="Z586" s="1917"/>
      <c r="AA586" s="1918"/>
      <c r="AC586" s="1916"/>
      <c r="AD586" s="1917"/>
      <c r="AE586" s="1917"/>
      <c r="AF586" s="1918"/>
      <c r="AH586" s="1916"/>
      <c r="AI586" s="1917"/>
      <c r="AJ586" s="1917"/>
      <c r="AK586" s="1918"/>
    </row>
    <row r="587" spans="2:38" s="180" customFormat="1" x14ac:dyDescent="0.45">
      <c r="B587" s="1942"/>
      <c r="C587" s="1945"/>
      <c r="D587" s="1916"/>
      <c r="E587" s="1917"/>
      <c r="F587" s="1917"/>
      <c r="G587" s="1918"/>
      <c r="I587" s="1916"/>
      <c r="J587" s="1917"/>
      <c r="K587" s="1917"/>
      <c r="L587" s="1918"/>
      <c r="N587" s="1916"/>
      <c r="O587" s="1917"/>
      <c r="P587" s="1917"/>
      <c r="Q587" s="1918"/>
      <c r="S587" s="1916"/>
      <c r="T587" s="1917"/>
      <c r="U587" s="1917"/>
      <c r="V587" s="1918"/>
      <c r="X587" s="1916"/>
      <c r="Y587" s="1917"/>
      <c r="Z587" s="1917"/>
      <c r="AA587" s="1918"/>
      <c r="AC587" s="1916"/>
      <c r="AD587" s="1917"/>
      <c r="AE587" s="1917"/>
      <c r="AF587" s="1918"/>
      <c r="AH587" s="1916"/>
      <c r="AI587" s="1917"/>
      <c r="AJ587" s="1917"/>
      <c r="AK587" s="1918"/>
    </row>
    <row r="588" spans="2:38" s="180" customFormat="1" x14ac:dyDescent="0.45">
      <c r="B588" s="1942"/>
      <c r="C588" s="1945"/>
      <c r="D588" s="1916"/>
      <c r="E588" s="1917"/>
      <c r="F588" s="1917"/>
      <c r="G588" s="1918"/>
      <c r="I588" s="1916"/>
      <c r="J588" s="1917"/>
      <c r="K588" s="1917"/>
      <c r="L588" s="1918"/>
      <c r="N588" s="1916"/>
      <c r="O588" s="1917"/>
      <c r="P588" s="1917"/>
      <c r="Q588" s="1918"/>
      <c r="S588" s="1916"/>
      <c r="T588" s="1917"/>
      <c r="U588" s="1917"/>
      <c r="V588" s="1918"/>
      <c r="X588" s="1916"/>
      <c r="Y588" s="1917"/>
      <c r="Z588" s="1917"/>
      <c r="AA588" s="1918"/>
      <c r="AC588" s="1916"/>
      <c r="AD588" s="1917"/>
      <c r="AE588" s="1917"/>
      <c r="AF588" s="1918"/>
      <c r="AH588" s="1916"/>
      <c r="AI588" s="1917"/>
      <c r="AJ588" s="1917"/>
      <c r="AK588" s="1918"/>
    </row>
    <row r="589" spans="2:38" s="180" customFormat="1" x14ac:dyDescent="0.45">
      <c r="B589" s="1942"/>
      <c r="C589" s="1945"/>
      <c r="D589" s="1916"/>
      <c r="E589" s="1917"/>
      <c r="F589" s="1917"/>
      <c r="G589" s="1918"/>
      <c r="I589" s="1916"/>
      <c r="J589" s="1917"/>
      <c r="K589" s="1917"/>
      <c r="L589" s="1918"/>
      <c r="N589" s="1916"/>
      <c r="O589" s="1917"/>
      <c r="P589" s="1917"/>
      <c r="Q589" s="1918"/>
      <c r="S589" s="1916"/>
      <c r="T589" s="1917"/>
      <c r="U589" s="1917"/>
      <c r="V589" s="1918"/>
      <c r="X589" s="1916"/>
      <c r="Y589" s="1917"/>
      <c r="Z589" s="1917"/>
      <c r="AA589" s="1918"/>
      <c r="AC589" s="1916"/>
      <c r="AD589" s="1917"/>
      <c r="AE589" s="1917"/>
      <c r="AF589" s="1918"/>
      <c r="AH589" s="1916"/>
      <c r="AI589" s="1917"/>
      <c r="AJ589" s="1917"/>
      <c r="AK589" s="1918"/>
    </row>
    <row r="590" spans="2:38" s="180" customFormat="1" ht="14.65" thickBot="1" x14ac:dyDescent="0.5">
      <c r="B590" s="1942"/>
      <c r="C590" s="1945"/>
      <c r="D590" s="1938"/>
      <c r="E590" s="1939"/>
      <c r="F590" s="1939"/>
      <c r="G590" s="1940"/>
      <c r="I590" s="1938"/>
      <c r="J590" s="1939"/>
      <c r="K590" s="1939"/>
      <c r="L590" s="1940"/>
      <c r="N590" s="1938"/>
      <c r="O590" s="1939"/>
      <c r="P590" s="1939"/>
      <c r="Q590" s="1940"/>
      <c r="S590" s="1938"/>
      <c r="T590" s="1939"/>
      <c r="U590" s="1939"/>
      <c r="V590" s="1940"/>
      <c r="X590" s="1938"/>
      <c r="Y590" s="1939"/>
      <c r="Z590" s="1939"/>
      <c r="AA590" s="1940"/>
      <c r="AC590" s="1938"/>
      <c r="AD590" s="1939"/>
      <c r="AE590" s="1939"/>
      <c r="AF590" s="1940"/>
      <c r="AH590" s="1938"/>
      <c r="AI590" s="1939"/>
      <c r="AJ590" s="1939"/>
      <c r="AK590" s="1940"/>
    </row>
    <row r="591" spans="2:38" s="176" customFormat="1" ht="15.75" customHeight="1" x14ac:dyDescent="0.45">
      <c r="B591" s="1942"/>
      <c r="C591" s="1945"/>
      <c r="D591" s="1415">
        <f>$B563</f>
        <v>11</v>
      </c>
      <c r="E591" s="1930" t="s">
        <v>352</v>
      </c>
      <c r="F591" s="1930"/>
      <c r="G591" s="1414">
        <f ca="1">INDEX(final_duration_session,((WEEKDAY(E$3,2)*2-1)+IF(E591="Morning",0,1)),$D591)</f>
        <v>85</v>
      </c>
      <c r="H591" s="177"/>
      <c r="I591" s="1415">
        <f>$B563</f>
        <v>11</v>
      </c>
      <c r="J591" s="1930" t="s">
        <v>352</v>
      </c>
      <c r="K591" s="1930"/>
      <c r="L591" s="1414">
        <f ca="1">INDEX(final_duration_session,((WEEKDAY(J$3,2)*2-1)+IF(J591="Morning",0,1)),$D591)</f>
        <v>145</v>
      </c>
      <c r="M591" s="177"/>
      <c r="N591" s="1415">
        <f>$B563</f>
        <v>11</v>
      </c>
      <c r="O591" s="1930" t="s">
        <v>352</v>
      </c>
      <c r="P591" s="1930"/>
      <c r="Q591" s="1414">
        <f ca="1">INDEX(final_duration_session,((WEEKDAY(O$3,2)*2-1)+IF(O591="Morning",0,1)),$D591)</f>
        <v>145</v>
      </c>
      <c r="R591" s="177"/>
      <c r="S591" s="1415">
        <f>$B563</f>
        <v>11</v>
      </c>
      <c r="T591" s="1930" t="s">
        <v>352</v>
      </c>
      <c r="U591" s="1930"/>
      <c r="V591" s="1414">
        <f ca="1">INDEX(final_duration_session,((WEEKDAY(T$3,2)*2-1)+IF(T591="Morning",0,1)),$D591)</f>
        <v>85</v>
      </c>
      <c r="W591" s="177"/>
      <c r="X591" s="1415">
        <f>$B563</f>
        <v>11</v>
      </c>
      <c r="Y591" s="1930" t="s">
        <v>352</v>
      </c>
      <c r="Z591" s="1930"/>
      <c r="AA591" s="1414">
        <f ca="1">INDEX(final_duration_session,((WEEKDAY(Y$3,2)*2-1)+IF(Y591="Morning",0,1)),$D591)</f>
        <v>85</v>
      </c>
      <c r="AB591" s="177"/>
      <c r="AC591" s="1415">
        <f>$B563</f>
        <v>11</v>
      </c>
      <c r="AD591" s="1930" t="s">
        <v>352</v>
      </c>
      <c r="AE591" s="1930"/>
      <c r="AF591" s="1414">
        <f ca="1">INDEX(final_duration_session,((WEEKDAY(AD$3,2)*2-1)+IF(AD591="Morning",0,1)),$D591)</f>
        <v>0</v>
      </c>
      <c r="AG591" s="177"/>
      <c r="AH591" s="1415">
        <f>$B563</f>
        <v>11</v>
      </c>
      <c r="AI591" s="1930" t="s">
        <v>352</v>
      </c>
      <c r="AJ591" s="1930"/>
      <c r="AK591" s="1414">
        <f ca="1">INDEX(final_duration_session,((WEEKDAY(AI$3,2)*2-1)+IF(AI591="Morning",0,1)),$D591)</f>
        <v>0</v>
      </c>
      <c r="AL591" s="177"/>
    </row>
    <row r="592" spans="2:38" s="176" customFormat="1" ht="15" customHeight="1" x14ac:dyDescent="0.45">
      <c r="B592" s="1942"/>
      <c r="C592" s="1945"/>
      <c r="D592" s="1931" t="str">
        <f ca="1">IF(G591&gt;0,INDEX(sessions_name,INDEX(plan_session_allocation,((WEEKDAY(E$3,2)*2-1)+IF(E591="Morning",0,1)),D591)),"")</f>
        <v>Steady</v>
      </c>
      <c r="E592" s="1932"/>
      <c r="F592" s="1932"/>
      <c r="G592" s="1933"/>
      <c r="H592" s="177"/>
      <c r="I592" s="1931" t="str">
        <f ca="1">IF(L591&gt;0,INDEX(sessions_name,INDEX(plan_session_allocation,((WEEKDAY(J$3,2)*2-1)+IF(J591="Morning",0,1)),I591)),"")</f>
        <v>Long</v>
      </c>
      <c r="J592" s="1932"/>
      <c r="K592" s="1932"/>
      <c r="L592" s="1933"/>
      <c r="M592" s="177"/>
      <c r="N592" s="1931" t="str">
        <f ca="1">IF(Q591&gt;0,INDEX(sessions_name,INDEX(plan_session_allocation,((WEEKDAY(O$3,2)*2-1)+IF(O591="Morning",0,1)),N591)),"")</f>
        <v>Long</v>
      </c>
      <c r="O592" s="1932"/>
      <c r="P592" s="1932"/>
      <c r="Q592" s="1933"/>
      <c r="R592" s="177"/>
      <c r="S592" s="1931" t="str">
        <f ca="1">IF(V591&gt;0,INDEX(sessions_name,INDEX(plan_session_allocation,((WEEKDAY(T$3,2)*2-1)+IF(T591="Morning",0,1)),S591)),"")</f>
        <v>Steady</v>
      </c>
      <c r="T592" s="1932"/>
      <c r="U592" s="1932"/>
      <c r="V592" s="1933"/>
      <c r="W592" s="177"/>
      <c r="X592" s="1931" t="str">
        <f ca="1">IF(AA591&gt;0,INDEX(sessions_name,INDEX(plan_session_allocation,((WEEKDAY(Y$3,2)*2-1)+IF(Y591="Morning",0,1)),X591)),"")</f>
        <v>Steady</v>
      </c>
      <c r="Y592" s="1932"/>
      <c r="Z592" s="1932"/>
      <c r="AA592" s="1933"/>
      <c r="AB592" s="177"/>
      <c r="AC592" s="1931" t="str">
        <f ca="1">IF(AF591&gt;0,INDEX(sessions_name,INDEX(plan_session_allocation,((WEEKDAY(AD$3,2)*2-1)+IF(AD591="Morning",0,1)),AC591)),"")</f>
        <v/>
      </c>
      <c r="AD592" s="1932"/>
      <c r="AE592" s="1932"/>
      <c r="AF592" s="1933"/>
      <c r="AG592" s="177"/>
      <c r="AH592" s="1931" t="str">
        <f ca="1">IF(AK591&gt;0,INDEX(sessions_name,INDEX(plan_session_allocation,((WEEKDAY(AI$3,2)*2-1)+IF(AI591="Morning",0,1)),AH591)),"")</f>
        <v/>
      </c>
      <c r="AI592" s="1932"/>
      <c r="AJ592" s="1932"/>
      <c r="AK592" s="1933"/>
      <c r="AL592" s="177"/>
    </row>
    <row r="593" spans="2:38" s="176" customFormat="1" ht="15" customHeight="1" x14ac:dyDescent="0.45">
      <c r="B593" s="1942"/>
      <c r="C593" s="1945"/>
      <c r="D593" s="1934" t="str">
        <f ca="1">IF(G591&gt;0,CONCATENATE("Sport: ",INDEX(sessions_sport_primary,INDEX(plan_session_allocation,(WEEKDAY(E$3,2)*2-1)+IF(E591="Morning",0,1),D591))),"")</f>
        <v>Sport: Hilly Trail Run</v>
      </c>
      <c r="E593" s="1935"/>
      <c r="F593" s="1936">
        <f ca="1">IF(G591&gt;0,IFERROR(F594+F595+F596,""),"")</f>
        <v>85</v>
      </c>
      <c r="G593" s="1937"/>
      <c r="H593" s="177"/>
      <c r="I593" s="1934" t="str">
        <f ca="1">IF(L591&gt;0,CONCATENATE("Sport: ",INDEX(sessions_sport_primary,INDEX(plan_session_allocation,(WEEKDAY(J$3,2)*2-1)+IF(J591="Morning",0,1),I591))),"")</f>
        <v>Sport: Hilly Trail Run</v>
      </c>
      <c r="J593" s="1935"/>
      <c r="K593" s="1936">
        <f ca="1">IF(L591&gt;0,IFERROR(K594+K595+K596,""),"")</f>
        <v>145</v>
      </c>
      <c r="L593" s="1937"/>
      <c r="M593" s="177"/>
      <c r="N593" s="1934" t="str">
        <f ca="1">IF(Q591&gt;0,CONCATENATE("Sport: ",INDEX(sessions_sport_primary,INDEX(plan_session_allocation,(WEEKDAY(O$3,2)*2-1)+IF(O591="Morning",0,1),N591))),"")</f>
        <v>Sport: Hilly Trail Run</v>
      </c>
      <c r="O593" s="1935"/>
      <c r="P593" s="1936">
        <f ca="1">IF(Q591&gt;0,IFERROR(P594+P595+P596,""),"")</f>
        <v>145</v>
      </c>
      <c r="Q593" s="1937"/>
      <c r="R593" s="177"/>
      <c r="S593" s="1934" t="str">
        <f ca="1">IF(V591&gt;0,CONCATENATE("Sport: ",INDEX(sessions_sport_primary,INDEX(plan_session_allocation,(WEEKDAY(T$3,2)*2-1)+IF(T591="Morning",0,1),S591))),"")</f>
        <v>Sport: Hilly Trail Run</v>
      </c>
      <c r="T593" s="1935"/>
      <c r="U593" s="1936">
        <f ca="1">IF(V591&gt;0,IFERROR(U594+U595+U596,""),"")</f>
        <v>85</v>
      </c>
      <c r="V593" s="1937"/>
      <c r="W593" s="177"/>
      <c r="X593" s="1934" t="str">
        <f ca="1">IF(AA591&gt;0,CONCATENATE("Sport: ",INDEX(sessions_sport_primary,INDEX(plan_session_allocation,(WEEKDAY(Y$3,2)*2-1)+IF(Y591="Morning",0,1),X591))),"")</f>
        <v>Sport: Hilly Trail Run</v>
      </c>
      <c r="Y593" s="1935"/>
      <c r="Z593" s="1936">
        <f ca="1">IF(AA591&gt;0,IFERROR(Z594+Z595+Z596,""),"")</f>
        <v>85</v>
      </c>
      <c r="AA593" s="1937"/>
      <c r="AB593" s="177"/>
      <c r="AC593" s="1934" t="str">
        <f ca="1">IF(AF591&gt;0,CONCATENATE("Sport: ",INDEX(sessions_sport_primary,INDEX(plan_session_allocation,(WEEKDAY(AD$3,2)*2-1)+IF(AD591="Morning",0,1),AC591))),"")</f>
        <v/>
      </c>
      <c r="AD593" s="1935"/>
      <c r="AE593" s="1936" t="str">
        <f ca="1">IF(AF591&gt;0,IFERROR(AE594+AE595+AE596,""),"")</f>
        <v/>
      </c>
      <c r="AF593" s="1937"/>
      <c r="AG593" s="177"/>
      <c r="AH593" s="1934" t="str">
        <f ca="1">IF(AK591&gt;0,CONCATENATE("Sport: ",INDEX(sessions_sport_primary,INDEX(plan_session_allocation,(WEEKDAY(AI$3,2)*2-1)+IF(AI591="Morning",0,1),AH591))),"")</f>
        <v/>
      </c>
      <c r="AI593" s="1935"/>
      <c r="AJ593" s="1936" t="str">
        <f ca="1">IF(AK591&gt;0,IFERROR(AJ594+AJ595+AJ596,""),"")</f>
        <v/>
      </c>
      <c r="AK593" s="1937"/>
      <c r="AL593" s="177"/>
    </row>
    <row r="594" spans="2:38" s="177" customFormat="1" ht="15" customHeight="1" x14ac:dyDescent="0.45">
      <c r="B594" s="1942"/>
      <c r="C594" s="1945"/>
      <c r="D594" s="1922" t="str">
        <f ca="1">IF(G591&gt;0,CONCATENATE("HR Target: ",
INDEX(sessions_HR_primary,INDEX(plan_session_allocation,((WEEKDAY(E$3,2)*2-1)+IF(E591="Morning",0,1)),D591)),
IF(INDEX(sessions_HR_primary,INDEX(plan_session_allocation,((WEEKDAY(E$3,2)*2-1)+IF(E591="Morning",0,1)),D591))="N/A","",
" BPM")),"")</f>
        <v>HR Target: 148 BPM</v>
      </c>
      <c r="E594" s="1923"/>
      <c r="F594" s="1924">
        <f ca="1">IF(G591&gt;0,
INDEX(final_duration_effort,((WEEKDAY(E$3,2)*2-1)+IF(E591="Morning",0,1)),D591),"")</f>
        <v>85</v>
      </c>
      <c r="G594" s="1925"/>
      <c r="I594" s="1922" t="str">
        <f ca="1">IF(L591&gt;0,CONCATENATE("HR Target: ",
INDEX(sessions_HR_primary,INDEX(plan_session_allocation,((WEEKDAY(J$3,2)*2-1)+IF(J591="Morning",0,1)),I591)),
IF(INDEX(sessions_HR_primary,INDEX(plan_session_allocation,((WEEKDAY(J$3,2)*2-1)+IF(J591="Morning",0,1)),I591))="N/A","",
" BPM")),"")</f>
        <v>HR Target: 148 BPM</v>
      </c>
      <c r="J594" s="1923"/>
      <c r="K594" s="1924">
        <f ca="1">IF(L591&gt;0,
INDEX(final_duration_effort,((WEEKDAY(J$3,2)*2-1)+IF(J591="Morning",0,1)),I591),"")</f>
        <v>145</v>
      </c>
      <c r="L594" s="1925"/>
      <c r="N594" s="1922" t="str">
        <f ca="1">IF(Q591&gt;0,CONCATENATE("HR Target: ",
INDEX(sessions_HR_primary,INDEX(plan_session_allocation,((WEEKDAY(O$3,2)*2-1)+IF(O591="Morning",0,1)),N591)),
IF(INDEX(sessions_HR_primary,INDEX(plan_session_allocation,((WEEKDAY(O$3,2)*2-1)+IF(O591="Morning",0,1)),N591))="N/A","",
" BPM")),"")</f>
        <v>HR Target: 148 BPM</v>
      </c>
      <c r="O594" s="1923"/>
      <c r="P594" s="1924">
        <f ca="1">IF(Q591&gt;0,
INDEX(final_duration_effort,((WEEKDAY(O$3,2)*2-1)+IF(O591="Morning",0,1)),N591),"")</f>
        <v>145</v>
      </c>
      <c r="Q594" s="1925"/>
      <c r="S594" s="1922" t="str">
        <f ca="1">IF(V591&gt;0,CONCATENATE("HR Target: ",
INDEX(sessions_HR_primary,INDEX(plan_session_allocation,((WEEKDAY(T$3,2)*2-1)+IF(T591="Morning",0,1)),S591)),
IF(INDEX(sessions_HR_primary,INDEX(plan_session_allocation,((WEEKDAY(T$3,2)*2-1)+IF(T591="Morning",0,1)),S591))="N/A","",
" BPM")),"")</f>
        <v>HR Target: 148 BPM</v>
      </c>
      <c r="T594" s="1923"/>
      <c r="U594" s="1924">
        <f ca="1">IF(V591&gt;0,
INDEX(final_duration_effort,((WEEKDAY(T$3,2)*2-1)+IF(T591="Morning",0,1)),S591),"")</f>
        <v>85</v>
      </c>
      <c r="V594" s="1925"/>
      <c r="X594" s="1922" t="str">
        <f ca="1">IF(AA591&gt;0,CONCATENATE("HR Target: ",
INDEX(sessions_HR_primary,INDEX(plan_session_allocation,((WEEKDAY(Y$3,2)*2-1)+IF(Y591="Morning",0,1)),X591)),
IF(INDEX(sessions_HR_primary,INDEX(plan_session_allocation,((WEEKDAY(Y$3,2)*2-1)+IF(Y591="Morning",0,1)),X591))="N/A","",
" BPM")),"")</f>
        <v>HR Target: 148 BPM</v>
      </c>
      <c r="Y594" s="1923"/>
      <c r="Z594" s="1924">
        <f ca="1">IF(AA591&gt;0,
INDEX(final_duration_effort,((WEEKDAY(Y$3,2)*2-1)+IF(Y591="Morning",0,1)),X591),"")</f>
        <v>85</v>
      </c>
      <c r="AA594" s="1925"/>
      <c r="AC594" s="1922" t="str">
        <f ca="1">IF(AF591&gt;0,CONCATENATE("HR Target: ",
INDEX(sessions_HR_primary,INDEX(plan_session_allocation,((WEEKDAY(AD$3,2)*2-1)+IF(AD591="Morning",0,1)),AC591)),
IF(INDEX(sessions_HR_primary,INDEX(plan_session_allocation,((WEEKDAY(AD$3,2)*2-1)+IF(AD591="Morning",0,1)),AC591))="N/A","",
" BPM")),"")</f>
        <v/>
      </c>
      <c r="AD594" s="1923"/>
      <c r="AE594" s="1924" t="str">
        <f ca="1">IF(AF591&gt;0,
INDEX(final_duration_effort,((WEEKDAY(AD$3,2)*2-1)+IF(AD591="Morning",0,1)),AC591),"")</f>
        <v/>
      </c>
      <c r="AF594" s="1925"/>
      <c r="AH594" s="1922" t="str">
        <f ca="1">IF(AK591&gt;0,CONCATENATE("HR Target: ",
INDEX(sessions_HR_primary,INDEX(plan_session_allocation,((WEEKDAY(AI$3,2)*2-1)+IF(AI591="Morning",0,1)),AH591)),
IF(INDEX(sessions_HR_primary,INDEX(plan_session_allocation,((WEEKDAY(AI$3,2)*2-1)+IF(AI591="Morning",0,1)),AH591))="N/A","",
" BPM")),"")</f>
        <v/>
      </c>
      <c r="AI594" s="1923"/>
      <c r="AJ594" s="1924" t="str">
        <f ca="1">IF(AK591&gt;0,
INDEX(final_duration_effort,((WEEKDAY(AI$3,2)*2-1)+IF(AI591="Morning",0,1)),AH591),"")</f>
        <v/>
      </c>
      <c r="AK594" s="1925"/>
    </row>
    <row r="595" spans="2:38" s="177" customFormat="1" ht="15" customHeight="1" x14ac:dyDescent="0.45">
      <c r="B595" s="1942"/>
      <c r="C595" s="1945"/>
      <c r="D595" s="1926" t="str">
        <f ca="1">IF(G591&gt;0,CONCATENATE("HR Range: ",
INDEX(sessions_HR_range_primary,INDEX(plan_session_allocation,((WEEKDAY(E$3,2)*2-1)+IF(E591="Morning",0,1)),D591)),
IF(INDEX(sessions_HR_range_primary,INDEX(plan_session_allocation,((WEEKDAY(E$3,2)*2-1)+IF(E591="Morning",0,1)),D591))="N/A","",
" BPM")),"")</f>
        <v>HR Range: 138 - 157 BPM</v>
      </c>
      <c r="E595" s="1927"/>
      <c r="F595" s="1928">
        <f ca="1">IF(G591&gt;0,IF(
INDEX(sessions_recoveries,INDEX(plan_session_allocation,((WEEKDAY(E$3,2)*2-1)+IF(E591="Morning",0,1)),D591))="Yes",
VLOOKUP(INDEX(plan_duration_primary,((WEEKDAY(E$3,2)*2-1)+IF(E591="Morning",0,1)),D591),
INDIRECT(INDEX(sessions_intervals_code_primary,INDEX(plan_session_allocation,((WEEKDAY(E$3,2)*2-1)+IF(E591="Morning",0,1)),D591))),7,TRUE),0),"")</f>
        <v>0</v>
      </c>
      <c r="G595" s="1929"/>
      <c r="I595" s="1926" t="str">
        <f ca="1">IF(L591&gt;0,CONCATENATE("HR Range: ",
INDEX(sessions_HR_range_primary,INDEX(plan_session_allocation,((WEEKDAY(J$3,2)*2-1)+IF(J591="Morning",0,1)),I591)),
IF(INDEX(sessions_HR_range_primary,INDEX(plan_session_allocation,((WEEKDAY(J$3,2)*2-1)+IF(J591="Morning",0,1)),I591))="N/A","",
" BPM")),"")</f>
        <v>HR Range: 129 - 169 BPM</v>
      </c>
      <c r="J595" s="1927"/>
      <c r="K595" s="1928">
        <f ca="1">IF(L591&gt;0,IF(
INDEX(sessions_recoveries,INDEX(plan_session_allocation,((WEEKDAY(J$3,2)*2-1)+IF(J591="Morning",0,1)),I591))="Yes",
VLOOKUP(INDEX(plan_duration_primary,((WEEKDAY(J$3,2)*2-1)+IF(J591="Morning",0,1)),I591),
INDIRECT(INDEX(sessions_intervals_code_primary,INDEX(plan_session_allocation,((WEEKDAY(J$3,2)*2-1)+IF(J591="Morning",0,1)),I591))),7,TRUE),0),"")</f>
        <v>0</v>
      </c>
      <c r="L595" s="1929"/>
      <c r="N595" s="1926" t="str">
        <f ca="1">IF(Q591&gt;0,CONCATENATE("HR Range: ",
INDEX(sessions_HR_range_primary,INDEX(plan_session_allocation,((WEEKDAY(O$3,2)*2-1)+IF(O591="Morning",0,1)),N591)),
IF(INDEX(sessions_HR_range_primary,INDEX(plan_session_allocation,((WEEKDAY(O$3,2)*2-1)+IF(O591="Morning",0,1)),N591))="N/A","",
" BPM")),"")</f>
        <v>HR Range: 129 - 169 BPM</v>
      </c>
      <c r="O595" s="1927"/>
      <c r="P595" s="1928">
        <f ca="1">IF(Q591&gt;0,IF(
INDEX(sessions_recoveries,INDEX(plan_session_allocation,((WEEKDAY(O$3,2)*2-1)+IF(O591="Morning",0,1)),N591))="Yes",
VLOOKUP(INDEX(plan_duration_primary,((WEEKDAY(O$3,2)*2-1)+IF(O591="Morning",0,1)),N591),
INDIRECT(INDEX(sessions_intervals_code_primary,INDEX(plan_session_allocation,((WEEKDAY(O$3,2)*2-1)+IF(O591="Morning",0,1)),N591))),7,TRUE),0),"")</f>
        <v>0</v>
      </c>
      <c r="Q595" s="1929"/>
      <c r="S595" s="1926" t="str">
        <f ca="1">IF(V591&gt;0,CONCATENATE("HR Range: ",
INDEX(sessions_HR_range_primary,INDEX(plan_session_allocation,((WEEKDAY(T$3,2)*2-1)+IF(T591="Morning",0,1)),S591)),
IF(INDEX(sessions_HR_range_primary,INDEX(plan_session_allocation,((WEEKDAY(T$3,2)*2-1)+IF(T591="Morning",0,1)),S591))="N/A","",
" BPM")),"")</f>
        <v>HR Range: 138 - 157 BPM</v>
      </c>
      <c r="T595" s="1927"/>
      <c r="U595" s="1928">
        <f ca="1">IF(V591&gt;0,IF(
INDEX(sessions_recoveries,INDEX(plan_session_allocation,((WEEKDAY(T$3,2)*2-1)+IF(T591="Morning",0,1)),S591))="Yes",
VLOOKUP(INDEX(plan_duration_primary,((WEEKDAY(T$3,2)*2-1)+IF(T591="Morning",0,1)),S591),
INDIRECT(INDEX(sessions_intervals_code_primary,INDEX(plan_session_allocation,((WEEKDAY(T$3,2)*2-1)+IF(T591="Morning",0,1)),S591))),7,TRUE),0),"")</f>
        <v>0</v>
      </c>
      <c r="V595" s="1929"/>
      <c r="X595" s="1926" t="str">
        <f ca="1">IF(AA591&gt;0,CONCATENATE("HR Range: ",
INDEX(sessions_HR_range_primary,INDEX(plan_session_allocation,((WEEKDAY(Y$3,2)*2-1)+IF(Y591="Morning",0,1)),X591)),
IF(INDEX(sessions_HR_range_primary,INDEX(plan_session_allocation,((WEEKDAY(Y$3,2)*2-1)+IF(Y591="Morning",0,1)),X591))="N/A","",
" BPM")),"")</f>
        <v>HR Range: 138 - 157 BPM</v>
      </c>
      <c r="Y595" s="1927"/>
      <c r="Z595" s="1928">
        <f ca="1">IF(AA591&gt;0,IF(
INDEX(sessions_recoveries,INDEX(plan_session_allocation,((WEEKDAY(Y$3,2)*2-1)+IF(Y591="Morning",0,1)),X591))="Yes",
VLOOKUP(INDEX(plan_duration_primary,((WEEKDAY(Y$3,2)*2-1)+IF(Y591="Morning",0,1)),X591),
INDIRECT(INDEX(sessions_intervals_code_primary,INDEX(plan_session_allocation,((WEEKDAY(Y$3,2)*2-1)+IF(Y591="Morning",0,1)),X591))),7,TRUE),0),"")</f>
        <v>0</v>
      </c>
      <c r="AA595" s="1929"/>
      <c r="AC595" s="1926" t="str">
        <f ca="1">IF(AF591&gt;0,CONCATENATE("HR Range: ",
INDEX(sessions_HR_range_primary,INDEX(plan_session_allocation,((WEEKDAY(AD$3,2)*2-1)+IF(AD591="Morning",0,1)),AC591)),
IF(INDEX(sessions_HR_range_primary,INDEX(plan_session_allocation,((WEEKDAY(AD$3,2)*2-1)+IF(AD591="Morning",0,1)),AC591))="N/A","",
" BPM")),"")</f>
        <v/>
      </c>
      <c r="AD595" s="1927"/>
      <c r="AE595" s="1928" t="str">
        <f ca="1">IF(AF591&gt;0,IF(
INDEX(sessions_recoveries,INDEX(plan_session_allocation,((WEEKDAY(AD$3,2)*2-1)+IF(AD591="Morning",0,1)),AC591))="Yes",
VLOOKUP(INDEX(plan_duration_primary,((WEEKDAY(AD$3,2)*2-1)+IF(AD591="Morning",0,1)),AC591),
INDIRECT(INDEX(sessions_intervals_code_primary,INDEX(plan_session_allocation,((WEEKDAY(AD$3,2)*2-1)+IF(AD591="Morning",0,1)),AC591))),7,TRUE),0),"")</f>
        <v/>
      </c>
      <c r="AF595" s="1929"/>
      <c r="AH595" s="1926" t="str">
        <f ca="1">IF(AK591&gt;0,CONCATENATE("HR Range: ",
INDEX(sessions_HR_range_primary,INDEX(plan_session_allocation,((WEEKDAY(AI$3,2)*2-1)+IF(AI591="Morning",0,1)),AH591)),
IF(INDEX(sessions_HR_range_primary,INDEX(plan_session_allocation,((WEEKDAY(AI$3,2)*2-1)+IF(AI591="Morning",0,1)),AH591))="N/A","",
" BPM")),"")</f>
        <v/>
      </c>
      <c r="AI595" s="1927"/>
      <c r="AJ595" s="1928" t="str">
        <f ca="1">IF(AK591&gt;0,IF(
INDEX(sessions_recoveries,INDEX(plan_session_allocation,((WEEKDAY(AI$3,2)*2-1)+IF(AI591="Morning",0,1)),AH591))="Yes",
VLOOKUP(INDEX(plan_duration_primary,((WEEKDAY(AI$3,2)*2-1)+IF(AI591="Morning",0,1)),AH591),
INDIRECT(INDEX(sessions_intervals_code_primary,INDEX(plan_session_allocation,((WEEKDAY(AI$3,2)*2-1)+IF(AI591="Morning",0,1)),AH591))),7,TRUE),0),"")</f>
        <v/>
      </c>
      <c r="AK595" s="1929"/>
    </row>
    <row r="596" spans="2:38" s="177" customFormat="1" ht="15" customHeight="1" x14ac:dyDescent="0.45">
      <c r="B596" s="1942"/>
      <c r="C596" s="1945"/>
      <c r="D596" s="1909" t="str">
        <f ca="1">IF(G591&gt;0,CONCATENATE("Equivalent Pace: ",
TEXT(INDEX(sessions_pace_primary,INDEX(plan_session_allocation,(WEEKDAY(E$3,2)*2-1)+IF(E591="Morning",0,1),D591)),"m:ss"),
" min/km"
),"")</f>
        <v>Equivalent Pace: 4:14 min/km</v>
      </c>
      <c r="E596" s="1910"/>
      <c r="F596" s="1911">
        <f ca="1">IF(G591&gt;0, INDEX(final_duration_WU,((WEEKDAY(E$3,2)*2-1)+IF(E591="Morning",0,1)),D591)  + INDEX(final_duration_WD,((WEEKDAY(E$3,2)*2-1)+IF(E591="Morning",0,1)),D591), "")</f>
        <v>0</v>
      </c>
      <c r="G596" s="1912"/>
      <c r="I596" s="1909" t="str">
        <f ca="1">IF(L591&gt;0,CONCATENATE("Equivalent Pace: ",
TEXT(INDEX(sessions_pace_primary,INDEX(plan_session_allocation,(WEEKDAY(J$3,2)*2-1)+IF(J591="Morning",0,1),I591)),"m:ss"),
" min/km"
),"")</f>
        <v>Equivalent Pace: 4:14 min/km</v>
      </c>
      <c r="J596" s="1910"/>
      <c r="K596" s="1911">
        <f ca="1">IF(L591&gt;0, INDEX(final_duration_WU,((WEEKDAY(J$3,2)*2-1)+IF(J591="Morning",0,1)),I591)  + INDEX(final_duration_WD,((WEEKDAY(J$3,2)*2-1)+IF(J591="Morning",0,1)),I591), "")</f>
        <v>0</v>
      </c>
      <c r="L596" s="1912"/>
      <c r="N596" s="1909" t="str">
        <f ca="1">IF(Q591&gt;0,CONCATENATE("Equivalent Pace: ",
TEXT(INDEX(sessions_pace_primary,INDEX(plan_session_allocation,(WEEKDAY(O$3,2)*2-1)+IF(O591="Morning",0,1),N591)),"m:ss"),
" min/km"
),"")</f>
        <v>Equivalent Pace: 4:14 min/km</v>
      </c>
      <c r="O596" s="1910"/>
      <c r="P596" s="1911">
        <f ca="1">IF(Q591&gt;0, INDEX(final_duration_WU,((WEEKDAY(O$3,2)*2-1)+IF(O591="Morning",0,1)),N591)  + INDEX(final_duration_WD,((WEEKDAY(O$3,2)*2-1)+IF(O591="Morning",0,1)),N591), "")</f>
        <v>0</v>
      </c>
      <c r="Q596" s="1912"/>
      <c r="S596" s="1909" t="str">
        <f ca="1">IF(V591&gt;0,CONCATENATE("Equivalent Pace: ",
TEXT(INDEX(sessions_pace_primary,INDEX(plan_session_allocation,(WEEKDAY(T$3,2)*2-1)+IF(T591="Morning",0,1),S591)),"m:ss"),
" min/km"
),"")</f>
        <v>Equivalent Pace: 4:14 min/km</v>
      </c>
      <c r="T596" s="1910"/>
      <c r="U596" s="1911">
        <f ca="1">IF(V591&gt;0, INDEX(final_duration_WU,((WEEKDAY(T$3,2)*2-1)+IF(T591="Morning",0,1)),S591)  + INDEX(final_duration_WD,((WEEKDAY(T$3,2)*2-1)+IF(T591="Morning",0,1)),S591), "")</f>
        <v>0</v>
      </c>
      <c r="V596" s="1912"/>
      <c r="X596" s="1909" t="str">
        <f ca="1">IF(AA591&gt;0,CONCATENATE("Equivalent Pace: ",
TEXT(INDEX(sessions_pace_primary,INDEX(plan_session_allocation,(WEEKDAY(Y$3,2)*2-1)+IF(Y591="Morning",0,1),X591)),"m:ss"),
" min/km"
),"")</f>
        <v>Equivalent Pace: 4:14 min/km</v>
      </c>
      <c r="Y596" s="1910"/>
      <c r="Z596" s="1911">
        <f ca="1">IF(AA591&gt;0, INDEX(final_duration_WU,((WEEKDAY(Y$3,2)*2-1)+IF(Y591="Morning",0,1)),X591)  + INDEX(final_duration_WD,((WEEKDAY(Y$3,2)*2-1)+IF(Y591="Morning",0,1)),X591), "")</f>
        <v>0</v>
      </c>
      <c r="AA596" s="1912"/>
      <c r="AC596" s="1909" t="str">
        <f ca="1">IF(AF591&gt;0,CONCATENATE("Equivalent Pace: ",
TEXT(INDEX(sessions_pace_primary,INDEX(plan_session_allocation,(WEEKDAY(AD$3,2)*2-1)+IF(AD591="Morning",0,1),AC591)),"m:ss"),
" min/km"
),"")</f>
        <v/>
      </c>
      <c r="AD596" s="1910"/>
      <c r="AE596" s="1911" t="str">
        <f ca="1">IF(AF591&gt;0, INDEX(final_duration_WU,((WEEKDAY(AD$3,2)*2-1)+IF(AD591="Morning",0,1)),AC591)  + INDEX(final_duration_WD,((WEEKDAY(AD$3,2)*2-1)+IF(AD591="Morning",0,1)),AC591), "")</f>
        <v/>
      </c>
      <c r="AF596" s="1912"/>
      <c r="AH596" s="1909" t="str">
        <f ca="1">IF(AK591&gt;0,CONCATENATE("Equivalent Pace: ",
TEXT(INDEX(sessions_pace_primary,INDEX(plan_session_allocation,(WEEKDAY(AI$3,2)*2-1)+IF(AI591="Morning",0,1),AH591)),"m:ss"),
" min/km"
),"")</f>
        <v/>
      </c>
      <c r="AI596" s="1910"/>
      <c r="AJ596" s="1911" t="str">
        <f ca="1">IF(AK591&gt;0, INDEX(final_duration_WU,((WEEKDAY(AI$3,2)*2-1)+IF(AI591="Morning",0,1)),AH591)  + INDEX(final_duration_WD,((WEEKDAY(AI$3,2)*2-1)+IF(AI591="Morning",0,1)),AH591), "")</f>
        <v/>
      </c>
      <c r="AK596" s="1912"/>
    </row>
    <row r="597" spans="2:38" s="176" customFormat="1" ht="15" customHeight="1" x14ac:dyDescent="0.45">
      <c r="B597" s="1942"/>
      <c r="C597" s="1945"/>
      <c r="D597" s="1913" t="str">
        <f ca="1">IF(G591&gt;0,CONCATENATE(IFERROR(CONCATENATE(IF(INDEX(display_intervals_breakdown,((WEEKDAY(E$3,2)*2-1)+IF(E591="Morning",0,1)),D591)="","",CONCATENATE("Intervals/Reps Breakdown: 
",INDEX(display_intervals_breakdown,((WEEKDAY(E$3,2)*2-1)+IF(E591="Morning",0,1)),D591),"
")),"Session Description: 
",CONCATENATE(IF(INDEX(final_duration_secondary,((WEEKDAY(E$3,2)*2-1)+IF(E591="Morning",0,1)),D591)=0,"","1. "),
INDEX(sessions_description_primary,,INDEX(plan_session_allocation,((WEEKDAY(E$3,2)*2-1)+IF(E591="Morning",0,1)),D591)),IF(INDEX(final_duration_secondary,((WEEKDAY(E$3,2)*2-1)+IF(E591="Morning",0,1)),D591)=0,"","
2. "),
IF(INDEX(final_duration_secondary,((WEEKDAY(E$3,2)*2-1)+IF(E591="Morning",0,1)),D591)=0,"",INDEX(sessions_description_secondary,,INDEX(plan_session_allocation,((WEEKDAY(E$3,2)*2-1)+IF(E591="Morning",0,1)),D591))),IF(INDEX(final_duration_tertiary,((WEEKDAY(E$3,2)*2-1)+IF(E591="Morning",0,1)),D591)=0,"","
3. "),
IF(INDEX(final_duration_tertiary,((WEEKDAY(E$3,2)*2-1)+IF(E591="Morning",0,1)),D591)="","",INDEX(sessions_description_tertiary,,INDEX(plan_session_allocation,((WEEKDAY(E$3,2)*2-1)+IF(E591="Morning",0,1)),D591))),
IF(INDEX(display_nutrition_description,((WEEKDAY(E$3,2)*2-1)+IF(E591="Morning",0,1)),D591)="","",
CONCATENATE("
Meal Plan: ", INDEX(sessions_nutrition,,INDEX(plan_session_allocation,((WEEKDAY(E$3,2)*2-1)+IF(E591="Morning",0,1)),D591)), "
", INDEX(display_nutrition_description,((WEEKDAY(E$3,2)*2-1)+IF(E591="Morning",0,1)),D591)))
)),"")),"")</f>
        <v>Session Description: 
Stay at a comfortable and controlled intensity where you should be able to have a conversation without large pauses. Keep an even intensity and accept that your pace may change as the terrain changes.</v>
      </c>
      <c r="E597" s="1914"/>
      <c r="F597" s="1914"/>
      <c r="G597" s="1915"/>
      <c r="H597" s="177"/>
      <c r="I597" s="1913" t="str">
        <f ca="1">IF(L591&gt;0,CONCATENATE(IFERROR(CONCATENATE(IF(INDEX(display_intervals_breakdown,((WEEKDAY(J$3,2)*2-1)+IF(J591="Morning",0,1)),I591)="","",CONCATENATE("Intervals/Reps Breakdown: 
",INDEX(display_intervals_breakdown,((WEEKDAY(J$3,2)*2-1)+IF(J591="Morning",0,1)),I591),"
")),"Session Description: 
",CONCATENATE(IF(INDEX(final_duration_secondary,((WEEKDAY(J$3,2)*2-1)+IF(J591="Morning",0,1)),I591)=0,"","1. "),
INDEX(sessions_description_primary,,INDEX(plan_session_allocation,((WEEKDAY(J$3,2)*2-1)+IF(J591="Morning",0,1)),I591)),IF(INDEX(final_duration_secondary,((WEEKDAY(J$3,2)*2-1)+IF(J591="Morning",0,1)),I591)=0,"","
2. "),
IF(INDEX(final_duration_secondary,((WEEKDAY(J$3,2)*2-1)+IF(J591="Morning",0,1)),I591)=0,"",INDEX(sessions_description_secondary,,INDEX(plan_session_allocation,((WEEKDAY(J$3,2)*2-1)+IF(J591="Morning",0,1)),I591))),IF(INDEX(final_duration_tertiary,((WEEKDAY(J$3,2)*2-1)+IF(J591="Morning",0,1)),I591)=0,"","
3. "),
IF(INDEX(final_duration_tertiary,((WEEKDAY(J$3,2)*2-1)+IF(J591="Morning",0,1)),I591)="","",INDEX(sessions_description_tertiary,,INDEX(plan_session_allocation,((WEEKDAY(J$3,2)*2-1)+IF(J591="Morning",0,1)),I591))),
IF(INDEX(display_nutrition_description,((WEEKDAY(J$3,2)*2-1)+IF(J591="Morning",0,1)),I591)="","",
CONCATENATE("
Meal Plan: ", INDEX(sessions_nutrition,,INDEX(plan_session_allocation,((WEEKDAY(J$3,2)*2-1)+IF(J591="Morning",0,1)),I591)), "
", INDEX(display_nutrition_description,((WEEKDAY(J$3,2)*2-1)+IF(J591="Morning",0,1)),I591)))
)),"")),"")</f>
        <v xml:space="preserve">Session Description: 
Fundamentally a steady, but you can be less strict at controlling your intensity as long as your average intensity is close to it's target by the end of the session </v>
      </c>
      <c r="J597" s="1914"/>
      <c r="K597" s="1914"/>
      <c r="L597" s="1915"/>
      <c r="M597" s="177"/>
      <c r="N597" s="1913" t="str">
        <f ca="1">IF(Q591&gt;0,CONCATENATE(IFERROR(CONCATENATE(IF(INDEX(display_intervals_breakdown,((WEEKDAY(O$3,2)*2-1)+IF(O591="Morning",0,1)),N591)="","",CONCATENATE("Intervals/Reps Breakdown: 
",INDEX(display_intervals_breakdown,((WEEKDAY(O$3,2)*2-1)+IF(O591="Morning",0,1)),N591),"
")),"Session Description: 
",CONCATENATE(IF(INDEX(final_duration_secondary,((WEEKDAY(O$3,2)*2-1)+IF(O591="Morning",0,1)),N591)=0,"","1. "),
INDEX(sessions_description_primary,,INDEX(plan_session_allocation,((WEEKDAY(O$3,2)*2-1)+IF(O591="Morning",0,1)),N591)),IF(INDEX(final_duration_secondary,((WEEKDAY(O$3,2)*2-1)+IF(O591="Morning",0,1)),N591)=0,"","
2. "),
IF(INDEX(final_duration_secondary,((WEEKDAY(O$3,2)*2-1)+IF(O591="Morning",0,1)),N591)=0,"",INDEX(sessions_description_secondary,,INDEX(plan_session_allocation,((WEEKDAY(O$3,2)*2-1)+IF(O591="Morning",0,1)),N591))),IF(INDEX(final_duration_tertiary,((WEEKDAY(O$3,2)*2-1)+IF(O591="Morning",0,1)),N591)=0,"","
3. "),
IF(INDEX(final_duration_tertiary,((WEEKDAY(O$3,2)*2-1)+IF(O591="Morning",0,1)),N591)="","",INDEX(sessions_description_tertiary,,INDEX(plan_session_allocation,((WEEKDAY(O$3,2)*2-1)+IF(O591="Morning",0,1)),N591))),
IF(INDEX(display_nutrition_description,((WEEKDAY(O$3,2)*2-1)+IF(O591="Morning",0,1)),N591)="","",
CONCATENATE("
Meal Plan: ", INDEX(sessions_nutrition,,INDEX(plan_session_allocation,((WEEKDAY(O$3,2)*2-1)+IF(O591="Morning",0,1)),N591)), "
", INDEX(display_nutrition_description,((WEEKDAY(O$3,2)*2-1)+IF(O591="Morning",0,1)),N591)))
)),"")),"")</f>
        <v xml:space="preserve">Session Description: 
Fundamentally a steady, but you can be less strict at controlling your intensity as long as your average intensity is close to it's target by the end of the session </v>
      </c>
      <c r="O597" s="1914"/>
      <c r="P597" s="1914"/>
      <c r="Q597" s="1915"/>
      <c r="R597" s="177"/>
      <c r="S597" s="1913" t="str">
        <f ca="1">IF(V591&gt;0,CONCATENATE(IFERROR(CONCATENATE(IF(INDEX(display_intervals_breakdown,((WEEKDAY(T$3,2)*2-1)+IF(T591="Morning",0,1)),S591)="","",CONCATENATE("Intervals/Reps Breakdown: 
",INDEX(display_intervals_breakdown,((WEEKDAY(T$3,2)*2-1)+IF(T591="Morning",0,1)),S591),"
")),"Session Description: 
",CONCATENATE(IF(INDEX(final_duration_secondary,((WEEKDAY(T$3,2)*2-1)+IF(T591="Morning",0,1)),S591)=0,"","1. "),
INDEX(sessions_description_primary,,INDEX(plan_session_allocation,((WEEKDAY(T$3,2)*2-1)+IF(T591="Morning",0,1)),S591)),IF(INDEX(final_duration_secondary,((WEEKDAY(T$3,2)*2-1)+IF(T591="Morning",0,1)),S591)=0,"","
2. "),
IF(INDEX(final_duration_secondary,((WEEKDAY(T$3,2)*2-1)+IF(T591="Morning",0,1)),S591)=0,"",INDEX(sessions_description_secondary,,INDEX(plan_session_allocation,((WEEKDAY(T$3,2)*2-1)+IF(T591="Morning",0,1)),S591))),IF(INDEX(final_duration_tertiary,((WEEKDAY(T$3,2)*2-1)+IF(T591="Morning",0,1)),S591)=0,"","
3. "),
IF(INDEX(final_duration_tertiary,((WEEKDAY(T$3,2)*2-1)+IF(T591="Morning",0,1)),S591)="","",INDEX(sessions_description_tertiary,,INDEX(plan_session_allocation,((WEEKDAY(T$3,2)*2-1)+IF(T591="Morning",0,1)),S591))),
IF(INDEX(display_nutrition_description,((WEEKDAY(T$3,2)*2-1)+IF(T591="Morning",0,1)),S591)="","",
CONCATENATE("
Meal Plan: ", INDEX(sessions_nutrition,,INDEX(plan_session_allocation,((WEEKDAY(T$3,2)*2-1)+IF(T591="Morning",0,1)),S591)), "
", INDEX(display_nutrition_description,((WEEKDAY(T$3,2)*2-1)+IF(T591="Morning",0,1)),S591)))
)),"")),"")</f>
        <v>Session Description: 
Stay at a comfortable and controlled intensity where you should be able to have a conversation without large pauses. Keep an even intensity and accept that your pace may change as the terrain changes.</v>
      </c>
      <c r="T597" s="1914"/>
      <c r="U597" s="1914"/>
      <c r="V597" s="1915"/>
      <c r="W597" s="177"/>
      <c r="X597" s="1913" t="str">
        <f ca="1">IF(AA591&gt;0,CONCATENATE(IFERROR(CONCATENATE(IF(INDEX(display_intervals_breakdown,((WEEKDAY(Y$3,2)*2-1)+IF(Y591="Morning",0,1)),X591)="","",CONCATENATE("Intervals/Reps Breakdown: 
",INDEX(display_intervals_breakdown,((WEEKDAY(Y$3,2)*2-1)+IF(Y591="Morning",0,1)),X591),"
")),"Session Description: 
",CONCATENATE(IF(INDEX(final_duration_secondary,((WEEKDAY(Y$3,2)*2-1)+IF(Y591="Morning",0,1)),X591)=0,"","1. "),
INDEX(sessions_description_primary,,INDEX(plan_session_allocation,((WEEKDAY(Y$3,2)*2-1)+IF(Y591="Morning",0,1)),X591)),IF(INDEX(final_duration_secondary,((WEEKDAY(Y$3,2)*2-1)+IF(Y591="Morning",0,1)),X591)=0,"","
2. "),
IF(INDEX(final_duration_secondary,((WEEKDAY(Y$3,2)*2-1)+IF(Y591="Morning",0,1)),X591)=0,"",INDEX(sessions_description_secondary,,INDEX(plan_session_allocation,((WEEKDAY(Y$3,2)*2-1)+IF(Y591="Morning",0,1)),X591))),IF(INDEX(final_duration_tertiary,((WEEKDAY(Y$3,2)*2-1)+IF(Y591="Morning",0,1)),X591)=0,"","
3. "),
IF(INDEX(final_duration_tertiary,((WEEKDAY(Y$3,2)*2-1)+IF(Y591="Morning",0,1)),X591)="","",INDEX(sessions_description_tertiary,,INDEX(plan_session_allocation,((WEEKDAY(Y$3,2)*2-1)+IF(Y591="Morning",0,1)),X591))),
IF(INDEX(display_nutrition_description,((WEEKDAY(Y$3,2)*2-1)+IF(Y591="Morning",0,1)),X591)="","",
CONCATENATE("
Meal Plan: ", INDEX(sessions_nutrition,,INDEX(plan_session_allocation,((WEEKDAY(Y$3,2)*2-1)+IF(Y591="Morning",0,1)),X591)), "
", INDEX(display_nutrition_description,((WEEKDAY(Y$3,2)*2-1)+IF(Y591="Morning",0,1)),X591)))
)),"")),"")</f>
        <v>Session Description: 
Stay at a comfortable and controlled intensity where you should be able to have a conversation without large pauses. Keep an even intensity and accept that your pace may change as the terrain changes.</v>
      </c>
      <c r="Y597" s="1914"/>
      <c r="Z597" s="1914"/>
      <c r="AA597" s="1915"/>
      <c r="AB597" s="177"/>
      <c r="AC597" s="1913" t="str">
        <f ca="1">IF(AF591&gt;0,CONCATENATE(IFERROR(CONCATENATE(IF(INDEX(display_intervals_breakdown,((WEEKDAY(AD$3,2)*2-1)+IF(AD591="Morning",0,1)),AC591)="","",CONCATENATE("Intervals/Reps Breakdown: 
",INDEX(display_intervals_breakdown,((WEEKDAY(AD$3,2)*2-1)+IF(AD591="Morning",0,1)),AC591),"
")),"Session Description: 
",CONCATENATE(IF(INDEX(final_duration_secondary,((WEEKDAY(AD$3,2)*2-1)+IF(AD591="Morning",0,1)),AC591)=0,"","1. "),
INDEX(sessions_description_primary,,INDEX(plan_session_allocation,((WEEKDAY(AD$3,2)*2-1)+IF(AD591="Morning",0,1)),AC591)),IF(INDEX(final_duration_secondary,((WEEKDAY(AD$3,2)*2-1)+IF(AD591="Morning",0,1)),AC591)=0,"","
2. "),
IF(INDEX(final_duration_secondary,((WEEKDAY(AD$3,2)*2-1)+IF(AD591="Morning",0,1)),AC591)=0,"",INDEX(sessions_description_secondary,,INDEX(plan_session_allocation,((WEEKDAY(AD$3,2)*2-1)+IF(AD591="Morning",0,1)),AC591))),IF(INDEX(final_duration_tertiary,((WEEKDAY(AD$3,2)*2-1)+IF(AD591="Morning",0,1)),AC591)=0,"","
3. "),
IF(INDEX(final_duration_tertiary,((WEEKDAY(AD$3,2)*2-1)+IF(AD591="Morning",0,1)),AC591)="","",INDEX(sessions_description_tertiary,,INDEX(plan_session_allocation,((WEEKDAY(AD$3,2)*2-1)+IF(AD591="Morning",0,1)),AC591))),
IF(INDEX(display_nutrition_description,((WEEKDAY(AD$3,2)*2-1)+IF(AD591="Morning",0,1)),AC591)="","",
CONCATENATE("
Meal Plan: ", INDEX(sessions_nutrition,,INDEX(plan_session_allocation,((WEEKDAY(AD$3,2)*2-1)+IF(AD591="Morning",0,1)),AC591)), "
", INDEX(display_nutrition_description,((WEEKDAY(AD$3,2)*2-1)+IF(AD591="Morning",0,1)),AC591)))
)),"")),"")</f>
        <v/>
      </c>
      <c r="AD597" s="1914"/>
      <c r="AE597" s="1914"/>
      <c r="AF597" s="1915"/>
      <c r="AG597" s="177"/>
      <c r="AH597" s="1913" t="str">
        <f ca="1">IF(AK591&gt;0,CONCATENATE(IFERROR(CONCATENATE(IF(INDEX(display_intervals_breakdown,((WEEKDAY(AI$3,2)*2-1)+IF(AI591="Morning",0,1)),AH591)="","",CONCATENATE("Intervals/Reps Breakdown: 
",INDEX(display_intervals_breakdown,((WEEKDAY(AI$3,2)*2-1)+IF(AI591="Morning",0,1)),AH591),"
")),"Session Description: 
",CONCATENATE(IF(INDEX(final_duration_secondary,((WEEKDAY(AI$3,2)*2-1)+IF(AI591="Morning",0,1)),AH591)=0,"","1. "),
INDEX(sessions_description_primary,,INDEX(plan_session_allocation,((WEEKDAY(AI$3,2)*2-1)+IF(AI591="Morning",0,1)),AH591)),IF(INDEX(final_duration_secondary,((WEEKDAY(AI$3,2)*2-1)+IF(AI591="Morning",0,1)),AH591)=0,"","
2. "),
IF(INDEX(final_duration_secondary,((WEEKDAY(AI$3,2)*2-1)+IF(AI591="Morning",0,1)),AH591)=0,"",INDEX(sessions_description_secondary,,INDEX(plan_session_allocation,((WEEKDAY(AI$3,2)*2-1)+IF(AI591="Morning",0,1)),AH591))),IF(INDEX(final_duration_tertiary,((WEEKDAY(AI$3,2)*2-1)+IF(AI591="Morning",0,1)),AH591)=0,"","
3. "),
IF(INDEX(final_duration_tertiary,((WEEKDAY(AI$3,2)*2-1)+IF(AI591="Morning",0,1)),AH591)="","",INDEX(sessions_description_tertiary,,INDEX(plan_session_allocation,((WEEKDAY(AI$3,2)*2-1)+IF(AI591="Morning",0,1)),AH591))),
IF(INDEX(display_nutrition_description,((WEEKDAY(AI$3,2)*2-1)+IF(AI591="Morning",0,1)),AH591)="","",
CONCATENATE("
Meal Plan: ", INDEX(sessions_nutrition,,INDEX(plan_session_allocation,((WEEKDAY(AI$3,2)*2-1)+IF(AI591="Morning",0,1)),AH591)), "
", INDEX(display_nutrition_description,((WEEKDAY(AI$3,2)*2-1)+IF(AI591="Morning",0,1)),AH591)))
)),"")),"")</f>
        <v/>
      </c>
      <c r="AI597" s="1914"/>
      <c r="AJ597" s="1914"/>
      <c r="AK597" s="1915"/>
      <c r="AL597" s="177"/>
    </row>
    <row r="598" spans="2:38" s="176" customFormat="1" ht="15" customHeight="1" x14ac:dyDescent="0.45">
      <c r="B598" s="1942"/>
      <c r="C598" s="1945"/>
      <c r="D598" s="1916"/>
      <c r="E598" s="1917"/>
      <c r="F598" s="1917"/>
      <c r="G598" s="1918"/>
      <c r="H598" s="177"/>
      <c r="I598" s="1916"/>
      <c r="J598" s="1917"/>
      <c r="K598" s="1917"/>
      <c r="L598" s="1918"/>
      <c r="M598" s="177"/>
      <c r="N598" s="1916"/>
      <c r="O598" s="1917"/>
      <c r="P598" s="1917"/>
      <c r="Q598" s="1918"/>
      <c r="R598" s="177"/>
      <c r="S598" s="1916"/>
      <c r="T598" s="1917"/>
      <c r="U598" s="1917"/>
      <c r="V598" s="1918"/>
      <c r="W598" s="177"/>
      <c r="X598" s="1916"/>
      <c r="Y598" s="1917"/>
      <c r="Z598" s="1917"/>
      <c r="AA598" s="1918"/>
      <c r="AB598" s="177"/>
      <c r="AC598" s="1916"/>
      <c r="AD598" s="1917"/>
      <c r="AE598" s="1917"/>
      <c r="AF598" s="1918"/>
      <c r="AG598" s="177"/>
      <c r="AH598" s="1916"/>
      <c r="AI598" s="1917"/>
      <c r="AJ598" s="1917"/>
      <c r="AK598" s="1918"/>
      <c r="AL598" s="177"/>
    </row>
    <row r="599" spans="2:38" s="176" customFormat="1" ht="15" customHeight="1" x14ac:dyDescent="0.45">
      <c r="B599" s="1942"/>
      <c r="C599" s="1945"/>
      <c r="D599" s="1916"/>
      <c r="E599" s="1917"/>
      <c r="F599" s="1917"/>
      <c r="G599" s="1918"/>
      <c r="H599" s="177"/>
      <c r="I599" s="1916"/>
      <c r="J599" s="1917"/>
      <c r="K599" s="1917"/>
      <c r="L599" s="1918"/>
      <c r="M599" s="177"/>
      <c r="N599" s="1916"/>
      <c r="O599" s="1917"/>
      <c r="P599" s="1917"/>
      <c r="Q599" s="1918"/>
      <c r="R599" s="177"/>
      <c r="S599" s="1916"/>
      <c r="T599" s="1917"/>
      <c r="U599" s="1917"/>
      <c r="V599" s="1918"/>
      <c r="W599" s="177"/>
      <c r="X599" s="1916"/>
      <c r="Y599" s="1917"/>
      <c r="Z599" s="1917"/>
      <c r="AA599" s="1918"/>
      <c r="AB599" s="177"/>
      <c r="AC599" s="1916"/>
      <c r="AD599" s="1917"/>
      <c r="AE599" s="1917"/>
      <c r="AF599" s="1918"/>
      <c r="AG599" s="177"/>
      <c r="AH599" s="1916"/>
      <c r="AI599" s="1917"/>
      <c r="AJ599" s="1917"/>
      <c r="AK599" s="1918"/>
      <c r="AL599" s="177"/>
    </row>
    <row r="600" spans="2:38" s="176" customFormat="1" x14ac:dyDescent="0.45">
      <c r="B600" s="1942"/>
      <c r="C600" s="1945"/>
      <c r="D600" s="1916"/>
      <c r="E600" s="1917"/>
      <c r="F600" s="1917"/>
      <c r="G600" s="1918"/>
      <c r="H600" s="177"/>
      <c r="I600" s="1916"/>
      <c r="J600" s="1917"/>
      <c r="K600" s="1917"/>
      <c r="L600" s="1918"/>
      <c r="M600" s="177"/>
      <c r="N600" s="1916"/>
      <c r="O600" s="1917"/>
      <c r="P600" s="1917"/>
      <c r="Q600" s="1918"/>
      <c r="R600" s="177"/>
      <c r="S600" s="1916"/>
      <c r="T600" s="1917"/>
      <c r="U600" s="1917"/>
      <c r="V600" s="1918"/>
      <c r="W600" s="177"/>
      <c r="X600" s="1916"/>
      <c r="Y600" s="1917"/>
      <c r="Z600" s="1917"/>
      <c r="AA600" s="1918"/>
      <c r="AB600" s="177"/>
      <c r="AC600" s="1916"/>
      <c r="AD600" s="1917"/>
      <c r="AE600" s="1917"/>
      <c r="AF600" s="1918"/>
      <c r="AG600" s="177"/>
      <c r="AH600" s="1916"/>
      <c r="AI600" s="1917"/>
      <c r="AJ600" s="1917"/>
      <c r="AK600" s="1918"/>
      <c r="AL600" s="177"/>
    </row>
    <row r="601" spans="2:38" s="176" customFormat="1" x14ac:dyDescent="0.45">
      <c r="B601" s="1942"/>
      <c r="C601" s="1945"/>
      <c r="D601" s="1916"/>
      <c r="E601" s="1917"/>
      <c r="F601" s="1917"/>
      <c r="G601" s="1918"/>
      <c r="H601" s="177"/>
      <c r="I601" s="1916"/>
      <c r="J601" s="1917"/>
      <c r="K601" s="1917"/>
      <c r="L601" s="1918"/>
      <c r="M601" s="177"/>
      <c r="N601" s="1916"/>
      <c r="O601" s="1917"/>
      <c r="P601" s="1917"/>
      <c r="Q601" s="1918"/>
      <c r="R601" s="177"/>
      <c r="S601" s="1916"/>
      <c r="T601" s="1917"/>
      <c r="U601" s="1917"/>
      <c r="V601" s="1918"/>
      <c r="W601" s="177"/>
      <c r="X601" s="1916"/>
      <c r="Y601" s="1917"/>
      <c r="Z601" s="1917"/>
      <c r="AA601" s="1918"/>
      <c r="AB601" s="177"/>
      <c r="AC601" s="1916"/>
      <c r="AD601" s="1917"/>
      <c r="AE601" s="1917"/>
      <c r="AF601" s="1918"/>
      <c r="AG601" s="177"/>
      <c r="AH601" s="1916"/>
      <c r="AI601" s="1917"/>
      <c r="AJ601" s="1917"/>
      <c r="AK601" s="1918"/>
      <c r="AL601" s="177"/>
    </row>
    <row r="602" spans="2:38" s="176" customFormat="1" x14ac:dyDescent="0.45">
      <c r="B602" s="1942"/>
      <c r="C602" s="1945"/>
      <c r="D602" s="1916"/>
      <c r="E602" s="1917"/>
      <c r="F602" s="1917"/>
      <c r="G602" s="1918"/>
      <c r="H602" s="177"/>
      <c r="I602" s="1916"/>
      <c r="J602" s="1917"/>
      <c r="K602" s="1917"/>
      <c r="L602" s="1918"/>
      <c r="M602" s="177"/>
      <c r="N602" s="1916"/>
      <c r="O602" s="1917"/>
      <c r="P602" s="1917"/>
      <c r="Q602" s="1918"/>
      <c r="R602" s="177"/>
      <c r="S602" s="1916"/>
      <c r="T602" s="1917"/>
      <c r="U602" s="1917"/>
      <c r="V602" s="1918"/>
      <c r="W602" s="177"/>
      <c r="X602" s="1916"/>
      <c r="Y602" s="1917"/>
      <c r="Z602" s="1917"/>
      <c r="AA602" s="1918"/>
      <c r="AB602" s="177"/>
      <c r="AC602" s="1916"/>
      <c r="AD602" s="1917"/>
      <c r="AE602" s="1917"/>
      <c r="AF602" s="1918"/>
      <c r="AG602" s="177"/>
      <c r="AH602" s="1916"/>
      <c r="AI602" s="1917"/>
      <c r="AJ602" s="1917"/>
      <c r="AK602" s="1918"/>
      <c r="AL602" s="177"/>
    </row>
    <row r="603" spans="2:38" s="176" customFormat="1" ht="15" customHeight="1" x14ac:dyDescent="0.45">
      <c r="B603" s="1942"/>
      <c r="C603" s="1945"/>
      <c r="D603" s="1916"/>
      <c r="E603" s="1917"/>
      <c r="F603" s="1917"/>
      <c r="G603" s="1918"/>
      <c r="H603" s="177"/>
      <c r="I603" s="1916"/>
      <c r="J603" s="1917"/>
      <c r="K603" s="1917"/>
      <c r="L603" s="1918"/>
      <c r="M603" s="177"/>
      <c r="N603" s="1916"/>
      <c r="O603" s="1917"/>
      <c r="P603" s="1917"/>
      <c r="Q603" s="1918"/>
      <c r="R603" s="177"/>
      <c r="S603" s="1916"/>
      <c r="T603" s="1917"/>
      <c r="U603" s="1917"/>
      <c r="V603" s="1918"/>
      <c r="W603" s="177"/>
      <c r="X603" s="1916"/>
      <c r="Y603" s="1917"/>
      <c r="Z603" s="1917"/>
      <c r="AA603" s="1918"/>
      <c r="AB603" s="177"/>
      <c r="AC603" s="1916"/>
      <c r="AD603" s="1917"/>
      <c r="AE603" s="1917"/>
      <c r="AF603" s="1918"/>
      <c r="AG603" s="177"/>
      <c r="AH603" s="1916"/>
      <c r="AI603" s="1917"/>
      <c r="AJ603" s="1917"/>
      <c r="AK603" s="1918"/>
      <c r="AL603" s="177"/>
    </row>
    <row r="604" spans="2:38" s="176" customFormat="1" ht="15" customHeight="1" x14ac:dyDescent="0.45">
      <c r="B604" s="1942"/>
      <c r="C604" s="1945"/>
      <c r="D604" s="1916"/>
      <c r="E604" s="1917"/>
      <c r="F604" s="1917"/>
      <c r="G604" s="1918"/>
      <c r="H604" s="177"/>
      <c r="I604" s="1916"/>
      <c r="J604" s="1917"/>
      <c r="K604" s="1917"/>
      <c r="L604" s="1918"/>
      <c r="M604" s="177"/>
      <c r="N604" s="1916"/>
      <c r="O604" s="1917"/>
      <c r="P604" s="1917"/>
      <c r="Q604" s="1918"/>
      <c r="R604" s="177"/>
      <c r="S604" s="1916"/>
      <c r="T604" s="1917"/>
      <c r="U604" s="1917"/>
      <c r="V604" s="1918"/>
      <c r="W604" s="177"/>
      <c r="X604" s="1916"/>
      <c r="Y604" s="1917"/>
      <c r="Z604" s="1917"/>
      <c r="AA604" s="1918"/>
      <c r="AB604" s="177"/>
      <c r="AC604" s="1916"/>
      <c r="AD604" s="1917"/>
      <c r="AE604" s="1917"/>
      <c r="AF604" s="1918"/>
      <c r="AG604" s="177"/>
      <c r="AH604" s="1916"/>
      <c r="AI604" s="1917"/>
      <c r="AJ604" s="1917"/>
      <c r="AK604" s="1918"/>
      <c r="AL604" s="177"/>
    </row>
    <row r="605" spans="2:38" s="176" customFormat="1" x14ac:dyDescent="0.45">
      <c r="B605" s="1942"/>
      <c r="C605" s="1945"/>
      <c r="D605" s="1916"/>
      <c r="E605" s="1917"/>
      <c r="F605" s="1917"/>
      <c r="G605" s="1918"/>
      <c r="H605" s="177"/>
      <c r="I605" s="1916"/>
      <c r="J605" s="1917"/>
      <c r="K605" s="1917"/>
      <c r="L605" s="1918"/>
      <c r="M605" s="177"/>
      <c r="N605" s="1916"/>
      <c r="O605" s="1917"/>
      <c r="P605" s="1917"/>
      <c r="Q605" s="1918"/>
      <c r="R605" s="177"/>
      <c r="S605" s="1916"/>
      <c r="T605" s="1917"/>
      <c r="U605" s="1917"/>
      <c r="V605" s="1918"/>
      <c r="W605" s="177"/>
      <c r="X605" s="1916"/>
      <c r="Y605" s="1917"/>
      <c r="Z605" s="1917"/>
      <c r="AA605" s="1918"/>
      <c r="AB605" s="177"/>
      <c r="AC605" s="1916"/>
      <c r="AD605" s="1917"/>
      <c r="AE605" s="1917"/>
      <c r="AF605" s="1918"/>
      <c r="AG605" s="177"/>
      <c r="AH605" s="1916"/>
      <c r="AI605" s="1917"/>
      <c r="AJ605" s="1917"/>
      <c r="AK605" s="1918"/>
      <c r="AL605" s="177"/>
    </row>
    <row r="606" spans="2:38" s="176" customFormat="1" x14ac:dyDescent="0.45">
      <c r="B606" s="1942"/>
      <c r="C606" s="1945"/>
      <c r="D606" s="1916"/>
      <c r="E606" s="1917"/>
      <c r="F606" s="1917"/>
      <c r="G606" s="1918"/>
      <c r="H606" s="177"/>
      <c r="I606" s="1916"/>
      <c r="J606" s="1917"/>
      <c r="K606" s="1917"/>
      <c r="L606" s="1918"/>
      <c r="M606" s="177"/>
      <c r="N606" s="1916"/>
      <c r="O606" s="1917"/>
      <c r="P606" s="1917"/>
      <c r="Q606" s="1918"/>
      <c r="R606" s="177"/>
      <c r="S606" s="1916"/>
      <c r="T606" s="1917"/>
      <c r="U606" s="1917"/>
      <c r="V606" s="1918"/>
      <c r="W606" s="177"/>
      <c r="X606" s="1916"/>
      <c r="Y606" s="1917"/>
      <c r="Z606" s="1917"/>
      <c r="AA606" s="1918"/>
      <c r="AB606" s="177"/>
      <c r="AC606" s="1916"/>
      <c r="AD606" s="1917"/>
      <c r="AE606" s="1917"/>
      <c r="AF606" s="1918"/>
      <c r="AG606" s="177"/>
      <c r="AH606" s="1916"/>
      <c r="AI606" s="1917"/>
      <c r="AJ606" s="1917"/>
      <c r="AK606" s="1918"/>
      <c r="AL606" s="177"/>
    </row>
    <row r="607" spans="2:38" s="176" customFormat="1" x14ac:dyDescent="0.45">
      <c r="B607" s="1942"/>
      <c r="C607" s="1945"/>
      <c r="D607" s="1916"/>
      <c r="E607" s="1917"/>
      <c r="F607" s="1917"/>
      <c r="G607" s="1918"/>
      <c r="H607" s="177"/>
      <c r="I607" s="1916"/>
      <c r="J607" s="1917"/>
      <c r="K607" s="1917"/>
      <c r="L607" s="1918"/>
      <c r="M607" s="177"/>
      <c r="N607" s="1916"/>
      <c r="O607" s="1917"/>
      <c r="P607" s="1917"/>
      <c r="Q607" s="1918"/>
      <c r="R607" s="177"/>
      <c r="S607" s="1916"/>
      <c r="T607" s="1917"/>
      <c r="U607" s="1917"/>
      <c r="V607" s="1918"/>
      <c r="W607" s="177"/>
      <c r="X607" s="1916"/>
      <c r="Y607" s="1917"/>
      <c r="Z607" s="1917"/>
      <c r="AA607" s="1918"/>
      <c r="AB607" s="177"/>
      <c r="AC607" s="1916"/>
      <c r="AD607" s="1917"/>
      <c r="AE607" s="1917"/>
      <c r="AF607" s="1918"/>
      <c r="AG607" s="177"/>
      <c r="AH607" s="1916"/>
      <c r="AI607" s="1917"/>
      <c r="AJ607" s="1917"/>
      <c r="AK607" s="1918"/>
      <c r="AL607" s="177"/>
    </row>
    <row r="608" spans="2:38" s="176" customFormat="1" x14ac:dyDescent="0.45">
      <c r="B608" s="1942"/>
      <c r="C608" s="1945"/>
      <c r="D608" s="1916"/>
      <c r="E608" s="1917"/>
      <c r="F608" s="1917"/>
      <c r="G608" s="1918"/>
      <c r="H608" s="177"/>
      <c r="I608" s="1916"/>
      <c r="J608" s="1917"/>
      <c r="K608" s="1917"/>
      <c r="L608" s="1918"/>
      <c r="M608" s="177"/>
      <c r="N608" s="1916"/>
      <c r="O608" s="1917"/>
      <c r="P608" s="1917"/>
      <c r="Q608" s="1918"/>
      <c r="R608" s="177"/>
      <c r="S608" s="1916"/>
      <c r="T608" s="1917"/>
      <c r="U608" s="1917"/>
      <c r="V608" s="1918"/>
      <c r="W608" s="177"/>
      <c r="X608" s="1916"/>
      <c r="Y608" s="1917"/>
      <c r="Z608" s="1917"/>
      <c r="AA608" s="1918"/>
      <c r="AB608" s="177"/>
      <c r="AC608" s="1916"/>
      <c r="AD608" s="1917"/>
      <c r="AE608" s="1917"/>
      <c r="AF608" s="1918"/>
      <c r="AG608" s="177"/>
      <c r="AH608" s="1916"/>
      <c r="AI608" s="1917"/>
      <c r="AJ608" s="1917"/>
      <c r="AK608" s="1918"/>
      <c r="AL608" s="177"/>
    </row>
    <row r="609" spans="2:38" s="176" customFormat="1" x14ac:dyDescent="0.45">
      <c r="B609" s="1942"/>
      <c r="C609" s="1945"/>
      <c r="D609" s="1916"/>
      <c r="E609" s="1917"/>
      <c r="F609" s="1917"/>
      <c r="G609" s="1918"/>
      <c r="H609" s="177"/>
      <c r="I609" s="1916"/>
      <c r="J609" s="1917"/>
      <c r="K609" s="1917"/>
      <c r="L609" s="1918"/>
      <c r="M609" s="177"/>
      <c r="N609" s="1916"/>
      <c r="O609" s="1917"/>
      <c r="P609" s="1917"/>
      <c r="Q609" s="1918"/>
      <c r="R609" s="177"/>
      <c r="S609" s="1916"/>
      <c r="T609" s="1917"/>
      <c r="U609" s="1917"/>
      <c r="V609" s="1918"/>
      <c r="W609" s="177"/>
      <c r="X609" s="1916"/>
      <c r="Y609" s="1917"/>
      <c r="Z609" s="1917"/>
      <c r="AA609" s="1918"/>
      <c r="AB609" s="177"/>
      <c r="AC609" s="1916"/>
      <c r="AD609" s="1917"/>
      <c r="AE609" s="1917"/>
      <c r="AF609" s="1918"/>
      <c r="AG609" s="177"/>
      <c r="AH609" s="1916"/>
      <c r="AI609" s="1917"/>
      <c r="AJ609" s="1917"/>
      <c r="AK609" s="1918"/>
      <c r="AL609" s="177"/>
    </row>
    <row r="610" spans="2:38" s="176" customFormat="1" ht="15" customHeight="1" x14ac:dyDescent="0.45">
      <c r="B610" s="1942"/>
      <c r="C610" s="1945"/>
      <c r="D610" s="1919"/>
      <c r="E610" s="1920"/>
      <c r="F610" s="1920"/>
      <c r="G610" s="1921"/>
      <c r="H610" s="177"/>
      <c r="I610" s="1919"/>
      <c r="J610" s="1920"/>
      <c r="K610" s="1920"/>
      <c r="L610" s="1921"/>
      <c r="M610" s="177"/>
      <c r="N610" s="1919"/>
      <c r="O610" s="1920"/>
      <c r="P610" s="1920"/>
      <c r="Q610" s="1921"/>
      <c r="R610" s="177"/>
      <c r="S610" s="1919"/>
      <c r="T610" s="1920"/>
      <c r="U610" s="1920"/>
      <c r="V610" s="1921"/>
      <c r="W610" s="177"/>
      <c r="X610" s="1919"/>
      <c r="Y610" s="1920"/>
      <c r="Z610" s="1920"/>
      <c r="AA610" s="1921"/>
      <c r="AB610" s="177"/>
      <c r="AC610" s="1919"/>
      <c r="AD610" s="1920"/>
      <c r="AE610" s="1920"/>
      <c r="AF610" s="1921"/>
      <c r="AG610" s="177"/>
      <c r="AH610" s="1919"/>
      <c r="AI610" s="1920"/>
      <c r="AJ610" s="1920"/>
      <c r="AK610" s="1921"/>
      <c r="AL610" s="177"/>
    </row>
    <row r="611" spans="2:38" s="176" customFormat="1" ht="15" customHeight="1" x14ac:dyDescent="0.45">
      <c r="B611" s="1942"/>
      <c r="C611" s="1945"/>
      <c r="D611" s="1913" t="str">
        <f ca="1">IF(G591&gt;0,CONCATENATE("Session Aim: 
", CONCATENATE(IF(INDEX(final_duration_secondary,((WEEKDAY(E$3,2)*2-1)+IF(E591="Morning",0,1)),D591)=0, "", "1. "),
INDEX(sessions_aim_primary,, INDEX(plan_session_allocation,((WEEKDAY(E$3,2)*2-1)+IF(E591="Morning",0,1)),D591)), IF(INDEX(final_duration_secondary,((WEEKDAY(E$3,2)*2-1)+IF(E591="Morning",0,1)),D591)=0, "", "
2. "),
IF(INDEX(final_duration_secondary,((WEEKDAY(E$3,2)*2-1)+IF(E591="Morning",0,1)),D591)=0, "", INDEX(sessions_aim_secondary,, INDEX(plan_session_allocation,((WEEKDAY(E$3,2)*2-1)+IF(E591="Morning",0,1)),D591))), IF(INDEX(final_duration_tertiary,((WEEKDAY(E$3,2)*2-1)+IF(E591="Morning",0,1)),D591)=0, "", "
3. "),
IF(INDEX(final_duration_tertiary,((WEEKDAY(E$3,2)*2-1)+IF(E591="Morning",0,1)),D591)=0, "", INDEX(sessions_aim_tertiary,, INDEX(plan_session_allocation,((WEEKDAY(E$3,2)*2-1)+IF(E591="Morning",0,1)),D591))),
IF(INDEX(display_nutrition_description,((WEEKDAY(E$3,2)*2-1)+IF(E591="Morning",0,1)),D591)="","",
CONCATENATE("
Nutrition Aim:
", INDEX(sessions_aim_nutrition,,INDEX(plan_session_allocation,((WEEKDAY(E$3,2)*2-1)+IF(E591="Morning",0,1)),D591))
))
)),"")</f>
        <v>Session Aim: 
Improve aerobic fitness at an optimal rate.</v>
      </c>
      <c r="E611" s="1914"/>
      <c r="F611" s="1914"/>
      <c r="G611" s="1915"/>
      <c r="H611" s="177"/>
      <c r="I611" s="1913" t="str">
        <f ca="1">IF(L591&gt;0,CONCATENATE("Session Aim: 
", CONCATENATE(IF(INDEX(final_duration_secondary,((WEEKDAY(J$3,2)*2-1)+IF(J591="Morning",0,1)),I591)=0, "", "1. "),
INDEX(sessions_aim_primary,, INDEX(plan_session_allocation,((WEEKDAY(J$3,2)*2-1)+IF(J591="Morning",0,1)),I591)), IF(INDEX(final_duration_secondary,((WEEKDAY(J$3,2)*2-1)+IF(J591="Morning",0,1)),I591)=0, "", "
2. "),
IF(INDEX(final_duration_secondary,((WEEKDAY(J$3,2)*2-1)+IF(J591="Morning",0,1)),I591)=0, "", INDEX(sessions_aim_secondary,, INDEX(plan_session_allocation,((WEEKDAY(J$3,2)*2-1)+IF(J591="Morning",0,1)),I591))), IF(INDEX(final_duration_tertiary,((WEEKDAY(J$3,2)*2-1)+IF(J591="Morning",0,1)),I591)=0, "", "
3. "),
IF(INDEX(final_duration_tertiary,((WEEKDAY(J$3,2)*2-1)+IF(J591="Morning",0,1)),I591)=0, "", INDEX(sessions_aim_tertiary,, INDEX(plan_session_allocation,((WEEKDAY(J$3,2)*2-1)+IF(J591="Morning",0,1)),I591))),
IF(INDEX(display_nutrition_description,((WEEKDAY(J$3,2)*2-1)+IF(J591="Morning",0,1)),I591)="","",
CONCATENATE("
Nutrition Aim:
", INDEX(sessions_aim_nutrition,,INDEX(plan_session_allocation,((WEEKDAY(J$3,2)*2-1)+IF(J591="Morning",0,1)),I591))
))
)),"")</f>
        <v xml:space="preserve">Session Aim: 
Improve aerobic fitness and energy utilisation. </v>
      </c>
      <c r="J611" s="1914"/>
      <c r="K611" s="1914"/>
      <c r="L611" s="1915"/>
      <c r="M611" s="177"/>
      <c r="N611" s="1913" t="str">
        <f ca="1">IF(Q591&gt;0,CONCATENATE("Session Aim: 
", CONCATENATE(IF(INDEX(final_duration_secondary,((WEEKDAY(O$3,2)*2-1)+IF(O591="Morning",0,1)),N591)=0, "", "1. "),
INDEX(sessions_aim_primary,, INDEX(plan_session_allocation,((WEEKDAY(O$3,2)*2-1)+IF(O591="Morning",0,1)),N591)), IF(INDEX(final_duration_secondary,((WEEKDAY(O$3,2)*2-1)+IF(O591="Morning",0,1)),N591)=0, "", "
2. "),
IF(INDEX(final_duration_secondary,((WEEKDAY(O$3,2)*2-1)+IF(O591="Morning",0,1)),N591)=0, "", INDEX(sessions_aim_secondary,, INDEX(plan_session_allocation,((WEEKDAY(O$3,2)*2-1)+IF(O591="Morning",0,1)),N591))), IF(INDEX(final_duration_tertiary,((WEEKDAY(O$3,2)*2-1)+IF(O591="Morning",0,1)),N591)=0, "", "
3. "),
IF(INDEX(final_duration_tertiary,((WEEKDAY(O$3,2)*2-1)+IF(O591="Morning",0,1)),N591)=0, "", INDEX(sessions_aim_tertiary,, INDEX(plan_session_allocation,((WEEKDAY(O$3,2)*2-1)+IF(O591="Morning",0,1)),N591))),
IF(INDEX(display_nutrition_description,((WEEKDAY(O$3,2)*2-1)+IF(O591="Morning",0,1)),N591)="","",
CONCATENATE("
Nutrition Aim:
", INDEX(sessions_aim_nutrition,,INDEX(plan_session_allocation,((WEEKDAY(O$3,2)*2-1)+IF(O591="Morning",0,1)),N591))
))
)),"")</f>
        <v xml:space="preserve">Session Aim: 
Improve aerobic fitness and energy utilisation. </v>
      </c>
      <c r="O611" s="1914"/>
      <c r="P611" s="1914"/>
      <c r="Q611" s="1915"/>
      <c r="R611" s="177"/>
      <c r="S611" s="1913" t="str">
        <f ca="1">IF(V591&gt;0,CONCATENATE("Session Aim: 
", CONCATENATE(IF(INDEX(final_duration_secondary,((WEEKDAY(T$3,2)*2-1)+IF(T591="Morning",0,1)),S591)=0, "", "1. "),
INDEX(sessions_aim_primary,, INDEX(plan_session_allocation,((WEEKDAY(T$3,2)*2-1)+IF(T591="Morning",0,1)),S591)), IF(INDEX(final_duration_secondary,((WEEKDAY(T$3,2)*2-1)+IF(T591="Morning",0,1)),S591)=0, "", "
2. "),
IF(INDEX(final_duration_secondary,((WEEKDAY(T$3,2)*2-1)+IF(T591="Morning",0,1)),S591)=0, "", INDEX(sessions_aim_secondary,, INDEX(plan_session_allocation,((WEEKDAY(T$3,2)*2-1)+IF(T591="Morning",0,1)),S591))), IF(INDEX(final_duration_tertiary,((WEEKDAY(T$3,2)*2-1)+IF(T591="Morning",0,1)),S591)=0, "", "
3. "),
IF(INDEX(final_duration_tertiary,((WEEKDAY(T$3,2)*2-1)+IF(T591="Morning",0,1)),S591)=0, "", INDEX(sessions_aim_tertiary,, INDEX(plan_session_allocation,((WEEKDAY(T$3,2)*2-1)+IF(T591="Morning",0,1)),S591))),
IF(INDEX(display_nutrition_description,((WEEKDAY(T$3,2)*2-1)+IF(T591="Morning",0,1)),S591)="","",
CONCATENATE("
Nutrition Aim:
", INDEX(sessions_aim_nutrition,,INDEX(plan_session_allocation,((WEEKDAY(T$3,2)*2-1)+IF(T591="Morning",0,1)),S591))
))
)),"")</f>
        <v>Session Aim: 
Improve aerobic fitness at an optimal rate.</v>
      </c>
      <c r="T611" s="1914"/>
      <c r="U611" s="1914"/>
      <c r="V611" s="1915"/>
      <c r="W611" s="177"/>
      <c r="X611" s="1913" t="str">
        <f ca="1">IF(AA591&gt;0,CONCATENATE("Session Aim: 
", CONCATENATE(IF(INDEX(final_duration_secondary,((WEEKDAY(Y$3,2)*2-1)+IF(Y591="Morning",0,1)),X591)=0, "", "1. "),
INDEX(sessions_aim_primary,, INDEX(plan_session_allocation,((WEEKDAY(Y$3,2)*2-1)+IF(Y591="Morning",0,1)),X591)), IF(INDEX(final_duration_secondary,((WEEKDAY(Y$3,2)*2-1)+IF(Y591="Morning",0,1)),X591)=0, "", "
2. "),
IF(INDEX(final_duration_secondary,((WEEKDAY(Y$3,2)*2-1)+IF(Y591="Morning",0,1)),X591)=0, "", INDEX(sessions_aim_secondary,, INDEX(plan_session_allocation,((WEEKDAY(Y$3,2)*2-1)+IF(Y591="Morning",0,1)),X591))), IF(INDEX(final_duration_tertiary,((WEEKDAY(Y$3,2)*2-1)+IF(Y591="Morning",0,1)),X591)=0, "", "
3. "),
IF(INDEX(final_duration_tertiary,((WEEKDAY(Y$3,2)*2-1)+IF(Y591="Morning",0,1)),X591)=0, "", INDEX(sessions_aim_tertiary,, INDEX(plan_session_allocation,((WEEKDAY(Y$3,2)*2-1)+IF(Y591="Morning",0,1)),X591))),
IF(INDEX(display_nutrition_description,((WEEKDAY(Y$3,2)*2-1)+IF(Y591="Morning",0,1)),X591)="","",
CONCATENATE("
Nutrition Aim:
", INDEX(sessions_aim_nutrition,,INDEX(plan_session_allocation,((WEEKDAY(Y$3,2)*2-1)+IF(Y591="Morning",0,1)),X591))
))
)),"")</f>
        <v>Session Aim: 
Improve aerobic fitness at an optimal rate.</v>
      </c>
      <c r="Y611" s="1914"/>
      <c r="Z611" s="1914"/>
      <c r="AA611" s="1915"/>
      <c r="AB611" s="177"/>
      <c r="AC611" s="1913" t="str">
        <f ca="1">IF(AF591&gt;0,CONCATENATE("Session Aim: 
", CONCATENATE(IF(INDEX(final_duration_secondary,((WEEKDAY(AD$3,2)*2-1)+IF(AD591="Morning",0,1)),AC591)=0, "", "1. "),
INDEX(sessions_aim_primary,, INDEX(plan_session_allocation,((WEEKDAY(AD$3,2)*2-1)+IF(AD591="Morning",0,1)),AC591)), IF(INDEX(final_duration_secondary,((WEEKDAY(AD$3,2)*2-1)+IF(AD591="Morning",0,1)),AC591)=0, "", "
2. "),
IF(INDEX(final_duration_secondary,((WEEKDAY(AD$3,2)*2-1)+IF(AD591="Morning",0,1)),AC591)=0, "", INDEX(sessions_aim_secondary,, INDEX(plan_session_allocation,((WEEKDAY(AD$3,2)*2-1)+IF(AD591="Morning",0,1)),AC591))), IF(INDEX(final_duration_tertiary,((WEEKDAY(AD$3,2)*2-1)+IF(AD591="Morning",0,1)),AC591)=0, "", "
3. "),
IF(INDEX(final_duration_tertiary,((WEEKDAY(AD$3,2)*2-1)+IF(AD591="Morning",0,1)),AC591)=0, "", INDEX(sessions_aim_tertiary,, INDEX(plan_session_allocation,((WEEKDAY(AD$3,2)*2-1)+IF(AD591="Morning",0,1)),AC591))),
IF(INDEX(display_nutrition_description,((WEEKDAY(AD$3,2)*2-1)+IF(AD591="Morning",0,1)),AC591)="","",
CONCATENATE("
Nutrition Aim:
", INDEX(sessions_aim_nutrition,,INDEX(plan_session_allocation,((WEEKDAY(AD$3,2)*2-1)+IF(AD591="Morning",0,1)),AC591))
))
)),"")</f>
        <v/>
      </c>
      <c r="AD611" s="1914"/>
      <c r="AE611" s="1914"/>
      <c r="AF611" s="1915"/>
      <c r="AG611" s="177"/>
      <c r="AH611" s="1913" t="str">
        <f ca="1">IF(AK591&gt;0,CONCATENATE("Session Aim: 
", CONCATENATE(IF(INDEX(final_duration_secondary,((WEEKDAY(AI$3,2)*2-1)+IF(AI591="Morning",0,1)),AH591)=0, "", "1. "),
INDEX(sessions_aim_primary,, INDEX(plan_session_allocation,((WEEKDAY(AI$3,2)*2-1)+IF(AI591="Morning",0,1)),AH591)), IF(INDEX(final_duration_secondary,((WEEKDAY(AI$3,2)*2-1)+IF(AI591="Morning",0,1)),AH591)=0, "", "
2. "),
IF(INDEX(final_duration_secondary,((WEEKDAY(AI$3,2)*2-1)+IF(AI591="Morning",0,1)),AH591)=0, "", INDEX(sessions_aim_secondary,, INDEX(plan_session_allocation,((WEEKDAY(AI$3,2)*2-1)+IF(AI591="Morning",0,1)),AH591))), IF(INDEX(final_duration_tertiary,((WEEKDAY(AI$3,2)*2-1)+IF(AI591="Morning",0,1)),AH591)=0, "", "
3. "),
IF(INDEX(final_duration_tertiary,((WEEKDAY(AI$3,2)*2-1)+IF(AI591="Morning",0,1)),AH591)=0, "", INDEX(sessions_aim_tertiary,, INDEX(plan_session_allocation,((WEEKDAY(AI$3,2)*2-1)+IF(AI591="Morning",0,1)),AH591))),
IF(INDEX(display_nutrition_description,((WEEKDAY(AI$3,2)*2-1)+IF(AI591="Morning",0,1)),AH591)="","",
CONCATENATE("
Nutrition Aim:
", INDEX(sessions_aim_nutrition,,INDEX(plan_session_allocation,((WEEKDAY(AI$3,2)*2-1)+IF(AI591="Morning",0,1)),AH591))
))
)),"")</f>
        <v/>
      </c>
      <c r="AI611" s="1914"/>
      <c r="AJ611" s="1914"/>
      <c r="AK611" s="1915"/>
      <c r="AL611" s="177"/>
    </row>
    <row r="612" spans="2:38" s="176" customFormat="1" x14ac:dyDescent="0.45">
      <c r="B612" s="1942"/>
      <c r="C612" s="1945"/>
      <c r="D612" s="1916"/>
      <c r="E612" s="1917"/>
      <c r="F612" s="1917"/>
      <c r="G612" s="1918"/>
      <c r="H612" s="177"/>
      <c r="I612" s="1916"/>
      <c r="J612" s="1917"/>
      <c r="K612" s="1917"/>
      <c r="L612" s="1918"/>
      <c r="M612" s="177"/>
      <c r="N612" s="1916"/>
      <c r="O612" s="1917"/>
      <c r="P612" s="1917"/>
      <c r="Q612" s="1918"/>
      <c r="R612" s="177"/>
      <c r="S612" s="1916"/>
      <c r="T612" s="1917"/>
      <c r="U612" s="1917"/>
      <c r="V612" s="1918"/>
      <c r="W612" s="177"/>
      <c r="X612" s="1916"/>
      <c r="Y612" s="1917"/>
      <c r="Z612" s="1917"/>
      <c r="AA612" s="1918"/>
      <c r="AB612" s="177"/>
      <c r="AC612" s="1916"/>
      <c r="AD612" s="1917"/>
      <c r="AE612" s="1917"/>
      <c r="AF612" s="1918"/>
      <c r="AG612" s="177"/>
      <c r="AH612" s="1916"/>
      <c r="AI612" s="1917"/>
      <c r="AJ612" s="1917"/>
      <c r="AK612" s="1918"/>
      <c r="AL612" s="177"/>
    </row>
    <row r="613" spans="2:38" s="176" customFormat="1" x14ac:dyDescent="0.45">
      <c r="B613" s="1942"/>
      <c r="C613" s="1945"/>
      <c r="D613" s="1916"/>
      <c r="E613" s="1917"/>
      <c r="F613" s="1917"/>
      <c r="G613" s="1918"/>
      <c r="H613" s="177"/>
      <c r="I613" s="1916"/>
      <c r="J613" s="1917"/>
      <c r="K613" s="1917"/>
      <c r="L613" s="1918"/>
      <c r="M613" s="177"/>
      <c r="N613" s="1916"/>
      <c r="O613" s="1917"/>
      <c r="P613" s="1917"/>
      <c r="Q613" s="1918"/>
      <c r="R613" s="177"/>
      <c r="S613" s="1916"/>
      <c r="T613" s="1917"/>
      <c r="U613" s="1917"/>
      <c r="V613" s="1918"/>
      <c r="W613" s="177"/>
      <c r="X613" s="1916"/>
      <c r="Y613" s="1917"/>
      <c r="Z613" s="1917"/>
      <c r="AA613" s="1918"/>
      <c r="AB613" s="177"/>
      <c r="AC613" s="1916"/>
      <c r="AD613" s="1917"/>
      <c r="AE613" s="1917"/>
      <c r="AF613" s="1918"/>
      <c r="AG613" s="177"/>
      <c r="AH613" s="1916"/>
      <c r="AI613" s="1917"/>
      <c r="AJ613" s="1917"/>
      <c r="AK613" s="1918"/>
      <c r="AL613" s="177"/>
    </row>
    <row r="614" spans="2:38" s="176" customFormat="1" x14ac:dyDescent="0.45">
      <c r="B614" s="1942"/>
      <c r="C614" s="1945"/>
      <c r="D614" s="1916"/>
      <c r="E614" s="1917"/>
      <c r="F614" s="1917"/>
      <c r="G614" s="1918"/>
      <c r="H614" s="177"/>
      <c r="I614" s="1916"/>
      <c r="J614" s="1917"/>
      <c r="K614" s="1917"/>
      <c r="L614" s="1918"/>
      <c r="M614" s="177"/>
      <c r="N614" s="1916"/>
      <c r="O614" s="1917"/>
      <c r="P614" s="1917"/>
      <c r="Q614" s="1918"/>
      <c r="R614" s="177"/>
      <c r="S614" s="1916"/>
      <c r="T614" s="1917"/>
      <c r="U614" s="1917"/>
      <c r="V614" s="1918"/>
      <c r="W614" s="177"/>
      <c r="X614" s="1916"/>
      <c r="Y614" s="1917"/>
      <c r="Z614" s="1917"/>
      <c r="AA614" s="1918"/>
      <c r="AB614" s="177"/>
      <c r="AC614" s="1916"/>
      <c r="AD614" s="1917"/>
      <c r="AE614" s="1917"/>
      <c r="AF614" s="1918"/>
      <c r="AG614" s="177"/>
      <c r="AH614" s="1916"/>
      <c r="AI614" s="1917"/>
      <c r="AJ614" s="1917"/>
      <c r="AK614" s="1918"/>
      <c r="AL614" s="177"/>
    </row>
    <row r="615" spans="2:38" s="176" customFormat="1" x14ac:dyDescent="0.45">
      <c r="B615" s="1942"/>
      <c r="C615" s="1945"/>
      <c r="D615" s="1916"/>
      <c r="E615" s="1917"/>
      <c r="F615" s="1917"/>
      <c r="G615" s="1918"/>
      <c r="H615" s="177"/>
      <c r="I615" s="1916"/>
      <c r="J615" s="1917"/>
      <c r="K615" s="1917"/>
      <c r="L615" s="1918"/>
      <c r="M615" s="177"/>
      <c r="N615" s="1916"/>
      <c r="O615" s="1917"/>
      <c r="P615" s="1917"/>
      <c r="Q615" s="1918"/>
      <c r="R615" s="177"/>
      <c r="S615" s="1916"/>
      <c r="T615" s="1917"/>
      <c r="U615" s="1917"/>
      <c r="V615" s="1918"/>
      <c r="W615" s="177"/>
      <c r="X615" s="1916"/>
      <c r="Y615" s="1917"/>
      <c r="Z615" s="1917"/>
      <c r="AA615" s="1918"/>
      <c r="AB615" s="177"/>
      <c r="AC615" s="1916"/>
      <c r="AD615" s="1917"/>
      <c r="AE615" s="1917"/>
      <c r="AF615" s="1918"/>
      <c r="AG615" s="177"/>
      <c r="AH615" s="1916"/>
      <c r="AI615" s="1917"/>
      <c r="AJ615" s="1917"/>
      <c r="AK615" s="1918"/>
      <c r="AL615" s="177"/>
    </row>
    <row r="616" spans="2:38" s="176" customFormat="1" x14ac:dyDescent="0.45">
      <c r="B616" s="1942"/>
      <c r="C616" s="1945"/>
      <c r="D616" s="1916"/>
      <c r="E616" s="1917"/>
      <c r="F616" s="1917"/>
      <c r="G616" s="1918"/>
      <c r="H616" s="177"/>
      <c r="I616" s="1916"/>
      <c r="J616" s="1917"/>
      <c r="K616" s="1917"/>
      <c r="L616" s="1918"/>
      <c r="N616" s="1916"/>
      <c r="O616" s="1917"/>
      <c r="P616" s="1917"/>
      <c r="Q616" s="1918"/>
      <c r="S616" s="1916"/>
      <c r="T616" s="1917"/>
      <c r="U616" s="1917"/>
      <c r="V616" s="1918"/>
      <c r="X616" s="1916"/>
      <c r="Y616" s="1917"/>
      <c r="Z616" s="1917"/>
      <c r="AA616" s="1918"/>
      <c r="AC616" s="1916"/>
      <c r="AD616" s="1917"/>
      <c r="AE616" s="1917"/>
      <c r="AF616" s="1918"/>
      <c r="AH616" s="1916"/>
      <c r="AI616" s="1917"/>
      <c r="AJ616" s="1917"/>
      <c r="AK616" s="1918"/>
    </row>
    <row r="617" spans="2:38" s="176" customFormat="1" ht="14.65" thickBot="1" x14ac:dyDescent="0.5">
      <c r="B617" s="1943"/>
      <c r="C617" s="1946"/>
      <c r="D617" s="1938"/>
      <c r="E617" s="1939"/>
      <c r="F617" s="1939"/>
      <c r="G617" s="1940"/>
      <c r="H617" s="177"/>
      <c r="I617" s="1938"/>
      <c r="J617" s="1939"/>
      <c r="K617" s="1939"/>
      <c r="L617" s="1940"/>
      <c r="N617" s="1938"/>
      <c r="O617" s="1939"/>
      <c r="P617" s="1939"/>
      <c r="Q617" s="1940"/>
      <c r="S617" s="1938"/>
      <c r="T617" s="1939"/>
      <c r="U617" s="1939"/>
      <c r="V617" s="1940"/>
      <c r="X617" s="1938"/>
      <c r="Y617" s="1939"/>
      <c r="Z617" s="1939"/>
      <c r="AA617" s="1940"/>
      <c r="AC617" s="1938"/>
      <c r="AD617" s="1939"/>
      <c r="AE617" s="1939"/>
      <c r="AF617" s="1940"/>
      <c r="AH617" s="1938"/>
      <c r="AI617" s="1939"/>
      <c r="AJ617" s="1939"/>
      <c r="AK617" s="1940"/>
    </row>
    <row r="618" spans="2:38" s="176" customFormat="1" ht="14.65" thickBot="1" x14ac:dyDescent="0.5">
      <c r="H618" s="177"/>
    </row>
    <row r="619" spans="2:38" s="176" customFormat="1" ht="15" customHeight="1" thickBot="1" x14ac:dyDescent="0.5">
      <c r="B619" s="1941">
        <v>12</v>
      </c>
      <c r="C619" s="1944" t="str">
        <f ca="1">IF(INDEX(display_strategy,1,B619)="","", CONCATENATE(INDEX(display_strategy,1,B619),": ",HLOOKUP(INDEX(display_strategy,1,B619),strategies,4,TRUE)))</f>
        <v xml:space="preserve">Conservative Balance: Reduce training stress but maintain a good base level of conditioning and metabolism. </v>
      </c>
      <c r="D619" s="1418" t="str">
        <f ca="1">CONCATENATE("Strategy: ",INDEX(display_strategy,$B619))</f>
        <v>Strategy: Conservative Balance</v>
      </c>
      <c r="E619" s="1947">
        <f>plan_start_date + ($B619-1)*7 + (COLUMN(D$2)-2)/5</f>
        <v>43451.4</v>
      </c>
      <c r="F619" s="1947"/>
      <c r="G619" s="1417" t="str">
        <f>CONCATENATE("Slot: ", ((WEEKDAY(E$3,2)*2-1)+IF(E620="Morning",0,1)))</f>
        <v>Slot: 1</v>
      </c>
      <c r="H619" s="177"/>
      <c r="I619" s="1418" t="str">
        <f ca="1">CONCATENATE("Strategy: ",INDEX(display_strategy,$B619))</f>
        <v>Strategy: Conservative Balance</v>
      </c>
      <c r="J619" s="1947">
        <f>plan_start_date + ($B619-1)*7 + (COLUMN(I$2)-2)/5</f>
        <v>43452.4</v>
      </c>
      <c r="K619" s="1947"/>
      <c r="L619" s="1417" t="str">
        <f>CONCATENATE("Slot: ", ((WEEKDAY(J$3,2)*2-1)+IF(J620="Morning",0,1)))</f>
        <v>Slot: 3</v>
      </c>
      <c r="N619" s="1418" t="str">
        <f ca="1">CONCATENATE("Strategy: ",INDEX(display_strategy,$B619))</f>
        <v>Strategy: Conservative Balance</v>
      </c>
      <c r="O619" s="1947">
        <f>plan_start_date + ($B619-1)*7 + (COLUMN(N$2)-2)/5</f>
        <v>43453.4</v>
      </c>
      <c r="P619" s="1947"/>
      <c r="Q619" s="1417" t="str">
        <f>CONCATENATE("Slot: ", ((WEEKDAY(O$3,2)*2-1)+IF(O620="Morning",0,1)))</f>
        <v>Slot: 5</v>
      </c>
      <c r="S619" s="1418" t="str">
        <f ca="1">CONCATENATE("Strategy: ",INDEX(display_strategy,$B619))</f>
        <v>Strategy: Conservative Balance</v>
      </c>
      <c r="T619" s="1947">
        <f>plan_start_date + ($B619-1)*7 + (COLUMN(S$2)-2)/5</f>
        <v>43454.400000000001</v>
      </c>
      <c r="U619" s="1947"/>
      <c r="V619" s="1417" t="str">
        <f>CONCATENATE("Slot: ", ((WEEKDAY(T$3,2)*2-1)+IF(T620="Morning",0,1)))</f>
        <v>Slot: 7</v>
      </c>
      <c r="X619" s="1418" t="str">
        <f ca="1">CONCATENATE("Strategy: ",INDEX(display_strategy,$B619))</f>
        <v>Strategy: Conservative Balance</v>
      </c>
      <c r="Y619" s="1947">
        <f>plan_start_date + ($B619-1)*7 + (COLUMN(X$2)-2)/5</f>
        <v>43455.4</v>
      </c>
      <c r="Z619" s="1947"/>
      <c r="AA619" s="1417" t="str">
        <f>CONCATENATE("Slot: ", ((WEEKDAY(Y$3,2)*2-1)+IF(Y620="Morning",0,1)))</f>
        <v>Slot: 9</v>
      </c>
      <c r="AC619" s="1418" t="str">
        <f ca="1">CONCATENATE("Strategy: ",INDEX(display_strategy,$B619))</f>
        <v>Strategy: Conservative Balance</v>
      </c>
      <c r="AD619" s="1947">
        <f>plan_start_date + ($B619-1)*7 + (COLUMN(AC$2)-2)/5</f>
        <v>43456.4</v>
      </c>
      <c r="AE619" s="1947"/>
      <c r="AF619" s="1417" t="str">
        <f>CONCATENATE("Slot: ", ((WEEKDAY(AD$3,2)*2-1)+IF(AD620="Morning",0,1)))</f>
        <v>Slot: 11</v>
      </c>
      <c r="AH619" s="1418" t="str">
        <f ca="1">CONCATENATE("Strategy: ",INDEX(display_strategy,$B619))</f>
        <v>Strategy: Conservative Balance</v>
      </c>
      <c r="AI619" s="1947">
        <f>plan_start_date + ($B619-1)*7 + (COLUMN(AH$2)-2)/5</f>
        <v>43457.4</v>
      </c>
      <c r="AJ619" s="1947"/>
      <c r="AK619" s="1417" t="str">
        <f>CONCATENATE("Slot: ", ((WEEKDAY(AI$3,2)*2-1)+IF(AI620="Morning",0,1)))</f>
        <v>Slot: 13</v>
      </c>
    </row>
    <row r="620" spans="2:38" s="176" customFormat="1" x14ac:dyDescent="0.45">
      <c r="B620" s="1942"/>
      <c r="C620" s="1945"/>
      <c r="D620" s="1413">
        <f>$B619</f>
        <v>12</v>
      </c>
      <c r="E620" s="1930" t="s">
        <v>351</v>
      </c>
      <c r="F620" s="1930"/>
      <c r="G620" s="1412">
        <f ca="1">INDEX(final_duration_session, ((WEEKDAY(E$3,2)*2-1)+IF(E620="Morning",0,1)), $D620)</f>
        <v>40</v>
      </c>
      <c r="H620" s="177"/>
      <c r="I620" s="1413">
        <f>$B619</f>
        <v>12</v>
      </c>
      <c r="J620" s="1930" t="s">
        <v>351</v>
      </c>
      <c r="K620" s="1930"/>
      <c r="L620" s="1412">
        <f ca="1">INDEX(final_duration_session, ((WEEKDAY(J$3,2)*2-1)+IF(J620="Morning",0,1)), $D620)</f>
        <v>40</v>
      </c>
      <c r="M620" s="177"/>
      <c r="N620" s="1413">
        <f>$B619</f>
        <v>12</v>
      </c>
      <c r="O620" s="1930" t="s">
        <v>351</v>
      </c>
      <c r="P620" s="1930"/>
      <c r="Q620" s="1412">
        <f ca="1">INDEX(final_duration_session, ((WEEKDAY(O$3,2)*2-1)+IF(O620="Morning",0,1)), $D620)</f>
        <v>0</v>
      </c>
      <c r="R620" s="177"/>
      <c r="S620" s="1413">
        <f>$B619</f>
        <v>12</v>
      </c>
      <c r="T620" s="1930" t="s">
        <v>351</v>
      </c>
      <c r="U620" s="1930"/>
      <c r="V620" s="1412">
        <f ca="1">INDEX(final_duration_session, ((WEEKDAY(T$3,2)*2-1)+IF(T620="Morning",0,1)), $D620)</f>
        <v>40</v>
      </c>
      <c r="W620" s="177"/>
      <c r="X620" s="1413">
        <f>$B619</f>
        <v>12</v>
      </c>
      <c r="Y620" s="1930" t="s">
        <v>351</v>
      </c>
      <c r="Z620" s="1930"/>
      <c r="AA620" s="1412">
        <f ca="1">INDEX(final_duration_session, ((WEEKDAY(Y$3,2)*2-1)+IF(Y620="Morning",0,1)), $D620)</f>
        <v>40</v>
      </c>
      <c r="AB620" s="177"/>
      <c r="AC620" s="1413">
        <f>$B619</f>
        <v>12</v>
      </c>
      <c r="AD620" s="1930" t="s">
        <v>351</v>
      </c>
      <c r="AE620" s="1930"/>
      <c r="AF620" s="1412">
        <f ca="1">INDEX(final_duration_session, ((WEEKDAY(AD$3,2)*2-1)+IF(AD620="Morning",0,1)), $D620)</f>
        <v>70</v>
      </c>
      <c r="AG620" s="177"/>
      <c r="AH620" s="1413">
        <f>$B619</f>
        <v>12</v>
      </c>
      <c r="AI620" s="1930" t="s">
        <v>351</v>
      </c>
      <c r="AJ620" s="1930"/>
      <c r="AK620" s="1412">
        <f ca="1">INDEX(final_duration_session, ((WEEKDAY(AI$3,2)*2-1)+IF(AI620="Morning",0,1)), $D620)</f>
        <v>115</v>
      </c>
      <c r="AL620" s="177"/>
    </row>
    <row r="621" spans="2:38" s="176" customFormat="1" ht="15" customHeight="1" x14ac:dyDescent="0.45">
      <c r="B621" s="1942"/>
      <c r="C621" s="1945"/>
      <c r="D621" s="1931" t="str">
        <f ca="1">IF(G620&gt;0,INDEX(sessions_name,INDEX(plan_session_allocation,((WEEKDAY(E$3,2)*2-1)+IF(E620="Morning",0,1)),D620)),"")</f>
        <v>Easy</v>
      </c>
      <c r="E621" s="1932"/>
      <c r="F621" s="1932"/>
      <c r="G621" s="1933"/>
      <c r="H621" s="177"/>
      <c r="I621" s="1931" t="str">
        <f ca="1">IF(L620&gt;0,INDEX(sessions_name,INDEX(plan_session_allocation,((WEEKDAY(J$3,2)*2-1)+IF(J620="Morning",0,1)),I620)),"")</f>
        <v>Easy</v>
      </c>
      <c r="J621" s="1932"/>
      <c r="K621" s="1932"/>
      <c r="L621" s="1933"/>
      <c r="M621" s="177"/>
      <c r="N621" s="1931" t="str">
        <f ca="1">IF(Q620&gt;0,INDEX(sessions_name,INDEX(plan_session_allocation,((WEEKDAY(O$3,2)*2-1)+IF(O620="Morning",0,1)),N620)),"")</f>
        <v/>
      </c>
      <c r="O621" s="1932"/>
      <c r="P621" s="1932"/>
      <c r="Q621" s="1933"/>
      <c r="R621" s="177"/>
      <c r="S621" s="1931" t="str">
        <f ca="1">IF(V620&gt;0,INDEX(sessions_name,INDEX(plan_session_allocation,((WEEKDAY(T$3,2)*2-1)+IF(T620="Morning",0,1)),S620)),"")</f>
        <v>Easy</v>
      </c>
      <c r="T621" s="1932"/>
      <c r="U621" s="1932"/>
      <c r="V621" s="1933"/>
      <c r="W621" s="177"/>
      <c r="X621" s="1931" t="str">
        <f ca="1">IF(AA620&gt;0,INDEX(sessions_name,INDEX(plan_session_allocation,((WEEKDAY(Y$3,2)*2-1)+IF(Y620="Morning",0,1)),X620)),"")</f>
        <v>Easy</v>
      </c>
      <c r="Y621" s="1932"/>
      <c r="Z621" s="1932"/>
      <c r="AA621" s="1933"/>
      <c r="AB621" s="177"/>
      <c r="AC621" s="1931" t="str">
        <f ca="1">IF(AF620&gt;0,INDEX(sessions_name,INDEX(plan_session_allocation,((WEEKDAY(AD$3,2)*2-1)+IF(AD620="Morning",0,1)),AC620)),"")</f>
        <v>Steady</v>
      </c>
      <c r="AD621" s="1932"/>
      <c r="AE621" s="1932"/>
      <c r="AF621" s="1933"/>
      <c r="AG621" s="177"/>
      <c r="AH621" s="1931" t="str">
        <f ca="1">IF(AK620&gt;0,INDEX(sessions_name,INDEX(plan_session_allocation,((WEEKDAY(AI$3,2)*2-1)+IF(AI620="Morning",0,1)),AH620)),"")</f>
        <v>Long</v>
      </c>
      <c r="AI621" s="1932"/>
      <c r="AJ621" s="1932"/>
      <c r="AK621" s="1933"/>
      <c r="AL621" s="177"/>
    </row>
    <row r="622" spans="2:38" s="176" customFormat="1" ht="15" customHeight="1" x14ac:dyDescent="0.45">
      <c r="B622" s="1942"/>
      <c r="C622" s="1945"/>
      <c r="D622" s="1934" t="str">
        <f ca="1">IF(G620&gt;0,CONCATENATE("Sport: ",INDEX(sessions_sport_primary,INDEX(plan_session_allocation,(WEEKDAY(E$3,2)*2-1)+IF(E620="Morning",0,1),D620))),"")</f>
        <v>Sport: Ride</v>
      </c>
      <c r="E622" s="1935"/>
      <c r="F622" s="1936">
        <f ca="1">IF(G620&gt;0,IFERROR(F623+F624+F625,""),"")</f>
        <v>40</v>
      </c>
      <c r="G622" s="1937"/>
      <c r="H622" s="177"/>
      <c r="I622" s="1934" t="str">
        <f ca="1">IF(L620&gt;0,CONCATENATE("Sport: ",INDEX(sessions_sport_primary,INDEX(plan_session_allocation,(WEEKDAY(J$3,2)*2-1)+IF(J620="Morning",0,1),I620))),"")</f>
        <v>Sport: Ride</v>
      </c>
      <c r="J622" s="1935"/>
      <c r="K622" s="1936">
        <f ca="1">IF(L620&gt;0,IFERROR(K623+K624+K625,""),"")</f>
        <v>40</v>
      </c>
      <c r="L622" s="1937"/>
      <c r="M622" s="177"/>
      <c r="N622" s="1934" t="str">
        <f ca="1">IF(Q620&gt;0,CONCATENATE("Sport: ",INDEX(sessions_sport_primary,INDEX(plan_session_allocation,(WEEKDAY(O$3,2)*2-1)+IF(O620="Morning",0,1),N620))),"")</f>
        <v/>
      </c>
      <c r="O622" s="1935"/>
      <c r="P622" s="1936" t="str">
        <f ca="1">IF(Q620&gt;0,IFERROR(P623+P624+P625,""),"")</f>
        <v/>
      </c>
      <c r="Q622" s="1937"/>
      <c r="R622" s="177"/>
      <c r="S622" s="1934" t="str">
        <f ca="1">IF(V620&gt;0,CONCATENATE("Sport: ",INDEX(sessions_sport_primary,INDEX(plan_session_allocation,(WEEKDAY(T$3,2)*2-1)+IF(T620="Morning",0,1),S620))),"")</f>
        <v>Sport: Ride</v>
      </c>
      <c r="T622" s="1935"/>
      <c r="U622" s="1936">
        <f ca="1">IF(V620&gt;0,IFERROR(U623+U624+U625,""),"")</f>
        <v>40</v>
      </c>
      <c r="V622" s="1937"/>
      <c r="W622" s="177"/>
      <c r="X622" s="1934" t="str">
        <f ca="1">IF(AA620&gt;0,CONCATENATE("Sport: ",INDEX(sessions_sport_primary,INDEX(plan_session_allocation,(WEEKDAY(Y$3,2)*2-1)+IF(Y620="Morning",0,1),X620))),"")</f>
        <v>Sport: Ride</v>
      </c>
      <c r="Y622" s="1935"/>
      <c r="Z622" s="1936">
        <f ca="1">IF(AA620&gt;0,IFERROR(Z623+Z624+Z625,""),"")</f>
        <v>40</v>
      </c>
      <c r="AA622" s="1937"/>
      <c r="AB622" s="177"/>
      <c r="AC622" s="1934" t="str">
        <f ca="1">IF(AF620&gt;0,CONCATENATE("Sport: ",INDEX(sessions_sport_primary,INDEX(plan_session_allocation,(WEEKDAY(AD$3,2)*2-1)+IF(AD620="Morning",0,1),AC620))),"")</f>
        <v>Sport: Hilly Trail Run</v>
      </c>
      <c r="AD622" s="1935"/>
      <c r="AE622" s="1936">
        <f ca="1">IF(AF620&gt;0,IFERROR(AE623+AE624+AE625,""),"")</f>
        <v>70</v>
      </c>
      <c r="AF622" s="1937"/>
      <c r="AG622" s="177"/>
      <c r="AH622" s="1934" t="str">
        <f ca="1">IF(AK620&gt;0,CONCATENATE("Sport: ",INDEX(sessions_sport_primary,INDEX(plan_session_allocation,(WEEKDAY(AI$3,2)*2-1)+IF(AI620="Morning",0,1),AH620))),"")</f>
        <v>Sport: Hilly Trail Run</v>
      </c>
      <c r="AI622" s="1935"/>
      <c r="AJ622" s="1936">
        <f ca="1">IF(AK620&gt;0,IFERROR(AJ623+AJ624+AJ625,""),"")</f>
        <v>115</v>
      </c>
      <c r="AK622" s="1937"/>
      <c r="AL622" s="177"/>
    </row>
    <row r="623" spans="2:38" s="176" customFormat="1" ht="15" customHeight="1" x14ac:dyDescent="0.45">
      <c r="B623" s="1942"/>
      <c r="C623" s="1945"/>
      <c r="D623" s="1922" t="str">
        <f ca="1">IF(G620&gt;0,CONCATENATE("HR Target: ",
INDEX(sessions_HR_primary,INDEX(plan_session_allocation,((WEEKDAY(E$3,2)*2-1)+IF(E620="Morning",0,1)),D620)),
IF(INDEX(sessions_HR_primary,INDEX(plan_session_allocation,((WEEKDAY(E$3,2)*2-1)+IF(E620="Morning",0,1)),D620))="N/A","",
" BPM")),"")</f>
        <v>HR Target: 138 BPM</v>
      </c>
      <c r="E623" s="1923"/>
      <c r="F623" s="1924">
        <f ca="1">IF(G620&gt;0,
INDEX(final_duration_effort,((WEEKDAY(E$3,2)*2-1)+IF(E620="Morning",0,1)),D620),"")</f>
        <v>40</v>
      </c>
      <c r="G623" s="1925"/>
      <c r="H623" s="177"/>
      <c r="I623" s="1922" t="str">
        <f ca="1">IF(L620&gt;0,CONCATENATE("HR Target: ",
INDEX(sessions_HR_primary,INDEX(plan_session_allocation,((WEEKDAY(J$3,2)*2-1)+IF(J620="Morning",0,1)),I620)),
IF(INDEX(sessions_HR_primary,INDEX(plan_session_allocation,((WEEKDAY(J$3,2)*2-1)+IF(J620="Morning",0,1)),I620))="N/A","",
" BPM")),"")</f>
        <v>HR Target: 138 BPM</v>
      </c>
      <c r="J623" s="1923"/>
      <c r="K623" s="1924">
        <f ca="1">IF(L620&gt;0,
INDEX(final_duration_effort,((WEEKDAY(J$3,2)*2-1)+IF(J620="Morning",0,1)),I620),"")</f>
        <v>40</v>
      </c>
      <c r="L623" s="1925"/>
      <c r="M623" s="177"/>
      <c r="N623" s="1922" t="str">
        <f ca="1">IF(Q620&gt;0,CONCATENATE("HR Target: ",
INDEX(sessions_HR_primary,INDEX(plan_session_allocation,((WEEKDAY(O$3,2)*2-1)+IF(O620="Morning",0,1)),N620)),
IF(INDEX(sessions_HR_primary,INDEX(plan_session_allocation,((WEEKDAY(O$3,2)*2-1)+IF(O620="Morning",0,1)),N620))="N/A","",
" BPM")),"")</f>
        <v/>
      </c>
      <c r="O623" s="1923"/>
      <c r="P623" s="1924" t="str">
        <f ca="1">IF(Q620&gt;0,
INDEX(final_duration_effort,((WEEKDAY(O$3,2)*2-1)+IF(O620="Morning",0,1)),N620),"")</f>
        <v/>
      </c>
      <c r="Q623" s="1925"/>
      <c r="R623" s="177"/>
      <c r="S623" s="1922" t="str">
        <f ca="1">IF(V620&gt;0,CONCATENATE("HR Target: ",
INDEX(sessions_HR_primary,INDEX(plan_session_allocation,((WEEKDAY(T$3,2)*2-1)+IF(T620="Morning",0,1)),S620)),
IF(INDEX(sessions_HR_primary,INDEX(plan_session_allocation,((WEEKDAY(T$3,2)*2-1)+IF(T620="Morning",0,1)),S620))="N/A","",
" BPM")),"")</f>
        <v>HR Target: 138 BPM</v>
      </c>
      <c r="T623" s="1923"/>
      <c r="U623" s="1924">
        <f ca="1">IF(V620&gt;0,
INDEX(final_duration_effort,((WEEKDAY(T$3,2)*2-1)+IF(T620="Morning",0,1)),S620),"")</f>
        <v>40</v>
      </c>
      <c r="V623" s="1925"/>
      <c r="W623" s="177"/>
      <c r="X623" s="1922" t="str">
        <f ca="1">IF(AA620&gt;0,CONCATENATE("HR Target: ",
INDEX(sessions_HR_primary,INDEX(plan_session_allocation,((WEEKDAY(Y$3,2)*2-1)+IF(Y620="Morning",0,1)),X620)),
IF(INDEX(sessions_HR_primary,INDEX(plan_session_allocation,((WEEKDAY(Y$3,2)*2-1)+IF(Y620="Morning",0,1)),X620))="N/A","",
" BPM")),"")</f>
        <v>HR Target: 138 BPM</v>
      </c>
      <c r="Y623" s="1923"/>
      <c r="Z623" s="1924">
        <f ca="1">IF(AA620&gt;0,
INDEX(final_duration_effort,((WEEKDAY(Y$3,2)*2-1)+IF(Y620="Morning",0,1)),X620),"")</f>
        <v>40</v>
      </c>
      <c r="AA623" s="1925"/>
      <c r="AB623" s="177"/>
      <c r="AC623" s="1922" t="str">
        <f ca="1">IF(AF620&gt;0,CONCATENATE("HR Target: ",
INDEX(sessions_HR_primary,INDEX(plan_session_allocation,((WEEKDAY(AD$3,2)*2-1)+IF(AD620="Morning",0,1)),AC620)),
IF(INDEX(sessions_HR_primary,INDEX(plan_session_allocation,((WEEKDAY(AD$3,2)*2-1)+IF(AD620="Morning",0,1)),AC620))="N/A","",
" BPM")),"")</f>
        <v>HR Target: 148 BPM</v>
      </c>
      <c r="AD623" s="1923"/>
      <c r="AE623" s="1924">
        <f ca="1">IF(AF620&gt;0,
INDEX(final_duration_effort,((WEEKDAY(AD$3,2)*2-1)+IF(AD620="Morning",0,1)),AC620),"")</f>
        <v>70</v>
      </c>
      <c r="AF623" s="1925"/>
      <c r="AG623" s="177"/>
      <c r="AH623" s="1922" t="str">
        <f ca="1">IF(AK620&gt;0,CONCATENATE("HR Target: ",
INDEX(sessions_HR_primary,INDEX(plan_session_allocation,((WEEKDAY(AI$3,2)*2-1)+IF(AI620="Morning",0,1)),AH620)),
IF(INDEX(sessions_HR_primary,INDEX(plan_session_allocation,((WEEKDAY(AI$3,2)*2-1)+IF(AI620="Morning",0,1)),AH620))="N/A","",
" BPM")),"")</f>
        <v>HR Target: 148 BPM</v>
      </c>
      <c r="AI623" s="1923"/>
      <c r="AJ623" s="1924">
        <f ca="1">IF(AK620&gt;0,
INDEX(final_duration_effort,((WEEKDAY(AI$3,2)*2-1)+IF(AI620="Morning",0,1)),AH620),"")</f>
        <v>115</v>
      </c>
      <c r="AK623" s="1925"/>
      <c r="AL623" s="177"/>
    </row>
    <row r="624" spans="2:38" s="179" customFormat="1" x14ac:dyDescent="0.45">
      <c r="B624" s="1942"/>
      <c r="C624" s="1945"/>
      <c r="D624" s="1926" t="str">
        <f ca="1">IF(G620&gt;0,CONCATENATE("HR Range: ",
INDEX(sessions_HR_range_primary,INDEX(plan_session_allocation,((WEEKDAY(E$3,2)*2-1)+IF(E620="Morning",0,1)),D620)),
IF(INDEX(sessions_HR_range_primary,INDEX(plan_session_allocation,((WEEKDAY(E$3,2)*2-1)+IF(E620="Morning",0,1)),D620))="N/A","",
" BPM")),"")</f>
        <v>HR Range: 129 - 148 BPM</v>
      </c>
      <c r="E624" s="1927"/>
      <c r="F624" s="1928">
        <f ca="1">IF(G620&gt;0,IF(
INDEX(sessions_recoveries,INDEX(plan_session_allocation,((WEEKDAY(E$3,2)*2-1)+IF(E620="Morning",0,1)),D620))="Yes",
VLOOKUP(INDEX(plan_duration_primary,((WEEKDAY(E$3,2)*2-1)+IF(E620="Morning",0,1)),D620),
INDIRECT(INDEX(sessions_intervals_code_primary,INDEX(plan_session_allocation,((WEEKDAY(E$3,2)*2-1)+IF(E620="Morning",0,1)),D620))),7,TRUE),0),"")</f>
        <v>0</v>
      </c>
      <c r="G624" s="1929"/>
      <c r="H624" s="178"/>
      <c r="I624" s="1926" t="str">
        <f ca="1">IF(L620&gt;0,CONCATENATE("HR Range: ",
INDEX(sessions_HR_range_primary,INDEX(plan_session_allocation,((WEEKDAY(J$3,2)*2-1)+IF(J620="Morning",0,1)),I620)),
IF(INDEX(sessions_HR_range_primary,INDEX(plan_session_allocation,((WEEKDAY(J$3,2)*2-1)+IF(J620="Morning",0,1)),I620))="N/A","",
" BPM")),"")</f>
        <v>HR Range: 129 - 148 BPM</v>
      </c>
      <c r="J624" s="1927"/>
      <c r="K624" s="1928">
        <f ca="1">IF(L620&gt;0,IF(
INDEX(sessions_recoveries,INDEX(plan_session_allocation,((WEEKDAY(J$3,2)*2-1)+IF(J620="Morning",0,1)),I620))="Yes",
VLOOKUP(INDEX(plan_duration_primary,((WEEKDAY(J$3,2)*2-1)+IF(J620="Morning",0,1)),I620),
INDIRECT(INDEX(sessions_intervals_code_primary,INDEX(plan_session_allocation,((WEEKDAY(J$3,2)*2-1)+IF(J620="Morning",0,1)),I620))),7,TRUE),0),"")</f>
        <v>0</v>
      </c>
      <c r="L624" s="1929"/>
      <c r="M624" s="178"/>
      <c r="N624" s="1926" t="str">
        <f ca="1">IF(Q620&gt;0,CONCATENATE("HR Range: ",
INDEX(sessions_HR_range_primary,INDEX(plan_session_allocation,((WEEKDAY(O$3,2)*2-1)+IF(O620="Morning",0,1)),N620)),
IF(INDEX(sessions_HR_range_primary,INDEX(plan_session_allocation,((WEEKDAY(O$3,2)*2-1)+IF(O620="Morning",0,1)),N620))="N/A","",
" BPM")),"")</f>
        <v/>
      </c>
      <c r="O624" s="1927"/>
      <c r="P624" s="1928" t="str">
        <f ca="1">IF(Q620&gt;0,IF(
INDEX(sessions_recoveries,INDEX(plan_session_allocation,((WEEKDAY(O$3,2)*2-1)+IF(O620="Morning",0,1)),N620))="Yes",
VLOOKUP(INDEX(plan_duration_primary,((WEEKDAY(O$3,2)*2-1)+IF(O620="Morning",0,1)),N620),
INDIRECT(INDEX(sessions_intervals_code_primary,INDEX(plan_session_allocation,((WEEKDAY(O$3,2)*2-1)+IF(O620="Morning",0,1)),N620))),7,TRUE),0),"")</f>
        <v/>
      </c>
      <c r="Q624" s="1929"/>
      <c r="R624" s="178"/>
      <c r="S624" s="1926" t="str">
        <f ca="1">IF(V620&gt;0,CONCATENATE("HR Range: ",
INDEX(sessions_HR_range_primary,INDEX(plan_session_allocation,((WEEKDAY(T$3,2)*2-1)+IF(T620="Morning",0,1)),S620)),
IF(INDEX(sessions_HR_range_primary,INDEX(plan_session_allocation,((WEEKDAY(T$3,2)*2-1)+IF(T620="Morning",0,1)),S620))="N/A","",
" BPM")),"")</f>
        <v>HR Range: 129 - 148 BPM</v>
      </c>
      <c r="T624" s="1927"/>
      <c r="U624" s="1928">
        <f ca="1">IF(V620&gt;0,IF(
INDEX(sessions_recoveries,INDEX(plan_session_allocation,((WEEKDAY(T$3,2)*2-1)+IF(T620="Morning",0,1)),S620))="Yes",
VLOOKUP(INDEX(plan_duration_primary,((WEEKDAY(T$3,2)*2-1)+IF(T620="Morning",0,1)),S620),
INDIRECT(INDEX(sessions_intervals_code_primary,INDEX(plan_session_allocation,((WEEKDAY(T$3,2)*2-1)+IF(T620="Morning",0,1)),S620))),7,TRUE),0),"")</f>
        <v>0</v>
      </c>
      <c r="V624" s="1929"/>
      <c r="W624" s="178"/>
      <c r="X624" s="1926" t="str">
        <f ca="1">IF(AA620&gt;0,CONCATENATE("HR Range: ",
INDEX(sessions_HR_range_primary,INDEX(plan_session_allocation,((WEEKDAY(Y$3,2)*2-1)+IF(Y620="Morning",0,1)),X620)),
IF(INDEX(sessions_HR_range_primary,INDEX(plan_session_allocation,((WEEKDAY(Y$3,2)*2-1)+IF(Y620="Morning",0,1)),X620))="N/A","",
" BPM")),"")</f>
        <v>HR Range: 129 - 148 BPM</v>
      </c>
      <c r="Y624" s="1927"/>
      <c r="Z624" s="1928">
        <f ca="1">IF(AA620&gt;0,IF(
INDEX(sessions_recoveries,INDEX(plan_session_allocation,((WEEKDAY(Y$3,2)*2-1)+IF(Y620="Morning",0,1)),X620))="Yes",
VLOOKUP(INDEX(plan_duration_primary,((WEEKDAY(Y$3,2)*2-1)+IF(Y620="Morning",0,1)),X620),
INDIRECT(INDEX(sessions_intervals_code_primary,INDEX(plan_session_allocation,((WEEKDAY(Y$3,2)*2-1)+IF(Y620="Morning",0,1)),X620))),7,TRUE),0),"")</f>
        <v>0</v>
      </c>
      <c r="AA624" s="1929"/>
      <c r="AB624" s="178"/>
      <c r="AC624" s="1926" t="str">
        <f ca="1">IF(AF620&gt;0,CONCATENATE("HR Range: ",
INDEX(sessions_HR_range_primary,INDEX(plan_session_allocation,((WEEKDAY(AD$3,2)*2-1)+IF(AD620="Morning",0,1)),AC620)),
IF(INDEX(sessions_HR_range_primary,INDEX(plan_session_allocation,((WEEKDAY(AD$3,2)*2-1)+IF(AD620="Morning",0,1)),AC620))="N/A","",
" BPM")),"")</f>
        <v>HR Range: 138 - 157 BPM</v>
      </c>
      <c r="AD624" s="1927"/>
      <c r="AE624" s="1928">
        <f ca="1">IF(AF620&gt;0,IF(
INDEX(sessions_recoveries,INDEX(plan_session_allocation,((WEEKDAY(AD$3,2)*2-1)+IF(AD620="Morning",0,1)),AC620))="Yes",
VLOOKUP(INDEX(plan_duration_primary,((WEEKDAY(AD$3,2)*2-1)+IF(AD620="Morning",0,1)),AC620),
INDIRECT(INDEX(sessions_intervals_code_primary,INDEX(plan_session_allocation,((WEEKDAY(AD$3,2)*2-1)+IF(AD620="Morning",0,1)),AC620))),7,TRUE),0),"")</f>
        <v>0</v>
      </c>
      <c r="AF624" s="1929"/>
      <c r="AG624" s="178"/>
      <c r="AH624" s="1926" t="str">
        <f ca="1">IF(AK620&gt;0,CONCATENATE("HR Range: ",
INDEX(sessions_HR_range_primary,INDEX(plan_session_allocation,((WEEKDAY(AI$3,2)*2-1)+IF(AI620="Morning",0,1)),AH620)),
IF(INDEX(sessions_HR_range_primary,INDEX(plan_session_allocation,((WEEKDAY(AI$3,2)*2-1)+IF(AI620="Morning",0,1)),AH620))="N/A","",
" BPM")),"")</f>
        <v>HR Range: 129 - 169 BPM</v>
      </c>
      <c r="AI624" s="1927"/>
      <c r="AJ624" s="1928">
        <f ca="1">IF(AK620&gt;0,IF(
INDEX(sessions_recoveries,INDEX(plan_session_allocation,((WEEKDAY(AI$3,2)*2-1)+IF(AI620="Morning",0,1)),AH620))="Yes",
VLOOKUP(INDEX(plan_duration_primary,((WEEKDAY(AI$3,2)*2-1)+IF(AI620="Morning",0,1)),AH620),
INDIRECT(INDEX(sessions_intervals_code_primary,INDEX(plan_session_allocation,((WEEKDAY(AI$3,2)*2-1)+IF(AI620="Morning",0,1)),AH620))),7,TRUE),0),"")</f>
        <v>0</v>
      </c>
      <c r="AK624" s="1929"/>
      <c r="AL624" s="178"/>
    </row>
    <row r="625" spans="2:38" s="179" customFormat="1" ht="15" customHeight="1" x14ac:dyDescent="0.45">
      <c r="B625" s="1942"/>
      <c r="C625" s="1945"/>
      <c r="D625" s="1909" t="str">
        <f ca="1">IF(G620&gt;0,CONCATENATE("Equivalent Pace: ",
TEXT(INDEX(sessions_pace_primary,INDEX(plan_session_allocation,(WEEKDAY(E$3,2)*2-1)+IF(E620="Morning",0,1),D620)),"m:ss"),
" min/km"
),"")</f>
        <v>Equivalent Pace: 4:39 min/km</v>
      </c>
      <c r="E625" s="1910"/>
      <c r="F625" s="1911">
        <f ca="1">IF(G620&gt;0, INDEX(final_duration_WU,((WEEKDAY(E$3,2)*2-1)+IF(E620="Morning",0,1)),D620)  + INDEX(final_duration_WD,((WEEKDAY(E$3,2)*2-1)+IF(E620="Morning",0,1)),D620), "")</f>
        <v>0</v>
      </c>
      <c r="G625" s="1912"/>
      <c r="H625" s="178"/>
      <c r="I625" s="1909" t="str">
        <f ca="1">IF(L620&gt;0,CONCATENATE("Equivalent Pace: ",
TEXT(INDEX(sessions_pace_primary,INDEX(plan_session_allocation,(WEEKDAY(J$3,2)*2-1)+IF(J620="Morning",0,1),I620)),"m:ss"),
" min/km"
),"")</f>
        <v>Equivalent Pace: 4:39 min/km</v>
      </c>
      <c r="J625" s="1910"/>
      <c r="K625" s="1911">
        <f ca="1">IF(L620&gt;0, INDEX(final_duration_WU,((WEEKDAY(J$3,2)*2-1)+IF(J620="Morning",0,1)),I620)  + INDEX(final_duration_WD,((WEEKDAY(J$3,2)*2-1)+IF(J620="Morning",0,1)),I620), "")</f>
        <v>0</v>
      </c>
      <c r="L625" s="1912"/>
      <c r="M625" s="178"/>
      <c r="N625" s="1909" t="str">
        <f ca="1">IF(Q620&gt;0,CONCATENATE("Equivalent Pace: ",
TEXT(INDEX(sessions_pace_primary,INDEX(plan_session_allocation,(WEEKDAY(O$3,2)*2-1)+IF(O620="Morning",0,1),N620)),"m:ss"),
" min/km"
),"")</f>
        <v/>
      </c>
      <c r="O625" s="1910"/>
      <c r="P625" s="1911" t="str">
        <f ca="1">IF(Q620&gt;0, INDEX(final_duration_WU,((WEEKDAY(O$3,2)*2-1)+IF(O620="Morning",0,1)),N620)  + INDEX(final_duration_WD,((WEEKDAY(O$3,2)*2-1)+IF(O620="Morning",0,1)),N620), "")</f>
        <v/>
      </c>
      <c r="Q625" s="1912"/>
      <c r="R625" s="178"/>
      <c r="S625" s="1909" t="str">
        <f ca="1">IF(V620&gt;0,CONCATENATE("Equivalent Pace: ",
TEXT(INDEX(sessions_pace_primary,INDEX(plan_session_allocation,(WEEKDAY(T$3,2)*2-1)+IF(T620="Morning",0,1),S620)),"m:ss"),
" min/km"
),"")</f>
        <v>Equivalent Pace: 4:39 min/km</v>
      </c>
      <c r="T625" s="1910"/>
      <c r="U625" s="1911">
        <f ca="1">IF(V620&gt;0, INDEX(final_duration_WU,((WEEKDAY(T$3,2)*2-1)+IF(T620="Morning",0,1)),S620)  + INDEX(final_duration_WD,((WEEKDAY(T$3,2)*2-1)+IF(T620="Morning",0,1)),S620), "")</f>
        <v>0</v>
      </c>
      <c r="V625" s="1912"/>
      <c r="W625" s="178"/>
      <c r="X625" s="1909" t="str">
        <f ca="1">IF(AA620&gt;0,CONCATENATE("Equivalent Pace: ",
TEXT(INDEX(sessions_pace_primary,INDEX(plan_session_allocation,(WEEKDAY(Y$3,2)*2-1)+IF(Y620="Morning",0,1),X620)),"m:ss"),
" min/km"
),"")</f>
        <v>Equivalent Pace: 4:39 min/km</v>
      </c>
      <c r="Y625" s="1910"/>
      <c r="Z625" s="1911">
        <f ca="1">IF(AA620&gt;0, INDEX(final_duration_WU,((WEEKDAY(Y$3,2)*2-1)+IF(Y620="Morning",0,1)),X620)  + INDEX(final_duration_WD,((WEEKDAY(Y$3,2)*2-1)+IF(Y620="Morning",0,1)),X620), "")</f>
        <v>0</v>
      </c>
      <c r="AA625" s="1912"/>
      <c r="AB625" s="178"/>
      <c r="AC625" s="1909" t="str">
        <f ca="1">IF(AF620&gt;0,CONCATENATE("Equivalent Pace: ",
TEXT(INDEX(sessions_pace_primary,INDEX(plan_session_allocation,(WEEKDAY(AD$3,2)*2-1)+IF(AD620="Morning",0,1),AC620)),"m:ss"),
" min/km"
),"")</f>
        <v>Equivalent Pace: 4:14 min/km</v>
      </c>
      <c r="AD625" s="1910"/>
      <c r="AE625" s="1911">
        <f ca="1">IF(AF620&gt;0, INDEX(final_duration_WU,((WEEKDAY(AD$3,2)*2-1)+IF(AD620="Morning",0,1)),AC620)  + INDEX(final_duration_WD,((WEEKDAY(AD$3,2)*2-1)+IF(AD620="Morning",0,1)),AC620), "")</f>
        <v>0</v>
      </c>
      <c r="AF625" s="1912"/>
      <c r="AG625" s="178"/>
      <c r="AH625" s="1909" t="str">
        <f ca="1">IF(AK620&gt;0,CONCATENATE("Equivalent Pace: ",
TEXT(INDEX(sessions_pace_primary,INDEX(plan_session_allocation,(WEEKDAY(AI$3,2)*2-1)+IF(AI620="Morning",0,1),AH620)),"m:ss"),
" min/km"
),"")</f>
        <v>Equivalent Pace: 4:14 min/km</v>
      </c>
      <c r="AI625" s="1910"/>
      <c r="AJ625" s="1911">
        <f ca="1">IF(AK620&gt;0, INDEX(final_duration_WU,((WEEKDAY(AI$3,2)*2-1)+IF(AI620="Morning",0,1)),AH620)  + INDEX(final_duration_WD,((WEEKDAY(AI$3,2)*2-1)+IF(AI620="Morning",0,1)),AH620), "")</f>
        <v>0</v>
      </c>
      <c r="AK625" s="1912"/>
      <c r="AL625" s="178"/>
    </row>
    <row r="626" spans="2:38" s="180" customFormat="1" ht="15" customHeight="1" x14ac:dyDescent="0.45">
      <c r="B626" s="1942"/>
      <c r="C626" s="1945"/>
      <c r="D626" s="1913" t="str">
        <f ca="1">IF(G620&gt;0,CONCATENATE(IFERROR(CONCATENATE(IF(INDEX(display_intervals_breakdown,((WEEKDAY(E$3,2)*2-1)+IF(E620="Morning",0,1)),D620)="","",CONCATENATE("Intervals/Reps Breakdown: 
",INDEX(display_intervals_breakdown,((WEEKDAY(E$3,2)*2-1)+IF(E620="Morning",0,1)),D620),"
")),"Session Description: 
",CONCATENATE(IF(INDEX(final_duration_secondary,((WEEKDAY(E$3,2)*2-1)+IF(E620="Morning",0,1)),D620)=0,"","1. "),
INDEX(sessions_description_primary,,INDEX(plan_session_allocation,((WEEKDAY(E$3,2)*2-1)+IF(E620="Morning",0,1)),D620)),IF(INDEX(final_duration_secondary,((WEEKDAY(E$3,2)*2-1)+IF(E620="Morning",0,1)),D620)=0,"","
2. "),
IF(INDEX(final_duration_secondary,((WEEKDAY(E$3,2)*2-1)+IF(E620="Morning",0,1)),D620)=0,"",INDEX(sessions_description_secondary,,INDEX(plan_session_allocation,((WEEKDAY(E$3,2)*2-1)+IF(E620="Morning",0,1)),D620))),IF(INDEX(final_duration_tertiary,((WEEKDAY(E$3,2)*2-1)+IF(E620="Morning",0,1)),D620)=0,"","
3. "),
IF(INDEX(final_duration_tertiary,((WEEKDAY(E$3,2)*2-1)+IF(E620="Morning",0,1)),D620)="","",INDEX(sessions_description_tertiary,,INDEX(plan_session_allocation,((WEEKDAY(E$3,2)*2-1)+IF(E620="Morning",0,1)),D620))),
IF(INDEX(display_nutrition_description,((WEEKDAY(E$3,2)*2-1)+IF(E620="Morning",0,1)),D620)="","",
CONCATENATE("
Meal Plan: ", INDEX(sessions_nutrition,,INDEX(plan_session_allocation,((WEEKDAY(E$3,2)*2-1)+IF(E620="Morning",0,1)),D620)), "
", INDEX(display_nutrition_description,((WEEKDAY(E$3,2)*2-1)+IF(E620="Morning",0,1)),D620)))
)),"")),"")</f>
        <v>Session Description: 
Stay at a comfortable and controlled intensity where you should be able to have a conversation without large pauses. Keep an even intensity and accept that your pace may change as the terrain changes.</v>
      </c>
      <c r="E626" s="1914"/>
      <c r="F626" s="1914"/>
      <c r="G626" s="1915"/>
      <c r="I626" s="1913" t="str">
        <f ca="1">IF(L620&gt;0,CONCATENATE(IFERROR(CONCATENATE(IF(INDEX(display_intervals_breakdown,((WEEKDAY(J$3,2)*2-1)+IF(J620="Morning",0,1)),I620)="","",CONCATENATE("Intervals/Reps Breakdown: 
",INDEX(display_intervals_breakdown,((WEEKDAY(J$3,2)*2-1)+IF(J620="Morning",0,1)),I620),"
")),"Session Description: 
",CONCATENATE(IF(INDEX(final_duration_secondary,((WEEKDAY(J$3,2)*2-1)+IF(J620="Morning",0,1)),I620)=0,"","1. "),
INDEX(sessions_description_primary,,INDEX(plan_session_allocation,((WEEKDAY(J$3,2)*2-1)+IF(J620="Morning",0,1)),I620)),IF(INDEX(final_duration_secondary,((WEEKDAY(J$3,2)*2-1)+IF(J620="Morning",0,1)),I620)=0,"","
2. "),
IF(INDEX(final_duration_secondary,((WEEKDAY(J$3,2)*2-1)+IF(J620="Morning",0,1)),I620)=0,"",INDEX(sessions_description_secondary,,INDEX(plan_session_allocation,((WEEKDAY(J$3,2)*2-1)+IF(J620="Morning",0,1)),I620))),IF(INDEX(final_duration_tertiary,((WEEKDAY(J$3,2)*2-1)+IF(J620="Morning",0,1)),I620)=0,"","
3. "),
IF(INDEX(final_duration_tertiary,((WEEKDAY(J$3,2)*2-1)+IF(J620="Morning",0,1)),I620)="","",INDEX(sessions_description_tertiary,,INDEX(plan_session_allocation,((WEEKDAY(J$3,2)*2-1)+IF(J620="Morning",0,1)),I620))),
IF(INDEX(display_nutrition_description,((WEEKDAY(J$3,2)*2-1)+IF(J620="Morning",0,1)),I620)="","",
CONCATENATE("
Meal Plan: ", INDEX(sessions_nutrition,,INDEX(plan_session_allocation,((WEEKDAY(J$3,2)*2-1)+IF(J620="Morning",0,1)),I620)), "
", INDEX(display_nutrition_description,((WEEKDAY(J$3,2)*2-1)+IF(J620="Morning",0,1)),I620)))
)),"")),"")</f>
        <v>Session Description: 
Stay at a comfortable and controlled intensity where you should be able to have a conversation without large pauses. Keep an even intensity and accept that your pace may change as the terrain changes.</v>
      </c>
      <c r="J626" s="1914"/>
      <c r="K626" s="1914"/>
      <c r="L626" s="1915"/>
      <c r="N626" s="1913" t="str">
        <f ca="1">IF(Q620&gt;0,CONCATENATE(IFERROR(CONCATENATE(IF(INDEX(display_intervals_breakdown,((WEEKDAY(O$3,2)*2-1)+IF(O620="Morning",0,1)),N620)="","",CONCATENATE("Intervals/Reps Breakdown: 
",INDEX(display_intervals_breakdown,((WEEKDAY(O$3,2)*2-1)+IF(O620="Morning",0,1)),N620),"
")),"Session Description: 
",CONCATENATE(IF(INDEX(final_duration_secondary,((WEEKDAY(O$3,2)*2-1)+IF(O620="Morning",0,1)),N620)=0,"","1. "),
INDEX(sessions_description_primary,,INDEX(plan_session_allocation,((WEEKDAY(O$3,2)*2-1)+IF(O620="Morning",0,1)),N620)),IF(INDEX(final_duration_secondary,((WEEKDAY(O$3,2)*2-1)+IF(O620="Morning",0,1)),N620)=0,"","
2. "),
IF(INDEX(final_duration_secondary,((WEEKDAY(O$3,2)*2-1)+IF(O620="Morning",0,1)),N620)=0,"",INDEX(sessions_description_secondary,,INDEX(plan_session_allocation,((WEEKDAY(O$3,2)*2-1)+IF(O620="Morning",0,1)),N620))),IF(INDEX(final_duration_tertiary,((WEEKDAY(O$3,2)*2-1)+IF(O620="Morning",0,1)),N620)=0,"","
3. "),
IF(INDEX(final_duration_tertiary,((WEEKDAY(O$3,2)*2-1)+IF(O620="Morning",0,1)),N620)="","",INDEX(sessions_description_tertiary,,INDEX(plan_session_allocation,((WEEKDAY(O$3,2)*2-1)+IF(O620="Morning",0,1)),N620))),
IF(INDEX(display_nutrition_description,((WEEKDAY(O$3,2)*2-1)+IF(O620="Morning",0,1)),N620)="","",
CONCATENATE("
Meal Plan: ", INDEX(sessions_nutrition,,INDEX(plan_session_allocation,((WEEKDAY(O$3,2)*2-1)+IF(O620="Morning",0,1)),N620)), "
", INDEX(display_nutrition_description,((WEEKDAY(O$3,2)*2-1)+IF(O620="Morning",0,1)),N620)))
)),"")),"")</f>
        <v/>
      </c>
      <c r="O626" s="1914"/>
      <c r="P626" s="1914"/>
      <c r="Q626" s="1915"/>
      <c r="S626" s="1913" t="str">
        <f ca="1">IF(V620&gt;0,CONCATENATE(IFERROR(CONCATENATE(IF(INDEX(display_intervals_breakdown,((WEEKDAY(T$3,2)*2-1)+IF(T620="Morning",0,1)),S620)="","",CONCATENATE("Intervals/Reps Breakdown: 
",INDEX(display_intervals_breakdown,((WEEKDAY(T$3,2)*2-1)+IF(T620="Morning",0,1)),S620),"
")),"Session Description: 
",CONCATENATE(IF(INDEX(final_duration_secondary,((WEEKDAY(T$3,2)*2-1)+IF(T620="Morning",0,1)),S620)=0,"","1. "),
INDEX(sessions_description_primary,,INDEX(plan_session_allocation,((WEEKDAY(T$3,2)*2-1)+IF(T620="Morning",0,1)),S620)),IF(INDEX(final_duration_secondary,((WEEKDAY(T$3,2)*2-1)+IF(T620="Morning",0,1)),S620)=0,"","
2. "),
IF(INDEX(final_duration_secondary,((WEEKDAY(T$3,2)*2-1)+IF(T620="Morning",0,1)),S620)=0,"",INDEX(sessions_description_secondary,,INDEX(plan_session_allocation,((WEEKDAY(T$3,2)*2-1)+IF(T620="Morning",0,1)),S620))),IF(INDEX(final_duration_tertiary,((WEEKDAY(T$3,2)*2-1)+IF(T620="Morning",0,1)),S620)=0,"","
3. "),
IF(INDEX(final_duration_tertiary,((WEEKDAY(T$3,2)*2-1)+IF(T620="Morning",0,1)),S620)="","",INDEX(sessions_description_tertiary,,INDEX(plan_session_allocation,((WEEKDAY(T$3,2)*2-1)+IF(T620="Morning",0,1)),S620))),
IF(INDEX(display_nutrition_description,((WEEKDAY(T$3,2)*2-1)+IF(T620="Morning",0,1)),S620)="","",
CONCATENATE("
Meal Plan: ", INDEX(sessions_nutrition,,INDEX(plan_session_allocation,((WEEKDAY(T$3,2)*2-1)+IF(T620="Morning",0,1)),S620)), "
", INDEX(display_nutrition_description,((WEEKDAY(T$3,2)*2-1)+IF(T620="Morning",0,1)),S620)))
)),"")),"")</f>
        <v>Session Description: 
Stay at a comfortable and controlled intensity where you should be able to have a conversation without large pauses. Keep an even intensity and accept that your pace may change as the terrain changes.</v>
      </c>
      <c r="T626" s="1914"/>
      <c r="U626" s="1914"/>
      <c r="V626" s="1915"/>
      <c r="X626" s="1913" t="str">
        <f ca="1">IF(AA620&gt;0,CONCATENATE(IFERROR(CONCATENATE(IF(INDEX(display_intervals_breakdown,((WEEKDAY(Y$3,2)*2-1)+IF(Y620="Morning",0,1)),X620)="","",CONCATENATE("Intervals/Reps Breakdown: 
",INDEX(display_intervals_breakdown,((WEEKDAY(Y$3,2)*2-1)+IF(Y620="Morning",0,1)),X620),"
")),"Session Description: 
",CONCATENATE(IF(INDEX(final_duration_secondary,((WEEKDAY(Y$3,2)*2-1)+IF(Y620="Morning",0,1)),X620)=0,"","1. "),
INDEX(sessions_description_primary,,INDEX(plan_session_allocation,((WEEKDAY(Y$3,2)*2-1)+IF(Y620="Morning",0,1)),X620)),IF(INDEX(final_duration_secondary,((WEEKDAY(Y$3,2)*2-1)+IF(Y620="Morning",0,1)),X620)=0,"","
2. "),
IF(INDEX(final_duration_secondary,((WEEKDAY(Y$3,2)*2-1)+IF(Y620="Morning",0,1)),X620)=0,"",INDEX(sessions_description_secondary,,INDEX(plan_session_allocation,((WEEKDAY(Y$3,2)*2-1)+IF(Y620="Morning",0,1)),X620))),IF(INDEX(final_duration_tertiary,((WEEKDAY(Y$3,2)*2-1)+IF(Y620="Morning",0,1)),X620)=0,"","
3. "),
IF(INDEX(final_duration_tertiary,((WEEKDAY(Y$3,2)*2-1)+IF(Y620="Morning",0,1)),X620)="","",INDEX(sessions_description_tertiary,,INDEX(plan_session_allocation,((WEEKDAY(Y$3,2)*2-1)+IF(Y620="Morning",0,1)),X620))),
IF(INDEX(display_nutrition_description,((WEEKDAY(Y$3,2)*2-1)+IF(Y620="Morning",0,1)),X620)="","",
CONCATENATE("
Meal Plan: ", INDEX(sessions_nutrition,,INDEX(plan_session_allocation,((WEEKDAY(Y$3,2)*2-1)+IF(Y620="Morning",0,1)),X620)), "
", INDEX(display_nutrition_description,((WEEKDAY(Y$3,2)*2-1)+IF(Y620="Morning",0,1)),X620)))
)),"")),"")</f>
        <v>Session Description: 
Stay at a comfortable and controlled intensity where you should be able to have a conversation without large pauses. Keep an even intensity and accept that your pace may change as the terrain changes.</v>
      </c>
      <c r="Y626" s="1914"/>
      <c r="Z626" s="1914"/>
      <c r="AA626" s="1915"/>
      <c r="AC626" s="1913" t="str">
        <f ca="1">IF(AF620&gt;0,CONCATENATE(IFERROR(CONCATENATE(IF(INDEX(display_intervals_breakdown,((WEEKDAY(AD$3,2)*2-1)+IF(AD620="Morning",0,1)),AC620)="","",CONCATENATE("Intervals/Reps Breakdown: 
",INDEX(display_intervals_breakdown,((WEEKDAY(AD$3,2)*2-1)+IF(AD620="Morning",0,1)),AC620),"
")),"Session Description: 
",CONCATENATE(IF(INDEX(final_duration_secondary,((WEEKDAY(AD$3,2)*2-1)+IF(AD620="Morning",0,1)),AC620)=0,"","1. "),
INDEX(sessions_description_primary,,INDEX(plan_session_allocation,((WEEKDAY(AD$3,2)*2-1)+IF(AD620="Morning",0,1)),AC620)),IF(INDEX(final_duration_secondary,((WEEKDAY(AD$3,2)*2-1)+IF(AD620="Morning",0,1)),AC620)=0,"","
2. "),
IF(INDEX(final_duration_secondary,((WEEKDAY(AD$3,2)*2-1)+IF(AD620="Morning",0,1)),AC620)=0,"",INDEX(sessions_description_secondary,,INDEX(plan_session_allocation,((WEEKDAY(AD$3,2)*2-1)+IF(AD620="Morning",0,1)),AC620))),IF(INDEX(final_duration_tertiary,((WEEKDAY(AD$3,2)*2-1)+IF(AD620="Morning",0,1)),AC620)=0,"","
3. "),
IF(INDEX(final_duration_tertiary,((WEEKDAY(AD$3,2)*2-1)+IF(AD620="Morning",0,1)),AC620)="","",INDEX(sessions_description_tertiary,,INDEX(plan_session_allocation,((WEEKDAY(AD$3,2)*2-1)+IF(AD620="Morning",0,1)),AC620))),
IF(INDEX(display_nutrition_description,((WEEKDAY(AD$3,2)*2-1)+IF(AD620="Morning",0,1)),AC620)="","",
CONCATENATE("
Meal Plan: ", INDEX(sessions_nutrition,,INDEX(plan_session_allocation,((WEEKDAY(AD$3,2)*2-1)+IF(AD620="Morning",0,1)),AC620)), "
", INDEX(display_nutrition_description,((WEEKDAY(AD$3,2)*2-1)+IF(AD620="Morning",0,1)),AC620)))
)),"")),"")</f>
        <v>Session Description: 
Stay at a comfortable and controlled intensity where you should be able to have a conversation without large pauses. Keep an even intensity and accept that your pace may change as the terrain changes.</v>
      </c>
      <c r="AD626" s="1914"/>
      <c r="AE626" s="1914"/>
      <c r="AF626" s="1915"/>
      <c r="AH626" s="1913" t="str">
        <f ca="1">IF(AK620&gt;0,CONCATENATE(IFERROR(CONCATENATE(IF(INDEX(display_intervals_breakdown,((WEEKDAY(AI$3,2)*2-1)+IF(AI620="Morning",0,1)),AH620)="","",CONCATENATE("Intervals/Reps Breakdown: 
",INDEX(display_intervals_breakdown,((WEEKDAY(AI$3,2)*2-1)+IF(AI620="Morning",0,1)),AH620),"
")),"Session Description: 
",CONCATENATE(IF(INDEX(final_duration_secondary,((WEEKDAY(AI$3,2)*2-1)+IF(AI620="Morning",0,1)),AH620)=0,"","1. "),
INDEX(sessions_description_primary,,INDEX(plan_session_allocation,((WEEKDAY(AI$3,2)*2-1)+IF(AI620="Morning",0,1)),AH620)),IF(INDEX(final_duration_secondary,((WEEKDAY(AI$3,2)*2-1)+IF(AI620="Morning",0,1)),AH620)=0,"","
2. "),
IF(INDEX(final_duration_secondary,((WEEKDAY(AI$3,2)*2-1)+IF(AI620="Morning",0,1)),AH620)=0,"",INDEX(sessions_description_secondary,,INDEX(plan_session_allocation,((WEEKDAY(AI$3,2)*2-1)+IF(AI620="Morning",0,1)),AH620))),IF(INDEX(final_duration_tertiary,((WEEKDAY(AI$3,2)*2-1)+IF(AI620="Morning",0,1)),AH620)=0,"","
3. "),
IF(INDEX(final_duration_tertiary,((WEEKDAY(AI$3,2)*2-1)+IF(AI620="Morning",0,1)),AH620)="","",INDEX(sessions_description_tertiary,,INDEX(plan_session_allocation,((WEEKDAY(AI$3,2)*2-1)+IF(AI620="Morning",0,1)),AH620))),
IF(INDEX(display_nutrition_description,((WEEKDAY(AI$3,2)*2-1)+IF(AI620="Morning",0,1)),AH620)="","",
CONCATENATE("
Meal Plan: ", INDEX(sessions_nutrition,,INDEX(plan_session_allocation,((WEEKDAY(AI$3,2)*2-1)+IF(AI620="Morning",0,1)),AH620)), "
", INDEX(display_nutrition_description,((WEEKDAY(AI$3,2)*2-1)+IF(AI620="Morning",0,1)),AH620)))
)),"")),"")</f>
        <v xml:space="preserve">Session Description: 
Fundamentally a steady, but you can be less strict at controlling your intensity as long as your average intensity is close to it's target by the end of the session </v>
      </c>
      <c r="AI626" s="1914"/>
      <c r="AJ626" s="1914"/>
      <c r="AK626" s="1915"/>
    </row>
    <row r="627" spans="2:38" s="180" customFormat="1" x14ac:dyDescent="0.45">
      <c r="B627" s="1942"/>
      <c r="C627" s="1945"/>
      <c r="D627" s="1916"/>
      <c r="E627" s="1917"/>
      <c r="F627" s="1917"/>
      <c r="G627" s="1918"/>
      <c r="I627" s="1916"/>
      <c r="J627" s="1917"/>
      <c r="K627" s="1917"/>
      <c r="L627" s="1918"/>
      <c r="N627" s="1916"/>
      <c r="O627" s="1917"/>
      <c r="P627" s="1917"/>
      <c r="Q627" s="1918"/>
      <c r="S627" s="1916"/>
      <c r="T627" s="1917"/>
      <c r="U627" s="1917"/>
      <c r="V627" s="1918"/>
      <c r="X627" s="1916"/>
      <c r="Y627" s="1917"/>
      <c r="Z627" s="1917"/>
      <c r="AA627" s="1918"/>
      <c r="AC627" s="1916"/>
      <c r="AD627" s="1917"/>
      <c r="AE627" s="1917"/>
      <c r="AF627" s="1918"/>
      <c r="AH627" s="1916"/>
      <c r="AI627" s="1917"/>
      <c r="AJ627" s="1917"/>
      <c r="AK627" s="1918"/>
    </row>
    <row r="628" spans="2:38" s="180" customFormat="1" x14ac:dyDescent="0.45">
      <c r="B628" s="1942"/>
      <c r="C628" s="1945"/>
      <c r="D628" s="1916"/>
      <c r="E628" s="1917"/>
      <c r="F628" s="1917"/>
      <c r="G628" s="1918"/>
      <c r="I628" s="1916"/>
      <c r="J628" s="1917"/>
      <c r="K628" s="1917"/>
      <c r="L628" s="1918"/>
      <c r="N628" s="1916"/>
      <c r="O628" s="1917"/>
      <c r="P628" s="1917"/>
      <c r="Q628" s="1918"/>
      <c r="S628" s="1916"/>
      <c r="T628" s="1917"/>
      <c r="U628" s="1917"/>
      <c r="V628" s="1918"/>
      <c r="X628" s="1916"/>
      <c r="Y628" s="1917"/>
      <c r="Z628" s="1917"/>
      <c r="AA628" s="1918"/>
      <c r="AC628" s="1916"/>
      <c r="AD628" s="1917"/>
      <c r="AE628" s="1917"/>
      <c r="AF628" s="1918"/>
      <c r="AH628" s="1916"/>
      <c r="AI628" s="1917"/>
      <c r="AJ628" s="1917"/>
      <c r="AK628" s="1918"/>
    </row>
    <row r="629" spans="2:38" s="180" customFormat="1" x14ac:dyDescent="0.45">
      <c r="B629" s="1942"/>
      <c r="C629" s="1945"/>
      <c r="D629" s="1916"/>
      <c r="E629" s="1917"/>
      <c r="F629" s="1917"/>
      <c r="G629" s="1918"/>
      <c r="I629" s="1916"/>
      <c r="J629" s="1917"/>
      <c r="K629" s="1917"/>
      <c r="L629" s="1918"/>
      <c r="N629" s="1916"/>
      <c r="O629" s="1917"/>
      <c r="P629" s="1917"/>
      <c r="Q629" s="1918"/>
      <c r="S629" s="1916"/>
      <c r="T629" s="1917"/>
      <c r="U629" s="1917"/>
      <c r="V629" s="1918"/>
      <c r="X629" s="1916"/>
      <c r="Y629" s="1917"/>
      <c r="Z629" s="1917"/>
      <c r="AA629" s="1918"/>
      <c r="AC629" s="1916"/>
      <c r="AD629" s="1917"/>
      <c r="AE629" s="1917"/>
      <c r="AF629" s="1918"/>
      <c r="AH629" s="1916"/>
      <c r="AI629" s="1917"/>
      <c r="AJ629" s="1917"/>
      <c r="AK629" s="1918"/>
    </row>
    <row r="630" spans="2:38" s="180" customFormat="1" x14ac:dyDescent="0.45">
      <c r="B630" s="1942"/>
      <c r="C630" s="1945"/>
      <c r="D630" s="1916"/>
      <c r="E630" s="1917"/>
      <c r="F630" s="1917"/>
      <c r="G630" s="1918"/>
      <c r="I630" s="1916"/>
      <c r="J630" s="1917"/>
      <c r="K630" s="1917"/>
      <c r="L630" s="1918"/>
      <c r="N630" s="1916"/>
      <c r="O630" s="1917"/>
      <c r="P630" s="1917"/>
      <c r="Q630" s="1918"/>
      <c r="S630" s="1916"/>
      <c r="T630" s="1917"/>
      <c r="U630" s="1917"/>
      <c r="V630" s="1918"/>
      <c r="X630" s="1916"/>
      <c r="Y630" s="1917"/>
      <c r="Z630" s="1917"/>
      <c r="AA630" s="1918"/>
      <c r="AC630" s="1916"/>
      <c r="AD630" s="1917"/>
      <c r="AE630" s="1917"/>
      <c r="AF630" s="1918"/>
      <c r="AH630" s="1916"/>
      <c r="AI630" s="1917"/>
      <c r="AJ630" s="1917"/>
      <c r="AK630" s="1918"/>
    </row>
    <row r="631" spans="2:38" s="180" customFormat="1" x14ac:dyDescent="0.45">
      <c r="B631" s="1942"/>
      <c r="C631" s="1945"/>
      <c r="D631" s="1916"/>
      <c r="E631" s="1917"/>
      <c r="F631" s="1917"/>
      <c r="G631" s="1918"/>
      <c r="I631" s="1916"/>
      <c r="J631" s="1917"/>
      <c r="K631" s="1917"/>
      <c r="L631" s="1918"/>
      <c r="N631" s="1916"/>
      <c r="O631" s="1917"/>
      <c r="P631" s="1917"/>
      <c r="Q631" s="1918"/>
      <c r="S631" s="1916"/>
      <c r="T631" s="1917"/>
      <c r="U631" s="1917"/>
      <c r="V631" s="1918"/>
      <c r="X631" s="1916"/>
      <c r="Y631" s="1917"/>
      <c r="Z631" s="1917"/>
      <c r="AA631" s="1918"/>
      <c r="AC631" s="1916"/>
      <c r="AD631" s="1917"/>
      <c r="AE631" s="1917"/>
      <c r="AF631" s="1918"/>
      <c r="AH631" s="1916"/>
      <c r="AI631" s="1917"/>
      <c r="AJ631" s="1917"/>
      <c r="AK631" s="1918"/>
    </row>
    <row r="632" spans="2:38" s="180" customFormat="1" x14ac:dyDescent="0.45">
      <c r="B632" s="1942"/>
      <c r="C632" s="1945"/>
      <c r="D632" s="1916"/>
      <c r="E632" s="1917"/>
      <c r="F632" s="1917"/>
      <c r="G632" s="1918"/>
      <c r="I632" s="1916"/>
      <c r="J632" s="1917"/>
      <c r="K632" s="1917"/>
      <c r="L632" s="1918"/>
      <c r="N632" s="1916"/>
      <c r="O632" s="1917"/>
      <c r="P632" s="1917"/>
      <c r="Q632" s="1918"/>
      <c r="S632" s="1916"/>
      <c r="T632" s="1917"/>
      <c r="U632" s="1917"/>
      <c r="V632" s="1918"/>
      <c r="X632" s="1916"/>
      <c r="Y632" s="1917"/>
      <c r="Z632" s="1917"/>
      <c r="AA632" s="1918"/>
      <c r="AC632" s="1916"/>
      <c r="AD632" s="1917"/>
      <c r="AE632" s="1917"/>
      <c r="AF632" s="1918"/>
      <c r="AH632" s="1916"/>
      <c r="AI632" s="1917"/>
      <c r="AJ632" s="1917"/>
      <c r="AK632" s="1918"/>
    </row>
    <row r="633" spans="2:38" s="180" customFormat="1" ht="15.75" customHeight="1" x14ac:dyDescent="0.45">
      <c r="B633" s="1942"/>
      <c r="C633" s="1945"/>
      <c r="D633" s="1916"/>
      <c r="E633" s="1917"/>
      <c r="F633" s="1917"/>
      <c r="G633" s="1918"/>
      <c r="I633" s="1916"/>
      <c r="J633" s="1917"/>
      <c r="K633" s="1917"/>
      <c r="L633" s="1918"/>
      <c r="N633" s="1916"/>
      <c r="O633" s="1917"/>
      <c r="P633" s="1917"/>
      <c r="Q633" s="1918"/>
      <c r="S633" s="1916"/>
      <c r="T633" s="1917"/>
      <c r="U633" s="1917"/>
      <c r="V633" s="1918"/>
      <c r="X633" s="1916"/>
      <c r="Y633" s="1917"/>
      <c r="Z633" s="1917"/>
      <c r="AA633" s="1918"/>
      <c r="AC633" s="1916"/>
      <c r="AD633" s="1917"/>
      <c r="AE633" s="1917"/>
      <c r="AF633" s="1918"/>
      <c r="AH633" s="1916"/>
      <c r="AI633" s="1917"/>
      <c r="AJ633" s="1917"/>
      <c r="AK633" s="1918"/>
    </row>
    <row r="634" spans="2:38" s="180" customFormat="1" x14ac:dyDescent="0.45">
      <c r="B634" s="1942"/>
      <c r="C634" s="1945"/>
      <c r="D634" s="1916"/>
      <c r="E634" s="1917"/>
      <c r="F634" s="1917"/>
      <c r="G634" s="1918"/>
      <c r="I634" s="1916"/>
      <c r="J634" s="1917"/>
      <c r="K634" s="1917"/>
      <c r="L634" s="1918"/>
      <c r="N634" s="1916"/>
      <c r="O634" s="1917"/>
      <c r="P634" s="1917"/>
      <c r="Q634" s="1918"/>
      <c r="S634" s="1916"/>
      <c r="T634" s="1917"/>
      <c r="U634" s="1917"/>
      <c r="V634" s="1918"/>
      <c r="X634" s="1916"/>
      <c r="Y634" s="1917"/>
      <c r="Z634" s="1917"/>
      <c r="AA634" s="1918"/>
      <c r="AC634" s="1916"/>
      <c r="AD634" s="1917"/>
      <c r="AE634" s="1917"/>
      <c r="AF634" s="1918"/>
      <c r="AH634" s="1916"/>
      <c r="AI634" s="1917"/>
      <c r="AJ634" s="1917"/>
      <c r="AK634" s="1918"/>
    </row>
    <row r="635" spans="2:38" s="180" customFormat="1" x14ac:dyDescent="0.45">
      <c r="B635" s="1942"/>
      <c r="C635" s="1945"/>
      <c r="D635" s="1916"/>
      <c r="E635" s="1917"/>
      <c r="F635" s="1917"/>
      <c r="G635" s="1918"/>
      <c r="I635" s="1916"/>
      <c r="J635" s="1917"/>
      <c r="K635" s="1917"/>
      <c r="L635" s="1918"/>
      <c r="N635" s="1916"/>
      <c r="O635" s="1917"/>
      <c r="P635" s="1917"/>
      <c r="Q635" s="1918"/>
      <c r="S635" s="1916"/>
      <c r="T635" s="1917"/>
      <c r="U635" s="1917"/>
      <c r="V635" s="1918"/>
      <c r="X635" s="1916"/>
      <c r="Y635" s="1917"/>
      <c r="Z635" s="1917"/>
      <c r="AA635" s="1918"/>
      <c r="AC635" s="1916"/>
      <c r="AD635" s="1917"/>
      <c r="AE635" s="1917"/>
      <c r="AF635" s="1918"/>
      <c r="AH635" s="1916"/>
      <c r="AI635" s="1917"/>
      <c r="AJ635" s="1917"/>
      <c r="AK635" s="1918"/>
    </row>
    <row r="636" spans="2:38" s="180" customFormat="1" x14ac:dyDescent="0.45">
      <c r="B636" s="1942"/>
      <c r="C636" s="1945"/>
      <c r="D636" s="1916"/>
      <c r="E636" s="1917"/>
      <c r="F636" s="1917"/>
      <c r="G636" s="1918"/>
      <c r="I636" s="1916"/>
      <c r="J636" s="1917"/>
      <c r="K636" s="1917"/>
      <c r="L636" s="1918"/>
      <c r="N636" s="1916"/>
      <c r="O636" s="1917"/>
      <c r="P636" s="1917"/>
      <c r="Q636" s="1918"/>
      <c r="S636" s="1916"/>
      <c r="T636" s="1917"/>
      <c r="U636" s="1917"/>
      <c r="V636" s="1918"/>
      <c r="X636" s="1916"/>
      <c r="Y636" s="1917"/>
      <c r="Z636" s="1917"/>
      <c r="AA636" s="1918"/>
      <c r="AC636" s="1916"/>
      <c r="AD636" s="1917"/>
      <c r="AE636" s="1917"/>
      <c r="AF636" s="1918"/>
      <c r="AH636" s="1916"/>
      <c r="AI636" s="1917"/>
      <c r="AJ636" s="1917"/>
      <c r="AK636" s="1918"/>
    </row>
    <row r="637" spans="2:38" s="180" customFormat="1" x14ac:dyDescent="0.45">
      <c r="B637" s="1942"/>
      <c r="C637" s="1945"/>
      <c r="D637" s="1916"/>
      <c r="E637" s="1917"/>
      <c r="F637" s="1917"/>
      <c r="G637" s="1918"/>
      <c r="I637" s="1916"/>
      <c r="J637" s="1917"/>
      <c r="K637" s="1917"/>
      <c r="L637" s="1918"/>
      <c r="N637" s="1916"/>
      <c r="O637" s="1917"/>
      <c r="P637" s="1917"/>
      <c r="Q637" s="1918"/>
      <c r="S637" s="1916"/>
      <c r="T637" s="1917"/>
      <c r="U637" s="1917"/>
      <c r="V637" s="1918"/>
      <c r="X637" s="1916"/>
      <c r="Y637" s="1917"/>
      <c r="Z637" s="1917"/>
      <c r="AA637" s="1918"/>
      <c r="AC637" s="1916"/>
      <c r="AD637" s="1917"/>
      <c r="AE637" s="1917"/>
      <c r="AF637" s="1918"/>
      <c r="AH637" s="1916"/>
      <c r="AI637" s="1917"/>
      <c r="AJ637" s="1917"/>
      <c r="AK637" s="1918"/>
    </row>
    <row r="638" spans="2:38" s="180" customFormat="1" x14ac:dyDescent="0.45">
      <c r="B638" s="1942"/>
      <c r="C638" s="1945"/>
      <c r="D638" s="1916"/>
      <c r="E638" s="1917"/>
      <c r="F638" s="1917"/>
      <c r="G638" s="1918"/>
      <c r="I638" s="1916"/>
      <c r="J638" s="1917"/>
      <c r="K638" s="1917"/>
      <c r="L638" s="1918"/>
      <c r="N638" s="1916"/>
      <c r="O638" s="1917"/>
      <c r="P638" s="1917"/>
      <c r="Q638" s="1918"/>
      <c r="S638" s="1916"/>
      <c r="T638" s="1917"/>
      <c r="U638" s="1917"/>
      <c r="V638" s="1918"/>
      <c r="X638" s="1916"/>
      <c r="Y638" s="1917"/>
      <c r="Z638" s="1917"/>
      <c r="AA638" s="1918"/>
      <c r="AC638" s="1916"/>
      <c r="AD638" s="1917"/>
      <c r="AE638" s="1917"/>
      <c r="AF638" s="1918"/>
      <c r="AH638" s="1916"/>
      <c r="AI638" s="1917"/>
      <c r="AJ638" s="1917"/>
      <c r="AK638" s="1918"/>
    </row>
    <row r="639" spans="2:38" s="180" customFormat="1" x14ac:dyDescent="0.45">
      <c r="B639" s="1942"/>
      <c r="C639" s="1945"/>
      <c r="D639" s="1919"/>
      <c r="E639" s="1920"/>
      <c r="F639" s="1920"/>
      <c r="G639" s="1921"/>
      <c r="I639" s="1919"/>
      <c r="J639" s="1920"/>
      <c r="K639" s="1920"/>
      <c r="L639" s="1921"/>
      <c r="N639" s="1919"/>
      <c r="O639" s="1920"/>
      <c r="P639" s="1920"/>
      <c r="Q639" s="1921"/>
      <c r="S639" s="1919"/>
      <c r="T639" s="1920"/>
      <c r="U639" s="1920"/>
      <c r="V639" s="1921"/>
      <c r="X639" s="1919"/>
      <c r="Y639" s="1920"/>
      <c r="Z639" s="1920"/>
      <c r="AA639" s="1921"/>
      <c r="AC639" s="1919"/>
      <c r="AD639" s="1920"/>
      <c r="AE639" s="1920"/>
      <c r="AF639" s="1921"/>
      <c r="AH639" s="1919"/>
      <c r="AI639" s="1920"/>
      <c r="AJ639" s="1920"/>
      <c r="AK639" s="1921"/>
    </row>
    <row r="640" spans="2:38" s="180" customFormat="1" ht="15" customHeight="1" x14ac:dyDescent="0.45">
      <c r="B640" s="1942"/>
      <c r="C640" s="1945"/>
      <c r="D640" s="1913" t="str">
        <f ca="1">IF(G620&gt;0,CONCATENATE("Session Aim: 
", CONCATENATE(IF(INDEX(final_duration_secondary,((WEEKDAY(E$3,2)*2-1)+IF(E620="Morning",0,1)),D620)=0, "", "1. "),
INDEX(sessions_aim_primary,, INDEX(plan_session_allocation,((WEEKDAY(E$3,2)*2-1)+IF(E620="Morning",0,1)),D620)), IF(INDEX(final_duration_secondary,((WEEKDAY(E$3,2)*2-1)+IF(E620="Morning",0,1)),D620)=0, "", "
2. "),
IF(INDEX(final_duration_secondary,((WEEKDAY(E$3,2)*2-1)+IF(E620="Morning",0,1)),D620)=0, "", INDEX(sessions_aim_secondary,, INDEX(plan_session_allocation,((WEEKDAY(E$3,2)*2-1)+IF(E620="Morning",0,1)),D620))), IF(INDEX(final_duration_tertiary,((WEEKDAY(E$3,2)*2-1)+IF(E620="Morning",0,1)),D620)=0, "", "
3. "),
IF(INDEX(final_duration_tertiary,((WEEKDAY(E$3,2)*2-1)+IF(E620="Morning",0,1)),D620)=0, "", INDEX(sessions_aim_tertiary,, INDEX(plan_session_allocation,((WEEKDAY(E$3,2)*2-1)+IF(E620="Morning",0,1)),D620))),
IF(INDEX(display_nutrition_description,((WEEKDAY(E$3,2)*2-1)+IF(E620="Morning",0,1)),D620)="","",
CONCATENATE("
Nutrition Aim:
", INDEX(sessions_aim_nutrition,,INDEX(plan_session_allocation,((WEEKDAY(E$3,2)*2-1)+IF(E620="Morning",0,1)),D620))
))
)),"")</f>
        <v xml:space="preserve">Session Aim: 
Improve aerobic fitness while minimising the chance of injury. </v>
      </c>
      <c r="E640" s="1914"/>
      <c r="F640" s="1914"/>
      <c r="G640" s="1915"/>
      <c r="I640" s="1913" t="str">
        <f ca="1">IF(L620&gt;0,CONCATENATE("Session Aim: 
", CONCATENATE(IF(INDEX(final_duration_secondary,((WEEKDAY(J$3,2)*2-1)+IF(J620="Morning",0,1)),I620)=0, "", "1. "),
INDEX(sessions_aim_primary,, INDEX(plan_session_allocation,((WEEKDAY(J$3,2)*2-1)+IF(J620="Morning",0,1)),I620)), IF(INDEX(final_duration_secondary,((WEEKDAY(J$3,2)*2-1)+IF(J620="Morning",0,1)),I620)=0, "", "
2. "),
IF(INDEX(final_duration_secondary,((WEEKDAY(J$3,2)*2-1)+IF(J620="Morning",0,1)),I620)=0, "", INDEX(sessions_aim_secondary,, INDEX(plan_session_allocation,((WEEKDAY(J$3,2)*2-1)+IF(J620="Morning",0,1)),I620))), IF(INDEX(final_duration_tertiary,((WEEKDAY(J$3,2)*2-1)+IF(J620="Morning",0,1)),I620)=0, "", "
3. "),
IF(INDEX(final_duration_tertiary,((WEEKDAY(J$3,2)*2-1)+IF(J620="Morning",0,1)),I620)=0, "", INDEX(sessions_aim_tertiary,, INDEX(plan_session_allocation,((WEEKDAY(J$3,2)*2-1)+IF(J620="Morning",0,1)),I620))),
IF(INDEX(display_nutrition_description,((WEEKDAY(J$3,2)*2-1)+IF(J620="Morning",0,1)),I620)="","",
CONCATENATE("
Nutrition Aim:
", INDEX(sessions_aim_nutrition,,INDEX(plan_session_allocation,((WEEKDAY(J$3,2)*2-1)+IF(J620="Morning",0,1)),I620))
))
)),"")</f>
        <v xml:space="preserve">Session Aim: 
Improve aerobic fitness while minimising the chance of injury. </v>
      </c>
      <c r="J640" s="1914"/>
      <c r="K640" s="1914"/>
      <c r="L640" s="1915"/>
      <c r="N640" s="1913" t="str">
        <f ca="1">IF(Q620&gt;0,CONCATENATE("Session Aim: 
", CONCATENATE(IF(INDEX(final_duration_secondary,((WEEKDAY(O$3,2)*2-1)+IF(O620="Morning",0,1)),N620)=0, "", "1. "),
INDEX(sessions_aim_primary,, INDEX(plan_session_allocation,((WEEKDAY(O$3,2)*2-1)+IF(O620="Morning",0,1)),N620)), IF(INDEX(final_duration_secondary,((WEEKDAY(O$3,2)*2-1)+IF(O620="Morning",0,1)),N620)=0, "", "
2. "),
IF(INDEX(final_duration_secondary,((WEEKDAY(O$3,2)*2-1)+IF(O620="Morning",0,1)),N620)=0, "", INDEX(sessions_aim_secondary,, INDEX(plan_session_allocation,((WEEKDAY(O$3,2)*2-1)+IF(O620="Morning",0,1)),N620))), IF(INDEX(final_duration_tertiary,((WEEKDAY(O$3,2)*2-1)+IF(O620="Morning",0,1)),N620)=0, "", "
3. "),
IF(INDEX(final_duration_tertiary,((WEEKDAY(O$3,2)*2-1)+IF(O620="Morning",0,1)),N620)=0, "", INDEX(sessions_aim_tertiary,, INDEX(plan_session_allocation,((WEEKDAY(O$3,2)*2-1)+IF(O620="Morning",0,1)),N620))),
IF(INDEX(display_nutrition_description,((WEEKDAY(O$3,2)*2-1)+IF(O620="Morning",0,1)),N620)="","",
CONCATENATE("
Nutrition Aim:
", INDEX(sessions_aim_nutrition,,INDEX(plan_session_allocation,((WEEKDAY(O$3,2)*2-1)+IF(O620="Morning",0,1)),N620))
))
)),"")</f>
        <v/>
      </c>
      <c r="O640" s="1914"/>
      <c r="P640" s="1914"/>
      <c r="Q640" s="1915"/>
      <c r="S640" s="1913" t="str">
        <f ca="1">IF(V620&gt;0,CONCATENATE("Session Aim: 
", CONCATENATE(IF(INDEX(final_duration_secondary,((WEEKDAY(T$3,2)*2-1)+IF(T620="Morning",0,1)),S620)=0, "", "1. "),
INDEX(sessions_aim_primary,, INDEX(plan_session_allocation,((WEEKDAY(T$3,2)*2-1)+IF(T620="Morning",0,1)),S620)), IF(INDEX(final_duration_secondary,((WEEKDAY(T$3,2)*2-1)+IF(T620="Morning",0,1)),S620)=0, "", "
2. "),
IF(INDEX(final_duration_secondary,((WEEKDAY(T$3,2)*2-1)+IF(T620="Morning",0,1)),S620)=0, "", INDEX(sessions_aim_secondary,, INDEX(plan_session_allocation,((WEEKDAY(T$3,2)*2-1)+IF(T620="Morning",0,1)),S620))), IF(INDEX(final_duration_tertiary,((WEEKDAY(T$3,2)*2-1)+IF(T620="Morning",0,1)),S620)=0, "", "
3. "),
IF(INDEX(final_duration_tertiary,((WEEKDAY(T$3,2)*2-1)+IF(T620="Morning",0,1)),S620)=0, "", INDEX(sessions_aim_tertiary,, INDEX(plan_session_allocation,((WEEKDAY(T$3,2)*2-1)+IF(T620="Morning",0,1)),S620))),
IF(INDEX(display_nutrition_description,((WEEKDAY(T$3,2)*2-1)+IF(T620="Morning",0,1)),S620)="","",
CONCATENATE("
Nutrition Aim:
", INDEX(sessions_aim_nutrition,,INDEX(plan_session_allocation,((WEEKDAY(T$3,2)*2-1)+IF(T620="Morning",0,1)),S620))
))
)),"")</f>
        <v xml:space="preserve">Session Aim: 
Improve aerobic fitness while minimising the chance of injury. </v>
      </c>
      <c r="T640" s="1914"/>
      <c r="U640" s="1914"/>
      <c r="V640" s="1915"/>
      <c r="X640" s="1913" t="str">
        <f ca="1">IF(AA620&gt;0,CONCATENATE("Session Aim: 
", CONCATENATE(IF(INDEX(final_duration_secondary,((WEEKDAY(Y$3,2)*2-1)+IF(Y620="Morning",0,1)),X620)=0, "", "1. "),
INDEX(sessions_aim_primary,, INDEX(plan_session_allocation,((WEEKDAY(Y$3,2)*2-1)+IF(Y620="Morning",0,1)),X620)), IF(INDEX(final_duration_secondary,((WEEKDAY(Y$3,2)*2-1)+IF(Y620="Morning",0,1)),X620)=0, "", "
2. "),
IF(INDEX(final_duration_secondary,((WEEKDAY(Y$3,2)*2-1)+IF(Y620="Morning",0,1)),X620)=0, "", INDEX(sessions_aim_secondary,, INDEX(plan_session_allocation,((WEEKDAY(Y$3,2)*2-1)+IF(Y620="Morning",0,1)),X620))), IF(INDEX(final_duration_tertiary,((WEEKDAY(Y$3,2)*2-1)+IF(Y620="Morning",0,1)),X620)=0, "", "
3. "),
IF(INDEX(final_duration_tertiary,((WEEKDAY(Y$3,2)*2-1)+IF(Y620="Morning",0,1)),X620)=0, "", INDEX(sessions_aim_tertiary,, INDEX(plan_session_allocation,((WEEKDAY(Y$3,2)*2-1)+IF(Y620="Morning",0,1)),X620))),
IF(INDEX(display_nutrition_description,((WEEKDAY(Y$3,2)*2-1)+IF(Y620="Morning",0,1)),X620)="","",
CONCATENATE("
Nutrition Aim:
", INDEX(sessions_aim_nutrition,,INDEX(plan_session_allocation,((WEEKDAY(Y$3,2)*2-1)+IF(Y620="Morning",0,1)),X620))
))
)),"")</f>
        <v xml:space="preserve">Session Aim: 
Improve aerobic fitness while minimising the chance of injury. </v>
      </c>
      <c r="Y640" s="1914"/>
      <c r="Z640" s="1914"/>
      <c r="AA640" s="1915"/>
      <c r="AC640" s="1913" t="str">
        <f ca="1">IF(AF620&gt;0,CONCATENATE("Session Aim: 
", CONCATENATE(IF(INDEX(final_duration_secondary,((WEEKDAY(AD$3,2)*2-1)+IF(AD620="Morning",0,1)),AC620)=0, "", "1. "),
INDEX(sessions_aim_primary,, INDEX(plan_session_allocation,((WEEKDAY(AD$3,2)*2-1)+IF(AD620="Morning",0,1)),AC620)), IF(INDEX(final_duration_secondary,((WEEKDAY(AD$3,2)*2-1)+IF(AD620="Morning",0,1)),AC620)=0, "", "
2. "),
IF(INDEX(final_duration_secondary,((WEEKDAY(AD$3,2)*2-1)+IF(AD620="Morning",0,1)),AC620)=0, "", INDEX(sessions_aim_secondary,, INDEX(plan_session_allocation,((WEEKDAY(AD$3,2)*2-1)+IF(AD620="Morning",0,1)),AC620))), IF(INDEX(final_duration_tertiary,((WEEKDAY(AD$3,2)*2-1)+IF(AD620="Morning",0,1)),AC620)=0, "", "
3. "),
IF(INDEX(final_duration_tertiary,((WEEKDAY(AD$3,2)*2-1)+IF(AD620="Morning",0,1)),AC620)=0, "", INDEX(sessions_aim_tertiary,, INDEX(plan_session_allocation,((WEEKDAY(AD$3,2)*2-1)+IF(AD620="Morning",0,1)),AC620))),
IF(INDEX(display_nutrition_description,((WEEKDAY(AD$3,2)*2-1)+IF(AD620="Morning",0,1)),AC620)="","",
CONCATENATE("
Nutrition Aim:
", INDEX(sessions_aim_nutrition,,INDEX(plan_session_allocation,((WEEKDAY(AD$3,2)*2-1)+IF(AD620="Morning",0,1)),AC620))
))
)),"")</f>
        <v>Session Aim: 
Improve aerobic fitness at an optimal rate.</v>
      </c>
      <c r="AD640" s="1914"/>
      <c r="AE640" s="1914"/>
      <c r="AF640" s="1915"/>
      <c r="AH640" s="1913" t="str">
        <f ca="1">IF(AK620&gt;0,CONCATENATE("Session Aim: 
", CONCATENATE(IF(INDEX(final_duration_secondary,((WEEKDAY(AI$3,2)*2-1)+IF(AI620="Morning",0,1)),AH620)=0, "", "1. "),
INDEX(sessions_aim_primary,, INDEX(plan_session_allocation,((WEEKDAY(AI$3,2)*2-1)+IF(AI620="Morning",0,1)),AH620)), IF(INDEX(final_duration_secondary,((WEEKDAY(AI$3,2)*2-1)+IF(AI620="Morning",0,1)),AH620)=0, "", "
2. "),
IF(INDEX(final_duration_secondary,((WEEKDAY(AI$3,2)*2-1)+IF(AI620="Morning",0,1)),AH620)=0, "", INDEX(sessions_aim_secondary,, INDEX(plan_session_allocation,((WEEKDAY(AI$3,2)*2-1)+IF(AI620="Morning",0,1)),AH620))), IF(INDEX(final_duration_tertiary,((WEEKDAY(AI$3,2)*2-1)+IF(AI620="Morning",0,1)),AH620)=0, "", "
3. "),
IF(INDEX(final_duration_tertiary,((WEEKDAY(AI$3,2)*2-1)+IF(AI620="Morning",0,1)),AH620)=0, "", INDEX(sessions_aim_tertiary,, INDEX(plan_session_allocation,((WEEKDAY(AI$3,2)*2-1)+IF(AI620="Morning",0,1)),AH620))),
IF(INDEX(display_nutrition_description,((WEEKDAY(AI$3,2)*2-1)+IF(AI620="Morning",0,1)),AH620)="","",
CONCATENATE("
Nutrition Aim:
", INDEX(sessions_aim_nutrition,,INDEX(plan_session_allocation,((WEEKDAY(AI$3,2)*2-1)+IF(AI620="Morning",0,1)),AH620))
))
)),"")</f>
        <v xml:space="preserve">Session Aim: 
Improve aerobic fitness and energy utilisation. </v>
      </c>
      <c r="AI640" s="1914"/>
      <c r="AJ640" s="1914"/>
      <c r="AK640" s="1915"/>
    </row>
    <row r="641" spans="2:38" s="180" customFormat="1" x14ac:dyDescent="0.45">
      <c r="B641" s="1942"/>
      <c r="C641" s="1945"/>
      <c r="D641" s="1916"/>
      <c r="E641" s="1917"/>
      <c r="F641" s="1917"/>
      <c r="G641" s="1918"/>
      <c r="I641" s="1916"/>
      <c r="J641" s="1917"/>
      <c r="K641" s="1917"/>
      <c r="L641" s="1918"/>
      <c r="N641" s="1916"/>
      <c r="O641" s="1917"/>
      <c r="P641" s="1917"/>
      <c r="Q641" s="1918"/>
      <c r="S641" s="1916"/>
      <c r="T641" s="1917"/>
      <c r="U641" s="1917"/>
      <c r="V641" s="1918"/>
      <c r="X641" s="1916"/>
      <c r="Y641" s="1917"/>
      <c r="Z641" s="1917"/>
      <c r="AA641" s="1918"/>
      <c r="AC641" s="1916"/>
      <c r="AD641" s="1917"/>
      <c r="AE641" s="1917"/>
      <c r="AF641" s="1918"/>
      <c r="AH641" s="1916"/>
      <c r="AI641" s="1917"/>
      <c r="AJ641" s="1917"/>
      <c r="AK641" s="1918"/>
    </row>
    <row r="642" spans="2:38" s="180" customFormat="1" x14ac:dyDescent="0.45">
      <c r="B642" s="1942"/>
      <c r="C642" s="1945"/>
      <c r="D642" s="1916"/>
      <c r="E642" s="1917"/>
      <c r="F642" s="1917"/>
      <c r="G642" s="1918"/>
      <c r="I642" s="1916"/>
      <c r="J642" s="1917"/>
      <c r="K642" s="1917"/>
      <c r="L642" s="1918"/>
      <c r="N642" s="1916"/>
      <c r="O642" s="1917"/>
      <c r="P642" s="1917"/>
      <c r="Q642" s="1918"/>
      <c r="S642" s="1916"/>
      <c r="T642" s="1917"/>
      <c r="U642" s="1917"/>
      <c r="V642" s="1918"/>
      <c r="X642" s="1916"/>
      <c r="Y642" s="1917"/>
      <c r="Z642" s="1917"/>
      <c r="AA642" s="1918"/>
      <c r="AC642" s="1916"/>
      <c r="AD642" s="1917"/>
      <c r="AE642" s="1917"/>
      <c r="AF642" s="1918"/>
      <c r="AH642" s="1916"/>
      <c r="AI642" s="1917"/>
      <c r="AJ642" s="1917"/>
      <c r="AK642" s="1918"/>
    </row>
    <row r="643" spans="2:38" s="180" customFormat="1" x14ac:dyDescent="0.45">
      <c r="B643" s="1942"/>
      <c r="C643" s="1945"/>
      <c r="D643" s="1916"/>
      <c r="E643" s="1917"/>
      <c r="F643" s="1917"/>
      <c r="G643" s="1918"/>
      <c r="I643" s="1916"/>
      <c r="J643" s="1917"/>
      <c r="K643" s="1917"/>
      <c r="L643" s="1918"/>
      <c r="N643" s="1916"/>
      <c r="O643" s="1917"/>
      <c r="P643" s="1917"/>
      <c r="Q643" s="1918"/>
      <c r="S643" s="1916"/>
      <c r="T643" s="1917"/>
      <c r="U643" s="1917"/>
      <c r="V643" s="1918"/>
      <c r="X643" s="1916"/>
      <c r="Y643" s="1917"/>
      <c r="Z643" s="1917"/>
      <c r="AA643" s="1918"/>
      <c r="AC643" s="1916"/>
      <c r="AD643" s="1917"/>
      <c r="AE643" s="1917"/>
      <c r="AF643" s="1918"/>
      <c r="AH643" s="1916"/>
      <c r="AI643" s="1917"/>
      <c r="AJ643" s="1917"/>
      <c r="AK643" s="1918"/>
    </row>
    <row r="644" spans="2:38" s="180" customFormat="1" x14ac:dyDescent="0.45">
      <c r="B644" s="1942"/>
      <c r="C644" s="1945"/>
      <c r="D644" s="1916"/>
      <c r="E644" s="1917"/>
      <c r="F644" s="1917"/>
      <c r="G644" s="1918"/>
      <c r="I644" s="1916"/>
      <c r="J644" s="1917"/>
      <c r="K644" s="1917"/>
      <c r="L644" s="1918"/>
      <c r="N644" s="1916"/>
      <c r="O644" s="1917"/>
      <c r="P644" s="1917"/>
      <c r="Q644" s="1918"/>
      <c r="S644" s="1916"/>
      <c r="T644" s="1917"/>
      <c r="U644" s="1917"/>
      <c r="V644" s="1918"/>
      <c r="X644" s="1916"/>
      <c r="Y644" s="1917"/>
      <c r="Z644" s="1917"/>
      <c r="AA644" s="1918"/>
      <c r="AC644" s="1916"/>
      <c r="AD644" s="1917"/>
      <c r="AE644" s="1917"/>
      <c r="AF644" s="1918"/>
      <c r="AH644" s="1916"/>
      <c r="AI644" s="1917"/>
      <c r="AJ644" s="1917"/>
      <c r="AK644" s="1918"/>
    </row>
    <row r="645" spans="2:38" s="180" customFormat="1" x14ac:dyDescent="0.45">
      <c r="B645" s="1942"/>
      <c r="C645" s="1945"/>
      <c r="D645" s="1916"/>
      <c r="E645" s="1917"/>
      <c r="F645" s="1917"/>
      <c r="G645" s="1918"/>
      <c r="I645" s="1916"/>
      <c r="J645" s="1917"/>
      <c r="K645" s="1917"/>
      <c r="L645" s="1918"/>
      <c r="N645" s="1916"/>
      <c r="O645" s="1917"/>
      <c r="P645" s="1917"/>
      <c r="Q645" s="1918"/>
      <c r="S645" s="1916"/>
      <c r="T645" s="1917"/>
      <c r="U645" s="1917"/>
      <c r="V645" s="1918"/>
      <c r="X645" s="1916"/>
      <c r="Y645" s="1917"/>
      <c r="Z645" s="1917"/>
      <c r="AA645" s="1918"/>
      <c r="AC645" s="1916"/>
      <c r="AD645" s="1917"/>
      <c r="AE645" s="1917"/>
      <c r="AF645" s="1918"/>
      <c r="AH645" s="1916"/>
      <c r="AI645" s="1917"/>
      <c r="AJ645" s="1917"/>
      <c r="AK645" s="1918"/>
    </row>
    <row r="646" spans="2:38" s="180" customFormat="1" ht="14.65" thickBot="1" x14ac:dyDescent="0.5">
      <c r="B646" s="1942"/>
      <c r="C646" s="1945"/>
      <c r="D646" s="1938"/>
      <c r="E646" s="1939"/>
      <c r="F646" s="1939"/>
      <c r="G646" s="1940"/>
      <c r="I646" s="1938"/>
      <c r="J646" s="1939"/>
      <c r="K646" s="1939"/>
      <c r="L646" s="1940"/>
      <c r="N646" s="1938"/>
      <c r="O646" s="1939"/>
      <c r="P646" s="1939"/>
      <c r="Q646" s="1940"/>
      <c r="S646" s="1938"/>
      <c r="T646" s="1939"/>
      <c r="U646" s="1939"/>
      <c r="V646" s="1940"/>
      <c r="X646" s="1938"/>
      <c r="Y646" s="1939"/>
      <c r="Z646" s="1939"/>
      <c r="AA646" s="1940"/>
      <c r="AC646" s="1938"/>
      <c r="AD646" s="1939"/>
      <c r="AE646" s="1939"/>
      <c r="AF646" s="1940"/>
      <c r="AH646" s="1938"/>
      <c r="AI646" s="1939"/>
      <c r="AJ646" s="1939"/>
      <c r="AK646" s="1940"/>
    </row>
    <row r="647" spans="2:38" s="176" customFormat="1" ht="15.75" customHeight="1" x14ac:dyDescent="0.45">
      <c r="B647" s="1942"/>
      <c r="C647" s="1945"/>
      <c r="D647" s="1415">
        <f>$B619</f>
        <v>12</v>
      </c>
      <c r="E647" s="1930" t="s">
        <v>352</v>
      </c>
      <c r="F647" s="1930"/>
      <c r="G647" s="1414">
        <f ca="1">INDEX(final_duration_session,((WEEKDAY(E$3,2)*2-1)+IF(E647="Morning",0,1)),$D647)</f>
        <v>60</v>
      </c>
      <c r="H647" s="177"/>
      <c r="I647" s="1415">
        <f>$B619</f>
        <v>12</v>
      </c>
      <c r="J647" s="1930" t="s">
        <v>352</v>
      </c>
      <c r="K647" s="1930"/>
      <c r="L647" s="1414">
        <f ca="1">INDEX(final_duration_session,((WEEKDAY(J$3,2)*2-1)+IF(J647="Morning",0,1)),$D647)</f>
        <v>55</v>
      </c>
      <c r="M647" s="177"/>
      <c r="N647" s="1415">
        <f>$B619</f>
        <v>12</v>
      </c>
      <c r="O647" s="1930" t="s">
        <v>352</v>
      </c>
      <c r="P647" s="1930"/>
      <c r="Q647" s="1414">
        <f ca="1">INDEX(final_duration_session,((WEEKDAY(O$3,2)*2-1)+IF(O647="Morning",0,1)),$D647)</f>
        <v>30</v>
      </c>
      <c r="R647" s="177"/>
      <c r="S647" s="1415">
        <f>$B619</f>
        <v>12</v>
      </c>
      <c r="T647" s="1930" t="s">
        <v>352</v>
      </c>
      <c r="U647" s="1930"/>
      <c r="V647" s="1414">
        <f ca="1">INDEX(final_duration_session,((WEEKDAY(T$3,2)*2-1)+IF(T647="Morning",0,1)),$D647)</f>
        <v>43.3</v>
      </c>
      <c r="W647" s="177"/>
      <c r="X647" s="1415">
        <f>$B619</f>
        <v>12</v>
      </c>
      <c r="Y647" s="1930" t="s">
        <v>352</v>
      </c>
      <c r="Z647" s="1930"/>
      <c r="AA647" s="1414">
        <f ca="1">INDEX(final_duration_session,((WEEKDAY(Y$3,2)*2-1)+IF(Y647="Morning",0,1)),$D647)</f>
        <v>60</v>
      </c>
      <c r="AB647" s="177"/>
      <c r="AC647" s="1415">
        <f>$B619</f>
        <v>12</v>
      </c>
      <c r="AD647" s="1930" t="s">
        <v>352</v>
      </c>
      <c r="AE647" s="1930"/>
      <c r="AF647" s="1414">
        <f ca="1">INDEX(final_duration_session,((WEEKDAY(AD$3,2)*2-1)+IF(AD647="Morning",0,1)),$D647)</f>
        <v>30</v>
      </c>
      <c r="AG647" s="177"/>
      <c r="AH647" s="1415">
        <f>$B619</f>
        <v>12</v>
      </c>
      <c r="AI647" s="1930" t="s">
        <v>352</v>
      </c>
      <c r="AJ647" s="1930"/>
      <c r="AK647" s="1414">
        <f ca="1">INDEX(final_duration_session,((WEEKDAY(AI$3,2)*2-1)+IF(AI647="Morning",0,1)),$D647)</f>
        <v>0</v>
      </c>
      <c r="AL647" s="177"/>
    </row>
    <row r="648" spans="2:38" s="176" customFormat="1" ht="15" customHeight="1" x14ac:dyDescent="0.45">
      <c r="B648" s="1942"/>
      <c r="C648" s="1945"/>
      <c r="D648" s="1931" t="str">
        <f ca="1">IF(G647&gt;0,INDEX(sessions_name,INDEX(plan_session_allocation,((WEEKDAY(E$3,2)*2-1)+IF(E647="Morning",0,1)),D647)),"")</f>
        <v>Strength and Maintenance</v>
      </c>
      <c r="E648" s="1932"/>
      <c r="F648" s="1932"/>
      <c r="G648" s="1933"/>
      <c r="H648" s="177"/>
      <c r="I648" s="1931" t="str">
        <f ca="1">IF(L647&gt;0,INDEX(sessions_name,INDEX(plan_session_allocation,((WEEKDAY(J$3,2)*2-1)+IF(J647="Morning",0,1)),I647)),"")</f>
        <v>Hill Tempo</v>
      </c>
      <c r="J648" s="1932"/>
      <c r="K648" s="1932"/>
      <c r="L648" s="1933"/>
      <c r="M648" s="177"/>
      <c r="N648" s="1931" t="str">
        <f ca="1">IF(Q647&gt;0,INDEX(sessions_name,INDEX(plan_session_allocation,((WEEKDAY(O$3,2)*2-1)+IF(O647="Morning",0,1)),N647)),"")</f>
        <v xml:space="preserve">Easy </v>
      </c>
      <c r="O648" s="1932"/>
      <c r="P648" s="1932"/>
      <c r="Q648" s="1933"/>
      <c r="R648" s="177"/>
      <c r="S648" s="1931" t="str">
        <f ca="1">IF(V647&gt;0,INDEX(sessions_name,INDEX(plan_session_allocation,((WEEKDAY(T$3,2)*2-1)+IF(T647="Morning",0,1)),S647)),"")</f>
        <v>Intervals: 1km w/ 2min</v>
      </c>
      <c r="T648" s="1932"/>
      <c r="U648" s="1932"/>
      <c r="V648" s="1933"/>
      <c r="W648" s="177"/>
      <c r="X648" s="1931" t="str">
        <f ca="1">IF(AA647&gt;0,INDEX(sessions_name,INDEX(plan_session_allocation,((WEEKDAY(Y$3,2)*2-1)+IF(Y647="Morning",0,1)),X647)),"")</f>
        <v>Strength and Maintenance</v>
      </c>
      <c r="Y648" s="1932"/>
      <c r="Z648" s="1932"/>
      <c r="AA648" s="1933"/>
      <c r="AB648" s="177"/>
      <c r="AC648" s="1931" t="str">
        <f ca="1">IF(AF647&gt;0,INDEX(sessions_name,INDEX(plan_session_allocation,((WEEKDAY(AD$3,2)*2-1)+IF(AD647="Morning",0,1)),AC647)),"")</f>
        <v xml:space="preserve">Easy </v>
      </c>
      <c r="AD648" s="1932"/>
      <c r="AE648" s="1932"/>
      <c r="AF648" s="1933"/>
      <c r="AG648" s="177"/>
      <c r="AH648" s="1931" t="str">
        <f ca="1">IF(AK647&gt;0,INDEX(sessions_name,INDEX(plan_session_allocation,((WEEKDAY(AI$3,2)*2-1)+IF(AI647="Morning",0,1)),AH647)),"")</f>
        <v/>
      </c>
      <c r="AI648" s="1932"/>
      <c r="AJ648" s="1932"/>
      <c r="AK648" s="1933"/>
      <c r="AL648" s="177"/>
    </row>
    <row r="649" spans="2:38" s="176" customFormat="1" ht="15" customHeight="1" x14ac:dyDescent="0.45">
      <c r="B649" s="1942"/>
      <c r="C649" s="1945"/>
      <c r="D649" s="1934" t="str">
        <f ca="1">IF(G647&gt;0,CONCATENATE("Sport: ",INDEX(sessions_sport_primary,INDEX(plan_session_allocation,(WEEKDAY(E$3,2)*2-1)+IF(E647="Morning",0,1),D647))),"")</f>
        <v>Sport: Indoor</v>
      </c>
      <c r="E649" s="1935"/>
      <c r="F649" s="1936">
        <f ca="1">IF(G647&gt;0,IFERROR(F650+F651+F652,""),"")</f>
        <v>60</v>
      </c>
      <c r="G649" s="1937"/>
      <c r="H649" s="177"/>
      <c r="I649" s="1934" t="str">
        <f ca="1">IF(L647&gt;0,CONCATENATE("Sport: ",INDEX(sessions_sport_primary,INDEX(plan_session_allocation,(WEEKDAY(J$3,2)*2-1)+IF(J647="Morning",0,1),I647))),"")</f>
        <v>Sport: Hilly Trail Run</v>
      </c>
      <c r="J649" s="1935"/>
      <c r="K649" s="1936">
        <f ca="1">IF(L647&gt;0,IFERROR(K650+K651+K652,""),"")</f>
        <v>55</v>
      </c>
      <c r="L649" s="1937"/>
      <c r="M649" s="177"/>
      <c r="N649" s="1934" t="str">
        <f ca="1">IF(Q647&gt;0,CONCATENATE("Sport: ",INDEX(sessions_sport_primary,INDEX(plan_session_allocation,(WEEKDAY(O$3,2)*2-1)+IF(O647="Morning",0,1),N647))),"")</f>
        <v>Sport: Road Ride</v>
      </c>
      <c r="O649" s="1935"/>
      <c r="P649" s="1936">
        <f ca="1">IF(Q647&gt;0,IFERROR(P650+P651+P652,""),"")</f>
        <v>30</v>
      </c>
      <c r="Q649" s="1937"/>
      <c r="R649" s="177"/>
      <c r="S649" s="1934" t="str">
        <f ca="1">IF(V647&gt;0,CONCATENATE("Sport: ",INDEX(sessions_sport_primary,INDEX(plan_session_allocation,(WEEKDAY(T$3,2)*2-1)+IF(T647="Morning",0,1),S647))),"")</f>
        <v>Sport: Road Run</v>
      </c>
      <c r="T649" s="1935"/>
      <c r="U649" s="1936">
        <f ca="1">IF(V647&gt;0,IFERROR(U650+U651+U652,""),"")</f>
        <v>43.3</v>
      </c>
      <c r="V649" s="1937"/>
      <c r="W649" s="177"/>
      <c r="X649" s="1934" t="str">
        <f ca="1">IF(AA647&gt;0,CONCATENATE("Sport: ",INDEX(sessions_sport_primary,INDEX(plan_session_allocation,(WEEKDAY(Y$3,2)*2-1)+IF(Y647="Morning",0,1),X647))),"")</f>
        <v>Sport: Indoor</v>
      </c>
      <c r="Y649" s="1935"/>
      <c r="Z649" s="1936">
        <f ca="1">IF(AA647&gt;0,IFERROR(Z650+Z651+Z652,""),"")</f>
        <v>60</v>
      </c>
      <c r="AA649" s="1937"/>
      <c r="AB649" s="177"/>
      <c r="AC649" s="1934" t="str">
        <f ca="1">IF(AF647&gt;0,CONCATENATE("Sport: ",INDEX(sessions_sport_primary,INDEX(plan_session_allocation,(WEEKDAY(AD$3,2)*2-1)+IF(AD647="Morning",0,1),AC647))),"")</f>
        <v>Sport: Road Ride</v>
      </c>
      <c r="AD649" s="1935"/>
      <c r="AE649" s="1936">
        <f ca="1">IF(AF647&gt;0,IFERROR(AE650+AE651+AE652,""),"")</f>
        <v>30</v>
      </c>
      <c r="AF649" s="1937"/>
      <c r="AG649" s="177"/>
      <c r="AH649" s="1934" t="str">
        <f ca="1">IF(AK647&gt;0,CONCATENATE("Sport: ",INDEX(sessions_sport_primary,INDEX(plan_session_allocation,(WEEKDAY(AI$3,2)*2-1)+IF(AI647="Morning",0,1),AH647))),"")</f>
        <v/>
      </c>
      <c r="AI649" s="1935"/>
      <c r="AJ649" s="1936" t="str">
        <f ca="1">IF(AK647&gt;0,IFERROR(AJ650+AJ651+AJ652,""),"")</f>
        <v/>
      </c>
      <c r="AK649" s="1937"/>
      <c r="AL649" s="177"/>
    </row>
    <row r="650" spans="2:38" s="177" customFormat="1" ht="15" customHeight="1" x14ac:dyDescent="0.45">
      <c r="B650" s="1942"/>
      <c r="C650" s="1945"/>
      <c r="D650" s="1922" t="str">
        <f ca="1">IF(G647&gt;0,CONCATENATE("HR Target: ",
INDEX(sessions_HR_primary,INDEX(plan_session_allocation,((WEEKDAY(E$3,2)*2-1)+IF(E647="Morning",0,1)),D647)),
IF(INDEX(sessions_HR_primary,INDEX(plan_session_allocation,((WEEKDAY(E$3,2)*2-1)+IF(E647="Morning",0,1)),D647))="N/A","",
" BPM")),"")</f>
        <v>HR Target: N/A</v>
      </c>
      <c r="E650" s="1923"/>
      <c r="F650" s="1924">
        <f ca="1">IF(G647&gt;0,
INDEX(final_duration_effort,((WEEKDAY(E$3,2)*2-1)+IF(E647="Morning",0,1)),D647),"")</f>
        <v>60</v>
      </c>
      <c r="G650" s="1925"/>
      <c r="I650" s="1922" t="str">
        <f ca="1">IF(L647&gt;0,CONCATENATE("HR Target: ",
INDEX(sessions_HR_primary,INDEX(plan_session_allocation,((WEEKDAY(J$3,2)*2-1)+IF(J647="Morning",0,1)),I647)),
IF(INDEX(sessions_HR_primary,INDEX(plan_session_allocation,((WEEKDAY(J$3,2)*2-1)+IF(J647="Morning",0,1)),I647))="N/A","",
" BPM")),"")</f>
        <v>HR Target: 177 BPM</v>
      </c>
      <c r="J650" s="1923"/>
      <c r="K650" s="1924">
        <f ca="1">IF(L647&gt;0,
INDEX(final_duration_effort,((WEEKDAY(J$3,2)*2-1)+IF(J647="Morning",0,1)),I647),"")</f>
        <v>25</v>
      </c>
      <c r="L650" s="1925"/>
      <c r="N650" s="1922" t="str">
        <f ca="1">IF(Q647&gt;0,CONCATENATE("HR Target: ",
INDEX(sessions_HR_primary,INDEX(plan_session_allocation,((WEEKDAY(O$3,2)*2-1)+IF(O647="Morning",0,1)),N647)),
IF(INDEX(sessions_HR_primary,INDEX(plan_session_allocation,((WEEKDAY(O$3,2)*2-1)+IF(O647="Morning",0,1)),N647))="N/A","",
" BPM")),"")</f>
        <v>HR Target: 138 BPM</v>
      </c>
      <c r="O650" s="1923"/>
      <c r="P650" s="1924">
        <f ca="1">IF(Q647&gt;0,
INDEX(final_duration_effort,((WEEKDAY(O$3,2)*2-1)+IF(O647="Morning",0,1)),N647),"")</f>
        <v>30</v>
      </c>
      <c r="Q650" s="1925"/>
      <c r="S650" s="1922" t="str">
        <f ca="1">IF(V647&gt;0,CONCATENATE("HR Target: ",
INDEX(sessions_HR_primary,INDEX(plan_session_allocation,((WEEKDAY(T$3,2)*2-1)+IF(T647="Morning",0,1)),S647)),
IF(INDEX(sessions_HR_primary,INDEX(plan_session_allocation,((WEEKDAY(T$3,2)*2-1)+IF(T647="Morning",0,1)),S647))="N/A","",
" BPM")),"")</f>
        <v>HR Target: 188 BPM</v>
      </c>
      <c r="T650" s="1923"/>
      <c r="U650" s="1924">
        <f ca="1">IF(V647&gt;0,
INDEX(final_duration_effort,((WEEKDAY(T$3,2)*2-1)+IF(T647="Morning",0,1)),S647),"")</f>
        <v>9.3000000000000007</v>
      </c>
      <c r="V650" s="1925"/>
      <c r="X650" s="1922" t="str">
        <f ca="1">IF(AA647&gt;0,CONCATENATE("HR Target: ",
INDEX(sessions_HR_primary,INDEX(plan_session_allocation,((WEEKDAY(Y$3,2)*2-1)+IF(Y647="Morning",0,1)),X647)),
IF(INDEX(sessions_HR_primary,INDEX(plan_session_allocation,((WEEKDAY(Y$3,2)*2-1)+IF(Y647="Morning",0,1)),X647))="N/A","",
" BPM")),"")</f>
        <v>HR Target: N/A</v>
      </c>
      <c r="Y650" s="1923"/>
      <c r="Z650" s="1924">
        <f ca="1">IF(AA647&gt;0,
INDEX(final_duration_effort,((WEEKDAY(Y$3,2)*2-1)+IF(Y647="Morning",0,1)),X647),"")</f>
        <v>60</v>
      </c>
      <c r="AA650" s="1925"/>
      <c r="AC650" s="1922" t="str">
        <f ca="1">IF(AF647&gt;0,CONCATENATE("HR Target: ",
INDEX(sessions_HR_primary,INDEX(plan_session_allocation,((WEEKDAY(AD$3,2)*2-1)+IF(AD647="Morning",0,1)),AC647)),
IF(INDEX(sessions_HR_primary,INDEX(plan_session_allocation,((WEEKDAY(AD$3,2)*2-1)+IF(AD647="Morning",0,1)),AC647))="N/A","",
" BPM")),"")</f>
        <v>HR Target: 138 BPM</v>
      </c>
      <c r="AD650" s="1923"/>
      <c r="AE650" s="1924">
        <f ca="1">IF(AF647&gt;0,
INDEX(final_duration_effort,((WEEKDAY(AD$3,2)*2-1)+IF(AD647="Morning",0,1)),AC647),"")</f>
        <v>30</v>
      </c>
      <c r="AF650" s="1925"/>
      <c r="AH650" s="1922" t="str">
        <f ca="1">IF(AK647&gt;0,CONCATENATE("HR Target: ",
INDEX(sessions_HR_primary,INDEX(plan_session_allocation,((WEEKDAY(AI$3,2)*2-1)+IF(AI647="Morning",0,1)),AH647)),
IF(INDEX(sessions_HR_primary,INDEX(plan_session_allocation,((WEEKDAY(AI$3,2)*2-1)+IF(AI647="Morning",0,1)),AH647))="N/A","",
" BPM")),"")</f>
        <v/>
      </c>
      <c r="AI650" s="1923"/>
      <c r="AJ650" s="1924" t="str">
        <f ca="1">IF(AK647&gt;0,
INDEX(final_duration_effort,((WEEKDAY(AI$3,2)*2-1)+IF(AI647="Morning",0,1)),AH647),"")</f>
        <v/>
      </c>
      <c r="AK650" s="1925"/>
    </row>
    <row r="651" spans="2:38" s="177" customFormat="1" ht="15" customHeight="1" x14ac:dyDescent="0.45">
      <c r="B651" s="1942"/>
      <c r="C651" s="1945"/>
      <c r="D651" s="1926" t="str">
        <f ca="1">IF(G647&gt;0,CONCATENATE("HR Range: ",
INDEX(sessions_HR_range_primary,INDEX(plan_session_allocation,((WEEKDAY(E$3,2)*2-1)+IF(E647="Morning",0,1)),D647)),
IF(INDEX(sessions_HR_range_primary,INDEX(plan_session_allocation,((WEEKDAY(E$3,2)*2-1)+IF(E647="Morning",0,1)),D647))="N/A","",
" BPM")),"")</f>
        <v>HR Range: N/A</v>
      </c>
      <c r="E651" s="1927"/>
      <c r="F651" s="1928">
        <f ca="1">IF(G647&gt;0,IF(
INDEX(sessions_recoveries,INDEX(plan_session_allocation,((WEEKDAY(E$3,2)*2-1)+IF(E647="Morning",0,1)),D647))="Yes",
VLOOKUP(INDEX(plan_duration_primary,((WEEKDAY(E$3,2)*2-1)+IF(E647="Morning",0,1)),D647),
INDIRECT(INDEX(sessions_intervals_code_primary,INDEX(plan_session_allocation,((WEEKDAY(E$3,2)*2-1)+IF(E647="Morning",0,1)),D647))),7,TRUE),0),"")</f>
        <v>0</v>
      </c>
      <c r="G651" s="1929"/>
      <c r="I651" s="1926" t="str">
        <f ca="1">IF(L647&gt;0,CONCATENATE("HR Range: ",
INDEX(sessions_HR_range_primary,INDEX(plan_session_allocation,((WEEKDAY(J$3,2)*2-1)+IF(J647="Morning",0,1)),I647)),
IF(INDEX(sessions_HR_range_primary,INDEX(plan_session_allocation,((WEEKDAY(J$3,2)*2-1)+IF(J647="Morning",0,1)),I647))="N/A","",
" BPM")),"")</f>
        <v>HR Range: 173 - 180 BPM</v>
      </c>
      <c r="J651" s="1927"/>
      <c r="K651" s="1928">
        <f ca="1">IF(L647&gt;0,IF(
INDEX(sessions_recoveries,INDEX(plan_session_allocation,((WEEKDAY(J$3,2)*2-1)+IF(J647="Morning",0,1)),I647))="Yes",
VLOOKUP(INDEX(plan_duration_primary,((WEEKDAY(J$3,2)*2-1)+IF(J647="Morning",0,1)),I647),
INDIRECT(INDEX(sessions_intervals_code_primary,INDEX(plan_session_allocation,((WEEKDAY(J$3,2)*2-1)+IF(J647="Morning",0,1)),I647))),7,TRUE),0),"")</f>
        <v>0</v>
      </c>
      <c r="L651" s="1929"/>
      <c r="N651" s="1926" t="str">
        <f ca="1">IF(Q647&gt;0,CONCATENATE("HR Range: ",
INDEX(sessions_HR_range_primary,INDEX(plan_session_allocation,((WEEKDAY(O$3,2)*2-1)+IF(O647="Morning",0,1)),N647)),
IF(INDEX(sessions_HR_range_primary,INDEX(plan_session_allocation,((WEEKDAY(O$3,2)*2-1)+IF(O647="Morning",0,1)),N647))="N/A","",
" BPM")),"")</f>
        <v>HR Range: 129 - 148 BPM</v>
      </c>
      <c r="O651" s="1927"/>
      <c r="P651" s="1928">
        <f ca="1">IF(Q647&gt;0,IF(
INDEX(sessions_recoveries,INDEX(plan_session_allocation,((WEEKDAY(O$3,2)*2-1)+IF(O647="Morning",0,1)),N647))="Yes",
VLOOKUP(INDEX(plan_duration_primary,((WEEKDAY(O$3,2)*2-1)+IF(O647="Morning",0,1)),N647),
INDIRECT(INDEX(sessions_intervals_code_primary,INDEX(plan_session_allocation,((WEEKDAY(O$3,2)*2-1)+IF(O647="Morning",0,1)),N647))),7,TRUE),0),"")</f>
        <v>0</v>
      </c>
      <c r="Q651" s="1929"/>
      <c r="S651" s="1926" t="str">
        <f ca="1">IF(V647&gt;0,CONCATENATE("HR Range: ",
INDEX(sessions_HR_range_primary,INDEX(plan_session_allocation,((WEEKDAY(T$3,2)*2-1)+IF(T647="Morning",0,1)),S647)),
IF(INDEX(sessions_HR_range_primary,INDEX(plan_session_allocation,((WEEKDAY(T$3,2)*2-1)+IF(T647="Morning",0,1)),S647))="N/A","",
" BPM")),"")</f>
        <v>HR Range: 184 - 192 BPM</v>
      </c>
      <c r="T651" s="1927"/>
      <c r="U651" s="1928">
        <f ca="1">IF(V647&gt;0,IF(
INDEX(sessions_recoveries,INDEX(plan_session_allocation,((WEEKDAY(T$3,2)*2-1)+IF(T647="Morning",0,1)),S647))="Yes",
VLOOKUP(INDEX(plan_duration_primary,((WEEKDAY(T$3,2)*2-1)+IF(T647="Morning",0,1)),S647),
INDIRECT(INDEX(sessions_intervals_code_primary,INDEX(plan_session_allocation,((WEEKDAY(T$3,2)*2-1)+IF(T647="Morning",0,1)),S647))),7,TRUE),0),"")</f>
        <v>4</v>
      </c>
      <c r="V651" s="1929"/>
      <c r="X651" s="1926" t="str">
        <f ca="1">IF(AA647&gt;0,CONCATENATE("HR Range: ",
INDEX(sessions_HR_range_primary,INDEX(plan_session_allocation,((WEEKDAY(Y$3,2)*2-1)+IF(Y647="Morning",0,1)),X647)),
IF(INDEX(sessions_HR_range_primary,INDEX(plan_session_allocation,((WEEKDAY(Y$3,2)*2-1)+IF(Y647="Morning",0,1)),X647))="N/A","",
" BPM")),"")</f>
        <v>HR Range: N/A</v>
      </c>
      <c r="Y651" s="1927"/>
      <c r="Z651" s="1928">
        <f ca="1">IF(AA647&gt;0,IF(
INDEX(sessions_recoveries,INDEX(plan_session_allocation,((WEEKDAY(Y$3,2)*2-1)+IF(Y647="Morning",0,1)),X647))="Yes",
VLOOKUP(INDEX(plan_duration_primary,((WEEKDAY(Y$3,2)*2-1)+IF(Y647="Morning",0,1)),X647),
INDIRECT(INDEX(sessions_intervals_code_primary,INDEX(plan_session_allocation,((WEEKDAY(Y$3,2)*2-1)+IF(Y647="Morning",0,1)),X647))),7,TRUE),0),"")</f>
        <v>0</v>
      </c>
      <c r="AA651" s="1929"/>
      <c r="AC651" s="1926" t="str">
        <f ca="1">IF(AF647&gt;0,CONCATENATE("HR Range: ",
INDEX(sessions_HR_range_primary,INDEX(plan_session_allocation,((WEEKDAY(AD$3,2)*2-1)+IF(AD647="Morning",0,1)),AC647)),
IF(INDEX(sessions_HR_range_primary,INDEX(plan_session_allocation,((WEEKDAY(AD$3,2)*2-1)+IF(AD647="Morning",0,1)),AC647))="N/A","",
" BPM")),"")</f>
        <v>HR Range: 129 - 148 BPM</v>
      </c>
      <c r="AD651" s="1927"/>
      <c r="AE651" s="1928">
        <f ca="1">IF(AF647&gt;0,IF(
INDEX(sessions_recoveries,INDEX(plan_session_allocation,((WEEKDAY(AD$3,2)*2-1)+IF(AD647="Morning",0,1)),AC647))="Yes",
VLOOKUP(INDEX(plan_duration_primary,((WEEKDAY(AD$3,2)*2-1)+IF(AD647="Morning",0,1)),AC647),
INDIRECT(INDEX(sessions_intervals_code_primary,INDEX(plan_session_allocation,((WEEKDAY(AD$3,2)*2-1)+IF(AD647="Morning",0,1)),AC647))),7,TRUE),0),"")</f>
        <v>0</v>
      </c>
      <c r="AF651" s="1929"/>
      <c r="AH651" s="1926" t="str">
        <f ca="1">IF(AK647&gt;0,CONCATENATE("HR Range: ",
INDEX(sessions_HR_range_primary,INDEX(plan_session_allocation,((WEEKDAY(AI$3,2)*2-1)+IF(AI647="Morning",0,1)),AH647)),
IF(INDEX(sessions_HR_range_primary,INDEX(plan_session_allocation,((WEEKDAY(AI$3,2)*2-1)+IF(AI647="Morning",0,1)),AH647))="N/A","",
" BPM")),"")</f>
        <v/>
      </c>
      <c r="AI651" s="1927"/>
      <c r="AJ651" s="1928" t="str">
        <f ca="1">IF(AK647&gt;0,IF(
INDEX(sessions_recoveries,INDEX(plan_session_allocation,((WEEKDAY(AI$3,2)*2-1)+IF(AI647="Morning",0,1)),AH647))="Yes",
VLOOKUP(INDEX(plan_duration_primary,((WEEKDAY(AI$3,2)*2-1)+IF(AI647="Morning",0,1)),AH647),
INDIRECT(INDEX(sessions_intervals_code_primary,INDEX(plan_session_allocation,((WEEKDAY(AI$3,2)*2-1)+IF(AI647="Morning",0,1)),AH647))),7,TRUE),0),"")</f>
        <v/>
      </c>
      <c r="AK651" s="1929"/>
    </row>
    <row r="652" spans="2:38" s="177" customFormat="1" ht="15" customHeight="1" x14ac:dyDescent="0.45">
      <c r="B652" s="1942"/>
      <c r="C652" s="1945"/>
      <c r="D652" s="1909" t="str">
        <f ca="1">IF(G647&gt;0,CONCATENATE("Equivalent Pace: ",
TEXT(INDEX(sessions_pace_primary,INDEX(plan_session_allocation,(WEEKDAY(E$3,2)*2-1)+IF(E647="Morning",0,1),D647)),"m:ss"),
" min/km"
),"")</f>
        <v>Equivalent Pace:  min/km</v>
      </c>
      <c r="E652" s="1910"/>
      <c r="F652" s="1911">
        <f ca="1">IF(G647&gt;0, INDEX(final_duration_WU,((WEEKDAY(E$3,2)*2-1)+IF(E647="Morning",0,1)),D647)  + INDEX(final_duration_WD,((WEEKDAY(E$3,2)*2-1)+IF(E647="Morning",0,1)),D647), "")</f>
        <v>0</v>
      </c>
      <c r="G652" s="1912"/>
      <c r="I652" s="1909" t="str">
        <f ca="1">IF(L647&gt;0,CONCATENATE("Equivalent Pace: ",
TEXT(INDEX(sessions_pace_primary,INDEX(plan_session_allocation,(WEEKDAY(J$3,2)*2-1)+IF(J647="Morning",0,1),I647)),"m:ss"),
" min/km"
),"")</f>
        <v>Equivalent Pace: 3:21 min/km</v>
      </c>
      <c r="J652" s="1910"/>
      <c r="K652" s="1911">
        <f ca="1">IF(L647&gt;0, INDEX(final_duration_WU,((WEEKDAY(J$3,2)*2-1)+IF(J647="Morning",0,1)),I647)  + INDEX(final_duration_WD,((WEEKDAY(J$3,2)*2-1)+IF(J647="Morning",0,1)),I647), "")</f>
        <v>30</v>
      </c>
      <c r="L652" s="1912"/>
      <c r="N652" s="1909" t="str">
        <f ca="1">IF(Q647&gt;0,CONCATENATE("Equivalent Pace: ",
TEXT(INDEX(sessions_pace_primary,INDEX(plan_session_allocation,(WEEKDAY(O$3,2)*2-1)+IF(O647="Morning",0,1),N647)),"m:ss"),
" min/km"
),"")</f>
        <v>Equivalent Pace: 4:39 min/km</v>
      </c>
      <c r="O652" s="1910"/>
      <c r="P652" s="1911">
        <f ca="1">IF(Q647&gt;0, INDEX(final_duration_WU,((WEEKDAY(O$3,2)*2-1)+IF(O647="Morning",0,1)),N647)  + INDEX(final_duration_WD,((WEEKDAY(O$3,2)*2-1)+IF(O647="Morning",0,1)),N647), "")</f>
        <v>0</v>
      </c>
      <c r="Q652" s="1912"/>
      <c r="S652" s="1909" t="str">
        <f ca="1">IF(V647&gt;0,CONCATENATE("Equivalent Pace: ",
TEXT(INDEX(sessions_pace_primary,INDEX(plan_session_allocation,(WEEKDAY(T$3,2)*2-1)+IF(T647="Morning",0,1),S647)),"m:ss"),
" min/km"
),"")</f>
        <v>Equivalent Pace: 3:06 min/km</v>
      </c>
      <c r="T652" s="1910"/>
      <c r="U652" s="1911">
        <f ca="1">IF(V647&gt;0, INDEX(final_duration_WU,((WEEKDAY(T$3,2)*2-1)+IF(T647="Morning",0,1)),S647)  + INDEX(final_duration_WD,((WEEKDAY(T$3,2)*2-1)+IF(T647="Morning",0,1)),S647), "")</f>
        <v>30</v>
      </c>
      <c r="V652" s="1912"/>
      <c r="X652" s="1909" t="str">
        <f ca="1">IF(AA647&gt;0,CONCATENATE("Equivalent Pace: ",
TEXT(INDEX(sessions_pace_primary,INDEX(plan_session_allocation,(WEEKDAY(Y$3,2)*2-1)+IF(Y647="Morning",0,1),X647)),"m:ss"),
" min/km"
),"")</f>
        <v>Equivalent Pace:  min/km</v>
      </c>
      <c r="Y652" s="1910"/>
      <c r="Z652" s="1911">
        <f ca="1">IF(AA647&gt;0, INDEX(final_duration_WU,((WEEKDAY(Y$3,2)*2-1)+IF(Y647="Morning",0,1)),X647)  + INDEX(final_duration_WD,((WEEKDAY(Y$3,2)*2-1)+IF(Y647="Morning",0,1)),X647), "")</f>
        <v>0</v>
      </c>
      <c r="AA652" s="1912"/>
      <c r="AC652" s="1909" t="str">
        <f ca="1">IF(AF647&gt;0,CONCATENATE("Equivalent Pace: ",
TEXT(INDEX(sessions_pace_primary,INDEX(plan_session_allocation,(WEEKDAY(AD$3,2)*2-1)+IF(AD647="Morning",0,1),AC647)),"m:ss"),
" min/km"
),"")</f>
        <v>Equivalent Pace: 4:39 min/km</v>
      </c>
      <c r="AD652" s="1910"/>
      <c r="AE652" s="1911">
        <f ca="1">IF(AF647&gt;0, INDEX(final_duration_WU,((WEEKDAY(AD$3,2)*2-1)+IF(AD647="Morning",0,1)),AC647)  + INDEX(final_duration_WD,((WEEKDAY(AD$3,2)*2-1)+IF(AD647="Morning",0,1)),AC647), "")</f>
        <v>0</v>
      </c>
      <c r="AF652" s="1912"/>
      <c r="AH652" s="1909" t="str">
        <f ca="1">IF(AK647&gt;0,CONCATENATE("Equivalent Pace: ",
TEXT(INDEX(sessions_pace_primary,INDEX(plan_session_allocation,(WEEKDAY(AI$3,2)*2-1)+IF(AI647="Morning",0,1),AH647)),"m:ss"),
" min/km"
),"")</f>
        <v/>
      </c>
      <c r="AI652" s="1910"/>
      <c r="AJ652" s="1911" t="str">
        <f ca="1">IF(AK647&gt;0, INDEX(final_duration_WU,((WEEKDAY(AI$3,2)*2-1)+IF(AI647="Morning",0,1)),AH647)  + INDEX(final_duration_WD,((WEEKDAY(AI$3,2)*2-1)+IF(AI647="Morning",0,1)),AH647), "")</f>
        <v/>
      </c>
      <c r="AK652" s="1912"/>
    </row>
    <row r="653" spans="2:38" s="176" customFormat="1" ht="15" customHeight="1" x14ac:dyDescent="0.45">
      <c r="B653" s="1942"/>
      <c r="C653" s="1945"/>
      <c r="D653" s="1913" t="str">
        <f ca="1">IF(G647&gt;0,CONCATENATE(IFERROR(CONCATENATE(IF(INDEX(display_intervals_breakdown,((WEEKDAY(E$3,2)*2-1)+IF(E647="Morning",0,1)),D647)="","",CONCATENATE("Intervals/Reps Breakdown: 
",INDEX(display_intervals_breakdown,((WEEKDAY(E$3,2)*2-1)+IF(E647="Morning",0,1)),D647),"
")),"Session Description: 
",CONCATENATE(IF(INDEX(final_duration_secondary,((WEEKDAY(E$3,2)*2-1)+IF(E647="Morning",0,1)),D647)=0,"","1. "),
INDEX(sessions_description_primary,,INDEX(plan_session_allocation,((WEEKDAY(E$3,2)*2-1)+IF(E647="Morning",0,1)),D647)),IF(INDEX(final_duration_secondary,((WEEKDAY(E$3,2)*2-1)+IF(E647="Morning",0,1)),D647)=0,"","
2. "),
IF(INDEX(final_duration_secondary,((WEEKDAY(E$3,2)*2-1)+IF(E647="Morning",0,1)),D647)=0,"",INDEX(sessions_description_secondary,,INDEX(plan_session_allocation,((WEEKDAY(E$3,2)*2-1)+IF(E647="Morning",0,1)),D647))),IF(INDEX(final_duration_tertiary,((WEEKDAY(E$3,2)*2-1)+IF(E647="Morning",0,1)),D647)=0,"","
3. "),
IF(INDEX(final_duration_tertiary,((WEEKDAY(E$3,2)*2-1)+IF(E647="Morning",0,1)),D647)="","",INDEX(sessions_description_tertiary,,INDEX(plan_session_allocation,((WEEKDAY(E$3,2)*2-1)+IF(E647="Morning",0,1)),D647))),
IF(INDEX(display_nutrition_description,((WEEKDAY(E$3,2)*2-1)+IF(E647="Morning",0,1)),D647)="","",
CONCATENATE("
Meal Plan: ", INDEX(sessions_nutrition,,INDEX(plan_session_allocation,((WEEKDAY(E$3,2)*2-1)+IF(E647="Morning",0,1)),D647)), "
", INDEX(display_nutrition_description,((WEEKDAY(E$3,2)*2-1)+IF(E647="Morning",0,1)),D647)))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653" s="1914"/>
      <c r="F653" s="1914"/>
      <c r="G653" s="1915"/>
      <c r="H653" s="177"/>
      <c r="I653" s="1913" t="str">
        <f ca="1">IF(L647&gt;0,CONCATENATE(IFERROR(CONCATENATE(IF(INDEX(display_intervals_breakdown,((WEEKDAY(J$3,2)*2-1)+IF(J647="Morning",0,1)),I647)="","",CONCATENATE("Intervals/Reps Breakdown: 
",INDEX(display_intervals_breakdown,((WEEKDAY(J$3,2)*2-1)+IF(J647="Morning",0,1)),I647),"
")),"Session Description: 
",CONCATENATE(IF(INDEX(final_duration_secondary,((WEEKDAY(J$3,2)*2-1)+IF(J647="Morning",0,1)),I647)=0,"","1. "),
INDEX(sessions_description_primary,,INDEX(plan_session_allocation,((WEEKDAY(J$3,2)*2-1)+IF(J647="Morning",0,1)),I647)),IF(INDEX(final_duration_secondary,((WEEKDAY(J$3,2)*2-1)+IF(J647="Morning",0,1)),I647)=0,"","
2. "),
IF(INDEX(final_duration_secondary,((WEEKDAY(J$3,2)*2-1)+IF(J647="Morning",0,1)),I647)=0,"",INDEX(sessions_description_secondary,,INDEX(plan_session_allocation,((WEEKDAY(J$3,2)*2-1)+IF(J647="Morning",0,1)),I647))),IF(INDEX(final_duration_tertiary,((WEEKDAY(J$3,2)*2-1)+IF(J647="Morning",0,1)),I647)=0,"","
3. "),
IF(INDEX(final_duration_tertiary,((WEEKDAY(J$3,2)*2-1)+IF(J647="Morning",0,1)),I647)="","",INDEX(sessions_description_tertiary,,INDEX(plan_session_allocation,((WEEKDAY(J$3,2)*2-1)+IF(J647="Morning",0,1)),I647))),
IF(INDEX(display_nutrition_description,((WEEKDAY(J$3,2)*2-1)+IF(J647="Morning",0,1)),I647)="","",
CONCATENATE("
Meal Plan: ", INDEX(sessions_nutrition,,INDEX(plan_session_allocation,((WEEKDAY(J$3,2)*2-1)+IF(J647="Morning",0,1)),I647)), "
", INDEX(display_nutrition_description,((WEEKDAY(J$3,2)*2-1)+IF(J647="Morning",0,1)),I647)))
)),"")),"")</f>
        <v>Session Description: 
Accelerate to a fast pace which you should be able to hold for 50 minutes in a race situation. This will take concentration, but it's important to keep the intensity even, so do not start too hard. Warm up and warm down for 10 minutes each.</v>
      </c>
      <c r="J653" s="1914"/>
      <c r="K653" s="1914"/>
      <c r="L653" s="1915"/>
      <c r="M653" s="177"/>
      <c r="N653" s="1913" t="str">
        <f ca="1">IF(Q647&gt;0,CONCATENATE(IFERROR(CONCATENATE(IF(INDEX(display_intervals_breakdown,((WEEKDAY(O$3,2)*2-1)+IF(O647="Morning",0,1)),N647)="","",CONCATENATE("Intervals/Reps Breakdown: 
",INDEX(display_intervals_breakdown,((WEEKDAY(O$3,2)*2-1)+IF(O647="Morning",0,1)),N647),"
")),"Session Description: 
",CONCATENATE(IF(INDEX(final_duration_secondary,((WEEKDAY(O$3,2)*2-1)+IF(O647="Morning",0,1)),N647)=0,"","1. "),
INDEX(sessions_description_primary,,INDEX(plan_session_allocation,((WEEKDAY(O$3,2)*2-1)+IF(O647="Morning",0,1)),N647)),IF(INDEX(final_duration_secondary,((WEEKDAY(O$3,2)*2-1)+IF(O647="Morning",0,1)),N647)=0,"","
2. "),
IF(INDEX(final_duration_secondary,((WEEKDAY(O$3,2)*2-1)+IF(O647="Morning",0,1)),N647)=0,"",INDEX(sessions_description_secondary,,INDEX(plan_session_allocation,((WEEKDAY(O$3,2)*2-1)+IF(O647="Morning",0,1)),N647))),IF(INDEX(final_duration_tertiary,((WEEKDAY(O$3,2)*2-1)+IF(O647="Morning",0,1)),N647)=0,"","
3. "),
IF(INDEX(final_duration_tertiary,((WEEKDAY(O$3,2)*2-1)+IF(O647="Morning",0,1)),N647)="","",INDEX(sessions_description_tertiary,,INDEX(plan_session_allocation,((WEEKDAY(O$3,2)*2-1)+IF(O647="Morning",0,1)),N647))),
IF(INDEX(display_nutrition_description,((WEEKDAY(O$3,2)*2-1)+IF(O647="Morning",0,1)),N647)="","",
CONCATENATE("
Meal Plan: ", INDEX(sessions_nutrition,,INDEX(plan_session_allocation,((WEEKDAY(O$3,2)*2-1)+IF(O647="Morning",0,1)),N647)), "
", INDEX(display_nutrition_description,((WEEKDAY(O$3,2)*2-1)+IF(O647="Morning",0,1)),N647)))
)),"")),"")</f>
        <v>Session Description: 
Stay at a comfortable and controlled intensity where you should be able to have a conversation without large pauses. Keep an even intensity and accept that your pace may change as the terrain changes.</v>
      </c>
      <c r="O653" s="1914"/>
      <c r="P653" s="1914"/>
      <c r="Q653" s="1915"/>
      <c r="R653" s="177"/>
      <c r="S653" s="1913" t="str">
        <f ca="1">IF(V647&gt;0,CONCATENATE(IFERROR(CONCATENATE(IF(INDEX(display_intervals_breakdown,((WEEKDAY(T$3,2)*2-1)+IF(T647="Morning",0,1)),S647)="","",CONCATENATE("Intervals/Reps Breakdown: 
",INDEX(display_intervals_breakdown,((WEEKDAY(T$3,2)*2-1)+IF(T647="Morning",0,1)),S647),"
")),"Session Description: 
",CONCATENATE(IF(INDEX(final_duration_secondary,((WEEKDAY(T$3,2)*2-1)+IF(T647="Morning",0,1)),S647)=0,"","1. "),
INDEX(sessions_description_primary,,INDEX(plan_session_allocation,((WEEKDAY(T$3,2)*2-1)+IF(T647="Morning",0,1)),S647)),IF(INDEX(final_duration_secondary,((WEEKDAY(T$3,2)*2-1)+IF(T647="Morning",0,1)),S647)=0,"","
2. "),
IF(INDEX(final_duration_secondary,((WEEKDAY(T$3,2)*2-1)+IF(T647="Morning",0,1)),S647)=0,"",INDEX(sessions_description_secondary,,INDEX(plan_session_allocation,((WEEKDAY(T$3,2)*2-1)+IF(T647="Morning",0,1)),S647))),IF(INDEX(final_duration_tertiary,((WEEKDAY(T$3,2)*2-1)+IF(T647="Morning",0,1)),S647)=0,"","
3. "),
IF(INDEX(final_duration_tertiary,((WEEKDAY(T$3,2)*2-1)+IF(T647="Morning",0,1)),S647)="","",INDEX(sessions_description_tertiary,,INDEX(plan_session_allocation,((WEEKDAY(T$3,2)*2-1)+IF(T647="Morning",0,1)),S647))),
IF(INDEX(display_nutrition_description,((WEEKDAY(T$3,2)*2-1)+IF(T647="Morning",0,1)),S647)="","",
CONCATENATE("
Meal Plan: ", INDEX(sessions_nutrition,,INDEX(plan_session_allocation,((WEEKDAY(T$3,2)*2-1)+IF(T647="Morning",0,1)),S647)), "
", INDEX(display_nutrition_description,((WEEKDAY(T$3,2)*2-1)+IF(T647="Morning",0,1)),S647)))
)),"")),"")</f>
        <v>Intervals/Reps Breakdown: 
Efforts of: 1km x3
And recoveries of: 2 minutes
Session Description: 
Intervals are hard, but don't start so hard that you can't run the same pace for all intervals in the session. Forget about HR, and focus on feeling your intensity. Do the recoveries at an easy intensity. Warm up and warm down for 10 minutes each.</v>
      </c>
      <c r="T653" s="1914"/>
      <c r="U653" s="1914"/>
      <c r="V653" s="1915"/>
      <c r="W653" s="177"/>
      <c r="X653" s="1913" t="str">
        <f ca="1">IF(AA647&gt;0,CONCATENATE(IFERROR(CONCATENATE(IF(INDEX(display_intervals_breakdown,((WEEKDAY(Y$3,2)*2-1)+IF(Y647="Morning",0,1)),X647)="","",CONCATENATE("Intervals/Reps Breakdown: 
",INDEX(display_intervals_breakdown,((WEEKDAY(Y$3,2)*2-1)+IF(Y647="Morning",0,1)),X647),"
")),"Session Description: 
",CONCATENATE(IF(INDEX(final_duration_secondary,((WEEKDAY(Y$3,2)*2-1)+IF(Y647="Morning",0,1)),X647)=0,"","1. "),
INDEX(sessions_description_primary,,INDEX(plan_session_allocation,((WEEKDAY(Y$3,2)*2-1)+IF(Y647="Morning",0,1)),X647)),IF(INDEX(final_duration_secondary,((WEEKDAY(Y$3,2)*2-1)+IF(Y647="Morning",0,1)),X647)=0,"","
2. "),
IF(INDEX(final_duration_secondary,((WEEKDAY(Y$3,2)*2-1)+IF(Y647="Morning",0,1)),X647)=0,"",INDEX(sessions_description_secondary,,INDEX(plan_session_allocation,((WEEKDAY(Y$3,2)*2-1)+IF(Y647="Morning",0,1)),X647))),IF(INDEX(final_duration_tertiary,((WEEKDAY(Y$3,2)*2-1)+IF(Y647="Morning",0,1)),X647)=0,"","
3. "),
IF(INDEX(final_duration_tertiary,((WEEKDAY(Y$3,2)*2-1)+IF(Y647="Morning",0,1)),X647)="","",INDEX(sessions_description_tertiary,,INDEX(plan_session_allocation,((WEEKDAY(Y$3,2)*2-1)+IF(Y647="Morning",0,1)),X647))),
IF(INDEX(display_nutrition_description,((WEEKDAY(Y$3,2)*2-1)+IF(Y647="Morning",0,1)),X647)="","",
CONCATENATE("
Meal Plan: ", INDEX(sessions_nutrition,,INDEX(plan_session_allocation,((WEEKDAY(Y$3,2)*2-1)+IF(Y647="Morning",0,1)),X647)), "
", INDEX(display_nutrition_description,((WEEKDAY(Y$3,2)*2-1)+IF(Y647="Morning",0,1)),X647)))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653" s="1914"/>
      <c r="Z653" s="1914"/>
      <c r="AA653" s="1915"/>
      <c r="AB653" s="177"/>
      <c r="AC653" s="1913" t="str">
        <f ca="1">IF(AF647&gt;0,CONCATENATE(IFERROR(CONCATENATE(IF(INDEX(display_intervals_breakdown,((WEEKDAY(AD$3,2)*2-1)+IF(AD647="Morning",0,1)),AC647)="","",CONCATENATE("Intervals/Reps Breakdown: 
",INDEX(display_intervals_breakdown,((WEEKDAY(AD$3,2)*2-1)+IF(AD647="Morning",0,1)),AC647),"
")),"Session Description: 
",CONCATENATE(IF(INDEX(final_duration_secondary,((WEEKDAY(AD$3,2)*2-1)+IF(AD647="Morning",0,1)),AC647)=0,"","1. "),
INDEX(sessions_description_primary,,INDEX(plan_session_allocation,((WEEKDAY(AD$3,2)*2-1)+IF(AD647="Morning",0,1)),AC647)),IF(INDEX(final_duration_secondary,((WEEKDAY(AD$3,2)*2-1)+IF(AD647="Morning",0,1)),AC647)=0,"","
2. "),
IF(INDEX(final_duration_secondary,((WEEKDAY(AD$3,2)*2-1)+IF(AD647="Morning",0,1)),AC647)=0,"",INDEX(sessions_description_secondary,,INDEX(plan_session_allocation,((WEEKDAY(AD$3,2)*2-1)+IF(AD647="Morning",0,1)),AC647))),IF(INDEX(final_duration_tertiary,((WEEKDAY(AD$3,2)*2-1)+IF(AD647="Morning",0,1)),AC647)=0,"","
3. "),
IF(INDEX(final_duration_tertiary,((WEEKDAY(AD$3,2)*2-1)+IF(AD647="Morning",0,1)),AC647)="","",INDEX(sessions_description_tertiary,,INDEX(plan_session_allocation,((WEEKDAY(AD$3,2)*2-1)+IF(AD647="Morning",0,1)),AC647))),
IF(INDEX(display_nutrition_description,((WEEKDAY(AD$3,2)*2-1)+IF(AD647="Morning",0,1)),AC647)="","",
CONCATENATE("
Meal Plan: ", INDEX(sessions_nutrition,,INDEX(plan_session_allocation,((WEEKDAY(AD$3,2)*2-1)+IF(AD647="Morning",0,1)),AC647)), "
", INDEX(display_nutrition_description,((WEEKDAY(AD$3,2)*2-1)+IF(AD647="Morning",0,1)),AC647)))
)),"")),"")</f>
        <v>Session Description: 
Stay at a comfortable and controlled intensity where you should be able to have a conversation without large pauses. Keep an even intensity and accept that your pace may change as the terrain changes.</v>
      </c>
      <c r="AD653" s="1914"/>
      <c r="AE653" s="1914"/>
      <c r="AF653" s="1915"/>
      <c r="AG653" s="177"/>
      <c r="AH653" s="1913" t="str">
        <f ca="1">IF(AK647&gt;0,CONCATENATE(IFERROR(CONCATENATE(IF(INDEX(display_intervals_breakdown,((WEEKDAY(AI$3,2)*2-1)+IF(AI647="Morning",0,1)),AH647)="","",CONCATENATE("Intervals/Reps Breakdown: 
",INDEX(display_intervals_breakdown,((WEEKDAY(AI$3,2)*2-1)+IF(AI647="Morning",0,1)),AH647),"
")),"Session Description: 
",CONCATENATE(IF(INDEX(final_duration_secondary,((WEEKDAY(AI$3,2)*2-1)+IF(AI647="Morning",0,1)),AH647)=0,"","1. "),
INDEX(sessions_description_primary,,INDEX(plan_session_allocation,((WEEKDAY(AI$3,2)*2-1)+IF(AI647="Morning",0,1)),AH647)),IF(INDEX(final_duration_secondary,((WEEKDAY(AI$3,2)*2-1)+IF(AI647="Morning",0,1)),AH647)=0,"","
2. "),
IF(INDEX(final_duration_secondary,((WEEKDAY(AI$3,2)*2-1)+IF(AI647="Morning",0,1)),AH647)=0,"",INDEX(sessions_description_secondary,,INDEX(plan_session_allocation,((WEEKDAY(AI$3,2)*2-1)+IF(AI647="Morning",0,1)),AH647))),IF(INDEX(final_duration_tertiary,((WEEKDAY(AI$3,2)*2-1)+IF(AI647="Morning",0,1)),AH647)=0,"","
3. "),
IF(INDEX(final_duration_tertiary,((WEEKDAY(AI$3,2)*2-1)+IF(AI647="Morning",0,1)),AH647)="","",INDEX(sessions_description_tertiary,,INDEX(plan_session_allocation,((WEEKDAY(AI$3,2)*2-1)+IF(AI647="Morning",0,1)),AH647))),
IF(INDEX(display_nutrition_description,((WEEKDAY(AI$3,2)*2-1)+IF(AI647="Morning",0,1)),AH647)="","",
CONCATENATE("
Meal Plan: ", INDEX(sessions_nutrition,,INDEX(plan_session_allocation,((WEEKDAY(AI$3,2)*2-1)+IF(AI647="Morning",0,1)),AH647)), "
", INDEX(display_nutrition_description,((WEEKDAY(AI$3,2)*2-1)+IF(AI647="Morning",0,1)),AH647)))
)),"")),"")</f>
        <v/>
      </c>
      <c r="AI653" s="1914"/>
      <c r="AJ653" s="1914"/>
      <c r="AK653" s="1915"/>
      <c r="AL653" s="177"/>
    </row>
    <row r="654" spans="2:38" s="176" customFormat="1" ht="15" customHeight="1" x14ac:dyDescent="0.45">
      <c r="B654" s="1942"/>
      <c r="C654" s="1945"/>
      <c r="D654" s="1916"/>
      <c r="E654" s="1917"/>
      <c r="F654" s="1917"/>
      <c r="G654" s="1918"/>
      <c r="H654" s="177"/>
      <c r="I654" s="1916"/>
      <c r="J654" s="1917"/>
      <c r="K654" s="1917"/>
      <c r="L654" s="1918"/>
      <c r="M654" s="177"/>
      <c r="N654" s="1916"/>
      <c r="O654" s="1917"/>
      <c r="P654" s="1917"/>
      <c r="Q654" s="1918"/>
      <c r="R654" s="177"/>
      <c r="S654" s="1916"/>
      <c r="T654" s="1917"/>
      <c r="U654" s="1917"/>
      <c r="V654" s="1918"/>
      <c r="W654" s="177"/>
      <c r="X654" s="1916"/>
      <c r="Y654" s="1917"/>
      <c r="Z654" s="1917"/>
      <c r="AA654" s="1918"/>
      <c r="AB654" s="177"/>
      <c r="AC654" s="1916"/>
      <c r="AD654" s="1917"/>
      <c r="AE654" s="1917"/>
      <c r="AF654" s="1918"/>
      <c r="AG654" s="177"/>
      <c r="AH654" s="1916"/>
      <c r="AI654" s="1917"/>
      <c r="AJ654" s="1917"/>
      <c r="AK654" s="1918"/>
      <c r="AL654" s="177"/>
    </row>
    <row r="655" spans="2:38" s="176" customFormat="1" ht="15" customHeight="1" x14ac:dyDescent="0.45">
      <c r="B655" s="1942"/>
      <c r="C655" s="1945"/>
      <c r="D655" s="1916"/>
      <c r="E655" s="1917"/>
      <c r="F655" s="1917"/>
      <c r="G655" s="1918"/>
      <c r="H655" s="177"/>
      <c r="I655" s="1916"/>
      <c r="J655" s="1917"/>
      <c r="K655" s="1917"/>
      <c r="L655" s="1918"/>
      <c r="M655" s="177"/>
      <c r="N655" s="1916"/>
      <c r="O655" s="1917"/>
      <c r="P655" s="1917"/>
      <c r="Q655" s="1918"/>
      <c r="R655" s="177"/>
      <c r="S655" s="1916"/>
      <c r="T655" s="1917"/>
      <c r="U655" s="1917"/>
      <c r="V655" s="1918"/>
      <c r="W655" s="177"/>
      <c r="X655" s="1916"/>
      <c r="Y655" s="1917"/>
      <c r="Z655" s="1917"/>
      <c r="AA655" s="1918"/>
      <c r="AB655" s="177"/>
      <c r="AC655" s="1916"/>
      <c r="AD655" s="1917"/>
      <c r="AE655" s="1917"/>
      <c r="AF655" s="1918"/>
      <c r="AG655" s="177"/>
      <c r="AH655" s="1916"/>
      <c r="AI655" s="1917"/>
      <c r="AJ655" s="1917"/>
      <c r="AK655" s="1918"/>
      <c r="AL655" s="177"/>
    </row>
    <row r="656" spans="2:38" s="176" customFormat="1" x14ac:dyDescent="0.45">
      <c r="B656" s="1942"/>
      <c r="C656" s="1945"/>
      <c r="D656" s="1916"/>
      <c r="E656" s="1917"/>
      <c r="F656" s="1917"/>
      <c r="G656" s="1918"/>
      <c r="H656" s="177"/>
      <c r="I656" s="1916"/>
      <c r="J656" s="1917"/>
      <c r="K656" s="1917"/>
      <c r="L656" s="1918"/>
      <c r="M656" s="177"/>
      <c r="N656" s="1916"/>
      <c r="O656" s="1917"/>
      <c r="P656" s="1917"/>
      <c r="Q656" s="1918"/>
      <c r="R656" s="177"/>
      <c r="S656" s="1916"/>
      <c r="T656" s="1917"/>
      <c r="U656" s="1917"/>
      <c r="V656" s="1918"/>
      <c r="W656" s="177"/>
      <c r="X656" s="1916"/>
      <c r="Y656" s="1917"/>
      <c r="Z656" s="1917"/>
      <c r="AA656" s="1918"/>
      <c r="AB656" s="177"/>
      <c r="AC656" s="1916"/>
      <c r="AD656" s="1917"/>
      <c r="AE656" s="1917"/>
      <c r="AF656" s="1918"/>
      <c r="AG656" s="177"/>
      <c r="AH656" s="1916"/>
      <c r="AI656" s="1917"/>
      <c r="AJ656" s="1917"/>
      <c r="AK656" s="1918"/>
      <c r="AL656" s="177"/>
    </row>
    <row r="657" spans="2:38" s="176" customFormat="1" x14ac:dyDescent="0.45">
      <c r="B657" s="1942"/>
      <c r="C657" s="1945"/>
      <c r="D657" s="1916"/>
      <c r="E657" s="1917"/>
      <c r="F657" s="1917"/>
      <c r="G657" s="1918"/>
      <c r="H657" s="177"/>
      <c r="I657" s="1916"/>
      <c r="J657" s="1917"/>
      <c r="K657" s="1917"/>
      <c r="L657" s="1918"/>
      <c r="M657" s="177"/>
      <c r="N657" s="1916"/>
      <c r="O657" s="1917"/>
      <c r="P657" s="1917"/>
      <c r="Q657" s="1918"/>
      <c r="R657" s="177"/>
      <c r="S657" s="1916"/>
      <c r="T657" s="1917"/>
      <c r="U657" s="1917"/>
      <c r="V657" s="1918"/>
      <c r="W657" s="177"/>
      <c r="X657" s="1916"/>
      <c r="Y657" s="1917"/>
      <c r="Z657" s="1917"/>
      <c r="AA657" s="1918"/>
      <c r="AB657" s="177"/>
      <c r="AC657" s="1916"/>
      <c r="AD657" s="1917"/>
      <c r="AE657" s="1917"/>
      <c r="AF657" s="1918"/>
      <c r="AG657" s="177"/>
      <c r="AH657" s="1916"/>
      <c r="AI657" s="1917"/>
      <c r="AJ657" s="1917"/>
      <c r="AK657" s="1918"/>
      <c r="AL657" s="177"/>
    </row>
    <row r="658" spans="2:38" s="176" customFormat="1" x14ac:dyDescent="0.45">
      <c r="B658" s="1942"/>
      <c r="C658" s="1945"/>
      <c r="D658" s="1916"/>
      <c r="E658" s="1917"/>
      <c r="F658" s="1917"/>
      <c r="G658" s="1918"/>
      <c r="H658" s="177"/>
      <c r="I658" s="1916"/>
      <c r="J658" s="1917"/>
      <c r="K658" s="1917"/>
      <c r="L658" s="1918"/>
      <c r="M658" s="177"/>
      <c r="N658" s="1916"/>
      <c r="O658" s="1917"/>
      <c r="P658" s="1917"/>
      <c r="Q658" s="1918"/>
      <c r="R658" s="177"/>
      <c r="S658" s="1916"/>
      <c r="T658" s="1917"/>
      <c r="U658" s="1917"/>
      <c r="V658" s="1918"/>
      <c r="W658" s="177"/>
      <c r="X658" s="1916"/>
      <c r="Y658" s="1917"/>
      <c r="Z658" s="1917"/>
      <c r="AA658" s="1918"/>
      <c r="AB658" s="177"/>
      <c r="AC658" s="1916"/>
      <c r="AD658" s="1917"/>
      <c r="AE658" s="1917"/>
      <c r="AF658" s="1918"/>
      <c r="AG658" s="177"/>
      <c r="AH658" s="1916"/>
      <c r="AI658" s="1917"/>
      <c r="AJ658" s="1917"/>
      <c r="AK658" s="1918"/>
      <c r="AL658" s="177"/>
    </row>
    <row r="659" spans="2:38" s="176" customFormat="1" ht="15" customHeight="1" x14ac:dyDescent="0.45">
      <c r="B659" s="1942"/>
      <c r="C659" s="1945"/>
      <c r="D659" s="1916"/>
      <c r="E659" s="1917"/>
      <c r="F659" s="1917"/>
      <c r="G659" s="1918"/>
      <c r="H659" s="177"/>
      <c r="I659" s="1916"/>
      <c r="J659" s="1917"/>
      <c r="K659" s="1917"/>
      <c r="L659" s="1918"/>
      <c r="M659" s="177"/>
      <c r="N659" s="1916"/>
      <c r="O659" s="1917"/>
      <c r="P659" s="1917"/>
      <c r="Q659" s="1918"/>
      <c r="R659" s="177"/>
      <c r="S659" s="1916"/>
      <c r="T659" s="1917"/>
      <c r="U659" s="1917"/>
      <c r="V659" s="1918"/>
      <c r="W659" s="177"/>
      <c r="X659" s="1916"/>
      <c r="Y659" s="1917"/>
      <c r="Z659" s="1917"/>
      <c r="AA659" s="1918"/>
      <c r="AB659" s="177"/>
      <c r="AC659" s="1916"/>
      <c r="AD659" s="1917"/>
      <c r="AE659" s="1917"/>
      <c r="AF659" s="1918"/>
      <c r="AG659" s="177"/>
      <c r="AH659" s="1916"/>
      <c r="AI659" s="1917"/>
      <c r="AJ659" s="1917"/>
      <c r="AK659" s="1918"/>
      <c r="AL659" s="177"/>
    </row>
    <row r="660" spans="2:38" s="176" customFormat="1" ht="15" customHeight="1" x14ac:dyDescent="0.45">
      <c r="B660" s="1942"/>
      <c r="C660" s="1945"/>
      <c r="D660" s="1916"/>
      <c r="E660" s="1917"/>
      <c r="F660" s="1917"/>
      <c r="G660" s="1918"/>
      <c r="H660" s="177"/>
      <c r="I660" s="1916"/>
      <c r="J660" s="1917"/>
      <c r="K660" s="1917"/>
      <c r="L660" s="1918"/>
      <c r="M660" s="177"/>
      <c r="N660" s="1916"/>
      <c r="O660" s="1917"/>
      <c r="P660" s="1917"/>
      <c r="Q660" s="1918"/>
      <c r="R660" s="177"/>
      <c r="S660" s="1916"/>
      <c r="T660" s="1917"/>
      <c r="U660" s="1917"/>
      <c r="V660" s="1918"/>
      <c r="W660" s="177"/>
      <c r="X660" s="1916"/>
      <c r="Y660" s="1917"/>
      <c r="Z660" s="1917"/>
      <c r="AA660" s="1918"/>
      <c r="AB660" s="177"/>
      <c r="AC660" s="1916"/>
      <c r="AD660" s="1917"/>
      <c r="AE660" s="1917"/>
      <c r="AF660" s="1918"/>
      <c r="AG660" s="177"/>
      <c r="AH660" s="1916"/>
      <c r="AI660" s="1917"/>
      <c r="AJ660" s="1917"/>
      <c r="AK660" s="1918"/>
      <c r="AL660" s="177"/>
    </row>
    <row r="661" spans="2:38" s="176" customFormat="1" x14ac:dyDescent="0.45">
      <c r="B661" s="1942"/>
      <c r="C661" s="1945"/>
      <c r="D661" s="1916"/>
      <c r="E661" s="1917"/>
      <c r="F661" s="1917"/>
      <c r="G661" s="1918"/>
      <c r="H661" s="177"/>
      <c r="I661" s="1916"/>
      <c r="J661" s="1917"/>
      <c r="K661" s="1917"/>
      <c r="L661" s="1918"/>
      <c r="M661" s="177"/>
      <c r="N661" s="1916"/>
      <c r="O661" s="1917"/>
      <c r="P661" s="1917"/>
      <c r="Q661" s="1918"/>
      <c r="R661" s="177"/>
      <c r="S661" s="1916"/>
      <c r="T661" s="1917"/>
      <c r="U661" s="1917"/>
      <c r="V661" s="1918"/>
      <c r="W661" s="177"/>
      <c r="X661" s="1916"/>
      <c r="Y661" s="1917"/>
      <c r="Z661" s="1917"/>
      <c r="AA661" s="1918"/>
      <c r="AB661" s="177"/>
      <c r="AC661" s="1916"/>
      <c r="AD661" s="1917"/>
      <c r="AE661" s="1917"/>
      <c r="AF661" s="1918"/>
      <c r="AG661" s="177"/>
      <c r="AH661" s="1916"/>
      <c r="AI661" s="1917"/>
      <c r="AJ661" s="1917"/>
      <c r="AK661" s="1918"/>
      <c r="AL661" s="177"/>
    </row>
    <row r="662" spans="2:38" s="176" customFormat="1" x14ac:dyDescent="0.45">
      <c r="B662" s="1942"/>
      <c r="C662" s="1945"/>
      <c r="D662" s="1916"/>
      <c r="E662" s="1917"/>
      <c r="F662" s="1917"/>
      <c r="G662" s="1918"/>
      <c r="H662" s="177"/>
      <c r="I662" s="1916"/>
      <c r="J662" s="1917"/>
      <c r="K662" s="1917"/>
      <c r="L662" s="1918"/>
      <c r="M662" s="177"/>
      <c r="N662" s="1916"/>
      <c r="O662" s="1917"/>
      <c r="P662" s="1917"/>
      <c r="Q662" s="1918"/>
      <c r="R662" s="177"/>
      <c r="S662" s="1916"/>
      <c r="T662" s="1917"/>
      <c r="U662" s="1917"/>
      <c r="V662" s="1918"/>
      <c r="W662" s="177"/>
      <c r="X662" s="1916"/>
      <c r="Y662" s="1917"/>
      <c r="Z662" s="1917"/>
      <c r="AA662" s="1918"/>
      <c r="AB662" s="177"/>
      <c r="AC662" s="1916"/>
      <c r="AD662" s="1917"/>
      <c r="AE662" s="1917"/>
      <c r="AF662" s="1918"/>
      <c r="AG662" s="177"/>
      <c r="AH662" s="1916"/>
      <c r="AI662" s="1917"/>
      <c r="AJ662" s="1917"/>
      <c r="AK662" s="1918"/>
      <c r="AL662" s="177"/>
    </row>
    <row r="663" spans="2:38" s="176" customFormat="1" x14ac:dyDescent="0.45">
      <c r="B663" s="1942"/>
      <c r="C663" s="1945"/>
      <c r="D663" s="1916"/>
      <c r="E663" s="1917"/>
      <c r="F663" s="1917"/>
      <c r="G663" s="1918"/>
      <c r="H663" s="177"/>
      <c r="I663" s="1916"/>
      <c r="J663" s="1917"/>
      <c r="K663" s="1917"/>
      <c r="L663" s="1918"/>
      <c r="M663" s="177"/>
      <c r="N663" s="1916"/>
      <c r="O663" s="1917"/>
      <c r="P663" s="1917"/>
      <c r="Q663" s="1918"/>
      <c r="R663" s="177"/>
      <c r="S663" s="1916"/>
      <c r="T663" s="1917"/>
      <c r="U663" s="1917"/>
      <c r="V663" s="1918"/>
      <c r="W663" s="177"/>
      <c r="X663" s="1916"/>
      <c r="Y663" s="1917"/>
      <c r="Z663" s="1917"/>
      <c r="AA663" s="1918"/>
      <c r="AB663" s="177"/>
      <c r="AC663" s="1916"/>
      <c r="AD663" s="1917"/>
      <c r="AE663" s="1917"/>
      <c r="AF663" s="1918"/>
      <c r="AG663" s="177"/>
      <c r="AH663" s="1916"/>
      <c r="AI663" s="1917"/>
      <c r="AJ663" s="1917"/>
      <c r="AK663" s="1918"/>
      <c r="AL663" s="177"/>
    </row>
    <row r="664" spans="2:38" s="176" customFormat="1" x14ac:dyDescent="0.45">
      <c r="B664" s="1942"/>
      <c r="C664" s="1945"/>
      <c r="D664" s="1916"/>
      <c r="E664" s="1917"/>
      <c r="F664" s="1917"/>
      <c r="G664" s="1918"/>
      <c r="H664" s="177"/>
      <c r="I664" s="1916"/>
      <c r="J664" s="1917"/>
      <c r="K664" s="1917"/>
      <c r="L664" s="1918"/>
      <c r="M664" s="177"/>
      <c r="N664" s="1916"/>
      <c r="O664" s="1917"/>
      <c r="P664" s="1917"/>
      <c r="Q664" s="1918"/>
      <c r="R664" s="177"/>
      <c r="S664" s="1916"/>
      <c r="T664" s="1917"/>
      <c r="U664" s="1917"/>
      <c r="V664" s="1918"/>
      <c r="W664" s="177"/>
      <c r="X664" s="1916"/>
      <c r="Y664" s="1917"/>
      <c r="Z664" s="1917"/>
      <c r="AA664" s="1918"/>
      <c r="AB664" s="177"/>
      <c r="AC664" s="1916"/>
      <c r="AD664" s="1917"/>
      <c r="AE664" s="1917"/>
      <c r="AF664" s="1918"/>
      <c r="AG664" s="177"/>
      <c r="AH664" s="1916"/>
      <c r="AI664" s="1917"/>
      <c r="AJ664" s="1917"/>
      <c r="AK664" s="1918"/>
      <c r="AL664" s="177"/>
    </row>
    <row r="665" spans="2:38" s="176" customFormat="1" x14ac:dyDescent="0.45">
      <c r="B665" s="1942"/>
      <c r="C665" s="1945"/>
      <c r="D665" s="1916"/>
      <c r="E665" s="1917"/>
      <c r="F665" s="1917"/>
      <c r="G665" s="1918"/>
      <c r="H665" s="177"/>
      <c r="I665" s="1916"/>
      <c r="J665" s="1917"/>
      <c r="K665" s="1917"/>
      <c r="L665" s="1918"/>
      <c r="M665" s="177"/>
      <c r="N665" s="1916"/>
      <c r="O665" s="1917"/>
      <c r="P665" s="1917"/>
      <c r="Q665" s="1918"/>
      <c r="R665" s="177"/>
      <c r="S665" s="1916"/>
      <c r="T665" s="1917"/>
      <c r="U665" s="1917"/>
      <c r="V665" s="1918"/>
      <c r="W665" s="177"/>
      <c r="X665" s="1916"/>
      <c r="Y665" s="1917"/>
      <c r="Z665" s="1917"/>
      <c r="AA665" s="1918"/>
      <c r="AB665" s="177"/>
      <c r="AC665" s="1916"/>
      <c r="AD665" s="1917"/>
      <c r="AE665" s="1917"/>
      <c r="AF665" s="1918"/>
      <c r="AG665" s="177"/>
      <c r="AH665" s="1916"/>
      <c r="AI665" s="1917"/>
      <c r="AJ665" s="1917"/>
      <c r="AK665" s="1918"/>
      <c r="AL665" s="177"/>
    </row>
    <row r="666" spans="2:38" s="176" customFormat="1" ht="15" customHeight="1" x14ac:dyDescent="0.45">
      <c r="B666" s="1942"/>
      <c r="C666" s="1945"/>
      <c r="D666" s="1919"/>
      <c r="E666" s="1920"/>
      <c r="F666" s="1920"/>
      <c r="G666" s="1921"/>
      <c r="H666" s="177"/>
      <c r="I666" s="1919"/>
      <c r="J666" s="1920"/>
      <c r="K666" s="1920"/>
      <c r="L666" s="1921"/>
      <c r="M666" s="177"/>
      <c r="N666" s="1919"/>
      <c r="O666" s="1920"/>
      <c r="P666" s="1920"/>
      <c r="Q666" s="1921"/>
      <c r="R666" s="177"/>
      <c r="S666" s="1919"/>
      <c r="T666" s="1920"/>
      <c r="U666" s="1920"/>
      <c r="V666" s="1921"/>
      <c r="W666" s="177"/>
      <c r="X666" s="1919"/>
      <c r="Y666" s="1920"/>
      <c r="Z666" s="1920"/>
      <c r="AA666" s="1921"/>
      <c r="AB666" s="177"/>
      <c r="AC666" s="1919"/>
      <c r="AD666" s="1920"/>
      <c r="AE666" s="1920"/>
      <c r="AF666" s="1921"/>
      <c r="AG666" s="177"/>
      <c r="AH666" s="1919"/>
      <c r="AI666" s="1920"/>
      <c r="AJ666" s="1920"/>
      <c r="AK666" s="1921"/>
      <c r="AL666" s="177"/>
    </row>
    <row r="667" spans="2:38" s="176" customFormat="1" ht="15" customHeight="1" x14ac:dyDescent="0.45">
      <c r="B667" s="1942"/>
      <c r="C667" s="1945"/>
      <c r="D667" s="1913" t="str">
        <f ca="1">IF(G647&gt;0,CONCATENATE("Session Aim: 
", CONCATENATE(IF(INDEX(final_duration_secondary,((WEEKDAY(E$3,2)*2-1)+IF(E647="Morning",0,1)),D647)=0, "", "1. "),
INDEX(sessions_aim_primary,, INDEX(plan_session_allocation,((WEEKDAY(E$3,2)*2-1)+IF(E647="Morning",0,1)),D647)), IF(INDEX(final_duration_secondary,((WEEKDAY(E$3,2)*2-1)+IF(E647="Morning",0,1)),D647)=0, "", "
2. "),
IF(INDEX(final_duration_secondary,((WEEKDAY(E$3,2)*2-1)+IF(E647="Morning",0,1)),D647)=0, "", INDEX(sessions_aim_secondary,, INDEX(plan_session_allocation,((WEEKDAY(E$3,2)*2-1)+IF(E647="Morning",0,1)),D647))), IF(INDEX(final_duration_tertiary,((WEEKDAY(E$3,2)*2-1)+IF(E647="Morning",0,1)),D647)=0, "", "
3. "),
IF(INDEX(final_duration_tertiary,((WEEKDAY(E$3,2)*2-1)+IF(E647="Morning",0,1)),D647)=0, "", INDEX(sessions_aim_tertiary,, INDEX(plan_session_allocation,((WEEKDAY(E$3,2)*2-1)+IF(E647="Morning",0,1)),D647))),
IF(INDEX(display_nutrition_description,((WEEKDAY(E$3,2)*2-1)+IF(E647="Morning",0,1)),D647)="","",
CONCATENATE("
Nutrition Aim:
", INDEX(sessions_aim_nutrition,,INDEX(plan_session_allocation,((WEEKDAY(E$3,2)*2-1)+IF(E647="Morning",0,1)),D647))
))
)),"")</f>
        <v xml:space="preserve">Session Aim: 
1. Increase strength of specific muscle groups, running economy and injury resistance. 
2. Release tension that develops in soft tissue from training and non-training stresses. </v>
      </c>
      <c r="E667" s="1914"/>
      <c r="F667" s="1914"/>
      <c r="G667" s="1915"/>
      <c r="H667" s="177"/>
      <c r="I667" s="1913" t="str">
        <f ca="1">IF(L647&gt;0,CONCATENATE("Session Aim: 
", CONCATENATE(IF(INDEX(final_duration_secondary,((WEEKDAY(J$3,2)*2-1)+IF(J647="Morning",0,1)),I647)=0, "", "1. "),
INDEX(sessions_aim_primary,, INDEX(plan_session_allocation,((WEEKDAY(J$3,2)*2-1)+IF(J647="Morning",0,1)),I647)), IF(INDEX(final_duration_secondary,((WEEKDAY(J$3,2)*2-1)+IF(J647="Morning",0,1)),I647)=0, "", "
2. "),
IF(INDEX(final_duration_secondary,((WEEKDAY(J$3,2)*2-1)+IF(J647="Morning",0,1)),I647)=0, "", INDEX(sessions_aim_secondary,, INDEX(plan_session_allocation,((WEEKDAY(J$3,2)*2-1)+IF(J647="Morning",0,1)),I647))), IF(INDEX(final_duration_tertiary,((WEEKDAY(J$3,2)*2-1)+IF(J647="Morning",0,1)),I647)=0, "", "
3. "),
IF(INDEX(final_duration_tertiary,((WEEKDAY(J$3,2)*2-1)+IF(J647="Morning",0,1)),I647)=0, "", INDEX(sessions_aim_tertiary,, INDEX(plan_session_allocation,((WEEKDAY(J$3,2)*2-1)+IF(J647="Morning",0,1)),I647))),
IF(INDEX(display_nutrition_description,((WEEKDAY(J$3,2)*2-1)+IF(J647="Morning",0,1)),I647)="","",
CONCATENATE("
Nutrition Aim:
", INDEX(sessions_aim_nutrition,,INDEX(plan_session_allocation,((WEEKDAY(J$3,2)*2-1)+IF(J647="Morning",0,1)),I647))
))
)),"")</f>
        <v xml:space="preserve">Session Aim: 
Improve endurance by increasing lactate threshold and developing mental toughness. </v>
      </c>
      <c r="J667" s="1914"/>
      <c r="K667" s="1914"/>
      <c r="L667" s="1915"/>
      <c r="M667" s="177"/>
      <c r="N667" s="1913" t="str">
        <f ca="1">IF(Q647&gt;0,CONCATENATE("Session Aim: 
", CONCATENATE(IF(INDEX(final_duration_secondary,((WEEKDAY(O$3,2)*2-1)+IF(O647="Morning",0,1)),N647)=0, "", "1. "),
INDEX(sessions_aim_primary,, INDEX(plan_session_allocation,((WEEKDAY(O$3,2)*2-1)+IF(O647="Morning",0,1)),N647)), IF(INDEX(final_duration_secondary,((WEEKDAY(O$3,2)*2-1)+IF(O647="Morning",0,1)),N647)=0, "", "
2. "),
IF(INDEX(final_duration_secondary,((WEEKDAY(O$3,2)*2-1)+IF(O647="Morning",0,1)),N647)=0, "", INDEX(sessions_aim_secondary,, INDEX(plan_session_allocation,((WEEKDAY(O$3,2)*2-1)+IF(O647="Morning",0,1)),N647))), IF(INDEX(final_duration_tertiary,((WEEKDAY(O$3,2)*2-1)+IF(O647="Morning",0,1)),N647)=0, "", "
3. "),
IF(INDEX(final_duration_tertiary,((WEEKDAY(O$3,2)*2-1)+IF(O647="Morning",0,1)),N647)=0, "", INDEX(sessions_aim_tertiary,, INDEX(plan_session_allocation,((WEEKDAY(O$3,2)*2-1)+IF(O647="Morning",0,1)),N647))),
IF(INDEX(display_nutrition_description,((WEEKDAY(O$3,2)*2-1)+IF(O647="Morning",0,1)),N647)="","",
CONCATENATE("
Nutrition Aim:
", INDEX(sessions_aim_nutrition,,INDEX(plan_session_allocation,((WEEKDAY(O$3,2)*2-1)+IF(O647="Morning",0,1)),N647))
))
)),"")</f>
        <v xml:space="preserve">Session Aim: 
Improve aerobic fitness while minimising the chance of injury. </v>
      </c>
      <c r="O667" s="1914"/>
      <c r="P667" s="1914"/>
      <c r="Q667" s="1915"/>
      <c r="R667" s="177"/>
      <c r="S667" s="1913" t="str">
        <f ca="1">IF(V647&gt;0,CONCATENATE("Session Aim: 
", CONCATENATE(IF(INDEX(final_duration_secondary,((WEEKDAY(T$3,2)*2-1)+IF(T647="Morning",0,1)),S647)=0, "", "1. "),
INDEX(sessions_aim_primary,, INDEX(plan_session_allocation,((WEEKDAY(T$3,2)*2-1)+IF(T647="Morning",0,1)),S647)), IF(INDEX(final_duration_secondary,((WEEKDAY(T$3,2)*2-1)+IF(T647="Morning",0,1)),S647)=0, "", "
2. "),
IF(INDEX(final_duration_secondary,((WEEKDAY(T$3,2)*2-1)+IF(T647="Morning",0,1)),S647)=0, "", INDEX(sessions_aim_secondary,, INDEX(plan_session_allocation,((WEEKDAY(T$3,2)*2-1)+IF(T647="Morning",0,1)),S647))), IF(INDEX(final_duration_tertiary,((WEEKDAY(T$3,2)*2-1)+IF(T647="Morning",0,1)),S647)=0, "", "
3. "),
IF(INDEX(final_duration_tertiary,((WEEKDAY(T$3,2)*2-1)+IF(T647="Morning",0,1)),S647)=0, "", INDEX(sessions_aim_tertiary,, INDEX(plan_session_allocation,((WEEKDAY(T$3,2)*2-1)+IF(T647="Morning",0,1)),S647))),
IF(INDEX(display_nutrition_description,((WEEKDAY(T$3,2)*2-1)+IF(T647="Morning",0,1)),S647)="","",
CONCATENATE("
Nutrition Aim:
", INDEX(sessions_aim_nutrition,,INDEX(plan_session_allocation,((WEEKDAY(T$3,2)*2-1)+IF(T647="Morning",0,1)),S647))
))
)),"")</f>
        <v xml:space="preserve">Session Aim: 
Improve VO2 max and develop metal toughness. </v>
      </c>
      <c r="T667" s="1914"/>
      <c r="U667" s="1914"/>
      <c r="V667" s="1915"/>
      <c r="W667" s="177"/>
      <c r="X667" s="1913" t="str">
        <f ca="1">IF(AA647&gt;0,CONCATENATE("Session Aim: 
", CONCATENATE(IF(INDEX(final_duration_secondary,((WEEKDAY(Y$3,2)*2-1)+IF(Y647="Morning",0,1)),X647)=0, "", "1. "),
INDEX(sessions_aim_primary,, INDEX(plan_session_allocation,((WEEKDAY(Y$3,2)*2-1)+IF(Y647="Morning",0,1)),X647)), IF(INDEX(final_duration_secondary,((WEEKDAY(Y$3,2)*2-1)+IF(Y647="Morning",0,1)),X647)=0, "", "
2. "),
IF(INDEX(final_duration_secondary,((WEEKDAY(Y$3,2)*2-1)+IF(Y647="Morning",0,1)),X647)=0, "", INDEX(sessions_aim_secondary,, INDEX(plan_session_allocation,((WEEKDAY(Y$3,2)*2-1)+IF(Y647="Morning",0,1)),X647))), IF(INDEX(final_duration_tertiary,((WEEKDAY(Y$3,2)*2-1)+IF(Y647="Morning",0,1)),X647)=0, "", "
3. "),
IF(INDEX(final_duration_tertiary,((WEEKDAY(Y$3,2)*2-1)+IF(Y647="Morning",0,1)),X647)=0, "", INDEX(sessions_aim_tertiary,, INDEX(plan_session_allocation,((WEEKDAY(Y$3,2)*2-1)+IF(Y647="Morning",0,1)),X647))),
IF(INDEX(display_nutrition_description,((WEEKDAY(Y$3,2)*2-1)+IF(Y647="Morning",0,1)),X647)="","",
CONCATENATE("
Nutrition Aim:
", INDEX(sessions_aim_nutrition,,INDEX(plan_session_allocation,((WEEKDAY(Y$3,2)*2-1)+IF(Y647="Morning",0,1)),X647))
))
)),"")</f>
        <v xml:space="preserve">Session Aim: 
1. Increase strength of specific muscle groups, running economy and injury resistance. 
2. Release tension that develops in soft tissue from training and non-training stresses. </v>
      </c>
      <c r="Y667" s="1914"/>
      <c r="Z667" s="1914"/>
      <c r="AA667" s="1915"/>
      <c r="AB667" s="177"/>
      <c r="AC667" s="1913" t="str">
        <f ca="1">IF(AF647&gt;0,CONCATENATE("Session Aim: 
", CONCATENATE(IF(INDEX(final_duration_secondary,((WEEKDAY(AD$3,2)*2-1)+IF(AD647="Morning",0,1)),AC647)=0, "", "1. "),
INDEX(sessions_aim_primary,, INDEX(plan_session_allocation,((WEEKDAY(AD$3,2)*2-1)+IF(AD647="Morning",0,1)),AC647)), IF(INDEX(final_duration_secondary,((WEEKDAY(AD$3,2)*2-1)+IF(AD647="Morning",0,1)),AC647)=0, "", "
2. "),
IF(INDEX(final_duration_secondary,((WEEKDAY(AD$3,2)*2-1)+IF(AD647="Morning",0,1)),AC647)=0, "", INDEX(sessions_aim_secondary,, INDEX(plan_session_allocation,((WEEKDAY(AD$3,2)*2-1)+IF(AD647="Morning",0,1)),AC647))), IF(INDEX(final_duration_tertiary,((WEEKDAY(AD$3,2)*2-1)+IF(AD647="Morning",0,1)),AC647)=0, "", "
3. "),
IF(INDEX(final_duration_tertiary,((WEEKDAY(AD$3,2)*2-1)+IF(AD647="Morning",0,1)),AC647)=0, "", INDEX(sessions_aim_tertiary,, INDEX(plan_session_allocation,((WEEKDAY(AD$3,2)*2-1)+IF(AD647="Morning",0,1)),AC647))),
IF(INDEX(display_nutrition_description,((WEEKDAY(AD$3,2)*2-1)+IF(AD647="Morning",0,1)),AC647)="","",
CONCATENATE("
Nutrition Aim:
", INDEX(sessions_aim_nutrition,,INDEX(plan_session_allocation,((WEEKDAY(AD$3,2)*2-1)+IF(AD647="Morning",0,1)),AC647))
))
)),"")</f>
        <v xml:space="preserve">Session Aim: 
Improve aerobic fitness while minimising the chance of injury. </v>
      </c>
      <c r="AD667" s="1914"/>
      <c r="AE667" s="1914"/>
      <c r="AF667" s="1915"/>
      <c r="AG667" s="177"/>
      <c r="AH667" s="1913" t="str">
        <f ca="1">IF(AK647&gt;0,CONCATENATE("Session Aim: 
", CONCATENATE(IF(INDEX(final_duration_secondary,((WEEKDAY(AI$3,2)*2-1)+IF(AI647="Morning",0,1)),AH647)=0, "", "1. "),
INDEX(sessions_aim_primary,, INDEX(plan_session_allocation,((WEEKDAY(AI$3,2)*2-1)+IF(AI647="Morning",0,1)),AH647)), IF(INDEX(final_duration_secondary,((WEEKDAY(AI$3,2)*2-1)+IF(AI647="Morning",0,1)),AH647)=0, "", "
2. "),
IF(INDEX(final_duration_secondary,((WEEKDAY(AI$3,2)*2-1)+IF(AI647="Morning",0,1)),AH647)=0, "", INDEX(sessions_aim_secondary,, INDEX(plan_session_allocation,((WEEKDAY(AI$3,2)*2-1)+IF(AI647="Morning",0,1)),AH647))), IF(INDEX(final_duration_tertiary,((WEEKDAY(AI$3,2)*2-1)+IF(AI647="Morning",0,1)),AH647)=0, "", "
3. "),
IF(INDEX(final_duration_tertiary,((WEEKDAY(AI$3,2)*2-1)+IF(AI647="Morning",0,1)),AH647)=0, "", INDEX(sessions_aim_tertiary,, INDEX(plan_session_allocation,((WEEKDAY(AI$3,2)*2-1)+IF(AI647="Morning",0,1)),AH647))),
IF(INDEX(display_nutrition_description,((WEEKDAY(AI$3,2)*2-1)+IF(AI647="Morning",0,1)),AH647)="","",
CONCATENATE("
Nutrition Aim:
", INDEX(sessions_aim_nutrition,,INDEX(plan_session_allocation,((WEEKDAY(AI$3,2)*2-1)+IF(AI647="Morning",0,1)),AH647))
))
)),"")</f>
        <v/>
      </c>
      <c r="AI667" s="1914"/>
      <c r="AJ667" s="1914"/>
      <c r="AK667" s="1915"/>
      <c r="AL667" s="177"/>
    </row>
    <row r="668" spans="2:38" s="176" customFormat="1" x14ac:dyDescent="0.45">
      <c r="B668" s="1942"/>
      <c r="C668" s="1945"/>
      <c r="D668" s="1916"/>
      <c r="E668" s="1917"/>
      <c r="F668" s="1917"/>
      <c r="G668" s="1918"/>
      <c r="H668" s="177"/>
      <c r="I668" s="1916"/>
      <c r="J668" s="1917"/>
      <c r="K668" s="1917"/>
      <c r="L668" s="1918"/>
      <c r="M668" s="177"/>
      <c r="N668" s="1916"/>
      <c r="O668" s="1917"/>
      <c r="P668" s="1917"/>
      <c r="Q668" s="1918"/>
      <c r="R668" s="177"/>
      <c r="S668" s="1916"/>
      <c r="T668" s="1917"/>
      <c r="U668" s="1917"/>
      <c r="V668" s="1918"/>
      <c r="W668" s="177"/>
      <c r="X668" s="1916"/>
      <c r="Y668" s="1917"/>
      <c r="Z668" s="1917"/>
      <c r="AA668" s="1918"/>
      <c r="AB668" s="177"/>
      <c r="AC668" s="1916"/>
      <c r="AD668" s="1917"/>
      <c r="AE668" s="1917"/>
      <c r="AF668" s="1918"/>
      <c r="AG668" s="177"/>
      <c r="AH668" s="1916"/>
      <c r="AI668" s="1917"/>
      <c r="AJ668" s="1917"/>
      <c r="AK668" s="1918"/>
      <c r="AL668" s="177"/>
    </row>
    <row r="669" spans="2:38" s="176" customFormat="1" x14ac:dyDescent="0.45">
      <c r="B669" s="1942"/>
      <c r="C669" s="1945"/>
      <c r="D669" s="1916"/>
      <c r="E669" s="1917"/>
      <c r="F669" s="1917"/>
      <c r="G669" s="1918"/>
      <c r="H669" s="177"/>
      <c r="I669" s="1916"/>
      <c r="J669" s="1917"/>
      <c r="K669" s="1917"/>
      <c r="L669" s="1918"/>
      <c r="M669" s="177"/>
      <c r="N669" s="1916"/>
      <c r="O669" s="1917"/>
      <c r="P669" s="1917"/>
      <c r="Q669" s="1918"/>
      <c r="R669" s="177"/>
      <c r="S669" s="1916"/>
      <c r="T669" s="1917"/>
      <c r="U669" s="1917"/>
      <c r="V669" s="1918"/>
      <c r="W669" s="177"/>
      <c r="X669" s="1916"/>
      <c r="Y669" s="1917"/>
      <c r="Z669" s="1917"/>
      <c r="AA669" s="1918"/>
      <c r="AB669" s="177"/>
      <c r="AC669" s="1916"/>
      <c r="AD669" s="1917"/>
      <c r="AE669" s="1917"/>
      <c r="AF669" s="1918"/>
      <c r="AG669" s="177"/>
      <c r="AH669" s="1916"/>
      <c r="AI669" s="1917"/>
      <c r="AJ669" s="1917"/>
      <c r="AK669" s="1918"/>
      <c r="AL669" s="177"/>
    </row>
    <row r="670" spans="2:38" s="176" customFormat="1" x14ac:dyDescent="0.45">
      <c r="B670" s="1942"/>
      <c r="C670" s="1945"/>
      <c r="D670" s="1916"/>
      <c r="E670" s="1917"/>
      <c r="F670" s="1917"/>
      <c r="G670" s="1918"/>
      <c r="H670" s="177"/>
      <c r="I670" s="1916"/>
      <c r="J670" s="1917"/>
      <c r="K670" s="1917"/>
      <c r="L670" s="1918"/>
      <c r="M670" s="177"/>
      <c r="N670" s="1916"/>
      <c r="O670" s="1917"/>
      <c r="P670" s="1917"/>
      <c r="Q670" s="1918"/>
      <c r="R670" s="177"/>
      <c r="S670" s="1916"/>
      <c r="T670" s="1917"/>
      <c r="U670" s="1917"/>
      <c r="V670" s="1918"/>
      <c r="W670" s="177"/>
      <c r="X670" s="1916"/>
      <c r="Y670" s="1917"/>
      <c r="Z670" s="1917"/>
      <c r="AA670" s="1918"/>
      <c r="AB670" s="177"/>
      <c r="AC670" s="1916"/>
      <c r="AD670" s="1917"/>
      <c r="AE670" s="1917"/>
      <c r="AF670" s="1918"/>
      <c r="AG670" s="177"/>
      <c r="AH670" s="1916"/>
      <c r="AI670" s="1917"/>
      <c r="AJ670" s="1917"/>
      <c r="AK670" s="1918"/>
      <c r="AL670" s="177"/>
    </row>
    <row r="671" spans="2:38" s="176" customFormat="1" x14ac:dyDescent="0.45">
      <c r="B671" s="1942"/>
      <c r="C671" s="1945"/>
      <c r="D671" s="1916"/>
      <c r="E671" s="1917"/>
      <c r="F671" s="1917"/>
      <c r="G671" s="1918"/>
      <c r="H671" s="177"/>
      <c r="I671" s="1916"/>
      <c r="J671" s="1917"/>
      <c r="K671" s="1917"/>
      <c r="L671" s="1918"/>
      <c r="M671" s="177"/>
      <c r="N671" s="1916"/>
      <c r="O671" s="1917"/>
      <c r="P671" s="1917"/>
      <c r="Q671" s="1918"/>
      <c r="R671" s="177"/>
      <c r="S671" s="1916"/>
      <c r="T671" s="1917"/>
      <c r="U671" s="1917"/>
      <c r="V671" s="1918"/>
      <c r="W671" s="177"/>
      <c r="X671" s="1916"/>
      <c r="Y671" s="1917"/>
      <c r="Z671" s="1917"/>
      <c r="AA671" s="1918"/>
      <c r="AB671" s="177"/>
      <c r="AC671" s="1916"/>
      <c r="AD671" s="1917"/>
      <c r="AE671" s="1917"/>
      <c r="AF671" s="1918"/>
      <c r="AG671" s="177"/>
      <c r="AH671" s="1916"/>
      <c r="AI671" s="1917"/>
      <c r="AJ671" s="1917"/>
      <c r="AK671" s="1918"/>
      <c r="AL671" s="177"/>
    </row>
    <row r="672" spans="2:38" s="176" customFormat="1" x14ac:dyDescent="0.45">
      <c r="B672" s="1942"/>
      <c r="C672" s="1945"/>
      <c r="D672" s="1916"/>
      <c r="E672" s="1917"/>
      <c r="F672" s="1917"/>
      <c r="G672" s="1918"/>
      <c r="H672" s="177"/>
      <c r="I672" s="1916"/>
      <c r="J672" s="1917"/>
      <c r="K672" s="1917"/>
      <c r="L672" s="1918"/>
      <c r="N672" s="1916"/>
      <c r="O672" s="1917"/>
      <c r="P672" s="1917"/>
      <c r="Q672" s="1918"/>
      <c r="S672" s="1916"/>
      <c r="T672" s="1917"/>
      <c r="U672" s="1917"/>
      <c r="V672" s="1918"/>
      <c r="X672" s="1916"/>
      <c r="Y672" s="1917"/>
      <c r="Z672" s="1917"/>
      <c r="AA672" s="1918"/>
      <c r="AC672" s="1916"/>
      <c r="AD672" s="1917"/>
      <c r="AE672" s="1917"/>
      <c r="AF672" s="1918"/>
      <c r="AH672" s="1916"/>
      <c r="AI672" s="1917"/>
      <c r="AJ672" s="1917"/>
      <c r="AK672" s="1918"/>
    </row>
    <row r="673" spans="2:38" s="176" customFormat="1" ht="14.65" thickBot="1" x14ac:dyDescent="0.5">
      <c r="B673" s="1943"/>
      <c r="C673" s="1946"/>
      <c r="D673" s="1938"/>
      <c r="E673" s="1939"/>
      <c r="F673" s="1939"/>
      <c r="G673" s="1940"/>
      <c r="H673" s="177"/>
      <c r="I673" s="1938"/>
      <c r="J673" s="1939"/>
      <c r="K673" s="1939"/>
      <c r="L673" s="1940"/>
      <c r="N673" s="1938"/>
      <c r="O673" s="1939"/>
      <c r="P673" s="1939"/>
      <c r="Q673" s="1940"/>
      <c r="S673" s="1938"/>
      <c r="T673" s="1939"/>
      <c r="U673" s="1939"/>
      <c r="V673" s="1940"/>
      <c r="X673" s="1938"/>
      <c r="Y673" s="1939"/>
      <c r="Z673" s="1939"/>
      <c r="AA673" s="1940"/>
      <c r="AC673" s="1938"/>
      <c r="AD673" s="1939"/>
      <c r="AE673" s="1939"/>
      <c r="AF673" s="1940"/>
      <c r="AH673" s="1938"/>
      <c r="AI673" s="1939"/>
      <c r="AJ673" s="1939"/>
      <c r="AK673" s="1940"/>
    </row>
    <row r="674" spans="2:38" s="176" customFormat="1" ht="14.65" thickBot="1" x14ac:dyDescent="0.5">
      <c r="H674" s="177"/>
    </row>
    <row r="675" spans="2:38" s="176" customFormat="1" ht="15" customHeight="1" thickBot="1" x14ac:dyDescent="0.5">
      <c r="B675" s="1941">
        <v>13</v>
      </c>
      <c r="C675" s="1944" t="str">
        <f ca="1">IF(INDEX(display_strategy,1,B675)="","", CONCATENATE(INDEX(display_strategy,1,B675),": ",HLOOKUP(INDEX(display_strategy,1,B675),strategies,4,TRUE)))</f>
        <v xml:space="preserve">Conservative Balance: Reduce training stress but maintain a good base level of conditioning and metabolism. </v>
      </c>
      <c r="D675" s="1418" t="str">
        <f ca="1">CONCATENATE("Strategy: ",INDEX(display_strategy,$B675))</f>
        <v>Strategy: Conservative Balance</v>
      </c>
      <c r="E675" s="1947">
        <f>plan_start_date + ($B675-1)*7 + (COLUMN(D$2)-2)/5</f>
        <v>43458.400000000001</v>
      </c>
      <c r="F675" s="1947"/>
      <c r="G675" s="1417" t="str">
        <f>CONCATENATE("Slot: ", ((WEEKDAY(E$3,2)*2-1)+IF(E676="Morning",0,1)))</f>
        <v>Slot: 1</v>
      </c>
      <c r="H675" s="177"/>
      <c r="I675" s="1418" t="str">
        <f ca="1">CONCATENATE("Strategy: ",INDEX(display_strategy,$B675))</f>
        <v>Strategy: Conservative Balance</v>
      </c>
      <c r="J675" s="1947">
        <f>plan_start_date + ($B675-1)*7 + (COLUMN(I$2)-2)/5</f>
        <v>43459.4</v>
      </c>
      <c r="K675" s="1947"/>
      <c r="L675" s="1417" t="str">
        <f>CONCATENATE("Slot: ", ((WEEKDAY(J$3,2)*2-1)+IF(J676="Morning",0,1)))</f>
        <v>Slot: 3</v>
      </c>
      <c r="N675" s="1418" t="str">
        <f ca="1">CONCATENATE("Strategy: ",INDEX(display_strategy,$B675))</f>
        <v>Strategy: Conservative Balance</v>
      </c>
      <c r="O675" s="1947">
        <f>plan_start_date + ($B675-1)*7 + (COLUMN(N$2)-2)/5</f>
        <v>43460.4</v>
      </c>
      <c r="P675" s="1947"/>
      <c r="Q675" s="1417" t="str">
        <f>CONCATENATE("Slot: ", ((WEEKDAY(O$3,2)*2-1)+IF(O676="Morning",0,1)))</f>
        <v>Slot: 5</v>
      </c>
      <c r="S675" s="1418" t="str">
        <f ca="1">CONCATENATE("Strategy: ",INDEX(display_strategy,$B675))</f>
        <v>Strategy: Conservative Balance</v>
      </c>
      <c r="T675" s="1947">
        <f>plan_start_date + ($B675-1)*7 + (COLUMN(S$2)-2)/5</f>
        <v>43461.4</v>
      </c>
      <c r="U675" s="1947"/>
      <c r="V675" s="1417" t="str">
        <f>CONCATENATE("Slot: ", ((WEEKDAY(T$3,2)*2-1)+IF(T676="Morning",0,1)))</f>
        <v>Slot: 7</v>
      </c>
      <c r="X675" s="1418" t="str">
        <f ca="1">CONCATENATE("Strategy: ",INDEX(display_strategy,$B675))</f>
        <v>Strategy: Conservative Balance</v>
      </c>
      <c r="Y675" s="1947">
        <f>plan_start_date + ($B675-1)*7 + (COLUMN(X$2)-2)/5</f>
        <v>43462.400000000001</v>
      </c>
      <c r="Z675" s="1947"/>
      <c r="AA675" s="1417" t="str">
        <f>CONCATENATE("Slot: ", ((WEEKDAY(Y$3,2)*2-1)+IF(Y676="Morning",0,1)))</f>
        <v>Slot: 9</v>
      </c>
      <c r="AC675" s="1418" t="str">
        <f ca="1">CONCATENATE("Strategy: ",INDEX(display_strategy,$B675))</f>
        <v>Strategy: Conservative Balance</v>
      </c>
      <c r="AD675" s="1947">
        <f>plan_start_date + ($B675-1)*7 + (COLUMN(AC$2)-2)/5</f>
        <v>43463.4</v>
      </c>
      <c r="AE675" s="1947"/>
      <c r="AF675" s="1417" t="str">
        <f>CONCATENATE("Slot: ", ((WEEKDAY(AD$3,2)*2-1)+IF(AD676="Morning",0,1)))</f>
        <v>Slot: 11</v>
      </c>
      <c r="AH675" s="1418" t="str">
        <f ca="1">CONCATENATE("Strategy: ",INDEX(display_strategy,$B675))</f>
        <v>Strategy: Conservative Balance</v>
      </c>
      <c r="AI675" s="1947">
        <f>plan_start_date + ($B675-1)*7 + (COLUMN(AH$2)-2)/5</f>
        <v>43464.4</v>
      </c>
      <c r="AJ675" s="1947"/>
      <c r="AK675" s="1417" t="str">
        <f>CONCATENATE("Slot: ", ((WEEKDAY(AI$3,2)*2-1)+IF(AI676="Morning",0,1)))</f>
        <v>Slot: 13</v>
      </c>
    </row>
    <row r="676" spans="2:38" s="176" customFormat="1" x14ac:dyDescent="0.45">
      <c r="B676" s="1942"/>
      <c r="C676" s="1945"/>
      <c r="D676" s="1413">
        <f>$B675</f>
        <v>13</v>
      </c>
      <c r="E676" s="1930" t="s">
        <v>351</v>
      </c>
      <c r="F676" s="1930"/>
      <c r="G676" s="1412">
        <f ca="1">INDEX(final_duration_session, ((WEEKDAY(E$3,2)*2-1)+IF(E676="Morning",0,1)), $D676)</f>
        <v>40</v>
      </c>
      <c r="H676" s="177"/>
      <c r="I676" s="1413">
        <f>$B675</f>
        <v>13</v>
      </c>
      <c r="J676" s="1930" t="s">
        <v>351</v>
      </c>
      <c r="K676" s="1930"/>
      <c r="L676" s="1412">
        <f ca="1">INDEX(final_duration_session, ((WEEKDAY(J$3,2)*2-1)+IF(J676="Morning",0,1)), $D676)</f>
        <v>40</v>
      </c>
      <c r="M676" s="177"/>
      <c r="N676" s="1413">
        <f>$B675</f>
        <v>13</v>
      </c>
      <c r="O676" s="1930" t="s">
        <v>351</v>
      </c>
      <c r="P676" s="1930"/>
      <c r="Q676" s="1412">
        <f ca="1">INDEX(final_duration_session, ((WEEKDAY(O$3,2)*2-1)+IF(O676="Morning",0,1)), $D676)</f>
        <v>0</v>
      </c>
      <c r="R676" s="177"/>
      <c r="S676" s="1413">
        <f>$B675</f>
        <v>13</v>
      </c>
      <c r="T676" s="1930" t="s">
        <v>351</v>
      </c>
      <c r="U676" s="1930"/>
      <c r="V676" s="1412">
        <f ca="1">INDEX(final_duration_session, ((WEEKDAY(T$3,2)*2-1)+IF(T676="Morning",0,1)), $D676)</f>
        <v>40</v>
      </c>
      <c r="W676" s="177"/>
      <c r="X676" s="1413">
        <f>$B675</f>
        <v>13</v>
      </c>
      <c r="Y676" s="1930" t="s">
        <v>351</v>
      </c>
      <c r="Z676" s="1930"/>
      <c r="AA676" s="1412">
        <f ca="1">INDEX(final_duration_session, ((WEEKDAY(Y$3,2)*2-1)+IF(Y676="Morning",0,1)), $D676)</f>
        <v>40</v>
      </c>
      <c r="AB676" s="177"/>
      <c r="AC676" s="1413">
        <f>$B675</f>
        <v>13</v>
      </c>
      <c r="AD676" s="1930" t="s">
        <v>351</v>
      </c>
      <c r="AE676" s="1930"/>
      <c r="AF676" s="1412">
        <f ca="1">INDEX(final_duration_session, ((WEEKDAY(AD$3,2)*2-1)+IF(AD676="Morning",0,1)), $D676)</f>
        <v>75</v>
      </c>
      <c r="AG676" s="177"/>
      <c r="AH676" s="1413">
        <f>$B675</f>
        <v>13</v>
      </c>
      <c r="AI676" s="1930" t="s">
        <v>351</v>
      </c>
      <c r="AJ676" s="1930"/>
      <c r="AK676" s="1412">
        <f ca="1">INDEX(final_duration_session, ((WEEKDAY(AI$3,2)*2-1)+IF(AI676="Morning",0,1)), $D676)</f>
        <v>125</v>
      </c>
      <c r="AL676" s="177"/>
    </row>
    <row r="677" spans="2:38" s="176" customFormat="1" ht="15" customHeight="1" x14ac:dyDescent="0.45">
      <c r="B677" s="1942"/>
      <c r="C677" s="1945"/>
      <c r="D677" s="1931" t="str">
        <f ca="1">IF(G676&gt;0,INDEX(sessions_name,INDEX(plan_session_allocation,((WEEKDAY(E$3,2)*2-1)+IF(E676="Morning",0,1)),D676)),"")</f>
        <v>Easy</v>
      </c>
      <c r="E677" s="1932"/>
      <c r="F677" s="1932"/>
      <c r="G677" s="1933"/>
      <c r="H677" s="177"/>
      <c r="I677" s="1931" t="str">
        <f ca="1">IF(L676&gt;0,INDEX(sessions_name,INDEX(plan_session_allocation,((WEEKDAY(J$3,2)*2-1)+IF(J676="Morning",0,1)),I676)),"")</f>
        <v>Easy</v>
      </c>
      <c r="J677" s="1932"/>
      <c r="K677" s="1932"/>
      <c r="L677" s="1933"/>
      <c r="M677" s="177"/>
      <c r="N677" s="1931" t="str">
        <f ca="1">IF(Q676&gt;0,INDEX(sessions_name,INDEX(plan_session_allocation,((WEEKDAY(O$3,2)*2-1)+IF(O676="Morning",0,1)),N676)),"")</f>
        <v/>
      </c>
      <c r="O677" s="1932"/>
      <c r="P677" s="1932"/>
      <c r="Q677" s="1933"/>
      <c r="R677" s="177"/>
      <c r="S677" s="1931" t="str">
        <f ca="1">IF(V676&gt;0,INDEX(sessions_name,INDEX(plan_session_allocation,((WEEKDAY(T$3,2)*2-1)+IF(T676="Morning",0,1)),S676)),"")</f>
        <v>Easy</v>
      </c>
      <c r="T677" s="1932"/>
      <c r="U677" s="1932"/>
      <c r="V677" s="1933"/>
      <c r="W677" s="177"/>
      <c r="X677" s="1931" t="str">
        <f ca="1">IF(AA676&gt;0,INDEX(sessions_name,INDEX(plan_session_allocation,((WEEKDAY(Y$3,2)*2-1)+IF(Y676="Morning",0,1)),X676)),"")</f>
        <v>Easy</v>
      </c>
      <c r="Y677" s="1932"/>
      <c r="Z677" s="1932"/>
      <c r="AA677" s="1933"/>
      <c r="AB677" s="177"/>
      <c r="AC677" s="1931" t="str">
        <f ca="1">IF(AF676&gt;0,INDEX(sessions_name,INDEX(plan_session_allocation,((WEEKDAY(AD$3,2)*2-1)+IF(AD676="Morning",0,1)),AC676)),"")</f>
        <v>Steady</v>
      </c>
      <c r="AD677" s="1932"/>
      <c r="AE677" s="1932"/>
      <c r="AF677" s="1933"/>
      <c r="AG677" s="177"/>
      <c r="AH677" s="1931" t="str">
        <f ca="1">IF(AK676&gt;0,INDEX(sessions_name,INDEX(plan_session_allocation,((WEEKDAY(AI$3,2)*2-1)+IF(AI676="Morning",0,1)),AH676)),"")</f>
        <v>Long</v>
      </c>
      <c r="AI677" s="1932"/>
      <c r="AJ677" s="1932"/>
      <c r="AK677" s="1933"/>
      <c r="AL677" s="177"/>
    </row>
    <row r="678" spans="2:38" s="176" customFormat="1" ht="15" customHeight="1" x14ac:dyDescent="0.45">
      <c r="B678" s="1942"/>
      <c r="C678" s="1945"/>
      <c r="D678" s="1934" t="str">
        <f ca="1">IF(G676&gt;0,CONCATENATE("Sport: ",INDEX(sessions_sport_primary,INDEX(plan_session_allocation,(WEEKDAY(E$3,2)*2-1)+IF(E676="Morning",0,1),D676))),"")</f>
        <v>Sport: Ride</v>
      </c>
      <c r="E678" s="1935"/>
      <c r="F678" s="1936">
        <f ca="1">IF(G676&gt;0,IFERROR(F679+F680+F681,""),"")</f>
        <v>40</v>
      </c>
      <c r="G678" s="1937"/>
      <c r="H678" s="177"/>
      <c r="I678" s="1934" t="str">
        <f ca="1">IF(L676&gt;0,CONCATENATE("Sport: ",INDEX(sessions_sport_primary,INDEX(plan_session_allocation,(WEEKDAY(J$3,2)*2-1)+IF(J676="Morning",0,1),I676))),"")</f>
        <v>Sport: Ride</v>
      </c>
      <c r="J678" s="1935"/>
      <c r="K678" s="1936">
        <f ca="1">IF(L676&gt;0,IFERROR(K679+K680+K681,""),"")</f>
        <v>40</v>
      </c>
      <c r="L678" s="1937"/>
      <c r="M678" s="177"/>
      <c r="N678" s="1934" t="str">
        <f ca="1">IF(Q676&gt;0,CONCATENATE("Sport: ",INDEX(sessions_sport_primary,INDEX(plan_session_allocation,(WEEKDAY(O$3,2)*2-1)+IF(O676="Morning",0,1),N676))),"")</f>
        <v/>
      </c>
      <c r="O678" s="1935"/>
      <c r="P678" s="1936" t="str">
        <f ca="1">IF(Q676&gt;0,IFERROR(P679+P680+P681,""),"")</f>
        <v/>
      </c>
      <c r="Q678" s="1937"/>
      <c r="R678" s="177"/>
      <c r="S678" s="1934" t="str">
        <f ca="1">IF(V676&gt;0,CONCATENATE("Sport: ",INDEX(sessions_sport_primary,INDEX(plan_session_allocation,(WEEKDAY(T$3,2)*2-1)+IF(T676="Morning",0,1),S676))),"")</f>
        <v>Sport: Ride</v>
      </c>
      <c r="T678" s="1935"/>
      <c r="U678" s="1936">
        <f ca="1">IF(V676&gt;0,IFERROR(U679+U680+U681,""),"")</f>
        <v>40</v>
      </c>
      <c r="V678" s="1937"/>
      <c r="W678" s="177"/>
      <c r="X678" s="1934" t="str">
        <f ca="1">IF(AA676&gt;0,CONCATENATE("Sport: ",INDEX(sessions_sport_primary,INDEX(plan_session_allocation,(WEEKDAY(Y$3,2)*2-1)+IF(Y676="Morning",0,1),X676))),"")</f>
        <v>Sport: Ride</v>
      </c>
      <c r="Y678" s="1935"/>
      <c r="Z678" s="1936">
        <f ca="1">IF(AA676&gt;0,IFERROR(Z679+Z680+Z681,""),"")</f>
        <v>40</v>
      </c>
      <c r="AA678" s="1937"/>
      <c r="AB678" s="177"/>
      <c r="AC678" s="1934" t="str">
        <f ca="1">IF(AF676&gt;0,CONCATENATE("Sport: ",INDEX(sessions_sport_primary,INDEX(plan_session_allocation,(WEEKDAY(AD$3,2)*2-1)+IF(AD676="Morning",0,1),AC676))),"")</f>
        <v>Sport: Hilly Trail Run</v>
      </c>
      <c r="AD678" s="1935"/>
      <c r="AE678" s="1936">
        <f ca="1">IF(AF676&gt;0,IFERROR(AE679+AE680+AE681,""),"")</f>
        <v>75</v>
      </c>
      <c r="AF678" s="1937"/>
      <c r="AG678" s="177"/>
      <c r="AH678" s="1934" t="str">
        <f ca="1">IF(AK676&gt;0,CONCATENATE("Sport: ",INDEX(sessions_sport_primary,INDEX(plan_session_allocation,(WEEKDAY(AI$3,2)*2-1)+IF(AI676="Morning",0,1),AH676))),"")</f>
        <v>Sport: Hilly Trail Run</v>
      </c>
      <c r="AI678" s="1935"/>
      <c r="AJ678" s="1936">
        <f ca="1">IF(AK676&gt;0,IFERROR(AJ679+AJ680+AJ681,""),"")</f>
        <v>125</v>
      </c>
      <c r="AK678" s="1937"/>
      <c r="AL678" s="177"/>
    </row>
    <row r="679" spans="2:38" s="176" customFormat="1" ht="15" customHeight="1" x14ac:dyDescent="0.45">
      <c r="B679" s="1942"/>
      <c r="C679" s="1945"/>
      <c r="D679" s="1922" t="str">
        <f ca="1">IF(G676&gt;0,CONCATENATE("HR Target: ",
INDEX(sessions_HR_primary,INDEX(plan_session_allocation,((WEEKDAY(E$3,2)*2-1)+IF(E676="Morning",0,1)),D676)),
IF(INDEX(sessions_HR_primary,INDEX(plan_session_allocation,((WEEKDAY(E$3,2)*2-1)+IF(E676="Morning",0,1)),D676))="N/A","",
" BPM")),"")</f>
        <v>HR Target: 138 BPM</v>
      </c>
      <c r="E679" s="1923"/>
      <c r="F679" s="1924">
        <f ca="1">IF(G676&gt;0,
INDEX(final_duration_effort,((WEEKDAY(E$3,2)*2-1)+IF(E676="Morning",0,1)),D676),"")</f>
        <v>40</v>
      </c>
      <c r="G679" s="1925"/>
      <c r="H679" s="177"/>
      <c r="I679" s="1922" t="str">
        <f ca="1">IF(L676&gt;0,CONCATENATE("HR Target: ",
INDEX(sessions_HR_primary,INDEX(plan_session_allocation,((WEEKDAY(J$3,2)*2-1)+IF(J676="Morning",0,1)),I676)),
IF(INDEX(sessions_HR_primary,INDEX(plan_session_allocation,((WEEKDAY(J$3,2)*2-1)+IF(J676="Morning",0,1)),I676))="N/A","",
" BPM")),"")</f>
        <v>HR Target: 138 BPM</v>
      </c>
      <c r="J679" s="1923"/>
      <c r="K679" s="1924">
        <f ca="1">IF(L676&gt;0,
INDEX(final_duration_effort,((WEEKDAY(J$3,2)*2-1)+IF(J676="Morning",0,1)),I676),"")</f>
        <v>40</v>
      </c>
      <c r="L679" s="1925"/>
      <c r="M679" s="177"/>
      <c r="N679" s="1922" t="str">
        <f ca="1">IF(Q676&gt;0,CONCATENATE("HR Target: ",
INDEX(sessions_HR_primary,INDEX(plan_session_allocation,((WEEKDAY(O$3,2)*2-1)+IF(O676="Morning",0,1)),N676)),
IF(INDEX(sessions_HR_primary,INDEX(plan_session_allocation,((WEEKDAY(O$3,2)*2-1)+IF(O676="Morning",0,1)),N676))="N/A","",
" BPM")),"")</f>
        <v/>
      </c>
      <c r="O679" s="1923"/>
      <c r="P679" s="1924" t="str">
        <f ca="1">IF(Q676&gt;0,
INDEX(final_duration_effort,((WEEKDAY(O$3,2)*2-1)+IF(O676="Morning",0,1)),N676),"")</f>
        <v/>
      </c>
      <c r="Q679" s="1925"/>
      <c r="R679" s="177"/>
      <c r="S679" s="1922" t="str">
        <f ca="1">IF(V676&gt;0,CONCATENATE("HR Target: ",
INDEX(sessions_HR_primary,INDEX(plan_session_allocation,((WEEKDAY(T$3,2)*2-1)+IF(T676="Morning",0,1)),S676)),
IF(INDEX(sessions_HR_primary,INDEX(plan_session_allocation,((WEEKDAY(T$3,2)*2-1)+IF(T676="Morning",0,1)),S676))="N/A","",
" BPM")),"")</f>
        <v>HR Target: 138 BPM</v>
      </c>
      <c r="T679" s="1923"/>
      <c r="U679" s="1924">
        <f ca="1">IF(V676&gt;0,
INDEX(final_duration_effort,((WEEKDAY(T$3,2)*2-1)+IF(T676="Morning",0,1)),S676),"")</f>
        <v>40</v>
      </c>
      <c r="V679" s="1925"/>
      <c r="W679" s="177"/>
      <c r="X679" s="1922" t="str">
        <f ca="1">IF(AA676&gt;0,CONCATENATE("HR Target: ",
INDEX(sessions_HR_primary,INDEX(plan_session_allocation,((WEEKDAY(Y$3,2)*2-1)+IF(Y676="Morning",0,1)),X676)),
IF(INDEX(sessions_HR_primary,INDEX(plan_session_allocation,((WEEKDAY(Y$3,2)*2-1)+IF(Y676="Morning",0,1)),X676))="N/A","",
" BPM")),"")</f>
        <v>HR Target: 138 BPM</v>
      </c>
      <c r="Y679" s="1923"/>
      <c r="Z679" s="1924">
        <f ca="1">IF(AA676&gt;0,
INDEX(final_duration_effort,((WEEKDAY(Y$3,2)*2-1)+IF(Y676="Morning",0,1)),X676),"")</f>
        <v>40</v>
      </c>
      <c r="AA679" s="1925"/>
      <c r="AB679" s="177"/>
      <c r="AC679" s="1922" t="str">
        <f ca="1">IF(AF676&gt;0,CONCATENATE("HR Target: ",
INDEX(sessions_HR_primary,INDEX(plan_session_allocation,((WEEKDAY(AD$3,2)*2-1)+IF(AD676="Morning",0,1)),AC676)),
IF(INDEX(sessions_HR_primary,INDEX(plan_session_allocation,((WEEKDAY(AD$3,2)*2-1)+IF(AD676="Morning",0,1)),AC676))="N/A","",
" BPM")),"")</f>
        <v>HR Target: 148 BPM</v>
      </c>
      <c r="AD679" s="1923"/>
      <c r="AE679" s="1924">
        <f ca="1">IF(AF676&gt;0,
INDEX(final_duration_effort,((WEEKDAY(AD$3,2)*2-1)+IF(AD676="Morning",0,1)),AC676),"")</f>
        <v>75</v>
      </c>
      <c r="AF679" s="1925"/>
      <c r="AG679" s="177"/>
      <c r="AH679" s="1922" t="str">
        <f ca="1">IF(AK676&gt;0,CONCATENATE("HR Target: ",
INDEX(sessions_HR_primary,INDEX(plan_session_allocation,((WEEKDAY(AI$3,2)*2-1)+IF(AI676="Morning",0,1)),AH676)),
IF(INDEX(sessions_HR_primary,INDEX(plan_session_allocation,((WEEKDAY(AI$3,2)*2-1)+IF(AI676="Morning",0,1)),AH676))="N/A","",
" BPM")),"")</f>
        <v>HR Target: 148 BPM</v>
      </c>
      <c r="AI679" s="1923"/>
      <c r="AJ679" s="1924">
        <f ca="1">IF(AK676&gt;0,
INDEX(final_duration_effort,((WEEKDAY(AI$3,2)*2-1)+IF(AI676="Morning",0,1)),AH676),"")</f>
        <v>125</v>
      </c>
      <c r="AK679" s="1925"/>
      <c r="AL679" s="177"/>
    </row>
    <row r="680" spans="2:38" s="179" customFormat="1" x14ac:dyDescent="0.45">
      <c r="B680" s="1942"/>
      <c r="C680" s="1945"/>
      <c r="D680" s="1926" t="str">
        <f ca="1">IF(G676&gt;0,CONCATENATE("HR Range: ",
INDEX(sessions_HR_range_primary,INDEX(plan_session_allocation,((WEEKDAY(E$3,2)*2-1)+IF(E676="Morning",0,1)),D676)),
IF(INDEX(sessions_HR_range_primary,INDEX(plan_session_allocation,((WEEKDAY(E$3,2)*2-1)+IF(E676="Morning",0,1)),D676))="N/A","",
" BPM")),"")</f>
        <v>HR Range: 129 - 148 BPM</v>
      </c>
      <c r="E680" s="1927"/>
      <c r="F680" s="1928">
        <f ca="1">IF(G676&gt;0,IF(
INDEX(sessions_recoveries,INDEX(plan_session_allocation,((WEEKDAY(E$3,2)*2-1)+IF(E676="Morning",0,1)),D676))="Yes",
VLOOKUP(INDEX(plan_duration_primary,((WEEKDAY(E$3,2)*2-1)+IF(E676="Morning",0,1)),D676),
INDIRECT(INDEX(sessions_intervals_code_primary,INDEX(plan_session_allocation,((WEEKDAY(E$3,2)*2-1)+IF(E676="Morning",0,1)),D676))),7,TRUE),0),"")</f>
        <v>0</v>
      </c>
      <c r="G680" s="1929"/>
      <c r="H680" s="178"/>
      <c r="I680" s="1926" t="str">
        <f ca="1">IF(L676&gt;0,CONCATENATE("HR Range: ",
INDEX(sessions_HR_range_primary,INDEX(plan_session_allocation,((WEEKDAY(J$3,2)*2-1)+IF(J676="Morning",0,1)),I676)),
IF(INDEX(sessions_HR_range_primary,INDEX(plan_session_allocation,((WEEKDAY(J$3,2)*2-1)+IF(J676="Morning",0,1)),I676))="N/A","",
" BPM")),"")</f>
        <v>HR Range: 129 - 148 BPM</v>
      </c>
      <c r="J680" s="1927"/>
      <c r="K680" s="1928">
        <f ca="1">IF(L676&gt;0,IF(
INDEX(sessions_recoveries,INDEX(plan_session_allocation,((WEEKDAY(J$3,2)*2-1)+IF(J676="Morning",0,1)),I676))="Yes",
VLOOKUP(INDEX(plan_duration_primary,((WEEKDAY(J$3,2)*2-1)+IF(J676="Morning",0,1)),I676),
INDIRECT(INDEX(sessions_intervals_code_primary,INDEX(plan_session_allocation,((WEEKDAY(J$3,2)*2-1)+IF(J676="Morning",0,1)),I676))),7,TRUE),0),"")</f>
        <v>0</v>
      </c>
      <c r="L680" s="1929"/>
      <c r="M680" s="178"/>
      <c r="N680" s="1926" t="str">
        <f ca="1">IF(Q676&gt;0,CONCATENATE("HR Range: ",
INDEX(sessions_HR_range_primary,INDEX(plan_session_allocation,((WEEKDAY(O$3,2)*2-1)+IF(O676="Morning",0,1)),N676)),
IF(INDEX(sessions_HR_range_primary,INDEX(plan_session_allocation,((WEEKDAY(O$3,2)*2-1)+IF(O676="Morning",0,1)),N676))="N/A","",
" BPM")),"")</f>
        <v/>
      </c>
      <c r="O680" s="1927"/>
      <c r="P680" s="1928" t="str">
        <f ca="1">IF(Q676&gt;0,IF(
INDEX(sessions_recoveries,INDEX(plan_session_allocation,((WEEKDAY(O$3,2)*2-1)+IF(O676="Morning",0,1)),N676))="Yes",
VLOOKUP(INDEX(plan_duration_primary,((WEEKDAY(O$3,2)*2-1)+IF(O676="Morning",0,1)),N676),
INDIRECT(INDEX(sessions_intervals_code_primary,INDEX(plan_session_allocation,((WEEKDAY(O$3,2)*2-1)+IF(O676="Morning",0,1)),N676))),7,TRUE),0),"")</f>
        <v/>
      </c>
      <c r="Q680" s="1929"/>
      <c r="R680" s="178"/>
      <c r="S680" s="1926" t="str">
        <f ca="1">IF(V676&gt;0,CONCATENATE("HR Range: ",
INDEX(sessions_HR_range_primary,INDEX(plan_session_allocation,((WEEKDAY(T$3,2)*2-1)+IF(T676="Morning",0,1)),S676)),
IF(INDEX(sessions_HR_range_primary,INDEX(plan_session_allocation,((WEEKDAY(T$3,2)*2-1)+IF(T676="Morning",0,1)),S676))="N/A","",
" BPM")),"")</f>
        <v>HR Range: 129 - 148 BPM</v>
      </c>
      <c r="T680" s="1927"/>
      <c r="U680" s="1928">
        <f ca="1">IF(V676&gt;0,IF(
INDEX(sessions_recoveries,INDEX(plan_session_allocation,((WEEKDAY(T$3,2)*2-1)+IF(T676="Morning",0,1)),S676))="Yes",
VLOOKUP(INDEX(plan_duration_primary,((WEEKDAY(T$3,2)*2-1)+IF(T676="Morning",0,1)),S676),
INDIRECT(INDEX(sessions_intervals_code_primary,INDEX(plan_session_allocation,((WEEKDAY(T$3,2)*2-1)+IF(T676="Morning",0,1)),S676))),7,TRUE),0),"")</f>
        <v>0</v>
      </c>
      <c r="V680" s="1929"/>
      <c r="W680" s="178"/>
      <c r="X680" s="1926" t="str">
        <f ca="1">IF(AA676&gt;0,CONCATENATE("HR Range: ",
INDEX(sessions_HR_range_primary,INDEX(plan_session_allocation,((WEEKDAY(Y$3,2)*2-1)+IF(Y676="Morning",0,1)),X676)),
IF(INDEX(sessions_HR_range_primary,INDEX(plan_session_allocation,((WEEKDAY(Y$3,2)*2-1)+IF(Y676="Morning",0,1)),X676))="N/A","",
" BPM")),"")</f>
        <v>HR Range: 129 - 148 BPM</v>
      </c>
      <c r="Y680" s="1927"/>
      <c r="Z680" s="1928">
        <f ca="1">IF(AA676&gt;0,IF(
INDEX(sessions_recoveries,INDEX(plan_session_allocation,((WEEKDAY(Y$3,2)*2-1)+IF(Y676="Morning",0,1)),X676))="Yes",
VLOOKUP(INDEX(plan_duration_primary,((WEEKDAY(Y$3,2)*2-1)+IF(Y676="Morning",0,1)),X676),
INDIRECT(INDEX(sessions_intervals_code_primary,INDEX(plan_session_allocation,((WEEKDAY(Y$3,2)*2-1)+IF(Y676="Morning",0,1)),X676))),7,TRUE),0),"")</f>
        <v>0</v>
      </c>
      <c r="AA680" s="1929"/>
      <c r="AB680" s="178"/>
      <c r="AC680" s="1926" t="str">
        <f ca="1">IF(AF676&gt;0,CONCATENATE("HR Range: ",
INDEX(sessions_HR_range_primary,INDEX(plan_session_allocation,((WEEKDAY(AD$3,2)*2-1)+IF(AD676="Morning",0,1)),AC676)),
IF(INDEX(sessions_HR_range_primary,INDEX(plan_session_allocation,((WEEKDAY(AD$3,2)*2-1)+IF(AD676="Morning",0,1)),AC676))="N/A","",
" BPM")),"")</f>
        <v>HR Range: 138 - 157 BPM</v>
      </c>
      <c r="AD680" s="1927"/>
      <c r="AE680" s="1928">
        <f ca="1">IF(AF676&gt;0,IF(
INDEX(sessions_recoveries,INDEX(plan_session_allocation,((WEEKDAY(AD$3,2)*2-1)+IF(AD676="Morning",0,1)),AC676))="Yes",
VLOOKUP(INDEX(plan_duration_primary,((WEEKDAY(AD$3,2)*2-1)+IF(AD676="Morning",0,1)),AC676),
INDIRECT(INDEX(sessions_intervals_code_primary,INDEX(plan_session_allocation,((WEEKDAY(AD$3,2)*2-1)+IF(AD676="Morning",0,1)),AC676))),7,TRUE),0),"")</f>
        <v>0</v>
      </c>
      <c r="AF680" s="1929"/>
      <c r="AG680" s="178"/>
      <c r="AH680" s="1926" t="str">
        <f ca="1">IF(AK676&gt;0,CONCATENATE("HR Range: ",
INDEX(sessions_HR_range_primary,INDEX(plan_session_allocation,((WEEKDAY(AI$3,2)*2-1)+IF(AI676="Morning",0,1)),AH676)),
IF(INDEX(sessions_HR_range_primary,INDEX(plan_session_allocation,((WEEKDAY(AI$3,2)*2-1)+IF(AI676="Morning",0,1)),AH676))="N/A","",
" BPM")),"")</f>
        <v>HR Range: 129 - 169 BPM</v>
      </c>
      <c r="AI680" s="1927"/>
      <c r="AJ680" s="1928">
        <f ca="1">IF(AK676&gt;0,IF(
INDEX(sessions_recoveries,INDEX(plan_session_allocation,((WEEKDAY(AI$3,2)*2-1)+IF(AI676="Morning",0,1)),AH676))="Yes",
VLOOKUP(INDEX(plan_duration_primary,((WEEKDAY(AI$3,2)*2-1)+IF(AI676="Morning",0,1)),AH676),
INDIRECT(INDEX(sessions_intervals_code_primary,INDEX(plan_session_allocation,((WEEKDAY(AI$3,2)*2-1)+IF(AI676="Morning",0,1)),AH676))),7,TRUE),0),"")</f>
        <v>0</v>
      </c>
      <c r="AK680" s="1929"/>
      <c r="AL680" s="178"/>
    </row>
    <row r="681" spans="2:38" s="179" customFormat="1" ht="15" customHeight="1" x14ac:dyDescent="0.45">
      <c r="B681" s="1942"/>
      <c r="C681" s="1945"/>
      <c r="D681" s="1909" t="str">
        <f ca="1">IF(G676&gt;0,CONCATENATE("Equivalent Pace: ",
TEXT(INDEX(sessions_pace_primary,INDEX(plan_session_allocation,(WEEKDAY(E$3,2)*2-1)+IF(E676="Morning",0,1),D676)),"m:ss"),
" min/km"
),"")</f>
        <v>Equivalent Pace: 4:39 min/km</v>
      </c>
      <c r="E681" s="1910"/>
      <c r="F681" s="1911">
        <f ca="1">IF(G676&gt;0, INDEX(final_duration_WU,((WEEKDAY(E$3,2)*2-1)+IF(E676="Morning",0,1)),D676)  + INDEX(final_duration_WD,((WEEKDAY(E$3,2)*2-1)+IF(E676="Morning",0,1)),D676), "")</f>
        <v>0</v>
      </c>
      <c r="G681" s="1912"/>
      <c r="H681" s="178"/>
      <c r="I681" s="1909" t="str">
        <f ca="1">IF(L676&gt;0,CONCATENATE("Equivalent Pace: ",
TEXT(INDEX(sessions_pace_primary,INDEX(plan_session_allocation,(WEEKDAY(J$3,2)*2-1)+IF(J676="Morning",0,1),I676)),"m:ss"),
" min/km"
),"")</f>
        <v>Equivalent Pace: 4:39 min/km</v>
      </c>
      <c r="J681" s="1910"/>
      <c r="K681" s="1911">
        <f ca="1">IF(L676&gt;0, INDEX(final_duration_WU,((WEEKDAY(J$3,2)*2-1)+IF(J676="Morning",0,1)),I676)  + INDEX(final_duration_WD,((WEEKDAY(J$3,2)*2-1)+IF(J676="Morning",0,1)),I676), "")</f>
        <v>0</v>
      </c>
      <c r="L681" s="1912"/>
      <c r="M681" s="178"/>
      <c r="N681" s="1909" t="str">
        <f ca="1">IF(Q676&gt;0,CONCATENATE("Equivalent Pace: ",
TEXT(INDEX(sessions_pace_primary,INDEX(plan_session_allocation,(WEEKDAY(O$3,2)*2-1)+IF(O676="Morning",0,1),N676)),"m:ss"),
" min/km"
),"")</f>
        <v/>
      </c>
      <c r="O681" s="1910"/>
      <c r="P681" s="1911" t="str">
        <f ca="1">IF(Q676&gt;0, INDEX(final_duration_WU,((WEEKDAY(O$3,2)*2-1)+IF(O676="Morning",0,1)),N676)  + INDEX(final_duration_WD,((WEEKDAY(O$3,2)*2-1)+IF(O676="Morning",0,1)),N676), "")</f>
        <v/>
      </c>
      <c r="Q681" s="1912"/>
      <c r="R681" s="178"/>
      <c r="S681" s="1909" t="str">
        <f ca="1">IF(V676&gt;0,CONCATENATE("Equivalent Pace: ",
TEXT(INDEX(sessions_pace_primary,INDEX(plan_session_allocation,(WEEKDAY(T$3,2)*2-1)+IF(T676="Morning",0,1),S676)),"m:ss"),
" min/km"
),"")</f>
        <v>Equivalent Pace: 4:39 min/km</v>
      </c>
      <c r="T681" s="1910"/>
      <c r="U681" s="1911">
        <f ca="1">IF(V676&gt;0, INDEX(final_duration_WU,((WEEKDAY(T$3,2)*2-1)+IF(T676="Morning",0,1)),S676)  + INDEX(final_duration_WD,((WEEKDAY(T$3,2)*2-1)+IF(T676="Morning",0,1)),S676), "")</f>
        <v>0</v>
      </c>
      <c r="V681" s="1912"/>
      <c r="W681" s="178"/>
      <c r="X681" s="1909" t="str">
        <f ca="1">IF(AA676&gt;0,CONCATENATE("Equivalent Pace: ",
TEXT(INDEX(sessions_pace_primary,INDEX(plan_session_allocation,(WEEKDAY(Y$3,2)*2-1)+IF(Y676="Morning",0,1),X676)),"m:ss"),
" min/km"
),"")</f>
        <v>Equivalent Pace: 4:39 min/km</v>
      </c>
      <c r="Y681" s="1910"/>
      <c r="Z681" s="1911">
        <f ca="1">IF(AA676&gt;0, INDEX(final_duration_WU,((WEEKDAY(Y$3,2)*2-1)+IF(Y676="Morning",0,1)),X676)  + INDEX(final_duration_WD,((WEEKDAY(Y$3,2)*2-1)+IF(Y676="Morning",0,1)),X676), "")</f>
        <v>0</v>
      </c>
      <c r="AA681" s="1912"/>
      <c r="AB681" s="178"/>
      <c r="AC681" s="1909" t="str">
        <f ca="1">IF(AF676&gt;0,CONCATENATE("Equivalent Pace: ",
TEXT(INDEX(sessions_pace_primary,INDEX(plan_session_allocation,(WEEKDAY(AD$3,2)*2-1)+IF(AD676="Morning",0,1),AC676)),"m:ss"),
" min/km"
),"")</f>
        <v>Equivalent Pace: 4:14 min/km</v>
      </c>
      <c r="AD681" s="1910"/>
      <c r="AE681" s="1911">
        <f ca="1">IF(AF676&gt;0, INDEX(final_duration_WU,((WEEKDAY(AD$3,2)*2-1)+IF(AD676="Morning",0,1)),AC676)  + INDEX(final_duration_WD,((WEEKDAY(AD$3,2)*2-1)+IF(AD676="Morning",0,1)),AC676), "")</f>
        <v>0</v>
      </c>
      <c r="AF681" s="1912"/>
      <c r="AG681" s="178"/>
      <c r="AH681" s="1909" t="str">
        <f ca="1">IF(AK676&gt;0,CONCATENATE("Equivalent Pace: ",
TEXT(INDEX(sessions_pace_primary,INDEX(plan_session_allocation,(WEEKDAY(AI$3,2)*2-1)+IF(AI676="Morning",0,1),AH676)),"m:ss"),
" min/km"
),"")</f>
        <v>Equivalent Pace: 4:14 min/km</v>
      </c>
      <c r="AI681" s="1910"/>
      <c r="AJ681" s="1911">
        <f ca="1">IF(AK676&gt;0, INDEX(final_duration_WU,((WEEKDAY(AI$3,2)*2-1)+IF(AI676="Morning",0,1)),AH676)  + INDEX(final_duration_WD,((WEEKDAY(AI$3,2)*2-1)+IF(AI676="Morning",0,1)),AH676), "")</f>
        <v>0</v>
      </c>
      <c r="AK681" s="1912"/>
      <c r="AL681" s="178"/>
    </row>
    <row r="682" spans="2:38" s="180" customFormat="1" ht="15" customHeight="1" x14ac:dyDescent="0.45">
      <c r="B682" s="1942"/>
      <c r="C682" s="1945"/>
      <c r="D682" s="1913" t="str">
        <f ca="1">IF(G676&gt;0,CONCATENATE(IFERROR(CONCATENATE(IF(INDEX(display_intervals_breakdown,((WEEKDAY(E$3,2)*2-1)+IF(E676="Morning",0,1)),D676)="","",CONCATENATE("Intervals/Reps Breakdown: 
",INDEX(display_intervals_breakdown,((WEEKDAY(E$3,2)*2-1)+IF(E676="Morning",0,1)),D676),"
")),"Session Description: 
",CONCATENATE(IF(INDEX(final_duration_secondary,((WEEKDAY(E$3,2)*2-1)+IF(E676="Morning",0,1)),D676)=0,"","1. "),
INDEX(sessions_description_primary,,INDEX(plan_session_allocation,((WEEKDAY(E$3,2)*2-1)+IF(E676="Morning",0,1)),D676)),IF(INDEX(final_duration_secondary,((WEEKDAY(E$3,2)*2-1)+IF(E676="Morning",0,1)),D676)=0,"","
2. "),
IF(INDEX(final_duration_secondary,((WEEKDAY(E$3,2)*2-1)+IF(E676="Morning",0,1)),D676)=0,"",INDEX(sessions_description_secondary,,INDEX(plan_session_allocation,((WEEKDAY(E$3,2)*2-1)+IF(E676="Morning",0,1)),D676))),IF(INDEX(final_duration_tertiary,((WEEKDAY(E$3,2)*2-1)+IF(E676="Morning",0,1)),D676)=0,"","
3. "),
IF(INDEX(final_duration_tertiary,((WEEKDAY(E$3,2)*2-1)+IF(E676="Morning",0,1)),D676)="","",INDEX(sessions_description_tertiary,,INDEX(plan_session_allocation,((WEEKDAY(E$3,2)*2-1)+IF(E676="Morning",0,1)),D676))),
IF(INDEX(display_nutrition_description,((WEEKDAY(E$3,2)*2-1)+IF(E676="Morning",0,1)),D676)="","",
CONCATENATE("
Meal Plan: ", INDEX(sessions_nutrition,,INDEX(plan_session_allocation,((WEEKDAY(E$3,2)*2-1)+IF(E676="Morning",0,1)),D676)), "
", INDEX(display_nutrition_description,((WEEKDAY(E$3,2)*2-1)+IF(E676="Morning",0,1)),D676)))
)),"")),"")</f>
        <v>Session Description: 
Stay at a comfortable and controlled intensity where you should be able to have a conversation without large pauses. Keep an even intensity and accept that your pace may change as the terrain changes.</v>
      </c>
      <c r="E682" s="1914"/>
      <c r="F682" s="1914"/>
      <c r="G682" s="1915"/>
      <c r="I682" s="1913" t="str">
        <f ca="1">IF(L676&gt;0,CONCATENATE(IFERROR(CONCATENATE(IF(INDEX(display_intervals_breakdown,((WEEKDAY(J$3,2)*2-1)+IF(J676="Morning",0,1)),I676)="","",CONCATENATE("Intervals/Reps Breakdown: 
",INDEX(display_intervals_breakdown,((WEEKDAY(J$3,2)*2-1)+IF(J676="Morning",0,1)),I676),"
")),"Session Description: 
",CONCATENATE(IF(INDEX(final_duration_secondary,((WEEKDAY(J$3,2)*2-1)+IF(J676="Morning",0,1)),I676)=0,"","1. "),
INDEX(sessions_description_primary,,INDEX(plan_session_allocation,((WEEKDAY(J$3,2)*2-1)+IF(J676="Morning",0,1)),I676)),IF(INDEX(final_duration_secondary,((WEEKDAY(J$3,2)*2-1)+IF(J676="Morning",0,1)),I676)=0,"","
2. "),
IF(INDEX(final_duration_secondary,((WEEKDAY(J$3,2)*2-1)+IF(J676="Morning",0,1)),I676)=0,"",INDEX(sessions_description_secondary,,INDEX(plan_session_allocation,((WEEKDAY(J$3,2)*2-1)+IF(J676="Morning",0,1)),I676))),IF(INDEX(final_duration_tertiary,((WEEKDAY(J$3,2)*2-1)+IF(J676="Morning",0,1)),I676)=0,"","
3. "),
IF(INDEX(final_duration_tertiary,((WEEKDAY(J$3,2)*2-1)+IF(J676="Morning",0,1)),I676)="","",INDEX(sessions_description_tertiary,,INDEX(plan_session_allocation,((WEEKDAY(J$3,2)*2-1)+IF(J676="Morning",0,1)),I676))),
IF(INDEX(display_nutrition_description,((WEEKDAY(J$3,2)*2-1)+IF(J676="Morning",0,1)),I676)="","",
CONCATENATE("
Meal Plan: ", INDEX(sessions_nutrition,,INDEX(plan_session_allocation,((WEEKDAY(J$3,2)*2-1)+IF(J676="Morning",0,1)),I676)), "
", INDEX(display_nutrition_description,((WEEKDAY(J$3,2)*2-1)+IF(J676="Morning",0,1)),I676)))
)),"")),"")</f>
        <v>Session Description: 
Stay at a comfortable and controlled intensity where you should be able to have a conversation without large pauses. Keep an even intensity and accept that your pace may change as the terrain changes.</v>
      </c>
      <c r="J682" s="1914"/>
      <c r="K682" s="1914"/>
      <c r="L682" s="1915"/>
      <c r="N682" s="1913" t="str">
        <f ca="1">IF(Q676&gt;0,CONCATENATE(IFERROR(CONCATENATE(IF(INDEX(display_intervals_breakdown,((WEEKDAY(O$3,2)*2-1)+IF(O676="Morning",0,1)),N676)="","",CONCATENATE("Intervals/Reps Breakdown: 
",INDEX(display_intervals_breakdown,((WEEKDAY(O$3,2)*2-1)+IF(O676="Morning",0,1)),N676),"
")),"Session Description: 
",CONCATENATE(IF(INDEX(final_duration_secondary,((WEEKDAY(O$3,2)*2-1)+IF(O676="Morning",0,1)),N676)=0,"","1. "),
INDEX(sessions_description_primary,,INDEX(plan_session_allocation,((WEEKDAY(O$3,2)*2-1)+IF(O676="Morning",0,1)),N676)),IF(INDEX(final_duration_secondary,((WEEKDAY(O$3,2)*2-1)+IF(O676="Morning",0,1)),N676)=0,"","
2. "),
IF(INDEX(final_duration_secondary,((WEEKDAY(O$3,2)*2-1)+IF(O676="Morning",0,1)),N676)=0,"",INDEX(sessions_description_secondary,,INDEX(plan_session_allocation,((WEEKDAY(O$3,2)*2-1)+IF(O676="Morning",0,1)),N676))),IF(INDEX(final_duration_tertiary,((WEEKDAY(O$3,2)*2-1)+IF(O676="Morning",0,1)),N676)=0,"","
3. "),
IF(INDEX(final_duration_tertiary,((WEEKDAY(O$3,2)*2-1)+IF(O676="Morning",0,1)),N676)="","",INDEX(sessions_description_tertiary,,INDEX(plan_session_allocation,((WEEKDAY(O$3,2)*2-1)+IF(O676="Morning",0,1)),N676))),
IF(INDEX(display_nutrition_description,((WEEKDAY(O$3,2)*2-1)+IF(O676="Morning",0,1)),N676)="","",
CONCATENATE("
Meal Plan: ", INDEX(sessions_nutrition,,INDEX(plan_session_allocation,((WEEKDAY(O$3,2)*2-1)+IF(O676="Morning",0,1)),N676)), "
", INDEX(display_nutrition_description,((WEEKDAY(O$3,2)*2-1)+IF(O676="Morning",0,1)),N676)))
)),"")),"")</f>
        <v/>
      </c>
      <c r="O682" s="1914"/>
      <c r="P682" s="1914"/>
      <c r="Q682" s="1915"/>
      <c r="S682" s="1913" t="str">
        <f ca="1">IF(V676&gt;0,CONCATENATE(IFERROR(CONCATENATE(IF(INDEX(display_intervals_breakdown,((WEEKDAY(T$3,2)*2-1)+IF(T676="Morning",0,1)),S676)="","",CONCATENATE("Intervals/Reps Breakdown: 
",INDEX(display_intervals_breakdown,((WEEKDAY(T$3,2)*2-1)+IF(T676="Morning",0,1)),S676),"
")),"Session Description: 
",CONCATENATE(IF(INDEX(final_duration_secondary,((WEEKDAY(T$3,2)*2-1)+IF(T676="Morning",0,1)),S676)=0,"","1. "),
INDEX(sessions_description_primary,,INDEX(plan_session_allocation,((WEEKDAY(T$3,2)*2-1)+IF(T676="Morning",0,1)),S676)),IF(INDEX(final_duration_secondary,((WEEKDAY(T$3,2)*2-1)+IF(T676="Morning",0,1)),S676)=0,"","
2. "),
IF(INDEX(final_duration_secondary,((WEEKDAY(T$3,2)*2-1)+IF(T676="Morning",0,1)),S676)=0,"",INDEX(sessions_description_secondary,,INDEX(plan_session_allocation,((WEEKDAY(T$3,2)*2-1)+IF(T676="Morning",0,1)),S676))),IF(INDEX(final_duration_tertiary,((WEEKDAY(T$3,2)*2-1)+IF(T676="Morning",0,1)),S676)=0,"","
3. "),
IF(INDEX(final_duration_tertiary,((WEEKDAY(T$3,2)*2-1)+IF(T676="Morning",0,1)),S676)="","",INDEX(sessions_description_tertiary,,INDEX(plan_session_allocation,((WEEKDAY(T$3,2)*2-1)+IF(T676="Morning",0,1)),S676))),
IF(INDEX(display_nutrition_description,((WEEKDAY(T$3,2)*2-1)+IF(T676="Morning",0,1)),S676)="","",
CONCATENATE("
Meal Plan: ", INDEX(sessions_nutrition,,INDEX(plan_session_allocation,((WEEKDAY(T$3,2)*2-1)+IF(T676="Morning",0,1)),S676)), "
", INDEX(display_nutrition_description,((WEEKDAY(T$3,2)*2-1)+IF(T676="Morning",0,1)),S676)))
)),"")),"")</f>
        <v>Session Description: 
Stay at a comfortable and controlled intensity where you should be able to have a conversation without large pauses. Keep an even intensity and accept that your pace may change as the terrain changes.</v>
      </c>
      <c r="T682" s="1914"/>
      <c r="U682" s="1914"/>
      <c r="V682" s="1915"/>
      <c r="X682" s="1913" t="str">
        <f ca="1">IF(AA676&gt;0,CONCATENATE(IFERROR(CONCATENATE(IF(INDEX(display_intervals_breakdown,((WEEKDAY(Y$3,2)*2-1)+IF(Y676="Morning",0,1)),X676)="","",CONCATENATE("Intervals/Reps Breakdown: 
",INDEX(display_intervals_breakdown,((WEEKDAY(Y$3,2)*2-1)+IF(Y676="Morning",0,1)),X676),"
")),"Session Description: 
",CONCATENATE(IF(INDEX(final_duration_secondary,((WEEKDAY(Y$3,2)*2-1)+IF(Y676="Morning",0,1)),X676)=0,"","1. "),
INDEX(sessions_description_primary,,INDEX(plan_session_allocation,((WEEKDAY(Y$3,2)*2-1)+IF(Y676="Morning",0,1)),X676)),IF(INDEX(final_duration_secondary,((WEEKDAY(Y$3,2)*2-1)+IF(Y676="Morning",0,1)),X676)=0,"","
2. "),
IF(INDEX(final_duration_secondary,((WEEKDAY(Y$3,2)*2-1)+IF(Y676="Morning",0,1)),X676)=0,"",INDEX(sessions_description_secondary,,INDEX(plan_session_allocation,((WEEKDAY(Y$3,2)*2-1)+IF(Y676="Morning",0,1)),X676))),IF(INDEX(final_duration_tertiary,((WEEKDAY(Y$3,2)*2-1)+IF(Y676="Morning",0,1)),X676)=0,"","
3. "),
IF(INDEX(final_duration_tertiary,((WEEKDAY(Y$3,2)*2-1)+IF(Y676="Morning",0,1)),X676)="","",INDEX(sessions_description_tertiary,,INDEX(plan_session_allocation,((WEEKDAY(Y$3,2)*2-1)+IF(Y676="Morning",0,1)),X676))),
IF(INDEX(display_nutrition_description,((WEEKDAY(Y$3,2)*2-1)+IF(Y676="Morning",0,1)),X676)="","",
CONCATENATE("
Meal Plan: ", INDEX(sessions_nutrition,,INDEX(plan_session_allocation,((WEEKDAY(Y$3,2)*2-1)+IF(Y676="Morning",0,1)),X676)), "
", INDEX(display_nutrition_description,((WEEKDAY(Y$3,2)*2-1)+IF(Y676="Morning",0,1)),X676)))
)),"")),"")</f>
        <v>Session Description: 
Stay at a comfortable and controlled intensity where you should be able to have a conversation without large pauses. Keep an even intensity and accept that your pace may change as the terrain changes.</v>
      </c>
      <c r="Y682" s="1914"/>
      <c r="Z682" s="1914"/>
      <c r="AA682" s="1915"/>
      <c r="AC682" s="1913" t="str">
        <f ca="1">IF(AF676&gt;0,CONCATENATE(IFERROR(CONCATENATE(IF(INDEX(display_intervals_breakdown,((WEEKDAY(AD$3,2)*2-1)+IF(AD676="Morning",0,1)),AC676)="","",CONCATENATE("Intervals/Reps Breakdown: 
",INDEX(display_intervals_breakdown,((WEEKDAY(AD$3,2)*2-1)+IF(AD676="Morning",0,1)),AC676),"
")),"Session Description: 
",CONCATENATE(IF(INDEX(final_duration_secondary,((WEEKDAY(AD$3,2)*2-1)+IF(AD676="Morning",0,1)),AC676)=0,"","1. "),
INDEX(sessions_description_primary,,INDEX(plan_session_allocation,((WEEKDAY(AD$3,2)*2-1)+IF(AD676="Morning",0,1)),AC676)),IF(INDEX(final_duration_secondary,((WEEKDAY(AD$3,2)*2-1)+IF(AD676="Morning",0,1)),AC676)=0,"","
2. "),
IF(INDEX(final_duration_secondary,((WEEKDAY(AD$3,2)*2-1)+IF(AD676="Morning",0,1)),AC676)=0,"",INDEX(sessions_description_secondary,,INDEX(plan_session_allocation,((WEEKDAY(AD$3,2)*2-1)+IF(AD676="Morning",0,1)),AC676))),IF(INDEX(final_duration_tertiary,((WEEKDAY(AD$3,2)*2-1)+IF(AD676="Morning",0,1)),AC676)=0,"","
3. "),
IF(INDEX(final_duration_tertiary,((WEEKDAY(AD$3,2)*2-1)+IF(AD676="Morning",0,1)),AC676)="","",INDEX(sessions_description_tertiary,,INDEX(plan_session_allocation,((WEEKDAY(AD$3,2)*2-1)+IF(AD676="Morning",0,1)),AC676))),
IF(INDEX(display_nutrition_description,((WEEKDAY(AD$3,2)*2-1)+IF(AD676="Morning",0,1)),AC676)="","",
CONCATENATE("
Meal Plan: ", INDEX(sessions_nutrition,,INDEX(plan_session_allocation,((WEEKDAY(AD$3,2)*2-1)+IF(AD676="Morning",0,1)),AC676)), "
", INDEX(display_nutrition_description,((WEEKDAY(AD$3,2)*2-1)+IF(AD676="Morning",0,1)),AC676)))
)),"")),"")</f>
        <v>Session Description: 
Stay at a comfortable and controlled intensity where you should be able to have a conversation without large pauses. Keep an even intensity and accept that your pace may change as the terrain changes.</v>
      </c>
      <c r="AD682" s="1914"/>
      <c r="AE682" s="1914"/>
      <c r="AF682" s="1915"/>
      <c r="AH682" s="1913" t="str">
        <f ca="1">IF(AK676&gt;0,CONCATENATE(IFERROR(CONCATENATE(IF(INDEX(display_intervals_breakdown,((WEEKDAY(AI$3,2)*2-1)+IF(AI676="Morning",0,1)),AH676)="","",CONCATENATE("Intervals/Reps Breakdown: 
",INDEX(display_intervals_breakdown,((WEEKDAY(AI$3,2)*2-1)+IF(AI676="Morning",0,1)),AH676),"
")),"Session Description: 
",CONCATENATE(IF(INDEX(final_duration_secondary,((WEEKDAY(AI$3,2)*2-1)+IF(AI676="Morning",0,1)),AH676)=0,"","1. "),
INDEX(sessions_description_primary,,INDEX(plan_session_allocation,((WEEKDAY(AI$3,2)*2-1)+IF(AI676="Morning",0,1)),AH676)),IF(INDEX(final_duration_secondary,((WEEKDAY(AI$3,2)*2-1)+IF(AI676="Morning",0,1)),AH676)=0,"","
2. "),
IF(INDEX(final_duration_secondary,((WEEKDAY(AI$3,2)*2-1)+IF(AI676="Morning",0,1)),AH676)=0,"",INDEX(sessions_description_secondary,,INDEX(plan_session_allocation,((WEEKDAY(AI$3,2)*2-1)+IF(AI676="Morning",0,1)),AH676))),IF(INDEX(final_duration_tertiary,((WEEKDAY(AI$3,2)*2-1)+IF(AI676="Morning",0,1)),AH676)=0,"","
3. "),
IF(INDEX(final_duration_tertiary,((WEEKDAY(AI$3,2)*2-1)+IF(AI676="Morning",0,1)),AH676)="","",INDEX(sessions_description_tertiary,,INDEX(plan_session_allocation,((WEEKDAY(AI$3,2)*2-1)+IF(AI676="Morning",0,1)),AH676))),
IF(INDEX(display_nutrition_description,((WEEKDAY(AI$3,2)*2-1)+IF(AI676="Morning",0,1)),AH676)="","",
CONCATENATE("
Meal Plan: ", INDEX(sessions_nutrition,,INDEX(plan_session_allocation,((WEEKDAY(AI$3,2)*2-1)+IF(AI676="Morning",0,1)),AH676)), "
", INDEX(display_nutrition_description,((WEEKDAY(AI$3,2)*2-1)+IF(AI676="Morning",0,1)),AH676)))
)),"")),"")</f>
        <v xml:space="preserve">Session Description: 
Fundamentally a steady, but you can be less strict at controlling your intensity as long as your average intensity is close to it's target by the end of the session </v>
      </c>
      <c r="AI682" s="1914"/>
      <c r="AJ682" s="1914"/>
      <c r="AK682" s="1915"/>
    </row>
    <row r="683" spans="2:38" s="180" customFormat="1" x14ac:dyDescent="0.45">
      <c r="B683" s="1942"/>
      <c r="C683" s="1945"/>
      <c r="D683" s="1916"/>
      <c r="E683" s="1917"/>
      <c r="F683" s="1917"/>
      <c r="G683" s="1918"/>
      <c r="I683" s="1916"/>
      <c r="J683" s="1917"/>
      <c r="K683" s="1917"/>
      <c r="L683" s="1918"/>
      <c r="N683" s="1916"/>
      <c r="O683" s="1917"/>
      <c r="P683" s="1917"/>
      <c r="Q683" s="1918"/>
      <c r="S683" s="1916"/>
      <c r="T683" s="1917"/>
      <c r="U683" s="1917"/>
      <c r="V683" s="1918"/>
      <c r="X683" s="1916"/>
      <c r="Y683" s="1917"/>
      <c r="Z683" s="1917"/>
      <c r="AA683" s="1918"/>
      <c r="AC683" s="1916"/>
      <c r="AD683" s="1917"/>
      <c r="AE683" s="1917"/>
      <c r="AF683" s="1918"/>
      <c r="AH683" s="1916"/>
      <c r="AI683" s="1917"/>
      <c r="AJ683" s="1917"/>
      <c r="AK683" s="1918"/>
    </row>
    <row r="684" spans="2:38" s="180" customFormat="1" x14ac:dyDescent="0.45">
      <c r="B684" s="1942"/>
      <c r="C684" s="1945"/>
      <c r="D684" s="1916"/>
      <c r="E684" s="1917"/>
      <c r="F684" s="1917"/>
      <c r="G684" s="1918"/>
      <c r="I684" s="1916"/>
      <c r="J684" s="1917"/>
      <c r="K684" s="1917"/>
      <c r="L684" s="1918"/>
      <c r="N684" s="1916"/>
      <c r="O684" s="1917"/>
      <c r="P684" s="1917"/>
      <c r="Q684" s="1918"/>
      <c r="S684" s="1916"/>
      <c r="T684" s="1917"/>
      <c r="U684" s="1917"/>
      <c r="V684" s="1918"/>
      <c r="X684" s="1916"/>
      <c r="Y684" s="1917"/>
      <c r="Z684" s="1917"/>
      <c r="AA684" s="1918"/>
      <c r="AC684" s="1916"/>
      <c r="AD684" s="1917"/>
      <c r="AE684" s="1917"/>
      <c r="AF684" s="1918"/>
      <c r="AH684" s="1916"/>
      <c r="AI684" s="1917"/>
      <c r="AJ684" s="1917"/>
      <c r="AK684" s="1918"/>
    </row>
    <row r="685" spans="2:38" s="180" customFormat="1" x14ac:dyDescent="0.45">
      <c r="B685" s="1942"/>
      <c r="C685" s="1945"/>
      <c r="D685" s="1916"/>
      <c r="E685" s="1917"/>
      <c r="F685" s="1917"/>
      <c r="G685" s="1918"/>
      <c r="I685" s="1916"/>
      <c r="J685" s="1917"/>
      <c r="K685" s="1917"/>
      <c r="L685" s="1918"/>
      <c r="N685" s="1916"/>
      <c r="O685" s="1917"/>
      <c r="P685" s="1917"/>
      <c r="Q685" s="1918"/>
      <c r="S685" s="1916"/>
      <c r="T685" s="1917"/>
      <c r="U685" s="1917"/>
      <c r="V685" s="1918"/>
      <c r="X685" s="1916"/>
      <c r="Y685" s="1917"/>
      <c r="Z685" s="1917"/>
      <c r="AA685" s="1918"/>
      <c r="AC685" s="1916"/>
      <c r="AD685" s="1917"/>
      <c r="AE685" s="1917"/>
      <c r="AF685" s="1918"/>
      <c r="AH685" s="1916"/>
      <c r="AI685" s="1917"/>
      <c r="AJ685" s="1917"/>
      <c r="AK685" s="1918"/>
    </row>
    <row r="686" spans="2:38" s="180" customFormat="1" x14ac:dyDescent="0.45">
      <c r="B686" s="1942"/>
      <c r="C686" s="1945"/>
      <c r="D686" s="1916"/>
      <c r="E686" s="1917"/>
      <c r="F686" s="1917"/>
      <c r="G686" s="1918"/>
      <c r="I686" s="1916"/>
      <c r="J686" s="1917"/>
      <c r="K686" s="1917"/>
      <c r="L686" s="1918"/>
      <c r="N686" s="1916"/>
      <c r="O686" s="1917"/>
      <c r="P686" s="1917"/>
      <c r="Q686" s="1918"/>
      <c r="S686" s="1916"/>
      <c r="T686" s="1917"/>
      <c r="U686" s="1917"/>
      <c r="V686" s="1918"/>
      <c r="X686" s="1916"/>
      <c r="Y686" s="1917"/>
      <c r="Z686" s="1917"/>
      <c r="AA686" s="1918"/>
      <c r="AC686" s="1916"/>
      <c r="AD686" s="1917"/>
      <c r="AE686" s="1917"/>
      <c r="AF686" s="1918"/>
      <c r="AH686" s="1916"/>
      <c r="AI686" s="1917"/>
      <c r="AJ686" s="1917"/>
      <c r="AK686" s="1918"/>
    </row>
    <row r="687" spans="2:38" s="180" customFormat="1" x14ac:dyDescent="0.45">
      <c r="B687" s="1942"/>
      <c r="C687" s="1945"/>
      <c r="D687" s="1916"/>
      <c r="E687" s="1917"/>
      <c r="F687" s="1917"/>
      <c r="G687" s="1918"/>
      <c r="I687" s="1916"/>
      <c r="J687" s="1917"/>
      <c r="K687" s="1917"/>
      <c r="L687" s="1918"/>
      <c r="N687" s="1916"/>
      <c r="O687" s="1917"/>
      <c r="P687" s="1917"/>
      <c r="Q687" s="1918"/>
      <c r="S687" s="1916"/>
      <c r="T687" s="1917"/>
      <c r="U687" s="1917"/>
      <c r="V687" s="1918"/>
      <c r="X687" s="1916"/>
      <c r="Y687" s="1917"/>
      <c r="Z687" s="1917"/>
      <c r="AA687" s="1918"/>
      <c r="AC687" s="1916"/>
      <c r="AD687" s="1917"/>
      <c r="AE687" s="1917"/>
      <c r="AF687" s="1918"/>
      <c r="AH687" s="1916"/>
      <c r="AI687" s="1917"/>
      <c r="AJ687" s="1917"/>
      <c r="AK687" s="1918"/>
    </row>
    <row r="688" spans="2:38" s="180" customFormat="1" x14ac:dyDescent="0.45">
      <c r="B688" s="1942"/>
      <c r="C688" s="1945"/>
      <c r="D688" s="1916"/>
      <c r="E688" s="1917"/>
      <c r="F688" s="1917"/>
      <c r="G688" s="1918"/>
      <c r="I688" s="1916"/>
      <c r="J688" s="1917"/>
      <c r="K688" s="1917"/>
      <c r="L688" s="1918"/>
      <c r="N688" s="1916"/>
      <c r="O688" s="1917"/>
      <c r="P688" s="1917"/>
      <c r="Q688" s="1918"/>
      <c r="S688" s="1916"/>
      <c r="T688" s="1917"/>
      <c r="U688" s="1917"/>
      <c r="V688" s="1918"/>
      <c r="X688" s="1916"/>
      <c r="Y688" s="1917"/>
      <c r="Z688" s="1917"/>
      <c r="AA688" s="1918"/>
      <c r="AC688" s="1916"/>
      <c r="AD688" s="1917"/>
      <c r="AE688" s="1917"/>
      <c r="AF688" s="1918"/>
      <c r="AH688" s="1916"/>
      <c r="AI688" s="1917"/>
      <c r="AJ688" s="1917"/>
      <c r="AK688" s="1918"/>
    </row>
    <row r="689" spans="2:38" s="180" customFormat="1" ht="15.75" customHeight="1" x14ac:dyDescent="0.45">
      <c r="B689" s="1942"/>
      <c r="C689" s="1945"/>
      <c r="D689" s="1916"/>
      <c r="E689" s="1917"/>
      <c r="F689" s="1917"/>
      <c r="G689" s="1918"/>
      <c r="I689" s="1916"/>
      <c r="J689" s="1917"/>
      <c r="K689" s="1917"/>
      <c r="L689" s="1918"/>
      <c r="N689" s="1916"/>
      <c r="O689" s="1917"/>
      <c r="P689" s="1917"/>
      <c r="Q689" s="1918"/>
      <c r="S689" s="1916"/>
      <c r="T689" s="1917"/>
      <c r="U689" s="1917"/>
      <c r="V689" s="1918"/>
      <c r="X689" s="1916"/>
      <c r="Y689" s="1917"/>
      <c r="Z689" s="1917"/>
      <c r="AA689" s="1918"/>
      <c r="AC689" s="1916"/>
      <c r="AD689" s="1917"/>
      <c r="AE689" s="1917"/>
      <c r="AF689" s="1918"/>
      <c r="AH689" s="1916"/>
      <c r="AI689" s="1917"/>
      <c r="AJ689" s="1917"/>
      <c r="AK689" s="1918"/>
    </row>
    <row r="690" spans="2:38" s="180" customFormat="1" x14ac:dyDescent="0.45">
      <c r="B690" s="1942"/>
      <c r="C690" s="1945"/>
      <c r="D690" s="1916"/>
      <c r="E690" s="1917"/>
      <c r="F690" s="1917"/>
      <c r="G690" s="1918"/>
      <c r="I690" s="1916"/>
      <c r="J690" s="1917"/>
      <c r="K690" s="1917"/>
      <c r="L690" s="1918"/>
      <c r="N690" s="1916"/>
      <c r="O690" s="1917"/>
      <c r="P690" s="1917"/>
      <c r="Q690" s="1918"/>
      <c r="S690" s="1916"/>
      <c r="T690" s="1917"/>
      <c r="U690" s="1917"/>
      <c r="V690" s="1918"/>
      <c r="X690" s="1916"/>
      <c r="Y690" s="1917"/>
      <c r="Z690" s="1917"/>
      <c r="AA690" s="1918"/>
      <c r="AC690" s="1916"/>
      <c r="AD690" s="1917"/>
      <c r="AE690" s="1917"/>
      <c r="AF690" s="1918"/>
      <c r="AH690" s="1916"/>
      <c r="AI690" s="1917"/>
      <c r="AJ690" s="1917"/>
      <c r="AK690" s="1918"/>
    </row>
    <row r="691" spans="2:38" s="180" customFormat="1" x14ac:dyDescent="0.45">
      <c r="B691" s="1942"/>
      <c r="C691" s="1945"/>
      <c r="D691" s="1916"/>
      <c r="E691" s="1917"/>
      <c r="F691" s="1917"/>
      <c r="G691" s="1918"/>
      <c r="I691" s="1916"/>
      <c r="J691" s="1917"/>
      <c r="K691" s="1917"/>
      <c r="L691" s="1918"/>
      <c r="N691" s="1916"/>
      <c r="O691" s="1917"/>
      <c r="P691" s="1917"/>
      <c r="Q691" s="1918"/>
      <c r="S691" s="1916"/>
      <c r="T691" s="1917"/>
      <c r="U691" s="1917"/>
      <c r="V691" s="1918"/>
      <c r="X691" s="1916"/>
      <c r="Y691" s="1917"/>
      <c r="Z691" s="1917"/>
      <c r="AA691" s="1918"/>
      <c r="AC691" s="1916"/>
      <c r="AD691" s="1917"/>
      <c r="AE691" s="1917"/>
      <c r="AF691" s="1918"/>
      <c r="AH691" s="1916"/>
      <c r="AI691" s="1917"/>
      <c r="AJ691" s="1917"/>
      <c r="AK691" s="1918"/>
    </row>
    <row r="692" spans="2:38" s="180" customFormat="1" x14ac:dyDescent="0.45">
      <c r="B692" s="1942"/>
      <c r="C692" s="1945"/>
      <c r="D692" s="1916"/>
      <c r="E692" s="1917"/>
      <c r="F692" s="1917"/>
      <c r="G692" s="1918"/>
      <c r="I692" s="1916"/>
      <c r="J692" s="1917"/>
      <c r="K692" s="1917"/>
      <c r="L692" s="1918"/>
      <c r="N692" s="1916"/>
      <c r="O692" s="1917"/>
      <c r="P692" s="1917"/>
      <c r="Q692" s="1918"/>
      <c r="S692" s="1916"/>
      <c r="T692" s="1917"/>
      <c r="U692" s="1917"/>
      <c r="V692" s="1918"/>
      <c r="X692" s="1916"/>
      <c r="Y692" s="1917"/>
      <c r="Z692" s="1917"/>
      <c r="AA692" s="1918"/>
      <c r="AC692" s="1916"/>
      <c r="AD692" s="1917"/>
      <c r="AE692" s="1917"/>
      <c r="AF692" s="1918"/>
      <c r="AH692" s="1916"/>
      <c r="AI692" s="1917"/>
      <c r="AJ692" s="1917"/>
      <c r="AK692" s="1918"/>
    </row>
    <row r="693" spans="2:38" s="180" customFormat="1" x14ac:dyDescent="0.45">
      <c r="B693" s="1942"/>
      <c r="C693" s="1945"/>
      <c r="D693" s="1916"/>
      <c r="E693" s="1917"/>
      <c r="F693" s="1917"/>
      <c r="G693" s="1918"/>
      <c r="I693" s="1916"/>
      <c r="J693" s="1917"/>
      <c r="K693" s="1917"/>
      <c r="L693" s="1918"/>
      <c r="N693" s="1916"/>
      <c r="O693" s="1917"/>
      <c r="P693" s="1917"/>
      <c r="Q693" s="1918"/>
      <c r="S693" s="1916"/>
      <c r="T693" s="1917"/>
      <c r="U693" s="1917"/>
      <c r="V693" s="1918"/>
      <c r="X693" s="1916"/>
      <c r="Y693" s="1917"/>
      <c r="Z693" s="1917"/>
      <c r="AA693" s="1918"/>
      <c r="AC693" s="1916"/>
      <c r="AD693" s="1917"/>
      <c r="AE693" s="1917"/>
      <c r="AF693" s="1918"/>
      <c r="AH693" s="1916"/>
      <c r="AI693" s="1917"/>
      <c r="AJ693" s="1917"/>
      <c r="AK693" s="1918"/>
    </row>
    <row r="694" spans="2:38" s="180" customFormat="1" x14ac:dyDescent="0.45">
      <c r="B694" s="1942"/>
      <c r="C694" s="1945"/>
      <c r="D694" s="1916"/>
      <c r="E694" s="1917"/>
      <c r="F694" s="1917"/>
      <c r="G694" s="1918"/>
      <c r="I694" s="1916"/>
      <c r="J694" s="1917"/>
      <c r="K694" s="1917"/>
      <c r="L694" s="1918"/>
      <c r="N694" s="1916"/>
      <c r="O694" s="1917"/>
      <c r="P694" s="1917"/>
      <c r="Q694" s="1918"/>
      <c r="S694" s="1916"/>
      <c r="T694" s="1917"/>
      <c r="U694" s="1917"/>
      <c r="V694" s="1918"/>
      <c r="X694" s="1916"/>
      <c r="Y694" s="1917"/>
      <c r="Z694" s="1917"/>
      <c r="AA694" s="1918"/>
      <c r="AC694" s="1916"/>
      <c r="AD694" s="1917"/>
      <c r="AE694" s="1917"/>
      <c r="AF694" s="1918"/>
      <c r="AH694" s="1916"/>
      <c r="AI694" s="1917"/>
      <c r="AJ694" s="1917"/>
      <c r="AK694" s="1918"/>
    </row>
    <row r="695" spans="2:38" s="180" customFormat="1" x14ac:dyDescent="0.45">
      <c r="B695" s="1942"/>
      <c r="C695" s="1945"/>
      <c r="D695" s="1919"/>
      <c r="E695" s="1920"/>
      <c r="F695" s="1920"/>
      <c r="G695" s="1921"/>
      <c r="I695" s="1919"/>
      <c r="J695" s="1920"/>
      <c r="K695" s="1920"/>
      <c r="L695" s="1921"/>
      <c r="N695" s="1919"/>
      <c r="O695" s="1920"/>
      <c r="P695" s="1920"/>
      <c r="Q695" s="1921"/>
      <c r="S695" s="1919"/>
      <c r="T695" s="1920"/>
      <c r="U695" s="1920"/>
      <c r="V695" s="1921"/>
      <c r="X695" s="1919"/>
      <c r="Y695" s="1920"/>
      <c r="Z695" s="1920"/>
      <c r="AA695" s="1921"/>
      <c r="AC695" s="1919"/>
      <c r="AD695" s="1920"/>
      <c r="AE695" s="1920"/>
      <c r="AF695" s="1921"/>
      <c r="AH695" s="1919"/>
      <c r="AI695" s="1920"/>
      <c r="AJ695" s="1920"/>
      <c r="AK695" s="1921"/>
    </row>
    <row r="696" spans="2:38" s="180" customFormat="1" ht="15" customHeight="1" x14ac:dyDescent="0.45">
      <c r="B696" s="1942"/>
      <c r="C696" s="1945"/>
      <c r="D696" s="1913" t="str">
        <f ca="1">IF(G676&gt;0,CONCATENATE("Session Aim: 
", CONCATENATE(IF(INDEX(final_duration_secondary,((WEEKDAY(E$3,2)*2-1)+IF(E676="Morning",0,1)),D676)=0, "", "1. "),
INDEX(sessions_aim_primary,, INDEX(plan_session_allocation,((WEEKDAY(E$3,2)*2-1)+IF(E676="Morning",0,1)),D676)), IF(INDEX(final_duration_secondary,((WEEKDAY(E$3,2)*2-1)+IF(E676="Morning",0,1)),D676)=0, "", "
2. "),
IF(INDEX(final_duration_secondary,((WEEKDAY(E$3,2)*2-1)+IF(E676="Morning",0,1)),D676)=0, "", INDEX(sessions_aim_secondary,, INDEX(plan_session_allocation,((WEEKDAY(E$3,2)*2-1)+IF(E676="Morning",0,1)),D676))), IF(INDEX(final_duration_tertiary,((WEEKDAY(E$3,2)*2-1)+IF(E676="Morning",0,1)),D676)=0, "", "
3. "),
IF(INDEX(final_duration_tertiary,((WEEKDAY(E$3,2)*2-1)+IF(E676="Morning",0,1)),D676)=0, "", INDEX(sessions_aim_tertiary,, INDEX(plan_session_allocation,((WEEKDAY(E$3,2)*2-1)+IF(E676="Morning",0,1)),D676))),
IF(INDEX(display_nutrition_description,((WEEKDAY(E$3,2)*2-1)+IF(E676="Morning",0,1)),D676)="","",
CONCATENATE("
Nutrition Aim:
", INDEX(sessions_aim_nutrition,,INDEX(plan_session_allocation,((WEEKDAY(E$3,2)*2-1)+IF(E676="Morning",0,1)),D676))
))
)),"")</f>
        <v xml:space="preserve">Session Aim: 
Improve aerobic fitness while minimising the chance of injury. </v>
      </c>
      <c r="E696" s="1914"/>
      <c r="F696" s="1914"/>
      <c r="G696" s="1915"/>
      <c r="I696" s="1913" t="str">
        <f ca="1">IF(L676&gt;0,CONCATENATE("Session Aim: 
", CONCATENATE(IF(INDEX(final_duration_secondary,((WEEKDAY(J$3,2)*2-1)+IF(J676="Morning",0,1)),I676)=0, "", "1. "),
INDEX(sessions_aim_primary,, INDEX(plan_session_allocation,((WEEKDAY(J$3,2)*2-1)+IF(J676="Morning",0,1)),I676)), IF(INDEX(final_duration_secondary,((WEEKDAY(J$3,2)*2-1)+IF(J676="Morning",0,1)),I676)=0, "", "
2. "),
IF(INDEX(final_duration_secondary,((WEEKDAY(J$3,2)*2-1)+IF(J676="Morning",0,1)),I676)=0, "", INDEX(sessions_aim_secondary,, INDEX(plan_session_allocation,((WEEKDAY(J$3,2)*2-1)+IF(J676="Morning",0,1)),I676))), IF(INDEX(final_duration_tertiary,((WEEKDAY(J$3,2)*2-1)+IF(J676="Morning",0,1)),I676)=0, "", "
3. "),
IF(INDEX(final_duration_tertiary,((WEEKDAY(J$3,2)*2-1)+IF(J676="Morning",0,1)),I676)=0, "", INDEX(sessions_aim_tertiary,, INDEX(plan_session_allocation,((WEEKDAY(J$3,2)*2-1)+IF(J676="Morning",0,1)),I676))),
IF(INDEX(display_nutrition_description,((WEEKDAY(J$3,2)*2-1)+IF(J676="Morning",0,1)),I676)="","",
CONCATENATE("
Nutrition Aim:
", INDEX(sessions_aim_nutrition,,INDEX(plan_session_allocation,((WEEKDAY(J$3,2)*2-1)+IF(J676="Morning",0,1)),I676))
))
)),"")</f>
        <v xml:space="preserve">Session Aim: 
Improve aerobic fitness while minimising the chance of injury. </v>
      </c>
      <c r="J696" s="1914"/>
      <c r="K696" s="1914"/>
      <c r="L696" s="1915"/>
      <c r="N696" s="1913" t="str">
        <f ca="1">IF(Q676&gt;0,CONCATENATE("Session Aim: 
", CONCATENATE(IF(INDEX(final_duration_secondary,((WEEKDAY(O$3,2)*2-1)+IF(O676="Morning",0,1)),N676)=0, "", "1. "),
INDEX(sessions_aim_primary,, INDEX(plan_session_allocation,((WEEKDAY(O$3,2)*2-1)+IF(O676="Morning",0,1)),N676)), IF(INDEX(final_duration_secondary,((WEEKDAY(O$3,2)*2-1)+IF(O676="Morning",0,1)),N676)=0, "", "
2. "),
IF(INDEX(final_duration_secondary,((WEEKDAY(O$3,2)*2-1)+IF(O676="Morning",0,1)),N676)=0, "", INDEX(sessions_aim_secondary,, INDEX(plan_session_allocation,((WEEKDAY(O$3,2)*2-1)+IF(O676="Morning",0,1)),N676))), IF(INDEX(final_duration_tertiary,((WEEKDAY(O$3,2)*2-1)+IF(O676="Morning",0,1)),N676)=0, "", "
3. "),
IF(INDEX(final_duration_tertiary,((WEEKDAY(O$3,2)*2-1)+IF(O676="Morning",0,1)),N676)=0, "", INDEX(sessions_aim_tertiary,, INDEX(plan_session_allocation,((WEEKDAY(O$3,2)*2-1)+IF(O676="Morning",0,1)),N676))),
IF(INDEX(display_nutrition_description,((WEEKDAY(O$3,2)*2-1)+IF(O676="Morning",0,1)),N676)="","",
CONCATENATE("
Nutrition Aim:
", INDEX(sessions_aim_nutrition,,INDEX(plan_session_allocation,((WEEKDAY(O$3,2)*2-1)+IF(O676="Morning",0,1)),N676))
))
)),"")</f>
        <v/>
      </c>
      <c r="O696" s="1914"/>
      <c r="P696" s="1914"/>
      <c r="Q696" s="1915"/>
      <c r="S696" s="1913" t="str">
        <f ca="1">IF(V676&gt;0,CONCATENATE("Session Aim: 
", CONCATENATE(IF(INDEX(final_duration_secondary,((WEEKDAY(T$3,2)*2-1)+IF(T676="Morning",0,1)),S676)=0, "", "1. "),
INDEX(sessions_aim_primary,, INDEX(plan_session_allocation,((WEEKDAY(T$3,2)*2-1)+IF(T676="Morning",0,1)),S676)), IF(INDEX(final_duration_secondary,((WEEKDAY(T$3,2)*2-1)+IF(T676="Morning",0,1)),S676)=0, "", "
2. "),
IF(INDEX(final_duration_secondary,((WEEKDAY(T$3,2)*2-1)+IF(T676="Morning",0,1)),S676)=0, "", INDEX(sessions_aim_secondary,, INDEX(plan_session_allocation,((WEEKDAY(T$3,2)*2-1)+IF(T676="Morning",0,1)),S676))), IF(INDEX(final_duration_tertiary,((WEEKDAY(T$3,2)*2-1)+IF(T676="Morning",0,1)),S676)=0, "", "
3. "),
IF(INDEX(final_duration_tertiary,((WEEKDAY(T$3,2)*2-1)+IF(T676="Morning",0,1)),S676)=0, "", INDEX(sessions_aim_tertiary,, INDEX(plan_session_allocation,((WEEKDAY(T$3,2)*2-1)+IF(T676="Morning",0,1)),S676))),
IF(INDEX(display_nutrition_description,((WEEKDAY(T$3,2)*2-1)+IF(T676="Morning",0,1)),S676)="","",
CONCATENATE("
Nutrition Aim:
", INDEX(sessions_aim_nutrition,,INDEX(plan_session_allocation,((WEEKDAY(T$3,2)*2-1)+IF(T676="Morning",0,1)),S676))
))
)),"")</f>
        <v xml:space="preserve">Session Aim: 
Improve aerobic fitness while minimising the chance of injury. </v>
      </c>
      <c r="T696" s="1914"/>
      <c r="U696" s="1914"/>
      <c r="V696" s="1915"/>
      <c r="X696" s="1913" t="str">
        <f ca="1">IF(AA676&gt;0,CONCATENATE("Session Aim: 
", CONCATENATE(IF(INDEX(final_duration_secondary,((WEEKDAY(Y$3,2)*2-1)+IF(Y676="Morning",0,1)),X676)=0, "", "1. "),
INDEX(sessions_aim_primary,, INDEX(plan_session_allocation,((WEEKDAY(Y$3,2)*2-1)+IF(Y676="Morning",0,1)),X676)), IF(INDEX(final_duration_secondary,((WEEKDAY(Y$3,2)*2-1)+IF(Y676="Morning",0,1)),X676)=0, "", "
2. "),
IF(INDEX(final_duration_secondary,((WEEKDAY(Y$3,2)*2-1)+IF(Y676="Morning",0,1)),X676)=0, "", INDEX(sessions_aim_secondary,, INDEX(plan_session_allocation,((WEEKDAY(Y$3,2)*2-1)+IF(Y676="Morning",0,1)),X676))), IF(INDEX(final_duration_tertiary,((WEEKDAY(Y$3,2)*2-1)+IF(Y676="Morning",0,1)),X676)=0, "", "
3. "),
IF(INDEX(final_duration_tertiary,((WEEKDAY(Y$3,2)*2-1)+IF(Y676="Morning",0,1)),X676)=0, "", INDEX(sessions_aim_tertiary,, INDEX(plan_session_allocation,((WEEKDAY(Y$3,2)*2-1)+IF(Y676="Morning",0,1)),X676))),
IF(INDEX(display_nutrition_description,((WEEKDAY(Y$3,2)*2-1)+IF(Y676="Morning",0,1)),X676)="","",
CONCATENATE("
Nutrition Aim:
", INDEX(sessions_aim_nutrition,,INDEX(plan_session_allocation,((WEEKDAY(Y$3,2)*2-1)+IF(Y676="Morning",0,1)),X676))
))
)),"")</f>
        <v xml:space="preserve">Session Aim: 
Improve aerobic fitness while minimising the chance of injury. </v>
      </c>
      <c r="Y696" s="1914"/>
      <c r="Z696" s="1914"/>
      <c r="AA696" s="1915"/>
      <c r="AC696" s="1913" t="str">
        <f ca="1">IF(AF676&gt;0,CONCATENATE("Session Aim: 
", CONCATENATE(IF(INDEX(final_duration_secondary,((WEEKDAY(AD$3,2)*2-1)+IF(AD676="Morning",0,1)),AC676)=0, "", "1. "),
INDEX(sessions_aim_primary,, INDEX(plan_session_allocation,((WEEKDAY(AD$3,2)*2-1)+IF(AD676="Morning",0,1)),AC676)), IF(INDEX(final_duration_secondary,((WEEKDAY(AD$3,2)*2-1)+IF(AD676="Morning",0,1)),AC676)=0, "", "
2. "),
IF(INDEX(final_duration_secondary,((WEEKDAY(AD$3,2)*2-1)+IF(AD676="Morning",0,1)),AC676)=0, "", INDEX(sessions_aim_secondary,, INDEX(plan_session_allocation,((WEEKDAY(AD$3,2)*2-1)+IF(AD676="Morning",0,1)),AC676))), IF(INDEX(final_duration_tertiary,((WEEKDAY(AD$3,2)*2-1)+IF(AD676="Morning",0,1)),AC676)=0, "", "
3. "),
IF(INDEX(final_duration_tertiary,((WEEKDAY(AD$3,2)*2-1)+IF(AD676="Morning",0,1)),AC676)=0, "", INDEX(sessions_aim_tertiary,, INDEX(plan_session_allocation,((WEEKDAY(AD$3,2)*2-1)+IF(AD676="Morning",0,1)),AC676))),
IF(INDEX(display_nutrition_description,((WEEKDAY(AD$3,2)*2-1)+IF(AD676="Morning",0,1)),AC676)="","",
CONCATENATE("
Nutrition Aim:
", INDEX(sessions_aim_nutrition,,INDEX(plan_session_allocation,((WEEKDAY(AD$3,2)*2-1)+IF(AD676="Morning",0,1)),AC676))
))
)),"")</f>
        <v>Session Aim: 
Improve aerobic fitness at an optimal rate.</v>
      </c>
      <c r="AD696" s="1914"/>
      <c r="AE696" s="1914"/>
      <c r="AF696" s="1915"/>
      <c r="AH696" s="1913" t="str">
        <f ca="1">IF(AK676&gt;0,CONCATENATE("Session Aim: 
", CONCATENATE(IF(INDEX(final_duration_secondary,((WEEKDAY(AI$3,2)*2-1)+IF(AI676="Morning",0,1)),AH676)=0, "", "1. "),
INDEX(sessions_aim_primary,, INDEX(plan_session_allocation,((WEEKDAY(AI$3,2)*2-1)+IF(AI676="Morning",0,1)),AH676)), IF(INDEX(final_duration_secondary,((WEEKDAY(AI$3,2)*2-1)+IF(AI676="Morning",0,1)),AH676)=0, "", "
2. "),
IF(INDEX(final_duration_secondary,((WEEKDAY(AI$3,2)*2-1)+IF(AI676="Morning",0,1)),AH676)=0, "", INDEX(sessions_aim_secondary,, INDEX(plan_session_allocation,((WEEKDAY(AI$3,2)*2-1)+IF(AI676="Morning",0,1)),AH676))), IF(INDEX(final_duration_tertiary,((WEEKDAY(AI$3,2)*2-1)+IF(AI676="Morning",0,1)),AH676)=0, "", "
3. "),
IF(INDEX(final_duration_tertiary,((WEEKDAY(AI$3,2)*2-1)+IF(AI676="Morning",0,1)),AH676)=0, "", INDEX(sessions_aim_tertiary,, INDEX(plan_session_allocation,((WEEKDAY(AI$3,2)*2-1)+IF(AI676="Morning",0,1)),AH676))),
IF(INDEX(display_nutrition_description,((WEEKDAY(AI$3,2)*2-1)+IF(AI676="Morning",0,1)),AH676)="","",
CONCATENATE("
Nutrition Aim:
", INDEX(sessions_aim_nutrition,,INDEX(plan_session_allocation,((WEEKDAY(AI$3,2)*2-1)+IF(AI676="Morning",0,1)),AH676))
))
)),"")</f>
        <v xml:space="preserve">Session Aim: 
Improve aerobic fitness and energy utilisation. </v>
      </c>
      <c r="AI696" s="1914"/>
      <c r="AJ696" s="1914"/>
      <c r="AK696" s="1915"/>
    </row>
    <row r="697" spans="2:38" s="180" customFormat="1" x14ac:dyDescent="0.45">
      <c r="B697" s="1942"/>
      <c r="C697" s="1945"/>
      <c r="D697" s="1916"/>
      <c r="E697" s="1917"/>
      <c r="F697" s="1917"/>
      <c r="G697" s="1918"/>
      <c r="I697" s="1916"/>
      <c r="J697" s="1917"/>
      <c r="K697" s="1917"/>
      <c r="L697" s="1918"/>
      <c r="N697" s="1916"/>
      <c r="O697" s="1917"/>
      <c r="P697" s="1917"/>
      <c r="Q697" s="1918"/>
      <c r="S697" s="1916"/>
      <c r="T697" s="1917"/>
      <c r="U697" s="1917"/>
      <c r="V697" s="1918"/>
      <c r="X697" s="1916"/>
      <c r="Y697" s="1917"/>
      <c r="Z697" s="1917"/>
      <c r="AA697" s="1918"/>
      <c r="AC697" s="1916"/>
      <c r="AD697" s="1917"/>
      <c r="AE697" s="1917"/>
      <c r="AF697" s="1918"/>
      <c r="AH697" s="1916"/>
      <c r="AI697" s="1917"/>
      <c r="AJ697" s="1917"/>
      <c r="AK697" s="1918"/>
    </row>
    <row r="698" spans="2:38" s="180" customFormat="1" x14ac:dyDescent="0.45">
      <c r="B698" s="1942"/>
      <c r="C698" s="1945"/>
      <c r="D698" s="1916"/>
      <c r="E698" s="1917"/>
      <c r="F698" s="1917"/>
      <c r="G698" s="1918"/>
      <c r="I698" s="1916"/>
      <c r="J698" s="1917"/>
      <c r="K698" s="1917"/>
      <c r="L698" s="1918"/>
      <c r="N698" s="1916"/>
      <c r="O698" s="1917"/>
      <c r="P698" s="1917"/>
      <c r="Q698" s="1918"/>
      <c r="S698" s="1916"/>
      <c r="T698" s="1917"/>
      <c r="U698" s="1917"/>
      <c r="V698" s="1918"/>
      <c r="X698" s="1916"/>
      <c r="Y698" s="1917"/>
      <c r="Z698" s="1917"/>
      <c r="AA698" s="1918"/>
      <c r="AC698" s="1916"/>
      <c r="AD698" s="1917"/>
      <c r="AE698" s="1917"/>
      <c r="AF698" s="1918"/>
      <c r="AH698" s="1916"/>
      <c r="AI698" s="1917"/>
      <c r="AJ698" s="1917"/>
      <c r="AK698" s="1918"/>
    </row>
    <row r="699" spans="2:38" s="180" customFormat="1" x14ac:dyDescent="0.45">
      <c r="B699" s="1942"/>
      <c r="C699" s="1945"/>
      <c r="D699" s="1916"/>
      <c r="E699" s="1917"/>
      <c r="F699" s="1917"/>
      <c r="G699" s="1918"/>
      <c r="I699" s="1916"/>
      <c r="J699" s="1917"/>
      <c r="K699" s="1917"/>
      <c r="L699" s="1918"/>
      <c r="N699" s="1916"/>
      <c r="O699" s="1917"/>
      <c r="P699" s="1917"/>
      <c r="Q699" s="1918"/>
      <c r="S699" s="1916"/>
      <c r="T699" s="1917"/>
      <c r="U699" s="1917"/>
      <c r="V699" s="1918"/>
      <c r="X699" s="1916"/>
      <c r="Y699" s="1917"/>
      <c r="Z699" s="1917"/>
      <c r="AA699" s="1918"/>
      <c r="AC699" s="1916"/>
      <c r="AD699" s="1917"/>
      <c r="AE699" s="1917"/>
      <c r="AF699" s="1918"/>
      <c r="AH699" s="1916"/>
      <c r="AI699" s="1917"/>
      <c r="AJ699" s="1917"/>
      <c r="AK699" s="1918"/>
    </row>
    <row r="700" spans="2:38" s="180" customFormat="1" x14ac:dyDescent="0.45">
      <c r="B700" s="1942"/>
      <c r="C700" s="1945"/>
      <c r="D700" s="1916"/>
      <c r="E700" s="1917"/>
      <c r="F700" s="1917"/>
      <c r="G700" s="1918"/>
      <c r="I700" s="1916"/>
      <c r="J700" s="1917"/>
      <c r="K700" s="1917"/>
      <c r="L700" s="1918"/>
      <c r="N700" s="1916"/>
      <c r="O700" s="1917"/>
      <c r="P700" s="1917"/>
      <c r="Q700" s="1918"/>
      <c r="S700" s="1916"/>
      <c r="T700" s="1917"/>
      <c r="U700" s="1917"/>
      <c r="V700" s="1918"/>
      <c r="X700" s="1916"/>
      <c r="Y700" s="1917"/>
      <c r="Z700" s="1917"/>
      <c r="AA700" s="1918"/>
      <c r="AC700" s="1916"/>
      <c r="AD700" s="1917"/>
      <c r="AE700" s="1917"/>
      <c r="AF700" s="1918"/>
      <c r="AH700" s="1916"/>
      <c r="AI700" s="1917"/>
      <c r="AJ700" s="1917"/>
      <c r="AK700" s="1918"/>
    </row>
    <row r="701" spans="2:38" s="180" customFormat="1" x14ac:dyDescent="0.45">
      <c r="B701" s="1942"/>
      <c r="C701" s="1945"/>
      <c r="D701" s="1916"/>
      <c r="E701" s="1917"/>
      <c r="F701" s="1917"/>
      <c r="G701" s="1918"/>
      <c r="I701" s="1916"/>
      <c r="J701" s="1917"/>
      <c r="K701" s="1917"/>
      <c r="L701" s="1918"/>
      <c r="N701" s="1916"/>
      <c r="O701" s="1917"/>
      <c r="P701" s="1917"/>
      <c r="Q701" s="1918"/>
      <c r="S701" s="1916"/>
      <c r="T701" s="1917"/>
      <c r="U701" s="1917"/>
      <c r="V701" s="1918"/>
      <c r="X701" s="1916"/>
      <c r="Y701" s="1917"/>
      <c r="Z701" s="1917"/>
      <c r="AA701" s="1918"/>
      <c r="AC701" s="1916"/>
      <c r="AD701" s="1917"/>
      <c r="AE701" s="1917"/>
      <c r="AF701" s="1918"/>
      <c r="AH701" s="1916"/>
      <c r="AI701" s="1917"/>
      <c r="AJ701" s="1917"/>
      <c r="AK701" s="1918"/>
    </row>
    <row r="702" spans="2:38" s="180" customFormat="1" ht="14.65" thickBot="1" x14ac:dyDescent="0.5">
      <c r="B702" s="1942"/>
      <c r="C702" s="1945"/>
      <c r="D702" s="1938"/>
      <c r="E702" s="1939"/>
      <c r="F702" s="1939"/>
      <c r="G702" s="1940"/>
      <c r="I702" s="1938"/>
      <c r="J702" s="1939"/>
      <c r="K702" s="1939"/>
      <c r="L702" s="1940"/>
      <c r="N702" s="1938"/>
      <c r="O702" s="1939"/>
      <c r="P702" s="1939"/>
      <c r="Q702" s="1940"/>
      <c r="S702" s="1938"/>
      <c r="T702" s="1939"/>
      <c r="U702" s="1939"/>
      <c r="V702" s="1940"/>
      <c r="X702" s="1938"/>
      <c r="Y702" s="1939"/>
      <c r="Z702" s="1939"/>
      <c r="AA702" s="1940"/>
      <c r="AC702" s="1938"/>
      <c r="AD702" s="1939"/>
      <c r="AE702" s="1939"/>
      <c r="AF702" s="1940"/>
      <c r="AH702" s="1938"/>
      <c r="AI702" s="1939"/>
      <c r="AJ702" s="1939"/>
      <c r="AK702" s="1940"/>
    </row>
    <row r="703" spans="2:38" s="176" customFormat="1" ht="15.75" customHeight="1" x14ac:dyDescent="0.45">
      <c r="B703" s="1942"/>
      <c r="C703" s="1945"/>
      <c r="D703" s="1415">
        <f>$B675</f>
        <v>13</v>
      </c>
      <c r="E703" s="1930" t="s">
        <v>352</v>
      </c>
      <c r="F703" s="1930"/>
      <c r="G703" s="1414">
        <f ca="1">INDEX(final_duration_session,((WEEKDAY(E$3,2)*2-1)+IF(E703="Morning",0,1)),$D703)</f>
        <v>60</v>
      </c>
      <c r="H703" s="177"/>
      <c r="I703" s="1415">
        <f>$B675</f>
        <v>13</v>
      </c>
      <c r="J703" s="1930" t="s">
        <v>352</v>
      </c>
      <c r="K703" s="1930"/>
      <c r="L703" s="1414">
        <f ca="1">INDEX(final_duration_session,((WEEKDAY(J$3,2)*2-1)+IF(J703="Morning",0,1)),$D703)</f>
        <v>55</v>
      </c>
      <c r="M703" s="177"/>
      <c r="N703" s="1415">
        <f>$B675</f>
        <v>13</v>
      </c>
      <c r="O703" s="1930" t="s">
        <v>352</v>
      </c>
      <c r="P703" s="1930"/>
      <c r="Q703" s="1414">
        <f ca="1">INDEX(final_duration_session,((WEEKDAY(O$3,2)*2-1)+IF(O703="Morning",0,1)),$D703)</f>
        <v>30</v>
      </c>
      <c r="R703" s="177"/>
      <c r="S703" s="1415">
        <f>$B675</f>
        <v>13</v>
      </c>
      <c r="T703" s="1930" t="s">
        <v>352</v>
      </c>
      <c r="U703" s="1930"/>
      <c r="V703" s="1414">
        <f ca="1">INDEX(final_duration_session,((WEEKDAY(T$3,2)*2-1)+IF(T703="Morning",0,1)),$D703)</f>
        <v>48.4</v>
      </c>
      <c r="W703" s="177"/>
      <c r="X703" s="1415">
        <f>$B675</f>
        <v>13</v>
      </c>
      <c r="Y703" s="1930" t="s">
        <v>352</v>
      </c>
      <c r="Z703" s="1930"/>
      <c r="AA703" s="1414">
        <f ca="1">INDEX(final_duration_session,((WEEKDAY(Y$3,2)*2-1)+IF(Y703="Morning",0,1)),$D703)</f>
        <v>60</v>
      </c>
      <c r="AB703" s="177"/>
      <c r="AC703" s="1415">
        <f>$B675</f>
        <v>13</v>
      </c>
      <c r="AD703" s="1930" t="s">
        <v>352</v>
      </c>
      <c r="AE703" s="1930"/>
      <c r="AF703" s="1414">
        <f ca="1">INDEX(final_duration_session,((WEEKDAY(AD$3,2)*2-1)+IF(AD703="Morning",0,1)),$D703)</f>
        <v>30</v>
      </c>
      <c r="AG703" s="177"/>
      <c r="AH703" s="1415">
        <f>$B675</f>
        <v>13</v>
      </c>
      <c r="AI703" s="1930" t="s">
        <v>352</v>
      </c>
      <c r="AJ703" s="1930"/>
      <c r="AK703" s="1414">
        <f ca="1">INDEX(final_duration_session,((WEEKDAY(AI$3,2)*2-1)+IF(AI703="Morning",0,1)),$D703)</f>
        <v>0</v>
      </c>
      <c r="AL703" s="177"/>
    </row>
    <row r="704" spans="2:38" s="176" customFormat="1" ht="15" customHeight="1" x14ac:dyDescent="0.45">
      <c r="B704" s="1942"/>
      <c r="C704" s="1945"/>
      <c r="D704" s="1931" t="str">
        <f ca="1">IF(G703&gt;0,INDEX(sessions_name,INDEX(plan_session_allocation,((WEEKDAY(E$3,2)*2-1)+IF(E703="Morning",0,1)),D703)),"")</f>
        <v>Strength and Maintenance</v>
      </c>
      <c r="E704" s="1932"/>
      <c r="F704" s="1932"/>
      <c r="G704" s="1933"/>
      <c r="H704" s="177"/>
      <c r="I704" s="1931" t="str">
        <f ca="1">IF(L703&gt;0,INDEX(sessions_name,INDEX(plan_session_allocation,((WEEKDAY(J$3,2)*2-1)+IF(J703="Morning",0,1)),I703)),"")</f>
        <v>Hill Tempo</v>
      </c>
      <c r="J704" s="1932"/>
      <c r="K704" s="1932"/>
      <c r="L704" s="1933"/>
      <c r="M704" s="177"/>
      <c r="N704" s="1931" t="str">
        <f ca="1">IF(Q703&gt;0,INDEX(sessions_name,INDEX(plan_session_allocation,((WEEKDAY(O$3,2)*2-1)+IF(O703="Morning",0,1)),N703)),"")</f>
        <v xml:space="preserve">Easy </v>
      </c>
      <c r="O704" s="1932"/>
      <c r="P704" s="1932"/>
      <c r="Q704" s="1933"/>
      <c r="R704" s="177"/>
      <c r="S704" s="1931" t="str">
        <f ca="1">IF(V703&gt;0,INDEX(sessions_name,INDEX(plan_session_allocation,((WEEKDAY(T$3,2)*2-1)+IF(T703="Morning",0,1)),S703)),"")</f>
        <v>Intervals: 1km w/ 2min</v>
      </c>
      <c r="T704" s="1932"/>
      <c r="U704" s="1932"/>
      <c r="V704" s="1933"/>
      <c r="W704" s="177"/>
      <c r="X704" s="1931" t="str">
        <f ca="1">IF(AA703&gt;0,INDEX(sessions_name,INDEX(plan_session_allocation,((WEEKDAY(Y$3,2)*2-1)+IF(Y703="Morning",0,1)),X703)),"")</f>
        <v>Strength and Maintenance</v>
      </c>
      <c r="Y704" s="1932"/>
      <c r="Z704" s="1932"/>
      <c r="AA704" s="1933"/>
      <c r="AB704" s="177"/>
      <c r="AC704" s="1931" t="str">
        <f ca="1">IF(AF703&gt;0,INDEX(sessions_name,INDEX(plan_session_allocation,((WEEKDAY(AD$3,2)*2-1)+IF(AD703="Morning",0,1)),AC703)),"")</f>
        <v xml:space="preserve">Easy </v>
      </c>
      <c r="AD704" s="1932"/>
      <c r="AE704" s="1932"/>
      <c r="AF704" s="1933"/>
      <c r="AG704" s="177"/>
      <c r="AH704" s="1931" t="str">
        <f ca="1">IF(AK703&gt;0,INDEX(sessions_name,INDEX(plan_session_allocation,((WEEKDAY(AI$3,2)*2-1)+IF(AI703="Morning",0,1)),AH703)),"")</f>
        <v/>
      </c>
      <c r="AI704" s="1932"/>
      <c r="AJ704" s="1932"/>
      <c r="AK704" s="1933"/>
      <c r="AL704" s="177"/>
    </row>
    <row r="705" spans="2:38" s="176" customFormat="1" ht="15" customHeight="1" x14ac:dyDescent="0.45">
      <c r="B705" s="1942"/>
      <c r="C705" s="1945"/>
      <c r="D705" s="1934" t="str">
        <f ca="1">IF(G703&gt;0,CONCATENATE("Sport: ",INDEX(sessions_sport_primary,INDEX(plan_session_allocation,(WEEKDAY(E$3,2)*2-1)+IF(E703="Morning",0,1),D703))),"")</f>
        <v>Sport: Indoor</v>
      </c>
      <c r="E705" s="1935"/>
      <c r="F705" s="1936">
        <f ca="1">IF(G703&gt;0,IFERROR(F706+F707+F708,""),"")</f>
        <v>60</v>
      </c>
      <c r="G705" s="1937"/>
      <c r="H705" s="177"/>
      <c r="I705" s="1934" t="str">
        <f ca="1">IF(L703&gt;0,CONCATENATE("Sport: ",INDEX(sessions_sport_primary,INDEX(plan_session_allocation,(WEEKDAY(J$3,2)*2-1)+IF(J703="Morning",0,1),I703))),"")</f>
        <v>Sport: Hilly Trail Run</v>
      </c>
      <c r="J705" s="1935"/>
      <c r="K705" s="1936">
        <f ca="1">IF(L703&gt;0,IFERROR(K706+K707+K708,""),"")</f>
        <v>55</v>
      </c>
      <c r="L705" s="1937"/>
      <c r="M705" s="177"/>
      <c r="N705" s="1934" t="str">
        <f ca="1">IF(Q703&gt;0,CONCATENATE("Sport: ",INDEX(sessions_sport_primary,INDEX(plan_session_allocation,(WEEKDAY(O$3,2)*2-1)+IF(O703="Morning",0,1),N703))),"")</f>
        <v>Sport: Road Ride</v>
      </c>
      <c r="O705" s="1935"/>
      <c r="P705" s="1936">
        <f ca="1">IF(Q703&gt;0,IFERROR(P706+P707+P708,""),"")</f>
        <v>30</v>
      </c>
      <c r="Q705" s="1937"/>
      <c r="R705" s="177"/>
      <c r="S705" s="1934" t="str">
        <f ca="1">IF(V703&gt;0,CONCATENATE("Sport: ",INDEX(sessions_sport_primary,INDEX(plan_session_allocation,(WEEKDAY(T$3,2)*2-1)+IF(T703="Morning",0,1),S703))),"")</f>
        <v>Sport: Road Run</v>
      </c>
      <c r="T705" s="1935"/>
      <c r="U705" s="1936">
        <f ca="1">IF(V703&gt;0,IFERROR(U706+U707+U708,""),"")</f>
        <v>48.4</v>
      </c>
      <c r="V705" s="1937"/>
      <c r="W705" s="177"/>
      <c r="X705" s="1934" t="str">
        <f ca="1">IF(AA703&gt;0,CONCATENATE("Sport: ",INDEX(sessions_sport_primary,INDEX(plan_session_allocation,(WEEKDAY(Y$3,2)*2-1)+IF(Y703="Morning",0,1),X703))),"")</f>
        <v>Sport: Indoor</v>
      </c>
      <c r="Y705" s="1935"/>
      <c r="Z705" s="1936">
        <f ca="1">IF(AA703&gt;0,IFERROR(Z706+Z707+Z708,""),"")</f>
        <v>60</v>
      </c>
      <c r="AA705" s="1937"/>
      <c r="AB705" s="177"/>
      <c r="AC705" s="1934" t="str">
        <f ca="1">IF(AF703&gt;0,CONCATENATE("Sport: ",INDEX(sessions_sport_primary,INDEX(plan_session_allocation,(WEEKDAY(AD$3,2)*2-1)+IF(AD703="Morning",0,1),AC703))),"")</f>
        <v>Sport: Road Ride</v>
      </c>
      <c r="AD705" s="1935"/>
      <c r="AE705" s="1936">
        <f ca="1">IF(AF703&gt;0,IFERROR(AE706+AE707+AE708,""),"")</f>
        <v>30</v>
      </c>
      <c r="AF705" s="1937"/>
      <c r="AG705" s="177"/>
      <c r="AH705" s="1934" t="str">
        <f ca="1">IF(AK703&gt;0,CONCATENATE("Sport: ",INDEX(sessions_sport_primary,INDEX(plan_session_allocation,(WEEKDAY(AI$3,2)*2-1)+IF(AI703="Morning",0,1),AH703))),"")</f>
        <v/>
      </c>
      <c r="AI705" s="1935"/>
      <c r="AJ705" s="1936" t="str">
        <f ca="1">IF(AK703&gt;0,IFERROR(AJ706+AJ707+AJ708,""),"")</f>
        <v/>
      </c>
      <c r="AK705" s="1937"/>
      <c r="AL705" s="177"/>
    </row>
    <row r="706" spans="2:38" s="177" customFormat="1" ht="15" customHeight="1" x14ac:dyDescent="0.45">
      <c r="B706" s="1942"/>
      <c r="C706" s="1945"/>
      <c r="D706" s="1922" t="str">
        <f ca="1">IF(G703&gt;0,CONCATENATE("HR Target: ",
INDEX(sessions_HR_primary,INDEX(plan_session_allocation,((WEEKDAY(E$3,2)*2-1)+IF(E703="Morning",0,1)),D703)),
IF(INDEX(sessions_HR_primary,INDEX(plan_session_allocation,((WEEKDAY(E$3,2)*2-1)+IF(E703="Morning",0,1)),D703))="N/A","",
" BPM")),"")</f>
        <v>HR Target: N/A</v>
      </c>
      <c r="E706" s="1923"/>
      <c r="F706" s="1924">
        <f ca="1">IF(G703&gt;0,
INDEX(final_duration_effort,((WEEKDAY(E$3,2)*2-1)+IF(E703="Morning",0,1)),D703),"")</f>
        <v>60</v>
      </c>
      <c r="G706" s="1925"/>
      <c r="I706" s="1922" t="str">
        <f ca="1">IF(L703&gt;0,CONCATENATE("HR Target: ",
INDEX(sessions_HR_primary,INDEX(plan_session_allocation,((WEEKDAY(J$3,2)*2-1)+IF(J703="Morning",0,1)),I703)),
IF(INDEX(sessions_HR_primary,INDEX(plan_session_allocation,((WEEKDAY(J$3,2)*2-1)+IF(J703="Morning",0,1)),I703))="N/A","",
" BPM")),"")</f>
        <v>HR Target: 177 BPM</v>
      </c>
      <c r="J706" s="1923"/>
      <c r="K706" s="1924">
        <f ca="1">IF(L703&gt;0,
INDEX(final_duration_effort,((WEEKDAY(J$3,2)*2-1)+IF(J703="Morning",0,1)),I703),"")</f>
        <v>25</v>
      </c>
      <c r="L706" s="1925"/>
      <c r="N706" s="1922" t="str">
        <f ca="1">IF(Q703&gt;0,CONCATENATE("HR Target: ",
INDEX(sessions_HR_primary,INDEX(plan_session_allocation,((WEEKDAY(O$3,2)*2-1)+IF(O703="Morning",0,1)),N703)),
IF(INDEX(sessions_HR_primary,INDEX(plan_session_allocation,((WEEKDAY(O$3,2)*2-1)+IF(O703="Morning",0,1)),N703))="N/A","",
" BPM")),"")</f>
        <v>HR Target: 138 BPM</v>
      </c>
      <c r="O706" s="1923"/>
      <c r="P706" s="1924">
        <f ca="1">IF(Q703&gt;0,
INDEX(final_duration_effort,((WEEKDAY(O$3,2)*2-1)+IF(O703="Morning",0,1)),N703),"")</f>
        <v>30</v>
      </c>
      <c r="Q706" s="1925"/>
      <c r="S706" s="1922" t="str">
        <f ca="1">IF(V703&gt;0,CONCATENATE("HR Target: ",
INDEX(sessions_HR_primary,INDEX(plan_session_allocation,((WEEKDAY(T$3,2)*2-1)+IF(T703="Morning",0,1)),S703)),
IF(INDEX(sessions_HR_primary,INDEX(plan_session_allocation,((WEEKDAY(T$3,2)*2-1)+IF(T703="Morning",0,1)),S703))="N/A","",
" BPM")),"")</f>
        <v>HR Target: 188 BPM</v>
      </c>
      <c r="T706" s="1923"/>
      <c r="U706" s="1924">
        <f ca="1">IF(V703&gt;0,
INDEX(final_duration_effort,((WEEKDAY(T$3,2)*2-1)+IF(T703="Morning",0,1)),S703),"")</f>
        <v>12.4</v>
      </c>
      <c r="V706" s="1925"/>
      <c r="X706" s="1922" t="str">
        <f ca="1">IF(AA703&gt;0,CONCATENATE("HR Target: ",
INDEX(sessions_HR_primary,INDEX(plan_session_allocation,((WEEKDAY(Y$3,2)*2-1)+IF(Y703="Morning",0,1)),X703)),
IF(INDEX(sessions_HR_primary,INDEX(plan_session_allocation,((WEEKDAY(Y$3,2)*2-1)+IF(Y703="Morning",0,1)),X703))="N/A","",
" BPM")),"")</f>
        <v>HR Target: N/A</v>
      </c>
      <c r="Y706" s="1923"/>
      <c r="Z706" s="1924">
        <f ca="1">IF(AA703&gt;0,
INDEX(final_duration_effort,((WEEKDAY(Y$3,2)*2-1)+IF(Y703="Morning",0,1)),X703),"")</f>
        <v>60</v>
      </c>
      <c r="AA706" s="1925"/>
      <c r="AC706" s="1922" t="str">
        <f ca="1">IF(AF703&gt;0,CONCATENATE("HR Target: ",
INDEX(sessions_HR_primary,INDEX(plan_session_allocation,((WEEKDAY(AD$3,2)*2-1)+IF(AD703="Morning",0,1)),AC703)),
IF(INDEX(sessions_HR_primary,INDEX(plan_session_allocation,((WEEKDAY(AD$3,2)*2-1)+IF(AD703="Morning",0,1)),AC703))="N/A","",
" BPM")),"")</f>
        <v>HR Target: 138 BPM</v>
      </c>
      <c r="AD706" s="1923"/>
      <c r="AE706" s="1924">
        <f ca="1">IF(AF703&gt;0,
INDEX(final_duration_effort,((WEEKDAY(AD$3,2)*2-1)+IF(AD703="Morning",0,1)),AC703),"")</f>
        <v>30</v>
      </c>
      <c r="AF706" s="1925"/>
      <c r="AH706" s="1922" t="str">
        <f ca="1">IF(AK703&gt;0,CONCATENATE("HR Target: ",
INDEX(sessions_HR_primary,INDEX(plan_session_allocation,((WEEKDAY(AI$3,2)*2-1)+IF(AI703="Morning",0,1)),AH703)),
IF(INDEX(sessions_HR_primary,INDEX(plan_session_allocation,((WEEKDAY(AI$3,2)*2-1)+IF(AI703="Morning",0,1)),AH703))="N/A","",
" BPM")),"")</f>
        <v/>
      </c>
      <c r="AI706" s="1923"/>
      <c r="AJ706" s="1924" t="str">
        <f ca="1">IF(AK703&gt;0,
INDEX(final_duration_effort,((WEEKDAY(AI$3,2)*2-1)+IF(AI703="Morning",0,1)),AH703),"")</f>
        <v/>
      </c>
      <c r="AK706" s="1925"/>
    </row>
    <row r="707" spans="2:38" s="177" customFormat="1" ht="15" customHeight="1" x14ac:dyDescent="0.45">
      <c r="B707" s="1942"/>
      <c r="C707" s="1945"/>
      <c r="D707" s="1926" t="str">
        <f ca="1">IF(G703&gt;0,CONCATENATE("HR Range: ",
INDEX(sessions_HR_range_primary,INDEX(plan_session_allocation,((WEEKDAY(E$3,2)*2-1)+IF(E703="Morning",0,1)),D703)),
IF(INDEX(sessions_HR_range_primary,INDEX(plan_session_allocation,((WEEKDAY(E$3,2)*2-1)+IF(E703="Morning",0,1)),D703))="N/A","",
" BPM")),"")</f>
        <v>HR Range: N/A</v>
      </c>
      <c r="E707" s="1927"/>
      <c r="F707" s="1928">
        <f ca="1">IF(G703&gt;0,IF(
INDEX(sessions_recoveries,INDEX(plan_session_allocation,((WEEKDAY(E$3,2)*2-1)+IF(E703="Morning",0,1)),D703))="Yes",
VLOOKUP(INDEX(plan_duration_primary,((WEEKDAY(E$3,2)*2-1)+IF(E703="Morning",0,1)),D703),
INDIRECT(INDEX(sessions_intervals_code_primary,INDEX(plan_session_allocation,((WEEKDAY(E$3,2)*2-1)+IF(E703="Morning",0,1)),D703))),7,TRUE),0),"")</f>
        <v>0</v>
      </c>
      <c r="G707" s="1929"/>
      <c r="I707" s="1926" t="str">
        <f ca="1">IF(L703&gt;0,CONCATENATE("HR Range: ",
INDEX(sessions_HR_range_primary,INDEX(plan_session_allocation,((WEEKDAY(J$3,2)*2-1)+IF(J703="Morning",0,1)),I703)),
IF(INDEX(sessions_HR_range_primary,INDEX(plan_session_allocation,((WEEKDAY(J$3,2)*2-1)+IF(J703="Morning",0,1)),I703))="N/A","",
" BPM")),"")</f>
        <v>HR Range: 173 - 180 BPM</v>
      </c>
      <c r="J707" s="1927"/>
      <c r="K707" s="1928">
        <f ca="1">IF(L703&gt;0,IF(
INDEX(sessions_recoveries,INDEX(plan_session_allocation,((WEEKDAY(J$3,2)*2-1)+IF(J703="Morning",0,1)),I703))="Yes",
VLOOKUP(INDEX(plan_duration_primary,((WEEKDAY(J$3,2)*2-1)+IF(J703="Morning",0,1)),I703),
INDIRECT(INDEX(sessions_intervals_code_primary,INDEX(plan_session_allocation,((WEEKDAY(J$3,2)*2-1)+IF(J703="Morning",0,1)),I703))),7,TRUE),0),"")</f>
        <v>0</v>
      </c>
      <c r="L707" s="1929"/>
      <c r="N707" s="1926" t="str">
        <f ca="1">IF(Q703&gt;0,CONCATENATE("HR Range: ",
INDEX(sessions_HR_range_primary,INDEX(plan_session_allocation,((WEEKDAY(O$3,2)*2-1)+IF(O703="Morning",0,1)),N703)),
IF(INDEX(sessions_HR_range_primary,INDEX(plan_session_allocation,((WEEKDAY(O$3,2)*2-1)+IF(O703="Morning",0,1)),N703))="N/A","",
" BPM")),"")</f>
        <v>HR Range: 129 - 148 BPM</v>
      </c>
      <c r="O707" s="1927"/>
      <c r="P707" s="1928">
        <f ca="1">IF(Q703&gt;0,IF(
INDEX(sessions_recoveries,INDEX(plan_session_allocation,((WEEKDAY(O$3,2)*2-1)+IF(O703="Morning",0,1)),N703))="Yes",
VLOOKUP(INDEX(plan_duration_primary,((WEEKDAY(O$3,2)*2-1)+IF(O703="Morning",0,1)),N703),
INDIRECT(INDEX(sessions_intervals_code_primary,INDEX(plan_session_allocation,((WEEKDAY(O$3,2)*2-1)+IF(O703="Morning",0,1)),N703))),7,TRUE),0),"")</f>
        <v>0</v>
      </c>
      <c r="Q707" s="1929"/>
      <c r="S707" s="1926" t="str">
        <f ca="1">IF(V703&gt;0,CONCATENATE("HR Range: ",
INDEX(sessions_HR_range_primary,INDEX(plan_session_allocation,((WEEKDAY(T$3,2)*2-1)+IF(T703="Morning",0,1)),S703)),
IF(INDEX(sessions_HR_range_primary,INDEX(plan_session_allocation,((WEEKDAY(T$3,2)*2-1)+IF(T703="Morning",0,1)),S703))="N/A","",
" BPM")),"")</f>
        <v>HR Range: 184 - 192 BPM</v>
      </c>
      <c r="T707" s="1927"/>
      <c r="U707" s="1928">
        <f ca="1">IF(V703&gt;0,IF(
INDEX(sessions_recoveries,INDEX(plan_session_allocation,((WEEKDAY(T$3,2)*2-1)+IF(T703="Morning",0,1)),S703))="Yes",
VLOOKUP(INDEX(plan_duration_primary,((WEEKDAY(T$3,2)*2-1)+IF(T703="Morning",0,1)),S703),
INDIRECT(INDEX(sessions_intervals_code_primary,INDEX(plan_session_allocation,((WEEKDAY(T$3,2)*2-1)+IF(T703="Morning",0,1)),S703))),7,TRUE),0),"")</f>
        <v>6</v>
      </c>
      <c r="V707" s="1929"/>
      <c r="X707" s="1926" t="str">
        <f ca="1">IF(AA703&gt;0,CONCATENATE("HR Range: ",
INDEX(sessions_HR_range_primary,INDEX(plan_session_allocation,((WEEKDAY(Y$3,2)*2-1)+IF(Y703="Morning",0,1)),X703)),
IF(INDEX(sessions_HR_range_primary,INDEX(plan_session_allocation,((WEEKDAY(Y$3,2)*2-1)+IF(Y703="Morning",0,1)),X703))="N/A","",
" BPM")),"")</f>
        <v>HR Range: N/A</v>
      </c>
      <c r="Y707" s="1927"/>
      <c r="Z707" s="1928">
        <f ca="1">IF(AA703&gt;0,IF(
INDEX(sessions_recoveries,INDEX(plan_session_allocation,((WEEKDAY(Y$3,2)*2-1)+IF(Y703="Morning",0,1)),X703))="Yes",
VLOOKUP(INDEX(plan_duration_primary,((WEEKDAY(Y$3,2)*2-1)+IF(Y703="Morning",0,1)),X703),
INDIRECT(INDEX(sessions_intervals_code_primary,INDEX(plan_session_allocation,((WEEKDAY(Y$3,2)*2-1)+IF(Y703="Morning",0,1)),X703))),7,TRUE),0),"")</f>
        <v>0</v>
      </c>
      <c r="AA707" s="1929"/>
      <c r="AC707" s="1926" t="str">
        <f ca="1">IF(AF703&gt;0,CONCATENATE("HR Range: ",
INDEX(sessions_HR_range_primary,INDEX(plan_session_allocation,((WEEKDAY(AD$3,2)*2-1)+IF(AD703="Morning",0,1)),AC703)),
IF(INDEX(sessions_HR_range_primary,INDEX(plan_session_allocation,((WEEKDAY(AD$3,2)*2-1)+IF(AD703="Morning",0,1)),AC703))="N/A","",
" BPM")),"")</f>
        <v>HR Range: 129 - 148 BPM</v>
      </c>
      <c r="AD707" s="1927"/>
      <c r="AE707" s="1928">
        <f ca="1">IF(AF703&gt;0,IF(
INDEX(sessions_recoveries,INDEX(plan_session_allocation,((WEEKDAY(AD$3,2)*2-1)+IF(AD703="Morning",0,1)),AC703))="Yes",
VLOOKUP(INDEX(plan_duration_primary,((WEEKDAY(AD$3,2)*2-1)+IF(AD703="Morning",0,1)),AC703),
INDIRECT(INDEX(sessions_intervals_code_primary,INDEX(plan_session_allocation,((WEEKDAY(AD$3,2)*2-1)+IF(AD703="Morning",0,1)),AC703))),7,TRUE),0),"")</f>
        <v>0</v>
      </c>
      <c r="AF707" s="1929"/>
      <c r="AH707" s="1926" t="str">
        <f ca="1">IF(AK703&gt;0,CONCATENATE("HR Range: ",
INDEX(sessions_HR_range_primary,INDEX(plan_session_allocation,((WEEKDAY(AI$3,2)*2-1)+IF(AI703="Morning",0,1)),AH703)),
IF(INDEX(sessions_HR_range_primary,INDEX(plan_session_allocation,((WEEKDAY(AI$3,2)*2-1)+IF(AI703="Morning",0,1)),AH703))="N/A","",
" BPM")),"")</f>
        <v/>
      </c>
      <c r="AI707" s="1927"/>
      <c r="AJ707" s="1928" t="str">
        <f ca="1">IF(AK703&gt;0,IF(
INDEX(sessions_recoveries,INDEX(plan_session_allocation,((WEEKDAY(AI$3,2)*2-1)+IF(AI703="Morning",0,1)),AH703))="Yes",
VLOOKUP(INDEX(plan_duration_primary,((WEEKDAY(AI$3,2)*2-1)+IF(AI703="Morning",0,1)),AH703),
INDIRECT(INDEX(sessions_intervals_code_primary,INDEX(plan_session_allocation,((WEEKDAY(AI$3,2)*2-1)+IF(AI703="Morning",0,1)),AH703))),7,TRUE),0),"")</f>
        <v/>
      </c>
      <c r="AK707" s="1929"/>
    </row>
    <row r="708" spans="2:38" s="177" customFormat="1" ht="15" customHeight="1" x14ac:dyDescent="0.45">
      <c r="B708" s="1942"/>
      <c r="C708" s="1945"/>
      <c r="D708" s="1909" t="str">
        <f ca="1">IF(G703&gt;0,CONCATENATE("Equivalent Pace: ",
TEXT(INDEX(sessions_pace_primary,INDEX(plan_session_allocation,(WEEKDAY(E$3,2)*2-1)+IF(E703="Morning",0,1),D703)),"m:ss"),
" min/km"
),"")</f>
        <v>Equivalent Pace:  min/km</v>
      </c>
      <c r="E708" s="1910"/>
      <c r="F708" s="1911">
        <f ca="1">IF(G703&gt;0, INDEX(final_duration_WU,((WEEKDAY(E$3,2)*2-1)+IF(E703="Morning",0,1)),D703)  + INDEX(final_duration_WD,((WEEKDAY(E$3,2)*2-1)+IF(E703="Morning",0,1)),D703), "")</f>
        <v>0</v>
      </c>
      <c r="G708" s="1912"/>
      <c r="I708" s="1909" t="str">
        <f ca="1">IF(L703&gt;0,CONCATENATE("Equivalent Pace: ",
TEXT(INDEX(sessions_pace_primary,INDEX(plan_session_allocation,(WEEKDAY(J$3,2)*2-1)+IF(J703="Morning",0,1),I703)),"m:ss"),
" min/km"
),"")</f>
        <v>Equivalent Pace: 3:21 min/km</v>
      </c>
      <c r="J708" s="1910"/>
      <c r="K708" s="1911">
        <f ca="1">IF(L703&gt;0, INDEX(final_duration_WU,((WEEKDAY(J$3,2)*2-1)+IF(J703="Morning",0,1)),I703)  + INDEX(final_duration_WD,((WEEKDAY(J$3,2)*2-1)+IF(J703="Morning",0,1)),I703), "")</f>
        <v>30</v>
      </c>
      <c r="L708" s="1912"/>
      <c r="N708" s="1909" t="str">
        <f ca="1">IF(Q703&gt;0,CONCATENATE("Equivalent Pace: ",
TEXT(INDEX(sessions_pace_primary,INDEX(plan_session_allocation,(WEEKDAY(O$3,2)*2-1)+IF(O703="Morning",0,1),N703)),"m:ss"),
" min/km"
),"")</f>
        <v>Equivalent Pace: 4:39 min/km</v>
      </c>
      <c r="O708" s="1910"/>
      <c r="P708" s="1911">
        <f ca="1">IF(Q703&gt;0, INDEX(final_duration_WU,((WEEKDAY(O$3,2)*2-1)+IF(O703="Morning",0,1)),N703)  + INDEX(final_duration_WD,((WEEKDAY(O$3,2)*2-1)+IF(O703="Morning",0,1)),N703), "")</f>
        <v>0</v>
      </c>
      <c r="Q708" s="1912"/>
      <c r="S708" s="1909" t="str">
        <f ca="1">IF(V703&gt;0,CONCATENATE("Equivalent Pace: ",
TEXT(INDEX(sessions_pace_primary,INDEX(plan_session_allocation,(WEEKDAY(T$3,2)*2-1)+IF(T703="Morning",0,1),S703)),"m:ss"),
" min/km"
),"")</f>
        <v>Equivalent Pace: 3:06 min/km</v>
      </c>
      <c r="T708" s="1910"/>
      <c r="U708" s="1911">
        <f ca="1">IF(V703&gt;0, INDEX(final_duration_WU,((WEEKDAY(T$3,2)*2-1)+IF(T703="Morning",0,1)),S703)  + INDEX(final_duration_WD,((WEEKDAY(T$3,2)*2-1)+IF(T703="Morning",0,1)),S703), "")</f>
        <v>30</v>
      </c>
      <c r="V708" s="1912"/>
      <c r="X708" s="1909" t="str">
        <f ca="1">IF(AA703&gt;0,CONCATENATE("Equivalent Pace: ",
TEXT(INDEX(sessions_pace_primary,INDEX(plan_session_allocation,(WEEKDAY(Y$3,2)*2-1)+IF(Y703="Morning",0,1),X703)),"m:ss"),
" min/km"
),"")</f>
        <v>Equivalent Pace:  min/km</v>
      </c>
      <c r="Y708" s="1910"/>
      <c r="Z708" s="1911">
        <f ca="1">IF(AA703&gt;0, INDEX(final_duration_WU,((WEEKDAY(Y$3,2)*2-1)+IF(Y703="Morning",0,1)),X703)  + INDEX(final_duration_WD,((WEEKDAY(Y$3,2)*2-1)+IF(Y703="Morning",0,1)),X703), "")</f>
        <v>0</v>
      </c>
      <c r="AA708" s="1912"/>
      <c r="AC708" s="1909" t="str">
        <f ca="1">IF(AF703&gt;0,CONCATENATE("Equivalent Pace: ",
TEXT(INDEX(sessions_pace_primary,INDEX(plan_session_allocation,(WEEKDAY(AD$3,2)*2-1)+IF(AD703="Morning",0,1),AC703)),"m:ss"),
" min/km"
),"")</f>
        <v>Equivalent Pace: 4:39 min/km</v>
      </c>
      <c r="AD708" s="1910"/>
      <c r="AE708" s="1911">
        <f ca="1">IF(AF703&gt;0, INDEX(final_duration_WU,((WEEKDAY(AD$3,2)*2-1)+IF(AD703="Morning",0,1)),AC703)  + INDEX(final_duration_WD,((WEEKDAY(AD$3,2)*2-1)+IF(AD703="Morning",0,1)),AC703), "")</f>
        <v>0</v>
      </c>
      <c r="AF708" s="1912"/>
      <c r="AH708" s="1909" t="str">
        <f ca="1">IF(AK703&gt;0,CONCATENATE("Equivalent Pace: ",
TEXT(INDEX(sessions_pace_primary,INDEX(plan_session_allocation,(WEEKDAY(AI$3,2)*2-1)+IF(AI703="Morning",0,1),AH703)),"m:ss"),
" min/km"
),"")</f>
        <v/>
      </c>
      <c r="AI708" s="1910"/>
      <c r="AJ708" s="1911" t="str">
        <f ca="1">IF(AK703&gt;0, INDEX(final_duration_WU,((WEEKDAY(AI$3,2)*2-1)+IF(AI703="Morning",0,1)),AH703)  + INDEX(final_duration_WD,((WEEKDAY(AI$3,2)*2-1)+IF(AI703="Morning",0,1)),AH703), "")</f>
        <v/>
      </c>
      <c r="AK708" s="1912"/>
    </row>
    <row r="709" spans="2:38" s="176" customFormat="1" ht="15" customHeight="1" x14ac:dyDescent="0.45">
      <c r="B709" s="1942"/>
      <c r="C709" s="1945"/>
      <c r="D709" s="1913" t="str">
        <f ca="1">IF(G703&gt;0,CONCATENATE(IFERROR(CONCATENATE(IF(INDEX(display_intervals_breakdown,((WEEKDAY(E$3,2)*2-1)+IF(E703="Morning",0,1)),D703)="","",CONCATENATE("Intervals/Reps Breakdown: 
",INDEX(display_intervals_breakdown,((WEEKDAY(E$3,2)*2-1)+IF(E703="Morning",0,1)),D703),"
")),"Session Description: 
",CONCATENATE(IF(INDEX(final_duration_secondary,((WEEKDAY(E$3,2)*2-1)+IF(E703="Morning",0,1)),D703)=0,"","1. "),
INDEX(sessions_description_primary,,INDEX(plan_session_allocation,((WEEKDAY(E$3,2)*2-1)+IF(E703="Morning",0,1)),D703)),IF(INDEX(final_duration_secondary,((WEEKDAY(E$3,2)*2-1)+IF(E703="Morning",0,1)),D703)=0,"","
2. "),
IF(INDEX(final_duration_secondary,((WEEKDAY(E$3,2)*2-1)+IF(E703="Morning",0,1)),D703)=0,"",INDEX(sessions_description_secondary,,INDEX(plan_session_allocation,((WEEKDAY(E$3,2)*2-1)+IF(E703="Morning",0,1)),D703))),IF(INDEX(final_duration_tertiary,((WEEKDAY(E$3,2)*2-1)+IF(E703="Morning",0,1)),D703)=0,"","
3. "),
IF(INDEX(final_duration_tertiary,((WEEKDAY(E$3,2)*2-1)+IF(E703="Morning",0,1)),D703)="","",INDEX(sessions_description_tertiary,,INDEX(plan_session_allocation,((WEEKDAY(E$3,2)*2-1)+IF(E703="Morning",0,1)),D703))),
IF(INDEX(display_nutrition_description,((WEEKDAY(E$3,2)*2-1)+IF(E703="Morning",0,1)),D703)="","",
CONCATENATE("
Meal Plan: ", INDEX(sessions_nutrition,,INDEX(plan_session_allocation,((WEEKDAY(E$3,2)*2-1)+IF(E703="Morning",0,1)),D703)), "
", INDEX(display_nutrition_description,((WEEKDAY(E$3,2)*2-1)+IF(E703="Morning",0,1)),D703)))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709" s="1914"/>
      <c r="F709" s="1914"/>
      <c r="G709" s="1915"/>
      <c r="H709" s="177"/>
      <c r="I709" s="1913" t="str">
        <f ca="1">IF(L703&gt;0,CONCATENATE(IFERROR(CONCATENATE(IF(INDEX(display_intervals_breakdown,((WEEKDAY(J$3,2)*2-1)+IF(J703="Morning",0,1)),I703)="","",CONCATENATE("Intervals/Reps Breakdown: 
",INDEX(display_intervals_breakdown,((WEEKDAY(J$3,2)*2-1)+IF(J703="Morning",0,1)),I703),"
")),"Session Description: 
",CONCATENATE(IF(INDEX(final_duration_secondary,((WEEKDAY(J$3,2)*2-1)+IF(J703="Morning",0,1)),I703)=0,"","1. "),
INDEX(sessions_description_primary,,INDEX(plan_session_allocation,((WEEKDAY(J$3,2)*2-1)+IF(J703="Morning",0,1)),I703)),IF(INDEX(final_duration_secondary,((WEEKDAY(J$3,2)*2-1)+IF(J703="Morning",0,1)),I703)=0,"","
2. "),
IF(INDEX(final_duration_secondary,((WEEKDAY(J$3,2)*2-1)+IF(J703="Morning",0,1)),I703)=0,"",INDEX(sessions_description_secondary,,INDEX(plan_session_allocation,((WEEKDAY(J$3,2)*2-1)+IF(J703="Morning",0,1)),I703))),IF(INDEX(final_duration_tertiary,((WEEKDAY(J$3,2)*2-1)+IF(J703="Morning",0,1)),I703)=0,"","
3. "),
IF(INDEX(final_duration_tertiary,((WEEKDAY(J$3,2)*2-1)+IF(J703="Morning",0,1)),I703)="","",INDEX(sessions_description_tertiary,,INDEX(plan_session_allocation,((WEEKDAY(J$3,2)*2-1)+IF(J703="Morning",0,1)),I703))),
IF(INDEX(display_nutrition_description,((WEEKDAY(J$3,2)*2-1)+IF(J703="Morning",0,1)),I703)="","",
CONCATENATE("
Meal Plan: ", INDEX(sessions_nutrition,,INDEX(plan_session_allocation,((WEEKDAY(J$3,2)*2-1)+IF(J703="Morning",0,1)),I703)), "
", INDEX(display_nutrition_description,((WEEKDAY(J$3,2)*2-1)+IF(J703="Morning",0,1)),I703)))
)),"")),"")</f>
        <v>Session Description: 
Accelerate to a fast pace which you should be able to hold for 50 minutes in a race situation. This will take concentration, but it's important to keep the intensity even, so do not start too hard. Warm up and warm down for 10 minutes each.</v>
      </c>
      <c r="J709" s="1914"/>
      <c r="K709" s="1914"/>
      <c r="L709" s="1915"/>
      <c r="M709" s="177"/>
      <c r="N709" s="1913" t="str">
        <f ca="1">IF(Q703&gt;0,CONCATENATE(IFERROR(CONCATENATE(IF(INDEX(display_intervals_breakdown,((WEEKDAY(O$3,2)*2-1)+IF(O703="Morning",0,1)),N703)="","",CONCATENATE("Intervals/Reps Breakdown: 
",INDEX(display_intervals_breakdown,((WEEKDAY(O$3,2)*2-1)+IF(O703="Morning",0,1)),N703),"
")),"Session Description: 
",CONCATENATE(IF(INDEX(final_duration_secondary,((WEEKDAY(O$3,2)*2-1)+IF(O703="Morning",0,1)),N703)=0,"","1. "),
INDEX(sessions_description_primary,,INDEX(plan_session_allocation,((WEEKDAY(O$3,2)*2-1)+IF(O703="Morning",0,1)),N703)),IF(INDEX(final_duration_secondary,((WEEKDAY(O$3,2)*2-1)+IF(O703="Morning",0,1)),N703)=0,"","
2. "),
IF(INDEX(final_duration_secondary,((WEEKDAY(O$3,2)*2-1)+IF(O703="Morning",0,1)),N703)=0,"",INDEX(sessions_description_secondary,,INDEX(plan_session_allocation,((WEEKDAY(O$3,2)*2-1)+IF(O703="Morning",0,1)),N703))),IF(INDEX(final_duration_tertiary,((WEEKDAY(O$3,2)*2-1)+IF(O703="Morning",0,1)),N703)=0,"","
3. "),
IF(INDEX(final_duration_tertiary,((WEEKDAY(O$3,2)*2-1)+IF(O703="Morning",0,1)),N703)="","",INDEX(sessions_description_tertiary,,INDEX(plan_session_allocation,((WEEKDAY(O$3,2)*2-1)+IF(O703="Morning",0,1)),N703))),
IF(INDEX(display_nutrition_description,((WEEKDAY(O$3,2)*2-1)+IF(O703="Morning",0,1)),N703)="","",
CONCATENATE("
Meal Plan: ", INDEX(sessions_nutrition,,INDEX(plan_session_allocation,((WEEKDAY(O$3,2)*2-1)+IF(O703="Morning",0,1)),N703)), "
", INDEX(display_nutrition_description,((WEEKDAY(O$3,2)*2-1)+IF(O703="Morning",0,1)),N703)))
)),"")),"")</f>
        <v>Session Description: 
Stay at a comfortable and controlled intensity where you should be able to have a conversation without large pauses. Keep an even intensity and accept that your pace may change as the terrain changes.</v>
      </c>
      <c r="O709" s="1914"/>
      <c r="P709" s="1914"/>
      <c r="Q709" s="1915"/>
      <c r="R709" s="177"/>
      <c r="S709" s="1913" t="str">
        <f ca="1">IF(V703&gt;0,CONCATENATE(IFERROR(CONCATENATE(IF(INDEX(display_intervals_breakdown,((WEEKDAY(T$3,2)*2-1)+IF(T703="Morning",0,1)),S703)="","",CONCATENATE("Intervals/Reps Breakdown: 
",INDEX(display_intervals_breakdown,((WEEKDAY(T$3,2)*2-1)+IF(T703="Morning",0,1)),S703),"
")),"Session Description: 
",CONCATENATE(IF(INDEX(final_duration_secondary,((WEEKDAY(T$3,2)*2-1)+IF(T703="Morning",0,1)),S703)=0,"","1. "),
INDEX(sessions_description_primary,,INDEX(plan_session_allocation,((WEEKDAY(T$3,2)*2-1)+IF(T703="Morning",0,1)),S703)),IF(INDEX(final_duration_secondary,((WEEKDAY(T$3,2)*2-1)+IF(T703="Morning",0,1)),S703)=0,"","
2. "),
IF(INDEX(final_duration_secondary,((WEEKDAY(T$3,2)*2-1)+IF(T703="Morning",0,1)),S703)=0,"",INDEX(sessions_description_secondary,,INDEX(plan_session_allocation,((WEEKDAY(T$3,2)*2-1)+IF(T703="Morning",0,1)),S703))),IF(INDEX(final_duration_tertiary,((WEEKDAY(T$3,2)*2-1)+IF(T703="Morning",0,1)),S703)=0,"","
3. "),
IF(INDEX(final_duration_tertiary,((WEEKDAY(T$3,2)*2-1)+IF(T703="Morning",0,1)),S703)="","",INDEX(sessions_description_tertiary,,INDEX(plan_session_allocation,((WEEKDAY(T$3,2)*2-1)+IF(T703="Morning",0,1)),S703))),
IF(INDEX(display_nutrition_description,((WEEKDAY(T$3,2)*2-1)+IF(T703="Morning",0,1)),S703)="","",
CONCATENATE("
Meal Plan: ", INDEX(sessions_nutrition,,INDEX(plan_session_allocation,((WEEKDAY(T$3,2)*2-1)+IF(T703="Morning",0,1)),S703)), "
", INDEX(display_nutrition_description,((WEEKDAY(T$3,2)*2-1)+IF(T703="Morning",0,1)),S703)))
)),"")),"")</f>
        <v>Intervals/Reps Breakdown: 
Efforts of: 1km x4
And recoveries of: 2 minutes
Session Description: 
Intervals are hard, but don't start so hard that you can't run the same pace for all intervals in the session. Forget about HR, and focus on feeling your intensity. Do the recoveries at an easy intensity. Warm up and warm down for 10 minutes each.</v>
      </c>
      <c r="T709" s="1914"/>
      <c r="U709" s="1914"/>
      <c r="V709" s="1915"/>
      <c r="W709" s="177"/>
      <c r="X709" s="1913" t="str">
        <f ca="1">IF(AA703&gt;0,CONCATENATE(IFERROR(CONCATENATE(IF(INDEX(display_intervals_breakdown,((WEEKDAY(Y$3,2)*2-1)+IF(Y703="Morning",0,1)),X703)="","",CONCATENATE("Intervals/Reps Breakdown: 
",INDEX(display_intervals_breakdown,((WEEKDAY(Y$3,2)*2-1)+IF(Y703="Morning",0,1)),X703),"
")),"Session Description: 
",CONCATENATE(IF(INDEX(final_duration_secondary,((WEEKDAY(Y$3,2)*2-1)+IF(Y703="Morning",0,1)),X703)=0,"","1. "),
INDEX(sessions_description_primary,,INDEX(plan_session_allocation,((WEEKDAY(Y$3,2)*2-1)+IF(Y703="Morning",0,1)),X703)),IF(INDEX(final_duration_secondary,((WEEKDAY(Y$3,2)*2-1)+IF(Y703="Morning",0,1)),X703)=0,"","
2. "),
IF(INDEX(final_duration_secondary,((WEEKDAY(Y$3,2)*2-1)+IF(Y703="Morning",0,1)),X703)=0,"",INDEX(sessions_description_secondary,,INDEX(plan_session_allocation,((WEEKDAY(Y$3,2)*2-1)+IF(Y703="Morning",0,1)),X703))),IF(INDEX(final_duration_tertiary,((WEEKDAY(Y$3,2)*2-1)+IF(Y703="Morning",0,1)),X703)=0,"","
3. "),
IF(INDEX(final_duration_tertiary,((WEEKDAY(Y$3,2)*2-1)+IF(Y703="Morning",0,1)),X703)="","",INDEX(sessions_description_tertiary,,INDEX(plan_session_allocation,((WEEKDAY(Y$3,2)*2-1)+IF(Y703="Morning",0,1)),X703))),
IF(INDEX(display_nutrition_description,((WEEKDAY(Y$3,2)*2-1)+IF(Y703="Morning",0,1)),X703)="","",
CONCATENATE("
Meal Plan: ", INDEX(sessions_nutrition,,INDEX(plan_session_allocation,((WEEKDAY(Y$3,2)*2-1)+IF(Y703="Morning",0,1)),X703)), "
", INDEX(display_nutrition_description,((WEEKDAY(Y$3,2)*2-1)+IF(Y703="Morning",0,1)),X703)))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709" s="1914"/>
      <c r="Z709" s="1914"/>
      <c r="AA709" s="1915"/>
      <c r="AB709" s="177"/>
      <c r="AC709" s="1913" t="str">
        <f ca="1">IF(AF703&gt;0,CONCATENATE(IFERROR(CONCATENATE(IF(INDEX(display_intervals_breakdown,((WEEKDAY(AD$3,2)*2-1)+IF(AD703="Morning",0,1)),AC703)="","",CONCATENATE("Intervals/Reps Breakdown: 
",INDEX(display_intervals_breakdown,((WEEKDAY(AD$3,2)*2-1)+IF(AD703="Morning",0,1)),AC703),"
")),"Session Description: 
",CONCATENATE(IF(INDEX(final_duration_secondary,((WEEKDAY(AD$3,2)*2-1)+IF(AD703="Morning",0,1)),AC703)=0,"","1. "),
INDEX(sessions_description_primary,,INDEX(plan_session_allocation,((WEEKDAY(AD$3,2)*2-1)+IF(AD703="Morning",0,1)),AC703)),IF(INDEX(final_duration_secondary,((WEEKDAY(AD$3,2)*2-1)+IF(AD703="Morning",0,1)),AC703)=0,"","
2. "),
IF(INDEX(final_duration_secondary,((WEEKDAY(AD$3,2)*2-1)+IF(AD703="Morning",0,1)),AC703)=0,"",INDEX(sessions_description_secondary,,INDEX(plan_session_allocation,((WEEKDAY(AD$3,2)*2-1)+IF(AD703="Morning",0,1)),AC703))),IF(INDEX(final_duration_tertiary,((WEEKDAY(AD$3,2)*2-1)+IF(AD703="Morning",0,1)),AC703)=0,"","
3. "),
IF(INDEX(final_duration_tertiary,((WEEKDAY(AD$3,2)*2-1)+IF(AD703="Morning",0,1)),AC703)="","",INDEX(sessions_description_tertiary,,INDEX(plan_session_allocation,((WEEKDAY(AD$3,2)*2-1)+IF(AD703="Morning",0,1)),AC703))),
IF(INDEX(display_nutrition_description,((WEEKDAY(AD$3,2)*2-1)+IF(AD703="Morning",0,1)),AC703)="","",
CONCATENATE("
Meal Plan: ", INDEX(sessions_nutrition,,INDEX(plan_session_allocation,((WEEKDAY(AD$3,2)*2-1)+IF(AD703="Morning",0,1)),AC703)), "
", INDEX(display_nutrition_description,((WEEKDAY(AD$3,2)*2-1)+IF(AD703="Morning",0,1)),AC703)))
)),"")),"")</f>
        <v>Session Description: 
Stay at a comfortable and controlled intensity where you should be able to have a conversation without large pauses. Keep an even intensity and accept that your pace may change as the terrain changes.</v>
      </c>
      <c r="AD709" s="1914"/>
      <c r="AE709" s="1914"/>
      <c r="AF709" s="1915"/>
      <c r="AG709" s="177"/>
      <c r="AH709" s="1913" t="str">
        <f ca="1">IF(AK703&gt;0,CONCATENATE(IFERROR(CONCATENATE(IF(INDEX(display_intervals_breakdown,((WEEKDAY(AI$3,2)*2-1)+IF(AI703="Morning",0,1)),AH703)="","",CONCATENATE("Intervals/Reps Breakdown: 
",INDEX(display_intervals_breakdown,((WEEKDAY(AI$3,2)*2-1)+IF(AI703="Morning",0,1)),AH703),"
")),"Session Description: 
",CONCATENATE(IF(INDEX(final_duration_secondary,((WEEKDAY(AI$3,2)*2-1)+IF(AI703="Morning",0,1)),AH703)=0,"","1. "),
INDEX(sessions_description_primary,,INDEX(plan_session_allocation,((WEEKDAY(AI$3,2)*2-1)+IF(AI703="Morning",0,1)),AH703)),IF(INDEX(final_duration_secondary,((WEEKDAY(AI$3,2)*2-1)+IF(AI703="Morning",0,1)),AH703)=0,"","
2. "),
IF(INDEX(final_duration_secondary,((WEEKDAY(AI$3,2)*2-1)+IF(AI703="Morning",0,1)),AH703)=0,"",INDEX(sessions_description_secondary,,INDEX(plan_session_allocation,((WEEKDAY(AI$3,2)*2-1)+IF(AI703="Morning",0,1)),AH703))),IF(INDEX(final_duration_tertiary,((WEEKDAY(AI$3,2)*2-1)+IF(AI703="Morning",0,1)),AH703)=0,"","
3. "),
IF(INDEX(final_duration_tertiary,((WEEKDAY(AI$3,2)*2-1)+IF(AI703="Morning",0,1)),AH703)="","",INDEX(sessions_description_tertiary,,INDEX(plan_session_allocation,((WEEKDAY(AI$3,2)*2-1)+IF(AI703="Morning",0,1)),AH703))),
IF(INDEX(display_nutrition_description,((WEEKDAY(AI$3,2)*2-1)+IF(AI703="Morning",0,1)),AH703)="","",
CONCATENATE("
Meal Plan: ", INDEX(sessions_nutrition,,INDEX(plan_session_allocation,((WEEKDAY(AI$3,2)*2-1)+IF(AI703="Morning",0,1)),AH703)), "
", INDEX(display_nutrition_description,((WEEKDAY(AI$3,2)*2-1)+IF(AI703="Morning",0,1)),AH703)))
)),"")),"")</f>
        <v/>
      </c>
      <c r="AI709" s="1914"/>
      <c r="AJ709" s="1914"/>
      <c r="AK709" s="1915"/>
      <c r="AL709" s="177"/>
    </row>
    <row r="710" spans="2:38" s="176" customFormat="1" ht="15" customHeight="1" x14ac:dyDescent="0.45">
      <c r="B710" s="1942"/>
      <c r="C710" s="1945"/>
      <c r="D710" s="1916"/>
      <c r="E710" s="1917"/>
      <c r="F710" s="1917"/>
      <c r="G710" s="1918"/>
      <c r="H710" s="177"/>
      <c r="I710" s="1916"/>
      <c r="J710" s="1917"/>
      <c r="K710" s="1917"/>
      <c r="L710" s="1918"/>
      <c r="M710" s="177"/>
      <c r="N710" s="1916"/>
      <c r="O710" s="1917"/>
      <c r="P710" s="1917"/>
      <c r="Q710" s="1918"/>
      <c r="R710" s="177"/>
      <c r="S710" s="1916"/>
      <c r="T710" s="1917"/>
      <c r="U710" s="1917"/>
      <c r="V710" s="1918"/>
      <c r="W710" s="177"/>
      <c r="X710" s="1916"/>
      <c r="Y710" s="1917"/>
      <c r="Z710" s="1917"/>
      <c r="AA710" s="1918"/>
      <c r="AB710" s="177"/>
      <c r="AC710" s="1916"/>
      <c r="AD710" s="1917"/>
      <c r="AE710" s="1917"/>
      <c r="AF710" s="1918"/>
      <c r="AG710" s="177"/>
      <c r="AH710" s="1916"/>
      <c r="AI710" s="1917"/>
      <c r="AJ710" s="1917"/>
      <c r="AK710" s="1918"/>
      <c r="AL710" s="177"/>
    </row>
    <row r="711" spans="2:38" s="176" customFormat="1" ht="15" customHeight="1" x14ac:dyDescent="0.45">
      <c r="B711" s="1942"/>
      <c r="C711" s="1945"/>
      <c r="D711" s="1916"/>
      <c r="E711" s="1917"/>
      <c r="F711" s="1917"/>
      <c r="G711" s="1918"/>
      <c r="H711" s="177"/>
      <c r="I711" s="1916"/>
      <c r="J711" s="1917"/>
      <c r="K711" s="1917"/>
      <c r="L711" s="1918"/>
      <c r="M711" s="177"/>
      <c r="N711" s="1916"/>
      <c r="O711" s="1917"/>
      <c r="P711" s="1917"/>
      <c r="Q711" s="1918"/>
      <c r="R711" s="177"/>
      <c r="S711" s="1916"/>
      <c r="T711" s="1917"/>
      <c r="U711" s="1917"/>
      <c r="V711" s="1918"/>
      <c r="W711" s="177"/>
      <c r="X711" s="1916"/>
      <c r="Y711" s="1917"/>
      <c r="Z711" s="1917"/>
      <c r="AA711" s="1918"/>
      <c r="AB711" s="177"/>
      <c r="AC711" s="1916"/>
      <c r="AD711" s="1917"/>
      <c r="AE711" s="1917"/>
      <c r="AF711" s="1918"/>
      <c r="AG711" s="177"/>
      <c r="AH711" s="1916"/>
      <c r="AI711" s="1917"/>
      <c r="AJ711" s="1917"/>
      <c r="AK711" s="1918"/>
      <c r="AL711" s="177"/>
    </row>
    <row r="712" spans="2:38" s="176" customFormat="1" x14ac:dyDescent="0.45">
      <c r="B712" s="1942"/>
      <c r="C712" s="1945"/>
      <c r="D712" s="1916"/>
      <c r="E712" s="1917"/>
      <c r="F712" s="1917"/>
      <c r="G712" s="1918"/>
      <c r="H712" s="177"/>
      <c r="I712" s="1916"/>
      <c r="J712" s="1917"/>
      <c r="K712" s="1917"/>
      <c r="L712" s="1918"/>
      <c r="M712" s="177"/>
      <c r="N712" s="1916"/>
      <c r="O712" s="1917"/>
      <c r="P712" s="1917"/>
      <c r="Q712" s="1918"/>
      <c r="R712" s="177"/>
      <c r="S712" s="1916"/>
      <c r="T712" s="1917"/>
      <c r="U712" s="1917"/>
      <c r="V712" s="1918"/>
      <c r="W712" s="177"/>
      <c r="X712" s="1916"/>
      <c r="Y712" s="1917"/>
      <c r="Z712" s="1917"/>
      <c r="AA712" s="1918"/>
      <c r="AB712" s="177"/>
      <c r="AC712" s="1916"/>
      <c r="AD712" s="1917"/>
      <c r="AE712" s="1917"/>
      <c r="AF712" s="1918"/>
      <c r="AG712" s="177"/>
      <c r="AH712" s="1916"/>
      <c r="AI712" s="1917"/>
      <c r="AJ712" s="1917"/>
      <c r="AK712" s="1918"/>
      <c r="AL712" s="177"/>
    </row>
    <row r="713" spans="2:38" s="176" customFormat="1" x14ac:dyDescent="0.45">
      <c r="B713" s="1942"/>
      <c r="C713" s="1945"/>
      <c r="D713" s="1916"/>
      <c r="E713" s="1917"/>
      <c r="F713" s="1917"/>
      <c r="G713" s="1918"/>
      <c r="H713" s="177"/>
      <c r="I713" s="1916"/>
      <c r="J713" s="1917"/>
      <c r="K713" s="1917"/>
      <c r="L713" s="1918"/>
      <c r="M713" s="177"/>
      <c r="N713" s="1916"/>
      <c r="O713" s="1917"/>
      <c r="P713" s="1917"/>
      <c r="Q713" s="1918"/>
      <c r="R713" s="177"/>
      <c r="S713" s="1916"/>
      <c r="T713" s="1917"/>
      <c r="U713" s="1917"/>
      <c r="V713" s="1918"/>
      <c r="W713" s="177"/>
      <c r="X713" s="1916"/>
      <c r="Y713" s="1917"/>
      <c r="Z713" s="1917"/>
      <c r="AA713" s="1918"/>
      <c r="AB713" s="177"/>
      <c r="AC713" s="1916"/>
      <c r="AD713" s="1917"/>
      <c r="AE713" s="1917"/>
      <c r="AF713" s="1918"/>
      <c r="AG713" s="177"/>
      <c r="AH713" s="1916"/>
      <c r="AI713" s="1917"/>
      <c r="AJ713" s="1917"/>
      <c r="AK713" s="1918"/>
      <c r="AL713" s="177"/>
    </row>
    <row r="714" spans="2:38" s="176" customFormat="1" x14ac:dyDescent="0.45">
      <c r="B714" s="1942"/>
      <c r="C714" s="1945"/>
      <c r="D714" s="1916"/>
      <c r="E714" s="1917"/>
      <c r="F714" s="1917"/>
      <c r="G714" s="1918"/>
      <c r="H714" s="177"/>
      <c r="I714" s="1916"/>
      <c r="J714" s="1917"/>
      <c r="K714" s="1917"/>
      <c r="L714" s="1918"/>
      <c r="M714" s="177"/>
      <c r="N714" s="1916"/>
      <c r="O714" s="1917"/>
      <c r="P714" s="1917"/>
      <c r="Q714" s="1918"/>
      <c r="R714" s="177"/>
      <c r="S714" s="1916"/>
      <c r="T714" s="1917"/>
      <c r="U714" s="1917"/>
      <c r="V714" s="1918"/>
      <c r="W714" s="177"/>
      <c r="X714" s="1916"/>
      <c r="Y714" s="1917"/>
      <c r="Z714" s="1917"/>
      <c r="AA714" s="1918"/>
      <c r="AB714" s="177"/>
      <c r="AC714" s="1916"/>
      <c r="AD714" s="1917"/>
      <c r="AE714" s="1917"/>
      <c r="AF714" s="1918"/>
      <c r="AG714" s="177"/>
      <c r="AH714" s="1916"/>
      <c r="AI714" s="1917"/>
      <c r="AJ714" s="1917"/>
      <c r="AK714" s="1918"/>
      <c r="AL714" s="177"/>
    </row>
    <row r="715" spans="2:38" s="176" customFormat="1" ht="15" customHeight="1" x14ac:dyDescent="0.45">
      <c r="B715" s="1942"/>
      <c r="C715" s="1945"/>
      <c r="D715" s="1916"/>
      <c r="E715" s="1917"/>
      <c r="F715" s="1917"/>
      <c r="G715" s="1918"/>
      <c r="H715" s="177"/>
      <c r="I715" s="1916"/>
      <c r="J715" s="1917"/>
      <c r="K715" s="1917"/>
      <c r="L715" s="1918"/>
      <c r="M715" s="177"/>
      <c r="N715" s="1916"/>
      <c r="O715" s="1917"/>
      <c r="P715" s="1917"/>
      <c r="Q715" s="1918"/>
      <c r="R715" s="177"/>
      <c r="S715" s="1916"/>
      <c r="T715" s="1917"/>
      <c r="U715" s="1917"/>
      <c r="V715" s="1918"/>
      <c r="W715" s="177"/>
      <c r="X715" s="1916"/>
      <c r="Y715" s="1917"/>
      <c r="Z715" s="1917"/>
      <c r="AA715" s="1918"/>
      <c r="AB715" s="177"/>
      <c r="AC715" s="1916"/>
      <c r="AD715" s="1917"/>
      <c r="AE715" s="1917"/>
      <c r="AF715" s="1918"/>
      <c r="AG715" s="177"/>
      <c r="AH715" s="1916"/>
      <c r="AI715" s="1917"/>
      <c r="AJ715" s="1917"/>
      <c r="AK715" s="1918"/>
      <c r="AL715" s="177"/>
    </row>
    <row r="716" spans="2:38" s="176" customFormat="1" ht="15" customHeight="1" x14ac:dyDescent="0.45">
      <c r="B716" s="1942"/>
      <c r="C716" s="1945"/>
      <c r="D716" s="1916"/>
      <c r="E716" s="1917"/>
      <c r="F716" s="1917"/>
      <c r="G716" s="1918"/>
      <c r="H716" s="177"/>
      <c r="I716" s="1916"/>
      <c r="J716" s="1917"/>
      <c r="K716" s="1917"/>
      <c r="L716" s="1918"/>
      <c r="M716" s="177"/>
      <c r="N716" s="1916"/>
      <c r="O716" s="1917"/>
      <c r="P716" s="1917"/>
      <c r="Q716" s="1918"/>
      <c r="R716" s="177"/>
      <c r="S716" s="1916"/>
      <c r="T716" s="1917"/>
      <c r="U716" s="1917"/>
      <c r="V716" s="1918"/>
      <c r="W716" s="177"/>
      <c r="X716" s="1916"/>
      <c r="Y716" s="1917"/>
      <c r="Z716" s="1917"/>
      <c r="AA716" s="1918"/>
      <c r="AB716" s="177"/>
      <c r="AC716" s="1916"/>
      <c r="AD716" s="1917"/>
      <c r="AE716" s="1917"/>
      <c r="AF716" s="1918"/>
      <c r="AG716" s="177"/>
      <c r="AH716" s="1916"/>
      <c r="AI716" s="1917"/>
      <c r="AJ716" s="1917"/>
      <c r="AK716" s="1918"/>
      <c r="AL716" s="177"/>
    </row>
    <row r="717" spans="2:38" s="176" customFormat="1" x14ac:dyDescent="0.45">
      <c r="B717" s="1942"/>
      <c r="C717" s="1945"/>
      <c r="D717" s="1916"/>
      <c r="E717" s="1917"/>
      <c r="F717" s="1917"/>
      <c r="G717" s="1918"/>
      <c r="H717" s="177"/>
      <c r="I717" s="1916"/>
      <c r="J717" s="1917"/>
      <c r="K717" s="1917"/>
      <c r="L717" s="1918"/>
      <c r="M717" s="177"/>
      <c r="N717" s="1916"/>
      <c r="O717" s="1917"/>
      <c r="P717" s="1917"/>
      <c r="Q717" s="1918"/>
      <c r="R717" s="177"/>
      <c r="S717" s="1916"/>
      <c r="T717" s="1917"/>
      <c r="U717" s="1917"/>
      <c r="V717" s="1918"/>
      <c r="W717" s="177"/>
      <c r="X717" s="1916"/>
      <c r="Y717" s="1917"/>
      <c r="Z717" s="1917"/>
      <c r="AA717" s="1918"/>
      <c r="AB717" s="177"/>
      <c r="AC717" s="1916"/>
      <c r="AD717" s="1917"/>
      <c r="AE717" s="1917"/>
      <c r="AF717" s="1918"/>
      <c r="AG717" s="177"/>
      <c r="AH717" s="1916"/>
      <c r="AI717" s="1917"/>
      <c r="AJ717" s="1917"/>
      <c r="AK717" s="1918"/>
      <c r="AL717" s="177"/>
    </row>
    <row r="718" spans="2:38" s="176" customFormat="1" x14ac:dyDescent="0.45">
      <c r="B718" s="1942"/>
      <c r="C718" s="1945"/>
      <c r="D718" s="1916"/>
      <c r="E718" s="1917"/>
      <c r="F718" s="1917"/>
      <c r="G718" s="1918"/>
      <c r="H718" s="177"/>
      <c r="I718" s="1916"/>
      <c r="J718" s="1917"/>
      <c r="K718" s="1917"/>
      <c r="L718" s="1918"/>
      <c r="M718" s="177"/>
      <c r="N718" s="1916"/>
      <c r="O718" s="1917"/>
      <c r="P718" s="1917"/>
      <c r="Q718" s="1918"/>
      <c r="R718" s="177"/>
      <c r="S718" s="1916"/>
      <c r="T718" s="1917"/>
      <c r="U718" s="1917"/>
      <c r="V718" s="1918"/>
      <c r="W718" s="177"/>
      <c r="X718" s="1916"/>
      <c r="Y718" s="1917"/>
      <c r="Z718" s="1917"/>
      <c r="AA718" s="1918"/>
      <c r="AB718" s="177"/>
      <c r="AC718" s="1916"/>
      <c r="AD718" s="1917"/>
      <c r="AE718" s="1917"/>
      <c r="AF718" s="1918"/>
      <c r="AG718" s="177"/>
      <c r="AH718" s="1916"/>
      <c r="AI718" s="1917"/>
      <c r="AJ718" s="1917"/>
      <c r="AK718" s="1918"/>
      <c r="AL718" s="177"/>
    </row>
    <row r="719" spans="2:38" s="176" customFormat="1" x14ac:dyDescent="0.45">
      <c r="B719" s="1942"/>
      <c r="C719" s="1945"/>
      <c r="D719" s="1916"/>
      <c r="E719" s="1917"/>
      <c r="F719" s="1917"/>
      <c r="G719" s="1918"/>
      <c r="H719" s="177"/>
      <c r="I719" s="1916"/>
      <c r="J719" s="1917"/>
      <c r="K719" s="1917"/>
      <c r="L719" s="1918"/>
      <c r="M719" s="177"/>
      <c r="N719" s="1916"/>
      <c r="O719" s="1917"/>
      <c r="P719" s="1917"/>
      <c r="Q719" s="1918"/>
      <c r="R719" s="177"/>
      <c r="S719" s="1916"/>
      <c r="T719" s="1917"/>
      <c r="U719" s="1917"/>
      <c r="V719" s="1918"/>
      <c r="W719" s="177"/>
      <c r="X719" s="1916"/>
      <c r="Y719" s="1917"/>
      <c r="Z719" s="1917"/>
      <c r="AA719" s="1918"/>
      <c r="AB719" s="177"/>
      <c r="AC719" s="1916"/>
      <c r="AD719" s="1917"/>
      <c r="AE719" s="1917"/>
      <c r="AF719" s="1918"/>
      <c r="AG719" s="177"/>
      <c r="AH719" s="1916"/>
      <c r="AI719" s="1917"/>
      <c r="AJ719" s="1917"/>
      <c r="AK719" s="1918"/>
      <c r="AL719" s="177"/>
    </row>
    <row r="720" spans="2:38" s="176" customFormat="1" x14ac:dyDescent="0.45">
      <c r="B720" s="1942"/>
      <c r="C720" s="1945"/>
      <c r="D720" s="1916"/>
      <c r="E720" s="1917"/>
      <c r="F720" s="1917"/>
      <c r="G720" s="1918"/>
      <c r="H720" s="177"/>
      <c r="I720" s="1916"/>
      <c r="J720" s="1917"/>
      <c r="K720" s="1917"/>
      <c r="L720" s="1918"/>
      <c r="M720" s="177"/>
      <c r="N720" s="1916"/>
      <c r="O720" s="1917"/>
      <c r="P720" s="1917"/>
      <c r="Q720" s="1918"/>
      <c r="R720" s="177"/>
      <c r="S720" s="1916"/>
      <c r="T720" s="1917"/>
      <c r="U720" s="1917"/>
      <c r="V720" s="1918"/>
      <c r="W720" s="177"/>
      <c r="X720" s="1916"/>
      <c r="Y720" s="1917"/>
      <c r="Z720" s="1917"/>
      <c r="AA720" s="1918"/>
      <c r="AB720" s="177"/>
      <c r="AC720" s="1916"/>
      <c r="AD720" s="1917"/>
      <c r="AE720" s="1917"/>
      <c r="AF720" s="1918"/>
      <c r="AG720" s="177"/>
      <c r="AH720" s="1916"/>
      <c r="AI720" s="1917"/>
      <c r="AJ720" s="1917"/>
      <c r="AK720" s="1918"/>
      <c r="AL720" s="177"/>
    </row>
    <row r="721" spans="2:38" s="176" customFormat="1" x14ac:dyDescent="0.45">
      <c r="B721" s="1942"/>
      <c r="C721" s="1945"/>
      <c r="D721" s="1916"/>
      <c r="E721" s="1917"/>
      <c r="F721" s="1917"/>
      <c r="G721" s="1918"/>
      <c r="H721" s="177"/>
      <c r="I721" s="1916"/>
      <c r="J721" s="1917"/>
      <c r="K721" s="1917"/>
      <c r="L721" s="1918"/>
      <c r="M721" s="177"/>
      <c r="N721" s="1916"/>
      <c r="O721" s="1917"/>
      <c r="P721" s="1917"/>
      <c r="Q721" s="1918"/>
      <c r="R721" s="177"/>
      <c r="S721" s="1916"/>
      <c r="T721" s="1917"/>
      <c r="U721" s="1917"/>
      <c r="V721" s="1918"/>
      <c r="W721" s="177"/>
      <c r="X721" s="1916"/>
      <c r="Y721" s="1917"/>
      <c r="Z721" s="1917"/>
      <c r="AA721" s="1918"/>
      <c r="AB721" s="177"/>
      <c r="AC721" s="1916"/>
      <c r="AD721" s="1917"/>
      <c r="AE721" s="1917"/>
      <c r="AF721" s="1918"/>
      <c r="AG721" s="177"/>
      <c r="AH721" s="1916"/>
      <c r="AI721" s="1917"/>
      <c r="AJ721" s="1917"/>
      <c r="AK721" s="1918"/>
      <c r="AL721" s="177"/>
    </row>
    <row r="722" spans="2:38" s="176" customFormat="1" ht="15" customHeight="1" x14ac:dyDescent="0.45">
      <c r="B722" s="1942"/>
      <c r="C722" s="1945"/>
      <c r="D722" s="1919"/>
      <c r="E722" s="1920"/>
      <c r="F722" s="1920"/>
      <c r="G722" s="1921"/>
      <c r="H722" s="177"/>
      <c r="I722" s="1919"/>
      <c r="J722" s="1920"/>
      <c r="K722" s="1920"/>
      <c r="L722" s="1921"/>
      <c r="M722" s="177"/>
      <c r="N722" s="1919"/>
      <c r="O722" s="1920"/>
      <c r="P722" s="1920"/>
      <c r="Q722" s="1921"/>
      <c r="R722" s="177"/>
      <c r="S722" s="1919"/>
      <c r="T722" s="1920"/>
      <c r="U722" s="1920"/>
      <c r="V722" s="1921"/>
      <c r="W722" s="177"/>
      <c r="X722" s="1919"/>
      <c r="Y722" s="1920"/>
      <c r="Z722" s="1920"/>
      <c r="AA722" s="1921"/>
      <c r="AB722" s="177"/>
      <c r="AC722" s="1919"/>
      <c r="AD722" s="1920"/>
      <c r="AE722" s="1920"/>
      <c r="AF722" s="1921"/>
      <c r="AG722" s="177"/>
      <c r="AH722" s="1919"/>
      <c r="AI722" s="1920"/>
      <c r="AJ722" s="1920"/>
      <c r="AK722" s="1921"/>
      <c r="AL722" s="177"/>
    </row>
    <row r="723" spans="2:38" s="176" customFormat="1" ht="15" customHeight="1" x14ac:dyDescent="0.45">
      <c r="B723" s="1942"/>
      <c r="C723" s="1945"/>
      <c r="D723" s="1913" t="str">
        <f ca="1">IF(G703&gt;0,CONCATENATE("Session Aim: 
", CONCATENATE(IF(INDEX(final_duration_secondary,((WEEKDAY(E$3,2)*2-1)+IF(E703="Morning",0,1)),D703)=0, "", "1. "),
INDEX(sessions_aim_primary,, INDEX(plan_session_allocation,((WEEKDAY(E$3,2)*2-1)+IF(E703="Morning",0,1)),D703)), IF(INDEX(final_duration_secondary,((WEEKDAY(E$3,2)*2-1)+IF(E703="Morning",0,1)),D703)=0, "", "
2. "),
IF(INDEX(final_duration_secondary,((WEEKDAY(E$3,2)*2-1)+IF(E703="Morning",0,1)),D703)=0, "", INDEX(sessions_aim_secondary,, INDEX(plan_session_allocation,((WEEKDAY(E$3,2)*2-1)+IF(E703="Morning",0,1)),D703))), IF(INDEX(final_duration_tertiary,((WEEKDAY(E$3,2)*2-1)+IF(E703="Morning",0,1)),D703)=0, "", "
3. "),
IF(INDEX(final_duration_tertiary,((WEEKDAY(E$3,2)*2-1)+IF(E703="Morning",0,1)),D703)=0, "", INDEX(sessions_aim_tertiary,, INDEX(plan_session_allocation,((WEEKDAY(E$3,2)*2-1)+IF(E703="Morning",0,1)),D703))),
IF(INDEX(display_nutrition_description,((WEEKDAY(E$3,2)*2-1)+IF(E703="Morning",0,1)),D703)="","",
CONCATENATE("
Nutrition Aim:
", INDEX(sessions_aim_nutrition,,INDEX(plan_session_allocation,((WEEKDAY(E$3,2)*2-1)+IF(E703="Morning",0,1)),D703))
))
)),"")</f>
        <v xml:space="preserve">Session Aim: 
1. Increase strength of specific muscle groups, running economy and injury resistance. 
2. Release tension that develops in soft tissue from training and non-training stresses. </v>
      </c>
      <c r="E723" s="1914"/>
      <c r="F723" s="1914"/>
      <c r="G723" s="1915"/>
      <c r="H723" s="177"/>
      <c r="I723" s="1913" t="str">
        <f ca="1">IF(L703&gt;0,CONCATENATE("Session Aim: 
", CONCATENATE(IF(INDEX(final_duration_secondary,((WEEKDAY(J$3,2)*2-1)+IF(J703="Morning",0,1)),I703)=0, "", "1. "),
INDEX(sessions_aim_primary,, INDEX(plan_session_allocation,((WEEKDAY(J$3,2)*2-1)+IF(J703="Morning",0,1)),I703)), IF(INDEX(final_duration_secondary,((WEEKDAY(J$3,2)*2-1)+IF(J703="Morning",0,1)),I703)=0, "", "
2. "),
IF(INDEX(final_duration_secondary,((WEEKDAY(J$3,2)*2-1)+IF(J703="Morning",0,1)),I703)=0, "", INDEX(sessions_aim_secondary,, INDEX(plan_session_allocation,((WEEKDAY(J$3,2)*2-1)+IF(J703="Morning",0,1)),I703))), IF(INDEX(final_duration_tertiary,((WEEKDAY(J$3,2)*2-1)+IF(J703="Morning",0,1)),I703)=0, "", "
3. "),
IF(INDEX(final_duration_tertiary,((WEEKDAY(J$3,2)*2-1)+IF(J703="Morning",0,1)),I703)=0, "", INDEX(sessions_aim_tertiary,, INDEX(plan_session_allocation,((WEEKDAY(J$3,2)*2-1)+IF(J703="Morning",0,1)),I703))),
IF(INDEX(display_nutrition_description,((WEEKDAY(J$3,2)*2-1)+IF(J703="Morning",0,1)),I703)="","",
CONCATENATE("
Nutrition Aim:
", INDEX(sessions_aim_nutrition,,INDEX(plan_session_allocation,((WEEKDAY(J$3,2)*2-1)+IF(J703="Morning",0,1)),I703))
))
)),"")</f>
        <v xml:space="preserve">Session Aim: 
Improve endurance by increasing lactate threshold and developing mental toughness. </v>
      </c>
      <c r="J723" s="1914"/>
      <c r="K723" s="1914"/>
      <c r="L723" s="1915"/>
      <c r="M723" s="177"/>
      <c r="N723" s="1913" t="str">
        <f ca="1">IF(Q703&gt;0,CONCATENATE("Session Aim: 
", CONCATENATE(IF(INDEX(final_duration_secondary,((WEEKDAY(O$3,2)*2-1)+IF(O703="Morning",0,1)),N703)=0, "", "1. "),
INDEX(sessions_aim_primary,, INDEX(plan_session_allocation,((WEEKDAY(O$3,2)*2-1)+IF(O703="Morning",0,1)),N703)), IF(INDEX(final_duration_secondary,((WEEKDAY(O$3,2)*2-1)+IF(O703="Morning",0,1)),N703)=0, "", "
2. "),
IF(INDEX(final_duration_secondary,((WEEKDAY(O$3,2)*2-1)+IF(O703="Morning",0,1)),N703)=0, "", INDEX(sessions_aim_secondary,, INDEX(plan_session_allocation,((WEEKDAY(O$3,2)*2-1)+IF(O703="Morning",0,1)),N703))), IF(INDEX(final_duration_tertiary,((WEEKDAY(O$3,2)*2-1)+IF(O703="Morning",0,1)),N703)=0, "", "
3. "),
IF(INDEX(final_duration_tertiary,((WEEKDAY(O$3,2)*2-1)+IF(O703="Morning",0,1)),N703)=0, "", INDEX(sessions_aim_tertiary,, INDEX(plan_session_allocation,((WEEKDAY(O$3,2)*2-1)+IF(O703="Morning",0,1)),N703))),
IF(INDEX(display_nutrition_description,((WEEKDAY(O$3,2)*2-1)+IF(O703="Morning",0,1)),N703)="","",
CONCATENATE("
Nutrition Aim:
", INDEX(sessions_aim_nutrition,,INDEX(plan_session_allocation,((WEEKDAY(O$3,2)*2-1)+IF(O703="Morning",0,1)),N703))
))
)),"")</f>
        <v xml:space="preserve">Session Aim: 
Improve aerobic fitness while minimising the chance of injury. </v>
      </c>
      <c r="O723" s="1914"/>
      <c r="P723" s="1914"/>
      <c r="Q723" s="1915"/>
      <c r="R723" s="177"/>
      <c r="S723" s="1913" t="str">
        <f ca="1">IF(V703&gt;0,CONCATENATE("Session Aim: 
", CONCATENATE(IF(INDEX(final_duration_secondary,((WEEKDAY(T$3,2)*2-1)+IF(T703="Morning",0,1)),S703)=0, "", "1. "),
INDEX(sessions_aim_primary,, INDEX(plan_session_allocation,((WEEKDAY(T$3,2)*2-1)+IF(T703="Morning",0,1)),S703)), IF(INDEX(final_duration_secondary,((WEEKDAY(T$3,2)*2-1)+IF(T703="Morning",0,1)),S703)=0, "", "
2. "),
IF(INDEX(final_duration_secondary,((WEEKDAY(T$3,2)*2-1)+IF(T703="Morning",0,1)),S703)=0, "", INDEX(sessions_aim_secondary,, INDEX(plan_session_allocation,((WEEKDAY(T$3,2)*2-1)+IF(T703="Morning",0,1)),S703))), IF(INDEX(final_duration_tertiary,((WEEKDAY(T$3,2)*2-1)+IF(T703="Morning",0,1)),S703)=0, "", "
3. "),
IF(INDEX(final_duration_tertiary,((WEEKDAY(T$3,2)*2-1)+IF(T703="Morning",0,1)),S703)=0, "", INDEX(sessions_aim_tertiary,, INDEX(plan_session_allocation,((WEEKDAY(T$3,2)*2-1)+IF(T703="Morning",0,1)),S703))),
IF(INDEX(display_nutrition_description,((WEEKDAY(T$3,2)*2-1)+IF(T703="Morning",0,1)),S703)="","",
CONCATENATE("
Nutrition Aim:
", INDEX(sessions_aim_nutrition,,INDEX(plan_session_allocation,((WEEKDAY(T$3,2)*2-1)+IF(T703="Morning",0,1)),S703))
))
)),"")</f>
        <v xml:space="preserve">Session Aim: 
Improve VO2 max and develop metal toughness. </v>
      </c>
      <c r="T723" s="1914"/>
      <c r="U723" s="1914"/>
      <c r="V723" s="1915"/>
      <c r="W723" s="177"/>
      <c r="X723" s="1913" t="str">
        <f ca="1">IF(AA703&gt;0,CONCATENATE("Session Aim: 
", CONCATENATE(IF(INDEX(final_duration_secondary,((WEEKDAY(Y$3,2)*2-1)+IF(Y703="Morning",0,1)),X703)=0, "", "1. "),
INDEX(sessions_aim_primary,, INDEX(plan_session_allocation,((WEEKDAY(Y$3,2)*2-1)+IF(Y703="Morning",0,1)),X703)), IF(INDEX(final_duration_secondary,((WEEKDAY(Y$3,2)*2-1)+IF(Y703="Morning",0,1)),X703)=0, "", "
2. "),
IF(INDEX(final_duration_secondary,((WEEKDAY(Y$3,2)*2-1)+IF(Y703="Morning",0,1)),X703)=0, "", INDEX(sessions_aim_secondary,, INDEX(plan_session_allocation,((WEEKDAY(Y$3,2)*2-1)+IF(Y703="Morning",0,1)),X703))), IF(INDEX(final_duration_tertiary,((WEEKDAY(Y$3,2)*2-1)+IF(Y703="Morning",0,1)),X703)=0, "", "
3. "),
IF(INDEX(final_duration_tertiary,((WEEKDAY(Y$3,2)*2-1)+IF(Y703="Morning",0,1)),X703)=0, "", INDEX(sessions_aim_tertiary,, INDEX(plan_session_allocation,((WEEKDAY(Y$3,2)*2-1)+IF(Y703="Morning",0,1)),X703))),
IF(INDEX(display_nutrition_description,((WEEKDAY(Y$3,2)*2-1)+IF(Y703="Morning",0,1)),X703)="","",
CONCATENATE("
Nutrition Aim:
", INDEX(sessions_aim_nutrition,,INDEX(plan_session_allocation,((WEEKDAY(Y$3,2)*2-1)+IF(Y703="Morning",0,1)),X703))
))
)),"")</f>
        <v xml:space="preserve">Session Aim: 
1. Increase strength of specific muscle groups, running economy and injury resistance. 
2. Release tension that develops in soft tissue from training and non-training stresses. </v>
      </c>
      <c r="Y723" s="1914"/>
      <c r="Z723" s="1914"/>
      <c r="AA723" s="1915"/>
      <c r="AB723" s="177"/>
      <c r="AC723" s="1913" t="str">
        <f ca="1">IF(AF703&gt;0,CONCATENATE("Session Aim: 
", CONCATENATE(IF(INDEX(final_duration_secondary,((WEEKDAY(AD$3,2)*2-1)+IF(AD703="Morning",0,1)),AC703)=0, "", "1. "),
INDEX(sessions_aim_primary,, INDEX(plan_session_allocation,((WEEKDAY(AD$3,2)*2-1)+IF(AD703="Morning",0,1)),AC703)), IF(INDEX(final_duration_secondary,((WEEKDAY(AD$3,2)*2-1)+IF(AD703="Morning",0,1)),AC703)=0, "", "
2. "),
IF(INDEX(final_duration_secondary,((WEEKDAY(AD$3,2)*2-1)+IF(AD703="Morning",0,1)),AC703)=0, "", INDEX(sessions_aim_secondary,, INDEX(plan_session_allocation,((WEEKDAY(AD$3,2)*2-1)+IF(AD703="Morning",0,1)),AC703))), IF(INDEX(final_duration_tertiary,((WEEKDAY(AD$3,2)*2-1)+IF(AD703="Morning",0,1)),AC703)=0, "", "
3. "),
IF(INDEX(final_duration_tertiary,((WEEKDAY(AD$3,2)*2-1)+IF(AD703="Morning",0,1)),AC703)=0, "", INDEX(sessions_aim_tertiary,, INDEX(plan_session_allocation,((WEEKDAY(AD$3,2)*2-1)+IF(AD703="Morning",0,1)),AC703))),
IF(INDEX(display_nutrition_description,((WEEKDAY(AD$3,2)*2-1)+IF(AD703="Morning",0,1)),AC703)="","",
CONCATENATE("
Nutrition Aim:
", INDEX(sessions_aim_nutrition,,INDEX(plan_session_allocation,((WEEKDAY(AD$3,2)*2-1)+IF(AD703="Morning",0,1)),AC703))
))
)),"")</f>
        <v xml:space="preserve">Session Aim: 
Improve aerobic fitness while minimising the chance of injury. </v>
      </c>
      <c r="AD723" s="1914"/>
      <c r="AE723" s="1914"/>
      <c r="AF723" s="1915"/>
      <c r="AG723" s="177"/>
      <c r="AH723" s="1913" t="str">
        <f ca="1">IF(AK703&gt;0,CONCATENATE("Session Aim: 
", CONCATENATE(IF(INDEX(final_duration_secondary,((WEEKDAY(AI$3,2)*2-1)+IF(AI703="Morning",0,1)),AH703)=0, "", "1. "),
INDEX(sessions_aim_primary,, INDEX(plan_session_allocation,((WEEKDAY(AI$3,2)*2-1)+IF(AI703="Morning",0,1)),AH703)), IF(INDEX(final_duration_secondary,((WEEKDAY(AI$3,2)*2-1)+IF(AI703="Morning",0,1)),AH703)=0, "", "
2. "),
IF(INDEX(final_duration_secondary,((WEEKDAY(AI$3,2)*2-1)+IF(AI703="Morning",0,1)),AH703)=0, "", INDEX(sessions_aim_secondary,, INDEX(plan_session_allocation,((WEEKDAY(AI$3,2)*2-1)+IF(AI703="Morning",0,1)),AH703))), IF(INDEX(final_duration_tertiary,((WEEKDAY(AI$3,2)*2-1)+IF(AI703="Morning",0,1)),AH703)=0, "", "
3. "),
IF(INDEX(final_duration_tertiary,((WEEKDAY(AI$3,2)*2-1)+IF(AI703="Morning",0,1)),AH703)=0, "", INDEX(sessions_aim_tertiary,, INDEX(plan_session_allocation,((WEEKDAY(AI$3,2)*2-1)+IF(AI703="Morning",0,1)),AH703))),
IF(INDEX(display_nutrition_description,((WEEKDAY(AI$3,2)*2-1)+IF(AI703="Morning",0,1)),AH703)="","",
CONCATENATE("
Nutrition Aim:
", INDEX(sessions_aim_nutrition,,INDEX(plan_session_allocation,((WEEKDAY(AI$3,2)*2-1)+IF(AI703="Morning",0,1)),AH703))
))
)),"")</f>
        <v/>
      </c>
      <c r="AI723" s="1914"/>
      <c r="AJ723" s="1914"/>
      <c r="AK723" s="1915"/>
      <c r="AL723" s="177"/>
    </row>
    <row r="724" spans="2:38" s="176" customFormat="1" x14ac:dyDescent="0.45">
      <c r="B724" s="1942"/>
      <c r="C724" s="1945"/>
      <c r="D724" s="1916"/>
      <c r="E724" s="1917"/>
      <c r="F724" s="1917"/>
      <c r="G724" s="1918"/>
      <c r="H724" s="177"/>
      <c r="I724" s="1916"/>
      <c r="J724" s="1917"/>
      <c r="K724" s="1917"/>
      <c r="L724" s="1918"/>
      <c r="M724" s="177"/>
      <c r="N724" s="1916"/>
      <c r="O724" s="1917"/>
      <c r="P724" s="1917"/>
      <c r="Q724" s="1918"/>
      <c r="R724" s="177"/>
      <c r="S724" s="1916"/>
      <c r="T724" s="1917"/>
      <c r="U724" s="1917"/>
      <c r="V724" s="1918"/>
      <c r="W724" s="177"/>
      <c r="X724" s="1916"/>
      <c r="Y724" s="1917"/>
      <c r="Z724" s="1917"/>
      <c r="AA724" s="1918"/>
      <c r="AB724" s="177"/>
      <c r="AC724" s="1916"/>
      <c r="AD724" s="1917"/>
      <c r="AE724" s="1917"/>
      <c r="AF724" s="1918"/>
      <c r="AG724" s="177"/>
      <c r="AH724" s="1916"/>
      <c r="AI724" s="1917"/>
      <c r="AJ724" s="1917"/>
      <c r="AK724" s="1918"/>
      <c r="AL724" s="177"/>
    </row>
    <row r="725" spans="2:38" s="176" customFormat="1" x14ac:dyDescent="0.45">
      <c r="B725" s="1942"/>
      <c r="C725" s="1945"/>
      <c r="D725" s="1916"/>
      <c r="E725" s="1917"/>
      <c r="F725" s="1917"/>
      <c r="G725" s="1918"/>
      <c r="H725" s="177"/>
      <c r="I725" s="1916"/>
      <c r="J725" s="1917"/>
      <c r="K725" s="1917"/>
      <c r="L725" s="1918"/>
      <c r="M725" s="177"/>
      <c r="N725" s="1916"/>
      <c r="O725" s="1917"/>
      <c r="P725" s="1917"/>
      <c r="Q725" s="1918"/>
      <c r="R725" s="177"/>
      <c r="S725" s="1916"/>
      <c r="T725" s="1917"/>
      <c r="U725" s="1917"/>
      <c r="V725" s="1918"/>
      <c r="W725" s="177"/>
      <c r="X725" s="1916"/>
      <c r="Y725" s="1917"/>
      <c r="Z725" s="1917"/>
      <c r="AA725" s="1918"/>
      <c r="AB725" s="177"/>
      <c r="AC725" s="1916"/>
      <c r="AD725" s="1917"/>
      <c r="AE725" s="1917"/>
      <c r="AF725" s="1918"/>
      <c r="AG725" s="177"/>
      <c r="AH725" s="1916"/>
      <c r="AI725" s="1917"/>
      <c r="AJ725" s="1917"/>
      <c r="AK725" s="1918"/>
      <c r="AL725" s="177"/>
    </row>
    <row r="726" spans="2:38" s="176" customFormat="1" x14ac:dyDescent="0.45">
      <c r="B726" s="1942"/>
      <c r="C726" s="1945"/>
      <c r="D726" s="1916"/>
      <c r="E726" s="1917"/>
      <c r="F726" s="1917"/>
      <c r="G726" s="1918"/>
      <c r="H726" s="177"/>
      <c r="I726" s="1916"/>
      <c r="J726" s="1917"/>
      <c r="K726" s="1917"/>
      <c r="L726" s="1918"/>
      <c r="M726" s="177"/>
      <c r="N726" s="1916"/>
      <c r="O726" s="1917"/>
      <c r="P726" s="1917"/>
      <c r="Q726" s="1918"/>
      <c r="R726" s="177"/>
      <c r="S726" s="1916"/>
      <c r="T726" s="1917"/>
      <c r="U726" s="1917"/>
      <c r="V726" s="1918"/>
      <c r="W726" s="177"/>
      <c r="X726" s="1916"/>
      <c r="Y726" s="1917"/>
      <c r="Z726" s="1917"/>
      <c r="AA726" s="1918"/>
      <c r="AB726" s="177"/>
      <c r="AC726" s="1916"/>
      <c r="AD726" s="1917"/>
      <c r="AE726" s="1917"/>
      <c r="AF726" s="1918"/>
      <c r="AG726" s="177"/>
      <c r="AH726" s="1916"/>
      <c r="AI726" s="1917"/>
      <c r="AJ726" s="1917"/>
      <c r="AK726" s="1918"/>
      <c r="AL726" s="177"/>
    </row>
    <row r="727" spans="2:38" s="176" customFormat="1" x14ac:dyDescent="0.45">
      <c r="B727" s="1942"/>
      <c r="C727" s="1945"/>
      <c r="D727" s="1916"/>
      <c r="E727" s="1917"/>
      <c r="F727" s="1917"/>
      <c r="G727" s="1918"/>
      <c r="H727" s="177"/>
      <c r="I727" s="1916"/>
      <c r="J727" s="1917"/>
      <c r="K727" s="1917"/>
      <c r="L727" s="1918"/>
      <c r="M727" s="177"/>
      <c r="N727" s="1916"/>
      <c r="O727" s="1917"/>
      <c r="P727" s="1917"/>
      <c r="Q727" s="1918"/>
      <c r="R727" s="177"/>
      <c r="S727" s="1916"/>
      <c r="T727" s="1917"/>
      <c r="U727" s="1917"/>
      <c r="V727" s="1918"/>
      <c r="W727" s="177"/>
      <c r="X727" s="1916"/>
      <c r="Y727" s="1917"/>
      <c r="Z727" s="1917"/>
      <c r="AA727" s="1918"/>
      <c r="AB727" s="177"/>
      <c r="AC727" s="1916"/>
      <c r="AD727" s="1917"/>
      <c r="AE727" s="1917"/>
      <c r="AF727" s="1918"/>
      <c r="AG727" s="177"/>
      <c r="AH727" s="1916"/>
      <c r="AI727" s="1917"/>
      <c r="AJ727" s="1917"/>
      <c r="AK727" s="1918"/>
      <c r="AL727" s="177"/>
    </row>
    <row r="728" spans="2:38" s="176" customFormat="1" x14ac:dyDescent="0.45">
      <c r="B728" s="1942"/>
      <c r="C728" s="1945"/>
      <c r="D728" s="1916"/>
      <c r="E728" s="1917"/>
      <c r="F728" s="1917"/>
      <c r="G728" s="1918"/>
      <c r="H728" s="177"/>
      <c r="I728" s="1916"/>
      <c r="J728" s="1917"/>
      <c r="K728" s="1917"/>
      <c r="L728" s="1918"/>
      <c r="N728" s="1916"/>
      <c r="O728" s="1917"/>
      <c r="P728" s="1917"/>
      <c r="Q728" s="1918"/>
      <c r="S728" s="1916"/>
      <c r="T728" s="1917"/>
      <c r="U728" s="1917"/>
      <c r="V728" s="1918"/>
      <c r="X728" s="1916"/>
      <c r="Y728" s="1917"/>
      <c r="Z728" s="1917"/>
      <c r="AA728" s="1918"/>
      <c r="AC728" s="1916"/>
      <c r="AD728" s="1917"/>
      <c r="AE728" s="1917"/>
      <c r="AF728" s="1918"/>
      <c r="AH728" s="1916"/>
      <c r="AI728" s="1917"/>
      <c r="AJ728" s="1917"/>
      <c r="AK728" s="1918"/>
    </row>
    <row r="729" spans="2:38" s="176" customFormat="1" ht="14.65" thickBot="1" x14ac:dyDescent="0.5">
      <c r="B729" s="1943"/>
      <c r="C729" s="1946"/>
      <c r="D729" s="1938"/>
      <c r="E729" s="1939"/>
      <c r="F729" s="1939"/>
      <c r="G729" s="1940"/>
      <c r="H729" s="177"/>
      <c r="I729" s="1938"/>
      <c r="J729" s="1939"/>
      <c r="K729" s="1939"/>
      <c r="L729" s="1940"/>
      <c r="N729" s="1938"/>
      <c r="O729" s="1939"/>
      <c r="P729" s="1939"/>
      <c r="Q729" s="1940"/>
      <c r="S729" s="1938"/>
      <c r="T729" s="1939"/>
      <c r="U729" s="1939"/>
      <c r="V729" s="1940"/>
      <c r="X729" s="1938"/>
      <c r="Y729" s="1939"/>
      <c r="Z729" s="1939"/>
      <c r="AA729" s="1940"/>
      <c r="AC729" s="1938"/>
      <c r="AD729" s="1939"/>
      <c r="AE729" s="1939"/>
      <c r="AF729" s="1940"/>
      <c r="AH729" s="1938"/>
      <c r="AI729" s="1939"/>
      <c r="AJ729" s="1939"/>
      <c r="AK729" s="1940"/>
    </row>
    <row r="730" spans="2:38" s="176" customFormat="1" ht="14.65" thickBot="1" x14ac:dyDescent="0.5">
      <c r="H730" s="177"/>
    </row>
    <row r="731" spans="2:38" s="176" customFormat="1" ht="15" customHeight="1" thickBot="1" x14ac:dyDescent="0.5">
      <c r="B731" s="1941">
        <v>14</v>
      </c>
      <c r="C731" s="1944" t="str">
        <f ca="1">IF(INDEX(display_strategy,1,B731)="","", CONCATENATE(INDEX(display_strategy,1,B731),": ",HLOOKUP(INDEX(display_strategy,1,B731),strategies,4,TRUE)))</f>
        <v>Overload: A maximal week, should be fascilitated by maximal recovery and nutrition.</v>
      </c>
      <c r="D731" s="1418" t="str">
        <f ca="1">CONCATENATE("Strategy: ",INDEX(display_strategy,$B731))</f>
        <v>Strategy: Overload</v>
      </c>
      <c r="E731" s="1947">
        <f>plan_start_date + ($B731-1)*7 + (COLUMN(D$2)-2)/5</f>
        <v>43465.4</v>
      </c>
      <c r="F731" s="1947"/>
      <c r="G731" s="1417" t="str">
        <f>CONCATENATE("Slot: ", ((WEEKDAY(E$3,2)*2-1)+IF(E732="Morning",0,1)))</f>
        <v>Slot: 1</v>
      </c>
      <c r="H731" s="177"/>
      <c r="I731" s="1418" t="str">
        <f ca="1">CONCATENATE("Strategy: ",INDEX(display_strategy,$B731))</f>
        <v>Strategy: Overload</v>
      </c>
      <c r="J731" s="1947">
        <f>plan_start_date + ($B731-1)*7 + (COLUMN(I$2)-2)/5</f>
        <v>43466.400000000001</v>
      </c>
      <c r="K731" s="1947"/>
      <c r="L731" s="1417" t="str">
        <f>CONCATENATE("Slot: ", ((WEEKDAY(J$3,2)*2-1)+IF(J732="Morning",0,1)))</f>
        <v>Slot: 3</v>
      </c>
      <c r="N731" s="1418" t="str">
        <f ca="1">CONCATENATE("Strategy: ",INDEX(display_strategy,$B731))</f>
        <v>Strategy: Overload</v>
      </c>
      <c r="O731" s="1947">
        <f>plan_start_date + ($B731-1)*7 + (COLUMN(N$2)-2)/5</f>
        <v>43467.4</v>
      </c>
      <c r="P731" s="1947"/>
      <c r="Q731" s="1417" t="str">
        <f>CONCATENATE("Slot: ", ((WEEKDAY(O$3,2)*2-1)+IF(O732="Morning",0,1)))</f>
        <v>Slot: 5</v>
      </c>
      <c r="S731" s="1418" t="str">
        <f ca="1">CONCATENATE("Strategy: ",INDEX(display_strategy,$B731))</f>
        <v>Strategy: Overload</v>
      </c>
      <c r="T731" s="1947">
        <f>plan_start_date + ($B731-1)*7 + (COLUMN(S$2)-2)/5</f>
        <v>43468.4</v>
      </c>
      <c r="U731" s="1947"/>
      <c r="V731" s="1417" t="str">
        <f>CONCATENATE("Slot: ", ((WEEKDAY(T$3,2)*2-1)+IF(T732="Morning",0,1)))</f>
        <v>Slot: 7</v>
      </c>
      <c r="X731" s="1418" t="str">
        <f ca="1">CONCATENATE("Strategy: ",INDEX(display_strategy,$B731))</f>
        <v>Strategy: Overload</v>
      </c>
      <c r="Y731" s="1947">
        <f>plan_start_date + ($B731-1)*7 + (COLUMN(X$2)-2)/5</f>
        <v>43469.4</v>
      </c>
      <c r="Z731" s="1947"/>
      <c r="AA731" s="1417" t="str">
        <f>CONCATENATE("Slot: ", ((WEEKDAY(Y$3,2)*2-1)+IF(Y732="Morning",0,1)))</f>
        <v>Slot: 9</v>
      </c>
      <c r="AC731" s="1418" t="str">
        <f ca="1">CONCATENATE("Strategy: ",INDEX(display_strategy,$B731))</f>
        <v>Strategy: Overload</v>
      </c>
      <c r="AD731" s="1947">
        <f>plan_start_date + ($B731-1)*7 + (COLUMN(AC$2)-2)/5</f>
        <v>43470.400000000001</v>
      </c>
      <c r="AE731" s="1947"/>
      <c r="AF731" s="1417" t="str">
        <f>CONCATENATE("Slot: ", ((WEEKDAY(AD$3,2)*2-1)+IF(AD732="Morning",0,1)))</f>
        <v>Slot: 11</v>
      </c>
      <c r="AH731" s="1418" t="str">
        <f ca="1">CONCATENATE("Strategy: ",INDEX(display_strategy,$B731))</f>
        <v>Strategy: Overload</v>
      </c>
      <c r="AI731" s="1947">
        <f>plan_start_date + ($B731-1)*7 + (COLUMN(AH$2)-2)/5</f>
        <v>43471.4</v>
      </c>
      <c r="AJ731" s="1947"/>
      <c r="AK731" s="1417" t="str">
        <f>CONCATENATE("Slot: ", ((WEEKDAY(AI$3,2)*2-1)+IF(AI732="Morning",0,1)))</f>
        <v>Slot: 13</v>
      </c>
    </row>
    <row r="732" spans="2:38" s="176" customFormat="1" x14ac:dyDescent="0.45">
      <c r="B732" s="1942"/>
      <c r="C732" s="1945"/>
      <c r="D732" s="1413">
        <f>$B731</f>
        <v>14</v>
      </c>
      <c r="E732" s="1930" t="s">
        <v>351</v>
      </c>
      <c r="F732" s="1930"/>
      <c r="G732" s="1412">
        <f ca="1">INDEX(final_duration_session, ((WEEKDAY(E$3,2)*2-1)+IF(E732="Morning",0,1)), $D732)</f>
        <v>40</v>
      </c>
      <c r="H732" s="177"/>
      <c r="I732" s="1413">
        <f>$B731</f>
        <v>14</v>
      </c>
      <c r="J732" s="1930" t="s">
        <v>351</v>
      </c>
      <c r="K732" s="1930"/>
      <c r="L732" s="1412">
        <f ca="1">INDEX(final_duration_session, ((WEEKDAY(J$3,2)*2-1)+IF(J732="Morning",0,1)), $D732)</f>
        <v>40</v>
      </c>
      <c r="M732" s="177"/>
      <c r="N732" s="1413">
        <f>$B731</f>
        <v>14</v>
      </c>
      <c r="O732" s="1930" t="s">
        <v>351</v>
      </c>
      <c r="P732" s="1930"/>
      <c r="Q732" s="1412">
        <f ca="1">INDEX(final_duration_session, ((WEEKDAY(O$3,2)*2-1)+IF(O732="Morning",0,1)), $D732)</f>
        <v>0</v>
      </c>
      <c r="R732" s="177"/>
      <c r="S732" s="1413">
        <f>$B731</f>
        <v>14</v>
      </c>
      <c r="T732" s="1930" t="s">
        <v>351</v>
      </c>
      <c r="U732" s="1930"/>
      <c r="V732" s="1412">
        <f ca="1">INDEX(final_duration_session, ((WEEKDAY(T$3,2)*2-1)+IF(T732="Morning",0,1)), $D732)</f>
        <v>40</v>
      </c>
      <c r="W732" s="177"/>
      <c r="X732" s="1413">
        <f>$B731</f>
        <v>14</v>
      </c>
      <c r="Y732" s="1930" t="s">
        <v>351</v>
      </c>
      <c r="Z732" s="1930"/>
      <c r="AA732" s="1412">
        <f ca="1">INDEX(final_duration_session, ((WEEKDAY(Y$3,2)*2-1)+IF(Y732="Morning",0,1)), $D732)</f>
        <v>40</v>
      </c>
      <c r="AB732" s="177"/>
      <c r="AC732" s="1413">
        <f>$B731</f>
        <v>14</v>
      </c>
      <c r="AD732" s="1930" t="s">
        <v>351</v>
      </c>
      <c r="AE732" s="1930"/>
      <c r="AF732" s="1412">
        <f ca="1">INDEX(final_duration_session, ((WEEKDAY(AD$3,2)*2-1)+IF(AD732="Morning",0,1)), $D732)</f>
        <v>95</v>
      </c>
      <c r="AG732" s="177"/>
      <c r="AH732" s="1413">
        <f>$B731</f>
        <v>14</v>
      </c>
      <c r="AI732" s="1930" t="s">
        <v>351</v>
      </c>
      <c r="AJ732" s="1930"/>
      <c r="AK732" s="1412">
        <f ca="1">INDEX(final_duration_session, ((WEEKDAY(AI$3,2)*2-1)+IF(AI732="Morning",0,1)), $D732)</f>
        <v>160</v>
      </c>
      <c r="AL732" s="177"/>
    </row>
    <row r="733" spans="2:38" s="176" customFormat="1" ht="15" customHeight="1" x14ac:dyDescent="0.45">
      <c r="B733" s="1942"/>
      <c r="C733" s="1945"/>
      <c r="D733" s="1931" t="str">
        <f ca="1">IF(G732&gt;0,INDEX(sessions_name,INDEX(plan_session_allocation,((WEEKDAY(E$3,2)*2-1)+IF(E732="Morning",0,1)),D732)),"")</f>
        <v>Easy</v>
      </c>
      <c r="E733" s="1932"/>
      <c r="F733" s="1932"/>
      <c r="G733" s="1933"/>
      <c r="H733" s="177"/>
      <c r="I733" s="1931" t="str">
        <f ca="1">IF(L732&gt;0,INDEX(sessions_name,INDEX(plan_session_allocation,((WEEKDAY(J$3,2)*2-1)+IF(J732="Morning",0,1)),I732)),"")</f>
        <v>Easy</v>
      </c>
      <c r="J733" s="1932"/>
      <c r="K733" s="1932"/>
      <c r="L733" s="1933"/>
      <c r="M733" s="177"/>
      <c r="N733" s="1931" t="str">
        <f ca="1">IF(Q732&gt;0,INDEX(sessions_name,INDEX(plan_session_allocation,((WEEKDAY(O$3,2)*2-1)+IF(O732="Morning",0,1)),N732)),"")</f>
        <v/>
      </c>
      <c r="O733" s="1932"/>
      <c r="P733" s="1932"/>
      <c r="Q733" s="1933"/>
      <c r="R733" s="177"/>
      <c r="S733" s="1931" t="str">
        <f ca="1">IF(V732&gt;0,INDEX(sessions_name,INDEX(plan_session_allocation,((WEEKDAY(T$3,2)*2-1)+IF(T732="Morning",0,1)),S732)),"")</f>
        <v>Easy</v>
      </c>
      <c r="T733" s="1932"/>
      <c r="U733" s="1932"/>
      <c r="V733" s="1933"/>
      <c r="W733" s="177"/>
      <c r="X733" s="1931" t="str">
        <f ca="1">IF(AA732&gt;0,INDEX(sessions_name,INDEX(plan_session_allocation,((WEEKDAY(Y$3,2)*2-1)+IF(Y732="Morning",0,1)),X732)),"")</f>
        <v>Easy</v>
      </c>
      <c r="Y733" s="1932"/>
      <c r="Z733" s="1932"/>
      <c r="AA733" s="1933"/>
      <c r="AB733" s="177"/>
      <c r="AC733" s="1931" t="str">
        <f ca="1">IF(AF732&gt;0,INDEX(sessions_name,INDEX(plan_session_allocation,((WEEKDAY(AD$3,2)*2-1)+IF(AD732="Morning",0,1)),AC732)),"")</f>
        <v>Steady</v>
      </c>
      <c r="AD733" s="1932"/>
      <c r="AE733" s="1932"/>
      <c r="AF733" s="1933"/>
      <c r="AG733" s="177"/>
      <c r="AH733" s="1931" t="str">
        <f ca="1">IF(AK732&gt;0,INDEX(sessions_name,INDEX(plan_session_allocation,((WEEKDAY(AI$3,2)*2-1)+IF(AI732="Morning",0,1)),AH732)),"")</f>
        <v>Long</v>
      </c>
      <c r="AI733" s="1932"/>
      <c r="AJ733" s="1932"/>
      <c r="AK733" s="1933"/>
      <c r="AL733" s="177"/>
    </row>
    <row r="734" spans="2:38" s="176" customFormat="1" ht="15" customHeight="1" x14ac:dyDescent="0.45">
      <c r="B734" s="1942"/>
      <c r="C734" s="1945"/>
      <c r="D734" s="1934" t="str">
        <f ca="1">IF(G732&gt;0,CONCATENATE("Sport: ",INDEX(sessions_sport_primary,INDEX(plan_session_allocation,(WEEKDAY(E$3,2)*2-1)+IF(E732="Morning",0,1),D732))),"")</f>
        <v>Sport: Ride</v>
      </c>
      <c r="E734" s="1935"/>
      <c r="F734" s="1936">
        <f ca="1">IF(G732&gt;0,IFERROR(F735+F736+F737,""),"")</f>
        <v>40</v>
      </c>
      <c r="G734" s="1937"/>
      <c r="H734" s="177"/>
      <c r="I734" s="1934" t="str">
        <f ca="1">IF(L732&gt;0,CONCATENATE("Sport: ",INDEX(sessions_sport_primary,INDEX(plan_session_allocation,(WEEKDAY(J$3,2)*2-1)+IF(J732="Morning",0,1),I732))),"")</f>
        <v>Sport: Ride</v>
      </c>
      <c r="J734" s="1935"/>
      <c r="K734" s="1936">
        <f ca="1">IF(L732&gt;0,IFERROR(K735+K736+K737,""),"")</f>
        <v>40</v>
      </c>
      <c r="L734" s="1937"/>
      <c r="M734" s="177"/>
      <c r="N734" s="1934" t="str">
        <f ca="1">IF(Q732&gt;0,CONCATENATE("Sport: ",INDEX(sessions_sport_primary,INDEX(plan_session_allocation,(WEEKDAY(O$3,2)*2-1)+IF(O732="Morning",0,1),N732))),"")</f>
        <v/>
      </c>
      <c r="O734" s="1935"/>
      <c r="P734" s="1936" t="str">
        <f ca="1">IF(Q732&gt;0,IFERROR(P735+P736+P737,""),"")</f>
        <v/>
      </c>
      <c r="Q734" s="1937"/>
      <c r="R734" s="177"/>
      <c r="S734" s="1934" t="str">
        <f ca="1">IF(V732&gt;0,CONCATENATE("Sport: ",INDEX(sessions_sport_primary,INDEX(plan_session_allocation,(WEEKDAY(T$3,2)*2-1)+IF(T732="Morning",0,1),S732))),"")</f>
        <v>Sport: Ride</v>
      </c>
      <c r="T734" s="1935"/>
      <c r="U734" s="1936">
        <f ca="1">IF(V732&gt;0,IFERROR(U735+U736+U737,""),"")</f>
        <v>40</v>
      </c>
      <c r="V734" s="1937"/>
      <c r="W734" s="177"/>
      <c r="X734" s="1934" t="str">
        <f ca="1">IF(AA732&gt;0,CONCATENATE("Sport: ",INDEX(sessions_sport_primary,INDEX(plan_session_allocation,(WEEKDAY(Y$3,2)*2-1)+IF(Y732="Morning",0,1),X732))),"")</f>
        <v>Sport: Ride</v>
      </c>
      <c r="Y734" s="1935"/>
      <c r="Z734" s="1936">
        <f ca="1">IF(AA732&gt;0,IFERROR(Z735+Z736+Z737,""),"")</f>
        <v>40</v>
      </c>
      <c r="AA734" s="1937"/>
      <c r="AB734" s="177"/>
      <c r="AC734" s="1934" t="str">
        <f ca="1">IF(AF732&gt;0,CONCATENATE("Sport: ",INDEX(sessions_sport_primary,INDEX(plan_session_allocation,(WEEKDAY(AD$3,2)*2-1)+IF(AD732="Morning",0,1),AC732))),"")</f>
        <v>Sport: Hilly Trail Run</v>
      </c>
      <c r="AD734" s="1935"/>
      <c r="AE734" s="1936">
        <f ca="1">IF(AF732&gt;0,IFERROR(AE735+AE736+AE737,""),"")</f>
        <v>95</v>
      </c>
      <c r="AF734" s="1937"/>
      <c r="AG734" s="177"/>
      <c r="AH734" s="1934" t="str">
        <f ca="1">IF(AK732&gt;0,CONCATENATE("Sport: ",INDEX(sessions_sport_primary,INDEX(plan_session_allocation,(WEEKDAY(AI$3,2)*2-1)+IF(AI732="Morning",0,1),AH732))),"")</f>
        <v>Sport: Hilly Trail Run</v>
      </c>
      <c r="AI734" s="1935"/>
      <c r="AJ734" s="1936">
        <f ca="1">IF(AK732&gt;0,IFERROR(AJ735+AJ736+AJ737,""),"")</f>
        <v>160</v>
      </c>
      <c r="AK734" s="1937"/>
      <c r="AL734" s="177"/>
    </row>
    <row r="735" spans="2:38" s="176" customFormat="1" ht="15" customHeight="1" x14ac:dyDescent="0.45">
      <c r="B735" s="1942"/>
      <c r="C735" s="1945"/>
      <c r="D735" s="1922" t="str">
        <f ca="1">IF(G732&gt;0,CONCATENATE("HR Target: ",
INDEX(sessions_HR_primary,INDEX(plan_session_allocation,((WEEKDAY(E$3,2)*2-1)+IF(E732="Morning",0,1)),D732)),
IF(INDEX(sessions_HR_primary,INDEX(plan_session_allocation,((WEEKDAY(E$3,2)*2-1)+IF(E732="Morning",0,1)),D732))="N/A","",
" BPM")),"")</f>
        <v>HR Target: 138 BPM</v>
      </c>
      <c r="E735" s="1923"/>
      <c r="F735" s="1924">
        <f ca="1">IF(G732&gt;0,
INDEX(final_duration_effort,((WEEKDAY(E$3,2)*2-1)+IF(E732="Morning",0,1)),D732),"")</f>
        <v>40</v>
      </c>
      <c r="G735" s="1925"/>
      <c r="H735" s="177"/>
      <c r="I735" s="1922" t="str">
        <f ca="1">IF(L732&gt;0,CONCATENATE("HR Target: ",
INDEX(sessions_HR_primary,INDEX(plan_session_allocation,((WEEKDAY(J$3,2)*2-1)+IF(J732="Morning",0,1)),I732)),
IF(INDEX(sessions_HR_primary,INDEX(plan_session_allocation,((WEEKDAY(J$3,2)*2-1)+IF(J732="Morning",0,1)),I732))="N/A","",
" BPM")),"")</f>
        <v>HR Target: 138 BPM</v>
      </c>
      <c r="J735" s="1923"/>
      <c r="K735" s="1924">
        <f ca="1">IF(L732&gt;0,
INDEX(final_duration_effort,((WEEKDAY(J$3,2)*2-1)+IF(J732="Morning",0,1)),I732),"")</f>
        <v>40</v>
      </c>
      <c r="L735" s="1925"/>
      <c r="M735" s="177"/>
      <c r="N735" s="1922" t="str">
        <f ca="1">IF(Q732&gt;0,CONCATENATE("HR Target: ",
INDEX(sessions_HR_primary,INDEX(plan_session_allocation,((WEEKDAY(O$3,2)*2-1)+IF(O732="Morning",0,1)),N732)),
IF(INDEX(sessions_HR_primary,INDEX(plan_session_allocation,((WEEKDAY(O$3,2)*2-1)+IF(O732="Morning",0,1)),N732))="N/A","",
" BPM")),"")</f>
        <v/>
      </c>
      <c r="O735" s="1923"/>
      <c r="P735" s="1924" t="str">
        <f ca="1">IF(Q732&gt;0,
INDEX(final_duration_effort,((WEEKDAY(O$3,2)*2-1)+IF(O732="Morning",0,1)),N732),"")</f>
        <v/>
      </c>
      <c r="Q735" s="1925"/>
      <c r="R735" s="177"/>
      <c r="S735" s="1922" t="str">
        <f ca="1">IF(V732&gt;0,CONCATENATE("HR Target: ",
INDEX(sessions_HR_primary,INDEX(plan_session_allocation,((WEEKDAY(T$3,2)*2-1)+IF(T732="Morning",0,1)),S732)),
IF(INDEX(sessions_HR_primary,INDEX(plan_session_allocation,((WEEKDAY(T$3,2)*2-1)+IF(T732="Morning",0,1)),S732))="N/A","",
" BPM")),"")</f>
        <v>HR Target: 138 BPM</v>
      </c>
      <c r="T735" s="1923"/>
      <c r="U735" s="1924">
        <f ca="1">IF(V732&gt;0,
INDEX(final_duration_effort,((WEEKDAY(T$3,2)*2-1)+IF(T732="Morning",0,1)),S732),"")</f>
        <v>40</v>
      </c>
      <c r="V735" s="1925"/>
      <c r="W735" s="177"/>
      <c r="X735" s="1922" t="str">
        <f ca="1">IF(AA732&gt;0,CONCATENATE("HR Target: ",
INDEX(sessions_HR_primary,INDEX(plan_session_allocation,((WEEKDAY(Y$3,2)*2-1)+IF(Y732="Morning",0,1)),X732)),
IF(INDEX(sessions_HR_primary,INDEX(plan_session_allocation,((WEEKDAY(Y$3,2)*2-1)+IF(Y732="Morning",0,1)),X732))="N/A","",
" BPM")),"")</f>
        <v>HR Target: 138 BPM</v>
      </c>
      <c r="Y735" s="1923"/>
      <c r="Z735" s="1924">
        <f ca="1">IF(AA732&gt;0,
INDEX(final_duration_effort,((WEEKDAY(Y$3,2)*2-1)+IF(Y732="Morning",0,1)),X732),"")</f>
        <v>40</v>
      </c>
      <c r="AA735" s="1925"/>
      <c r="AB735" s="177"/>
      <c r="AC735" s="1922" t="str">
        <f ca="1">IF(AF732&gt;0,CONCATENATE("HR Target: ",
INDEX(sessions_HR_primary,INDEX(plan_session_allocation,((WEEKDAY(AD$3,2)*2-1)+IF(AD732="Morning",0,1)),AC732)),
IF(INDEX(sessions_HR_primary,INDEX(plan_session_allocation,((WEEKDAY(AD$3,2)*2-1)+IF(AD732="Morning",0,1)),AC732))="N/A","",
" BPM")),"")</f>
        <v>HR Target: 148 BPM</v>
      </c>
      <c r="AD735" s="1923"/>
      <c r="AE735" s="1924">
        <f ca="1">IF(AF732&gt;0,
INDEX(final_duration_effort,((WEEKDAY(AD$3,2)*2-1)+IF(AD732="Morning",0,1)),AC732),"")</f>
        <v>95</v>
      </c>
      <c r="AF735" s="1925"/>
      <c r="AG735" s="177"/>
      <c r="AH735" s="1922" t="str">
        <f ca="1">IF(AK732&gt;0,CONCATENATE("HR Target: ",
INDEX(sessions_HR_primary,INDEX(plan_session_allocation,((WEEKDAY(AI$3,2)*2-1)+IF(AI732="Morning",0,1)),AH732)),
IF(INDEX(sessions_HR_primary,INDEX(plan_session_allocation,((WEEKDAY(AI$3,2)*2-1)+IF(AI732="Morning",0,1)),AH732))="N/A","",
" BPM")),"")</f>
        <v>HR Target: 148 BPM</v>
      </c>
      <c r="AI735" s="1923"/>
      <c r="AJ735" s="1924">
        <f ca="1">IF(AK732&gt;0,
INDEX(final_duration_effort,((WEEKDAY(AI$3,2)*2-1)+IF(AI732="Morning",0,1)),AH732),"")</f>
        <v>160</v>
      </c>
      <c r="AK735" s="1925"/>
      <c r="AL735" s="177"/>
    </row>
    <row r="736" spans="2:38" s="179" customFormat="1" x14ac:dyDescent="0.45">
      <c r="B736" s="1942"/>
      <c r="C736" s="1945"/>
      <c r="D736" s="1926" t="str">
        <f ca="1">IF(G732&gt;0,CONCATENATE("HR Range: ",
INDEX(sessions_HR_range_primary,INDEX(plan_session_allocation,((WEEKDAY(E$3,2)*2-1)+IF(E732="Morning",0,1)),D732)),
IF(INDEX(sessions_HR_range_primary,INDEX(plan_session_allocation,((WEEKDAY(E$3,2)*2-1)+IF(E732="Morning",0,1)),D732))="N/A","",
" BPM")),"")</f>
        <v>HR Range: 129 - 148 BPM</v>
      </c>
      <c r="E736" s="1927"/>
      <c r="F736" s="1928">
        <f ca="1">IF(G732&gt;0,IF(
INDEX(sessions_recoveries,INDEX(plan_session_allocation,((WEEKDAY(E$3,2)*2-1)+IF(E732="Morning",0,1)),D732))="Yes",
VLOOKUP(INDEX(plan_duration_primary,((WEEKDAY(E$3,2)*2-1)+IF(E732="Morning",0,1)),D732),
INDIRECT(INDEX(sessions_intervals_code_primary,INDEX(plan_session_allocation,((WEEKDAY(E$3,2)*2-1)+IF(E732="Morning",0,1)),D732))),7,TRUE),0),"")</f>
        <v>0</v>
      </c>
      <c r="G736" s="1929"/>
      <c r="H736" s="178"/>
      <c r="I736" s="1926" t="str">
        <f ca="1">IF(L732&gt;0,CONCATENATE("HR Range: ",
INDEX(sessions_HR_range_primary,INDEX(plan_session_allocation,((WEEKDAY(J$3,2)*2-1)+IF(J732="Morning",0,1)),I732)),
IF(INDEX(sessions_HR_range_primary,INDEX(plan_session_allocation,((WEEKDAY(J$3,2)*2-1)+IF(J732="Morning",0,1)),I732))="N/A","",
" BPM")),"")</f>
        <v>HR Range: 129 - 148 BPM</v>
      </c>
      <c r="J736" s="1927"/>
      <c r="K736" s="1928">
        <f ca="1">IF(L732&gt;0,IF(
INDEX(sessions_recoveries,INDEX(plan_session_allocation,((WEEKDAY(J$3,2)*2-1)+IF(J732="Morning",0,1)),I732))="Yes",
VLOOKUP(INDEX(plan_duration_primary,((WEEKDAY(J$3,2)*2-1)+IF(J732="Morning",0,1)),I732),
INDIRECT(INDEX(sessions_intervals_code_primary,INDEX(plan_session_allocation,((WEEKDAY(J$3,2)*2-1)+IF(J732="Morning",0,1)),I732))),7,TRUE),0),"")</f>
        <v>0</v>
      </c>
      <c r="L736" s="1929"/>
      <c r="M736" s="178"/>
      <c r="N736" s="1926" t="str">
        <f ca="1">IF(Q732&gt;0,CONCATENATE("HR Range: ",
INDEX(sessions_HR_range_primary,INDEX(plan_session_allocation,((WEEKDAY(O$3,2)*2-1)+IF(O732="Morning",0,1)),N732)),
IF(INDEX(sessions_HR_range_primary,INDEX(plan_session_allocation,((WEEKDAY(O$3,2)*2-1)+IF(O732="Morning",0,1)),N732))="N/A","",
" BPM")),"")</f>
        <v/>
      </c>
      <c r="O736" s="1927"/>
      <c r="P736" s="1928" t="str">
        <f ca="1">IF(Q732&gt;0,IF(
INDEX(sessions_recoveries,INDEX(plan_session_allocation,((WEEKDAY(O$3,2)*2-1)+IF(O732="Morning",0,1)),N732))="Yes",
VLOOKUP(INDEX(plan_duration_primary,((WEEKDAY(O$3,2)*2-1)+IF(O732="Morning",0,1)),N732),
INDIRECT(INDEX(sessions_intervals_code_primary,INDEX(plan_session_allocation,((WEEKDAY(O$3,2)*2-1)+IF(O732="Morning",0,1)),N732))),7,TRUE),0),"")</f>
        <v/>
      </c>
      <c r="Q736" s="1929"/>
      <c r="R736" s="178"/>
      <c r="S736" s="1926" t="str">
        <f ca="1">IF(V732&gt;0,CONCATENATE("HR Range: ",
INDEX(sessions_HR_range_primary,INDEX(plan_session_allocation,((WEEKDAY(T$3,2)*2-1)+IF(T732="Morning",0,1)),S732)),
IF(INDEX(sessions_HR_range_primary,INDEX(plan_session_allocation,((WEEKDAY(T$3,2)*2-1)+IF(T732="Morning",0,1)),S732))="N/A","",
" BPM")),"")</f>
        <v>HR Range: 129 - 148 BPM</v>
      </c>
      <c r="T736" s="1927"/>
      <c r="U736" s="1928">
        <f ca="1">IF(V732&gt;0,IF(
INDEX(sessions_recoveries,INDEX(plan_session_allocation,((WEEKDAY(T$3,2)*2-1)+IF(T732="Morning",0,1)),S732))="Yes",
VLOOKUP(INDEX(plan_duration_primary,((WEEKDAY(T$3,2)*2-1)+IF(T732="Morning",0,1)),S732),
INDIRECT(INDEX(sessions_intervals_code_primary,INDEX(plan_session_allocation,((WEEKDAY(T$3,2)*2-1)+IF(T732="Morning",0,1)),S732))),7,TRUE),0),"")</f>
        <v>0</v>
      </c>
      <c r="V736" s="1929"/>
      <c r="W736" s="178"/>
      <c r="X736" s="1926" t="str">
        <f ca="1">IF(AA732&gt;0,CONCATENATE("HR Range: ",
INDEX(sessions_HR_range_primary,INDEX(plan_session_allocation,((WEEKDAY(Y$3,2)*2-1)+IF(Y732="Morning",0,1)),X732)),
IF(INDEX(sessions_HR_range_primary,INDEX(plan_session_allocation,((WEEKDAY(Y$3,2)*2-1)+IF(Y732="Morning",0,1)),X732))="N/A","",
" BPM")),"")</f>
        <v>HR Range: 129 - 148 BPM</v>
      </c>
      <c r="Y736" s="1927"/>
      <c r="Z736" s="1928">
        <f ca="1">IF(AA732&gt;0,IF(
INDEX(sessions_recoveries,INDEX(plan_session_allocation,((WEEKDAY(Y$3,2)*2-1)+IF(Y732="Morning",0,1)),X732))="Yes",
VLOOKUP(INDEX(plan_duration_primary,((WEEKDAY(Y$3,2)*2-1)+IF(Y732="Morning",0,1)),X732),
INDIRECT(INDEX(sessions_intervals_code_primary,INDEX(plan_session_allocation,((WEEKDAY(Y$3,2)*2-1)+IF(Y732="Morning",0,1)),X732))),7,TRUE),0),"")</f>
        <v>0</v>
      </c>
      <c r="AA736" s="1929"/>
      <c r="AB736" s="178"/>
      <c r="AC736" s="1926" t="str">
        <f ca="1">IF(AF732&gt;0,CONCATENATE("HR Range: ",
INDEX(sessions_HR_range_primary,INDEX(plan_session_allocation,((WEEKDAY(AD$3,2)*2-1)+IF(AD732="Morning",0,1)),AC732)),
IF(INDEX(sessions_HR_range_primary,INDEX(plan_session_allocation,((WEEKDAY(AD$3,2)*2-1)+IF(AD732="Morning",0,1)),AC732))="N/A","",
" BPM")),"")</f>
        <v>HR Range: 138 - 157 BPM</v>
      </c>
      <c r="AD736" s="1927"/>
      <c r="AE736" s="1928">
        <f ca="1">IF(AF732&gt;0,IF(
INDEX(sessions_recoveries,INDEX(plan_session_allocation,((WEEKDAY(AD$3,2)*2-1)+IF(AD732="Morning",0,1)),AC732))="Yes",
VLOOKUP(INDEX(plan_duration_primary,((WEEKDAY(AD$3,2)*2-1)+IF(AD732="Morning",0,1)),AC732),
INDIRECT(INDEX(sessions_intervals_code_primary,INDEX(plan_session_allocation,((WEEKDAY(AD$3,2)*2-1)+IF(AD732="Morning",0,1)),AC732))),7,TRUE),0),"")</f>
        <v>0</v>
      </c>
      <c r="AF736" s="1929"/>
      <c r="AG736" s="178"/>
      <c r="AH736" s="1926" t="str">
        <f ca="1">IF(AK732&gt;0,CONCATENATE("HR Range: ",
INDEX(sessions_HR_range_primary,INDEX(plan_session_allocation,((WEEKDAY(AI$3,2)*2-1)+IF(AI732="Morning",0,1)),AH732)),
IF(INDEX(sessions_HR_range_primary,INDEX(plan_session_allocation,((WEEKDAY(AI$3,2)*2-1)+IF(AI732="Morning",0,1)),AH732))="N/A","",
" BPM")),"")</f>
        <v>HR Range: 129 - 169 BPM</v>
      </c>
      <c r="AI736" s="1927"/>
      <c r="AJ736" s="1928">
        <f ca="1">IF(AK732&gt;0,IF(
INDEX(sessions_recoveries,INDEX(plan_session_allocation,((WEEKDAY(AI$3,2)*2-1)+IF(AI732="Morning",0,1)),AH732))="Yes",
VLOOKUP(INDEX(plan_duration_primary,((WEEKDAY(AI$3,2)*2-1)+IF(AI732="Morning",0,1)),AH732),
INDIRECT(INDEX(sessions_intervals_code_primary,INDEX(plan_session_allocation,((WEEKDAY(AI$3,2)*2-1)+IF(AI732="Morning",0,1)),AH732))),7,TRUE),0),"")</f>
        <v>0</v>
      </c>
      <c r="AK736" s="1929"/>
      <c r="AL736" s="178"/>
    </row>
    <row r="737" spans="2:38" s="179" customFormat="1" ht="15" customHeight="1" x14ac:dyDescent="0.45">
      <c r="B737" s="1942"/>
      <c r="C737" s="1945"/>
      <c r="D737" s="1909" t="str">
        <f ca="1">IF(G732&gt;0,CONCATENATE("Equivalent Pace: ",
TEXT(INDEX(sessions_pace_primary,INDEX(plan_session_allocation,(WEEKDAY(E$3,2)*2-1)+IF(E732="Morning",0,1),D732)),"m:ss"),
" min/km"
),"")</f>
        <v>Equivalent Pace: 4:39 min/km</v>
      </c>
      <c r="E737" s="1910"/>
      <c r="F737" s="1911">
        <f ca="1">IF(G732&gt;0, INDEX(final_duration_WU,((WEEKDAY(E$3,2)*2-1)+IF(E732="Morning",0,1)),D732)  + INDEX(final_duration_WD,((WEEKDAY(E$3,2)*2-1)+IF(E732="Morning",0,1)),D732), "")</f>
        <v>0</v>
      </c>
      <c r="G737" s="1912"/>
      <c r="H737" s="178"/>
      <c r="I737" s="1909" t="str">
        <f ca="1">IF(L732&gt;0,CONCATENATE("Equivalent Pace: ",
TEXT(INDEX(sessions_pace_primary,INDEX(plan_session_allocation,(WEEKDAY(J$3,2)*2-1)+IF(J732="Morning",0,1),I732)),"m:ss"),
" min/km"
),"")</f>
        <v>Equivalent Pace: 4:39 min/km</v>
      </c>
      <c r="J737" s="1910"/>
      <c r="K737" s="1911">
        <f ca="1">IF(L732&gt;0, INDEX(final_duration_WU,((WEEKDAY(J$3,2)*2-1)+IF(J732="Morning",0,1)),I732)  + INDEX(final_duration_WD,((WEEKDAY(J$3,2)*2-1)+IF(J732="Morning",0,1)),I732), "")</f>
        <v>0</v>
      </c>
      <c r="L737" s="1912"/>
      <c r="M737" s="178"/>
      <c r="N737" s="1909" t="str">
        <f ca="1">IF(Q732&gt;0,CONCATENATE("Equivalent Pace: ",
TEXT(INDEX(sessions_pace_primary,INDEX(plan_session_allocation,(WEEKDAY(O$3,2)*2-1)+IF(O732="Morning",0,1),N732)),"m:ss"),
" min/km"
),"")</f>
        <v/>
      </c>
      <c r="O737" s="1910"/>
      <c r="P737" s="1911" t="str">
        <f ca="1">IF(Q732&gt;0, INDEX(final_duration_WU,((WEEKDAY(O$3,2)*2-1)+IF(O732="Morning",0,1)),N732)  + INDEX(final_duration_WD,((WEEKDAY(O$3,2)*2-1)+IF(O732="Morning",0,1)),N732), "")</f>
        <v/>
      </c>
      <c r="Q737" s="1912"/>
      <c r="R737" s="178"/>
      <c r="S737" s="1909" t="str">
        <f ca="1">IF(V732&gt;0,CONCATENATE("Equivalent Pace: ",
TEXT(INDEX(sessions_pace_primary,INDEX(plan_session_allocation,(WEEKDAY(T$3,2)*2-1)+IF(T732="Morning",0,1),S732)),"m:ss"),
" min/km"
),"")</f>
        <v>Equivalent Pace: 4:39 min/km</v>
      </c>
      <c r="T737" s="1910"/>
      <c r="U737" s="1911">
        <f ca="1">IF(V732&gt;0, INDEX(final_duration_WU,((WEEKDAY(T$3,2)*2-1)+IF(T732="Morning",0,1)),S732)  + INDEX(final_duration_WD,((WEEKDAY(T$3,2)*2-1)+IF(T732="Morning",0,1)),S732), "")</f>
        <v>0</v>
      </c>
      <c r="V737" s="1912"/>
      <c r="W737" s="178"/>
      <c r="X737" s="1909" t="str">
        <f ca="1">IF(AA732&gt;0,CONCATENATE("Equivalent Pace: ",
TEXT(INDEX(sessions_pace_primary,INDEX(plan_session_allocation,(WEEKDAY(Y$3,2)*2-1)+IF(Y732="Morning",0,1),X732)),"m:ss"),
" min/km"
),"")</f>
        <v>Equivalent Pace: 4:39 min/km</v>
      </c>
      <c r="Y737" s="1910"/>
      <c r="Z737" s="1911">
        <f ca="1">IF(AA732&gt;0, INDEX(final_duration_WU,((WEEKDAY(Y$3,2)*2-1)+IF(Y732="Morning",0,1)),X732)  + INDEX(final_duration_WD,((WEEKDAY(Y$3,2)*2-1)+IF(Y732="Morning",0,1)),X732), "")</f>
        <v>0</v>
      </c>
      <c r="AA737" s="1912"/>
      <c r="AB737" s="178"/>
      <c r="AC737" s="1909" t="str">
        <f ca="1">IF(AF732&gt;0,CONCATENATE("Equivalent Pace: ",
TEXT(INDEX(sessions_pace_primary,INDEX(plan_session_allocation,(WEEKDAY(AD$3,2)*2-1)+IF(AD732="Morning",0,1),AC732)),"m:ss"),
" min/km"
),"")</f>
        <v>Equivalent Pace: 4:14 min/km</v>
      </c>
      <c r="AD737" s="1910"/>
      <c r="AE737" s="1911">
        <f ca="1">IF(AF732&gt;0, INDEX(final_duration_WU,((WEEKDAY(AD$3,2)*2-1)+IF(AD732="Morning",0,1)),AC732)  + INDEX(final_duration_WD,((WEEKDAY(AD$3,2)*2-1)+IF(AD732="Morning",0,1)),AC732), "")</f>
        <v>0</v>
      </c>
      <c r="AF737" s="1912"/>
      <c r="AG737" s="178"/>
      <c r="AH737" s="1909" t="str">
        <f ca="1">IF(AK732&gt;0,CONCATENATE("Equivalent Pace: ",
TEXT(INDEX(sessions_pace_primary,INDEX(plan_session_allocation,(WEEKDAY(AI$3,2)*2-1)+IF(AI732="Morning",0,1),AH732)),"m:ss"),
" min/km"
),"")</f>
        <v>Equivalent Pace: 4:14 min/km</v>
      </c>
      <c r="AI737" s="1910"/>
      <c r="AJ737" s="1911">
        <f ca="1">IF(AK732&gt;0, INDEX(final_duration_WU,((WEEKDAY(AI$3,2)*2-1)+IF(AI732="Morning",0,1)),AH732)  + INDEX(final_duration_WD,((WEEKDAY(AI$3,2)*2-1)+IF(AI732="Morning",0,1)),AH732), "")</f>
        <v>0</v>
      </c>
      <c r="AK737" s="1912"/>
      <c r="AL737" s="178"/>
    </row>
    <row r="738" spans="2:38" s="180" customFormat="1" ht="15" customHeight="1" x14ac:dyDescent="0.45">
      <c r="B738" s="1942"/>
      <c r="C738" s="1945"/>
      <c r="D738" s="1913" t="str">
        <f ca="1">IF(G732&gt;0,CONCATENATE(IFERROR(CONCATENATE(IF(INDEX(display_intervals_breakdown,((WEEKDAY(E$3,2)*2-1)+IF(E732="Morning",0,1)),D732)="","",CONCATENATE("Intervals/Reps Breakdown: 
",INDEX(display_intervals_breakdown,((WEEKDAY(E$3,2)*2-1)+IF(E732="Morning",0,1)),D732),"
")),"Session Description: 
",CONCATENATE(IF(INDEX(final_duration_secondary,((WEEKDAY(E$3,2)*2-1)+IF(E732="Morning",0,1)),D732)=0,"","1. "),
INDEX(sessions_description_primary,,INDEX(plan_session_allocation,((WEEKDAY(E$3,2)*2-1)+IF(E732="Morning",0,1)),D732)),IF(INDEX(final_duration_secondary,((WEEKDAY(E$3,2)*2-1)+IF(E732="Morning",0,1)),D732)=0,"","
2. "),
IF(INDEX(final_duration_secondary,((WEEKDAY(E$3,2)*2-1)+IF(E732="Morning",0,1)),D732)=0,"",INDEX(sessions_description_secondary,,INDEX(plan_session_allocation,((WEEKDAY(E$3,2)*2-1)+IF(E732="Morning",0,1)),D732))),IF(INDEX(final_duration_tertiary,((WEEKDAY(E$3,2)*2-1)+IF(E732="Morning",0,1)),D732)=0,"","
3. "),
IF(INDEX(final_duration_tertiary,((WEEKDAY(E$3,2)*2-1)+IF(E732="Morning",0,1)),D732)="","",INDEX(sessions_description_tertiary,,INDEX(plan_session_allocation,((WEEKDAY(E$3,2)*2-1)+IF(E732="Morning",0,1)),D732))),
IF(INDEX(display_nutrition_description,((WEEKDAY(E$3,2)*2-1)+IF(E732="Morning",0,1)),D732)="","",
CONCATENATE("
Meal Plan: ", INDEX(sessions_nutrition,,INDEX(plan_session_allocation,((WEEKDAY(E$3,2)*2-1)+IF(E732="Morning",0,1)),D732)), "
", INDEX(display_nutrition_description,((WEEKDAY(E$3,2)*2-1)+IF(E732="Morning",0,1)),D732)))
)),"")),"")</f>
        <v>Session Description: 
Stay at a comfortable and controlled intensity where you should be able to have a conversation without large pauses. Keep an even intensity and accept that your pace may change as the terrain changes.</v>
      </c>
      <c r="E738" s="1914"/>
      <c r="F738" s="1914"/>
      <c r="G738" s="1915"/>
      <c r="I738" s="1913" t="str">
        <f ca="1">IF(L732&gt;0,CONCATENATE(IFERROR(CONCATENATE(IF(INDEX(display_intervals_breakdown,((WEEKDAY(J$3,2)*2-1)+IF(J732="Morning",0,1)),I732)="","",CONCATENATE("Intervals/Reps Breakdown: 
",INDEX(display_intervals_breakdown,((WEEKDAY(J$3,2)*2-1)+IF(J732="Morning",0,1)),I732),"
")),"Session Description: 
",CONCATENATE(IF(INDEX(final_duration_secondary,((WEEKDAY(J$3,2)*2-1)+IF(J732="Morning",0,1)),I732)=0,"","1. "),
INDEX(sessions_description_primary,,INDEX(plan_session_allocation,((WEEKDAY(J$3,2)*2-1)+IF(J732="Morning",0,1)),I732)),IF(INDEX(final_duration_secondary,((WEEKDAY(J$3,2)*2-1)+IF(J732="Morning",0,1)),I732)=0,"","
2. "),
IF(INDEX(final_duration_secondary,((WEEKDAY(J$3,2)*2-1)+IF(J732="Morning",0,1)),I732)=0,"",INDEX(sessions_description_secondary,,INDEX(plan_session_allocation,((WEEKDAY(J$3,2)*2-1)+IF(J732="Morning",0,1)),I732))),IF(INDEX(final_duration_tertiary,((WEEKDAY(J$3,2)*2-1)+IF(J732="Morning",0,1)),I732)=0,"","
3. "),
IF(INDEX(final_duration_tertiary,((WEEKDAY(J$3,2)*2-1)+IF(J732="Morning",0,1)),I732)="","",INDEX(sessions_description_tertiary,,INDEX(plan_session_allocation,((WEEKDAY(J$3,2)*2-1)+IF(J732="Morning",0,1)),I732))),
IF(INDEX(display_nutrition_description,((WEEKDAY(J$3,2)*2-1)+IF(J732="Morning",0,1)),I732)="","",
CONCATENATE("
Meal Plan: ", INDEX(sessions_nutrition,,INDEX(plan_session_allocation,((WEEKDAY(J$3,2)*2-1)+IF(J732="Morning",0,1)),I732)), "
", INDEX(display_nutrition_description,((WEEKDAY(J$3,2)*2-1)+IF(J732="Morning",0,1)),I732)))
)),"")),"")</f>
        <v>Session Description: 
Stay at a comfortable and controlled intensity where you should be able to have a conversation without large pauses. Keep an even intensity and accept that your pace may change as the terrain changes.</v>
      </c>
      <c r="J738" s="1914"/>
      <c r="K738" s="1914"/>
      <c r="L738" s="1915"/>
      <c r="N738" s="1913" t="str">
        <f ca="1">IF(Q732&gt;0,CONCATENATE(IFERROR(CONCATENATE(IF(INDEX(display_intervals_breakdown,((WEEKDAY(O$3,2)*2-1)+IF(O732="Morning",0,1)),N732)="","",CONCATENATE("Intervals/Reps Breakdown: 
",INDEX(display_intervals_breakdown,((WEEKDAY(O$3,2)*2-1)+IF(O732="Morning",0,1)),N732),"
")),"Session Description: 
",CONCATENATE(IF(INDEX(final_duration_secondary,((WEEKDAY(O$3,2)*2-1)+IF(O732="Morning",0,1)),N732)=0,"","1. "),
INDEX(sessions_description_primary,,INDEX(plan_session_allocation,((WEEKDAY(O$3,2)*2-1)+IF(O732="Morning",0,1)),N732)),IF(INDEX(final_duration_secondary,((WEEKDAY(O$3,2)*2-1)+IF(O732="Morning",0,1)),N732)=0,"","
2. "),
IF(INDEX(final_duration_secondary,((WEEKDAY(O$3,2)*2-1)+IF(O732="Morning",0,1)),N732)=0,"",INDEX(sessions_description_secondary,,INDEX(plan_session_allocation,((WEEKDAY(O$3,2)*2-1)+IF(O732="Morning",0,1)),N732))),IF(INDEX(final_duration_tertiary,((WEEKDAY(O$3,2)*2-1)+IF(O732="Morning",0,1)),N732)=0,"","
3. "),
IF(INDEX(final_duration_tertiary,((WEEKDAY(O$3,2)*2-1)+IF(O732="Morning",0,1)),N732)="","",INDEX(sessions_description_tertiary,,INDEX(plan_session_allocation,((WEEKDAY(O$3,2)*2-1)+IF(O732="Morning",0,1)),N732))),
IF(INDEX(display_nutrition_description,((WEEKDAY(O$3,2)*2-1)+IF(O732="Morning",0,1)),N732)="","",
CONCATENATE("
Meal Plan: ", INDEX(sessions_nutrition,,INDEX(plan_session_allocation,((WEEKDAY(O$3,2)*2-1)+IF(O732="Morning",0,1)),N732)), "
", INDEX(display_nutrition_description,((WEEKDAY(O$3,2)*2-1)+IF(O732="Morning",0,1)),N732)))
)),"")),"")</f>
        <v/>
      </c>
      <c r="O738" s="1914"/>
      <c r="P738" s="1914"/>
      <c r="Q738" s="1915"/>
      <c r="S738" s="1913" t="str">
        <f ca="1">IF(V732&gt;0,CONCATENATE(IFERROR(CONCATENATE(IF(INDEX(display_intervals_breakdown,((WEEKDAY(T$3,2)*2-1)+IF(T732="Morning",0,1)),S732)="","",CONCATENATE("Intervals/Reps Breakdown: 
",INDEX(display_intervals_breakdown,((WEEKDAY(T$3,2)*2-1)+IF(T732="Morning",0,1)),S732),"
")),"Session Description: 
",CONCATENATE(IF(INDEX(final_duration_secondary,((WEEKDAY(T$3,2)*2-1)+IF(T732="Morning",0,1)),S732)=0,"","1. "),
INDEX(sessions_description_primary,,INDEX(plan_session_allocation,((WEEKDAY(T$3,2)*2-1)+IF(T732="Morning",0,1)),S732)),IF(INDEX(final_duration_secondary,((WEEKDAY(T$3,2)*2-1)+IF(T732="Morning",0,1)),S732)=0,"","
2. "),
IF(INDEX(final_duration_secondary,((WEEKDAY(T$3,2)*2-1)+IF(T732="Morning",0,1)),S732)=0,"",INDEX(sessions_description_secondary,,INDEX(plan_session_allocation,((WEEKDAY(T$3,2)*2-1)+IF(T732="Morning",0,1)),S732))),IF(INDEX(final_duration_tertiary,((WEEKDAY(T$3,2)*2-1)+IF(T732="Morning",0,1)),S732)=0,"","
3. "),
IF(INDEX(final_duration_tertiary,((WEEKDAY(T$3,2)*2-1)+IF(T732="Morning",0,1)),S732)="","",INDEX(sessions_description_tertiary,,INDEX(plan_session_allocation,((WEEKDAY(T$3,2)*2-1)+IF(T732="Morning",0,1)),S732))),
IF(INDEX(display_nutrition_description,((WEEKDAY(T$3,2)*2-1)+IF(T732="Morning",0,1)),S732)="","",
CONCATENATE("
Meal Plan: ", INDEX(sessions_nutrition,,INDEX(plan_session_allocation,((WEEKDAY(T$3,2)*2-1)+IF(T732="Morning",0,1)),S732)), "
", INDEX(display_nutrition_description,((WEEKDAY(T$3,2)*2-1)+IF(T732="Morning",0,1)),S732)))
)),"")),"")</f>
        <v>Session Description: 
Stay at a comfortable and controlled intensity where you should be able to have a conversation without large pauses. Keep an even intensity and accept that your pace may change as the terrain changes.</v>
      </c>
      <c r="T738" s="1914"/>
      <c r="U738" s="1914"/>
      <c r="V738" s="1915"/>
      <c r="X738" s="1913" t="str">
        <f ca="1">IF(AA732&gt;0,CONCATENATE(IFERROR(CONCATENATE(IF(INDEX(display_intervals_breakdown,((WEEKDAY(Y$3,2)*2-1)+IF(Y732="Morning",0,1)),X732)="","",CONCATENATE("Intervals/Reps Breakdown: 
",INDEX(display_intervals_breakdown,((WEEKDAY(Y$3,2)*2-1)+IF(Y732="Morning",0,1)),X732),"
")),"Session Description: 
",CONCATENATE(IF(INDEX(final_duration_secondary,((WEEKDAY(Y$3,2)*2-1)+IF(Y732="Morning",0,1)),X732)=0,"","1. "),
INDEX(sessions_description_primary,,INDEX(plan_session_allocation,((WEEKDAY(Y$3,2)*2-1)+IF(Y732="Morning",0,1)),X732)),IF(INDEX(final_duration_secondary,((WEEKDAY(Y$3,2)*2-1)+IF(Y732="Morning",0,1)),X732)=0,"","
2. "),
IF(INDEX(final_duration_secondary,((WEEKDAY(Y$3,2)*2-1)+IF(Y732="Morning",0,1)),X732)=0,"",INDEX(sessions_description_secondary,,INDEX(plan_session_allocation,((WEEKDAY(Y$3,2)*2-1)+IF(Y732="Morning",0,1)),X732))),IF(INDEX(final_duration_tertiary,((WEEKDAY(Y$3,2)*2-1)+IF(Y732="Morning",0,1)),X732)=0,"","
3. "),
IF(INDEX(final_duration_tertiary,((WEEKDAY(Y$3,2)*2-1)+IF(Y732="Morning",0,1)),X732)="","",INDEX(sessions_description_tertiary,,INDEX(plan_session_allocation,((WEEKDAY(Y$3,2)*2-1)+IF(Y732="Morning",0,1)),X732))),
IF(INDEX(display_nutrition_description,((WEEKDAY(Y$3,2)*2-1)+IF(Y732="Morning",0,1)),X732)="","",
CONCATENATE("
Meal Plan: ", INDEX(sessions_nutrition,,INDEX(plan_session_allocation,((WEEKDAY(Y$3,2)*2-1)+IF(Y732="Morning",0,1)),X732)), "
", INDEX(display_nutrition_description,((WEEKDAY(Y$3,2)*2-1)+IF(Y732="Morning",0,1)),X732)))
)),"")),"")</f>
        <v>Session Description: 
Stay at a comfortable and controlled intensity where you should be able to have a conversation without large pauses. Keep an even intensity and accept that your pace may change as the terrain changes.</v>
      </c>
      <c r="Y738" s="1914"/>
      <c r="Z738" s="1914"/>
      <c r="AA738" s="1915"/>
      <c r="AC738" s="1913" t="str">
        <f ca="1">IF(AF732&gt;0,CONCATENATE(IFERROR(CONCATENATE(IF(INDEX(display_intervals_breakdown,((WEEKDAY(AD$3,2)*2-1)+IF(AD732="Morning",0,1)),AC732)="","",CONCATENATE("Intervals/Reps Breakdown: 
",INDEX(display_intervals_breakdown,((WEEKDAY(AD$3,2)*2-1)+IF(AD732="Morning",0,1)),AC732),"
")),"Session Description: 
",CONCATENATE(IF(INDEX(final_duration_secondary,((WEEKDAY(AD$3,2)*2-1)+IF(AD732="Morning",0,1)),AC732)=0,"","1. "),
INDEX(sessions_description_primary,,INDEX(plan_session_allocation,((WEEKDAY(AD$3,2)*2-1)+IF(AD732="Morning",0,1)),AC732)),IF(INDEX(final_duration_secondary,((WEEKDAY(AD$3,2)*2-1)+IF(AD732="Morning",0,1)),AC732)=0,"","
2. "),
IF(INDEX(final_duration_secondary,((WEEKDAY(AD$3,2)*2-1)+IF(AD732="Morning",0,1)),AC732)=0,"",INDEX(sessions_description_secondary,,INDEX(plan_session_allocation,((WEEKDAY(AD$3,2)*2-1)+IF(AD732="Morning",0,1)),AC732))),IF(INDEX(final_duration_tertiary,((WEEKDAY(AD$3,2)*2-1)+IF(AD732="Morning",0,1)),AC732)=0,"","
3. "),
IF(INDEX(final_duration_tertiary,((WEEKDAY(AD$3,2)*2-1)+IF(AD732="Morning",0,1)),AC732)="","",INDEX(sessions_description_tertiary,,INDEX(plan_session_allocation,((WEEKDAY(AD$3,2)*2-1)+IF(AD732="Morning",0,1)),AC732))),
IF(INDEX(display_nutrition_description,((WEEKDAY(AD$3,2)*2-1)+IF(AD732="Morning",0,1)),AC732)="","",
CONCATENATE("
Meal Plan: ", INDEX(sessions_nutrition,,INDEX(plan_session_allocation,((WEEKDAY(AD$3,2)*2-1)+IF(AD732="Morning",0,1)),AC732)), "
", INDEX(display_nutrition_description,((WEEKDAY(AD$3,2)*2-1)+IF(AD732="Morning",0,1)),AC732)))
)),"")),"")</f>
        <v>Session Description: 
Stay at a comfortable and controlled intensity where you should be able to have a conversation without large pauses. Keep an even intensity and accept that your pace may change as the terrain changes.</v>
      </c>
      <c r="AD738" s="1914"/>
      <c r="AE738" s="1914"/>
      <c r="AF738" s="1915"/>
      <c r="AH738" s="1913" t="str">
        <f ca="1">IF(AK732&gt;0,CONCATENATE(IFERROR(CONCATENATE(IF(INDEX(display_intervals_breakdown,((WEEKDAY(AI$3,2)*2-1)+IF(AI732="Morning",0,1)),AH732)="","",CONCATENATE("Intervals/Reps Breakdown: 
",INDEX(display_intervals_breakdown,((WEEKDAY(AI$3,2)*2-1)+IF(AI732="Morning",0,1)),AH732),"
")),"Session Description: 
",CONCATENATE(IF(INDEX(final_duration_secondary,((WEEKDAY(AI$3,2)*2-1)+IF(AI732="Morning",0,1)),AH732)=0,"","1. "),
INDEX(sessions_description_primary,,INDEX(plan_session_allocation,((WEEKDAY(AI$3,2)*2-1)+IF(AI732="Morning",0,1)),AH732)),IF(INDEX(final_duration_secondary,((WEEKDAY(AI$3,2)*2-1)+IF(AI732="Morning",0,1)),AH732)=0,"","
2. "),
IF(INDEX(final_duration_secondary,((WEEKDAY(AI$3,2)*2-1)+IF(AI732="Morning",0,1)),AH732)=0,"",INDEX(sessions_description_secondary,,INDEX(plan_session_allocation,((WEEKDAY(AI$3,2)*2-1)+IF(AI732="Morning",0,1)),AH732))),IF(INDEX(final_duration_tertiary,((WEEKDAY(AI$3,2)*2-1)+IF(AI732="Morning",0,1)),AH732)=0,"","
3. "),
IF(INDEX(final_duration_tertiary,((WEEKDAY(AI$3,2)*2-1)+IF(AI732="Morning",0,1)),AH732)="","",INDEX(sessions_description_tertiary,,INDEX(plan_session_allocation,((WEEKDAY(AI$3,2)*2-1)+IF(AI732="Morning",0,1)),AH732))),
IF(INDEX(display_nutrition_description,((WEEKDAY(AI$3,2)*2-1)+IF(AI732="Morning",0,1)),AH732)="","",
CONCATENATE("
Meal Plan: ", INDEX(sessions_nutrition,,INDEX(plan_session_allocation,((WEEKDAY(AI$3,2)*2-1)+IF(AI732="Morning",0,1)),AH732)), "
", INDEX(display_nutrition_description,((WEEKDAY(AI$3,2)*2-1)+IF(AI732="Morning",0,1)),AH732)))
)),"")),"")</f>
        <v xml:space="preserve">Session Description: 
Fundamentally a steady, but you can be less strict at controlling your intensity as long as your average intensity is close to it's target by the end of the session </v>
      </c>
      <c r="AI738" s="1914"/>
      <c r="AJ738" s="1914"/>
      <c r="AK738" s="1915"/>
    </row>
    <row r="739" spans="2:38" s="180" customFormat="1" x14ac:dyDescent="0.45">
      <c r="B739" s="1942"/>
      <c r="C739" s="1945"/>
      <c r="D739" s="1916"/>
      <c r="E739" s="1917"/>
      <c r="F739" s="1917"/>
      <c r="G739" s="1918"/>
      <c r="I739" s="1916"/>
      <c r="J739" s="1917"/>
      <c r="K739" s="1917"/>
      <c r="L739" s="1918"/>
      <c r="N739" s="1916"/>
      <c r="O739" s="1917"/>
      <c r="P739" s="1917"/>
      <c r="Q739" s="1918"/>
      <c r="S739" s="1916"/>
      <c r="T739" s="1917"/>
      <c r="U739" s="1917"/>
      <c r="V739" s="1918"/>
      <c r="X739" s="1916"/>
      <c r="Y739" s="1917"/>
      <c r="Z739" s="1917"/>
      <c r="AA739" s="1918"/>
      <c r="AC739" s="1916"/>
      <c r="AD739" s="1917"/>
      <c r="AE739" s="1917"/>
      <c r="AF739" s="1918"/>
      <c r="AH739" s="1916"/>
      <c r="AI739" s="1917"/>
      <c r="AJ739" s="1917"/>
      <c r="AK739" s="1918"/>
    </row>
    <row r="740" spans="2:38" s="180" customFormat="1" x14ac:dyDescent="0.45">
      <c r="B740" s="1942"/>
      <c r="C740" s="1945"/>
      <c r="D740" s="1916"/>
      <c r="E740" s="1917"/>
      <c r="F740" s="1917"/>
      <c r="G740" s="1918"/>
      <c r="I740" s="1916"/>
      <c r="J740" s="1917"/>
      <c r="K740" s="1917"/>
      <c r="L740" s="1918"/>
      <c r="N740" s="1916"/>
      <c r="O740" s="1917"/>
      <c r="P740" s="1917"/>
      <c r="Q740" s="1918"/>
      <c r="S740" s="1916"/>
      <c r="T740" s="1917"/>
      <c r="U740" s="1917"/>
      <c r="V740" s="1918"/>
      <c r="X740" s="1916"/>
      <c r="Y740" s="1917"/>
      <c r="Z740" s="1917"/>
      <c r="AA740" s="1918"/>
      <c r="AC740" s="1916"/>
      <c r="AD740" s="1917"/>
      <c r="AE740" s="1917"/>
      <c r="AF740" s="1918"/>
      <c r="AH740" s="1916"/>
      <c r="AI740" s="1917"/>
      <c r="AJ740" s="1917"/>
      <c r="AK740" s="1918"/>
    </row>
    <row r="741" spans="2:38" s="180" customFormat="1" x14ac:dyDescent="0.45">
      <c r="B741" s="1942"/>
      <c r="C741" s="1945"/>
      <c r="D741" s="1916"/>
      <c r="E741" s="1917"/>
      <c r="F741" s="1917"/>
      <c r="G741" s="1918"/>
      <c r="I741" s="1916"/>
      <c r="J741" s="1917"/>
      <c r="K741" s="1917"/>
      <c r="L741" s="1918"/>
      <c r="N741" s="1916"/>
      <c r="O741" s="1917"/>
      <c r="P741" s="1917"/>
      <c r="Q741" s="1918"/>
      <c r="S741" s="1916"/>
      <c r="T741" s="1917"/>
      <c r="U741" s="1917"/>
      <c r="V741" s="1918"/>
      <c r="X741" s="1916"/>
      <c r="Y741" s="1917"/>
      <c r="Z741" s="1917"/>
      <c r="AA741" s="1918"/>
      <c r="AC741" s="1916"/>
      <c r="AD741" s="1917"/>
      <c r="AE741" s="1917"/>
      <c r="AF741" s="1918"/>
      <c r="AH741" s="1916"/>
      <c r="AI741" s="1917"/>
      <c r="AJ741" s="1917"/>
      <c r="AK741" s="1918"/>
    </row>
    <row r="742" spans="2:38" s="180" customFormat="1" x14ac:dyDescent="0.45">
      <c r="B742" s="1942"/>
      <c r="C742" s="1945"/>
      <c r="D742" s="1916"/>
      <c r="E742" s="1917"/>
      <c r="F742" s="1917"/>
      <c r="G742" s="1918"/>
      <c r="I742" s="1916"/>
      <c r="J742" s="1917"/>
      <c r="K742" s="1917"/>
      <c r="L742" s="1918"/>
      <c r="N742" s="1916"/>
      <c r="O742" s="1917"/>
      <c r="P742" s="1917"/>
      <c r="Q742" s="1918"/>
      <c r="S742" s="1916"/>
      <c r="T742" s="1917"/>
      <c r="U742" s="1917"/>
      <c r="V742" s="1918"/>
      <c r="X742" s="1916"/>
      <c r="Y742" s="1917"/>
      <c r="Z742" s="1917"/>
      <c r="AA742" s="1918"/>
      <c r="AC742" s="1916"/>
      <c r="AD742" s="1917"/>
      <c r="AE742" s="1917"/>
      <c r="AF742" s="1918"/>
      <c r="AH742" s="1916"/>
      <c r="AI742" s="1917"/>
      <c r="AJ742" s="1917"/>
      <c r="AK742" s="1918"/>
    </row>
    <row r="743" spans="2:38" s="180" customFormat="1" x14ac:dyDescent="0.45">
      <c r="B743" s="1942"/>
      <c r="C743" s="1945"/>
      <c r="D743" s="1916"/>
      <c r="E743" s="1917"/>
      <c r="F743" s="1917"/>
      <c r="G743" s="1918"/>
      <c r="I743" s="1916"/>
      <c r="J743" s="1917"/>
      <c r="K743" s="1917"/>
      <c r="L743" s="1918"/>
      <c r="N743" s="1916"/>
      <c r="O743" s="1917"/>
      <c r="P743" s="1917"/>
      <c r="Q743" s="1918"/>
      <c r="S743" s="1916"/>
      <c r="T743" s="1917"/>
      <c r="U743" s="1917"/>
      <c r="V743" s="1918"/>
      <c r="X743" s="1916"/>
      <c r="Y743" s="1917"/>
      <c r="Z743" s="1917"/>
      <c r="AA743" s="1918"/>
      <c r="AC743" s="1916"/>
      <c r="AD743" s="1917"/>
      <c r="AE743" s="1917"/>
      <c r="AF743" s="1918"/>
      <c r="AH743" s="1916"/>
      <c r="AI743" s="1917"/>
      <c r="AJ743" s="1917"/>
      <c r="AK743" s="1918"/>
    </row>
    <row r="744" spans="2:38" s="180" customFormat="1" x14ac:dyDescent="0.45">
      <c r="B744" s="1942"/>
      <c r="C744" s="1945"/>
      <c r="D744" s="1916"/>
      <c r="E744" s="1917"/>
      <c r="F744" s="1917"/>
      <c r="G744" s="1918"/>
      <c r="I744" s="1916"/>
      <c r="J744" s="1917"/>
      <c r="K744" s="1917"/>
      <c r="L744" s="1918"/>
      <c r="N744" s="1916"/>
      <c r="O744" s="1917"/>
      <c r="P744" s="1917"/>
      <c r="Q744" s="1918"/>
      <c r="S744" s="1916"/>
      <c r="T744" s="1917"/>
      <c r="U744" s="1917"/>
      <c r="V744" s="1918"/>
      <c r="X744" s="1916"/>
      <c r="Y744" s="1917"/>
      <c r="Z744" s="1917"/>
      <c r="AA744" s="1918"/>
      <c r="AC744" s="1916"/>
      <c r="AD744" s="1917"/>
      <c r="AE744" s="1917"/>
      <c r="AF744" s="1918"/>
      <c r="AH744" s="1916"/>
      <c r="AI744" s="1917"/>
      <c r="AJ744" s="1917"/>
      <c r="AK744" s="1918"/>
    </row>
    <row r="745" spans="2:38" s="180" customFormat="1" ht="15.75" customHeight="1" x14ac:dyDescent="0.45">
      <c r="B745" s="1942"/>
      <c r="C745" s="1945"/>
      <c r="D745" s="1916"/>
      <c r="E745" s="1917"/>
      <c r="F745" s="1917"/>
      <c r="G745" s="1918"/>
      <c r="I745" s="1916"/>
      <c r="J745" s="1917"/>
      <c r="K745" s="1917"/>
      <c r="L745" s="1918"/>
      <c r="N745" s="1916"/>
      <c r="O745" s="1917"/>
      <c r="P745" s="1917"/>
      <c r="Q745" s="1918"/>
      <c r="S745" s="1916"/>
      <c r="T745" s="1917"/>
      <c r="U745" s="1917"/>
      <c r="V745" s="1918"/>
      <c r="X745" s="1916"/>
      <c r="Y745" s="1917"/>
      <c r="Z745" s="1917"/>
      <c r="AA745" s="1918"/>
      <c r="AC745" s="1916"/>
      <c r="AD745" s="1917"/>
      <c r="AE745" s="1917"/>
      <c r="AF745" s="1918"/>
      <c r="AH745" s="1916"/>
      <c r="AI745" s="1917"/>
      <c r="AJ745" s="1917"/>
      <c r="AK745" s="1918"/>
    </row>
    <row r="746" spans="2:38" s="180" customFormat="1" x14ac:dyDescent="0.45">
      <c r="B746" s="1942"/>
      <c r="C746" s="1945"/>
      <c r="D746" s="1916"/>
      <c r="E746" s="1917"/>
      <c r="F746" s="1917"/>
      <c r="G746" s="1918"/>
      <c r="I746" s="1916"/>
      <c r="J746" s="1917"/>
      <c r="K746" s="1917"/>
      <c r="L746" s="1918"/>
      <c r="N746" s="1916"/>
      <c r="O746" s="1917"/>
      <c r="P746" s="1917"/>
      <c r="Q746" s="1918"/>
      <c r="S746" s="1916"/>
      <c r="T746" s="1917"/>
      <c r="U746" s="1917"/>
      <c r="V746" s="1918"/>
      <c r="X746" s="1916"/>
      <c r="Y746" s="1917"/>
      <c r="Z746" s="1917"/>
      <c r="AA746" s="1918"/>
      <c r="AC746" s="1916"/>
      <c r="AD746" s="1917"/>
      <c r="AE746" s="1917"/>
      <c r="AF746" s="1918"/>
      <c r="AH746" s="1916"/>
      <c r="AI746" s="1917"/>
      <c r="AJ746" s="1917"/>
      <c r="AK746" s="1918"/>
    </row>
    <row r="747" spans="2:38" s="180" customFormat="1" x14ac:dyDescent="0.45">
      <c r="B747" s="1942"/>
      <c r="C747" s="1945"/>
      <c r="D747" s="1916"/>
      <c r="E747" s="1917"/>
      <c r="F747" s="1917"/>
      <c r="G747" s="1918"/>
      <c r="I747" s="1916"/>
      <c r="J747" s="1917"/>
      <c r="K747" s="1917"/>
      <c r="L747" s="1918"/>
      <c r="N747" s="1916"/>
      <c r="O747" s="1917"/>
      <c r="P747" s="1917"/>
      <c r="Q747" s="1918"/>
      <c r="S747" s="1916"/>
      <c r="T747" s="1917"/>
      <c r="U747" s="1917"/>
      <c r="V747" s="1918"/>
      <c r="X747" s="1916"/>
      <c r="Y747" s="1917"/>
      <c r="Z747" s="1917"/>
      <c r="AA747" s="1918"/>
      <c r="AC747" s="1916"/>
      <c r="AD747" s="1917"/>
      <c r="AE747" s="1917"/>
      <c r="AF747" s="1918"/>
      <c r="AH747" s="1916"/>
      <c r="AI747" s="1917"/>
      <c r="AJ747" s="1917"/>
      <c r="AK747" s="1918"/>
    </row>
    <row r="748" spans="2:38" s="180" customFormat="1" x14ac:dyDescent="0.45">
      <c r="B748" s="1942"/>
      <c r="C748" s="1945"/>
      <c r="D748" s="1916"/>
      <c r="E748" s="1917"/>
      <c r="F748" s="1917"/>
      <c r="G748" s="1918"/>
      <c r="I748" s="1916"/>
      <c r="J748" s="1917"/>
      <c r="K748" s="1917"/>
      <c r="L748" s="1918"/>
      <c r="N748" s="1916"/>
      <c r="O748" s="1917"/>
      <c r="P748" s="1917"/>
      <c r="Q748" s="1918"/>
      <c r="S748" s="1916"/>
      <c r="T748" s="1917"/>
      <c r="U748" s="1917"/>
      <c r="V748" s="1918"/>
      <c r="X748" s="1916"/>
      <c r="Y748" s="1917"/>
      <c r="Z748" s="1917"/>
      <c r="AA748" s="1918"/>
      <c r="AC748" s="1916"/>
      <c r="AD748" s="1917"/>
      <c r="AE748" s="1917"/>
      <c r="AF748" s="1918"/>
      <c r="AH748" s="1916"/>
      <c r="AI748" s="1917"/>
      <c r="AJ748" s="1917"/>
      <c r="AK748" s="1918"/>
    </row>
    <row r="749" spans="2:38" s="180" customFormat="1" x14ac:dyDescent="0.45">
      <c r="B749" s="1942"/>
      <c r="C749" s="1945"/>
      <c r="D749" s="1916"/>
      <c r="E749" s="1917"/>
      <c r="F749" s="1917"/>
      <c r="G749" s="1918"/>
      <c r="I749" s="1916"/>
      <c r="J749" s="1917"/>
      <c r="K749" s="1917"/>
      <c r="L749" s="1918"/>
      <c r="N749" s="1916"/>
      <c r="O749" s="1917"/>
      <c r="P749" s="1917"/>
      <c r="Q749" s="1918"/>
      <c r="S749" s="1916"/>
      <c r="T749" s="1917"/>
      <c r="U749" s="1917"/>
      <c r="V749" s="1918"/>
      <c r="X749" s="1916"/>
      <c r="Y749" s="1917"/>
      <c r="Z749" s="1917"/>
      <c r="AA749" s="1918"/>
      <c r="AC749" s="1916"/>
      <c r="AD749" s="1917"/>
      <c r="AE749" s="1917"/>
      <c r="AF749" s="1918"/>
      <c r="AH749" s="1916"/>
      <c r="AI749" s="1917"/>
      <c r="AJ749" s="1917"/>
      <c r="AK749" s="1918"/>
    </row>
    <row r="750" spans="2:38" s="180" customFormat="1" x14ac:dyDescent="0.45">
      <c r="B750" s="1942"/>
      <c r="C750" s="1945"/>
      <c r="D750" s="1916"/>
      <c r="E750" s="1917"/>
      <c r="F750" s="1917"/>
      <c r="G750" s="1918"/>
      <c r="I750" s="1916"/>
      <c r="J750" s="1917"/>
      <c r="K750" s="1917"/>
      <c r="L750" s="1918"/>
      <c r="N750" s="1916"/>
      <c r="O750" s="1917"/>
      <c r="P750" s="1917"/>
      <c r="Q750" s="1918"/>
      <c r="S750" s="1916"/>
      <c r="T750" s="1917"/>
      <c r="U750" s="1917"/>
      <c r="V750" s="1918"/>
      <c r="X750" s="1916"/>
      <c r="Y750" s="1917"/>
      <c r="Z750" s="1917"/>
      <c r="AA750" s="1918"/>
      <c r="AC750" s="1916"/>
      <c r="AD750" s="1917"/>
      <c r="AE750" s="1917"/>
      <c r="AF750" s="1918"/>
      <c r="AH750" s="1916"/>
      <c r="AI750" s="1917"/>
      <c r="AJ750" s="1917"/>
      <c r="AK750" s="1918"/>
    </row>
    <row r="751" spans="2:38" s="180" customFormat="1" x14ac:dyDescent="0.45">
      <c r="B751" s="1942"/>
      <c r="C751" s="1945"/>
      <c r="D751" s="1919"/>
      <c r="E751" s="1920"/>
      <c r="F751" s="1920"/>
      <c r="G751" s="1921"/>
      <c r="I751" s="1919"/>
      <c r="J751" s="1920"/>
      <c r="K751" s="1920"/>
      <c r="L751" s="1921"/>
      <c r="N751" s="1919"/>
      <c r="O751" s="1920"/>
      <c r="P751" s="1920"/>
      <c r="Q751" s="1921"/>
      <c r="S751" s="1919"/>
      <c r="T751" s="1920"/>
      <c r="U751" s="1920"/>
      <c r="V751" s="1921"/>
      <c r="X751" s="1919"/>
      <c r="Y751" s="1920"/>
      <c r="Z751" s="1920"/>
      <c r="AA751" s="1921"/>
      <c r="AC751" s="1919"/>
      <c r="AD751" s="1920"/>
      <c r="AE751" s="1920"/>
      <c r="AF751" s="1921"/>
      <c r="AH751" s="1919"/>
      <c r="AI751" s="1920"/>
      <c r="AJ751" s="1920"/>
      <c r="AK751" s="1921"/>
    </row>
    <row r="752" spans="2:38" s="180" customFormat="1" ht="15" customHeight="1" x14ac:dyDescent="0.45">
      <c r="B752" s="1942"/>
      <c r="C752" s="1945"/>
      <c r="D752" s="1913" t="str">
        <f ca="1">IF(G732&gt;0,CONCATENATE("Session Aim: 
", CONCATENATE(IF(INDEX(final_duration_secondary,((WEEKDAY(E$3,2)*2-1)+IF(E732="Morning",0,1)),D732)=0, "", "1. "),
INDEX(sessions_aim_primary,, INDEX(plan_session_allocation,((WEEKDAY(E$3,2)*2-1)+IF(E732="Morning",0,1)),D732)), IF(INDEX(final_duration_secondary,((WEEKDAY(E$3,2)*2-1)+IF(E732="Morning",0,1)),D732)=0, "", "
2. "),
IF(INDEX(final_duration_secondary,((WEEKDAY(E$3,2)*2-1)+IF(E732="Morning",0,1)),D732)=0, "", INDEX(sessions_aim_secondary,, INDEX(plan_session_allocation,((WEEKDAY(E$3,2)*2-1)+IF(E732="Morning",0,1)),D732))), IF(INDEX(final_duration_tertiary,((WEEKDAY(E$3,2)*2-1)+IF(E732="Morning",0,1)),D732)=0, "", "
3. "),
IF(INDEX(final_duration_tertiary,((WEEKDAY(E$3,2)*2-1)+IF(E732="Morning",0,1)),D732)=0, "", INDEX(sessions_aim_tertiary,, INDEX(plan_session_allocation,((WEEKDAY(E$3,2)*2-1)+IF(E732="Morning",0,1)),D732))),
IF(INDEX(display_nutrition_description,((WEEKDAY(E$3,2)*2-1)+IF(E732="Morning",0,1)),D732)="","",
CONCATENATE("
Nutrition Aim:
", INDEX(sessions_aim_nutrition,,INDEX(plan_session_allocation,((WEEKDAY(E$3,2)*2-1)+IF(E732="Morning",0,1)),D732))
))
)),"")</f>
        <v xml:space="preserve">Session Aim: 
Improve aerobic fitness while minimising the chance of injury. </v>
      </c>
      <c r="E752" s="1914"/>
      <c r="F752" s="1914"/>
      <c r="G752" s="1915"/>
      <c r="I752" s="1913" t="str">
        <f ca="1">IF(L732&gt;0,CONCATENATE("Session Aim: 
", CONCATENATE(IF(INDEX(final_duration_secondary,((WEEKDAY(J$3,2)*2-1)+IF(J732="Morning",0,1)),I732)=0, "", "1. "),
INDEX(sessions_aim_primary,, INDEX(plan_session_allocation,((WEEKDAY(J$3,2)*2-1)+IF(J732="Morning",0,1)),I732)), IF(INDEX(final_duration_secondary,((WEEKDAY(J$3,2)*2-1)+IF(J732="Morning",0,1)),I732)=0, "", "
2. "),
IF(INDEX(final_duration_secondary,((WEEKDAY(J$3,2)*2-1)+IF(J732="Morning",0,1)),I732)=0, "", INDEX(sessions_aim_secondary,, INDEX(plan_session_allocation,((WEEKDAY(J$3,2)*2-1)+IF(J732="Morning",0,1)),I732))), IF(INDEX(final_duration_tertiary,((WEEKDAY(J$3,2)*2-1)+IF(J732="Morning",0,1)),I732)=0, "", "
3. "),
IF(INDEX(final_duration_tertiary,((WEEKDAY(J$3,2)*2-1)+IF(J732="Morning",0,1)),I732)=0, "", INDEX(sessions_aim_tertiary,, INDEX(plan_session_allocation,((WEEKDAY(J$3,2)*2-1)+IF(J732="Morning",0,1)),I732))),
IF(INDEX(display_nutrition_description,((WEEKDAY(J$3,2)*2-1)+IF(J732="Morning",0,1)),I732)="","",
CONCATENATE("
Nutrition Aim:
", INDEX(sessions_aim_nutrition,,INDEX(plan_session_allocation,((WEEKDAY(J$3,2)*2-1)+IF(J732="Morning",0,1)),I732))
))
)),"")</f>
        <v xml:space="preserve">Session Aim: 
Improve aerobic fitness while minimising the chance of injury. </v>
      </c>
      <c r="J752" s="1914"/>
      <c r="K752" s="1914"/>
      <c r="L752" s="1915"/>
      <c r="N752" s="1913" t="str">
        <f ca="1">IF(Q732&gt;0,CONCATENATE("Session Aim: 
", CONCATENATE(IF(INDEX(final_duration_secondary,((WEEKDAY(O$3,2)*2-1)+IF(O732="Morning",0,1)),N732)=0, "", "1. "),
INDEX(sessions_aim_primary,, INDEX(plan_session_allocation,((WEEKDAY(O$3,2)*2-1)+IF(O732="Morning",0,1)),N732)), IF(INDEX(final_duration_secondary,((WEEKDAY(O$3,2)*2-1)+IF(O732="Morning",0,1)),N732)=0, "", "
2. "),
IF(INDEX(final_duration_secondary,((WEEKDAY(O$3,2)*2-1)+IF(O732="Morning",0,1)),N732)=0, "", INDEX(sessions_aim_secondary,, INDEX(plan_session_allocation,((WEEKDAY(O$3,2)*2-1)+IF(O732="Morning",0,1)),N732))), IF(INDEX(final_duration_tertiary,((WEEKDAY(O$3,2)*2-1)+IF(O732="Morning",0,1)),N732)=0, "", "
3. "),
IF(INDEX(final_duration_tertiary,((WEEKDAY(O$3,2)*2-1)+IF(O732="Morning",0,1)),N732)=0, "", INDEX(sessions_aim_tertiary,, INDEX(plan_session_allocation,((WEEKDAY(O$3,2)*2-1)+IF(O732="Morning",0,1)),N732))),
IF(INDEX(display_nutrition_description,((WEEKDAY(O$3,2)*2-1)+IF(O732="Morning",0,1)),N732)="","",
CONCATENATE("
Nutrition Aim:
", INDEX(sessions_aim_nutrition,,INDEX(plan_session_allocation,((WEEKDAY(O$3,2)*2-1)+IF(O732="Morning",0,1)),N732))
))
)),"")</f>
        <v/>
      </c>
      <c r="O752" s="1914"/>
      <c r="P752" s="1914"/>
      <c r="Q752" s="1915"/>
      <c r="S752" s="1913" t="str">
        <f ca="1">IF(V732&gt;0,CONCATENATE("Session Aim: 
", CONCATENATE(IF(INDEX(final_duration_secondary,((WEEKDAY(T$3,2)*2-1)+IF(T732="Morning",0,1)),S732)=0, "", "1. "),
INDEX(sessions_aim_primary,, INDEX(plan_session_allocation,((WEEKDAY(T$3,2)*2-1)+IF(T732="Morning",0,1)),S732)), IF(INDEX(final_duration_secondary,((WEEKDAY(T$3,2)*2-1)+IF(T732="Morning",0,1)),S732)=0, "", "
2. "),
IF(INDEX(final_duration_secondary,((WEEKDAY(T$3,2)*2-1)+IF(T732="Morning",0,1)),S732)=0, "", INDEX(sessions_aim_secondary,, INDEX(plan_session_allocation,((WEEKDAY(T$3,2)*2-1)+IF(T732="Morning",0,1)),S732))), IF(INDEX(final_duration_tertiary,((WEEKDAY(T$3,2)*2-1)+IF(T732="Morning",0,1)),S732)=0, "", "
3. "),
IF(INDEX(final_duration_tertiary,((WEEKDAY(T$3,2)*2-1)+IF(T732="Morning",0,1)),S732)=0, "", INDEX(sessions_aim_tertiary,, INDEX(plan_session_allocation,((WEEKDAY(T$3,2)*2-1)+IF(T732="Morning",0,1)),S732))),
IF(INDEX(display_nutrition_description,((WEEKDAY(T$3,2)*2-1)+IF(T732="Morning",0,1)),S732)="","",
CONCATENATE("
Nutrition Aim:
", INDEX(sessions_aim_nutrition,,INDEX(plan_session_allocation,((WEEKDAY(T$3,2)*2-1)+IF(T732="Morning",0,1)),S732))
))
)),"")</f>
        <v xml:space="preserve">Session Aim: 
Improve aerobic fitness while minimising the chance of injury. </v>
      </c>
      <c r="T752" s="1914"/>
      <c r="U752" s="1914"/>
      <c r="V752" s="1915"/>
      <c r="X752" s="1913" t="str">
        <f ca="1">IF(AA732&gt;0,CONCATENATE("Session Aim: 
", CONCATENATE(IF(INDEX(final_duration_secondary,((WEEKDAY(Y$3,2)*2-1)+IF(Y732="Morning",0,1)),X732)=0, "", "1. "),
INDEX(sessions_aim_primary,, INDEX(plan_session_allocation,((WEEKDAY(Y$3,2)*2-1)+IF(Y732="Morning",0,1)),X732)), IF(INDEX(final_duration_secondary,((WEEKDAY(Y$3,2)*2-1)+IF(Y732="Morning",0,1)),X732)=0, "", "
2. "),
IF(INDEX(final_duration_secondary,((WEEKDAY(Y$3,2)*2-1)+IF(Y732="Morning",0,1)),X732)=0, "", INDEX(sessions_aim_secondary,, INDEX(plan_session_allocation,((WEEKDAY(Y$3,2)*2-1)+IF(Y732="Morning",0,1)),X732))), IF(INDEX(final_duration_tertiary,((WEEKDAY(Y$3,2)*2-1)+IF(Y732="Morning",0,1)),X732)=0, "", "
3. "),
IF(INDEX(final_duration_tertiary,((WEEKDAY(Y$3,2)*2-1)+IF(Y732="Morning",0,1)),X732)=0, "", INDEX(sessions_aim_tertiary,, INDEX(plan_session_allocation,((WEEKDAY(Y$3,2)*2-1)+IF(Y732="Morning",0,1)),X732))),
IF(INDEX(display_nutrition_description,((WEEKDAY(Y$3,2)*2-1)+IF(Y732="Morning",0,1)),X732)="","",
CONCATENATE("
Nutrition Aim:
", INDEX(sessions_aim_nutrition,,INDEX(plan_session_allocation,((WEEKDAY(Y$3,2)*2-1)+IF(Y732="Morning",0,1)),X732))
))
)),"")</f>
        <v xml:space="preserve">Session Aim: 
Improve aerobic fitness while minimising the chance of injury. </v>
      </c>
      <c r="Y752" s="1914"/>
      <c r="Z752" s="1914"/>
      <c r="AA752" s="1915"/>
      <c r="AC752" s="1913" t="str">
        <f ca="1">IF(AF732&gt;0,CONCATENATE("Session Aim: 
", CONCATENATE(IF(INDEX(final_duration_secondary,((WEEKDAY(AD$3,2)*2-1)+IF(AD732="Morning",0,1)),AC732)=0, "", "1. "),
INDEX(sessions_aim_primary,, INDEX(plan_session_allocation,((WEEKDAY(AD$3,2)*2-1)+IF(AD732="Morning",0,1)),AC732)), IF(INDEX(final_duration_secondary,((WEEKDAY(AD$3,2)*2-1)+IF(AD732="Morning",0,1)),AC732)=0, "", "
2. "),
IF(INDEX(final_duration_secondary,((WEEKDAY(AD$3,2)*2-1)+IF(AD732="Morning",0,1)),AC732)=0, "", INDEX(sessions_aim_secondary,, INDEX(plan_session_allocation,((WEEKDAY(AD$3,2)*2-1)+IF(AD732="Morning",0,1)),AC732))), IF(INDEX(final_duration_tertiary,((WEEKDAY(AD$3,2)*2-1)+IF(AD732="Morning",0,1)),AC732)=0, "", "
3. "),
IF(INDEX(final_duration_tertiary,((WEEKDAY(AD$3,2)*2-1)+IF(AD732="Morning",0,1)),AC732)=0, "", INDEX(sessions_aim_tertiary,, INDEX(plan_session_allocation,((WEEKDAY(AD$3,2)*2-1)+IF(AD732="Morning",0,1)),AC732))),
IF(INDEX(display_nutrition_description,((WEEKDAY(AD$3,2)*2-1)+IF(AD732="Morning",0,1)),AC732)="","",
CONCATENATE("
Nutrition Aim:
", INDEX(sessions_aim_nutrition,,INDEX(plan_session_allocation,((WEEKDAY(AD$3,2)*2-1)+IF(AD732="Morning",0,1)),AC732))
))
)),"")</f>
        <v>Session Aim: 
Improve aerobic fitness at an optimal rate.</v>
      </c>
      <c r="AD752" s="1914"/>
      <c r="AE752" s="1914"/>
      <c r="AF752" s="1915"/>
      <c r="AH752" s="1913" t="str">
        <f ca="1">IF(AK732&gt;0,CONCATENATE("Session Aim: 
", CONCATENATE(IF(INDEX(final_duration_secondary,((WEEKDAY(AI$3,2)*2-1)+IF(AI732="Morning",0,1)),AH732)=0, "", "1. "),
INDEX(sessions_aim_primary,, INDEX(plan_session_allocation,((WEEKDAY(AI$3,2)*2-1)+IF(AI732="Morning",0,1)),AH732)), IF(INDEX(final_duration_secondary,((WEEKDAY(AI$3,2)*2-1)+IF(AI732="Morning",0,1)),AH732)=0, "", "
2. "),
IF(INDEX(final_duration_secondary,((WEEKDAY(AI$3,2)*2-1)+IF(AI732="Morning",0,1)),AH732)=0, "", INDEX(sessions_aim_secondary,, INDEX(plan_session_allocation,((WEEKDAY(AI$3,2)*2-1)+IF(AI732="Morning",0,1)),AH732))), IF(INDEX(final_duration_tertiary,((WEEKDAY(AI$3,2)*2-1)+IF(AI732="Morning",0,1)),AH732)=0, "", "
3. "),
IF(INDEX(final_duration_tertiary,((WEEKDAY(AI$3,2)*2-1)+IF(AI732="Morning",0,1)),AH732)=0, "", INDEX(sessions_aim_tertiary,, INDEX(plan_session_allocation,((WEEKDAY(AI$3,2)*2-1)+IF(AI732="Morning",0,1)),AH732))),
IF(INDEX(display_nutrition_description,((WEEKDAY(AI$3,2)*2-1)+IF(AI732="Morning",0,1)),AH732)="","",
CONCATENATE("
Nutrition Aim:
", INDEX(sessions_aim_nutrition,,INDEX(plan_session_allocation,((WEEKDAY(AI$3,2)*2-1)+IF(AI732="Morning",0,1)),AH732))
))
)),"")</f>
        <v xml:space="preserve">Session Aim: 
Improve aerobic fitness and energy utilisation. </v>
      </c>
      <c r="AI752" s="1914"/>
      <c r="AJ752" s="1914"/>
      <c r="AK752" s="1915"/>
    </row>
    <row r="753" spans="2:38" s="180" customFormat="1" x14ac:dyDescent="0.45">
      <c r="B753" s="1942"/>
      <c r="C753" s="1945"/>
      <c r="D753" s="1916"/>
      <c r="E753" s="1917"/>
      <c r="F753" s="1917"/>
      <c r="G753" s="1918"/>
      <c r="I753" s="1916"/>
      <c r="J753" s="1917"/>
      <c r="K753" s="1917"/>
      <c r="L753" s="1918"/>
      <c r="N753" s="1916"/>
      <c r="O753" s="1917"/>
      <c r="P753" s="1917"/>
      <c r="Q753" s="1918"/>
      <c r="S753" s="1916"/>
      <c r="T753" s="1917"/>
      <c r="U753" s="1917"/>
      <c r="V753" s="1918"/>
      <c r="X753" s="1916"/>
      <c r="Y753" s="1917"/>
      <c r="Z753" s="1917"/>
      <c r="AA753" s="1918"/>
      <c r="AC753" s="1916"/>
      <c r="AD753" s="1917"/>
      <c r="AE753" s="1917"/>
      <c r="AF753" s="1918"/>
      <c r="AH753" s="1916"/>
      <c r="AI753" s="1917"/>
      <c r="AJ753" s="1917"/>
      <c r="AK753" s="1918"/>
    </row>
    <row r="754" spans="2:38" s="180" customFormat="1" x14ac:dyDescent="0.45">
      <c r="B754" s="1942"/>
      <c r="C754" s="1945"/>
      <c r="D754" s="1916"/>
      <c r="E754" s="1917"/>
      <c r="F754" s="1917"/>
      <c r="G754" s="1918"/>
      <c r="I754" s="1916"/>
      <c r="J754" s="1917"/>
      <c r="K754" s="1917"/>
      <c r="L754" s="1918"/>
      <c r="N754" s="1916"/>
      <c r="O754" s="1917"/>
      <c r="P754" s="1917"/>
      <c r="Q754" s="1918"/>
      <c r="S754" s="1916"/>
      <c r="T754" s="1917"/>
      <c r="U754" s="1917"/>
      <c r="V754" s="1918"/>
      <c r="X754" s="1916"/>
      <c r="Y754" s="1917"/>
      <c r="Z754" s="1917"/>
      <c r="AA754" s="1918"/>
      <c r="AC754" s="1916"/>
      <c r="AD754" s="1917"/>
      <c r="AE754" s="1917"/>
      <c r="AF754" s="1918"/>
      <c r="AH754" s="1916"/>
      <c r="AI754" s="1917"/>
      <c r="AJ754" s="1917"/>
      <c r="AK754" s="1918"/>
    </row>
    <row r="755" spans="2:38" s="180" customFormat="1" x14ac:dyDescent="0.45">
      <c r="B755" s="1942"/>
      <c r="C755" s="1945"/>
      <c r="D755" s="1916"/>
      <c r="E755" s="1917"/>
      <c r="F755" s="1917"/>
      <c r="G755" s="1918"/>
      <c r="I755" s="1916"/>
      <c r="J755" s="1917"/>
      <c r="K755" s="1917"/>
      <c r="L755" s="1918"/>
      <c r="N755" s="1916"/>
      <c r="O755" s="1917"/>
      <c r="P755" s="1917"/>
      <c r="Q755" s="1918"/>
      <c r="S755" s="1916"/>
      <c r="T755" s="1917"/>
      <c r="U755" s="1917"/>
      <c r="V755" s="1918"/>
      <c r="X755" s="1916"/>
      <c r="Y755" s="1917"/>
      <c r="Z755" s="1917"/>
      <c r="AA755" s="1918"/>
      <c r="AC755" s="1916"/>
      <c r="AD755" s="1917"/>
      <c r="AE755" s="1917"/>
      <c r="AF755" s="1918"/>
      <c r="AH755" s="1916"/>
      <c r="AI755" s="1917"/>
      <c r="AJ755" s="1917"/>
      <c r="AK755" s="1918"/>
    </row>
    <row r="756" spans="2:38" s="180" customFormat="1" x14ac:dyDescent="0.45">
      <c r="B756" s="1942"/>
      <c r="C756" s="1945"/>
      <c r="D756" s="1916"/>
      <c r="E756" s="1917"/>
      <c r="F756" s="1917"/>
      <c r="G756" s="1918"/>
      <c r="I756" s="1916"/>
      <c r="J756" s="1917"/>
      <c r="K756" s="1917"/>
      <c r="L756" s="1918"/>
      <c r="N756" s="1916"/>
      <c r="O756" s="1917"/>
      <c r="P756" s="1917"/>
      <c r="Q756" s="1918"/>
      <c r="S756" s="1916"/>
      <c r="T756" s="1917"/>
      <c r="U756" s="1917"/>
      <c r="V756" s="1918"/>
      <c r="X756" s="1916"/>
      <c r="Y756" s="1917"/>
      <c r="Z756" s="1917"/>
      <c r="AA756" s="1918"/>
      <c r="AC756" s="1916"/>
      <c r="AD756" s="1917"/>
      <c r="AE756" s="1917"/>
      <c r="AF756" s="1918"/>
      <c r="AH756" s="1916"/>
      <c r="AI756" s="1917"/>
      <c r="AJ756" s="1917"/>
      <c r="AK756" s="1918"/>
    </row>
    <row r="757" spans="2:38" s="180" customFormat="1" x14ac:dyDescent="0.45">
      <c r="B757" s="1942"/>
      <c r="C757" s="1945"/>
      <c r="D757" s="1916"/>
      <c r="E757" s="1917"/>
      <c r="F757" s="1917"/>
      <c r="G757" s="1918"/>
      <c r="I757" s="1916"/>
      <c r="J757" s="1917"/>
      <c r="K757" s="1917"/>
      <c r="L757" s="1918"/>
      <c r="N757" s="1916"/>
      <c r="O757" s="1917"/>
      <c r="P757" s="1917"/>
      <c r="Q757" s="1918"/>
      <c r="S757" s="1916"/>
      <c r="T757" s="1917"/>
      <c r="U757" s="1917"/>
      <c r="V757" s="1918"/>
      <c r="X757" s="1916"/>
      <c r="Y757" s="1917"/>
      <c r="Z757" s="1917"/>
      <c r="AA757" s="1918"/>
      <c r="AC757" s="1916"/>
      <c r="AD757" s="1917"/>
      <c r="AE757" s="1917"/>
      <c r="AF757" s="1918"/>
      <c r="AH757" s="1916"/>
      <c r="AI757" s="1917"/>
      <c r="AJ757" s="1917"/>
      <c r="AK757" s="1918"/>
    </row>
    <row r="758" spans="2:38" s="180" customFormat="1" ht="14.65" thickBot="1" x14ac:dyDescent="0.5">
      <c r="B758" s="1942"/>
      <c r="C758" s="1945"/>
      <c r="D758" s="1938"/>
      <c r="E758" s="1939"/>
      <c r="F758" s="1939"/>
      <c r="G758" s="1940"/>
      <c r="I758" s="1938"/>
      <c r="J758" s="1939"/>
      <c r="K758" s="1939"/>
      <c r="L758" s="1940"/>
      <c r="N758" s="1938"/>
      <c r="O758" s="1939"/>
      <c r="P758" s="1939"/>
      <c r="Q758" s="1940"/>
      <c r="S758" s="1938"/>
      <c r="T758" s="1939"/>
      <c r="U758" s="1939"/>
      <c r="V758" s="1940"/>
      <c r="X758" s="1938"/>
      <c r="Y758" s="1939"/>
      <c r="Z758" s="1939"/>
      <c r="AA758" s="1940"/>
      <c r="AC758" s="1938"/>
      <c r="AD758" s="1939"/>
      <c r="AE758" s="1939"/>
      <c r="AF758" s="1940"/>
      <c r="AH758" s="1938"/>
      <c r="AI758" s="1939"/>
      <c r="AJ758" s="1939"/>
      <c r="AK758" s="1940"/>
    </row>
    <row r="759" spans="2:38" s="176" customFormat="1" ht="15.75" customHeight="1" x14ac:dyDescent="0.45">
      <c r="B759" s="1942"/>
      <c r="C759" s="1945"/>
      <c r="D759" s="1415">
        <f>$B731</f>
        <v>14</v>
      </c>
      <c r="E759" s="1930" t="s">
        <v>352</v>
      </c>
      <c r="F759" s="1930"/>
      <c r="G759" s="1414">
        <f ca="1">INDEX(final_duration_session,((WEEKDAY(E$3,2)*2-1)+IF(E759="Morning",0,1)),$D759)</f>
        <v>60</v>
      </c>
      <c r="H759" s="177"/>
      <c r="I759" s="1415">
        <f>$B731</f>
        <v>14</v>
      </c>
      <c r="J759" s="1930" t="s">
        <v>352</v>
      </c>
      <c r="K759" s="1930"/>
      <c r="L759" s="1414">
        <f ca="1">INDEX(final_duration_session,((WEEKDAY(J$3,2)*2-1)+IF(J759="Morning",0,1)),$D759)</f>
        <v>55</v>
      </c>
      <c r="M759" s="177"/>
      <c r="N759" s="1415">
        <f>$B731</f>
        <v>14</v>
      </c>
      <c r="O759" s="1930" t="s">
        <v>352</v>
      </c>
      <c r="P759" s="1930"/>
      <c r="Q759" s="1414">
        <f ca="1">INDEX(final_duration_session,((WEEKDAY(O$3,2)*2-1)+IF(O759="Morning",0,1)),$D759)</f>
        <v>80</v>
      </c>
      <c r="R759" s="177"/>
      <c r="S759" s="1415">
        <f>$B731</f>
        <v>14</v>
      </c>
      <c r="T759" s="1930" t="s">
        <v>352</v>
      </c>
      <c r="U759" s="1930"/>
      <c r="V759" s="1414">
        <f ca="1">INDEX(final_duration_session,((WEEKDAY(T$3,2)*2-1)+IF(T759="Morning",0,1)),$D759)</f>
        <v>53.6</v>
      </c>
      <c r="W759" s="177"/>
      <c r="X759" s="1415">
        <f>$B731</f>
        <v>14</v>
      </c>
      <c r="Y759" s="1930" t="s">
        <v>352</v>
      </c>
      <c r="Z759" s="1930"/>
      <c r="AA759" s="1414">
        <f ca="1">INDEX(final_duration_session,((WEEKDAY(Y$3,2)*2-1)+IF(Y759="Morning",0,1)),$D759)</f>
        <v>60</v>
      </c>
      <c r="AB759" s="177"/>
      <c r="AC759" s="1415">
        <f>$B731</f>
        <v>14</v>
      </c>
      <c r="AD759" s="1930" t="s">
        <v>352</v>
      </c>
      <c r="AE759" s="1930"/>
      <c r="AF759" s="1414">
        <f ca="1">INDEX(final_duration_session,((WEEKDAY(AD$3,2)*2-1)+IF(AD759="Morning",0,1)),$D759)</f>
        <v>80</v>
      </c>
      <c r="AG759" s="177"/>
      <c r="AH759" s="1415">
        <f>$B731</f>
        <v>14</v>
      </c>
      <c r="AI759" s="1930" t="s">
        <v>352</v>
      </c>
      <c r="AJ759" s="1930"/>
      <c r="AK759" s="1414">
        <f ca="1">INDEX(final_duration_session,((WEEKDAY(AI$3,2)*2-1)+IF(AI759="Morning",0,1)),$D759)</f>
        <v>0</v>
      </c>
      <c r="AL759" s="177"/>
    </row>
    <row r="760" spans="2:38" s="176" customFormat="1" ht="15" customHeight="1" x14ac:dyDescent="0.45">
      <c r="B760" s="1942"/>
      <c r="C760" s="1945"/>
      <c r="D760" s="1931" t="str">
        <f ca="1">IF(G759&gt;0,INDEX(sessions_name,INDEX(plan_session_allocation,((WEEKDAY(E$3,2)*2-1)+IF(E759="Morning",0,1)),D759)),"")</f>
        <v>Strength and Maintenance</v>
      </c>
      <c r="E760" s="1932"/>
      <c r="F760" s="1932"/>
      <c r="G760" s="1933"/>
      <c r="H760" s="177"/>
      <c r="I760" s="1931" t="str">
        <f ca="1">IF(L759&gt;0,INDEX(sessions_name,INDEX(plan_session_allocation,((WEEKDAY(J$3,2)*2-1)+IF(J759="Morning",0,1)),I759)),"")</f>
        <v>Hill Tempo</v>
      </c>
      <c r="J760" s="1932"/>
      <c r="K760" s="1932"/>
      <c r="L760" s="1933"/>
      <c r="M760" s="177"/>
      <c r="N760" s="1931" t="str">
        <f ca="1">IF(Q759&gt;0,INDEX(sessions_name,INDEX(plan_session_allocation,((WEEKDAY(O$3,2)*2-1)+IF(O759="Morning",0,1)),N759)),"")</f>
        <v xml:space="preserve">Easy </v>
      </c>
      <c r="O760" s="1932"/>
      <c r="P760" s="1932"/>
      <c r="Q760" s="1933"/>
      <c r="R760" s="177"/>
      <c r="S760" s="1931" t="str">
        <f ca="1">IF(V759&gt;0,INDEX(sessions_name,INDEX(plan_session_allocation,((WEEKDAY(T$3,2)*2-1)+IF(T759="Morning",0,1)),S759)),"")</f>
        <v>Intervals: 1km w/ 1min</v>
      </c>
      <c r="T760" s="1932"/>
      <c r="U760" s="1932"/>
      <c r="V760" s="1933"/>
      <c r="W760" s="177"/>
      <c r="X760" s="1931" t="str">
        <f ca="1">IF(AA759&gt;0,INDEX(sessions_name,INDEX(plan_session_allocation,((WEEKDAY(Y$3,2)*2-1)+IF(Y759="Morning",0,1)),X759)),"")</f>
        <v>Strength and Maintenance</v>
      </c>
      <c r="Y760" s="1932"/>
      <c r="Z760" s="1932"/>
      <c r="AA760" s="1933"/>
      <c r="AB760" s="177"/>
      <c r="AC760" s="1931" t="str">
        <f ca="1">IF(AF759&gt;0,INDEX(sessions_name,INDEX(plan_session_allocation,((WEEKDAY(AD$3,2)*2-1)+IF(AD759="Morning",0,1)),AC759)),"")</f>
        <v xml:space="preserve">Easy </v>
      </c>
      <c r="AD760" s="1932"/>
      <c r="AE760" s="1932"/>
      <c r="AF760" s="1933"/>
      <c r="AG760" s="177"/>
      <c r="AH760" s="1931" t="str">
        <f ca="1">IF(AK759&gt;0,INDEX(sessions_name,INDEX(plan_session_allocation,((WEEKDAY(AI$3,2)*2-1)+IF(AI759="Morning",0,1)),AH759)),"")</f>
        <v/>
      </c>
      <c r="AI760" s="1932"/>
      <c r="AJ760" s="1932"/>
      <c r="AK760" s="1933"/>
      <c r="AL760" s="177"/>
    </row>
    <row r="761" spans="2:38" s="176" customFormat="1" ht="15" customHeight="1" x14ac:dyDescent="0.45">
      <c r="B761" s="1942"/>
      <c r="C761" s="1945"/>
      <c r="D761" s="1934" t="str">
        <f ca="1">IF(G759&gt;0,CONCATENATE("Sport: ",INDEX(sessions_sport_primary,INDEX(plan_session_allocation,(WEEKDAY(E$3,2)*2-1)+IF(E759="Morning",0,1),D759))),"")</f>
        <v>Sport: Indoor</v>
      </c>
      <c r="E761" s="1935"/>
      <c r="F761" s="1936">
        <f ca="1">IF(G759&gt;0,IFERROR(F762+F763+F764,""),"")</f>
        <v>60</v>
      </c>
      <c r="G761" s="1937"/>
      <c r="H761" s="177"/>
      <c r="I761" s="1934" t="str">
        <f ca="1">IF(L759&gt;0,CONCATENATE("Sport: ",INDEX(sessions_sport_primary,INDEX(plan_session_allocation,(WEEKDAY(J$3,2)*2-1)+IF(J759="Morning",0,1),I759))),"")</f>
        <v>Sport: Hilly Trail Run</v>
      </c>
      <c r="J761" s="1935"/>
      <c r="K761" s="1936">
        <f ca="1">IF(L759&gt;0,IFERROR(K762+K763+K764,""),"")</f>
        <v>55</v>
      </c>
      <c r="L761" s="1937"/>
      <c r="M761" s="177"/>
      <c r="N761" s="1934" t="str">
        <f ca="1">IF(Q759&gt;0,CONCATENATE("Sport: ",INDEX(sessions_sport_primary,INDEX(plan_session_allocation,(WEEKDAY(O$3,2)*2-1)+IF(O759="Morning",0,1),N759))),"")</f>
        <v>Sport: Road Ride</v>
      </c>
      <c r="O761" s="1935"/>
      <c r="P761" s="1936">
        <f ca="1">IF(Q759&gt;0,IFERROR(P762+P763+P764,""),"")</f>
        <v>80</v>
      </c>
      <c r="Q761" s="1937"/>
      <c r="R761" s="177"/>
      <c r="S761" s="1934" t="str">
        <f ca="1">IF(V759&gt;0,CONCATENATE("Sport: ",INDEX(sessions_sport_primary,INDEX(plan_session_allocation,(WEEKDAY(T$3,2)*2-1)+IF(T759="Morning",0,1),S759))),"")</f>
        <v>Sport: Road Run</v>
      </c>
      <c r="T761" s="1935"/>
      <c r="U761" s="1936">
        <f ca="1">IF(V759&gt;0,IFERROR(U762+U763+U764,""),"")</f>
        <v>52.6</v>
      </c>
      <c r="V761" s="1937"/>
      <c r="W761" s="177"/>
      <c r="X761" s="1934" t="str">
        <f ca="1">IF(AA759&gt;0,CONCATENATE("Sport: ",INDEX(sessions_sport_primary,INDEX(plan_session_allocation,(WEEKDAY(Y$3,2)*2-1)+IF(Y759="Morning",0,1),X759))),"")</f>
        <v>Sport: Indoor</v>
      </c>
      <c r="Y761" s="1935"/>
      <c r="Z761" s="1936">
        <f ca="1">IF(AA759&gt;0,IFERROR(Z762+Z763+Z764,""),"")</f>
        <v>60</v>
      </c>
      <c r="AA761" s="1937"/>
      <c r="AB761" s="177"/>
      <c r="AC761" s="1934" t="str">
        <f ca="1">IF(AF759&gt;0,CONCATENATE("Sport: ",INDEX(sessions_sport_primary,INDEX(plan_session_allocation,(WEEKDAY(AD$3,2)*2-1)+IF(AD759="Morning",0,1),AC759))),"")</f>
        <v>Sport: Road Ride</v>
      </c>
      <c r="AD761" s="1935"/>
      <c r="AE761" s="1936">
        <f ca="1">IF(AF759&gt;0,IFERROR(AE762+AE763+AE764,""),"")</f>
        <v>80</v>
      </c>
      <c r="AF761" s="1937"/>
      <c r="AG761" s="177"/>
      <c r="AH761" s="1934" t="str">
        <f ca="1">IF(AK759&gt;0,CONCATENATE("Sport: ",INDEX(sessions_sport_primary,INDEX(plan_session_allocation,(WEEKDAY(AI$3,2)*2-1)+IF(AI759="Morning",0,1),AH759))),"")</f>
        <v/>
      </c>
      <c r="AI761" s="1935"/>
      <c r="AJ761" s="1936" t="str">
        <f ca="1">IF(AK759&gt;0,IFERROR(AJ762+AJ763+AJ764,""),"")</f>
        <v/>
      </c>
      <c r="AK761" s="1937"/>
      <c r="AL761" s="177"/>
    </row>
    <row r="762" spans="2:38" s="177" customFormat="1" ht="15" customHeight="1" x14ac:dyDescent="0.45">
      <c r="B762" s="1942"/>
      <c r="C762" s="1945"/>
      <c r="D762" s="1922" t="str">
        <f ca="1">IF(G759&gt;0,CONCATENATE("HR Target: ",
INDEX(sessions_HR_primary,INDEX(plan_session_allocation,((WEEKDAY(E$3,2)*2-1)+IF(E759="Morning",0,1)),D759)),
IF(INDEX(sessions_HR_primary,INDEX(plan_session_allocation,((WEEKDAY(E$3,2)*2-1)+IF(E759="Morning",0,1)),D759))="N/A","",
" BPM")),"")</f>
        <v>HR Target: N/A</v>
      </c>
      <c r="E762" s="1923"/>
      <c r="F762" s="1924">
        <f ca="1">IF(G759&gt;0,
INDEX(final_duration_effort,((WEEKDAY(E$3,2)*2-1)+IF(E759="Morning",0,1)),D759),"")</f>
        <v>60</v>
      </c>
      <c r="G762" s="1925"/>
      <c r="I762" s="1922" t="str">
        <f ca="1">IF(L759&gt;0,CONCATENATE("HR Target: ",
INDEX(sessions_HR_primary,INDEX(plan_session_allocation,((WEEKDAY(J$3,2)*2-1)+IF(J759="Morning",0,1)),I759)),
IF(INDEX(sessions_HR_primary,INDEX(plan_session_allocation,((WEEKDAY(J$3,2)*2-1)+IF(J759="Morning",0,1)),I759))="N/A","",
" BPM")),"")</f>
        <v>HR Target: 177 BPM</v>
      </c>
      <c r="J762" s="1923"/>
      <c r="K762" s="1924">
        <f ca="1">IF(L759&gt;0,
INDEX(final_duration_effort,((WEEKDAY(J$3,2)*2-1)+IF(J759="Morning",0,1)),I759),"")</f>
        <v>25</v>
      </c>
      <c r="L762" s="1925"/>
      <c r="N762" s="1922" t="str">
        <f ca="1">IF(Q759&gt;0,CONCATENATE("HR Target: ",
INDEX(sessions_HR_primary,INDEX(plan_session_allocation,((WEEKDAY(O$3,2)*2-1)+IF(O759="Morning",0,1)),N759)),
IF(INDEX(sessions_HR_primary,INDEX(plan_session_allocation,((WEEKDAY(O$3,2)*2-1)+IF(O759="Morning",0,1)),N759))="N/A","",
" BPM")),"")</f>
        <v>HR Target: 138 BPM</v>
      </c>
      <c r="O762" s="1923"/>
      <c r="P762" s="1924">
        <f ca="1">IF(Q759&gt;0,
INDEX(final_duration_effort,((WEEKDAY(O$3,2)*2-1)+IF(O759="Morning",0,1)),N759),"")</f>
        <v>80</v>
      </c>
      <c r="Q762" s="1925"/>
      <c r="S762" s="1922" t="str">
        <f ca="1">IF(V759&gt;0,CONCATENATE("HR Target: ",
INDEX(sessions_HR_primary,INDEX(plan_session_allocation,((WEEKDAY(T$3,2)*2-1)+IF(T759="Morning",0,1)),S759)),
IF(INDEX(sessions_HR_primary,INDEX(plan_session_allocation,((WEEKDAY(T$3,2)*2-1)+IF(T759="Morning",0,1)),S759))="N/A","",
" BPM")),"")</f>
        <v>HR Target: 188 BPM</v>
      </c>
      <c r="T762" s="1923"/>
      <c r="U762" s="1924">
        <f ca="1">IF(V759&gt;0,
INDEX(final_duration_effort,((WEEKDAY(T$3,2)*2-1)+IF(T759="Morning",0,1)),S759),"")</f>
        <v>18.600000000000001</v>
      </c>
      <c r="V762" s="1925"/>
      <c r="X762" s="1922" t="str">
        <f ca="1">IF(AA759&gt;0,CONCATENATE("HR Target: ",
INDEX(sessions_HR_primary,INDEX(plan_session_allocation,((WEEKDAY(Y$3,2)*2-1)+IF(Y759="Morning",0,1)),X759)),
IF(INDEX(sessions_HR_primary,INDEX(plan_session_allocation,((WEEKDAY(Y$3,2)*2-1)+IF(Y759="Morning",0,1)),X759))="N/A","",
" BPM")),"")</f>
        <v>HR Target: N/A</v>
      </c>
      <c r="Y762" s="1923"/>
      <c r="Z762" s="1924">
        <f ca="1">IF(AA759&gt;0,
INDEX(final_duration_effort,((WEEKDAY(Y$3,2)*2-1)+IF(Y759="Morning",0,1)),X759),"")</f>
        <v>60</v>
      </c>
      <c r="AA762" s="1925"/>
      <c r="AC762" s="1922" t="str">
        <f ca="1">IF(AF759&gt;0,CONCATENATE("HR Target: ",
INDEX(sessions_HR_primary,INDEX(plan_session_allocation,((WEEKDAY(AD$3,2)*2-1)+IF(AD759="Morning",0,1)),AC759)),
IF(INDEX(sessions_HR_primary,INDEX(plan_session_allocation,((WEEKDAY(AD$3,2)*2-1)+IF(AD759="Morning",0,1)),AC759))="N/A","",
" BPM")),"")</f>
        <v>HR Target: 138 BPM</v>
      </c>
      <c r="AD762" s="1923"/>
      <c r="AE762" s="1924">
        <f ca="1">IF(AF759&gt;0,
INDEX(final_duration_effort,((WEEKDAY(AD$3,2)*2-1)+IF(AD759="Morning",0,1)),AC759),"")</f>
        <v>80</v>
      </c>
      <c r="AF762" s="1925"/>
      <c r="AH762" s="1922" t="str">
        <f ca="1">IF(AK759&gt;0,CONCATENATE("HR Target: ",
INDEX(sessions_HR_primary,INDEX(plan_session_allocation,((WEEKDAY(AI$3,2)*2-1)+IF(AI759="Morning",0,1)),AH759)),
IF(INDEX(sessions_HR_primary,INDEX(plan_session_allocation,((WEEKDAY(AI$3,2)*2-1)+IF(AI759="Morning",0,1)),AH759))="N/A","",
" BPM")),"")</f>
        <v/>
      </c>
      <c r="AI762" s="1923"/>
      <c r="AJ762" s="1924" t="str">
        <f ca="1">IF(AK759&gt;0,
INDEX(final_duration_effort,((WEEKDAY(AI$3,2)*2-1)+IF(AI759="Morning",0,1)),AH759),"")</f>
        <v/>
      </c>
      <c r="AK762" s="1925"/>
    </row>
    <row r="763" spans="2:38" s="177" customFormat="1" ht="15" customHeight="1" x14ac:dyDescent="0.45">
      <c r="B763" s="1942"/>
      <c r="C763" s="1945"/>
      <c r="D763" s="1926" t="str">
        <f ca="1">IF(G759&gt;0,CONCATENATE("HR Range: ",
INDEX(sessions_HR_range_primary,INDEX(plan_session_allocation,((WEEKDAY(E$3,2)*2-1)+IF(E759="Morning",0,1)),D759)),
IF(INDEX(sessions_HR_range_primary,INDEX(plan_session_allocation,((WEEKDAY(E$3,2)*2-1)+IF(E759="Morning",0,1)),D759))="N/A","",
" BPM")),"")</f>
        <v>HR Range: N/A</v>
      </c>
      <c r="E763" s="1927"/>
      <c r="F763" s="1928">
        <f ca="1">IF(G759&gt;0,IF(
INDEX(sessions_recoveries,INDEX(plan_session_allocation,((WEEKDAY(E$3,2)*2-1)+IF(E759="Morning",0,1)),D759))="Yes",
VLOOKUP(INDEX(plan_duration_primary,((WEEKDAY(E$3,2)*2-1)+IF(E759="Morning",0,1)),D759),
INDIRECT(INDEX(sessions_intervals_code_primary,INDEX(plan_session_allocation,((WEEKDAY(E$3,2)*2-1)+IF(E759="Morning",0,1)),D759))),7,TRUE),0),"")</f>
        <v>0</v>
      </c>
      <c r="G763" s="1929"/>
      <c r="I763" s="1926" t="str">
        <f ca="1">IF(L759&gt;0,CONCATENATE("HR Range: ",
INDEX(sessions_HR_range_primary,INDEX(plan_session_allocation,((WEEKDAY(J$3,2)*2-1)+IF(J759="Morning",0,1)),I759)),
IF(INDEX(sessions_HR_range_primary,INDEX(plan_session_allocation,((WEEKDAY(J$3,2)*2-1)+IF(J759="Morning",0,1)),I759))="N/A","",
" BPM")),"")</f>
        <v>HR Range: 173 - 180 BPM</v>
      </c>
      <c r="J763" s="1927"/>
      <c r="K763" s="1928">
        <f ca="1">IF(L759&gt;0,IF(
INDEX(sessions_recoveries,INDEX(plan_session_allocation,((WEEKDAY(J$3,2)*2-1)+IF(J759="Morning",0,1)),I759))="Yes",
VLOOKUP(INDEX(plan_duration_primary,((WEEKDAY(J$3,2)*2-1)+IF(J759="Morning",0,1)),I759),
INDIRECT(INDEX(sessions_intervals_code_primary,INDEX(plan_session_allocation,((WEEKDAY(J$3,2)*2-1)+IF(J759="Morning",0,1)),I759))),7,TRUE),0),"")</f>
        <v>0</v>
      </c>
      <c r="L763" s="1929"/>
      <c r="N763" s="1926" t="str">
        <f ca="1">IF(Q759&gt;0,CONCATENATE("HR Range: ",
INDEX(sessions_HR_range_primary,INDEX(plan_session_allocation,((WEEKDAY(O$3,2)*2-1)+IF(O759="Morning",0,1)),N759)),
IF(INDEX(sessions_HR_range_primary,INDEX(plan_session_allocation,((WEEKDAY(O$3,2)*2-1)+IF(O759="Morning",0,1)),N759))="N/A","",
" BPM")),"")</f>
        <v>HR Range: 129 - 148 BPM</v>
      </c>
      <c r="O763" s="1927"/>
      <c r="P763" s="1928">
        <f ca="1">IF(Q759&gt;0,IF(
INDEX(sessions_recoveries,INDEX(plan_session_allocation,((WEEKDAY(O$3,2)*2-1)+IF(O759="Morning",0,1)),N759))="Yes",
VLOOKUP(INDEX(plan_duration_primary,((WEEKDAY(O$3,2)*2-1)+IF(O759="Morning",0,1)),N759),
INDIRECT(INDEX(sessions_intervals_code_primary,INDEX(plan_session_allocation,((WEEKDAY(O$3,2)*2-1)+IF(O759="Morning",0,1)),N759))),7,TRUE),0),"")</f>
        <v>0</v>
      </c>
      <c r="Q763" s="1929"/>
      <c r="S763" s="1926" t="str">
        <f ca="1">IF(V759&gt;0,CONCATENATE("HR Range: ",
INDEX(sessions_HR_range_primary,INDEX(plan_session_allocation,((WEEKDAY(T$3,2)*2-1)+IF(T759="Morning",0,1)),S759)),
IF(INDEX(sessions_HR_range_primary,INDEX(plan_session_allocation,((WEEKDAY(T$3,2)*2-1)+IF(T759="Morning",0,1)),S759))="N/A","",
" BPM")),"")</f>
        <v>HR Range: 184 - 192 BPM</v>
      </c>
      <c r="T763" s="1927"/>
      <c r="U763" s="1928">
        <f ca="1">IF(V759&gt;0,IF(
INDEX(sessions_recoveries,INDEX(plan_session_allocation,((WEEKDAY(T$3,2)*2-1)+IF(T759="Morning",0,1)),S759))="Yes",
VLOOKUP(INDEX(plan_duration_primary,((WEEKDAY(T$3,2)*2-1)+IF(T759="Morning",0,1)),S759),
INDIRECT(INDEX(sessions_intervals_code_primary,INDEX(plan_session_allocation,((WEEKDAY(T$3,2)*2-1)+IF(T759="Morning",0,1)),S759))),7,TRUE),0),"")</f>
        <v>4</v>
      </c>
      <c r="V763" s="1929"/>
      <c r="X763" s="1926" t="str">
        <f ca="1">IF(AA759&gt;0,CONCATENATE("HR Range: ",
INDEX(sessions_HR_range_primary,INDEX(plan_session_allocation,((WEEKDAY(Y$3,2)*2-1)+IF(Y759="Morning",0,1)),X759)),
IF(INDEX(sessions_HR_range_primary,INDEX(plan_session_allocation,((WEEKDAY(Y$3,2)*2-1)+IF(Y759="Morning",0,1)),X759))="N/A","",
" BPM")),"")</f>
        <v>HR Range: N/A</v>
      </c>
      <c r="Y763" s="1927"/>
      <c r="Z763" s="1928">
        <f ca="1">IF(AA759&gt;0,IF(
INDEX(sessions_recoveries,INDEX(plan_session_allocation,((WEEKDAY(Y$3,2)*2-1)+IF(Y759="Morning",0,1)),X759))="Yes",
VLOOKUP(INDEX(plan_duration_primary,((WEEKDAY(Y$3,2)*2-1)+IF(Y759="Morning",0,1)),X759),
INDIRECT(INDEX(sessions_intervals_code_primary,INDEX(plan_session_allocation,((WEEKDAY(Y$3,2)*2-1)+IF(Y759="Morning",0,1)),X759))),7,TRUE),0),"")</f>
        <v>0</v>
      </c>
      <c r="AA763" s="1929"/>
      <c r="AC763" s="1926" t="str">
        <f ca="1">IF(AF759&gt;0,CONCATENATE("HR Range: ",
INDEX(sessions_HR_range_primary,INDEX(plan_session_allocation,((WEEKDAY(AD$3,2)*2-1)+IF(AD759="Morning",0,1)),AC759)),
IF(INDEX(sessions_HR_range_primary,INDEX(plan_session_allocation,((WEEKDAY(AD$3,2)*2-1)+IF(AD759="Morning",0,1)),AC759))="N/A","",
" BPM")),"")</f>
        <v>HR Range: 129 - 148 BPM</v>
      </c>
      <c r="AD763" s="1927"/>
      <c r="AE763" s="1928">
        <f ca="1">IF(AF759&gt;0,IF(
INDEX(sessions_recoveries,INDEX(plan_session_allocation,((WEEKDAY(AD$3,2)*2-1)+IF(AD759="Morning",0,1)),AC759))="Yes",
VLOOKUP(INDEX(plan_duration_primary,((WEEKDAY(AD$3,2)*2-1)+IF(AD759="Morning",0,1)),AC759),
INDIRECT(INDEX(sessions_intervals_code_primary,INDEX(plan_session_allocation,((WEEKDAY(AD$3,2)*2-1)+IF(AD759="Morning",0,1)),AC759))),7,TRUE),0),"")</f>
        <v>0</v>
      </c>
      <c r="AF763" s="1929"/>
      <c r="AH763" s="1926" t="str">
        <f ca="1">IF(AK759&gt;0,CONCATENATE("HR Range: ",
INDEX(sessions_HR_range_primary,INDEX(plan_session_allocation,((WEEKDAY(AI$3,2)*2-1)+IF(AI759="Morning",0,1)),AH759)),
IF(INDEX(sessions_HR_range_primary,INDEX(plan_session_allocation,((WEEKDAY(AI$3,2)*2-1)+IF(AI759="Morning",0,1)),AH759))="N/A","",
" BPM")),"")</f>
        <v/>
      </c>
      <c r="AI763" s="1927"/>
      <c r="AJ763" s="1928" t="str">
        <f ca="1">IF(AK759&gt;0,IF(
INDEX(sessions_recoveries,INDEX(plan_session_allocation,((WEEKDAY(AI$3,2)*2-1)+IF(AI759="Morning",0,1)),AH759))="Yes",
VLOOKUP(INDEX(plan_duration_primary,((WEEKDAY(AI$3,2)*2-1)+IF(AI759="Morning",0,1)),AH759),
INDIRECT(INDEX(sessions_intervals_code_primary,INDEX(plan_session_allocation,((WEEKDAY(AI$3,2)*2-1)+IF(AI759="Morning",0,1)),AH759))),7,TRUE),0),"")</f>
        <v/>
      </c>
      <c r="AK763" s="1929"/>
    </row>
    <row r="764" spans="2:38" s="177" customFormat="1" ht="15" customHeight="1" x14ac:dyDescent="0.45">
      <c r="B764" s="1942"/>
      <c r="C764" s="1945"/>
      <c r="D764" s="1909" t="str">
        <f ca="1">IF(G759&gt;0,CONCATENATE("Equivalent Pace: ",
TEXT(INDEX(sessions_pace_primary,INDEX(plan_session_allocation,(WEEKDAY(E$3,2)*2-1)+IF(E759="Morning",0,1),D759)),"m:ss"),
" min/km"
),"")</f>
        <v>Equivalent Pace:  min/km</v>
      </c>
      <c r="E764" s="1910"/>
      <c r="F764" s="1911">
        <f ca="1">IF(G759&gt;0, INDEX(final_duration_WU,((WEEKDAY(E$3,2)*2-1)+IF(E759="Morning",0,1)),D759)  + INDEX(final_duration_WD,((WEEKDAY(E$3,2)*2-1)+IF(E759="Morning",0,1)),D759), "")</f>
        <v>0</v>
      </c>
      <c r="G764" s="1912"/>
      <c r="I764" s="1909" t="str">
        <f ca="1">IF(L759&gt;0,CONCATENATE("Equivalent Pace: ",
TEXT(INDEX(sessions_pace_primary,INDEX(plan_session_allocation,(WEEKDAY(J$3,2)*2-1)+IF(J759="Morning",0,1),I759)),"m:ss"),
" min/km"
),"")</f>
        <v>Equivalent Pace: 3:21 min/km</v>
      </c>
      <c r="J764" s="1910"/>
      <c r="K764" s="1911">
        <f ca="1">IF(L759&gt;0, INDEX(final_duration_WU,((WEEKDAY(J$3,2)*2-1)+IF(J759="Morning",0,1)),I759)  + INDEX(final_duration_WD,((WEEKDAY(J$3,2)*2-1)+IF(J759="Morning",0,1)),I759), "")</f>
        <v>30</v>
      </c>
      <c r="L764" s="1912"/>
      <c r="N764" s="1909" t="str">
        <f ca="1">IF(Q759&gt;0,CONCATENATE("Equivalent Pace: ",
TEXT(INDEX(sessions_pace_primary,INDEX(plan_session_allocation,(WEEKDAY(O$3,2)*2-1)+IF(O759="Morning",0,1),N759)),"m:ss"),
" min/km"
),"")</f>
        <v>Equivalent Pace: 4:39 min/km</v>
      </c>
      <c r="O764" s="1910"/>
      <c r="P764" s="1911">
        <f ca="1">IF(Q759&gt;0, INDEX(final_duration_WU,((WEEKDAY(O$3,2)*2-1)+IF(O759="Morning",0,1)),N759)  + INDEX(final_duration_WD,((WEEKDAY(O$3,2)*2-1)+IF(O759="Morning",0,1)),N759), "")</f>
        <v>0</v>
      </c>
      <c r="Q764" s="1912"/>
      <c r="S764" s="1909" t="str">
        <f ca="1">IF(V759&gt;0,CONCATENATE("Equivalent Pace: ",
TEXT(INDEX(sessions_pace_primary,INDEX(plan_session_allocation,(WEEKDAY(T$3,2)*2-1)+IF(T759="Morning",0,1),S759)),"m:ss"),
" min/km"
),"")</f>
        <v>Equivalent Pace: 3:06 min/km</v>
      </c>
      <c r="T764" s="1910"/>
      <c r="U764" s="1911">
        <f ca="1">IF(V759&gt;0, INDEX(final_duration_WU,((WEEKDAY(T$3,2)*2-1)+IF(T759="Morning",0,1)),S759)  + INDEX(final_duration_WD,((WEEKDAY(T$3,2)*2-1)+IF(T759="Morning",0,1)),S759), "")</f>
        <v>30</v>
      </c>
      <c r="V764" s="1912"/>
      <c r="X764" s="1909" t="str">
        <f ca="1">IF(AA759&gt;0,CONCATENATE("Equivalent Pace: ",
TEXT(INDEX(sessions_pace_primary,INDEX(plan_session_allocation,(WEEKDAY(Y$3,2)*2-1)+IF(Y759="Morning",0,1),X759)),"m:ss"),
" min/km"
),"")</f>
        <v>Equivalent Pace:  min/km</v>
      </c>
      <c r="Y764" s="1910"/>
      <c r="Z764" s="1911">
        <f ca="1">IF(AA759&gt;0, INDEX(final_duration_WU,((WEEKDAY(Y$3,2)*2-1)+IF(Y759="Morning",0,1)),X759)  + INDEX(final_duration_WD,((WEEKDAY(Y$3,2)*2-1)+IF(Y759="Morning",0,1)),X759), "")</f>
        <v>0</v>
      </c>
      <c r="AA764" s="1912"/>
      <c r="AC764" s="1909" t="str">
        <f ca="1">IF(AF759&gt;0,CONCATENATE("Equivalent Pace: ",
TEXT(INDEX(sessions_pace_primary,INDEX(plan_session_allocation,(WEEKDAY(AD$3,2)*2-1)+IF(AD759="Morning",0,1),AC759)),"m:ss"),
" min/km"
),"")</f>
        <v>Equivalent Pace: 4:39 min/km</v>
      </c>
      <c r="AD764" s="1910"/>
      <c r="AE764" s="1911">
        <f ca="1">IF(AF759&gt;0, INDEX(final_duration_WU,((WEEKDAY(AD$3,2)*2-1)+IF(AD759="Morning",0,1)),AC759)  + INDEX(final_duration_WD,((WEEKDAY(AD$3,2)*2-1)+IF(AD759="Morning",0,1)),AC759), "")</f>
        <v>0</v>
      </c>
      <c r="AF764" s="1912"/>
      <c r="AH764" s="1909" t="str">
        <f ca="1">IF(AK759&gt;0,CONCATENATE("Equivalent Pace: ",
TEXT(INDEX(sessions_pace_primary,INDEX(plan_session_allocation,(WEEKDAY(AI$3,2)*2-1)+IF(AI759="Morning",0,1),AH759)),"m:ss"),
" min/km"
),"")</f>
        <v/>
      </c>
      <c r="AI764" s="1910"/>
      <c r="AJ764" s="1911" t="str">
        <f ca="1">IF(AK759&gt;0, INDEX(final_duration_WU,((WEEKDAY(AI$3,2)*2-1)+IF(AI759="Morning",0,1)),AH759)  + INDEX(final_duration_WD,((WEEKDAY(AI$3,2)*2-1)+IF(AI759="Morning",0,1)),AH759), "")</f>
        <v/>
      </c>
      <c r="AK764" s="1912"/>
    </row>
    <row r="765" spans="2:38" s="176" customFormat="1" ht="15" customHeight="1" x14ac:dyDescent="0.45">
      <c r="B765" s="1942"/>
      <c r="C765" s="1945"/>
      <c r="D765" s="1913" t="str">
        <f ca="1">IF(G759&gt;0,CONCATENATE(IFERROR(CONCATENATE(IF(INDEX(display_intervals_breakdown,((WEEKDAY(E$3,2)*2-1)+IF(E759="Morning",0,1)),D759)="","",CONCATENATE("Intervals/Reps Breakdown: 
",INDEX(display_intervals_breakdown,((WEEKDAY(E$3,2)*2-1)+IF(E759="Morning",0,1)),D759),"
")),"Session Description: 
",CONCATENATE(IF(INDEX(final_duration_secondary,((WEEKDAY(E$3,2)*2-1)+IF(E759="Morning",0,1)),D759)=0,"","1. "),
INDEX(sessions_description_primary,,INDEX(plan_session_allocation,((WEEKDAY(E$3,2)*2-1)+IF(E759="Morning",0,1)),D759)),IF(INDEX(final_duration_secondary,((WEEKDAY(E$3,2)*2-1)+IF(E759="Morning",0,1)),D759)=0,"","
2. "),
IF(INDEX(final_duration_secondary,((WEEKDAY(E$3,2)*2-1)+IF(E759="Morning",0,1)),D759)=0,"",INDEX(sessions_description_secondary,,INDEX(plan_session_allocation,((WEEKDAY(E$3,2)*2-1)+IF(E759="Morning",0,1)),D759))),IF(INDEX(final_duration_tertiary,((WEEKDAY(E$3,2)*2-1)+IF(E759="Morning",0,1)),D759)=0,"","
3. "),
IF(INDEX(final_duration_tertiary,((WEEKDAY(E$3,2)*2-1)+IF(E759="Morning",0,1)),D759)="","",INDEX(sessions_description_tertiary,,INDEX(plan_session_allocation,((WEEKDAY(E$3,2)*2-1)+IF(E759="Morning",0,1)),D759))),
IF(INDEX(display_nutrition_description,((WEEKDAY(E$3,2)*2-1)+IF(E759="Morning",0,1)),D759)="","",
CONCATENATE("
Meal Plan: ", INDEX(sessions_nutrition,,INDEX(plan_session_allocation,((WEEKDAY(E$3,2)*2-1)+IF(E759="Morning",0,1)),D759)), "
", INDEX(display_nutrition_description,((WEEKDAY(E$3,2)*2-1)+IF(E759="Morning",0,1)),D759)))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765" s="1914"/>
      <c r="F765" s="1914"/>
      <c r="G765" s="1915"/>
      <c r="H765" s="177"/>
      <c r="I765" s="1913" t="str">
        <f ca="1">IF(L759&gt;0,CONCATENATE(IFERROR(CONCATENATE(IF(INDEX(display_intervals_breakdown,((WEEKDAY(J$3,2)*2-1)+IF(J759="Morning",0,1)),I759)="","",CONCATENATE("Intervals/Reps Breakdown: 
",INDEX(display_intervals_breakdown,((WEEKDAY(J$3,2)*2-1)+IF(J759="Morning",0,1)),I759),"
")),"Session Description: 
",CONCATENATE(IF(INDEX(final_duration_secondary,((WEEKDAY(J$3,2)*2-1)+IF(J759="Morning",0,1)),I759)=0,"","1. "),
INDEX(sessions_description_primary,,INDEX(plan_session_allocation,((WEEKDAY(J$3,2)*2-1)+IF(J759="Morning",0,1)),I759)),IF(INDEX(final_duration_secondary,((WEEKDAY(J$3,2)*2-1)+IF(J759="Morning",0,1)),I759)=0,"","
2. "),
IF(INDEX(final_duration_secondary,((WEEKDAY(J$3,2)*2-1)+IF(J759="Morning",0,1)),I759)=0,"",INDEX(sessions_description_secondary,,INDEX(plan_session_allocation,((WEEKDAY(J$3,2)*2-1)+IF(J759="Morning",0,1)),I759))),IF(INDEX(final_duration_tertiary,((WEEKDAY(J$3,2)*2-1)+IF(J759="Morning",0,1)),I759)=0,"","
3. "),
IF(INDEX(final_duration_tertiary,((WEEKDAY(J$3,2)*2-1)+IF(J759="Morning",0,1)),I759)="","",INDEX(sessions_description_tertiary,,INDEX(plan_session_allocation,((WEEKDAY(J$3,2)*2-1)+IF(J759="Morning",0,1)),I759))),
IF(INDEX(display_nutrition_description,((WEEKDAY(J$3,2)*2-1)+IF(J759="Morning",0,1)),I759)="","",
CONCATENATE("
Meal Plan: ", INDEX(sessions_nutrition,,INDEX(plan_session_allocation,((WEEKDAY(J$3,2)*2-1)+IF(J759="Morning",0,1)),I759)), "
", INDEX(display_nutrition_description,((WEEKDAY(J$3,2)*2-1)+IF(J759="Morning",0,1)),I759)))
)),"")),"")</f>
        <v>Session Description: 
Accelerate to a fast pace which you should be able to hold for 50 minutes in a race situation. This will take concentration, but it's important to keep the intensity even, so do not start too hard. Warm up and warm down for 10 minutes each.</v>
      </c>
      <c r="J765" s="1914"/>
      <c r="K765" s="1914"/>
      <c r="L765" s="1915"/>
      <c r="M765" s="177"/>
      <c r="N765" s="1913" t="str">
        <f ca="1">IF(Q759&gt;0,CONCATENATE(IFERROR(CONCATENATE(IF(INDEX(display_intervals_breakdown,((WEEKDAY(O$3,2)*2-1)+IF(O759="Morning",0,1)),N759)="","",CONCATENATE("Intervals/Reps Breakdown: 
",INDEX(display_intervals_breakdown,((WEEKDAY(O$3,2)*2-1)+IF(O759="Morning",0,1)),N759),"
")),"Session Description: 
",CONCATENATE(IF(INDEX(final_duration_secondary,((WEEKDAY(O$3,2)*2-1)+IF(O759="Morning",0,1)),N759)=0,"","1. "),
INDEX(sessions_description_primary,,INDEX(plan_session_allocation,((WEEKDAY(O$3,2)*2-1)+IF(O759="Morning",0,1)),N759)),IF(INDEX(final_duration_secondary,((WEEKDAY(O$3,2)*2-1)+IF(O759="Morning",0,1)),N759)=0,"","
2. "),
IF(INDEX(final_duration_secondary,((WEEKDAY(O$3,2)*2-1)+IF(O759="Morning",0,1)),N759)=0,"",INDEX(sessions_description_secondary,,INDEX(plan_session_allocation,((WEEKDAY(O$3,2)*2-1)+IF(O759="Morning",0,1)),N759))),IF(INDEX(final_duration_tertiary,((WEEKDAY(O$3,2)*2-1)+IF(O759="Morning",0,1)),N759)=0,"","
3. "),
IF(INDEX(final_duration_tertiary,((WEEKDAY(O$3,2)*2-1)+IF(O759="Morning",0,1)),N759)="","",INDEX(sessions_description_tertiary,,INDEX(plan_session_allocation,((WEEKDAY(O$3,2)*2-1)+IF(O759="Morning",0,1)),N759))),
IF(INDEX(display_nutrition_description,((WEEKDAY(O$3,2)*2-1)+IF(O759="Morning",0,1)),N759)="","",
CONCATENATE("
Meal Plan: ", INDEX(sessions_nutrition,,INDEX(plan_session_allocation,((WEEKDAY(O$3,2)*2-1)+IF(O759="Morning",0,1)),N759)), "
", INDEX(display_nutrition_description,((WEEKDAY(O$3,2)*2-1)+IF(O759="Morning",0,1)),N759)))
)),"")),"")</f>
        <v>Session Description: 
Stay at a comfortable and controlled intensity where you should be able to have a conversation without large pauses. Keep an even intensity and accept that your pace may change as the terrain changes.</v>
      </c>
      <c r="O765" s="1914"/>
      <c r="P765" s="1914"/>
      <c r="Q765" s="1915"/>
      <c r="R765" s="177"/>
      <c r="S765" s="1913" t="str">
        <f ca="1">IF(V759&gt;0,CONCATENATE(IFERROR(CONCATENATE(IF(INDEX(display_intervals_breakdown,((WEEKDAY(T$3,2)*2-1)+IF(T759="Morning",0,1)),S759)="","",CONCATENATE("Intervals/Reps Breakdown: 
",INDEX(display_intervals_breakdown,((WEEKDAY(T$3,2)*2-1)+IF(T759="Morning",0,1)),S759),"
")),"Session Description: 
",CONCATENATE(IF(INDEX(final_duration_secondary,((WEEKDAY(T$3,2)*2-1)+IF(T759="Morning",0,1)),S759)=0,"","1. "),
INDEX(sessions_description_primary,,INDEX(plan_session_allocation,((WEEKDAY(T$3,2)*2-1)+IF(T759="Morning",0,1)),S759)),IF(INDEX(final_duration_secondary,((WEEKDAY(T$3,2)*2-1)+IF(T759="Morning",0,1)),S759)=0,"","
2. "),
IF(INDEX(final_duration_secondary,((WEEKDAY(T$3,2)*2-1)+IF(T759="Morning",0,1)),S759)=0,"",INDEX(sessions_description_secondary,,INDEX(plan_session_allocation,((WEEKDAY(T$3,2)*2-1)+IF(T759="Morning",0,1)),S759))),IF(INDEX(final_duration_tertiary,((WEEKDAY(T$3,2)*2-1)+IF(T759="Morning",0,1)),S759)=0,"","
3. "),
IF(INDEX(final_duration_tertiary,((WEEKDAY(T$3,2)*2-1)+IF(T759="Morning",0,1)),S759)="","",INDEX(sessions_description_tertiary,,INDEX(plan_session_allocation,((WEEKDAY(T$3,2)*2-1)+IF(T759="Morning",0,1)),S759))),
IF(INDEX(display_nutrition_description,((WEEKDAY(T$3,2)*2-1)+IF(T759="Morning",0,1)),S759)="","",
CONCATENATE("
Meal Plan: ", INDEX(sessions_nutrition,,INDEX(plan_session_allocation,((WEEKDAY(T$3,2)*2-1)+IF(T759="Morning",0,1)),S759)), "
", INDEX(display_nutrition_description,((WEEKDAY(T$3,2)*2-1)+IF(T759="Morning",0,1)),S759)))
)),"")),"")</f>
        <v>Intervals/Reps Breakdown: 
Efforts of: 1km x6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T765" s="1914"/>
      <c r="U765" s="1914"/>
      <c r="V765" s="1915"/>
      <c r="W765" s="177"/>
      <c r="X765" s="1913" t="str">
        <f ca="1">IF(AA759&gt;0,CONCATENATE(IFERROR(CONCATENATE(IF(INDEX(display_intervals_breakdown,((WEEKDAY(Y$3,2)*2-1)+IF(Y759="Morning",0,1)),X759)="","",CONCATENATE("Intervals/Reps Breakdown: 
",INDEX(display_intervals_breakdown,((WEEKDAY(Y$3,2)*2-1)+IF(Y759="Morning",0,1)),X759),"
")),"Session Description: 
",CONCATENATE(IF(INDEX(final_duration_secondary,((WEEKDAY(Y$3,2)*2-1)+IF(Y759="Morning",0,1)),X759)=0,"","1. "),
INDEX(sessions_description_primary,,INDEX(plan_session_allocation,((WEEKDAY(Y$3,2)*2-1)+IF(Y759="Morning",0,1)),X759)),IF(INDEX(final_duration_secondary,((WEEKDAY(Y$3,2)*2-1)+IF(Y759="Morning",0,1)),X759)=0,"","
2. "),
IF(INDEX(final_duration_secondary,((WEEKDAY(Y$3,2)*2-1)+IF(Y759="Morning",0,1)),X759)=0,"",INDEX(sessions_description_secondary,,INDEX(plan_session_allocation,((WEEKDAY(Y$3,2)*2-1)+IF(Y759="Morning",0,1)),X759))),IF(INDEX(final_duration_tertiary,((WEEKDAY(Y$3,2)*2-1)+IF(Y759="Morning",0,1)),X759)=0,"","
3. "),
IF(INDEX(final_duration_tertiary,((WEEKDAY(Y$3,2)*2-1)+IF(Y759="Morning",0,1)),X759)="","",INDEX(sessions_description_tertiary,,INDEX(plan_session_allocation,((WEEKDAY(Y$3,2)*2-1)+IF(Y759="Morning",0,1)),X759))),
IF(INDEX(display_nutrition_description,((WEEKDAY(Y$3,2)*2-1)+IF(Y759="Morning",0,1)),X759)="","",
CONCATENATE("
Meal Plan: ", INDEX(sessions_nutrition,,INDEX(plan_session_allocation,((WEEKDAY(Y$3,2)*2-1)+IF(Y759="Morning",0,1)),X759)), "
", INDEX(display_nutrition_description,((WEEKDAY(Y$3,2)*2-1)+IF(Y759="Morning",0,1)),X759)))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765" s="1914"/>
      <c r="Z765" s="1914"/>
      <c r="AA765" s="1915"/>
      <c r="AB765" s="177"/>
      <c r="AC765" s="1913" t="str">
        <f ca="1">IF(AF759&gt;0,CONCATENATE(IFERROR(CONCATENATE(IF(INDEX(display_intervals_breakdown,((WEEKDAY(AD$3,2)*2-1)+IF(AD759="Morning",0,1)),AC759)="","",CONCATENATE("Intervals/Reps Breakdown: 
",INDEX(display_intervals_breakdown,((WEEKDAY(AD$3,2)*2-1)+IF(AD759="Morning",0,1)),AC759),"
")),"Session Description: 
",CONCATENATE(IF(INDEX(final_duration_secondary,((WEEKDAY(AD$3,2)*2-1)+IF(AD759="Morning",0,1)),AC759)=0,"","1. "),
INDEX(sessions_description_primary,,INDEX(plan_session_allocation,((WEEKDAY(AD$3,2)*2-1)+IF(AD759="Morning",0,1)),AC759)),IF(INDEX(final_duration_secondary,((WEEKDAY(AD$3,2)*2-1)+IF(AD759="Morning",0,1)),AC759)=0,"","
2. "),
IF(INDEX(final_duration_secondary,((WEEKDAY(AD$3,2)*2-1)+IF(AD759="Morning",0,1)),AC759)=0,"",INDEX(sessions_description_secondary,,INDEX(plan_session_allocation,((WEEKDAY(AD$3,2)*2-1)+IF(AD759="Morning",0,1)),AC759))),IF(INDEX(final_duration_tertiary,((WEEKDAY(AD$3,2)*2-1)+IF(AD759="Morning",0,1)),AC759)=0,"","
3. "),
IF(INDEX(final_duration_tertiary,((WEEKDAY(AD$3,2)*2-1)+IF(AD759="Morning",0,1)),AC759)="","",INDEX(sessions_description_tertiary,,INDEX(plan_session_allocation,((WEEKDAY(AD$3,2)*2-1)+IF(AD759="Morning",0,1)),AC759))),
IF(INDEX(display_nutrition_description,((WEEKDAY(AD$3,2)*2-1)+IF(AD759="Morning",0,1)),AC759)="","",
CONCATENATE("
Meal Plan: ", INDEX(sessions_nutrition,,INDEX(plan_session_allocation,((WEEKDAY(AD$3,2)*2-1)+IF(AD759="Morning",0,1)),AC759)), "
", INDEX(display_nutrition_description,((WEEKDAY(AD$3,2)*2-1)+IF(AD759="Morning",0,1)),AC759)))
)),"")),"")</f>
        <v>Session Description: 
Stay at a comfortable and controlled intensity where you should be able to have a conversation without large pauses. Keep an even intensity and accept that your pace may change as the terrain changes.</v>
      </c>
      <c r="AD765" s="1914"/>
      <c r="AE765" s="1914"/>
      <c r="AF765" s="1915"/>
      <c r="AG765" s="177"/>
      <c r="AH765" s="1913" t="str">
        <f ca="1">IF(AK759&gt;0,CONCATENATE(IFERROR(CONCATENATE(IF(INDEX(display_intervals_breakdown,((WEEKDAY(AI$3,2)*2-1)+IF(AI759="Morning",0,1)),AH759)="","",CONCATENATE("Intervals/Reps Breakdown: 
",INDEX(display_intervals_breakdown,((WEEKDAY(AI$3,2)*2-1)+IF(AI759="Morning",0,1)),AH759),"
")),"Session Description: 
",CONCATENATE(IF(INDEX(final_duration_secondary,((WEEKDAY(AI$3,2)*2-1)+IF(AI759="Morning",0,1)),AH759)=0,"","1. "),
INDEX(sessions_description_primary,,INDEX(plan_session_allocation,((WEEKDAY(AI$3,2)*2-1)+IF(AI759="Morning",0,1)),AH759)),IF(INDEX(final_duration_secondary,((WEEKDAY(AI$3,2)*2-1)+IF(AI759="Morning",0,1)),AH759)=0,"","
2. "),
IF(INDEX(final_duration_secondary,((WEEKDAY(AI$3,2)*2-1)+IF(AI759="Morning",0,1)),AH759)=0,"",INDEX(sessions_description_secondary,,INDEX(plan_session_allocation,((WEEKDAY(AI$3,2)*2-1)+IF(AI759="Morning",0,1)),AH759))),IF(INDEX(final_duration_tertiary,((WEEKDAY(AI$3,2)*2-1)+IF(AI759="Morning",0,1)),AH759)=0,"","
3. "),
IF(INDEX(final_duration_tertiary,((WEEKDAY(AI$3,2)*2-1)+IF(AI759="Morning",0,1)),AH759)="","",INDEX(sessions_description_tertiary,,INDEX(plan_session_allocation,((WEEKDAY(AI$3,2)*2-1)+IF(AI759="Morning",0,1)),AH759))),
IF(INDEX(display_nutrition_description,((WEEKDAY(AI$3,2)*2-1)+IF(AI759="Morning",0,1)),AH759)="","",
CONCATENATE("
Meal Plan: ", INDEX(sessions_nutrition,,INDEX(plan_session_allocation,((WEEKDAY(AI$3,2)*2-1)+IF(AI759="Morning",0,1)),AH759)), "
", INDEX(display_nutrition_description,((WEEKDAY(AI$3,2)*2-1)+IF(AI759="Morning",0,1)),AH759)))
)),"")),"")</f>
        <v/>
      </c>
      <c r="AI765" s="1914"/>
      <c r="AJ765" s="1914"/>
      <c r="AK765" s="1915"/>
      <c r="AL765" s="177"/>
    </row>
    <row r="766" spans="2:38" s="176" customFormat="1" ht="15" customHeight="1" x14ac:dyDescent="0.45">
      <c r="B766" s="1942"/>
      <c r="C766" s="1945"/>
      <c r="D766" s="1916"/>
      <c r="E766" s="1917"/>
      <c r="F766" s="1917"/>
      <c r="G766" s="1918"/>
      <c r="H766" s="177"/>
      <c r="I766" s="1916"/>
      <c r="J766" s="1917"/>
      <c r="K766" s="1917"/>
      <c r="L766" s="1918"/>
      <c r="M766" s="177"/>
      <c r="N766" s="1916"/>
      <c r="O766" s="1917"/>
      <c r="P766" s="1917"/>
      <c r="Q766" s="1918"/>
      <c r="R766" s="177"/>
      <c r="S766" s="1916"/>
      <c r="T766" s="1917"/>
      <c r="U766" s="1917"/>
      <c r="V766" s="1918"/>
      <c r="W766" s="177"/>
      <c r="X766" s="1916"/>
      <c r="Y766" s="1917"/>
      <c r="Z766" s="1917"/>
      <c r="AA766" s="1918"/>
      <c r="AB766" s="177"/>
      <c r="AC766" s="1916"/>
      <c r="AD766" s="1917"/>
      <c r="AE766" s="1917"/>
      <c r="AF766" s="1918"/>
      <c r="AG766" s="177"/>
      <c r="AH766" s="1916"/>
      <c r="AI766" s="1917"/>
      <c r="AJ766" s="1917"/>
      <c r="AK766" s="1918"/>
      <c r="AL766" s="177"/>
    </row>
    <row r="767" spans="2:38" s="176" customFormat="1" ht="15" customHeight="1" x14ac:dyDescent="0.45">
      <c r="B767" s="1942"/>
      <c r="C767" s="1945"/>
      <c r="D767" s="1916"/>
      <c r="E767" s="1917"/>
      <c r="F767" s="1917"/>
      <c r="G767" s="1918"/>
      <c r="H767" s="177"/>
      <c r="I767" s="1916"/>
      <c r="J767" s="1917"/>
      <c r="K767" s="1917"/>
      <c r="L767" s="1918"/>
      <c r="M767" s="177"/>
      <c r="N767" s="1916"/>
      <c r="O767" s="1917"/>
      <c r="P767" s="1917"/>
      <c r="Q767" s="1918"/>
      <c r="R767" s="177"/>
      <c r="S767" s="1916"/>
      <c r="T767" s="1917"/>
      <c r="U767" s="1917"/>
      <c r="V767" s="1918"/>
      <c r="W767" s="177"/>
      <c r="X767" s="1916"/>
      <c r="Y767" s="1917"/>
      <c r="Z767" s="1917"/>
      <c r="AA767" s="1918"/>
      <c r="AB767" s="177"/>
      <c r="AC767" s="1916"/>
      <c r="AD767" s="1917"/>
      <c r="AE767" s="1917"/>
      <c r="AF767" s="1918"/>
      <c r="AG767" s="177"/>
      <c r="AH767" s="1916"/>
      <c r="AI767" s="1917"/>
      <c r="AJ767" s="1917"/>
      <c r="AK767" s="1918"/>
      <c r="AL767" s="177"/>
    </row>
    <row r="768" spans="2:38" s="176" customFormat="1" x14ac:dyDescent="0.45">
      <c r="B768" s="1942"/>
      <c r="C768" s="1945"/>
      <c r="D768" s="1916"/>
      <c r="E768" s="1917"/>
      <c r="F768" s="1917"/>
      <c r="G768" s="1918"/>
      <c r="H768" s="177"/>
      <c r="I768" s="1916"/>
      <c r="J768" s="1917"/>
      <c r="K768" s="1917"/>
      <c r="L768" s="1918"/>
      <c r="M768" s="177"/>
      <c r="N768" s="1916"/>
      <c r="O768" s="1917"/>
      <c r="P768" s="1917"/>
      <c r="Q768" s="1918"/>
      <c r="R768" s="177"/>
      <c r="S768" s="1916"/>
      <c r="T768" s="1917"/>
      <c r="U768" s="1917"/>
      <c r="V768" s="1918"/>
      <c r="W768" s="177"/>
      <c r="X768" s="1916"/>
      <c r="Y768" s="1917"/>
      <c r="Z768" s="1917"/>
      <c r="AA768" s="1918"/>
      <c r="AB768" s="177"/>
      <c r="AC768" s="1916"/>
      <c r="AD768" s="1917"/>
      <c r="AE768" s="1917"/>
      <c r="AF768" s="1918"/>
      <c r="AG768" s="177"/>
      <c r="AH768" s="1916"/>
      <c r="AI768" s="1917"/>
      <c r="AJ768" s="1917"/>
      <c r="AK768" s="1918"/>
      <c r="AL768" s="177"/>
    </row>
    <row r="769" spans="2:38" s="176" customFormat="1" x14ac:dyDescent="0.45">
      <c r="B769" s="1942"/>
      <c r="C769" s="1945"/>
      <c r="D769" s="1916"/>
      <c r="E769" s="1917"/>
      <c r="F769" s="1917"/>
      <c r="G769" s="1918"/>
      <c r="H769" s="177"/>
      <c r="I769" s="1916"/>
      <c r="J769" s="1917"/>
      <c r="K769" s="1917"/>
      <c r="L769" s="1918"/>
      <c r="M769" s="177"/>
      <c r="N769" s="1916"/>
      <c r="O769" s="1917"/>
      <c r="P769" s="1917"/>
      <c r="Q769" s="1918"/>
      <c r="R769" s="177"/>
      <c r="S769" s="1916"/>
      <c r="T769" s="1917"/>
      <c r="U769" s="1917"/>
      <c r="V769" s="1918"/>
      <c r="W769" s="177"/>
      <c r="X769" s="1916"/>
      <c r="Y769" s="1917"/>
      <c r="Z769" s="1917"/>
      <c r="AA769" s="1918"/>
      <c r="AB769" s="177"/>
      <c r="AC769" s="1916"/>
      <c r="AD769" s="1917"/>
      <c r="AE769" s="1917"/>
      <c r="AF769" s="1918"/>
      <c r="AG769" s="177"/>
      <c r="AH769" s="1916"/>
      <c r="AI769" s="1917"/>
      <c r="AJ769" s="1917"/>
      <c r="AK769" s="1918"/>
      <c r="AL769" s="177"/>
    </row>
    <row r="770" spans="2:38" s="176" customFormat="1" x14ac:dyDescent="0.45">
      <c r="B770" s="1942"/>
      <c r="C770" s="1945"/>
      <c r="D770" s="1916"/>
      <c r="E770" s="1917"/>
      <c r="F770" s="1917"/>
      <c r="G770" s="1918"/>
      <c r="H770" s="177"/>
      <c r="I770" s="1916"/>
      <c r="J770" s="1917"/>
      <c r="K770" s="1917"/>
      <c r="L770" s="1918"/>
      <c r="M770" s="177"/>
      <c r="N770" s="1916"/>
      <c r="O770" s="1917"/>
      <c r="P770" s="1917"/>
      <c r="Q770" s="1918"/>
      <c r="R770" s="177"/>
      <c r="S770" s="1916"/>
      <c r="T770" s="1917"/>
      <c r="U770" s="1917"/>
      <c r="V770" s="1918"/>
      <c r="W770" s="177"/>
      <c r="X770" s="1916"/>
      <c r="Y770" s="1917"/>
      <c r="Z770" s="1917"/>
      <c r="AA770" s="1918"/>
      <c r="AB770" s="177"/>
      <c r="AC770" s="1916"/>
      <c r="AD770" s="1917"/>
      <c r="AE770" s="1917"/>
      <c r="AF770" s="1918"/>
      <c r="AG770" s="177"/>
      <c r="AH770" s="1916"/>
      <c r="AI770" s="1917"/>
      <c r="AJ770" s="1917"/>
      <c r="AK770" s="1918"/>
      <c r="AL770" s="177"/>
    </row>
    <row r="771" spans="2:38" s="176" customFormat="1" ht="15" customHeight="1" x14ac:dyDescent="0.45">
      <c r="B771" s="1942"/>
      <c r="C771" s="1945"/>
      <c r="D771" s="1916"/>
      <c r="E771" s="1917"/>
      <c r="F771" s="1917"/>
      <c r="G771" s="1918"/>
      <c r="H771" s="177"/>
      <c r="I771" s="1916"/>
      <c r="J771" s="1917"/>
      <c r="K771" s="1917"/>
      <c r="L771" s="1918"/>
      <c r="M771" s="177"/>
      <c r="N771" s="1916"/>
      <c r="O771" s="1917"/>
      <c r="P771" s="1917"/>
      <c r="Q771" s="1918"/>
      <c r="R771" s="177"/>
      <c r="S771" s="1916"/>
      <c r="T771" s="1917"/>
      <c r="U771" s="1917"/>
      <c r="V771" s="1918"/>
      <c r="W771" s="177"/>
      <c r="X771" s="1916"/>
      <c r="Y771" s="1917"/>
      <c r="Z771" s="1917"/>
      <c r="AA771" s="1918"/>
      <c r="AB771" s="177"/>
      <c r="AC771" s="1916"/>
      <c r="AD771" s="1917"/>
      <c r="AE771" s="1917"/>
      <c r="AF771" s="1918"/>
      <c r="AG771" s="177"/>
      <c r="AH771" s="1916"/>
      <c r="AI771" s="1917"/>
      <c r="AJ771" s="1917"/>
      <c r="AK771" s="1918"/>
      <c r="AL771" s="177"/>
    </row>
    <row r="772" spans="2:38" s="176" customFormat="1" ht="15" customHeight="1" x14ac:dyDescent="0.45">
      <c r="B772" s="1942"/>
      <c r="C772" s="1945"/>
      <c r="D772" s="1916"/>
      <c r="E772" s="1917"/>
      <c r="F772" s="1917"/>
      <c r="G772" s="1918"/>
      <c r="H772" s="177"/>
      <c r="I772" s="1916"/>
      <c r="J772" s="1917"/>
      <c r="K772" s="1917"/>
      <c r="L772" s="1918"/>
      <c r="M772" s="177"/>
      <c r="N772" s="1916"/>
      <c r="O772" s="1917"/>
      <c r="P772" s="1917"/>
      <c r="Q772" s="1918"/>
      <c r="R772" s="177"/>
      <c r="S772" s="1916"/>
      <c r="T772" s="1917"/>
      <c r="U772" s="1917"/>
      <c r="V772" s="1918"/>
      <c r="W772" s="177"/>
      <c r="X772" s="1916"/>
      <c r="Y772" s="1917"/>
      <c r="Z772" s="1917"/>
      <c r="AA772" s="1918"/>
      <c r="AB772" s="177"/>
      <c r="AC772" s="1916"/>
      <c r="AD772" s="1917"/>
      <c r="AE772" s="1917"/>
      <c r="AF772" s="1918"/>
      <c r="AG772" s="177"/>
      <c r="AH772" s="1916"/>
      <c r="AI772" s="1917"/>
      <c r="AJ772" s="1917"/>
      <c r="AK772" s="1918"/>
      <c r="AL772" s="177"/>
    </row>
    <row r="773" spans="2:38" s="176" customFormat="1" x14ac:dyDescent="0.45">
      <c r="B773" s="1942"/>
      <c r="C773" s="1945"/>
      <c r="D773" s="1916"/>
      <c r="E773" s="1917"/>
      <c r="F773" s="1917"/>
      <c r="G773" s="1918"/>
      <c r="H773" s="177"/>
      <c r="I773" s="1916"/>
      <c r="J773" s="1917"/>
      <c r="K773" s="1917"/>
      <c r="L773" s="1918"/>
      <c r="M773" s="177"/>
      <c r="N773" s="1916"/>
      <c r="O773" s="1917"/>
      <c r="P773" s="1917"/>
      <c r="Q773" s="1918"/>
      <c r="R773" s="177"/>
      <c r="S773" s="1916"/>
      <c r="T773" s="1917"/>
      <c r="U773" s="1917"/>
      <c r="V773" s="1918"/>
      <c r="W773" s="177"/>
      <c r="X773" s="1916"/>
      <c r="Y773" s="1917"/>
      <c r="Z773" s="1917"/>
      <c r="AA773" s="1918"/>
      <c r="AB773" s="177"/>
      <c r="AC773" s="1916"/>
      <c r="AD773" s="1917"/>
      <c r="AE773" s="1917"/>
      <c r="AF773" s="1918"/>
      <c r="AG773" s="177"/>
      <c r="AH773" s="1916"/>
      <c r="AI773" s="1917"/>
      <c r="AJ773" s="1917"/>
      <c r="AK773" s="1918"/>
      <c r="AL773" s="177"/>
    </row>
    <row r="774" spans="2:38" s="176" customFormat="1" x14ac:dyDescent="0.45">
      <c r="B774" s="1942"/>
      <c r="C774" s="1945"/>
      <c r="D774" s="1916"/>
      <c r="E774" s="1917"/>
      <c r="F774" s="1917"/>
      <c r="G774" s="1918"/>
      <c r="H774" s="177"/>
      <c r="I774" s="1916"/>
      <c r="J774" s="1917"/>
      <c r="K774" s="1917"/>
      <c r="L774" s="1918"/>
      <c r="M774" s="177"/>
      <c r="N774" s="1916"/>
      <c r="O774" s="1917"/>
      <c r="P774" s="1917"/>
      <c r="Q774" s="1918"/>
      <c r="R774" s="177"/>
      <c r="S774" s="1916"/>
      <c r="T774" s="1917"/>
      <c r="U774" s="1917"/>
      <c r="V774" s="1918"/>
      <c r="W774" s="177"/>
      <c r="X774" s="1916"/>
      <c r="Y774" s="1917"/>
      <c r="Z774" s="1917"/>
      <c r="AA774" s="1918"/>
      <c r="AB774" s="177"/>
      <c r="AC774" s="1916"/>
      <c r="AD774" s="1917"/>
      <c r="AE774" s="1917"/>
      <c r="AF774" s="1918"/>
      <c r="AG774" s="177"/>
      <c r="AH774" s="1916"/>
      <c r="AI774" s="1917"/>
      <c r="AJ774" s="1917"/>
      <c r="AK774" s="1918"/>
      <c r="AL774" s="177"/>
    </row>
    <row r="775" spans="2:38" s="176" customFormat="1" x14ac:dyDescent="0.45">
      <c r="B775" s="1942"/>
      <c r="C775" s="1945"/>
      <c r="D775" s="1916"/>
      <c r="E775" s="1917"/>
      <c r="F775" s="1917"/>
      <c r="G775" s="1918"/>
      <c r="H775" s="177"/>
      <c r="I775" s="1916"/>
      <c r="J775" s="1917"/>
      <c r="K775" s="1917"/>
      <c r="L775" s="1918"/>
      <c r="M775" s="177"/>
      <c r="N775" s="1916"/>
      <c r="O775" s="1917"/>
      <c r="P775" s="1917"/>
      <c r="Q775" s="1918"/>
      <c r="R775" s="177"/>
      <c r="S775" s="1916"/>
      <c r="T775" s="1917"/>
      <c r="U775" s="1917"/>
      <c r="V775" s="1918"/>
      <c r="W775" s="177"/>
      <c r="X775" s="1916"/>
      <c r="Y775" s="1917"/>
      <c r="Z775" s="1917"/>
      <c r="AA775" s="1918"/>
      <c r="AB775" s="177"/>
      <c r="AC775" s="1916"/>
      <c r="AD775" s="1917"/>
      <c r="AE775" s="1917"/>
      <c r="AF775" s="1918"/>
      <c r="AG775" s="177"/>
      <c r="AH775" s="1916"/>
      <c r="AI775" s="1917"/>
      <c r="AJ775" s="1917"/>
      <c r="AK775" s="1918"/>
      <c r="AL775" s="177"/>
    </row>
    <row r="776" spans="2:38" s="176" customFormat="1" x14ac:dyDescent="0.45">
      <c r="B776" s="1942"/>
      <c r="C776" s="1945"/>
      <c r="D776" s="1916"/>
      <c r="E776" s="1917"/>
      <c r="F776" s="1917"/>
      <c r="G776" s="1918"/>
      <c r="H776" s="177"/>
      <c r="I776" s="1916"/>
      <c r="J776" s="1917"/>
      <c r="K776" s="1917"/>
      <c r="L776" s="1918"/>
      <c r="M776" s="177"/>
      <c r="N776" s="1916"/>
      <c r="O776" s="1917"/>
      <c r="P776" s="1917"/>
      <c r="Q776" s="1918"/>
      <c r="R776" s="177"/>
      <c r="S776" s="1916"/>
      <c r="T776" s="1917"/>
      <c r="U776" s="1917"/>
      <c r="V776" s="1918"/>
      <c r="W776" s="177"/>
      <c r="X776" s="1916"/>
      <c r="Y776" s="1917"/>
      <c r="Z776" s="1917"/>
      <c r="AA776" s="1918"/>
      <c r="AB776" s="177"/>
      <c r="AC776" s="1916"/>
      <c r="AD776" s="1917"/>
      <c r="AE776" s="1917"/>
      <c r="AF776" s="1918"/>
      <c r="AG776" s="177"/>
      <c r="AH776" s="1916"/>
      <c r="AI776" s="1917"/>
      <c r="AJ776" s="1917"/>
      <c r="AK776" s="1918"/>
      <c r="AL776" s="177"/>
    </row>
    <row r="777" spans="2:38" s="176" customFormat="1" x14ac:dyDescent="0.45">
      <c r="B777" s="1942"/>
      <c r="C777" s="1945"/>
      <c r="D777" s="1916"/>
      <c r="E777" s="1917"/>
      <c r="F777" s="1917"/>
      <c r="G777" s="1918"/>
      <c r="H777" s="177"/>
      <c r="I777" s="1916"/>
      <c r="J777" s="1917"/>
      <c r="K777" s="1917"/>
      <c r="L777" s="1918"/>
      <c r="M777" s="177"/>
      <c r="N777" s="1916"/>
      <c r="O777" s="1917"/>
      <c r="P777" s="1917"/>
      <c r="Q777" s="1918"/>
      <c r="R777" s="177"/>
      <c r="S777" s="1916"/>
      <c r="T777" s="1917"/>
      <c r="U777" s="1917"/>
      <c r="V777" s="1918"/>
      <c r="W777" s="177"/>
      <c r="X777" s="1916"/>
      <c r="Y777" s="1917"/>
      <c r="Z777" s="1917"/>
      <c r="AA777" s="1918"/>
      <c r="AB777" s="177"/>
      <c r="AC777" s="1916"/>
      <c r="AD777" s="1917"/>
      <c r="AE777" s="1917"/>
      <c r="AF777" s="1918"/>
      <c r="AG777" s="177"/>
      <c r="AH777" s="1916"/>
      <c r="AI777" s="1917"/>
      <c r="AJ777" s="1917"/>
      <c r="AK777" s="1918"/>
      <c r="AL777" s="177"/>
    </row>
    <row r="778" spans="2:38" s="176" customFormat="1" ht="15" customHeight="1" x14ac:dyDescent="0.45">
      <c r="B778" s="1942"/>
      <c r="C778" s="1945"/>
      <c r="D778" s="1919"/>
      <c r="E778" s="1920"/>
      <c r="F778" s="1920"/>
      <c r="G778" s="1921"/>
      <c r="H778" s="177"/>
      <c r="I778" s="1919"/>
      <c r="J778" s="1920"/>
      <c r="K778" s="1920"/>
      <c r="L778" s="1921"/>
      <c r="M778" s="177"/>
      <c r="N778" s="1919"/>
      <c r="O778" s="1920"/>
      <c r="P778" s="1920"/>
      <c r="Q778" s="1921"/>
      <c r="R778" s="177"/>
      <c r="S778" s="1919"/>
      <c r="T778" s="1920"/>
      <c r="U778" s="1920"/>
      <c r="V778" s="1921"/>
      <c r="W778" s="177"/>
      <c r="X778" s="1919"/>
      <c r="Y778" s="1920"/>
      <c r="Z778" s="1920"/>
      <c r="AA778" s="1921"/>
      <c r="AB778" s="177"/>
      <c r="AC778" s="1919"/>
      <c r="AD778" s="1920"/>
      <c r="AE778" s="1920"/>
      <c r="AF778" s="1921"/>
      <c r="AG778" s="177"/>
      <c r="AH778" s="1919"/>
      <c r="AI778" s="1920"/>
      <c r="AJ778" s="1920"/>
      <c r="AK778" s="1921"/>
      <c r="AL778" s="177"/>
    </row>
    <row r="779" spans="2:38" s="176" customFormat="1" ht="15" customHeight="1" x14ac:dyDescent="0.45">
      <c r="B779" s="1942"/>
      <c r="C779" s="1945"/>
      <c r="D779" s="1913" t="str">
        <f ca="1">IF(G759&gt;0,CONCATENATE("Session Aim: 
", CONCATENATE(IF(INDEX(final_duration_secondary,((WEEKDAY(E$3,2)*2-1)+IF(E759="Morning",0,1)),D759)=0, "", "1. "),
INDEX(sessions_aim_primary,, INDEX(plan_session_allocation,((WEEKDAY(E$3,2)*2-1)+IF(E759="Morning",0,1)),D759)), IF(INDEX(final_duration_secondary,((WEEKDAY(E$3,2)*2-1)+IF(E759="Morning",0,1)),D759)=0, "", "
2. "),
IF(INDEX(final_duration_secondary,((WEEKDAY(E$3,2)*2-1)+IF(E759="Morning",0,1)),D759)=0, "", INDEX(sessions_aim_secondary,, INDEX(plan_session_allocation,((WEEKDAY(E$3,2)*2-1)+IF(E759="Morning",0,1)),D759))), IF(INDEX(final_duration_tertiary,((WEEKDAY(E$3,2)*2-1)+IF(E759="Morning",0,1)),D759)=0, "", "
3. "),
IF(INDEX(final_duration_tertiary,((WEEKDAY(E$3,2)*2-1)+IF(E759="Morning",0,1)),D759)=0, "", INDEX(sessions_aim_tertiary,, INDEX(plan_session_allocation,((WEEKDAY(E$3,2)*2-1)+IF(E759="Morning",0,1)),D759))),
IF(INDEX(display_nutrition_description,((WEEKDAY(E$3,2)*2-1)+IF(E759="Morning",0,1)),D759)="","",
CONCATENATE("
Nutrition Aim:
", INDEX(sessions_aim_nutrition,,INDEX(plan_session_allocation,((WEEKDAY(E$3,2)*2-1)+IF(E759="Morning",0,1)),D759))
))
)),"")</f>
        <v xml:space="preserve">Session Aim: 
1. Increase strength of specific muscle groups, running economy and injury resistance. 
2. Release tension that develops in soft tissue from training and non-training stresses. </v>
      </c>
      <c r="E779" s="1914"/>
      <c r="F779" s="1914"/>
      <c r="G779" s="1915"/>
      <c r="H779" s="177"/>
      <c r="I779" s="1913" t="str">
        <f ca="1">IF(L759&gt;0,CONCATENATE("Session Aim: 
", CONCATENATE(IF(INDEX(final_duration_secondary,((WEEKDAY(J$3,2)*2-1)+IF(J759="Morning",0,1)),I759)=0, "", "1. "),
INDEX(sessions_aim_primary,, INDEX(plan_session_allocation,((WEEKDAY(J$3,2)*2-1)+IF(J759="Morning",0,1)),I759)), IF(INDEX(final_duration_secondary,((WEEKDAY(J$3,2)*2-1)+IF(J759="Morning",0,1)),I759)=0, "", "
2. "),
IF(INDEX(final_duration_secondary,((WEEKDAY(J$3,2)*2-1)+IF(J759="Morning",0,1)),I759)=0, "", INDEX(sessions_aim_secondary,, INDEX(plan_session_allocation,((WEEKDAY(J$3,2)*2-1)+IF(J759="Morning",0,1)),I759))), IF(INDEX(final_duration_tertiary,((WEEKDAY(J$3,2)*2-1)+IF(J759="Morning",0,1)),I759)=0, "", "
3. "),
IF(INDEX(final_duration_tertiary,((WEEKDAY(J$3,2)*2-1)+IF(J759="Morning",0,1)),I759)=0, "", INDEX(sessions_aim_tertiary,, INDEX(plan_session_allocation,((WEEKDAY(J$3,2)*2-1)+IF(J759="Morning",0,1)),I759))),
IF(INDEX(display_nutrition_description,((WEEKDAY(J$3,2)*2-1)+IF(J759="Morning",0,1)),I759)="","",
CONCATENATE("
Nutrition Aim:
", INDEX(sessions_aim_nutrition,,INDEX(plan_session_allocation,((WEEKDAY(J$3,2)*2-1)+IF(J759="Morning",0,1)),I759))
))
)),"")</f>
        <v xml:space="preserve">Session Aim: 
Improve endurance by increasing lactate threshold and developing mental toughness. </v>
      </c>
      <c r="J779" s="1914"/>
      <c r="K779" s="1914"/>
      <c r="L779" s="1915"/>
      <c r="M779" s="177"/>
      <c r="N779" s="1913" t="str">
        <f ca="1">IF(Q759&gt;0,CONCATENATE("Session Aim: 
", CONCATENATE(IF(INDEX(final_duration_secondary,((WEEKDAY(O$3,2)*2-1)+IF(O759="Morning",0,1)),N759)=0, "", "1. "),
INDEX(sessions_aim_primary,, INDEX(plan_session_allocation,((WEEKDAY(O$3,2)*2-1)+IF(O759="Morning",0,1)),N759)), IF(INDEX(final_duration_secondary,((WEEKDAY(O$3,2)*2-1)+IF(O759="Morning",0,1)),N759)=0, "", "
2. "),
IF(INDEX(final_duration_secondary,((WEEKDAY(O$3,2)*2-1)+IF(O759="Morning",0,1)),N759)=0, "", INDEX(sessions_aim_secondary,, INDEX(plan_session_allocation,((WEEKDAY(O$3,2)*2-1)+IF(O759="Morning",0,1)),N759))), IF(INDEX(final_duration_tertiary,((WEEKDAY(O$3,2)*2-1)+IF(O759="Morning",0,1)),N759)=0, "", "
3. "),
IF(INDEX(final_duration_tertiary,((WEEKDAY(O$3,2)*2-1)+IF(O759="Morning",0,1)),N759)=0, "", INDEX(sessions_aim_tertiary,, INDEX(plan_session_allocation,((WEEKDAY(O$3,2)*2-1)+IF(O759="Morning",0,1)),N759))),
IF(INDEX(display_nutrition_description,((WEEKDAY(O$3,2)*2-1)+IF(O759="Morning",0,1)),N759)="","",
CONCATENATE("
Nutrition Aim:
", INDEX(sessions_aim_nutrition,,INDEX(plan_session_allocation,((WEEKDAY(O$3,2)*2-1)+IF(O759="Morning",0,1)),N759))
))
)),"")</f>
        <v xml:space="preserve">Session Aim: 
Improve aerobic fitness while minimising the chance of injury. </v>
      </c>
      <c r="O779" s="1914"/>
      <c r="P779" s="1914"/>
      <c r="Q779" s="1915"/>
      <c r="R779" s="177"/>
      <c r="S779" s="1913" t="str">
        <f ca="1">IF(V759&gt;0,CONCATENATE("Session Aim: 
", CONCATENATE(IF(INDEX(final_duration_secondary,((WEEKDAY(T$3,2)*2-1)+IF(T759="Morning",0,1)),S759)=0, "", "1. "),
INDEX(sessions_aim_primary,, INDEX(plan_session_allocation,((WEEKDAY(T$3,2)*2-1)+IF(T759="Morning",0,1)),S759)), IF(INDEX(final_duration_secondary,((WEEKDAY(T$3,2)*2-1)+IF(T759="Morning",0,1)),S759)=0, "", "
2. "),
IF(INDEX(final_duration_secondary,((WEEKDAY(T$3,2)*2-1)+IF(T759="Morning",0,1)),S759)=0, "", INDEX(sessions_aim_secondary,, INDEX(plan_session_allocation,((WEEKDAY(T$3,2)*2-1)+IF(T759="Morning",0,1)),S759))), IF(INDEX(final_duration_tertiary,((WEEKDAY(T$3,2)*2-1)+IF(T759="Morning",0,1)),S759)=0, "", "
3. "),
IF(INDEX(final_duration_tertiary,((WEEKDAY(T$3,2)*2-1)+IF(T759="Morning",0,1)),S759)=0, "", INDEX(sessions_aim_tertiary,, INDEX(plan_session_allocation,((WEEKDAY(T$3,2)*2-1)+IF(T759="Morning",0,1)),S759))),
IF(INDEX(display_nutrition_description,((WEEKDAY(T$3,2)*2-1)+IF(T759="Morning",0,1)),S759)="","",
CONCATENATE("
Nutrition Aim:
", INDEX(sessions_aim_nutrition,,INDEX(plan_session_allocation,((WEEKDAY(T$3,2)*2-1)+IF(T759="Morning",0,1)),S759))
))
)),"")</f>
        <v xml:space="preserve">Session Aim: 
Improve VO2 max and develop metal toughness. </v>
      </c>
      <c r="T779" s="1914"/>
      <c r="U779" s="1914"/>
      <c r="V779" s="1915"/>
      <c r="W779" s="177"/>
      <c r="X779" s="1913" t="str">
        <f ca="1">IF(AA759&gt;0,CONCATENATE("Session Aim: 
", CONCATENATE(IF(INDEX(final_duration_secondary,((WEEKDAY(Y$3,2)*2-1)+IF(Y759="Morning",0,1)),X759)=0, "", "1. "),
INDEX(sessions_aim_primary,, INDEX(plan_session_allocation,((WEEKDAY(Y$3,2)*2-1)+IF(Y759="Morning",0,1)),X759)), IF(INDEX(final_duration_secondary,((WEEKDAY(Y$3,2)*2-1)+IF(Y759="Morning",0,1)),X759)=0, "", "
2. "),
IF(INDEX(final_duration_secondary,((WEEKDAY(Y$3,2)*2-1)+IF(Y759="Morning",0,1)),X759)=0, "", INDEX(sessions_aim_secondary,, INDEX(plan_session_allocation,((WEEKDAY(Y$3,2)*2-1)+IF(Y759="Morning",0,1)),X759))), IF(INDEX(final_duration_tertiary,((WEEKDAY(Y$3,2)*2-1)+IF(Y759="Morning",0,1)),X759)=0, "", "
3. "),
IF(INDEX(final_duration_tertiary,((WEEKDAY(Y$3,2)*2-1)+IF(Y759="Morning",0,1)),X759)=0, "", INDEX(sessions_aim_tertiary,, INDEX(plan_session_allocation,((WEEKDAY(Y$3,2)*2-1)+IF(Y759="Morning",0,1)),X759))),
IF(INDEX(display_nutrition_description,((WEEKDAY(Y$3,2)*2-1)+IF(Y759="Morning",0,1)),X759)="","",
CONCATENATE("
Nutrition Aim:
", INDEX(sessions_aim_nutrition,,INDEX(plan_session_allocation,((WEEKDAY(Y$3,2)*2-1)+IF(Y759="Morning",0,1)),X759))
))
)),"")</f>
        <v xml:space="preserve">Session Aim: 
1. Increase strength of specific muscle groups, running economy and injury resistance. 
2. Release tension that develops in soft tissue from training and non-training stresses. </v>
      </c>
      <c r="Y779" s="1914"/>
      <c r="Z779" s="1914"/>
      <c r="AA779" s="1915"/>
      <c r="AB779" s="177"/>
      <c r="AC779" s="1913" t="str">
        <f ca="1">IF(AF759&gt;0,CONCATENATE("Session Aim: 
", CONCATENATE(IF(INDEX(final_duration_secondary,((WEEKDAY(AD$3,2)*2-1)+IF(AD759="Morning",0,1)),AC759)=0, "", "1. "),
INDEX(sessions_aim_primary,, INDEX(plan_session_allocation,((WEEKDAY(AD$3,2)*2-1)+IF(AD759="Morning",0,1)),AC759)), IF(INDEX(final_duration_secondary,((WEEKDAY(AD$3,2)*2-1)+IF(AD759="Morning",0,1)),AC759)=0, "", "
2. "),
IF(INDEX(final_duration_secondary,((WEEKDAY(AD$3,2)*2-1)+IF(AD759="Morning",0,1)),AC759)=0, "", INDEX(sessions_aim_secondary,, INDEX(plan_session_allocation,((WEEKDAY(AD$3,2)*2-1)+IF(AD759="Morning",0,1)),AC759))), IF(INDEX(final_duration_tertiary,((WEEKDAY(AD$3,2)*2-1)+IF(AD759="Morning",0,1)),AC759)=0, "", "
3. "),
IF(INDEX(final_duration_tertiary,((WEEKDAY(AD$3,2)*2-1)+IF(AD759="Morning",0,1)),AC759)=0, "", INDEX(sessions_aim_tertiary,, INDEX(plan_session_allocation,((WEEKDAY(AD$3,2)*2-1)+IF(AD759="Morning",0,1)),AC759))),
IF(INDEX(display_nutrition_description,((WEEKDAY(AD$3,2)*2-1)+IF(AD759="Morning",0,1)),AC759)="","",
CONCATENATE("
Nutrition Aim:
", INDEX(sessions_aim_nutrition,,INDEX(plan_session_allocation,((WEEKDAY(AD$3,2)*2-1)+IF(AD759="Morning",0,1)),AC759))
))
)),"")</f>
        <v xml:space="preserve">Session Aim: 
Improve aerobic fitness while minimising the chance of injury. </v>
      </c>
      <c r="AD779" s="1914"/>
      <c r="AE779" s="1914"/>
      <c r="AF779" s="1915"/>
      <c r="AG779" s="177"/>
      <c r="AH779" s="1913" t="str">
        <f ca="1">IF(AK759&gt;0,CONCATENATE("Session Aim: 
", CONCATENATE(IF(INDEX(final_duration_secondary,((WEEKDAY(AI$3,2)*2-1)+IF(AI759="Morning",0,1)),AH759)=0, "", "1. "),
INDEX(sessions_aim_primary,, INDEX(plan_session_allocation,((WEEKDAY(AI$3,2)*2-1)+IF(AI759="Morning",0,1)),AH759)), IF(INDEX(final_duration_secondary,((WEEKDAY(AI$3,2)*2-1)+IF(AI759="Morning",0,1)),AH759)=0, "", "
2. "),
IF(INDEX(final_duration_secondary,((WEEKDAY(AI$3,2)*2-1)+IF(AI759="Morning",0,1)),AH759)=0, "", INDEX(sessions_aim_secondary,, INDEX(plan_session_allocation,((WEEKDAY(AI$3,2)*2-1)+IF(AI759="Morning",0,1)),AH759))), IF(INDEX(final_duration_tertiary,((WEEKDAY(AI$3,2)*2-1)+IF(AI759="Morning",0,1)),AH759)=0, "", "
3. "),
IF(INDEX(final_duration_tertiary,((WEEKDAY(AI$3,2)*2-1)+IF(AI759="Morning",0,1)),AH759)=0, "", INDEX(sessions_aim_tertiary,, INDEX(plan_session_allocation,((WEEKDAY(AI$3,2)*2-1)+IF(AI759="Morning",0,1)),AH759))),
IF(INDEX(display_nutrition_description,((WEEKDAY(AI$3,2)*2-1)+IF(AI759="Morning",0,1)),AH759)="","",
CONCATENATE("
Nutrition Aim:
", INDEX(sessions_aim_nutrition,,INDEX(plan_session_allocation,((WEEKDAY(AI$3,2)*2-1)+IF(AI759="Morning",0,1)),AH759))
))
)),"")</f>
        <v/>
      </c>
      <c r="AI779" s="1914"/>
      <c r="AJ779" s="1914"/>
      <c r="AK779" s="1915"/>
      <c r="AL779" s="177"/>
    </row>
    <row r="780" spans="2:38" s="176" customFormat="1" x14ac:dyDescent="0.45">
      <c r="B780" s="1942"/>
      <c r="C780" s="1945"/>
      <c r="D780" s="1916"/>
      <c r="E780" s="1917"/>
      <c r="F780" s="1917"/>
      <c r="G780" s="1918"/>
      <c r="H780" s="177"/>
      <c r="I780" s="1916"/>
      <c r="J780" s="1917"/>
      <c r="K780" s="1917"/>
      <c r="L780" s="1918"/>
      <c r="M780" s="177"/>
      <c r="N780" s="1916"/>
      <c r="O780" s="1917"/>
      <c r="P780" s="1917"/>
      <c r="Q780" s="1918"/>
      <c r="R780" s="177"/>
      <c r="S780" s="1916"/>
      <c r="T780" s="1917"/>
      <c r="U780" s="1917"/>
      <c r="V780" s="1918"/>
      <c r="W780" s="177"/>
      <c r="X780" s="1916"/>
      <c r="Y780" s="1917"/>
      <c r="Z780" s="1917"/>
      <c r="AA780" s="1918"/>
      <c r="AB780" s="177"/>
      <c r="AC780" s="1916"/>
      <c r="AD780" s="1917"/>
      <c r="AE780" s="1917"/>
      <c r="AF780" s="1918"/>
      <c r="AG780" s="177"/>
      <c r="AH780" s="1916"/>
      <c r="AI780" s="1917"/>
      <c r="AJ780" s="1917"/>
      <c r="AK780" s="1918"/>
      <c r="AL780" s="177"/>
    </row>
    <row r="781" spans="2:38" s="176" customFormat="1" x14ac:dyDescent="0.45">
      <c r="B781" s="1942"/>
      <c r="C781" s="1945"/>
      <c r="D781" s="1916"/>
      <c r="E781" s="1917"/>
      <c r="F781" s="1917"/>
      <c r="G781" s="1918"/>
      <c r="H781" s="177"/>
      <c r="I781" s="1916"/>
      <c r="J781" s="1917"/>
      <c r="K781" s="1917"/>
      <c r="L781" s="1918"/>
      <c r="M781" s="177"/>
      <c r="N781" s="1916"/>
      <c r="O781" s="1917"/>
      <c r="P781" s="1917"/>
      <c r="Q781" s="1918"/>
      <c r="R781" s="177"/>
      <c r="S781" s="1916"/>
      <c r="T781" s="1917"/>
      <c r="U781" s="1917"/>
      <c r="V781" s="1918"/>
      <c r="W781" s="177"/>
      <c r="X781" s="1916"/>
      <c r="Y781" s="1917"/>
      <c r="Z781" s="1917"/>
      <c r="AA781" s="1918"/>
      <c r="AB781" s="177"/>
      <c r="AC781" s="1916"/>
      <c r="AD781" s="1917"/>
      <c r="AE781" s="1917"/>
      <c r="AF781" s="1918"/>
      <c r="AG781" s="177"/>
      <c r="AH781" s="1916"/>
      <c r="AI781" s="1917"/>
      <c r="AJ781" s="1917"/>
      <c r="AK781" s="1918"/>
      <c r="AL781" s="177"/>
    </row>
    <row r="782" spans="2:38" s="176" customFormat="1" x14ac:dyDescent="0.45">
      <c r="B782" s="1942"/>
      <c r="C782" s="1945"/>
      <c r="D782" s="1916"/>
      <c r="E782" s="1917"/>
      <c r="F782" s="1917"/>
      <c r="G782" s="1918"/>
      <c r="H782" s="177"/>
      <c r="I782" s="1916"/>
      <c r="J782" s="1917"/>
      <c r="K782" s="1917"/>
      <c r="L782" s="1918"/>
      <c r="M782" s="177"/>
      <c r="N782" s="1916"/>
      <c r="O782" s="1917"/>
      <c r="P782" s="1917"/>
      <c r="Q782" s="1918"/>
      <c r="R782" s="177"/>
      <c r="S782" s="1916"/>
      <c r="T782" s="1917"/>
      <c r="U782" s="1917"/>
      <c r="V782" s="1918"/>
      <c r="W782" s="177"/>
      <c r="X782" s="1916"/>
      <c r="Y782" s="1917"/>
      <c r="Z782" s="1917"/>
      <c r="AA782" s="1918"/>
      <c r="AB782" s="177"/>
      <c r="AC782" s="1916"/>
      <c r="AD782" s="1917"/>
      <c r="AE782" s="1917"/>
      <c r="AF782" s="1918"/>
      <c r="AG782" s="177"/>
      <c r="AH782" s="1916"/>
      <c r="AI782" s="1917"/>
      <c r="AJ782" s="1917"/>
      <c r="AK782" s="1918"/>
      <c r="AL782" s="177"/>
    </row>
    <row r="783" spans="2:38" s="176" customFormat="1" x14ac:dyDescent="0.45">
      <c r="B783" s="1942"/>
      <c r="C783" s="1945"/>
      <c r="D783" s="1916"/>
      <c r="E783" s="1917"/>
      <c r="F783" s="1917"/>
      <c r="G783" s="1918"/>
      <c r="H783" s="177"/>
      <c r="I783" s="1916"/>
      <c r="J783" s="1917"/>
      <c r="K783" s="1917"/>
      <c r="L783" s="1918"/>
      <c r="M783" s="177"/>
      <c r="N783" s="1916"/>
      <c r="O783" s="1917"/>
      <c r="P783" s="1917"/>
      <c r="Q783" s="1918"/>
      <c r="R783" s="177"/>
      <c r="S783" s="1916"/>
      <c r="T783" s="1917"/>
      <c r="U783" s="1917"/>
      <c r="V783" s="1918"/>
      <c r="W783" s="177"/>
      <c r="X783" s="1916"/>
      <c r="Y783" s="1917"/>
      <c r="Z783" s="1917"/>
      <c r="AA783" s="1918"/>
      <c r="AB783" s="177"/>
      <c r="AC783" s="1916"/>
      <c r="AD783" s="1917"/>
      <c r="AE783" s="1917"/>
      <c r="AF783" s="1918"/>
      <c r="AG783" s="177"/>
      <c r="AH783" s="1916"/>
      <c r="AI783" s="1917"/>
      <c r="AJ783" s="1917"/>
      <c r="AK783" s="1918"/>
      <c r="AL783" s="177"/>
    </row>
    <row r="784" spans="2:38" s="176" customFormat="1" x14ac:dyDescent="0.45">
      <c r="B784" s="1942"/>
      <c r="C784" s="1945"/>
      <c r="D784" s="1916"/>
      <c r="E784" s="1917"/>
      <c r="F784" s="1917"/>
      <c r="G784" s="1918"/>
      <c r="H784" s="177"/>
      <c r="I784" s="1916"/>
      <c r="J784" s="1917"/>
      <c r="K784" s="1917"/>
      <c r="L784" s="1918"/>
      <c r="N784" s="1916"/>
      <c r="O784" s="1917"/>
      <c r="P784" s="1917"/>
      <c r="Q784" s="1918"/>
      <c r="S784" s="1916"/>
      <c r="T784" s="1917"/>
      <c r="U784" s="1917"/>
      <c r="V784" s="1918"/>
      <c r="X784" s="1916"/>
      <c r="Y784" s="1917"/>
      <c r="Z784" s="1917"/>
      <c r="AA784" s="1918"/>
      <c r="AC784" s="1916"/>
      <c r="AD784" s="1917"/>
      <c r="AE784" s="1917"/>
      <c r="AF784" s="1918"/>
      <c r="AH784" s="1916"/>
      <c r="AI784" s="1917"/>
      <c r="AJ784" s="1917"/>
      <c r="AK784" s="1918"/>
    </row>
    <row r="785" spans="2:38" s="176" customFormat="1" ht="14.65" thickBot="1" x14ac:dyDescent="0.5">
      <c r="B785" s="1943"/>
      <c r="C785" s="1946"/>
      <c r="D785" s="1938"/>
      <c r="E785" s="1939"/>
      <c r="F785" s="1939"/>
      <c r="G785" s="1940"/>
      <c r="H785" s="177"/>
      <c r="I785" s="1938"/>
      <c r="J785" s="1939"/>
      <c r="K785" s="1939"/>
      <c r="L785" s="1940"/>
      <c r="N785" s="1938"/>
      <c r="O785" s="1939"/>
      <c r="P785" s="1939"/>
      <c r="Q785" s="1940"/>
      <c r="S785" s="1938"/>
      <c r="T785" s="1939"/>
      <c r="U785" s="1939"/>
      <c r="V785" s="1940"/>
      <c r="X785" s="1938"/>
      <c r="Y785" s="1939"/>
      <c r="Z785" s="1939"/>
      <c r="AA785" s="1940"/>
      <c r="AC785" s="1938"/>
      <c r="AD785" s="1939"/>
      <c r="AE785" s="1939"/>
      <c r="AF785" s="1940"/>
      <c r="AH785" s="1938"/>
      <c r="AI785" s="1939"/>
      <c r="AJ785" s="1939"/>
      <c r="AK785" s="1940"/>
    </row>
    <row r="786" spans="2:38" s="176" customFormat="1" ht="14.65" thickBot="1" x14ac:dyDescent="0.5">
      <c r="H786" s="177"/>
    </row>
    <row r="787" spans="2:38" s="176" customFormat="1" ht="15" customHeight="1" thickBot="1" x14ac:dyDescent="0.5">
      <c r="B787" s="1941">
        <v>15</v>
      </c>
      <c r="C787" s="1944" t="str">
        <f ca="1">IF(INDEX(display_strategy,1,B787)="","", CONCATENATE(INDEX(display_strategy,1,B787),": ",HLOOKUP(INDEX(display_strategy,1,B787),strategies,4,TRUE)))</f>
        <v>Recover: A maximal week, should be fascilitated by maximal recovery and nutrition.</v>
      </c>
      <c r="D787" s="1418" t="str">
        <f ca="1">CONCATENATE("Strategy: ",INDEX(display_strategy,$B787))</f>
        <v>Strategy: Recover</v>
      </c>
      <c r="E787" s="1947">
        <f>plan_start_date + ($B787-1)*7 + (COLUMN(D$2)-2)/5</f>
        <v>43472.4</v>
      </c>
      <c r="F787" s="1947"/>
      <c r="G787" s="1417" t="str">
        <f>CONCATENATE("Slot: ", ((WEEKDAY(E$3,2)*2-1)+IF(E788="Morning",0,1)))</f>
        <v>Slot: 1</v>
      </c>
      <c r="H787" s="177"/>
      <c r="I787" s="1418" t="str">
        <f ca="1">CONCATENATE("Strategy: ",INDEX(display_strategy,$B787))</f>
        <v>Strategy: Recover</v>
      </c>
      <c r="J787" s="1947">
        <f>plan_start_date + ($B787-1)*7 + (COLUMN(I$2)-2)/5</f>
        <v>43473.4</v>
      </c>
      <c r="K787" s="1947"/>
      <c r="L787" s="1417" t="str">
        <f>CONCATENATE("Slot: ", ((WEEKDAY(J$3,2)*2-1)+IF(J788="Morning",0,1)))</f>
        <v>Slot: 3</v>
      </c>
      <c r="N787" s="1418" t="str">
        <f ca="1">CONCATENATE("Strategy: ",INDEX(display_strategy,$B787))</f>
        <v>Strategy: Recover</v>
      </c>
      <c r="O787" s="1947">
        <f>plan_start_date + ($B787-1)*7 + (COLUMN(N$2)-2)/5</f>
        <v>43474.400000000001</v>
      </c>
      <c r="P787" s="1947"/>
      <c r="Q787" s="1417" t="str">
        <f>CONCATENATE("Slot: ", ((WEEKDAY(O$3,2)*2-1)+IF(O788="Morning",0,1)))</f>
        <v>Slot: 5</v>
      </c>
      <c r="S787" s="1418" t="str">
        <f ca="1">CONCATENATE("Strategy: ",INDEX(display_strategy,$B787))</f>
        <v>Strategy: Recover</v>
      </c>
      <c r="T787" s="1947">
        <f>plan_start_date + ($B787-1)*7 + (COLUMN(S$2)-2)/5</f>
        <v>43475.4</v>
      </c>
      <c r="U787" s="1947"/>
      <c r="V787" s="1417" t="str">
        <f>CONCATENATE("Slot: ", ((WEEKDAY(T$3,2)*2-1)+IF(T788="Morning",0,1)))</f>
        <v>Slot: 7</v>
      </c>
      <c r="X787" s="1418" t="str">
        <f ca="1">CONCATENATE("Strategy: ",INDEX(display_strategy,$B787))</f>
        <v>Strategy: Recover</v>
      </c>
      <c r="Y787" s="1947">
        <f>plan_start_date + ($B787-1)*7 + (COLUMN(X$2)-2)/5</f>
        <v>43476.4</v>
      </c>
      <c r="Z787" s="1947"/>
      <c r="AA787" s="1417" t="str">
        <f>CONCATENATE("Slot: ", ((WEEKDAY(Y$3,2)*2-1)+IF(Y788="Morning",0,1)))</f>
        <v>Slot: 9</v>
      </c>
      <c r="AC787" s="1418" t="str">
        <f ca="1">CONCATENATE("Strategy: ",INDEX(display_strategy,$B787))</f>
        <v>Strategy: Recover</v>
      </c>
      <c r="AD787" s="1947">
        <f>plan_start_date + ($B787-1)*7 + (COLUMN(AC$2)-2)/5</f>
        <v>43477.4</v>
      </c>
      <c r="AE787" s="1947"/>
      <c r="AF787" s="1417" t="str">
        <f>CONCATENATE("Slot: ", ((WEEKDAY(AD$3,2)*2-1)+IF(AD788="Morning",0,1)))</f>
        <v>Slot: 11</v>
      </c>
      <c r="AH787" s="1418" t="str">
        <f ca="1">CONCATENATE("Strategy: ",INDEX(display_strategy,$B787))</f>
        <v>Strategy: Recover</v>
      </c>
      <c r="AI787" s="1947">
        <f>plan_start_date + ($B787-1)*7 + (COLUMN(AH$2)-2)/5</f>
        <v>43478.400000000001</v>
      </c>
      <c r="AJ787" s="1947"/>
      <c r="AK787" s="1417" t="str">
        <f>CONCATENATE("Slot: ", ((WEEKDAY(AI$3,2)*2-1)+IF(AI788="Morning",0,1)))</f>
        <v>Slot: 13</v>
      </c>
    </row>
    <row r="788" spans="2:38" s="176" customFormat="1" x14ac:dyDescent="0.45">
      <c r="B788" s="1942"/>
      <c r="C788" s="1945"/>
      <c r="D788" s="1413">
        <f>$B787</f>
        <v>15</v>
      </c>
      <c r="E788" s="1930" t="s">
        <v>351</v>
      </c>
      <c r="F788" s="1930"/>
      <c r="G788" s="1412">
        <f ca="1">INDEX(final_duration_session, ((WEEKDAY(E$3,2)*2-1)+IF(E788="Morning",0,1)), $D788)</f>
        <v>30</v>
      </c>
      <c r="H788" s="177"/>
      <c r="I788" s="1413">
        <f>$B787</f>
        <v>15</v>
      </c>
      <c r="J788" s="1930" t="s">
        <v>351</v>
      </c>
      <c r="K788" s="1930"/>
      <c r="L788" s="1412">
        <f ca="1">INDEX(final_duration_session, ((WEEKDAY(J$3,2)*2-1)+IF(J788="Morning",0,1)), $D788)</f>
        <v>0</v>
      </c>
      <c r="M788" s="177"/>
      <c r="N788" s="1413">
        <f>$B787</f>
        <v>15</v>
      </c>
      <c r="O788" s="1930" t="s">
        <v>351</v>
      </c>
      <c r="P788" s="1930"/>
      <c r="Q788" s="1412">
        <f ca="1">INDEX(final_duration_session, ((WEEKDAY(O$3,2)*2-1)+IF(O788="Morning",0,1)), $D788)</f>
        <v>0</v>
      </c>
      <c r="R788" s="177"/>
      <c r="S788" s="1413">
        <f>$B787</f>
        <v>15</v>
      </c>
      <c r="T788" s="1930" t="s">
        <v>351</v>
      </c>
      <c r="U788" s="1930"/>
      <c r="V788" s="1412">
        <f ca="1">INDEX(final_duration_session, ((WEEKDAY(T$3,2)*2-1)+IF(T788="Morning",0,1)), $D788)</f>
        <v>0</v>
      </c>
      <c r="W788" s="177"/>
      <c r="X788" s="1413">
        <f>$B787</f>
        <v>15</v>
      </c>
      <c r="Y788" s="1930" t="s">
        <v>351</v>
      </c>
      <c r="Z788" s="1930"/>
      <c r="AA788" s="1412">
        <f ca="1">INDEX(final_duration_session, ((WEEKDAY(Y$3,2)*2-1)+IF(Y788="Morning",0,1)), $D788)</f>
        <v>30</v>
      </c>
      <c r="AB788" s="177"/>
      <c r="AC788" s="1413">
        <f>$B787</f>
        <v>15</v>
      </c>
      <c r="AD788" s="1930" t="s">
        <v>351</v>
      </c>
      <c r="AE788" s="1930"/>
      <c r="AF788" s="1412">
        <f ca="1">INDEX(final_duration_session, ((WEEKDAY(AD$3,2)*2-1)+IF(AD788="Morning",0,1)), $D788)</f>
        <v>50</v>
      </c>
      <c r="AG788" s="177"/>
      <c r="AH788" s="1413">
        <f>$B787</f>
        <v>15</v>
      </c>
      <c r="AI788" s="1930" t="s">
        <v>351</v>
      </c>
      <c r="AJ788" s="1930"/>
      <c r="AK788" s="1412">
        <f ca="1">INDEX(final_duration_session, ((WEEKDAY(AI$3,2)*2-1)+IF(AI788="Morning",0,1)), $D788)</f>
        <v>80</v>
      </c>
      <c r="AL788" s="177"/>
    </row>
    <row r="789" spans="2:38" s="176" customFormat="1" ht="15" customHeight="1" x14ac:dyDescent="0.45">
      <c r="B789" s="1942"/>
      <c r="C789" s="1945"/>
      <c r="D789" s="1931" t="str">
        <f ca="1">IF(G788&gt;0,INDEX(sessions_name,INDEX(plan_session_allocation,((WEEKDAY(E$3,2)*2-1)+IF(E788="Morning",0,1)),D788)),"")</f>
        <v>Easy</v>
      </c>
      <c r="E789" s="1932"/>
      <c r="F789" s="1932"/>
      <c r="G789" s="1933"/>
      <c r="H789" s="177"/>
      <c r="I789" s="1931" t="str">
        <f ca="1">IF(L788&gt;0,INDEX(sessions_name,INDEX(plan_session_allocation,((WEEKDAY(J$3,2)*2-1)+IF(J788="Morning",0,1)),I788)),"")</f>
        <v/>
      </c>
      <c r="J789" s="1932"/>
      <c r="K789" s="1932"/>
      <c r="L789" s="1933"/>
      <c r="M789" s="177"/>
      <c r="N789" s="1931" t="str">
        <f ca="1">IF(Q788&gt;0,INDEX(sessions_name,INDEX(plan_session_allocation,((WEEKDAY(O$3,2)*2-1)+IF(O788="Morning",0,1)),N788)),"")</f>
        <v/>
      </c>
      <c r="O789" s="1932"/>
      <c r="P789" s="1932"/>
      <c r="Q789" s="1933"/>
      <c r="R789" s="177"/>
      <c r="S789" s="1931" t="str">
        <f ca="1">IF(V788&gt;0,INDEX(sessions_name,INDEX(plan_session_allocation,((WEEKDAY(T$3,2)*2-1)+IF(T788="Morning",0,1)),S788)),"")</f>
        <v/>
      </c>
      <c r="T789" s="1932"/>
      <c r="U789" s="1932"/>
      <c r="V789" s="1933"/>
      <c r="W789" s="177"/>
      <c r="X789" s="1931" t="str">
        <f ca="1">IF(AA788&gt;0,INDEX(sessions_name,INDEX(plan_session_allocation,((WEEKDAY(Y$3,2)*2-1)+IF(Y788="Morning",0,1)),X788)),"")</f>
        <v>Easy</v>
      </c>
      <c r="Y789" s="1932"/>
      <c r="Z789" s="1932"/>
      <c r="AA789" s="1933"/>
      <c r="AB789" s="177"/>
      <c r="AC789" s="1931" t="str">
        <f ca="1">IF(AF788&gt;0,INDEX(sessions_name,INDEX(plan_session_allocation,((WEEKDAY(AD$3,2)*2-1)+IF(AD788="Morning",0,1)),AC788)),"")</f>
        <v>Steady</v>
      </c>
      <c r="AD789" s="1932"/>
      <c r="AE789" s="1932"/>
      <c r="AF789" s="1933"/>
      <c r="AG789" s="177"/>
      <c r="AH789" s="1931" t="str">
        <f ca="1">IF(AK788&gt;0,INDEX(sessions_name,INDEX(plan_session_allocation,((WEEKDAY(AI$3,2)*2-1)+IF(AI788="Morning",0,1)),AH788)),"")</f>
        <v>Long</v>
      </c>
      <c r="AI789" s="1932"/>
      <c r="AJ789" s="1932"/>
      <c r="AK789" s="1933"/>
      <c r="AL789" s="177"/>
    </row>
    <row r="790" spans="2:38" s="176" customFormat="1" ht="15" customHeight="1" x14ac:dyDescent="0.45">
      <c r="B790" s="1942"/>
      <c r="C790" s="1945"/>
      <c r="D790" s="1934" t="str">
        <f ca="1">IF(G788&gt;0,CONCATENATE("Sport: ",INDEX(sessions_sport_primary,INDEX(plan_session_allocation,(WEEKDAY(E$3,2)*2-1)+IF(E788="Morning",0,1),D788))),"")</f>
        <v>Sport: Ride</v>
      </c>
      <c r="E790" s="1935"/>
      <c r="F790" s="1936">
        <f ca="1">IF(G788&gt;0,IFERROR(F791+F792+F793,""),"")</f>
        <v>30</v>
      </c>
      <c r="G790" s="1937"/>
      <c r="H790" s="177"/>
      <c r="I790" s="1934" t="str">
        <f ca="1">IF(L788&gt;0,CONCATENATE("Sport: ",INDEX(sessions_sport_primary,INDEX(plan_session_allocation,(WEEKDAY(J$3,2)*2-1)+IF(J788="Morning",0,1),I788))),"")</f>
        <v/>
      </c>
      <c r="J790" s="1935"/>
      <c r="K790" s="1936" t="str">
        <f ca="1">IF(L788&gt;0,IFERROR(K791+K792+K793,""),"")</f>
        <v/>
      </c>
      <c r="L790" s="1937"/>
      <c r="M790" s="177"/>
      <c r="N790" s="1934" t="str">
        <f ca="1">IF(Q788&gt;0,CONCATENATE("Sport: ",INDEX(sessions_sport_primary,INDEX(plan_session_allocation,(WEEKDAY(O$3,2)*2-1)+IF(O788="Morning",0,1),N788))),"")</f>
        <v/>
      </c>
      <c r="O790" s="1935"/>
      <c r="P790" s="1936" t="str">
        <f ca="1">IF(Q788&gt;0,IFERROR(P791+P792+P793,""),"")</f>
        <v/>
      </c>
      <c r="Q790" s="1937"/>
      <c r="R790" s="177"/>
      <c r="S790" s="1934" t="str">
        <f ca="1">IF(V788&gt;0,CONCATENATE("Sport: ",INDEX(sessions_sport_primary,INDEX(plan_session_allocation,(WEEKDAY(T$3,2)*2-1)+IF(T788="Morning",0,1),S788))),"")</f>
        <v/>
      </c>
      <c r="T790" s="1935"/>
      <c r="U790" s="1936" t="str">
        <f ca="1">IF(V788&gt;0,IFERROR(U791+U792+U793,""),"")</f>
        <v/>
      </c>
      <c r="V790" s="1937"/>
      <c r="W790" s="177"/>
      <c r="X790" s="1934" t="str">
        <f ca="1">IF(AA788&gt;0,CONCATENATE("Sport: ",INDEX(sessions_sport_primary,INDEX(plan_session_allocation,(WEEKDAY(Y$3,2)*2-1)+IF(Y788="Morning",0,1),X788))),"")</f>
        <v>Sport: Ride</v>
      </c>
      <c r="Y790" s="1935"/>
      <c r="Z790" s="1936">
        <f ca="1">IF(AA788&gt;0,IFERROR(Z791+Z792+Z793,""),"")</f>
        <v>30</v>
      </c>
      <c r="AA790" s="1937"/>
      <c r="AB790" s="177"/>
      <c r="AC790" s="1934" t="str">
        <f ca="1">IF(AF788&gt;0,CONCATENATE("Sport: ",INDEX(sessions_sport_primary,INDEX(plan_session_allocation,(WEEKDAY(AD$3,2)*2-1)+IF(AD788="Morning",0,1),AC788))),"")</f>
        <v>Sport: Hilly Trail Run</v>
      </c>
      <c r="AD790" s="1935"/>
      <c r="AE790" s="1936">
        <f ca="1">IF(AF788&gt;0,IFERROR(AE791+AE792+AE793,""),"")</f>
        <v>50</v>
      </c>
      <c r="AF790" s="1937"/>
      <c r="AG790" s="177"/>
      <c r="AH790" s="1934" t="str">
        <f ca="1">IF(AK788&gt;0,CONCATENATE("Sport: ",INDEX(sessions_sport_primary,INDEX(plan_session_allocation,(WEEKDAY(AI$3,2)*2-1)+IF(AI788="Morning",0,1),AH788))),"")</f>
        <v>Sport: Hilly Trail Run</v>
      </c>
      <c r="AI790" s="1935"/>
      <c r="AJ790" s="1936">
        <f ca="1">IF(AK788&gt;0,IFERROR(AJ791+AJ792+AJ793,""),"")</f>
        <v>80</v>
      </c>
      <c r="AK790" s="1937"/>
      <c r="AL790" s="177"/>
    </row>
    <row r="791" spans="2:38" s="176" customFormat="1" ht="15" customHeight="1" x14ac:dyDescent="0.45">
      <c r="B791" s="1942"/>
      <c r="C791" s="1945"/>
      <c r="D791" s="1922" t="str">
        <f ca="1">IF(G788&gt;0,CONCATENATE("HR Target: ",
INDEX(sessions_HR_primary,INDEX(plan_session_allocation,((WEEKDAY(E$3,2)*2-1)+IF(E788="Morning",0,1)),D788)),
IF(INDEX(sessions_HR_primary,INDEX(plan_session_allocation,((WEEKDAY(E$3,2)*2-1)+IF(E788="Morning",0,1)),D788))="N/A","",
" BPM")),"")</f>
        <v>HR Target: 138 BPM</v>
      </c>
      <c r="E791" s="1923"/>
      <c r="F791" s="1924">
        <f ca="1">IF(G788&gt;0,
INDEX(final_duration_effort,((WEEKDAY(E$3,2)*2-1)+IF(E788="Morning",0,1)),D788),"")</f>
        <v>30</v>
      </c>
      <c r="G791" s="1925"/>
      <c r="H791" s="177"/>
      <c r="I791" s="1922" t="str">
        <f ca="1">IF(L788&gt;0,CONCATENATE("HR Target: ",
INDEX(sessions_HR_primary,INDEX(plan_session_allocation,((WEEKDAY(J$3,2)*2-1)+IF(J788="Morning",0,1)),I788)),
IF(INDEX(sessions_HR_primary,INDEX(plan_session_allocation,((WEEKDAY(J$3,2)*2-1)+IF(J788="Morning",0,1)),I788))="N/A","",
" BPM")),"")</f>
        <v/>
      </c>
      <c r="J791" s="1923"/>
      <c r="K791" s="1924" t="str">
        <f ca="1">IF(L788&gt;0,
INDEX(final_duration_effort,((WEEKDAY(J$3,2)*2-1)+IF(J788="Morning",0,1)),I788),"")</f>
        <v/>
      </c>
      <c r="L791" s="1925"/>
      <c r="M791" s="177"/>
      <c r="N791" s="1922" t="str">
        <f ca="1">IF(Q788&gt;0,CONCATENATE("HR Target: ",
INDEX(sessions_HR_primary,INDEX(plan_session_allocation,((WEEKDAY(O$3,2)*2-1)+IF(O788="Morning",0,1)),N788)),
IF(INDEX(sessions_HR_primary,INDEX(plan_session_allocation,((WEEKDAY(O$3,2)*2-1)+IF(O788="Morning",0,1)),N788))="N/A","",
" BPM")),"")</f>
        <v/>
      </c>
      <c r="O791" s="1923"/>
      <c r="P791" s="1924" t="str">
        <f ca="1">IF(Q788&gt;0,
INDEX(final_duration_effort,((WEEKDAY(O$3,2)*2-1)+IF(O788="Morning",0,1)),N788),"")</f>
        <v/>
      </c>
      <c r="Q791" s="1925"/>
      <c r="R791" s="177"/>
      <c r="S791" s="1922" t="str">
        <f ca="1">IF(V788&gt;0,CONCATENATE("HR Target: ",
INDEX(sessions_HR_primary,INDEX(plan_session_allocation,((WEEKDAY(T$3,2)*2-1)+IF(T788="Morning",0,1)),S788)),
IF(INDEX(sessions_HR_primary,INDEX(plan_session_allocation,((WEEKDAY(T$3,2)*2-1)+IF(T788="Morning",0,1)),S788))="N/A","",
" BPM")),"")</f>
        <v/>
      </c>
      <c r="T791" s="1923"/>
      <c r="U791" s="1924" t="str">
        <f ca="1">IF(V788&gt;0,
INDEX(final_duration_effort,((WEEKDAY(T$3,2)*2-1)+IF(T788="Morning",0,1)),S788),"")</f>
        <v/>
      </c>
      <c r="V791" s="1925"/>
      <c r="W791" s="177"/>
      <c r="X791" s="1922" t="str">
        <f ca="1">IF(AA788&gt;0,CONCATENATE("HR Target: ",
INDEX(sessions_HR_primary,INDEX(plan_session_allocation,((WEEKDAY(Y$3,2)*2-1)+IF(Y788="Morning",0,1)),X788)),
IF(INDEX(sessions_HR_primary,INDEX(plan_session_allocation,((WEEKDAY(Y$3,2)*2-1)+IF(Y788="Morning",0,1)),X788))="N/A","",
" BPM")),"")</f>
        <v>HR Target: 138 BPM</v>
      </c>
      <c r="Y791" s="1923"/>
      <c r="Z791" s="1924">
        <f ca="1">IF(AA788&gt;0,
INDEX(final_duration_effort,((WEEKDAY(Y$3,2)*2-1)+IF(Y788="Morning",0,1)),X788),"")</f>
        <v>30</v>
      </c>
      <c r="AA791" s="1925"/>
      <c r="AB791" s="177"/>
      <c r="AC791" s="1922" t="str">
        <f ca="1">IF(AF788&gt;0,CONCATENATE("HR Target: ",
INDEX(sessions_HR_primary,INDEX(plan_session_allocation,((WEEKDAY(AD$3,2)*2-1)+IF(AD788="Morning",0,1)),AC788)),
IF(INDEX(sessions_HR_primary,INDEX(plan_session_allocation,((WEEKDAY(AD$3,2)*2-1)+IF(AD788="Morning",0,1)),AC788))="N/A","",
" BPM")),"")</f>
        <v>HR Target: 148 BPM</v>
      </c>
      <c r="AD791" s="1923"/>
      <c r="AE791" s="1924">
        <f ca="1">IF(AF788&gt;0,
INDEX(final_duration_effort,((WEEKDAY(AD$3,2)*2-1)+IF(AD788="Morning",0,1)),AC788),"")</f>
        <v>50</v>
      </c>
      <c r="AF791" s="1925"/>
      <c r="AG791" s="177"/>
      <c r="AH791" s="1922" t="str">
        <f ca="1">IF(AK788&gt;0,CONCATENATE("HR Target: ",
INDEX(sessions_HR_primary,INDEX(plan_session_allocation,((WEEKDAY(AI$3,2)*2-1)+IF(AI788="Morning",0,1)),AH788)),
IF(INDEX(sessions_HR_primary,INDEX(plan_session_allocation,((WEEKDAY(AI$3,2)*2-1)+IF(AI788="Morning",0,1)),AH788))="N/A","",
" BPM")),"")</f>
        <v>HR Target: 148 BPM</v>
      </c>
      <c r="AI791" s="1923"/>
      <c r="AJ791" s="1924">
        <f ca="1">IF(AK788&gt;0,
INDEX(final_duration_effort,((WEEKDAY(AI$3,2)*2-1)+IF(AI788="Morning",0,1)),AH788),"")</f>
        <v>80</v>
      </c>
      <c r="AK791" s="1925"/>
      <c r="AL791" s="177"/>
    </row>
    <row r="792" spans="2:38" s="179" customFormat="1" x14ac:dyDescent="0.45">
      <c r="B792" s="1942"/>
      <c r="C792" s="1945"/>
      <c r="D792" s="1926" t="str">
        <f ca="1">IF(G788&gt;0,CONCATENATE("HR Range: ",
INDEX(sessions_HR_range_primary,INDEX(plan_session_allocation,((WEEKDAY(E$3,2)*2-1)+IF(E788="Morning",0,1)),D788)),
IF(INDEX(sessions_HR_range_primary,INDEX(plan_session_allocation,((WEEKDAY(E$3,2)*2-1)+IF(E788="Morning",0,1)),D788))="N/A","",
" BPM")),"")</f>
        <v>HR Range: 129 - 148 BPM</v>
      </c>
      <c r="E792" s="1927"/>
      <c r="F792" s="1928">
        <f ca="1">IF(G788&gt;0,IF(
INDEX(sessions_recoveries,INDEX(plan_session_allocation,((WEEKDAY(E$3,2)*2-1)+IF(E788="Morning",0,1)),D788))="Yes",
VLOOKUP(INDEX(plan_duration_primary,((WEEKDAY(E$3,2)*2-1)+IF(E788="Morning",0,1)),D788),
INDIRECT(INDEX(sessions_intervals_code_primary,INDEX(plan_session_allocation,((WEEKDAY(E$3,2)*2-1)+IF(E788="Morning",0,1)),D788))),7,TRUE),0),"")</f>
        <v>0</v>
      </c>
      <c r="G792" s="1929"/>
      <c r="H792" s="178"/>
      <c r="I792" s="1926" t="str">
        <f ca="1">IF(L788&gt;0,CONCATENATE("HR Range: ",
INDEX(sessions_HR_range_primary,INDEX(plan_session_allocation,((WEEKDAY(J$3,2)*2-1)+IF(J788="Morning",0,1)),I788)),
IF(INDEX(sessions_HR_range_primary,INDEX(plan_session_allocation,((WEEKDAY(J$3,2)*2-1)+IF(J788="Morning",0,1)),I788))="N/A","",
" BPM")),"")</f>
        <v/>
      </c>
      <c r="J792" s="1927"/>
      <c r="K792" s="1928" t="str">
        <f ca="1">IF(L788&gt;0,IF(
INDEX(sessions_recoveries,INDEX(plan_session_allocation,((WEEKDAY(J$3,2)*2-1)+IF(J788="Morning",0,1)),I788))="Yes",
VLOOKUP(INDEX(plan_duration_primary,((WEEKDAY(J$3,2)*2-1)+IF(J788="Morning",0,1)),I788),
INDIRECT(INDEX(sessions_intervals_code_primary,INDEX(plan_session_allocation,((WEEKDAY(J$3,2)*2-1)+IF(J788="Morning",0,1)),I788))),7,TRUE),0),"")</f>
        <v/>
      </c>
      <c r="L792" s="1929"/>
      <c r="M792" s="178"/>
      <c r="N792" s="1926" t="str">
        <f ca="1">IF(Q788&gt;0,CONCATENATE("HR Range: ",
INDEX(sessions_HR_range_primary,INDEX(plan_session_allocation,((WEEKDAY(O$3,2)*2-1)+IF(O788="Morning",0,1)),N788)),
IF(INDEX(sessions_HR_range_primary,INDEX(plan_session_allocation,((WEEKDAY(O$3,2)*2-1)+IF(O788="Morning",0,1)),N788))="N/A","",
" BPM")),"")</f>
        <v/>
      </c>
      <c r="O792" s="1927"/>
      <c r="P792" s="1928" t="str">
        <f ca="1">IF(Q788&gt;0,IF(
INDEX(sessions_recoveries,INDEX(plan_session_allocation,((WEEKDAY(O$3,2)*2-1)+IF(O788="Morning",0,1)),N788))="Yes",
VLOOKUP(INDEX(plan_duration_primary,((WEEKDAY(O$3,2)*2-1)+IF(O788="Morning",0,1)),N788),
INDIRECT(INDEX(sessions_intervals_code_primary,INDEX(plan_session_allocation,((WEEKDAY(O$3,2)*2-1)+IF(O788="Morning",0,1)),N788))),7,TRUE),0),"")</f>
        <v/>
      </c>
      <c r="Q792" s="1929"/>
      <c r="R792" s="178"/>
      <c r="S792" s="1926" t="str">
        <f ca="1">IF(V788&gt;0,CONCATENATE("HR Range: ",
INDEX(sessions_HR_range_primary,INDEX(plan_session_allocation,((WEEKDAY(T$3,2)*2-1)+IF(T788="Morning",0,1)),S788)),
IF(INDEX(sessions_HR_range_primary,INDEX(plan_session_allocation,((WEEKDAY(T$3,2)*2-1)+IF(T788="Morning",0,1)),S788))="N/A","",
" BPM")),"")</f>
        <v/>
      </c>
      <c r="T792" s="1927"/>
      <c r="U792" s="1928" t="str">
        <f ca="1">IF(V788&gt;0,IF(
INDEX(sessions_recoveries,INDEX(plan_session_allocation,((WEEKDAY(T$3,2)*2-1)+IF(T788="Morning",0,1)),S788))="Yes",
VLOOKUP(INDEX(plan_duration_primary,((WEEKDAY(T$3,2)*2-1)+IF(T788="Morning",0,1)),S788),
INDIRECT(INDEX(sessions_intervals_code_primary,INDEX(plan_session_allocation,((WEEKDAY(T$3,2)*2-1)+IF(T788="Morning",0,1)),S788))),7,TRUE),0),"")</f>
        <v/>
      </c>
      <c r="V792" s="1929"/>
      <c r="W792" s="178"/>
      <c r="X792" s="1926" t="str">
        <f ca="1">IF(AA788&gt;0,CONCATENATE("HR Range: ",
INDEX(sessions_HR_range_primary,INDEX(plan_session_allocation,((WEEKDAY(Y$3,2)*2-1)+IF(Y788="Morning",0,1)),X788)),
IF(INDEX(sessions_HR_range_primary,INDEX(plan_session_allocation,((WEEKDAY(Y$3,2)*2-1)+IF(Y788="Morning",0,1)),X788))="N/A","",
" BPM")),"")</f>
        <v>HR Range: 129 - 148 BPM</v>
      </c>
      <c r="Y792" s="1927"/>
      <c r="Z792" s="1928">
        <f ca="1">IF(AA788&gt;0,IF(
INDEX(sessions_recoveries,INDEX(plan_session_allocation,((WEEKDAY(Y$3,2)*2-1)+IF(Y788="Morning",0,1)),X788))="Yes",
VLOOKUP(INDEX(plan_duration_primary,((WEEKDAY(Y$3,2)*2-1)+IF(Y788="Morning",0,1)),X788),
INDIRECT(INDEX(sessions_intervals_code_primary,INDEX(plan_session_allocation,((WEEKDAY(Y$3,2)*2-1)+IF(Y788="Morning",0,1)),X788))),7,TRUE),0),"")</f>
        <v>0</v>
      </c>
      <c r="AA792" s="1929"/>
      <c r="AB792" s="178"/>
      <c r="AC792" s="1926" t="str">
        <f ca="1">IF(AF788&gt;0,CONCATENATE("HR Range: ",
INDEX(sessions_HR_range_primary,INDEX(plan_session_allocation,((WEEKDAY(AD$3,2)*2-1)+IF(AD788="Morning",0,1)),AC788)),
IF(INDEX(sessions_HR_range_primary,INDEX(plan_session_allocation,((WEEKDAY(AD$3,2)*2-1)+IF(AD788="Morning",0,1)),AC788))="N/A","",
" BPM")),"")</f>
        <v>HR Range: 138 - 157 BPM</v>
      </c>
      <c r="AD792" s="1927"/>
      <c r="AE792" s="1928">
        <f ca="1">IF(AF788&gt;0,IF(
INDEX(sessions_recoveries,INDEX(plan_session_allocation,((WEEKDAY(AD$3,2)*2-1)+IF(AD788="Morning",0,1)),AC788))="Yes",
VLOOKUP(INDEX(plan_duration_primary,((WEEKDAY(AD$3,2)*2-1)+IF(AD788="Morning",0,1)),AC788),
INDIRECT(INDEX(sessions_intervals_code_primary,INDEX(plan_session_allocation,((WEEKDAY(AD$3,2)*2-1)+IF(AD788="Morning",0,1)),AC788))),7,TRUE),0),"")</f>
        <v>0</v>
      </c>
      <c r="AF792" s="1929"/>
      <c r="AG792" s="178"/>
      <c r="AH792" s="1926" t="str">
        <f ca="1">IF(AK788&gt;0,CONCATENATE("HR Range: ",
INDEX(sessions_HR_range_primary,INDEX(plan_session_allocation,((WEEKDAY(AI$3,2)*2-1)+IF(AI788="Morning",0,1)),AH788)),
IF(INDEX(sessions_HR_range_primary,INDEX(plan_session_allocation,((WEEKDAY(AI$3,2)*2-1)+IF(AI788="Morning",0,1)),AH788))="N/A","",
" BPM")),"")</f>
        <v>HR Range: 129 - 169 BPM</v>
      </c>
      <c r="AI792" s="1927"/>
      <c r="AJ792" s="1928">
        <f ca="1">IF(AK788&gt;0,IF(
INDEX(sessions_recoveries,INDEX(plan_session_allocation,((WEEKDAY(AI$3,2)*2-1)+IF(AI788="Morning",0,1)),AH788))="Yes",
VLOOKUP(INDEX(plan_duration_primary,((WEEKDAY(AI$3,2)*2-1)+IF(AI788="Morning",0,1)),AH788),
INDIRECT(INDEX(sessions_intervals_code_primary,INDEX(plan_session_allocation,((WEEKDAY(AI$3,2)*2-1)+IF(AI788="Morning",0,1)),AH788))),7,TRUE),0),"")</f>
        <v>0</v>
      </c>
      <c r="AK792" s="1929"/>
      <c r="AL792" s="178"/>
    </row>
    <row r="793" spans="2:38" s="179" customFormat="1" ht="15" customHeight="1" x14ac:dyDescent="0.45">
      <c r="B793" s="1942"/>
      <c r="C793" s="1945"/>
      <c r="D793" s="1909" t="str">
        <f ca="1">IF(G788&gt;0,CONCATENATE("Equivalent Pace: ",
TEXT(INDEX(sessions_pace_primary,INDEX(plan_session_allocation,(WEEKDAY(E$3,2)*2-1)+IF(E788="Morning",0,1),D788)),"m:ss"),
" min/km"
),"")</f>
        <v>Equivalent Pace: 4:39 min/km</v>
      </c>
      <c r="E793" s="1910"/>
      <c r="F793" s="1911">
        <f ca="1">IF(G788&gt;0, INDEX(final_duration_WU,((WEEKDAY(E$3,2)*2-1)+IF(E788="Morning",0,1)),D788)  + INDEX(final_duration_WD,((WEEKDAY(E$3,2)*2-1)+IF(E788="Morning",0,1)),D788), "")</f>
        <v>0</v>
      </c>
      <c r="G793" s="1912"/>
      <c r="H793" s="178"/>
      <c r="I793" s="1909" t="str">
        <f ca="1">IF(L788&gt;0,CONCATENATE("Equivalent Pace: ",
TEXT(INDEX(sessions_pace_primary,INDEX(plan_session_allocation,(WEEKDAY(J$3,2)*2-1)+IF(J788="Morning",0,1),I788)),"m:ss"),
" min/km"
),"")</f>
        <v/>
      </c>
      <c r="J793" s="1910"/>
      <c r="K793" s="1911" t="str">
        <f ca="1">IF(L788&gt;0, INDEX(final_duration_WU,((WEEKDAY(J$3,2)*2-1)+IF(J788="Morning",0,1)),I788)  + INDEX(final_duration_WD,((WEEKDAY(J$3,2)*2-1)+IF(J788="Morning",0,1)),I788), "")</f>
        <v/>
      </c>
      <c r="L793" s="1912"/>
      <c r="M793" s="178"/>
      <c r="N793" s="1909" t="str">
        <f ca="1">IF(Q788&gt;0,CONCATENATE("Equivalent Pace: ",
TEXT(INDEX(sessions_pace_primary,INDEX(plan_session_allocation,(WEEKDAY(O$3,2)*2-1)+IF(O788="Morning",0,1),N788)),"m:ss"),
" min/km"
),"")</f>
        <v/>
      </c>
      <c r="O793" s="1910"/>
      <c r="P793" s="1911" t="str">
        <f ca="1">IF(Q788&gt;0, INDEX(final_duration_WU,((WEEKDAY(O$3,2)*2-1)+IF(O788="Morning",0,1)),N788)  + INDEX(final_duration_WD,((WEEKDAY(O$3,2)*2-1)+IF(O788="Morning",0,1)),N788), "")</f>
        <v/>
      </c>
      <c r="Q793" s="1912"/>
      <c r="R793" s="178"/>
      <c r="S793" s="1909" t="str">
        <f ca="1">IF(V788&gt;0,CONCATENATE("Equivalent Pace: ",
TEXT(INDEX(sessions_pace_primary,INDEX(plan_session_allocation,(WEEKDAY(T$3,2)*2-1)+IF(T788="Morning",0,1),S788)),"m:ss"),
" min/km"
),"")</f>
        <v/>
      </c>
      <c r="T793" s="1910"/>
      <c r="U793" s="1911" t="str">
        <f ca="1">IF(V788&gt;0, INDEX(final_duration_WU,((WEEKDAY(T$3,2)*2-1)+IF(T788="Morning",0,1)),S788)  + INDEX(final_duration_WD,((WEEKDAY(T$3,2)*2-1)+IF(T788="Morning",0,1)),S788), "")</f>
        <v/>
      </c>
      <c r="V793" s="1912"/>
      <c r="W793" s="178"/>
      <c r="X793" s="1909" t="str">
        <f ca="1">IF(AA788&gt;0,CONCATENATE("Equivalent Pace: ",
TEXT(INDEX(sessions_pace_primary,INDEX(plan_session_allocation,(WEEKDAY(Y$3,2)*2-1)+IF(Y788="Morning",0,1),X788)),"m:ss"),
" min/km"
),"")</f>
        <v>Equivalent Pace: 4:39 min/km</v>
      </c>
      <c r="Y793" s="1910"/>
      <c r="Z793" s="1911">
        <f ca="1">IF(AA788&gt;0, INDEX(final_duration_WU,((WEEKDAY(Y$3,2)*2-1)+IF(Y788="Morning",0,1)),X788)  + INDEX(final_duration_WD,((WEEKDAY(Y$3,2)*2-1)+IF(Y788="Morning",0,1)),X788), "")</f>
        <v>0</v>
      </c>
      <c r="AA793" s="1912"/>
      <c r="AB793" s="178"/>
      <c r="AC793" s="1909" t="str">
        <f ca="1">IF(AF788&gt;0,CONCATENATE("Equivalent Pace: ",
TEXT(INDEX(sessions_pace_primary,INDEX(plan_session_allocation,(WEEKDAY(AD$3,2)*2-1)+IF(AD788="Morning",0,1),AC788)),"m:ss"),
" min/km"
),"")</f>
        <v>Equivalent Pace: 4:14 min/km</v>
      </c>
      <c r="AD793" s="1910"/>
      <c r="AE793" s="1911">
        <f ca="1">IF(AF788&gt;0, INDEX(final_duration_WU,((WEEKDAY(AD$3,2)*2-1)+IF(AD788="Morning",0,1)),AC788)  + INDEX(final_duration_WD,((WEEKDAY(AD$3,2)*2-1)+IF(AD788="Morning",0,1)),AC788), "")</f>
        <v>0</v>
      </c>
      <c r="AF793" s="1912"/>
      <c r="AG793" s="178"/>
      <c r="AH793" s="1909" t="str">
        <f ca="1">IF(AK788&gt;0,CONCATENATE("Equivalent Pace: ",
TEXT(INDEX(sessions_pace_primary,INDEX(plan_session_allocation,(WEEKDAY(AI$3,2)*2-1)+IF(AI788="Morning",0,1),AH788)),"m:ss"),
" min/km"
),"")</f>
        <v>Equivalent Pace: 4:14 min/km</v>
      </c>
      <c r="AI793" s="1910"/>
      <c r="AJ793" s="1911">
        <f ca="1">IF(AK788&gt;0, INDEX(final_duration_WU,((WEEKDAY(AI$3,2)*2-1)+IF(AI788="Morning",0,1)),AH788)  + INDEX(final_duration_WD,((WEEKDAY(AI$3,2)*2-1)+IF(AI788="Morning",0,1)),AH788), "")</f>
        <v>0</v>
      </c>
      <c r="AK793" s="1912"/>
      <c r="AL793" s="178"/>
    </row>
    <row r="794" spans="2:38" s="180" customFormat="1" ht="15" customHeight="1" x14ac:dyDescent="0.45">
      <c r="B794" s="1942"/>
      <c r="C794" s="1945"/>
      <c r="D794" s="1913" t="str">
        <f ca="1">IF(G788&gt;0,CONCATENATE(IFERROR(CONCATENATE(IF(INDEX(display_intervals_breakdown,((WEEKDAY(E$3,2)*2-1)+IF(E788="Morning",0,1)),D788)="","",CONCATENATE("Intervals/Reps Breakdown: 
",INDEX(display_intervals_breakdown,((WEEKDAY(E$3,2)*2-1)+IF(E788="Morning",0,1)),D788),"
")),"Session Description: 
",CONCATENATE(IF(INDEX(final_duration_secondary,((WEEKDAY(E$3,2)*2-1)+IF(E788="Morning",0,1)),D788)=0,"","1. "),
INDEX(sessions_description_primary,,INDEX(plan_session_allocation,((WEEKDAY(E$3,2)*2-1)+IF(E788="Morning",0,1)),D788)),IF(INDEX(final_duration_secondary,((WEEKDAY(E$3,2)*2-1)+IF(E788="Morning",0,1)),D788)=0,"","
2. "),
IF(INDEX(final_duration_secondary,((WEEKDAY(E$3,2)*2-1)+IF(E788="Morning",0,1)),D788)=0,"",INDEX(sessions_description_secondary,,INDEX(plan_session_allocation,((WEEKDAY(E$3,2)*2-1)+IF(E788="Morning",0,1)),D788))),IF(INDEX(final_duration_tertiary,((WEEKDAY(E$3,2)*2-1)+IF(E788="Morning",0,1)),D788)=0,"","
3. "),
IF(INDEX(final_duration_tertiary,((WEEKDAY(E$3,2)*2-1)+IF(E788="Morning",0,1)),D788)="","",INDEX(sessions_description_tertiary,,INDEX(plan_session_allocation,((WEEKDAY(E$3,2)*2-1)+IF(E788="Morning",0,1)),D788))),
IF(INDEX(display_nutrition_description,((WEEKDAY(E$3,2)*2-1)+IF(E788="Morning",0,1)),D788)="","",
CONCATENATE("
Meal Plan: ", INDEX(sessions_nutrition,,INDEX(plan_session_allocation,((WEEKDAY(E$3,2)*2-1)+IF(E788="Morning",0,1)),D788)), "
", INDEX(display_nutrition_description,((WEEKDAY(E$3,2)*2-1)+IF(E788="Morning",0,1)),D788)))
)),"")),"")</f>
        <v>Session Description: 
Stay at a comfortable and controlled intensity where you should be able to have a conversation without large pauses. Keep an even intensity and accept that your pace may change as the terrain changes.</v>
      </c>
      <c r="E794" s="1914"/>
      <c r="F794" s="1914"/>
      <c r="G794" s="1915"/>
      <c r="I794" s="1913" t="str">
        <f ca="1">IF(L788&gt;0,CONCATENATE(IFERROR(CONCATENATE(IF(INDEX(display_intervals_breakdown,((WEEKDAY(J$3,2)*2-1)+IF(J788="Morning",0,1)),I788)="","",CONCATENATE("Intervals/Reps Breakdown: 
",INDEX(display_intervals_breakdown,((WEEKDAY(J$3,2)*2-1)+IF(J788="Morning",0,1)),I788),"
")),"Session Description: 
",CONCATENATE(IF(INDEX(final_duration_secondary,((WEEKDAY(J$3,2)*2-1)+IF(J788="Morning",0,1)),I788)=0,"","1. "),
INDEX(sessions_description_primary,,INDEX(plan_session_allocation,((WEEKDAY(J$3,2)*2-1)+IF(J788="Morning",0,1)),I788)),IF(INDEX(final_duration_secondary,((WEEKDAY(J$3,2)*2-1)+IF(J788="Morning",0,1)),I788)=0,"","
2. "),
IF(INDEX(final_duration_secondary,((WEEKDAY(J$3,2)*2-1)+IF(J788="Morning",0,1)),I788)=0,"",INDEX(sessions_description_secondary,,INDEX(plan_session_allocation,((WEEKDAY(J$3,2)*2-1)+IF(J788="Morning",0,1)),I788))),IF(INDEX(final_duration_tertiary,((WEEKDAY(J$3,2)*2-1)+IF(J788="Morning",0,1)),I788)=0,"","
3. "),
IF(INDEX(final_duration_tertiary,((WEEKDAY(J$3,2)*2-1)+IF(J788="Morning",0,1)),I788)="","",INDEX(sessions_description_tertiary,,INDEX(plan_session_allocation,((WEEKDAY(J$3,2)*2-1)+IF(J788="Morning",0,1)),I788))),
IF(INDEX(display_nutrition_description,((WEEKDAY(J$3,2)*2-1)+IF(J788="Morning",0,1)),I788)="","",
CONCATENATE("
Meal Plan: ", INDEX(sessions_nutrition,,INDEX(plan_session_allocation,((WEEKDAY(J$3,2)*2-1)+IF(J788="Morning",0,1)),I788)), "
", INDEX(display_nutrition_description,((WEEKDAY(J$3,2)*2-1)+IF(J788="Morning",0,1)),I788)))
)),"")),"")</f>
        <v/>
      </c>
      <c r="J794" s="1914"/>
      <c r="K794" s="1914"/>
      <c r="L794" s="1915"/>
      <c r="N794" s="1913" t="str">
        <f ca="1">IF(Q788&gt;0,CONCATENATE(IFERROR(CONCATENATE(IF(INDEX(display_intervals_breakdown,((WEEKDAY(O$3,2)*2-1)+IF(O788="Morning",0,1)),N788)="","",CONCATENATE("Intervals/Reps Breakdown: 
",INDEX(display_intervals_breakdown,((WEEKDAY(O$3,2)*2-1)+IF(O788="Morning",0,1)),N788),"
")),"Session Description: 
",CONCATENATE(IF(INDEX(final_duration_secondary,((WEEKDAY(O$3,2)*2-1)+IF(O788="Morning",0,1)),N788)=0,"","1. "),
INDEX(sessions_description_primary,,INDEX(plan_session_allocation,((WEEKDAY(O$3,2)*2-1)+IF(O788="Morning",0,1)),N788)),IF(INDEX(final_duration_secondary,((WEEKDAY(O$3,2)*2-1)+IF(O788="Morning",0,1)),N788)=0,"","
2. "),
IF(INDEX(final_duration_secondary,((WEEKDAY(O$3,2)*2-1)+IF(O788="Morning",0,1)),N788)=0,"",INDEX(sessions_description_secondary,,INDEX(plan_session_allocation,((WEEKDAY(O$3,2)*2-1)+IF(O788="Morning",0,1)),N788))),IF(INDEX(final_duration_tertiary,((WEEKDAY(O$3,2)*2-1)+IF(O788="Morning",0,1)),N788)=0,"","
3. "),
IF(INDEX(final_duration_tertiary,((WEEKDAY(O$3,2)*2-1)+IF(O788="Morning",0,1)),N788)="","",INDEX(sessions_description_tertiary,,INDEX(plan_session_allocation,((WEEKDAY(O$3,2)*2-1)+IF(O788="Morning",0,1)),N788))),
IF(INDEX(display_nutrition_description,((WEEKDAY(O$3,2)*2-1)+IF(O788="Morning",0,1)),N788)="","",
CONCATENATE("
Meal Plan: ", INDEX(sessions_nutrition,,INDEX(plan_session_allocation,((WEEKDAY(O$3,2)*2-1)+IF(O788="Morning",0,1)),N788)), "
", INDEX(display_nutrition_description,((WEEKDAY(O$3,2)*2-1)+IF(O788="Morning",0,1)),N788)))
)),"")),"")</f>
        <v/>
      </c>
      <c r="O794" s="1914"/>
      <c r="P794" s="1914"/>
      <c r="Q794" s="1915"/>
      <c r="S794" s="1913" t="str">
        <f ca="1">IF(V788&gt;0,CONCATENATE(IFERROR(CONCATENATE(IF(INDEX(display_intervals_breakdown,((WEEKDAY(T$3,2)*2-1)+IF(T788="Morning",0,1)),S788)="","",CONCATENATE("Intervals/Reps Breakdown: 
",INDEX(display_intervals_breakdown,((WEEKDAY(T$3,2)*2-1)+IF(T788="Morning",0,1)),S788),"
")),"Session Description: 
",CONCATENATE(IF(INDEX(final_duration_secondary,((WEEKDAY(T$3,2)*2-1)+IF(T788="Morning",0,1)),S788)=0,"","1. "),
INDEX(sessions_description_primary,,INDEX(plan_session_allocation,((WEEKDAY(T$3,2)*2-1)+IF(T788="Morning",0,1)),S788)),IF(INDEX(final_duration_secondary,((WEEKDAY(T$3,2)*2-1)+IF(T788="Morning",0,1)),S788)=0,"","
2. "),
IF(INDEX(final_duration_secondary,((WEEKDAY(T$3,2)*2-1)+IF(T788="Morning",0,1)),S788)=0,"",INDEX(sessions_description_secondary,,INDEX(plan_session_allocation,((WEEKDAY(T$3,2)*2-1)+IF(T788="Morning",0,1)),S788))),IF(INDEX(final_duration_tertiary,((WEEKDAY(T$3,2)*2-1)+IF(T788="Morning",0,1)),S788)=0,"","
3. "),
IF(INDEX(final_duration_tertiary,((WEEKDAY(T$3,2)*2-1)+IF(T788="Morning",0,1)),S788)="","",INDEX(sessions_description_tertiary,,INDEX(plan_session_allocation,((WEEKDAY(T$3,2)*2-1)+IF(T788="Morning",0,1)),S788))),
IF(INDEX(display_nutrition_description,((WEEKDAY(T$3,2)*2-1)+IF(T788="Morning",0,1)),S788)="","",
CONCATENATE("
Meal Plan: ", INDEX(sessions_nutrition,,INDEX(plan_session_allocation,((WEEKDAY(T$3,2)*2-1)+IF(T788="Morning",0,1)),S788)), "
", INDEX(display_nutrition_description,((WEEKDAY(T$3,2)*2-1)+IF(T788="Morning",0,1)),S788)))
)),"")),"")</f>
        <v/>
      </c>
      <c r="T794" s="1914"/>
      <c r="U794" s="1914"/>
      <c r="V794" s="1915"/>
      <c r="X794" s="1913" t="str">
        <f ca="1">IF(AA788&gt;0,CONCATENATE(IFERROR(CONCATENATE(IF(INDEX(display_intervals_breakdown,((WEEKDAY(Y$3,2)*2-1)+IF(Y788="Morning",0,1)),X788)="","",CONCATENATE("Intervals/Reps Breakdown: 
",INDEX(display_intervals_breakdown,((WEEKDAY(Y$3,2)*2-1)+IF(Y788="Morning",0,1)),X788),"
")),"Session Description: 
",CONCATENATE(IF(INDEX(final_duration_secondary,((WEEKDAY(Y$3,2)*2-1)+IF(Y788="Morning",0,1)),X788)=0,"","1. "),
INDEX(sessions_description_primary,,INDEX(plan_session_allocation,((WEEKDAY(Y$3,2)*2-1)+IF(Y788="Morning",0,1)),X788)),IF(INDEX(final_duration_secondary,((WEEKDAY(Y$3,2)*2-1)+IF(Y788="Morning",0,1)),X788)=0,"","
2. "),
IF(INDEX(final_duration_secondary,((WEEKDAY(Y$3,2)*2-1)+IF(Y788="Morning",0,1)),X788)=0,"",INDEX(sessions_description_secondary,,INDEX(plan_session_allocation,((WEEKDAY(Y$3,2)*2-1)+IF(Y788="Morning",0,1)),X788))),IF(INDEX(final_duration_tertiary,((WEEKDAY(Y$3,2)*2-1)+IF(Y788="Morning",0,1)),X788)=0,"","
3. "),
IF(INDEX(final_duration_tertiary,((WEEKDAY(Y$3,2)*2-1)+IF(Y788="Morning",0,1)),X788)="","",INDEX(sessions_description_tertiary,,INDEX(plan_session_allocation,((WEEKDAY(Y$3,2)*2-1)+IF(Y788="Morning",0,1)),X788))),
IF(INDEX(display_nutrition_description,((WEEKDAY(Y$3,2)*2-1)+IF(Y788="Morning",0,1)),X788)="","",
CONCATENATE("
Meal Plan: ", INDEX(sessions_nutrition,,INDEX(plan_session_allocation,((WEEKDAY(Y$3,2)*2-1)+IF(Y788="Morning",0,1)),X788)), "
", INDEX(display_nutrition_description,((WEEKDAY(Y$3,2)*2-1)+IF(Y788="Morning",0,1)),X788)))
)),"")),"")</f>
        <v>Session Description: 
Stay at a comfortable and controlled intensity where you should be able to have a conversation without large pauses. Keep an even intensity and accept that your pace may change as the terrain changes.</v>
      </c>
      <c r="Y794" s="1914"/>
      <c r="Z794" s="1914"/>
      <c r="AA794" s="1915"/>
      <c r="AC794" s="1913" t="str">
        <f ca="1">IF(AF788&gt;0,CONCATENATE(IFERROR(CONCATENATE(IF(INDEX(display_intervals_breakdown,((WEEKDAY(AD$3,2)*2-1)+IF(AD788="Morning",0,1)),AC788)="","",CONCATENATE("Intervals/Reps Breakdown: 
",INDEX(display_intervals_breakdown,((WEEKDAY(AD$3,2)*2-1)+IF(AD788="Morning",0,1)),AC788),"
")),"Session Description: 
",CONCATENATE(IF(INDEX(final_duration_secondary,((WEEKDAY(AD$3,2)*2-1)+IF(AD788="Morning",0,1)),AC788)=0,"","1. "),
INDEX(sessions_description_primary,,INDEX(plan_session_allocation,((WEEKDAY(AD$3,2)*2-1)+IF(AD788="Morning",0,1)),AC788)),IF(INDEX(final_duration_secondary,((WEEKDAY(AD$3,2)*2-1)+IF(AD788="Morning",0,1)),AC788)=0,"","
2. "),
IF(INDEX(final_duration_secondary,((WEEKDAY(AD$3,2)*2-1)+IF(AD788="Morning",0,1)),AC788)=0,"",INDEX(sessions_description_secondary,,INDEX(plan_session_allocation,((WEEKDAY(AD$3,2)*2-1)+IF(AD788="Morning",0,1)),AC788))),IF(INDEX(final_duration_tertiary,((WEEKDAY(AD$3,2)*2-1)+IF(AD788="Morning",0,1)),AC788)=0,"","
3. "),
IF(INDEX(final_duration_tertiary,((WEEKDAY(AD$3,2)*2-1)+IF(AD788="Morning",0,1)),AC788)="","",INDEX(sessions_description_tertiary,,INDEX(plan_session_allocation,((WEEKDAY(AD$3,2)*2-1)+IF(AD788="Morning",0,1)),AC788))),
IF(INDEX(display_nutrition_description,((WEEKDAY(AD$3,2)*2-1)+IF(AD788="Morning",0,1)),AC788)="","",
CONCATENATE("
Meal Plan: ", INDEX(sessions_nutrition,,INDEX(plan_session_allocation,((WEEKDAY(AD$3,2)*2-1)+IF(AD788="Morning",0,1)),AC788)), "
", INDEX(display_nutrition_description,((WEEKDAY(AD$3,2)*2-1)+IF(AD788="Morning",0,1)),AC788)))
)),"")),"")</f>
        <v>Session Description: 
Stay at a comfortable and controlled intensity where you should be able to have a conversation without large pauses. Keep an even intensity and accept that your pace may change as the terrain changes.</v>
      </c>
      <c r="AD794" s="1914"/>
      <c r="AE794" s="1914"/>
      <c r="AF794" s="1915"/>
      <c r="AH794" s="1913" t="str">
        <f ca="1">IF(AK788&gt;0,CONCATENATE(IFERROR(CONCATENATE(IF(INDEX(display_intervals_breakdown,((WEEKDAY(AI$3,2)*2-1)+IF(AI788="Morning",0,1)),AH788)="","",CONCATENATE("Intervals/Reps Breakdown: 
",INDEX(display_intervals_breakdown,((WEEKDAY(AI$3,2)*2-1)+IF(AI788="Morning",0,1)),AH788),"
")),"Session Description: 
",CONCATENATE(IF(INDEX(final_duration_secondary,((WEEKDAY(AI$3,2)*2-1)+IF(AI788="Morning",0,1)),AH788)=0,"","1. "),
INDEX(sessions_description_primary,,INDEX(plan_session_allocation,((WEEKDAY(AI$3,2)*2-1)+IF(AI788="Morning",0,1)),AH788)),IF(INDEX(final_duration_secondary,((WEEKDAY(AI$3,2)*2-1)+IF(AI788="Morning",0,1)),AH788)=0,"","
2. "),
IF(INDEX(final_duration_secondary,((WEEKDAY(AI$3,2)*2-1)+IF(AI788="Morning",0,1)),AH788)=0,"",INDEX(sessions_description_secondary,,INDEX(plan_session_allocation,((WEEKDAY(AI$3,2)*2-1)+IF(AI788="Morning",0,1)),AH788))),IF(INDEX(final_duration_tertiary,((WEEKDAY(AI$3,2)*2-1)+IF(AI788="Morning",0,1)),AH788)=0,"","
3. "),
IF(INDEX(final_duration_tertiary,((WEEKDAY(AI$3,2)*2-1)+IF(AI788="Morning",0,1)),AH788)="","",INDEX(sessions_description_tertiary,,INDEX(plan_session_allocation,((WEEKDAY(AI$3,2)*2-1)+IF(AI788="Morning",0,1)),AH788))),
IF(INDEX(display_nutrition_description,((WEEKDAY(AI$3,2)*2-1)+IF(AI788="Morning",0,1)),AH788)="","",
CONCATENATE("
Meal Plan: ", INDEX(sessions_nutrition,,INDEX(plan_session_allocation,((WEEKDAY(AI$3,2)*2-1)+IF(AI788="Morning",0,1)),AH788)), "
", INDEX(display_nutrition_description,((WEEKDAY(AI$3,2)*2-1)+IF(AI788="Morning",0,1)),AH788)))
)),"")),"")</f>
        <v xml:space="preserve">Session Description: 
Fundamentally a steady, but you can be less strict at controlling your intensity as long as your average intensity is close to it's target by the end of the session </v>
      </c>
      <c r="AI794" s="1914"/>
      <c r="AJ794" s="1914"/>
      <c r="AK794" s="1915"/>
    </row>
    <row r="795" spans="2:38" s="180" customFormat="1" x14ac:dyDescent="0.45">
      <c r="B795" s="1942"/>
      <c r="C795" s="1945"/>
      <c r="D795" s="1916"/>
      <c r="E795" s="1917"/>
      <c r="F795" s="1917"/>
      <c r="G795" s="1918"/>
      <c r="I795" s="1916"/>
      <c r="J795" s="1917"/>
      <c r="K795" s="1917"/>
      <c r="L795" s="1918"/>
      <c r="N795" s="1916"/>
      <c r="O795" s="1917"/>
      <c r="P795" s="1917"/>
      <c r="Q795" s="1918"/>
      <c r="S795" s="1916"/>
      <c r="T795" s="1917"/>
      <c r="U795" s="1917"/>
      <c r="V795" s="1918"/>
      <c r="X795" s="1916"/>
      <c r="Y795" s="1917"/>
      <c r="Z795" s="1917"/>
      <c r="AA795" s="1918"/>
      <c r="AC795" s="1916"/>
      <c r="AD795" s="1917"/>
      <c r="AE795" s="1917"/>
      <c r="AF795" s="1918"/>
      <c r="AH795" s="1916"/>
      <c r="AI795" s="1917"/>
      <c r="AJ795" s="1917"/>
      <c r="AK795" s="1918"/>
    </row>
    <row r="796" spans="2:38" s="180" customFormat="1" x14ac:dyDescent="0.45">
      <c r="B796" s="1942"/>
      <c r="C796" s="1945"/>
      <c r="D796" s="1916"/>
      <c r="E796" s="1917"/>
      <c r="F796" s="1917"/>
      <c r="G796" s="1918"/>
      <c r="I796" s="1916"/>
      <c r="J796" s="1917"/>
      <c r="K796" s="1917"/>
      <c r="L796" s="1918"/>
      <c r="N796" s="1916"/>
      <c r="O796" s="1917"/>
      <c r="P796" s="1917"/>
      <c r="Q796" s="1918"/>
      <c r="S796" s="1916"/>
      <c r="T796" s="1917"/>
      <c r="U796" s="1917"/>
      <c r="V796" s="1918"/>
      <c r="X796" s="1916"/>
      <c r="Y796" s="1917"/>
      <c r="Z796" s="1917"/>
      <c r="AA796" s="1918"/>
      <c r="AC796" s="1916"/>
      <c r="AD796" s="1917"/>
      <c r="AE796" s="1917"/>
      <c r="AF796" s="1918"/>
      <c r="AH796" s="1916"/>
      <c r="AI796" s="1917"/>
      <c r="AJ796" s="1917"/>
      <c r="AK796" s="1918"/>
    </row>
    <row r="797" spans="2:38" s="180" customFormat="1" x14ac:dyDescent="0.45">
      <c r="B797" s="1942"/>
      <c r="C797" s="1945"/>
      <c r="D797" s="1916"/>
      <c r="E797" s="1917"/>
      <c r="F797" s="1917"/>
      <c r="G797" s="1918"/>
      <c r="I797" s="1916"/>
      <c r="J797" s="1917"/>
      <c r="K797" s="1917"/>
      <c r="L797" s="1918"/>
      <c r="N797" s="1916"/>
      <c r="O797" s="1917"/>
      <c r="P797" s="1917"/>
      <c r="Q797" s="1918"/>
      <c r="S797" s="1916"/>
      <c r="T797" s="1917"/>
      <c r="U797" s="1917"/>
      <c r="V797" s="1918"/>
      <c r="X797" s="1916"/>
      <c r="Y797" s="1917"/>
      <c r="Z797" s="1917"/>
      <c r="AA797" s="1918"/>
      <c r="AC797" s="1916"/>
      <c r="AD797" s="1917"/>
      <c r="AE797" s="1917"/>
      <c r="AF797" s="1918"/>
      <c r="AH797" s="1916"/>
      <c r="AI797" s="1917"/>
      <c r="AJ797" s="1917"/>
      <c r="AK797" s="1918"/>
    </row>
    <row r="798" spans="2:38" s="180" customFormat="1" x14ac:dyDescent="0.45">
      <c r="B798" s="1942"/>
      <c r="C798" s="1945"/>
      <c r="D798" s="1916"/>
      <c r="E798" s="1917"/>
      <c r="F798" s="1917"/>
      <c r="G798" s="1918"/>
      <c r="I798" s="1916"/>
      <c r="J798" s="1917"/>
      <c r="K798" s="1917"/>
      <c r="L798" s="1918"/>
      <c r="N798" s="1916"/>
      <c r="O798" s="1917"/>
      <c r="P798" s="1917"/>
      <c r="Q798" s="1918"/>
      <c r="S798" s="1916"/>
      <c r="T798" s="1917"/>
      <c r="U798" s="1917"/>
      <c r="V798" s="1918"/>
      <c r="X798" s="1916"/>
      <c r="Y798" s="1917"/>
      <c r="Z798" s="1917"/>
      <c r="AA798" s="1918"/>
      <c r="AC798" s="1916"/>
      <c r="AD798" s="1917"/>
      <c r="AE798" s="1917"/>
      <c r="AF798" s="1918"/>
      <c r="AH798" s="1916"/>
      <c r="AI798" s="1917"/>
      <c r="AJ798" s="1917"/>
      <c r="AK798" s="1918"/>
    </row>
    <row r="799" spans="2:38" s="180" customFormat="1" x14ac:dyDescent="0.45">
      <c r="B799" s="1942"/>
      <c r="C799" s="1945"/>
      <c r="D799" s="1916"/>
      <c r="E799" s="1917"/>
      <c r="F799" s="1917"/>
      <c r="G799" s="1918"/>
      <c r="I799" s="1916"/>
      <c r="J799" s="1917"/>
      <c r="K799" s="1917"/>
      <c r="L799" s="1918"/>
      <c r="N799" s="1916"/>
      <c r="O799" s="1917"/>
      <c r="P799" s="1917"/>
      <c r="Q799" s="1918"/>
      <c r="S799" s="1916"/>
      <c r="T799" s="1917"/>
      <c r="U799" s="1917"/>
      <c r="V799" s="1918"/>
      <c r="X799" s="1916"/>
      <c r="Y799" s="1917"/>
      <c r="Z799" s="1917"/>
      <c r="AA799" s="1918"/>
      <c r="AC799" s="1916"/>
      <c r="AD799" s="1917"/>
      <c r="AE799" s="1917"/>
      <c r="AF799" s="1918"/>
      <c r="AH799" s="1916"/>
      <c r="AI799" s="1917"/>
      <c r="AJ799" s="1917"/>
      <c r="AK799" s="1918"/>
    </row>
    <row r="800" spans="2:38" s="180" customFormat="1" x14ac:dyDescent="0.45">
      <c r="B800" s="1942"/>
      <c r="C800" s="1945"/>
      <c r="D800" s="1916"/>
      <c r="E800" s="1917"/>
      <c r="F800" s="1917"/>
      <c r="G800" s="1918"/>
      <c r="I800" s="1916"/>
      <c r="J800" s="1917"/>
      <c r="K800" s="1917"/>
      <c r="L800" s="1918"/>
      <c r="N800" s="1916"/>
      <c r="O800" s="1917"/>
      <c r="P800" s="1917"/>
      <c r="Q800" s="1918"/>
      <c r="S800" s="1916"/>
      <c r="T800" s="1917"/>
      <c r="U800" s="1917"/>
      <c r="V800" s="1918"/>
      <c r="X800" s="1916"/>
      <c r="Y800" s="1917"/>
      <c r="Z800" s="1917"/>
      <c r="AA800" s="1918"/>
      <c r="AC800" s="1916"/>
      <c r="AD800" s="1917"/>
      <c r="AE800" s="1917"/>
      <c r="AF800" s="1918"/>
      <c r="AH800" s="1916"/>
      <c r="AI800" s="1917"/>
      <c r="AJ800" s="1917"/>
      <c r="AK800" s="1918"/>
    </row>
    <row r="801" spans="2:38" s="180" customFormat="1" ht="15.75" customHeight="1" x14ac:dyDescent="0.45">
      <c r="B801" s="1942"/>
      <c r="C801" s="1945"/>
      <c r="D801" s="1916"/>
      <c r="E801" s="1917"/>
      <c r="F801" s="1917"/>
      <c r="G801" s="1918"/>
      <c r="I801" s="1916"/>
      <c r="J801" s="1917"/>
      <c r="K801" s="1917"/>
      <c r="L801" s="1918"/>
      <c r="N801" s="1916"/>
      <c r="O801" s="1917"/>
      <c r="P801" s="1917"/>
      <c r="Q801" s="1918"/>
      <c r="S801" s="1916"/>
      <c r="T801" s="1917"/>
      <c r="U801" s="1917"/>
      <c r="V801" s="1918"/>
      <c r="X801" s="1916"/>
      <c r="Y801" s="1917"/>
      <c r="Z801" s="1917"/>
      <c r="AA801" s="1918"/>
      <c r="AC801" s="1916"/>
      <c r="AD801" s="1917"/>
      <c r="AE801" s="1917"/>
      <c r="AF801" s="1918"/>
      <c r="AH801" s="1916"/>
      <c r="AI801" s="1917"/>
      <c r="AJ801" s="1917"/>
      <c r="AK801" s="1918"/>
    </row>
    <row r="802" spans="2:38" s="180" customFormat="1" x14ac:dyDescent="0.45">
      <c r="B802" s="1942"/>
      <c r="C802" s="1945"/>
      <c r="D802" s="1916"/>
      <c r="E802" s="1917"/>
      <c r="F802" s="1917"/>
      <c r="G802" s="1918"/>
      <c r="I802" s="1916"/>
      <c r="J802" s="1917"/>
      <c r="K802" s="1917"/>
      <c r="L802" s="1918"/>
      <c r="N802" s="1916"/>
      <c r="O802" s="1917"/>
      <c r="P802" s="1917"/>
      <c r="Q802" s="1918"/>
      <c r="S802" s="1916"/>
      <c r="T802" s="1917"/>
      <c r="U802" s="1917"/>
      <c r="V802" s="1918"/>
      <c r="X802" s="1916"/>
      <c r="Y802" s="1917"/>
      <c r="Z802" s="1917"/>
      <c r="AA802" s="1918"/>
      <c r="AC802" s="1916"/>
      <c r="AD802" s="1917"/>
      <c r="AE802" s="1917"/>
      <c r="AF802" s="1918"/>
      <c r="AH802" s="1916"/>
      <c r="AI802" s="1917"/>
      <c r="AJ802" s="1917"/>
      <c r="AK802" s="1918"/>
    </row>
    <row r="803" spans="2:38" s="180" customFormat="1" x14ac:dyDescent="0.45">
      <c r="B803" s="1942"/>
      <c r="C803" s="1945"/>
      <c r="D803" s="1916"/>
      <c r="E803" s="1917"/>
      <c r="F803" s="1917"/>
      <c r="G803" s="1918"/>
      <c r="I803" s="1916"/>
      <c r="J803" s="1917"/>
      <c r="K803" s="1917"/>
      <c r="L803" s="1918"/>
      <c r="N803" s="1916"/>
      <c r="O803" s="1917"/>
      <c r="P803" s="1917"/>
      <c r="Q803" s="1918"/>
      <c r="S803" s="1916"/>
      <c r="T803" s="1917"/>
      <c r="U803" s="1917"/>
      <c r="V803" s="1918"/>
      <c r="X803" s="1916"/>
      <c r="Y803" s="1917"/>
      <c r="Z803" s="1917"/>
      <c r="AA803" s="1918"/>
      <c r="AC803" s="1916"/>
      <c r="AD803" s="1917"/>
      <c r="AE803" s="1917"/>
      <c r="AF803" s="1918"/>
      <c r="AH803" s="1916"/>
      <c r="AI803" s="1917"/>
      <c r="AJ803" s="1917"/>
      <c r="AK803" s="1918"/>
    </row>
    <row r="804" spans="2:38" s="180" customFormat="1" x14ac:dyDescent="0.45">
      <c r="B804" s="1942"/>
      <c r="C804" s="1945"/>
      <c r="D804" s="1916"/>
      <c r="E804" s="1917"/>
      <c r="F804" s="1917"/>
      <c r="G804" s="1918"/>
      <c r="I804" s="1916"/>
      <c r="J804" s="1917"/>
      <c r="K804" s="1917"/>
      <c r="L804" s="1918"/>
      <c r="N804" s="1916"/>
      <c r="O804" s="1917"/>
      <c r="P804" s="1917"/>
      <c r="Q804" s="1918"/>
      <c r="S804" s="1916"/>
      <c r="T804" s="1917"/>
      <c r="U804" s="1917"/>
      <c r="V804" s="1918"/>
      <c r="X804" s="1916"/>
      <c r="Y804" s="1917"/>
      <c r="Z804" s="1917"/>
      <c r="AA804" s="1918"/>
      <c r="AC804" s="1916"/>
      <c r="AD804" s="1917"/>
      <c r="AE804" s="1917"/>
      <c r="AF804" s="1918"/>
      <c r="AH804" s="1916"/>
      <c r="AI804" s="1917"/>
      <c r="AJ804" s="1917"/>
      <c r="AK804" s="1918"/>
    </row>
    <row r="805" spans="2:38" s="180" customFormat="1" x14ac:dyDescent="0.45">
      <c r="B805" s="1942"/>
      <c r="C805" s="1945"/>
      <c r="D805" s="1916"/>
      <c r="E805" s="1917"/>
      <c r="F805" s="1917"/>
      <c r="G805" s="1918"/>
      <c r="I805" s="1916"/>
      <c r="J805" s="1917"/>
      <c r="K805" s="1917"/>
      <c r="L805" s="1918"/>
      <c r="N805" s="1916"/>
      <c r="O805" s="1917"/>
      <c r="P805" s="1917"/>
      <c r="Q805" s="1918"/>
      <c r="S805" s="1916"/>
      <c r="T805" s="1917"/>
      <c r="U805" s="1917"/>
      <c r="V805" s="1918"/>
      <c r="X805" s="1916"/>
      <c r="Y805" s="1917"/>
      <c r="Z805" s="1917"/>
      <c r="AA805" s="1918"/>
      <c r="AC805" s="1916"/>
      <c r="AD805" s="1917"/>
      <c r="AE805" s="1917"/>
      <c r="AF805" s="1918"/>
      <c r="AH805" s="1916"/>
      <c r="AI805" s="1917"/>
      <c r="AJ805" s="1917"/>
      <c r="AK805" s="1918"/>
    </row>
    <row r="806" spans="2:38" s="180" customFormat="1" x14ac:dyDescent="0.45">
      <c r="B806" s="1942"/>
      <c r="C806" s="1945"/>
      <c r="D806" s="1916"/>
      <c r="E806" s="1917"/>
      <c r="F806" s="1917"/>
      <c r="G806" s="1918"/>
      <c r="I806" s="1916"/>
      <c r="J806" s="1917"/>
      <c r="K806" s="1917"/>
      <c r="L806" s="1918"/>
      <c r="N806" s="1916"/>
      <c r="O806" s="1917"/>
      <c r="P806" s="1917"/>
      <c r="Q806" s="1918"/>
      <c r="S806" s="1916"/>
      <c r="T806" s="1917"/>
      <c r="U806" s="1917"/>
      <c r="V806" s="1918"/>
      <c r="X806" s="1916"/>
      <c r="Y806" s="1917"/>
      <c r="Z806" s="1917"/>
      <c r="AA806" s="1918"/>
      <c r="AC806" s="1916"/>
      <c r="AD806" s="1917"/>
      <c r="AE806" s="1917"/>
      <c r="AF806" s="1918"/>
      <c r="AH806" s="1916"/>
      <c r="AI806" s="1917"/>
      <c r="AJ806" s="1917"/>
      <c r="AK806" s="1918"/>
    </row>
    <row r="807" spans="2:38" s="180" customFormat="1" x14ac:dyDescent="0.45">
      <c r="B807" s="1942"/>
      <c r="C807" s="1945"/>
      <c r="D807" s="1919"/>
      <c r="E807" s="1920"/>
      <c r="F807" s="1920"/>
      <c r="G807" s="1921"/>
      <c r="I807" s="1919"/>
      <c r="J807" s="1920"/>
      <c r="K807" s="1920"/>
      <c r="L807" s="1921"/>
      <c r="N807" s="1919"/>
      <c r="O807" s="1920"/>
      <c r="P807" s="1920"/>
      <c r="Q807" s="1921"/>
      <c r="S807" s="1919"/>
      <c r="T807" s="1920"/>
      <c r="U807" s="1920"/>
      <c r="V807" s="1921"/>
      <c r="X807" s="1919"/>
      <c r="Y807" s="1920"/>
      <c r="Z807" s="1920"/>
      <c r="AA807" s="1921"/>
      <c r="AC807" s="1919"/>
      <c r="AD807" s="1920"/>
      <c r="AE807" s="1920"/>
      <c r="AF807" s="1921"/>
      <c r="AH807" s="1919"/>
      <c r="AI807" s="1920"/>
      <c r="AJ807" s="1920"/>
      <c r="AK807" s="1921"/>
    </row>
    <row r="808" spans="2:38" s="180" customFormat="1" ht="15" customHeight="1" x14ac:dyDescent="0.45">
      <c r="B808" s="1942"/>
      <c r="C808" s="1945"/>
      <c r="D808" s="1913" t="str">
        <f ca="1">IF(G788&gt;0,CONCATENATE("Session Aim: 
", CONCATENATE(IF(INDEX(final_duration_secondary,((WEEKDAY(E$3,2)*2-1)+IF(E788="Morning",0,1)),D788)=0, "", "1. "),
INDEX(sessions_aim_primary,, INDEX(plan_session_allocation,((WEEKDAY(E$3,2)*2-1)+IF(E788="Morning",0,1)),D788)), IF(INDEX(final_duration_secondary,((WEEKDAY(E$3,2)*2-1)+IF(E788="Morning",0,1)),D788)=0, "", "
2. "),
IF(INDEX(final_duration_secondary,((WEEKDAY(E$3,2)*2-1)+IF(E788="Morning",0,1)),D788)=0, "", INDEX(sessions_aim_secondary,, INDEX(plan_session_allocation,((WEEKDAY(E$3,2)*2-1)+IF(E788="Morning",0,1)),D788))), IF(INDEX(final_duration_tertiary,((WEEKDAY(E$3,2)*2-1)+IF(E788="Morning",0,1)),D788)=0, "", "
3. "),
IF(INDEX(final_duration_tertiary,((WEEKDAY(E$3,2)*2-1)+IF(E788="Morning",0,1)),D788)=0, "", INDEX(sessions_aim_tertiary,, INDEX(plan_session_allocation,((WEEKDAY(E$3,2)*2-1)+IF(E788="Morning",0,1)),D788))),
IF(INDEX(display_nutrition_description,((WEEKDAY(E$3,2)*2-1)+IF(E788="Morning",0,1)),D788)="","",
CONCATENATE("
Nutrition Aim:
", INDEX(sessions_aim_nutrition,,INDEX(plan_session_allocation,((WEEKDAY(E$3,2)*2-1)+IF(E788="Morning",0,1)),D788))
))
)),"")</f>
        <v xml:space="preserve">Session Aim: 
Improve aerobic fitness while minimising the chance of injury. </v>
      </c>
      <c r="E808" s="1914"/>
      <c r="F808" s="1914"/>
      <c r="G808" s="1915"/>
      <c r="I808" s="1913" t="str">
        <f ca="1">IF(L788&gt;0,CONCATENATE("Session Aim: 
", CONCATENATE(IF(INDEX(final_duration_secondary,((WEEKDAY(J$3,2)*2-1)+IF(J788="Morning",0,1)),I788)=0, "", "1. "),
INDEX(sessions_aim_primary,, INDEX(plan_session_allocation,((WEEKDAY(J$3,2)*2-1)+IF(J788="Morning",0,1)),I788)), IF(INDEX(final_duration_secondary,((WEEKDAY(J$3,2)*2-1)+IF(J788="Morning",0,1)),I788)=0, "", "
2. "),
IF(INDEX(final_duration_secondary,((WEEKDAY(J$3,2)*2-1)+IF(J788="Morning",0,1)),I788)=0, "", INDEX(sessions_aim_secondary,, INDEX(plan_session_allocation,((WEEKDAY(J$3,2)*2-1)+IF(J788="Morning",0,1)),I788))), IF(INDEX(final_duration_tertiary,((WEEKDAY(J$3,2)*2-1)+IF(J788="Morning",0,1)),I788)=0, "", "
3. "),
IF(INDEX(final_duration_tertiary,((WEEKDAY(J$3,2)*2-1)+IF(J788="Morning",0,1)),I788)=0, "", INDEX(sessions_aim_tertiary,, INDEX(plan_session_allocation,((WEEKDAY(J$3,2)*2-1)+IF(J788="Morning",0,1)),I788))),
IF(INDEX(display_nutrition_description,((WEEKDAY(J$3,2)*2-1)+IF(J788="Morning",0,1)),I788)="","",
CONCATENATE("
Nutrition Aim:
", INDEX(sessions_aim_nutrition,,INDEX(plan_session_allocation,((WEEKDAY(J$3,2)*2-1)+IF(J788="Morning",0,1)),I788))
))
)),"")</f>
        <v/>
      </c>
      <c r="J808" s="1914"/>
      <c r="K808" s="1914"/>
      <c r="L808" s="1915"/>
      <c r="N808" s="1913" t="str">
        <f ca="1">IF(Q788&gt;0,CONCATENATE("Session Aim: 
", CONCATENATE(IF(INDEX(final_duration_secondary,((WEEKDAY(O$3,2)*2-1)+IF(O788="Morning",0,1)),N788)=0, "", "1. "),
INDEX(sessions_aim_primary,, INDEX(plan_session_allocation,((WEEKDAY(O$3,2)*2-1)+IF(O788="Morning",0,1)),N788)), IF(INDEX(final_duration_secondary,((WEEKDAY(O$3,2)*2-1)+IF(O788="Morning",0,1)),N788)=0, "", "
2. "),
IF(INDEX(final_duration_secondary,((WEEKDAY(O$3,2)*2-1)+IF(O788="Morning",0,1)),N788)=0, "", INDEX(sessions_aim_secondary,, INDEX(plan_session_allocation,((WEEKDAY(O$3,2)*2-1)+IF(O788="Morning",0,1)),N788))), IF(INDEX(final_duration_tertiary,((WEEKDAY(O$3,2)*2-1)+IF(O788="Morning",0,1)),N788)=0, "", "
3. "),
IF(INDEX(final_duration_tertiary,((WEEKDAY(O$3,2)*2-1)+IF(O788="Morning",0,1)),N788)=0, "", INDEX(sessions_aim_tertiary,, INDEX(plan_session_allocation,((WEEKDAY(O$3,2)*2-1)+IF(O788="Morning",0,1)),N788))),
IF(INDEX(display_nutrition_description,((WEEKDAY(O$3,2)*2-1)+IF(O788="Morning",0,1)),N788)="","",
CONCATENATE("
Nutrition Aim:
", INDEX(sessions_aim_nutrition,,INDEX(plan_session_allocation,((WEEKDAY(O$3,2)*2-1)+IF(O788="Morning",0,1)),N788))
))
)),"")</f>
        <v/>
      </c>
      <c r="O808" s="1914"/>
      <c r="P808" s="1914"/>
      <c r="Q808" s="1915"/>
      <c r="S808" s="1913" t="str">
        <f ca="1">IF(V788&gt;0,CONCATENATE("Session Aim: 
", CONCATENATE(IF(INDEX(final_duration_secondary,((WEEKDAY(T$3,2)*2-1)+IF(T788="Morning",0,1)),S788)=0, "", "1. "),
INDEX(sessions_aim_primary,, INDEX(plan_session_allocation,((WEEKDAY(T$3,2)*2-1)+IF(T788="Morning",0,1)),S788)), IF(INDEX(final_duration_secondary,((WEEKDAY(T$3,2)*2-1)+IF(T788="Morning",0,1)),S788)=0, "", "
2. "),
IF(INDEX(final_duration_secondary,((WEEKDAY(T$3,2)*2-1)+IF(T788="Morning",0,1)),S788)=0, "", INDEX(sessions_aim_secondary,, INDEX(plan_session_allocation,((WEEKDAY(T$3,2)*2-1)+IF(T788="Morning",0,1)),S788))), IF(INDEX(final_duration_tertiary,((WEEKDAY(T$3,2)*2-1)+IF(T788="Morning",0,1)),S788)=0, "", "
3. "),
IF(INDEX(final_duration_tertiary,((WEEKDAY(T$3,2)*2-1)+IF(T788="Morning",0,1)),S788)=0, "", INDEX(sessions_aim_tertiary,, INDEX(plan_session_allocation,((WEEKDAY(T$3,2)*2-1)+IF(T788="Morning",0,1)),S788))),
IF(INDEX(display_nutrition_description,((WEEKDAY(T$3,2)*2-1)+IF(T788="Morning",0,1)),S788)="","",
CONCATENATE("
Nutrition Aim:
", INDEX(sessions_aim_nutrition,,INDEX(plan_session_allocation,((WEEKDAY(T$3,2)*2-1)+IF(T788="Morning",0,1)),S788))
))
)),"")</f>
        <v/>
      </c>
      <c r="T808" s="1914"/>
      <c r="U808" s="1914"/>
      <c r="V808" s="1915"/>
      <c r="X808" s="1913" t="str">
        <f ca="1">IF(AA788&gt;0,CONCATENATE("Session Aim: 
", CONCATENATE(IF(INDEX(final_duration_secondary,((WEEKDAY(Y$3,2)*2-1)+IF(Y788="Morning",0,1)),X788)=0, "", "1. "),
INDEX(sessions_aim_primary,, INDEX(plan_session_allocation,((WEEKDAY(Y$3,2)*2-1)+IF(Y788="Morning",0,1)),X788)), IF(INDEX(final_duration_secondary,((WEEKDAY(Y$3,2)*2-1)+IF(Y788="Morning",0,1)),X788)=0, "", "
2. "),
IF(INDEX(final_duration_secondary,((WEEKDAY(Y$3,2)*2-1)+IF(Y788="Morning",0,1)),X788)=0, "", INDEX(sessions_aim_secondary,, INDEX(plan_session_allocation,((WEEKDAY(Y$3,2)*2-1)+IF(Y788="Morning",0,1)),X788))), IF(INDEX(final_duration_tertiary,((WEEKDAY(Y$3,2)*2-1)+IF(Y788="Morning",0,1)),X788)=0, "", "
3. "),
IF(INDEX(final_duration_tertiary,((WEEKDAY(Y$3,2)*2-1)+IF(Y788="Morning",0,1)),X788)=0, "", INDEX(sessions_aim_tertiary,, INDEX(plan_session_allocation,((WEEKDAY(Y$3,2)*2-1)+IF(Y788="Morning",0,1)),X788))),
IF(INDEX(display_nutrition_description,((WEEKDAY(Y$3,2)*2-1)+IF(Y788="Morning",0,1)),X788)="","",
CONCATENATE("
Nutrition Aim:
", INDEX(sessions_aim_nutrition,,INDEX(plan_session_allocation,((WEEKDAY(Y$3,2)*2-1)+IF(Y788="Morning",0,1)),X788))
))
)),"")</f>
        <v xml:space="preserve">Session Aim: 
Improve aerobic fitness while minimising the chance of injury. </v>
      </c>
      <c r="Y808" s="1914"/>
      <c r="Z808" s="1914"/>
      <c r="AA808" s="1915"/>
      <c r="AC808" s="1913" t="str">
        <f ca="1">IF(AF788&gt;0,CONCATENATE("Session Aim: 
", CONCATENATE(IF(INDEX(final_duration_secondary,((WEEKDAY(AD$3,2)*2-1)+IF(AD788="Morning",0,1)),AC788)=0, "", "1. "),
INDEX(sessions_aim_primary,, INDEX(plan_session_allocation,((WEEKDAY(AD$3,2)*2-1)+IF(AD788="Morning",0,1)),AC788)), IF(INDEX(final_duration_secondary,((WEEKDAY(AD$3,2)*2-1)+IF(AD788="Morning",0,1)),AC788)=0, "", "
2. "),
IF(INDEX(final_duration_secondary,((WEEKDAY(AD$3,2)*2-1)+IF(AD788="Morning",0,1)),AC788)=0, "", INDEX(sessions_aim_secondary,, INDEX(plan_session_allocation,((WEEKDAY(AD$3,2)*2-1)+IF(AD788="Morning",0,1)),AC788))), IF(INDEX(final_duration_tertiary,((WEEKDAY(AD$3,2)*2-1)+IF(AD788="Morning",0,1)),AC788)=0, "", "
3. "),
IF(INDEX(final_duration_tertiary,((WEEKDAY(AD$3,2)*2-1)+IF(AD788="Morning",0,1)),AC788)=0, "", INDEX(sessions_aim_tertiary,, INDEX(plan_session_allocation,((WEEKDAY(AD$3,2)*2-1)+IF(AD788="Morning",0,1)),AC788))),
IF(INDEX(display_nutrition_description,((WEEKDAY(AD$3,2)*2-1)+IF(AD788="Morning",0,1)),AC788)="","",
CONCATENATE("
Nutrition Aim:
", INDEX(sessions_aim_nutrition,,INDEX(plan_session_allocation,((WEEKDAY(AD$3,2)*2-1)+IF(AD788="Morning",0,1)),AC788))
))
)),"")</f>
        <v>Session Aim: 
Improve aerobic fitness at an optimal rate.</v>
      </c>
      <c r="AD808" s="1914"/>
      <c r="AE808" s="1914"/>
      <c r="AF808" s="1915"/>
      <c r="AH808" s="1913" t="str">
        <f ca="1">IF(AK788&gt;0,CONCATENATE("Session Aim: 
", CONCATENATE(IF(INDEX(final_duration_secondary,((WEEKDAY(AI$3,2)*2-1)+IF(AI788="Morning",0,1)),AH788)=0, "", "1. "),
INDEX(sessions_aim_primary,, INDEX(plan_session_allocation,((WEEKDAY(AI$3,2)*2-1)+IF(AI788="Morning",0,1)),AH788)), IF(INDEX(final_duration_secondary,((WEEKDAY(AI$3,2)*2-1)+IF(AI788="Morning",0,1)),AH788)=0, "", "
2. "),
IF(INDEX(final_duration_secondary,((WEEKDAY(AI$3,2)*2-1)+IF(AI788="Morning",0,1)),AH788)=0, "", INDEX(sessions_aim_secondary,, INDEX(plan_session_allocation,((WEEKDAY(AI$3,2)*2-1)+IF(AI788="Morning",0,1)),AH788))), IF(INDEX(final_duration_tertiary,((WEEKDAY(AI$3,2)*2-1)+IF(AI788="Morning",0,1)),AH788)=0, "", "
3. "),
IF(INDEX(final_duration_tertiary,((WEEKDAY(AI$3,2)*2-1)+IF(AI788="Morning",0,1)),AH788)=0, "", INDEX(sessions_aim_tertiary,, INDEX(plan_session_allocation,((WEEKDAY(AI$3,2)*2-1)+IF(AI788="Morning",0,1)),AH788))),
IF(INDEX(display_nutrition_description,((WEEKDAY(AI$3,2)*2-1)+IF(AI788="Morning",0,1)),AH788)="","",
CONCATENATE("
Nutrition Aim:
", INDEX(sessions_aim_nutrition,,INDEX(plan_session_allocation,((WEEKDAY(AI$3,2)*2-1)+IF(AI788="Morning",0,1)),AH788))
))
)),"")</f>
        <v xml:space="preserve">Session Aim: 
Improve aerobic fitness and energy utilisation. </v>
      </c>
      <c r="AI808" s="1914"/>
      <c r="AJ808" s="1914"/>
      <c r="AK808" s="1915"/>
    </row>
    <row r="809" spans="2:38" s="180" customFormat="1" x14ac:dyDescent="0.45">
      <c r="B809" s="1942"/>
      <c r="C809" s="1945"/>
      <c r="D809" s="1916"/>
      <c r="E809" s="1917"/>
      <c r="F809" s="1917"/>
      <c r="G809" s="1918"/>
      <c r="I809" s="1916"/>
      <c r="J809" s="1917"/>
      <c r="K809" s="1917"/>
      <c r="L809" s="1918"/>
      <c r="N809" s="1916"/>
      <c r="O809" s="1917"/>
      <c r="P809" s="1917"/>
      <c r="Q809" s="1918"/>
      <c r="S809" s="1916"/>
      <c r="T809" s="1917"/>
      <c r="U809" s="1917"/>
      <c r="V809" s="1918"/>
      <c r="X809" s="1916"/>
      <c r="Y809" s="1917"/>
      <c r="Z809" s="1917"/>
      <c r="AA809" s="1918"/>
      <c r="AC809" s="1916"/>
      <c r="AD809" s="1917"/>
      <c r="AE809" s="1917"/>
      <c r="AF809" s="1918"/>
      <c r="AH809" s="1916"/>
      <c r="AI809" s="1917"/>
      <c r="AJ809" s="1917"/>
      <c r="AK809" s="1918"/>
    </row>
    <row r="810" spans="2:38" s="180" customFormat="1" x14ac:dyDescent="0.45">
      <c r="B810" s="1942"/>
      <c r="C810" s="1945"/>
      <c r="D810" s="1916"/>
      <c r="E810" s="1917"/>
      <c r="F810" s="1917"/>
      <c r="G810" s="1918"/>
      <c r="I810" s="1916"/>
      <c r="J810" s="1917"/>
      <c r="K810" s="1917"/>
      <c r="L810" s="1918"/>
      <c r="N810" s="1916"/>
      <c r="O810" s="1917"/>
      <c r="P810" s="1917"/>
      <c r="Q810" s="1918"/>
      <c r="S810" s="1916"/>
      <c r="T810" s="1917"/>
      <c r="U810" s="1917"/>
      <c r="V810" s="1918"/>
      <c r="X810" s="1916"/>
      <c r="Y810" s="1917"/>
      <c r="Z810" s="1917"/>
      <c r="AA810" s="1918"/>
      <c r="AC810" s="1916"/>
      <c r="AD810" s="1917"/>
      <c r="AE810" s="1917"/>
      <c r="AF810" s="1918"/>
      <c r="AH810" s="1916"/>
      <c r="AI810" s="1917"/>
      <c r="AJ810" s="1917"/>
      <c r="AK810" s="1918"/>
    </row>
    <row r="811" spans="2:38" s="180" customFormat="1" x14ac:dyDescent="0.45">
      <c r="B811" s="1942"/>
      <c r="C811" s="1945"/>
      <c r="D811" s="1916"/>
      <c r="E811" s="1917"/>
      <c r="F811" s="1917"/>
      <c r="G811" s="1918"/>
      <c r="I811" s="1916"/>
      <c r="J811" s="1917"/>
      <c r="K811" s="1917"/>
      <c r="L811" s="1918"/>
      <c r="N811" s="1916"/>
      <c r="O811" s="1917"/>
      <c r="P811" s="1917"/>
      <c r="Q811" s="1918"/>
      <c r="S811" s="1916"/>
      <c r="T811" s="1917"/>
      <c r="U811" s="1917"/>
      <c r="V811" s="1918"/>
      <c r="X811" s="1916"/>
      <c r="Y811" s="1917"/>
      <c r="Z811" s="1917"/>
      <c r="AA811" s="1918"/>
      <c r="AC811" s="1916"/>
      <c r="AD811" s="1917"/>
      <c r="AE811" s="1917"/>
      <c r="AF811" s="1918"/>
      <c r="AH811" s="1916"/>
      <c r="AI811" s="1917"/>
      <c r="AJ811" s="1917"/>
      <c r="AK811" s="1918"/>
    </row>
    <row r="812" spans="2:38" s="180" customFormat="1" x14ac:dyDescent="0.45">
      <c r="B812" s="1942"/>
      <c r="C812" s="1945"/>
      <c r="D812" s="1916"/>
      <c r="E812" s="1917"/>
      <c r="F812" s="1917"/>
      <c r="G812" s="1918"/>
      <c r="I812" s="1916"/>
      <c r="J812" s="1917"/>
      <c r="K812" s="1917"/>
      <c r="L812" s="1918"/>
      <c r="N812" s="1916"/>
      <c r="O812" s="1917"/>
      <c r="P812" s="1917"/>
      <c r="Q812" s="1918"/>
      <c r="S812" s="1916"/>
      <c r="T812" s="1917"/>
      <c r="U812" s="1917"/>
      <c r="V812" s="1918"/>
      <c r="X812" s="1916"/>
      <c r="Y812" s="1917"/>
      <c r="Z812" s="1917"/>
      <c r="AA812" s="1918"/>
      <c r="AC812" s="1916"/>
      <c r="AD812" s="1917"/>
      <c r="AE812" s="1917"/>
      <c r="AF812" s="1918"/>
      <c r="AH812" s="1916"/>
      <c r="AI812" s="1917"/>
      <c r="AJ812" s="1917"/>
      <c r="AK812" s="1918"/>
    </row>
    <row r="813" spans="2:38" s="180" customFormat="1" x14ac:dyDescent="0.45">
      <c r="B813" s="1942"/>
      <c r="C813" s="1945"/>
      <c r="D813" s="1916"/>
      <c r="E813" s="1917"/>
      <c r="F813" s="1917"/>
      <c r="G813" s="1918"/>
      <c r="I813" s="1916"/>
      <c r="J813" s="1917"/>
      <c r="K813" s="1917"/>
      <c r="L813" s="1918"/>
      <c r="N813" s="1916"/>
      <c r="O813" s="1917"/>
      <c r="P813" s="1917"/>
      <c r="Q813" s="1918"/>
      <c r="S813" s="1916"/>
      <c r="T813" s="1917"/>
      <c r="U813" s="1917"/>
      <c r="V813" s="1918"/>
      <c r="X813" s="1916"/>
      <c r="Y813" s="1917"/>
      <c r="Z813" s="1917"/>
      <c r="AA813" s="1918"/>
      <c r="AC813" s="1916"/>
      <c r="AD813" s="1917"/>
      <c r="AE813" s="1917"/>
      <c r="AF813" s="1918"/>
      <c r="AH813" s="1916"/>
      <c r="AI813" s="1917"/>
      <c r="AJ813" s="1917"/>
      <c r="AK813" s="1918"/>
    </row>
    <row r="814" spans="2:38" s="180" customFormat="1" ht="14.65" thickBot="1" x14ac:dyDescent="0.5">
      <c r="B814" s="1942"/>
      <c r="C814" s="1945"/>
      <c r="D814" s="1938"/>
      <c r="E814" s="1939"/>
      <c r="F814" s="1939"/>
      <c r="G814" s="1940"/>
      <c r="I814" s="1938"/>
      <c r="J814" s="1939"/>
      <c r="K814" s="1939"/>
      <c r="L814" s="1940"/>
      <c r="N814" s="1938"/>
      <c r="O814" s="1939"/>
      <c r="P814" s="1939"/>
      <c r="Q814" s="1940"/>
      <c r="S814" s="1938"/>
      <c r="T814" s="1939"/>
      <c r="U814" s="1939"/>
      <c r="V814" s="1940"/>
      <c r="X814" s="1938"/>
      <c r="Y814" s="1939"/>
      <c r="Z814" s="1939"/>
      <c r="AA814" s="1940"/>
      <c r="AC814" s="1938"/>
      <c r="AD814" s="1939"/>
      <c r="AE814" s="1939"/>
      <c r="AF814" s="1940"/>
      <c r="AH814" s="1938"/>
      <c r="AI814" s="1939"/>
      <c r="AJ814" s="1939"/>
      <c r="AK814" s="1940"/>
    </row>
    <row r="815" spans="2:38" s="176" customFormat="1" ht="15.75" customHeight="1" x14ac:dyDescent="0.45">
      <c r="B815" s="1942"/>
      <c r="C815" s="1945"/>
      <c r="D815" s="1415">
        <f>$B787</f>
        <v>15</v>
      </c>
      <c r="E815" s="1930" t="s">
        <v>352</v>
      </c>
      <c r="F815" s="1930"/>
      <c r="G815" s="1414">
        <f ca="1">INDEX(final_duration_session,((WEEKDAY(E$3,2)*2-1)+IF(E815="Morning",0,1)),$D815)</f>
        <v>60</v>
      </c>
      <c r="H815" s="177"/>
      <c r="I815" s="1415">
        <f>$B787</f>
        <v>15</v>
      </c>
      <c r="J815" s="1930" t="s">
        <v>352</v>
      </c>
      <c r="K815" s="1930"/>
      <c r="L815" s="1414">
        <f ca="1">INDEX(final_duration_session,((WEEKDAY(J$3,2)*2-1)+IF(J815="Morning",0,1)),$D815)</f>
        <v>55</v>
      </c>
      <c r="M815" s="177"/>
      <c r="N815" s="1415">
        <f>$B787</f>
        <v>15</v>
      </c>
      <c r="O815" s="1930" t="s">
        <v>352</v>
      </c>
      <c r="P815" s="1930"/>
      <c r="Q815" s="1414">
        <f ca="1">INDEX(final_duration_session,((WEEKDAY(O$3,2)*2-1)+IF(O815="Morning",0,1)),$D815)</f>
        <v>30</v>
      </c>
      <c r="R815" s="177"/>
      <c r="S815" s="1415">
        <f>$B787</f>
        <v>15</v>
      </c>
      <c r="T815" s="1930" t="s">
        <v>352</v>
      </c>
      <c r="U815" s="1930"/>
      <c r="V815" s="1414">
        <f ca="1">INDEX(final_duration_session,((WEEKDAY(T$3,2)*2-1)+IF(T815="Morning",0,1)),$D815)</f>
        <v>45.4</v>
      </c>
      <c r="W815" s="177"/>
      <c r="X815" s="1415">
        <f>$B787</f>
        <v>15</v>
      </c>
      <c r="Y815" s="1930" t="s">
        <v>352</v>
      </c>
      <c r="Z815" s="1930"/>
      <c r="AA815" s="1414">
        <f ca="1">INDEX(final_duration_session,((WEEKDAY(Y$3,2)*2-1)+IF(Y815="Morning",0,1)),$D815)</f>
        <v>60</v>
      </c>
      <c r="AB815" s="177"/>
      <c r="AC815" s="1415">
        <f>$B787</f>
        <v>15</v>
      </c>
      <c r="AD815" s="1930" t="s">
        <v>352</v>
      </c>
      <c r="AE815" s="1930"/>
      <c r="AF815" s="1414">
        <f ca="1">INDEX(final_duration_session,((WEEKDAY(AD$3,2)*2-1)+IF(AD815="Morning",0,1)),$D815)</f>
        <v>0</v>
      </c>
      <c r="AG815" s="177"/>
      <c r="AH815" s="1415">
        <f>$B787</f>
        <v>15</v>
      </c>
      <c r="AI815" s="1930" t="s">
        <v>352</v>
      </c>
      <c r="AJ815" s="1930"/>
      <c r="AK815" s="1414">
        <f ca="1">INDEX(final_duration_session,((WEEKDAY(AI$3,2)*2-1)+IF(AI815="Morning",0,1)),$D815)</f>
        <v>0</v>
      </c>
      <c r="AL815" s="177"/>
    </row>
    <row r="816" spans="2:38" s="176" customFormat="1" ht="15" customHeight="1" x14ac:dyDescent="0.45">
      <c r="B816" s="1942"/>
      <c r="C816" s="1945"/>
      <c r="D816" s="1931" t="str">
        <f ca="1">IF(G815&gt;0,INDEX(sessions_name,INDEX(plan_session_allocation,((WEEKDAY(E$3,2)*2-1)+IF(E815="Morning",0,1)),D815)),"")</f>
        <v>Strength and Maintenance</v>
      </c>
      <c r="E816" s="1932"/>
      <c r="F816" s="1932"/>
      <c r="G816" s="1933"/>
      <c r="H816" s="177"/>
      <c r="I816" s="1931" t="str">
        <f ca="1">IF(L815&gt;0,INDEX(sessions_name,INDEX(plan_session_allocation,((WEEKDAY(J$3,2)*2-1)+IF(J815="Morning",0,1)),I815)),"")</f>
        <v>Hill Tempo</v>
      </c>
      <c r="J816" s="1932"/>
      <c r="K816" s="1932"/>
      <c r="L816" s="1933"/>
      <c r="M816" s="177"/>
      <c r="N816" s="1931" t="str">
        <f ca="1">IF(Q815&gt;0,INDEX(sessions_name,INDEX(plan_session_allocation,((WEEKDAY(O$3,2)*2-1)+IF(O815="Morning",0,1)),N815)),"")</f>
        <v xml:space="preserve">Easy </v>
      </c>
      <c r="O816" s="1932"/>
      <c r="P816" s="1932"/>
      <c r="Q816" s="1933"/>
      <c r="R816" s="177"/>
      <c r="S816" s="1931" t="str">
        <f ca="1">IF(V815&gt;0,INDEX(sessions_name,INDEX(plan_session_allocation,((WEEKDAY(T$3,2)*2-1)+IF(T815="Morning",0,1)),S815)),"")</f>
        <v>Intervals: 1km w/ 1min</v>
      </c>
      <c r="T816" s="1932"/>
      <c r="U816" s="1932"/>
      <c r="V816" s="1933"/>
      <c r="W816" s="177"/>
      <c r="X816" s="1931" t="str">
        <f ca="1">IF(AA815&gt;0,INDEX(sessions_name,INDEX(plan_session_allocation,((WEEKDAY(Y$3,2)*2-1)+IF(Y815="Morning",0,1)),X815)),"")</f>
        <v>Strength and Maintenance</v>
      </c>
      <c r="Y816" s="1932"/>
      <c r="Z816" s="1932"/>
      <c r="AA816" s="1933"/>
      <c r="AB816" s="177"/>
      <c r="AC816" s="1931" t="str">
        <f ca="1">IF(AF815&gt;0,INDEX(sessions_name,INDEX(plan_session_allocation,((WEEKDAY(AD$3,2)*2-1)+IF(AD815="Morning",0,1)),AC815)),"")</f>
        <v/>
      </c>
      <c r="AD816" s="1932"/>
      <c r="AE816" s="1932"/>
      <c r="AF816" s="1933"/>
      <c r="AG816" s="177"/>
      <c r="AH816" s="1931" t="str">
        <f ca="1">IF(AK815&gt;0,INDEX(sessions_name,INDEX(plan_session_allocation,((WEEKDAY(AI$3,2)*2-1)+IF(AI815="Morning",0,1)),AH815)),"")</f>
        <v/>
      </c>
      <c r="AI816" s="1932"/>
      <c r="AJ816" s="1932"/>
      <c r="AK816" s="1933"/>
      <c r="AL816" s="177"/>
    </row>
    <row r="817" spans="2:38" s="176" customFormat="1" ht="15" customHeight="1" x14ac:dyDescent="0.45">
      <c r="B817" s="1942"/>
      <c r="C817" s="1945"/>
      <c r="D817" s="1934" t="str">
        <f ca="1">IF(G815&gt;0,CONCATENATE("Sport: ",INDEX(sessions_sport_primary,INDEX(plan_session_allocation,(WEEKDAY(E$3,2)*2-1)+IF(E815="Morning",0,1),D815))),"")</f>
        <v>Sport: Indoor</v>
      </c>
      <c r="E817" s="1935"/>
      <c r="F817" s="1936">
        <f ca="1">IF(G815&gt;0,IFERROR(F818+F819+F820,""),"")</f>
        <v>60</v>
      </c>
      <c r="G817" s="1937"/>
      <c r="H817" s="177"/>
      <c r="I817" s="1934" t="str">
        <f ca="1">IF(L815&gt;0,CONCATENATE("Sport: ",INDEX(sessions_sport_primary,INDEX(plan_session_allocation,(WEEKDAY(J$3,2)*2-1)+IF(J815="Morning",0,1),I815))),"")</f>
        <v>Sport: Hilly Trail Run</v>
      </c>
      <c r="J817" s="1935"/>
      <c r="K817" s="1936">
        <f ca="1">IF(L815&gt;0,IFERROR(K818+K819+K820,""),"")</f>
        <v>55</v>
      </c>
      <c r="L817" s="1937"/>
      <c r="M817" s="177"/>
      <c r="N817" s="1934" t="str">
        <f ca="1">IF(Q815&gt;0,CONCATENATE("Sport: ",INDEX(sessions_sport_primary,INDEX(plan_session_allocation,(WEEKDAY(O$3,2)*2-1)+IF(O815="Morning",0,1),N815))),"")</f>
        <v>Sport: Road Ride</v>
      </c>
      <c r="O817" s="1935"/>
      <c r="P817" s="1936">
        <f ca="1">IF(Q815&gt;0,IFERROR(P818+P819+P820,""),"")</f>
        <v>30</v>
      </c>
      <c r="Q817" s="1937"/>
      <c r="R817" s="177"/>
      <c r="S817" s="1934" t="str">
        <f ca="1">IF(V815&gt;0,CONCATENATE("Sport: ",INDEX(sessions_sport_primary,INDEX(plan_session_allocation,(WEEKDAY(T$3,2)*2-1)+IF(T815="Morning",0,1),S815))),"")</f>
        <v>Sport: Road Run</v>
      </c>
      <c r="T817" s="1935"/>
      <c r="U817" s="1936">
        <f ca="1">IF(V815&gt;0,IFERROR(U818+U819+U820,""),"")</f>
        <v>45.4</v>
      </c>
      <c r="V817" s="1937"/>
      <c r="W817" s="177"/>
      <c r="X817" s="1934" t="str">
        <f ca="1">IF(AA815&gt;0,CONCATENATE("Sport: ",INDEX(sessions_sport_primary,INDEX(plan_session_allocation,(WEEKDAY(Y$3,2)*2-1)+IF(Y815="Morning",0,1),X815))),"")</f>
        <v>Sport: Indoor</v>
      </c>
      <c r="Y817" s="1935"/>
      <c r="Z817" s="1936">
        <f ca="1">IF(AA815&gt;0,IFERROR(Z818+Z819+Z820,""),"")</f>
        <v>60</v>
      </c>
      <c r="AA817" s="1937"/>
      <c r="AB817" s="177"/>
      <c r="AC817" s="1934" t="str">
        <f ca="1">IF(AF815&gt;0,CONCATENATE("Sport: ",INDEX(sessions_sport_primary,INDEX(plan_session_allocation,(WEEKDAY(AD$3,2)*2-1)+IF(AD815="Morning",0,1),AC815))),"")</f>
        <v/>
      </c>
      <c r="AD817" s="1935"/>
      <c r="AE817" s="1936" t="str">
        <f ca="1">IF(AF815&gt;0,IFERROR(AE818+AE819+AE820,""),"")</f>
        <v/>
      </c>
      <c r="AF817" s="1937"/>
      <c r="AG817" s="177"/>
      <c r="AH817" s="1934" t="str">
        <f ca="1">IF(AK815&gt;0,CONCATENATE("Sport: ",INDEX(sessions_sport_primary,INDEX(plan_session_allocation,(WEEKDAY(AI$3,2)*2-1)+IF(AI815="Morning",0,1),AH815))),"")</f>
        <v/>
      </c>
      <c r="AI817" s="1935"/>
      <c r="AJ817" s="1936" t="str">
        <f ca="1">IF(AK815&gt;0,IFERROR(AJ818+AJ819+AJ820,""),"")</f>
        <v/>
      </c>
      <c r="AK817" s="1937"/>
      <c r="AL817" s="177"/>
    </row>
    <row r="818" spans="2:38" s="177" customFormat="1" ht="15" customHeight="1" x14ac:dyDescent="0.45">
      <c r="B818" s="1942"/>
      <c r="C818" s="1945"/>
      <c r="D818" s="1922" t="str">
        <f ca="1">IF(G815&gt;0,CONCATENATE("HR Target: ",
INDEX(sessions_HR_primary,INDEX(plan_session_allocation,((WEEKDAY(E$3,2)*2-1)+IF(E815="Morning",0,1)),D815)),
IF(INDEX(sessions_HR_primary,INDEX(plan_session_allocation,((WEEKDAY(E$3,2)*2-1)+IF(E815="Morning",0,1)),D815))="N/A","",
" BPM")),"")</f>
        <v>HR Target: N/A</v>
      </c>
      <c r="E818" s="1923"/>
      <c r="F818" s="1924">
        <f ca="1">IF(G815&gt;0,
INDEX(final_duration_effort,((WEEKDAY(E$3,2)*2-1)+IF(E815="Morning",0,1)),D815),"")</f>
        <v>60</v>
      </c>
      <c r="G818" s="1925"/>
      <c r="I818" s="1922" t="str">
        <f ca="1">IF(L815&gt;0,CONCATENATE("HR Target: ",
INDEX(sessions_HR_primary,INDEX(plan_session_allocation,((WEEKDAY(J$3,2)*2-1)+IF(J815="Morning",0,1)),I815)),
IF(INDEX(sessions_HR_primary,INDEX(plan_session_allocation,((WEEKDAY(J$3,2)*2-1)+IF(J815="Morning",0,1)),I815))="N/A","",
" BPM")),"")</f>
        <v>HR Target: 177 BPM</v>
      </c>
      <c r="J818" s="1923"/>
      <c r="K818" s="1924">
        <f ca="1">IF(L815&gt;0,
INDEX(final_duration_effort,((WEEKDAY(J$3,2)*2-1)+IF(J815="Morning",0,1)),I815),"")</f>
        <v>25</v>
      </c>
      <c r="L818" s="1925"/>
      <c r="N818" s="1922" t="str">
        <f ca="1">IF(Q815&gt;0,CONCATENATE("HR Target: ",
INDEX(sessions_HR_primary,INDEX(plan_session_allocation,((WEEKDAY(O$3,2)*2-1)+IF(O815="Morning",0,1)),N815)),
IF(INDEX(sessions_HR_primary,INDEX(plan_session_allocation,((WEEKDAY(O$3,2)*2-1)+IF(O815="Morning",0,1)),N815))="N/A","",
" BPM")),"")</f>
        <v>HR Target: 138 BPM</v>
      </c>
      <c r="O818" s="1923"/>
      <c r="P818" s="1924">
        <f ca="1">IF(Q815&gt;0,
INDEX(final_duration_effort,((WEEKDAY(O$3,2)*2-1)+IF(O815="Morning",0,1)),N815),"")</f>
        <v>30</v>
      </c>
      <c r="Q818" s="1925"/>
      <c r="S818" s="1922" t="str">
        <f ca="1">IF(V815&gt;0,CONCATENATE("HR Target: ",
INDEX(sessions_HR_primary,INDEX(plan_session_allocation,((WEEKDAY(T$3,2)*2-1)+IF(T815="Morning",0,1)),S815)),
IF(INDEX(sessions_HR_primary,INDEX(plan_session_allocation,((WEEKDAY(T$3,2)*2-1)+IF(T815="Morning",0,1)),S815))="N/A","",
" BPM")),"")</f>
        <v>HR Target: 188 BPM</v>
      </c>
      <c r="T818" s="1923"/>
      <c r="U818" s="1924">
        <f ca="1">IF(V815&gt;0,
INDEX(final_duration_effort,((WEEKDAY(T$3,2)*2-1)+IF(T815="Morning",0,1)),S815),"")</f>
        <v>12.4</v>
      </c>
      <c r="V818" s="1925"/>
      <c r="X818" s="1922" t="str">
        <f ca="1">IF(AA815&gt;0,CONCATENATE("HR Target: ",
INDEX(sessions_HR_primary,INDEX(plan_session_allocation,((WEEKDAY(Y$3,2)*2-1)+IF(Y815="Morning",0,1)),X815)),
IF(INDEX(sessions_HR_primary,INDEX(plan_session_allocation,((WEEKDAY(Y$3,2)*2-1)+IF(Y815="Morning",0,1)),X815))="N/A","",
" BPM")),"")</f>
        <v>HR Target: N/A</v>
      </c>
      <c r="Y818" s="1923"/>
      <c r="Z818" s="1924">
        <f ca="1">IF(AA815&gt;0,
INDEX(final_duration_effort,((WEEKDAY(Y$3,2)*2-1)+IF(Y815="Morning",0,1)),X815),"")</f>
        <v>60</v>
      </c>
      <c r="AA818" s="1925"/>
      <c r="AC818" s="1922" t="str">
        <f ca="1">IF(AF815&gt;0,CONCATENATE("HR Target: ",
INDEX(sessions_HR_primary,INDEX(plan_session_allocation,((WEEKDAY(AD$3,2)*2-1)+IF(AD815="Morning",0,1)),AC815)),
IF(INDEX(sessions_HR_primary,INDEX(plan_session_allocation,((WEEKDAY(AD$3,2)*2-1)+IF(AD815="Morning",0,1)),AC815))="N/A","",
" BPM")),"")</f>
        <v/>
      </c>
      <c r="AD818" s="1923"/>
      <c r="AE818" s="1924" t="str">
        <f ca="1">IF(AF815&gt;0,
INDEX(final_duration_effort,((WEEKDAY(AD$3,2)*2-1)+IF(AD815="Morning",0,1)),AC815),"")</f>
        <v/>
      </c>
      <c r="AF818" s="1925"/>
      <c r="AH818" s="1922" t="str">
        <f ca="1">IF(AK815&gt;0,CONCATENATE("HR Target: ",
INDEX(sessions_HR_primary,INDEX(plan_session_allocation,((WEEKDAY(AI$3,2)*2-1)+IF(AI815="Morning",0,1)),AH815)),
IF(INDEX(sessions_HR_primary,INDEX(plan_session_allocation,((WEEKDAY(AI$3,2)*2-1)+IF(AI815="Morning",0,1)),AH815))="N/A","",
" BPM")),"")</f>
        <v/>
      </c>
      <c r="AI818" s="1923"/>
      <c r="AJ818" s="1924" t="str">
        <f ca="1">IF(AK815&gt;0,
INDEX(final_duration_effort,((WEEKDAY(AI$3,2)*2-1)+IF(AI815="Morning",0,1)),AH815),"")</f>
        <v/>
      </c>
      <c r="AK818" s="1925"/>
    </row>
    <row r="819" spans="2:38" s="177" customFormat="1" ht="15" customHeight="1" x14ac:dyDescent="0.45">
      <c r="B819" s="1942"/>
      <c r="C819" s="1945"/>
      <c r="D819" s="1926" t="str">
        <f ca="1">IF(G815&gt;0,CONCATENATE("HR Range: ",
INDEX(sessions_HR_range_primary,INDEX(plan_session_allocation,((WEEKDAY(E$3,2)*2-1)+IF(E815="Morning",0,1)),D815)),
IF(INDEX(sessions_HR_range_primary,INDEX(plan_session_allocation,((WEEKDAY(E$3,2)*2-1)+IF(E815="Morning",0,1)),D815))="N/A","",
" BPM")),"")</f>
        <v>HR Range: N/A</v>
      </c>
      <c r="E819" s="1927"/>
      <c r="F819" s="1928">
        <f ca="1">IF(G815&gt;0,IF(
INDEX(sessions_recoveries,INDEX(plan_session_allocation,((WEEKDAY(E$3,2)*2-1)+IF(E815="Morning",0,1)),D815))="Yes",
VLOOKUP(INDEX(plan_duration_primary,((WEEKDAY(E$3,2)*2-1)+IF(E815="Morning",0,1)),D815),
INDIRECT(INDEX(sessions_intervals_code_primary,INDEX(plan_session_allocation,((WEEKDAY(E$3,2)*2-1)+IF(E815="Morning",0,1)),D815))),7,TRUE),0),"")</f>
        <v>0</v>
      </c>
      <c r="G819" s="1929"/>
      <c r="I819" s="1926" t="str">
        <f ca="1">IF(L815&gt;0,CONCATENATE("HR Range: ",
INDEX(sessions_HR_range_primary,INDEX(plan_session_allocation,((WEEKDAY(J$3,2)*2-1)+IF(J815="Morning",0,1)),I815)),
IF(INDEX(sessions_HR_range_primary,INDEX(plan_session_allocation,((WEEKDAY(J$3,2)*2-1)+IF(J815="Morning",0,1)),I815))="N/A","",
" BPM")),"")</f>
        <v>HR Range: 173 - 180 BPM</v>
      </c>
      <c r="J819" s="1927"/>
      <c r="K819" s="1928">
        <f ca="1">IF(L815&gt;0,IF(
INDEX(sessions_recoveries,INDEX(plan_session_allocation,((WEEKDAY(J$3,2)*2-1)+IF(J815="Morning",0,1)),I815))="Yes",
VLOOKUP(INDEX(plan_duration_primary,((WEEKDAY(J$3,2)*2-1)+IF(J815="Morning",0,1)),I815),
INDIRECT(INDEX(sessions_intervals_code_primary,INDEX(plan_session_allocation,((WEEKDAY(J$3,2)*2-1)+IF(J815="Morning",0,1)),I815))),7,TRUE),0),"")</f>
        <v>0</v>
      </c>
      <c r="L819" s="1929"/>
      <c r="N819" s="1926" t="str">
        <f ca="1">IF(Q815&gt;0,CONCATENATE("HR Range: ",
INDEX(sessions_HR_range_primary,INDEX(plan_session_allocation,((WEEKDAY(O$3,2)*2-1)+IF(O815="Morning",0,1)),N815)),
IF(INDEX(sessions_HR_range_primary,INDEX(plan_session_allocation,((WEEKDAY(O$3,2)*2-1)+IF(O815="Morning",0,1)),N815))="N/A","",
" BPM")),"")</f>
        <v>HR Range: 129 - 148 BPM</v>
      </c>
      <c r="O819" s="1927"/>
      <c r="P819" s="1928">
        <f ca="1">IF(Q815&gt;0,IF(
INDEX(sessions_recoveries,INDEX(plan_session_allocation,((WEEKDAY(O$3,2)*2-1)+IF(O815="Morning",0,1)),N815))="Yes",
VLOOKUP(INDEX(plan_duration_primary,((WEEKDAY(O$3,2)*2-1)+IF(O815="Morning",0,1)),N815),
INDIRECT(INDEX(sessions_intervals_code_primary,INDEX(plan_session_allocation,((WEEKDAY(O$3,2)*2-1)+IF(O815="Morning",0,1)),N815))),7,TRUE),0),"")</f>
        <v>0</v>
      </c>
      <c r="Q819" s="1929"/>
      <c r="S819" s="1926" t="str">
        <f ca="1">IF(V815&gt;0,CONCATENATE("HR Range: ",
INDEX(sessions_HR_range_primary,INDEX(plan_session_allocation,((WEEKDAY(T$3,2)*2-1)+IF(T815="Morning",0,1)),S815)),
IF(INDEX(sessions_HR_range_primary,INDEX(plan_session_allocation,((WEEKDAY(T$3,2)*2-1)+IF(T815="Morning",0,1)),S815))="N/A","",
" BPM")),"")</f>
        <v>HR Range: 184 - 192 BPM</v>
      </c>
      <c r="T819" s="1927"/>
      <c r="U819" s="1928">
        <f ca="1">IF(V815&gt;0,IF(
INDEX(sessions_recoveries,INDEX(plan_session_allocation,((WEEKDAY(T$3,2)*2-1)+IF(T815="Morning",0,1)),S815))="Yes",
VLOOKUP(INDEX(plan_duration_primary,((WEEKDAY(T$3,2)*2-1)+IF(T815="Morning",0,1)),S815),
INDIRECT(INDEX(sessions_intervals_code_primary,INDEX(plan_session_allocation,((WEEKDAY(T$3,2)*2-1)+IF(T815="Morning",0,1)),S815))),7,TRUE),0),"")</f>
        <v>3</v>
      </c>
      <c r="V819" s="1929"/>
      <c r="X819" s="1926" t="str">
        <f ca="1">IF(AA815&gt;0,CONCATENATE("HR Range: ",
INDEX(sessions_HR_range_primary,INDEX(plan_session_allocation,((WEEKDAY(Y$3,2)*2-1)+IF(Y815="Morning",0,1)),X815)),
IF(INDEX(sessions_HR_range_primary,INDEX(plan_session_allocation,((WEEKDAY(Y$3,2)*2-1)+IF(Y815="Morning",0,1)),X815))="N/A","",
" BPM")),"")</f>
        <v>HR Range: N/A</v>
      </c>
      <c r="Y819" s="1927"/>
      <c r="Z819" s="1928">
        <f ca="1">IF(AA815&gt;0,IF(
INDEX(sessions_recoveries,INDEX(plan_session_allocation,((WEEKDAY(Y$3,2)*2-1)+IF(Y815="Morning",0,1)),X815))="Yes",
VLOOKUP(INDEX(plan_duration_primary,((WEEKDAY(Y$3,2)*2-1)+IF(Y815="Morning",0,1)),X815),
INDIRECT(INDEX(sessions_intervals_code_primary,INDEX(plan_session_allocation,((WEEKDAY(Y$3,2)*2-1)+IF(Y815="Morning",0,1)),X815))),7,TRUE),0),"")</f>
        <v>0</v>
      </c>
      <c r="AA819" s="1929"/>
      <c r="AC819" s="1926" t="str">
        <f ca="1">IF(AF815&gt;0,CONCATENATE("HR Range: ",
INDEX(sessions_HR_range_primary,INDEX(plan_session_allocation,((WEEKDAY(AD$3,2)*2-1)+IF(AD815="Morning",0,1)),AC815)),
IF(INDEX(sessions_HR_range_primary,INDEX(plan_session_allocation,((WEEKDAY(AD$3,2)*2-1)+IF(AD815="Morning",0,1)),AC815))="N/A","",
" BPM")),"")</f>
        <v/>
      </c>
      <c r="AD819" s="1927"/>
      <c r="AE819" s="1928" t="str">
        <f ca="1">IF(AF815&gt;0,IF(
INDEX(sessions_recoveries,INDEX(plan_session_allocation,((WEEKDAY(AD$3,2)*2-1)+IF(AD815="Morning",0,1)),AC815))="Yes",
VLOOKUP(INDEX(plan_duration_primary,((WEEKDAY(AD$3,2)*2-1)+IF(AD815="Morning",0,1)),AC815),
INDIRECT(INDEX(sessions_intervals_code_primary,INDEX(plan_session_allocation,((WEEKDAY(AD$3,2)*2-1)+IF(AD815="Morning",0,1)),AC815))),7,TRUE),0),"")</f>
        <v/>
      </c>
      <c r="AF819" s="1929"/>
      <c r="AH819" s="1926" t="str">
        <f ca="1">IF(AK815&gt;0,CONCATENATE("HR Range: ",
INDEX(sessions_HR_range_primary,INDEX(plan_session_allocation,((WEEKDAY(AI$3,2)*2-1)+IF(AI815="Morning",0,1)),AH815)),
IF(INDEX(sessions_HR_range_primary,INDEX(plan_session_allocation,((WEEKDAY(AI$3,2)*2-1)+IF(AI815="Morning",0,1)),AH815))="N/A","",
" BPM")),"")</f>
        <v/>
      </c>
      <c r="AI819" s="1927"/>
      <c r="AJ819" s="1928" t="str">
        <f ca="1">IF(AK815&gt;0,IF(
INDEX(sessions_recoveries,INDEX(plan_session_allocation,((WEEKDAY(AI$3,2)*2-1)+IF(AI815="Morning",0,1)),AH815))="Yes",
VLOOKUP(INDEX(plan_duration_primary,((WEEKDAY(AI$3,2)*2-1)+IF(AI815="Morning",0,1)),AH815),
INDIRECT(INDEX(sessions_intervals_code_primary,INDEX(plan_session_allocation,((WEEKDAY(AI$3,2)*2-1)+IF(AI815="Morning",0,1)),AH815))),7,TRUE),0),"")</f>
        <v/>
      </c>
      <c r="AK819" s="1929"/>
    </row>
    <row r="820" spans="2:38" s="177" customFormat="1" ht="15" customHeight="1" x14ac:dyDescent="0.45">
      <c r="B820" s="1942"/>
      <c r="C820" s="1945"/>
      <c r="D820" s="1909" t="str">
        <f ca="1">IF(G815&gt;0,CONCATENATE("Equivalent Pace: ",
TEXT(INDEX(sessions_pace_primary,INDEX(plan_session_allocation,(WEEKDAY(E$3,2)*2-1)+IF(E815="Morning",0,1),D815)),"m:ss"),
" min/km"
),"")</f>
        <v>Equivalent Pace:  min/km</v>
      </c>
      <c r="E820" s="1910"/>
      <c r="F820" s="1911">
        <f ca="1">IF(G815&gt;0, INDEX(final_duration_WU,((WEEKDAY(E$3,2)*2-1)+IF(E815="Morning",0,1)),D815)  + INDEX(final_duration_WD,((WEEKDAY(E$3,2)*2-1)+IF(E815="Morning",0,1)),D815), "")</f>
        <v>0</v>
      </c>
      <c r="G820" s="1912"/>
      <c r="I820" s="1909" t="str">
        <f ca="1">IF(L815&gt;0,CONCATENATE("Equivalent Pace: ",
TEXT(INDEX(sessions_pace_primary,INDEX(plan_session_allocation,(WEEKDAY(J$3,2)*2-1)+IF(J815="Morning",0,1),I815)),"m:ss"),
" min/km"
),"")</f>
        <v>Equivalent Pace: 3:21 min/km</v>
      </c>
      <c r="J820" s="1910"/>
      <c r="K820" s="1911">
        <f ca="1">IF(L815&gt;0, INDEX(final_duration_WU,((WEEKDAY(J$3,2)*2-1)+IF(J815="Morning",0,1)),I815)  + INDEX(final_duration_WD,((WEEKDAY(J$3,2)*2-1)+IF(J815="Morning",0,1)),I815), "")</f>
        <v>30</v>
      </c>
      <c r="L820" s="1912"/>
      <c r="N820" s="1909" t="str">
        <f ca="1">IF(Q815&gt;0,CONCATENATE("Equivalent Pace: ",
TEXT(INDEX(sessions_pace_primary,INDEX(plan_session_allocation,(WEEKDAY(O$3,2)*2-1)+IF(O815="Morning",0,1),N815)),"m:ss"),
" min/km"
),"")</f>
        <v>Equivalent Pace: 4:39 min/km</v>
      </c>
      <c r="O820" s="1910"/>
      <c r="P820" s="1911">
        <f ca="1">IF(Q815&gt;0, INDEX(final_duration_WU,((WEEKDAY(O$3,2)*2-1)+IF(O815="Morning",0,1)),N815)  + INDEX(final_duration_WD,((WEEKDAY(O$3,2)*2-1)+IF(O815="Morning",0,1)),N815), "")</f>
        <v>0</v>
      </c>
      <c r="Q820" s="1912"/>
      <c r="S820" s="1909" t="str">
        <f ca="1">IF(V815&gt;0,CONCATENATE("Equivalent Pace: ",
TEXT(INDEX(sessions_pace_primary,INDEX(plan_session_allocation,(WEEKDAY(T$3,2)*2-1)+IF(T815="Morning",0,1),S815)),"m:ss"),
" min/km"
),"")</f>
        <v>Equivalent Pace: 3:06 min/km</v>
      </c>
      <c r="T820" s="1910"/>
      <c r="U820" s="1911">
        <f ca="1">IF(V815&gt;0, INDEX(final_duration_WU,((WEEKDAY(T$3,2)*2-1)+IF(T815="Morning",0,1)),S815)  + INDEX(final_duration_WD,((WEEKDAY(T$3,2)*2-1)+IF(T815="Morning",0,1)),S815), "")</f>
        <v>30</v>
      </c>
      <c r="V820" s="1912"/>
      <c r="X820" s="1909" t="str">
        <f ca="1">IF(AA815&gt;0,CONCATENATE("Equivalent Pace: ",
TEXT(INDEX(sessions_pace_primary,INDEX(plan_session_allocation,(WEEKDAY(Y$3,2)*2-1)+IF(Y815="Morning",0,1),X815)),"m:ss"),
" min/km"
),"")</f>
        <v>Equivalent Pace:  min/km</v>
      </c>
      <c r="Y820" s="1910"/>
      <c r="Z820" s="1911">
        <f ca="1">IF(AA815&gt;0, INDEX(final_duration_WU,((WEEKDAY(Y$3,2)*2-1)+IF(Y815="Morning",0,1)),X815)  + INDEX(final_duration_WD,((WEEKDAY(Y$3,2)*2-1)+IF(Y815="Morning",0,1)),X815), "")</f>
        <v>0</v>
      </c>
      <c r="AA820" s="1912"/>
      <c r="AC820" s="1909" t="str">
        <f ca="1">IF(AF815&gt;0,CONCATENATE("Equivalent Pace: ",
TEXT(INDEX(sessions_pace_primary,INDEX(plan_session_allocation,(WEEKDAY(AD$3,2)*2-1)+IF(AD815="Morning",0,1),AC815)),"m:ss"),
" min/km"
),"")</f>
        <v/>
      </c>
      <c r="AD820" s="1910"/>
      <c r="AE820" s="1911" t="str">
        <f ca="1">IF(AF815&gt;0, INDEX(final_duration_WU,((WEEKDAY(AD$3,2)*2-1)+IF(AD815="Morning",0,1)),AC815)  + INDEX(final_duration_WD,((WEEKDAY(AD$3,2)*2-1)+IF(AD815="Morning",0,1)),AC815), "")</f>
        <v/>
      </c>
      <c r="AF820" s="1912"/>
      <c r="AH820" s="1909" t="str">
        <f ca="1">IF(AK815&gt;0,CONCATENATE("Equivalent Pace: ",
TEXT(INDEX(sessions_pace_primary,INDEX(plan_session_allocation,(WEEKDAY(AI$3,2)*2-1)+IF(AI815="Morning",0,1),AH815)),"m:ss"),
" min/km"
),"")</f>
        <v/>
      </c>
      <c r="AI820" s="1910"/>
      <c r="AJ820" s="1911" t="str">
        <f ca="1">IF(AK815&gt;0, INDEX(final_duration_WU,((WEEKDAY(AI$3,2)*2-1)+IF(AI815="Morning",0,1)),AH815)  + INDEX(final_duration_WD,((WEEKDAY(AI$3,2)*2-1)+IF(AI815="Morning",0,1)),AH815), "")</f>
        <v/>
      </c>
      <c r="AK820" s="1912"/>
    </row>
    <row r="821" spans="2:38" s="176" customFormat="1" ht="15" customHeight="1" x14ac:dyDescent="0.45">
      <c r="B821" s="1942"/>
      <c r="C821" s="1945"/>
      <c r="D821" s="1913" t="str">
        <f ca="1">IF(G815&gt;0,CONCATENATE(IFERROR(CONCATENATE(IF(INDEX(display_intervals_breakdown,((WEEKDAY(E$3,2)*2-1)+IF(E815="Morning",0,1)),D815)="","",CONCATENATE("Intervals/Reps Breakdown: 
",INDEX(display_intervals_breakdown,((WEEKDAY(E$3,2)*2-1)+IF(E815="Morning",0,1)),D815),"
")),"Session Description: 
",CONCATENATE(IF(INDEX(final_duration_secondary,((WEEKDAY(E$3,2)*2-1)+IF(E815="Morning",0,1)),D815)=0,"","1. "),
INDEX(sessions_description_primary,,INDEX(plan_session_allocation,((WEEKDAY(E$3,2)*2-1)+IF(E815="Morning",0,1)),D815)),IF(INDEX(final_duration_secondary,((WEEKDAY(E$3,2)*2-1)+IF(E815="Morning",0,1)),D815)=0,"","
2. "),
IF(INDEX(final_duration_secondary,((WEEKDAY(E$3,2)*2-1)+IF(E815="Morning",0,1)),D815)=0,"",INDEX(sessions_description_secondary,,INDEX(plan_session_allocation,((WEEKDAY(E$3,2)*2-1)+IF(E815="Morning",0,1)),D815))),IF(INDEX(final_duration_tertiary,((WEEKDAY(E$3,2)*2-1)+IF(E815="Morning",0,1)),D815)=0,"","
3. "),
IF(INDEX(final_duration_tertiary,((WEEKDAY(E$3,2)*2-1)+IF(E815="Morning",0,1)),D815)="","",INDEX(sessions_description_tertiary,,INDEX(plan_session_allocation,((WEEKDAY(E$3,2)*2-1)+IF(E815="Morning",0,1)),D815))),
IF(INDEX(display_nutrition_description,((WEEKDAY(E$3,2)*2-1)+IF(E815="Morning",0,1)),D815)="","",
CONCATENATE("
Meal Plan: ", INDEX(sessions_nutrition,,INDEX(plan_session_allocation,((WEEKDAY(E$3,2)*2-1)+IF(E815="Morning",0,1)),D815)), "
", INDEX(display_nutrition_description,((WEEKDAY(E$3,2)*2-1)+IF(E815="Morning",0,1)),D815)))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821" s="1914"/>
      <c r="F821" s="1914"/>
      <c r="G821" s="1915"/>
      <c r="H821" s="177"/>
      <c r="I821" s="1913" t="str">
        <f ca="1">IF(L815&gt;0,CONCATENATE(IFERROR(CONCATENATE(IF(INDEX(display_intervals_breakdown,((WEEKDAY(J$3,2)*2-1)+IF(J815="Morning",0,1)),I815)="","",CONCATENATE("Intervals/Reps Breakdown: 
",INDEX(display_intervals_breakdown,((WEEKDAY(J$3,2)*2-1)+IF(J815="Morning",0,1)),I815),"
")),"Session Description: 
",CONCATENATE(IF(INDEX(final_duration_secondary,((WEEKDAY(J$3,2)*2-1)+IF(J815="Morning",0,1)),I815)=0,"","1. "),
INDEX(sessions_description_primary,,INDEX(plan_session_allocation,((WEEKDAY(J$3,2)*2-1)+IF(J815="Morning",0,1)),I815)),IF(INDEX(final_duration_secondary,((WEEKDAY(J$3,2)*2-1)+IF(J815="Morning",0,1)),I815)=0,"","
2. "),
IF(INDEX(final_duration_secondary,((WEEKDAY(J$3,2)*2-1)+IF(J815="Morning",0,1)),I815)=0,"",INDEX(sessions_description_secondary,,INDEX(plan_session_allocation,((WEEKDAY(J$3,2)*2-1)+IF(J815="Morning",0,1)),I815))),IF(INDEX(final_duration_tertiary,((WEEKDAY(J$3,2)*2-1)+IF(J815="Morning",0,1)),I815)=0,"","
3. "),
IF(INDEX(final_duration_tertiary,((WEEKDAY(J$3,2)*2-1)+IF(J815="Morning",0,1)),I815)="","",INDEX(sessions_description_tertiary,,INDEX(plan_session_allocation,((WEEKDAY(J$3,2)*2-1)+IF(J815="Morning",0,1)),I815))),
IF(INDEX(display_nutrition_description,((WEEKDAY(J$3,2)*2-1)+IF(J815="Morning",0,1)),I815)="","",
CONCATENATE("
Meal Plan: ", INDEX(sessions_nutrition,,INDEX(plan_session_allocation,((WEEKDAY(J$3,2)*2-1)+IF(J815="Morning",0,1)),I815)), "
", INDEX(display_nutrition_description,((WEEKDAY(J$3,2)*2-1)+IF(J815="Morning",0,1)),I815)))
)),"")),"")</f>
        <v>Session Description: 
Accelerate to a fast pace which you should be able to hold for 50 minutes in a race situation. This will take concentration, but it's important to keep the intensity even, so do not start too hard. Warm up and warm down for 10 minutes each.</v>
      </c>
      <c r="J821" s="1914"/>
      <c r="K821" s="1914"/>
      <c r="L821" s="1915"/>
      <c r="M821" s="177"/>
      <c r="N821" s="1913" t="str">
        <f ca="1">IF(Q815&gt;0,CONCATENATE(IFERROR(CONCATENATE(IF(INDEX(display_intervals_breakdown,((WEEKDAY(O$3,2)*2-1)+IF(O815="Morning",0,1)),N815)="","",CONCATENATE("Intervals/Reps Breakdown: 
",INDEX(display_intervals_breakdown,((WEEKDAY(O$3,2)*2-1)+IF(O815="Morning",0,1)),N815),"
")),"Session Description: 
",CONCATENATE(IF(INDEX(final_duration_secondary,((WEEKDAY(O$3,2)*2-1)+IF(O815="Morning",0,1)),N815)=0,"","1. "),
INDEX(sessions_description_primary,,INDEX(plan_session_allocation,((WEEKDAY(O$3,2)*2-1)+IF(O815="Morning",0,1)),N815)),IF(INDEX(final_duration_secondary,((WEEKDAY(O$3,2)*2-1)+IF(O815="Morning",0,1)),N815)=0,"","
2. "),
IF(INDEX(final_duration_secondary,((WEEKDAY(O$3,2)*2-1)+IF(O815="Morning",0,1)),N815)=0,"",INDEX(sessions_description_secondary,,INDEX(plan_session_allocation,((WEEKDAY(O$3,2)*2-1)+IF(O815="Morning",0,1)),N815))),IF(INDEX(final_duration_tertiary,((WEEKDAY(O$3,2)*2-1)+IF(O815="Morning",0,1)),N815)=0,"","
3. "),
IF(INDEX(final_duration_tertiary,((WEEKDAY(O$3,2)*2-1)+IF(O815="Morning",0,1)),N815)="","",INDEX(sessions_description_tertiary,,INDEX(plan_session_allocation,((WEEKDAY(O$3,2)*2-1)+IF(O815="Morning",0,1)),N815))),
IF(INDEX(display_nutrition_description,((WEEKDAY(O$3,2)*2-1)+IF(O815="Morning",0,1)),N815)="","",
CONCATENATE("
Meal Plan: ", INDEX(sessions_nutrition,,INDEX(plan_session_allocation,((WEEKDAY(O$3,2)*2-1)+IF(O815="Morning",0,1)),N815)), "
", INDEX(display_nutrition_description,((WEEKDAY(O$3,2)*2-1)+IF(O815="Morning",0,1)),N815)))
)),"")),"")</f>
        <v>Session Description: 
Stay at a comfortable and controlled intensity where you should be able to have a conversation without large pauses. Keep an even intensity and accept that your pace may change as the terrain changes.</v>
      </c>
      <c r="O821" s="1914"/>
      <c r="P821" s="1914"/>
      <c r="Q821" s="1915"/>
      <c r="R821" s="177"/>
      <c r="S821" s="1913" t="str">
        <f ca="1">IF(V815&gt;0,CONCATENATE(IFERROR(CONCATENATE(IF(INDEX(display_intervals_breakdown,((WEEKDAY(T$3,2)*2-1)+IF(T815="Morning",0,1)),S815)="","",CONCATENATE("Intervals/Reps Breakdown: 
",INDEX(display_intervals_breakdown,((WEEKDAY(T$3,2)*2-1)+IF(T815="Morning",0,1)),S815),"
")),"Session Description: 
",CONCATENATE(IF(INDEX(final_duration_secondary,((WEEKDAY(T$3,2)*2-1)+IF(T815="Morning",0,1)),S815)=0,"","1. "),
INDEX(sessions_description_primary,,INDEX(plan_session_allocation,((WEEKDAY(T$3,2)*2-1)+IF(T815="Morning",0,1)),S815)),IF(INDEX(final_duration_secondary,((WEEKDAY(T$3,2)*2-1)+IF(T815="Morning",0,1)),S815)=0,"","
2. "),
IF(INDEX(final_duration_secondary,((WEEKDAY(T$3,2)*2-1)+IF(T815="Morning",0,1)),S815)=0,"",INDEX(sessions_description_secondary,,INDEX(plan_session_allocation,((WEEKDAY(T$3,2)*2-1)+IF(T815="Morning",0,1)),S815))),IF(INDEX(final_duration_tertiary,((WEEKDAY(T$3,2)*2-1)+IF(T815="Morning",0,1)),S815)=0,"","
3. "),
IF(INDEX(final_duration_tertiary,((WEEKDAY(T$3,2)*2-1)+IF(T815="Morning",0,1)),S815)="","",INDEX(sessions_description_tertiary,,INDEX(plan_session_allocation,((WEEKDAY(T$3,2)*2-1)+IF(T815="Morning",0,1)),S815))),
IF(INDEX(display_nutrition_description,((WEEKDAY(T$3,2)*2-1)+IF(T815="Morning",0,1)),S815)="","",
CONCATENATE("
Meal Plan: ", INDEX(sessions_nutrition,,INDEX(plan_session_allocation,((WEEKDAY(T$3,2)*2-1)+IF(T815="Morning",0,1)),S815)), "
", INDEX(display_nutrition_description,((WEEKDAY(T$3,2)*2-1)+IF(T815="Morning",0,1)),S815)))
)),"")),"")</f>
        <v>Intervals/Reps Breakdown: 
Efforts of: 1km x4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T821" s="1914"/>
      <c r="U821" s="1914"/>
      <c r="V821" s="1915"/>
      <c r="W821" s="177"/>
      <c r="X821" s="1913" t="str">
        <f ca="1">IF(AA815&gt;0,CONCATENATE(IFERROR(CONCATENATE(IF(INDEX(display_intervals_breakdown,((WEEKDAY(Y$3,2)*2-1)+IF(Y815="Morning",0,1)),X815)="","",CONCATENATE("Intervals/Reps Breakdown: 
",INDEX(display_intervals_breakdown,((WEEKDAY(Y$3,2)*2-1)+IF(Y815="Morning",0,1)),X815),"
")),"Session Description: 
",CONCATENATE(IF(INDEX(final_duration_secondary,((WEEKDAY(Y$3,2)*2-1)+IF(Y815="Morning",0,1)),X815)=0,"","1. "),
INDEX(sessions_description_primary,,INDEX(plan_session_allocation,((WEEKDAY(Y$3,2)*2-1)+IF(Y815="Morning",0,1)),X815)),IF(INDEX(final_duration_secondary,((WEEKDAY(Y$3,2)*2-1)+IF(Y815="Morning",0,1)),X815)=0,"","
2. "),
IF(INDEX(final_duration_secondary,((WEEKDAY(Y$3,2)*2-1)+IF(Y815="Morning",0,1)),X815)=0,"",INDEX(sessions_description_secondary,,INDEX(plan_session_allocation,((WEEKDAY(Y$3,2)*2-1)+IF(Y815="Morning",0,1)),X815))),IF(INDEX(final_duration_tertiary,((WEEKDAY(Y$3,2)*2-1)+IF(Y815="Morning",0,1)),X815)=0,"","
3. "),
IF(INDEX(final_duration_tertiary,((WEEKDAY(Y$3,2)*2-1)+IF(Y815="Morning",0,1)),X815)="","",INDEX(sessions_description_tertiary,,INDEX(plan_session_allocation,((WEEKDAY(Y$3,2)*2-1)+IF(Y815="Morning",0,1)),X815))),
IF(INDEX(display_nutrition_description,((WEEKDAY(Y$3,2)*2-1)+IF(Y815="Morning",0,1)),X815)="","",
CONCATENATE("
Meal Plan: ", INDEX(sessions_nutrition,,INDEX(plan_session_allocation,((WEEKDAY(Y$3,2)*2-1)+IF(Y815="Morning",0,1)),X815)), "
", INDEX(display_nutrition_description,((WEEKDAY(Y$3,2)*2-1)+IF(Y815="Morning",0,1)),X815)))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821" s="1914"/>
      <c r="Z821" s="1914"/>
      <c r="AA821" s="1915"/>
      <c r="AB821" s="177"/>
      <c r="AC821" s="1913" t="str">
        <f ca="1">IF(AF815&gt;0,CONCATENATE(IFERROR(CONCATENATE(IF(INDEX(display_intervals_breakdown,((WEEKDAY(AD$3,2)*2-1)+IF(AD815="Morning",0,1)),AC815)="","",CONCATENATE("Intervals/Reps Breakdown: 
",INDEX(display_intervals_breakdown,((WEEKDAY(AD$3,2)*2-1)+IF(AD815="Morning",0,1)),AC815),"
")),"Session Description: 
",CONCATENATE(IF(INDEX(final_duration_secondary,((WEEKDAY(AD$3,2)*2-1)+IF(AD815="Morning",0,1)),AC815)=0,"","1. "),
INDEX(sessions_description_primary,,INDEX(plan_session_allocation,((WEEKDAY(AD$3,2)*2-1)+IF(AD815="Morning",0,1)),AC815)),IF(INDEX(final_duration_secondary,((WEEKDAY(AD$3,2)*2-1)+IF(AD815="Morning",0,1)),AC815)=0,"","
2. "),
IF(INDEX(final_duration_secondary,((WEEKDAY(AD$3,2)*2-1)+IF(AD815="Morning",0,1)),AC815)=0,"",INDEX(sessions_description_secondary,,INDEX(plan_session_allocation,((WEEKDAY(AD$3,2)*2-1)+IF(AD815="Morning",0,1)),AC815))),IF(INDEX(final_duration_tertiary,((WEEKDAY(AD$3,2)*2-1)+IF(AD815="Morning",0,1)),AC815)=0,"","
3. "),
IF(INDEX(final_duration_tertiary,((WEEKDAY(AD$3,2)*2-1)+IF(AD815="Morning",0,1)),AC815)="","",INDEX(sessions_description_tertiary,,INDEX(plan_session_allocation,((WEEKDAY(AD$3,2)*2-1)+IF(AD815="Morning",0,1)),AC815))),
IF(INDEX(display_nutrition_description,((WEEKDAY(AD$3,2)*2-1)+IF(AD815="Morning",0,1)),AC815)="","",
CONCATENATE("
Meal Plan: ", INDEX(sessions_nutrition,,INDEX(plan_session_allocation,((WEEKDAY(AD$3,2)*2-1)+IF(AD815="Morning",0,1)),AC815)), "
", INDEX(display_nutrition_description,((WEEKDAY(AD$3,2)*2-1)+IF(AD815="Morning",0,1)),AC815)))
)),"")),"")</f>
        <v/>
      </c>
      <c r="AD821" s="1914"/>
      <c r="AE821" s="1914"/>
      <c r="AF821" s="1915"/>
      <c r="AG821" s="177"/>
      <c r="AH821" s="1913" t="str">
        <f ca="1">IF(AK815&gt;0,CONCATENATE(IFERROR(CONCATENATE(IF(INDEX(display_intervals_breakdown,((WEEKDAY(AI$3,2)*2-1)+IF(AI815="Morning",0,1)),AH815)="","",CONCATENATE("Intervals/Reps Breakdown: 
",INDEX(display_intervals_breakdown,((WEEKDAY(AI$3,2)*2-1)+IF(AI815="Morning",0,1)),AH815),"
")),"Session Description: 
",CONCATENATE(IF(INDEX(final_duration_secondary,((WEEKDAY(AI$3,2)*2-1)+IF(AI815="Morning",0,1)),AH815)=0,"","1. "),
INDEX(sessions_description_primary,,INDEX(plan_session_allocation,((WEEKDAY(AI$3,2)*2-1)+IF(AI815="Morning",0,1)),AH815)),IF(INDEX(final_duration_secondary,((WEEKDAY(AI$3,2)*2-1)+IF(AI815="Morning",0,1)),AH815)=0,"","
2. "),
IF(INDEX(final_duration_secondary,((WEEKDAY(AI$3,2)*2-1)+IF(AI815="Morning",0,1)),AH815)=0,"",INDEX(sessions_description_secondary,,INDEX(plan_session_allocation,((WEEKDAY(AI$3,2)*2-1)+IF(AI815="Morning",0,1)),AH815))),IF(INDEX(final_duration_tertiary,((WEEKDAY(AI$3,2)*2-1)+IF(AI815="Morning",0,1)),AH815)=0,"","
3. "),
IF(INDEX(final_duration_tertiary,((WEEKDAY(AI$3,2)*2-1)+IF(AI815="Morning",0,1)),AH815)="","",INDEX(sessions_description_tertiary,,INDEX(plan_session_allocation,((WEEKDAY(AI$3,2)*2-1)+IF(AI815="Morning",0,1)),AH815))),
IF(INDEX(display_nutrition_description,((WEEKDAY(AI$3,2)*2-1)+IF(AI815="Morning",0,1)),AH815)="","",
CONCATENATE("
Meal Plan: ", INDEX(sessions_nutrition,,INDEX(plan_session_allocation,((WEEKDAY(AI$3,2)*2-1)+IF(AI815="Morning",0,1)),AH815)), "
", INDEX(display_nutrition_description,((WEEKDAY(AI$3,2)*2-1)+IF(AI815="Morning",0,1)),AH815)))
)),"")),"")</f>
        <v/>
      </c>
      <c r="AI821" s="1914"/>
      <c r="AJ821" s="1914"/>
      <c r="AK821" s="1915"/>
      <c r="AL821" s="177"/>
    </row>
    <row r="822" spans="2:38" s="176" customFormat="1" ht="15" customHeight="1" x14ac:dyDescent="0.45">
      <c r="B822" s="1942"/>
      <c r="C822" s="1945"/>
      <c r="D822" s="1916"/>
      <c r="E822" s="1917"/>
      <c r="F822" s="1917"/>
      <c r="G822" s="1918"/>
      <c r="H822" s="177"/>
      <c r="I822" s="1916"/>
      <c r="J822" s="1917"/>
      <c r="K822" s="1917"/>
      <c r="L822" s="1918"/>
      <c r="M822" s="177"/>
      <c r="N822" s="1916"/>
      <c r="O822" s="1917"/>
      <c r="P822" s="1917"/>
      <c r="Q822" s="1918"/>
      <c r="R822" s="177"/>
      <c r="S822" s="1916"/>
      <c r="T822" s="1917"/>
      <c r="U822" s="1917"/>
      <c r="V822" s="1918"/>
      <c r="W822" s="177"/>
      <c r="X822" s="1916"/>
      <c r="Y822" s="1917"/>
      <c r="Z822" s="1917"/>
      <c r="AA822" s="1918"/>
      <c r="AB822" s="177"/>
      <c r="AC822" s="1916"/>
      <c r="AD822" s="1917"/>
      <c r="AE822" s="1917"/>
      <c r="AF822" s="1918"/>
      <c r="AG822" s="177"/>
      <c r="AH822" s="1916"/>
      <c r="AI822" s="1917"/>
      <c r="AJ822" s="1917"/>
      <c r="AK822" s="1918"/>
      <c r="AL822" s="177"/>
    </row>
    <row r="823" spans="2:38" s="176" customFormat="1" ht="15" customHeight="1" x14ac:dyDescent="0.45">
      <c r="B823" s="1942"/>
      <c r="C823" s="1945"/>
      <c r="D823" s="1916"/>
      <c r="E823" s="1917"/>
      <c r="F823" s="1917"/>
      <c r="G823" s="1918"/>
      <c r="H823" s="177"/>
      <c r="I823" s="1916"/>
      <c r="J823" s="1917"/>
      <c r="K823" s="1917"/>
      <c r="L823" s="1918"/>
      <c r="M823" s="177"/>
      <c r="N823" s="1916"/>
      <c r="O823" s="1917"/>
      <c r="P823" s="1917"/>
      <c r="Q823" s="1918"/>
      <c r="R823" s="177"/>
      <c r="S823" s="1916"/>
      <c r="T823" s="1917"/>
      <c r="U823" s="1917"/>
      <c r="V823" s="1918"/>
      <c r="W823" s="177"/>
      <c r="X823" s="1916"/>
      <c r="Y823" s="1917"/>
      <c r="Z823" s="1917"/>
      <c r="AA823" s="1918"/>
      <c r="AB823" s="177"/>
      <c r="AC823" s="1916"/>
      <c r="AD823" s="1917"/>
      <c r="AE823" s="1917"/>
      <c r="AF823" s="1918"/>
      <c r="AG823" s="177"/>
      <c r="AH823" s="1916"/>
      <c r="AI823" s="1917"/>
      <c r="AJ823" s="1917"/>
      <c r="AK823" s="1918"/>
      <c r="AL823" s="177"/>
    </row>
    <row r="824" spans="2:38" s="176" customFormat="1" x14ac:dyDescent="0.45">
      <c r="B824" s="1942"/>
      <c r="C824" s="1945"/>
      <c r="D824" s="1916"/>
      <c r="E824" s="1917"/>
      <c r="F824" s="1917"/>
      <c r="G824" s="1918"/>
      <c r="H824" s="177"/>
      <c r="I824" s="1916"/>
      <c r="J824" s="1917"/>
      <c r="K824" s="1917"/>
      <c r="L824" s="1918"/>
      <c r="M824" s="177"/>
      <c r="N824" s="1916"/>
      <c r="O824" s="1917"/>
      <c r="P824" s="1917"/>
      <c r="Q824" s="1918"/>
      <c r="R824" s="177"/>
      <c r="S824" s="1916"/>
      <c r="T824" s="1917"/>
      <c r="U824" s="1917"/>
      <c r="V824" s="1918"/>
      <c r="W824" s="177"/>
      <c r="X824" s="1916"/>
      <c r="Y824" s="1917"/>
      <c r="Z824" s="1917"/>
      <c r="AA824" s="1918"/>
      <c r="AB824" s="177"/>
      <c r="AC824" s="1916"/>
      <c r="AD824" s="1917"/>
      <c r="AE824" s="1917"/>
      <c r="AF824" s="1918"/>
      <c r="AG824" s="177"/>
      <c r="AH824" s="1916"/>
      <c r="AI824" s="1917"/>
      <c r="AJ824" s="1917"/>
      <c r="AK824" s="1918"/>
      <c r="AL824" s="177"/>
    </row>
    <row r="825" spans="2:38" s="176" customFormat="1" x14ac:dyDescent="0.45">
      <c r="B825" s="1942"/>
      <c r="C825" s="1945"/>
      <c r="D825" s="1916"/>
      <c r="E825" s="1917"/>
      <c r="F825" s="1917"/>
      <c r="G825" s="1918"/>
      <c r="H825" s="177"/>
      <c r="I825" s="1916"/>
      <c r="J825" s="1917"/>
      <c r="K825" s="1917"/>
      <c r="L825" s="1918"/>
      <c r="M825" s="177"/>
      <c r="N825" s="1916"/>
      <c r="O825" s="1917"/>
      <c r="P825" s="1917"/>
      <c r="Q825" s="1918"/>
      <c r="R825" s="177"/>
      <c r="S825" s="1916"/>
      <c r="T825" s="1917"/>
      <c r="U825" s="1917"/>
      <c r="V825" s="1918"/>
      <c r="W825" s="177"/>
      <c r="X825" s="1916"/>
      <c r="Y825" s="1917"/>
      <c r="Z825" s="1917"/>
      <c r="AA825" s="1918"/>
      <c r="AB825" s="177"/>
      <c r="AC825" s="1916"/>
      <c r="AD825" s="1917"/>
      <c r="AE825" s="1917"/>
      <c r="AF825" s="1918"/>
      <c r="AG825" s="177"/>
      <c r="AH825" s="1916"/>
      <c r="AI825" s="1917"/>
      <c r="AJ825" s="1917"/>
      <c r="AK825" s="1918"/>
      <c r="AL825" s="177"/>
    </row>
    <row r="826" spans="2:38" s="176" customFormat="1" x14ac:dyDescent="0.45">
      <c r="B826" s="1942"/>
      <c r="C826" s="1945"/>
      <c r="D826" s="1916"/>
      <c r="E826" s="1917"/>
      <c r="F826" s="1917"/>
      <c r="G826" s="1918"/>
      <c r="H826" s="177"/>
      <c r="I826" s="1916"/>
      <c r="J826" s="1917"/>
      <c r="K826" s="1917"/>
      <c r="L826" s="1918"/>
      <c r="M826" s="177"/>
      <c r="N826" s="1916"/>
      <c r="O826" s="1917"/>
      <c r="P826" s="1917"/>
      <c r="Q826" s="1918"/>
      <c r="R826" s="177"/>
      <c r="S826" s="1916"/>
      <c r="T826" s="1917"/>
      <c r="U826" s="1917"/>
      <c r="V826" s="1918"/>
      <c r="W826" s="177"/>
      <c r="X826" s="1916"/>
      <c r="Y826" s="1917"/>
      <c r="Z826" s="1917"/>
      <c r="AA826" s="1918"/>
      <c r="AB826" s="177"/>
      <c r="AC826" s="1916"/>
      <c r="AD826" s="1917"/>
      <c r="AE826" s="1917"/>
      <c r="AF826" s="1918"/>
      <c r="AG826" s="177"/>
      <c r="AH826" s="1916"/>
      <c r="AI826" s="1917"/>
      <c r="AJ826" s="1917"/>
      <c r="AK826" s="1918"/>
      <c r="AL826" s="177"/>
    </row>
    <row r="827" spans="2:38" s="176" customFormat="1" ht="15" customHeight="1" x14ac:dyDescent="0.45">
      <c r="B827" s="1942"/>
      <c r="C827" s="1945"/>
      <c r="D827" s="1916"/>
      <c r="E827" s="1917"/>
      <c r="F827" s="1917"/>
      <c r="G827" s="1918"/>
      <c r="H827" s="177"/>
      <c r="I827" s="1916"/>
      <c r="J827" s="1917"/>
      <c r="K827" s="1917"/>
      <c r="L827" s="1918"/>
      <c r="M827" s="177"/>
      <c r="N827" s="1916"/>
      <c r="O827" s="1917"/>
      <c r="P827" s="1917"/>
      <c r="Q827" s="1918"/>
      <c r="R827" s="177"/>
      <c r="S827" s="1916"/>
      <c r="T827" s="1917"/>
      <c r="U827" s="1917"/>
      <c r="V827" s="1918"/>
      <c r="W827" s="177"/>
      <c r="X827" s="1916"/>
      <c r="Y827" s="1917"/>
      <c r="Z827" s="1917"/>
      <c r="AA827" s="1918"/>
      <c r="AB827" s="177"/>
      <c r="AC827" s="1916"/>
      <c r="AD827" s="1917"/>
      <c r="AE827" s="1917"/>
      <c r="AF827" s="1918"/>
      <c r="AG827" s="177"/>
      <c r="AH827" s="1916"/>
      <c r="AI827" s="1917"/>
      <c r="AJ827" s="1917"/>
      <c r="AK827" s="1918"/>
      <c r="AL827" s="177"/>
    </row>
    <row r="828" spans="2:38" s="176" customFormat="1" ht="15" customHeight="1" x14ac:dyDescent="0.45">
      <c r="B828" s="1942"/>
      <c r="C828" s="1945"/>
      <c r="D828" s="1916"/>
      <c r="E828" s="1917"/>
      <c r="F828" s="1917"/>
      <c r="G828" s="1918"/>
      <c r="H828" s="177"/>
      <c r="I828" s="1916"/>
      <c r="J828" s="1917"/>
      <c r="K828" s="1917"/>
      <c r="L828" s="1918"/>
      <c r="M828" s="177"/>
      <c r="N828" s="1916"/>
      <c r="O828" s="1917"/>
      <c r="P828" s="1917"/>
      <c r="Q828" s="1918"/>
      <c r="R828" s="177"/>
      <c r="S828" s="1916"/>
      <c r="T828" s="1917"/>
      <c r="U828" s="1917"/>
      <c r="V828" s="1918"/>
      <c r="W828" s="177"/>
      <c r="X828" s="1916"/>
      <c r="Y828" s="1917"/>
      <c r="Z828" s="1917"/>
      <c r="AA828" s="1918"/>
      <c r="AB828" s="177"/>
      <c r="AC828" s="1916"/>
      <c r="AD828" s="1917"/>
      <c r="AE828" s="1917"/>
      <c r="AF828" s="1918"/>
      <c r="AG828" s="177"/>
      <c r="AH828" s="1916"/>
      <c r="AI828" s="1917"/>
      <c r="AJ828" s="1917"/>
      <c r="AK828" s="1918"/>
      <c r="AL828" s="177"/>
    </row>
    <row r="829" spans="2:38" s="176" customFormat="1" x14ac:dyDescent="0.45">
      <c r="B829" s="1942"/>
      <c r="C829" s="1945"/>
      <c r="D829" s="1916"/>
      <c r="E829" s="1917"/>
      <c r="F829" s="1917"/>
      <c r="G829" s="1918"/>
      <c r="H829" s="177"/>
      <c r="I829" s="1916"/>
      <c r="J829" s="1917"/>
      <c r="K829" s="1917"/>
      <c r="L829" s="1918"/>
      <c r="M829" s="177"/>
      <c r="N829" s="1916"/>
      <c r="O829" s="1917"/>
      <c r="P829" s="1917"/>
      <c r="Q829" s="1918"/>
      <c r="R829" s="177"/>
      <c r="S829" s="1916"/>
      <c r="T829" s="1917"/>
      <c r="U829" s="1917"/>
      <c r="V829" s="1918"/>
      <c r="W829" s="177"/>
      <c r="X829" s="1916"/>
      <c r="Y829" s="1917"/>
      <c r="Z829" s="1917"/>
      <c r="AA829" s="1918"/>
      <c r="AB829" s="177"/>
      <c r="AC829" s="1916"/>
      <c r="AD829" s="1917"/>
      <c r="AE829" s="1917"/>
      <c r="AF829" s="1918"/>
      <c r="AG829" s="177"/>
      <c r="AH829" s="1916"/>
      <c r="AI829" s="1917"/>
      <c r="AJ829" s="1917"/>
      <c r="AK829" s="1918"/>
      <c r="AL829" s="177"/>
    </row>
    <row r="830" spans="2:38" s="176" customFormat="1" x14ac:dyDescent="0.45">
      <c r="B830" s="1942"/>
      <c r="C830" s="1945"/>
      <c r="D830" s="1916"/>
      <c r="E830" s="1917"/>
      <c r="F830" s="1917"/>
      <c r="G830" s="1918"/>
      <c r="H830" s="177"/>
      <c r="I830" s="1916"/>
      <c r="J830" s="1917"/>
      <c r="K830" s="1917"/>
      <c r="L830" s="1918"/>
      <c r="M830" s="177"/>
      <c r="N830" s="1916"/>
      <c r="O830" s="1917"/>
      <c r="P830" s="1917"/>
      <c r="Q830" s="1918"/>
      <c r="R830" s="177"/>
      <c r="S830" s="1916"/>
      <c r="T830" s="1917"/>
      <c r="U830" s="1917"/>
      <c r="V830" s="1918"/>
      <c r="W830" s="177"/>
      <c r="X830" s="1916"/>
      <c r="Y830" s="1917"/>
      <c r="Z830" s="1917"/>
      <c r="AA830" s="1918"/>
      <c r="AB830" s="177"/>
      <c r="AC830" s="1916"/>
      <c r="AD830" s="1917"/>
      <c r="AE830" s="1917"/>
      <c r="AF830" s="1918"/>
      <c r="AG830" s="177"/>
      <c r="AH830" s="1916"/>
      <c r="AI830" s="1917"/>
      <c r="AJ830" s="1917"/>
      <c r="AK830" s="1918"/>
      <c r="AL830" s="177"/>
    </row>
    <row r="831" spans="2:38" s="176" customFormat="1" x14ac:dyDescent="0.45">
      <c r="B831" s="1942"/>
      <c r="C831" s="1945"/>
      <c r="D831" s="1916"/>
      <c r="E831" s="1917"/>
      <c r="F831" s="1917"/>
      <c r="G831" s="1918"/>
      <c r="H831" s="177"/>
      <c r="I831" s="1916"/>
      <c r="J831" s="1917"/>
      <c r="K831" s="1917"/>
      <c r="L831" s="1918"/>
      <c r="M831" s="177"/>
      <c r="N831" s="1916"/>
      <c r="O831" s="1917"/>
      <c r="P831" s="1917"/>
      <c r="Q831" s="1918"/>
      <c r="R831" s="177"/>
      <c r="S831" s="1916"/>
      <c r="T831" s="1917"/>
      <c r="U831" s="1917"/>
      <c r="V831" s="1918"/>
      <c r="W831" s="177"/>
      <c r="X831" s="1916"/>
      <c r="Y831" s="1917"/>
      <c r="Z831" s="1917"/>
      <c r="AA831" s="1918"/>
      <c r="AB831" s="177"/>
      <c r="AC831" s="1916"/>
      <c r="AD831" s="1917"/>
      <c r="AE831" s="1917"/>
      <c r="AF831" s="1918"/>
      <c r="AG831" s="177"/>
      <c r="AH831" s="1916"/>
      <c r="AI831" s="1917"/>
      <c r="AJ831" s="1917"/>
      <c r="AK831" s="1918"/>
      <c r="AL831" s="177"/>
    </row>
    <row r="832" spans="2:38" s="176" customFormat="1" x14ac:dyDescent="0.45">
      <c r="B832" s="1942"/>
      <c r="C832" s="1945"/>
      <c r="D832" s="1916"/>
      <c r="E832" s="1917"/>
      <c r="F832" s="1917"/>
      <c r="G832" s="1918"/>
      <c r="H832" s="177"/>
      <c r="I832" s="1916"/>
      <c r="J832" s="1917"/>
      <c r="K832" s="1917"/>
      <c r="L832" s="1918"/>
      <c r="M832" s="177"/>
      <c r="N832" s="1916"/>
      <c r="O832" s="1917"/>
      <c r="P832" s="1917"/>
      <c r="Q832" s="1918"/>
      <c r="R832" s="177"/>
      <c r="S832" s="1916"/>
      <c r="T832" s="1917"/>
      <c r="U832" s="1917"/>
      <c r="V832" s="1918"/>
      <c r="W832" s="177"/>
      <c r="X832" s="1916"/>
      <c r="Y832" s="1917"/>
      <c r="Z832" s="1917"/>
      <c r="AA832" s="1918"/>
      <c r="AB832" s="177"/>
      <c r="AC832" s="1916"/>
      <c r="AD832" s="1917"/>
      <c r="AE832" s="1917"/>
      <c r="AF832" s="1918"/>
      <c r="AG832" s="177"/>
      <c r="AH832" s="1916"/>
      <c r="AI832" s="1917"/>
      <c r="AJ832" s="1917"/>
      <c r="AK832" s="1918"/>
      <c r="AL832" s="177"/>
    </row>
    <row r="833" spans="2:38" s="176" customFormat="1" x14ac:dyDescent="0.45">
      <c r="B833" s="1942"/>
      <c r="C833" s="1945"/>
      <c r="D833" s="1916"/>
      <c r="E833" s="1917"/>
      <c r="F833" s="1917"/>
      <c r="G833" s="1918"/>
      <c r="H833" s="177"/>
      <c r="I833" s="1916"/>
      <c r="J833" s="1917"/>
      <c r="K833" s="1917"/>
      <c r="L833" s="1918"/>
      <c r="M833" s="177"/>
      <c r="N833" s="1916"/>
      <c r="O833" s="1917"/>
      <c r="P833" s="1917"/>
      <c r="Q833" s="1918"/>
      <c r="R833" s="177"/>
      <c r="S833" s="1916"/>
      <c r="T833" s="1917"/>
      <c r="U833" s="1917"/>
      <c r="V833" s="1918"/>
      <c r="W833" s="177"/>
      <c r="X833" s="1916"/>
      <c r="Y833" s="1917"/>
      <c r="Z833" s="1917"/>
      <c r="AA833" s="1918"/>
      <c r="AB833" s="177"/>
      <c r="AC833" s="1916"/>
      <c r="AD833" s="1917"/>
      <c r="AE833" s="1917"/>
      <c r="AF833" s="1918"/>
      <c r="AG833" s="177"/>
      <c r="AH833" s="1916"/>
      <c r="AI833" s="1917"/>
      <c r="AJ833" s="1917"/>
      <c r="AK833" s="1918"/>
      <c r="AL833" s="177"/>
    </row>
    <row r="834" spans="2:38" s="176" customFormat="1" ht="15" customHeight="1" x14ac:dyDescent="0.45">
      <c r="B834" s="1942"/>
      <c r="C834" s="1945"/>
      <c r="D834" s="1919"/>
      <c r="E834" s="1920"/>
      <c r="F834" s="1920"/>
      <c r="G834" s="1921"/>
      <c r="H834" s="177"/>
      <c r="I834" s="1919"/>
      <c r="J834" s="1920"/>
      <c r="K834" s="1920"/>
      <c r="L834" s="1921"/>
      <c r="M834" s="177"/>
      <c r="N834" s="1919"/>
      <c r="O834" s="1920"/>
      <c r="P834" s="1920"/>
      <c r="Q834" s="1921"/>
      <c r="R834" s="177"/>
      <c r="S834" s="1919"/>
      <c r="T834" s="1920"/>
      <c r="U834" s="1920"/>
      <c r="V834" s="1921"/>
      <c r="W834" s="177"/>
      <c r="X834" s="1919"/>
      <c r="Y834" s="1920"/>
      <c r="Z834" s="1920"/>
      <c r="AA834" s="1921"/>
      <c r="AB834" s="177"/>
      <c r="AC834" s="1919"/>
      <c r="AD834" s="1920"/>
      <c r="AE834" s="1920"/>
      <c r="AF834" s="1921"/>
      <c r="AG834" s="177"/>
      <c r="AH834" s="1919"/>
      <c r="AI834" s="1920"/>
      <c r="AJ834" s="1920"/>
      <c r="AK834" s="1921"/>
      <c r="AL834" s="177"/>
    </row>
    <row r="835" spans="2:38" s="176" customFormat="1" ht="15" customHeight="1" x14ac:dyDescent="0.45">
      <c r="B835" s="1942"/>
      <c r="C835" s="1945"/>
      <c r="D835" s="1913" t="str">
        <f ca="1">IF(G815&gt;0,CONCATENATE("Session Aim: 
", CONCATENATE(IF(INDEX(final_duration_secondary,((WEEKDAY(E$3,2)*2-1)+IF(E815="Morning",0,1)),D815)=0, "", "1. "),
INDEX(sessions_aim_primary,, INDEX(plan_session_allocation,((WEEKDAY(E$3,2)*2-1)+IF(E815="Morning",0,1)),D815)), IF(INDEX(final_duration_secondary,((WEEKDAY(E$3,2)*2-1)+IF(E815="Morning",0,1)),D815)=0, "", "
2. "),
IF(INDEX(final_duration_secondary,((WEEKDAY(E$3,2)*2-1)+IF(E815="Morning",0,1)),D815)=0, "", INDEX(sessions_aim_secondary,, INDEX(plan_session_allocation,((WEEKDAY(E$3,2)*2-1)+IF(E815="Morning",0,1)),D815))), IF(INDEX(final_duration_tertiary,((WEEKDAY(E$3,2)*2-1)+IF(E815="Morning",0,1)),D815)=0, "", "
3. "),
IF(INDEX(final_duration_tertiary,((WEEKDAY(E$3,2)*2-1)+IF(E815="Morning",0,1)),D815)=0, "", INDEX(sessions_aim_tertiary,, INDEX(plan_session_allocation,((WEEKDAY(E$3,2)*2-1)+IF(E815="Morning",0,1)),D815))),
IF(INDEX(display_nutrition_description,((WEEKDAY(E$3,2)*2-1)+IF(E815="Morning",0,1)),D815)="","",
CONCATENATE("
Nutrition Aim:
", INDEX(sessions_aim_nutrition,,INDEX(plan_session_allocation,((WEEKDAY(E$3,2)*2-1)+IF(E815="Morning",0,1)),D815))
))
)),"")</f>
        <v xml:space="preserve">Session Aim: 
1. Increase strength of specific muscle groups, running economy and injury resistance. 
2. Release tension that develops in soft tissue from training and non-training stresses. </v>
      </c>
      <c r="E835" s="1914"/>
      <c r="F835" s="1914"/>
      <c r="G835" s="1915"/>
      <c r="H835" s="177"/>
      <c r="I835" s="1913" t="str">
        <f ca="1">IF(L815&gt;0,CONCATENATE("Session Aim: 
", CONCATENATE(IF(INDEX(final_duration_secondary,((WEEKDAY(J$3,2)*2-1)+IF(J815="Morning",0,1)),I815)=0, "", "1. "),
INDEX(sessions_aim_primary,, INDEX(plan_session_allocation,((WEEKDAY(J$3,2)*2-1)+IF(J815="Morning",0,1)),I815)), IF(INDEX(final_duration_secondary,((WEEKDAY(J$3,2)*2-1)+IF(J815="Morning",0,1)),I815)=0, "", "
2. "),
IF(INDEX(final_duration_secondary,((WEEKDAY(J$3,2)*2-1)+IF(J815="Morning",0,1)),I815)=0, "", INDEX(sessions_aim_secondary,, INDEX(plan_session_allocation,((WEEKDAY(J$3,2)*2-1)+IF(J815="Morning",0,1)),I815))), IF(INDEX(final_duration_tertiary,((WEEKDAY(J$3,2)*2-1)+IF(J815="Morning",0,1)),I815)=0, "", "
3. "),
IF(INDEX(final_duration_tertiary,((WEEKDAY(J$3,2)*2-1)+IF(J815="Morning",0,1)),I815)=0, "", INDEX(sessions_aim_tertiary,, INDEX(plan_session_allocation,((WEEKDAY(J$3,2)*2-1)+IF(J815="Morning",0,1)),I815))),
IF(INDEX(display_nutrition_description,((WEEKDAY(J$3,2)*2-1)+IF(J815="Morning",0,1)),I815)="","",
CONCATENATE("
Nutrition Aim:
", INDEX(sessions_aim_nutrition,,INDEX(plan_session_allocation,((WEEKDAY(J$3,2)*2-1)+IF(J815="Morning",0,1)),I815))
))
)),"")</f>
        <v xml:space="preserve">Session Aim: 
Improve endurance by increasing lactate threshold and developing mental toughness. </v>
      </c>
      <c r="J835" s="1914"/>
      <c r="K835" s="1914"/>
      <c r="L835" s="1915"/>
      <c r="M835" s="177"/>
      <c r="N835" s="1913" t="str">
        <f ca="1">IF(Q815&gt;0,CONCATENATE("Session Aim: 
", CONCATENATE(IF(INDEX(final_duration_secondary,((WEEKDAY(O$3,2)*2-1)+IF(O815="Morning",0,1)),N815)=0, "", "1. "),
INDEX(sessions_aim_primary,, INDEX(plan_session_allocation,((WEEKDAY(O$3,2)*2-1)+IF(O815="Morning",0,1)),N815)), IF(INDEX(final_duration_secondary,((WEEKDAY(O$3,2)*2-1)+IF(O815="Morning",0,1)),N815)=0, "", "
2. "),
IF(INDEX(final_duration_secondary,((WEEKDAY(O$3,2)*2-1)+IF(O815="Morning",0,1)),N815)=0, "", INDEX(sessions_aim_secondary,, INDEX(plan_session_allocation,((WEEKDAY(O$3,2)*2-1)+IF(O815="Morning",0,1)),N815))), IF(INDEX(final_duration_tertiary,((WEEKDAY(O$3,2)*2-1)+IF(O815="Morning",0,1)),N815)=0, "", "
3. "),
IF(INDEX(final_duration_tertiary,((WEEKDAY(O$3,2)*2-1)+IF(O815="Morning",0,1)),N815)=0, "", INDEX(sessions_aim_tertiary,, INDEX(plan_session_allocation,((WEEKDAY(O$3,2)*2-1)+IF(O815="Morning",0,1)),N815))),
IF(INDEX(display_nutrition_description,((WEEKDAY(O$3,2)*2-1)+IF(O815="Morning",0,1)),N815)="","",
CONCATENATE("
Nutrition Aim:
", INDEX(sessions_aim_nutrition,,INDEX(plan_session_allocation,((WEEKDAY(O$3,2)*2-1)+IF(O815="Morning",0,1)),N815))
))
)),"")</f>
        <v xml:space="preserve">Session Aim: 
Improve aerobic fitness while minimising the chance of injury. </v>
      </c>
      <c r="O835" s="1914"/>
      <c r="P835" s="1914"/>
      <c r="Q835" s="1915"/>
      <c r="R835" s="177"/>
      <c r="S835" s="1913" t="str">
        <f ca="1">IF(V815&gt;0,CONCATENATE("Session Aim: 
", CONCATENATE(IF(INDEX(final_duration_secondary,((WEEKDAY(T$3,2)*2-1)+IF(T815="Morning",0,1)),S815)=0, "", "1. "),
INDEX(sessions_aim_primary,, INDEX(plan_session_allocation,((WEEKDAY(T$3,2)*2-1)+IF(T815="Morning",0,1)),S815)), IF(INDEX(final_duration_secondary,((WEEKDAY(T$3,2)*2-1)+IF(T815="Morning",0,1)),S815)=0, "", "
2. "),
IF(INDEX(final_duration_secondary,((WEEKDAY(T$3,2)*2-1)+IF(T815="Morning",0,1)),S815)=0, "", INDEX(sessions_aim_secondary,, INDEX(plan_session_allocation,((WEEKDAY(T$3,2)*2-1)+IF(T815="Morning",0,1)),S815))), IF(INDEX(final_duration_tertiary,((WEEKDAY(T$3,2)*2-1)+IF(T815="Morning",0,1)),S815)=0, "", "
3. "),
IF(INDEX(final_duration_tertiary,((WEEKDAY(T$3,2)*2-1)+IF(T815="Morning",0,1)),S815)=0, "", INDEX(sessions_aim_tertiary,, INDEX(plan_session_allocation,((WEEKDAY(T$3,2)*2-1)+IF(T815="Morning",0,1)),S815))),
IF(INDEX(display_nutrition_description,((WEEKDAY(T$3,2)*2-1)+IF(T815="Morning",0,1)),S815)="","",
CONCATENATE("
Nutrition Aim:
", INDEX(sessions_aim_nutrition,,INDEX(plan_session_allocation,((WEEKDAY(T$3,2)*2-1)+IF(T815="Morning",0,1)),S815))
))
)),"")</f>
        <v xml:space="preserve">Session Aim: 
Improve VO2 max and develop metal toughness. </v>
      </c>
      <c r="T835" s="1914"/>
      <c r="U835" s="1914"/>
      <c r="V835" s="1915"/>
      <c r="W835" s="177"/>
      <c r="X835" s="1913" t="str">
        <f ca="1">IF(AA815&gt;0,CONCATENATE("Session Aim: 
", CONCATENATE(IF(INDEX(final_duration_secondary,((WEEKDAY(Y$3,2)*2-1)+IF(Y815="Morning",0,1)),X815)=0, "", "1. "),
INDEX(sessions_aim_primary,, INDEX(plan_session_allocation,((WEEKDAY(Y$3,2)*2-1)+IF(Y815="Morning",0,1)),X815)), IF(INDEX(final_duration_secondary,((WEEKDAY(Y$3,2)*2-1)+IF(Y815="Morning",0,1)),X815)=0, "", "
2. "),
IF(INDEX(final_duration_secondary,((WEEKDAY(Y$3,2)*2-1)+IF(Y815="Morning",0,1)),X815)=0, "", INDEX(sessions_aim_secondary,, INDEX(plan_session_allocation,((WEEKDAY(Y$3,2)*2-1)+IF(Y815="Morning",0,1)),X815))), IF(INDEX(final_duration_tertiary,((WEEKDAY(Y$3,2)*2-1)+IF(Y815="Morning",0,1)),X815)=0, "", "
3. "),
IF(INDEX(final_duration_tertiary,((WEEKDAY(Y$3,2)*2-1)+IF(Y815="Morning",0,1)),X815)=0, "", INDEX(sessions_aim_tertiary,, INDEX(plan_session_allocation,((WEEKDAY(Y$3,2)*2-1)+IF(Y815="Morning",0,1)),X815))),
IF(INDEX(display_nutrition_description,((WEEKDAY(Y$3,2)*2-1)+IF(Y815="Morning",0,1)),X815)="","",
CONCATENATE("
Nutrition Aim:
", INDEX(sessions_aim_nutrition,,INDEX(plan_session_allocation,((WEEKDAY(Y$3,2)*2-1)+IF(Y815="Morning",0,1)),X815))
))
)),"")</f>
        <v xml:space="preserve">Session Aim: 
1. Increase strength of specific muscle groups, running economy and injury resistance. 
2. Release tension that develops in soft tissue from training and non-training stresses. </v>
      </c>
      <c r="Y835" s="1914"/>
      <c r="Z835" s="1914"/>
      <c r="AA835" s="1915"/>
      <c r="AB835" s="177"/>
      <c r="AC835" s="1913" t="str">
        <f ca="1">IF(AF815&gt;0,CONCATENATE("Session Aim: 
", CONCATENATE(IF(INDEX(final_duration_secondary,((WEEKDAY(AD$3,2)*2-1)+IF(AD815="Morning",0,1)),AC815)=0, "", "1. "),
INDEX(sessions_aim_primary,, INDEX(plan_session_allocation,((WEEKDAY(AD$3,2)*2-1)+IF(AD815="Morning",0,1)),AC815)), IF(INDEX(final_duration_secondary,((WEEKDAY(AD$3,2)*2-1)+IF(AD815="Morning",0,1)),AC815)=0, "", "
2. "),
IF(INDEX(final_duration_secondary,((WEEKDAY(AD$3,2)*2-1)+IF(AD815="Morning",0,1)),AC815)=0, "", INDEX(sessions_aim_secondary,, INDEX(plan_session_allocation,((WEEKDAY(AD$3,2)*2-1)+IF(AD815="Morning",0,1)),AC815))), IF(INDEX(final_duration_tertiary,((WEEKDAY(AD$3,2)*2-1)+IF(AD815="Morning",0,1)),AC815)=0, "", "
3. "),
IF(INDEX(final_duration_tertiary,((WEEKDAY(AD$3,2)*2-1)+IF(AD815="Morning",0,1)),AC815)=0, "", INDEX(sessions_aim_tertiary,, INDEX(plan_session_allocation,((WEEKDAY(AD$3,2)*2-1)+IF(AD815="Morning",0,1)),AC815))),
IF(INDEX(display_nutrition_description,((WEEKDAY(AD$3,2)*2-1)+IF(AD815="Morning",0,1)),AC815)="","",
CONCATENATE("
Nutrition Aim:
", INDEX(sessions_aim_nutrition,,INDEX(plan_session_allocation,((WEEKDAY(AD$3,2)*2-1)+IF(AD815="Morning",0,1)),AC815))
))
)),"")</f>
        <v/>
      </c>
      <c r="AD835" s="1914"/>
      <c r="AE835" s="1914"/>
      <c r="AF835" s="1915"/>
      <c r="AG835" s="177"/>
      <c r="AH835" s="1913" t="str">
        <f ca="1">IF(AK815&gt;0,CONCATENATE("Session Aim: 
", CONCATENATE(IF(INDEX(final_duration_secondary,((WEEKDAY(AI$3,2)*2-1)+IF(AI815="Morning",0,1)),AH815)=0, "", "1. "),
INDEX(sessions_aim_primary,, INDEX(plan_session_allocation,((WEEKDAY(AI$3,2)*2-1)+IF(AI815="Morning",0,1)),AH815)), IF(INDEX(final_duration_secondary,((WEEKDAY(AI$3,2)*2-1)+IF(AI815="Morning",0,1)),AH815)=0, "", "
2. "),
IF(INDEX(final_duration_secondary,((WEEKDAY(AI$3,2)*2-1)+IF(AI815="Morning",0,1)),AH815)=0, "", INDEX(sessions_aim_secondary,, INDEX(plan_session_allocation,((WEEKDAY(AI$3,2)*2-1)+IF(AI815="Morning",0,1)),AH815))), IF(INDEX(final_duration_tertiary,((WEEKDAY(AI$3,2)*2-1)+IF(AI815="Morning",0,1)),AH815)=0, "", "
3. "),
IF(INDEX(final_duration_tertiary,((WEEKDAY(AI$3,2)*2-1)+IF(AI815="Morning",0,1)),AH815)=0, "", INDEX(sessions_aim_tertiary,, INDEX(plan_session_allocation,((WEEKDAY(AI$3,2)*2-1)+IF(AI815="Morning",0,1)),AH815))),
IF(INDEX(display_nutrition_description,((WEEKDAY(AI$3,2)*2-1)+IF(AI815="Morning",0,1)),AH815)="","",
CONCATENATE("
Nutrition Aim:
", INDEX(sessions_aim_nutrition,,INDEX(plan_session_allocation,((WEEKDAY(AI$3,2)*2-1)+IF(AI815="Morning",0,1)),AH815))
))
)),"")</f>
        <v/>
      </c>
      <c r="AI835" s="1914"/>
      <c r="AJ835" s="1914"/>
      <c r="AK835" s="1915"/>
      <c r="AL835" s="177"/>
    </row>
    <row r="836" spans="2:38" s="176" customFormat="1" x14ac:dyDescent="0.45">
      <c r="B836" s="1942"/>
      <c r="C836" s="1945"/>
      <c r="D836" s="1916"/>
      <c r="E836" s="1917"/>
      <c r="F836" s="1917"/>
      <c r="G836" s="1918"/>
      <c r="H836" s="177"/>
      <c r="I836" s="1916"/>
      <c r="J836" s="1917"/>
      <c r="K836" s="1917"/>
      <c r="L836" s="1918"/>
      <c r="M836" s="177"/>
      <c r="N836" s="1916"/>
      <c r="O836" s="1917"/>
      <c r="P836" s="1917"/>
      <c r="Q836" s="1918"/>
      <c r="R836" s="177"/>
      <c r="S836" s="1916"/>
      <c r="T836" s="1917"/>
      <c r="U836" s="1917"/>
      <c r="V836" s="1918"/>
      <c r="W836" s="177"/>
      <c r="X836" s="1916"/>
      <c r="Y836" s="1917"/>
      <c r="Z836" s="1917"/>
      <c r="AA836" s="1918"/>
      <c r="AB836" s="177"/>
      <c r="AC836" s="1916"/>
      <c r="AD836" s="1917"/>
      <c r="AE836" s="1917"/>
      <c r="AF836" s="1918"/>
      <c r="AG836" s="177"/>
      <c r="AH836" s="1916"/>
      <c r="AI836" s="1917"/>
      <c r="AJ836" s="1917"/>
      <c r="AK836" s="1918"/>
      <c r="AL836" s="177"/>
    </row>
    <row r="837" spans="2:38" s="176" customFormat="1" x14ac:dyDescent="0.45">
      <c r="B837" s="1942"/>
      <c r="C837" s="1945"/>
      <c r="D837" s="1916"/>
      <c r="E837" s="1917"/>
      <c r="F837" s="1917"/>
      <c r="G837" s="1918"/>
      <c r="H837" s="177"/>
      <c r="I837" s="1916"/>
      <c r="J837" s="1917"/>
      <c r="K837" s="1917"/>
      <c r="L837" s="1918"/>
      <c r="M837" s="177"/>
      <c r="N837" s="1916"/>
      <c r="O837" s="1917"/>
      <c r="P837" s="1917"/>
      <c r="Q837" s="1918"/>
      <c r="R837" s="177"/>
      <c r="S837" s="1916"/>
      <c r="T837" s="1917"/>
      <c r="U837" s="1917"/>
      <c r="V837" s="1918"/>
      <c r="W837" s="177"/>
      <c r="X837" s="1916"/>
      <c r="Y837" s="1917"/>
      <c r="Z837" s="1917"/>
      <c r="AA837" s="1918"/>
      <c r="AB837" s="177"/>
      <c r="AC837" s="1916"/>
      <c r="AD837" s="1917"/>
      <c r="AE837" s="1917"/>
      <c r="AF837" s="1918"/>
      <c r="AG837" s="177"/>
      <c r="AH837" s="1916"/>
      <c r="AI837" s="1917"/>
      <c r="AJ837" s="1917"/>
      <c r="AK837" s="1918"/>
      <c r="AL837" s="177"/>
    </row>
    <row r="838" spans="2:38" s="176" customFormat="1" x14ac:dyDescent="0.45">
      <c r="B838" s="1942"/>
      <c r="C838" s="1945"/>
      <c r="D838" s="1916"/>
      <c r="E838" s="1917"/>
      <c r="F838" s="1917"/>
      <c r="G838" s="1918"/>
      <c r="H838" s="177"/>
      <c r="I838" s="1916"/>
      <c r="J838" s="1917"/>
      <c r="K838" s="1917"/>
      <c r="L838" s="1918"/>
      <c r="M838" s="177"/>
      <c r="N838" s="1916"/>
      <c r="O838" s="1917"/>
      <c r="P838" s="1917"/>
      <c r="Q838" s="1918"/>
      <c r="R838" s="177"/>
      <c r="S838" s="1916"/>
      <c r="T838" s="1917"/>
      <c r="U838" s="1917"/>
      <c r="V838" s="1918"/>
      <c r="W838" s="177"/>
      <c r="X838" s="1916"/>
      <c r="Y838" s="1917"/>
      <c r="Z838" s="1917"/>
      <c r="AA838" s="1918"/>
      <c r="AB838" s="177"/>
      <c r="AC838" s="1916"/>
      <c r="AD838" s="1917"/>
      <c r="AE838" s="1917"/>
      <c r="AF838" s="1918"/>
      <c r="AG838" s="177"/>
      <c r="AH838" s="1916"/>
      <c r="AI838" s="1917"/>
      <c r="AJ838" s="1917"/>
      <c r="AK838" s="1918"/>
      <c r="AL838" s="177"/>
    </row>
    <row r="839" spans="2:38" s="176" customFormat="1" x14ac:dyDescent="0.45">
      <c r="B839" s="1942"/>
      <c r="C839" s="1945"/>
      <c r="D839" s="1916"/>
      <c r="E839" s="1917"/>
      <c r="F839" s="1917"/>
      <c r="G839" s="1918"/>
      <c r="H839" s="177"/>
      <c r="I839" s="1916"/>
      <c r="J839" s="1917"/>
      <c r="K839" s="1917"/>
      <c r="L839" s="1918"/>
      <c r="M839" s="177"/>
      <c r="N839" s="1916"/>
      <c r="O839" s="1917"/>
      <c r="P839" s="1917"/>
      <c r="Q839" s="1918"/>
      <c r="R839" s="177"/>
      <c r="S839" s="1916"/>
      <c r="T839" s="1917"/>
      <c r="U839" s="1917"/>
      <c r="V839" s="1918"/>
      <c r="W839" s="177"/>
      <c r="X839" s="1916"/>
      <c r="Y839" s="1917"/>
      <c r="Z839" s="1917"/>
      <c r="AA839" s="1918"/>
      <c r="AB839" s="177"/>
      <c r="AC839" s="1916"/>
      <c r="AD839" s="1917"/>
      <c r="AE839" s="1917"/>
      <c r="AF839" s="1918"/>
      <c r="AG839" s="177"/>
      <c r="AH839" s="1916"/>
      <c r="AI839" s="1917"/>
      <c r="AJ839" s="1917"/>
      <c r="AK839" s="1918"/>
      <c r="AL839" s="177"/>
    </row>
    <row r="840" spans="2:38" s="176" customFormat="1" x14ac:dyDescent="0.45">
      <c r="B840" s="1942"/>
      <c r="C840" s="1945"/>
      <c r="D840" s="1916"/>
      <c r="E840" s="1917"/>
      <c r="F840" s="1917"/>
      <c r="G840" s="1918"/>
      <c r="H840" s="177"/>
      <c r="I840" s="1916"/>
      <c r="J840" s="1917"/>
      <c r="K840" s="1917"/>
      <c r="L840" s="1918"/>
      <c r="N840" s="1916"/>
      <c r="O840" s="1917"/>
      <c r="P840" s="1917"/>
      <c r="Q840" s="1918"/>
      <c r="S840" s="1916"/>
      <c r="T840" s="1917"/>
      <c r="U840" s="1917"/>
      <c r="V840" s="1918"/>
      <c r="X840" s="1916"/>
      <c r="Y840" s="1917"/>
      <c r="Z840" s="1917"/>
      <c r="AA840" s="1918"/>
      <c r="AC840" s="1916"/>
      <c r="AD840" s="1917"/>
      <c r="AE840" s="1917"/>
      <c r="AF840" s="1918"/>
      <c r="AH840" s="1916"/>
      <c r="AI840" s="1917"/>
      <c r="AJ840" s="1917"/>
      <c r="AK840" s="1918"/>
    </row>
    <row r="841" spans="2:38" s="176" customFormat="1" ht="14.65" thickBot="1" x14ac:dyDescent="0.5">
      <c r="B841" s="1943"/>
      <c r="C841" s="1946"/>
      <c r="D841" s="1938"/>
      <c r="E841" s="1939"/>
      <c r="F841" s="1939"/>
      <c r="G841" s="1940"/>
      <c r="H841" s="177"/>
      <c r="I841" s="1938"/>
      <c r="J841" s="1939"/>
      <c r="K841" s="1939"/>
      <c r="L841" s="1940"/>
      <c r="N841" s="1938"/>
      <c r="O841" s="1939"/>
      <c r="P841" s="1939"/>
      <c r="Q841" s="1940"/>
      <c r="S841" s="1938"/>
      <c r="T841" s="1939"/>
      <c r="U841" s="1939"/>
      <c r="V841" s="1940"/>
      <c r="X841" s="1938"/>
      <c r="Y841" s="1939"/>
      <c r="Z841" s="1939"/>
      <c r="AA841" s="1940"/>
      <c r="AC841" s="1938"/>
      <c r="AD841" s="1939"/>
      <c r="AE841" s="1939"/>
      <c r="AF841" s="1940"/>
      <c r="AH841" s="1938"/>
      <c r="AI841" s="1939"/>
      <c r="AJ841" s="1939"/>
      <c r="AK841" s="1940"/>
    </row>
    <row r="842" spans="2:38" s="176" customFormat="1" ht="14.65" thickBot="1" x14ac:dyDescent="0.5">
      <c r="H842" s="177"/>
    </row>
    <row r="843" spans="2:38" s="176" customFormat="1" ht="15" customHeight="1" thickBot="1" x14ac:dyDescent="0.5">
      <c r="B843" s="1941">
        <v>16</v>
      </c>
      <c r="C843" s="1944" t="str">
        <f ca="1">IF(INDEX(display_strategy,1,B843)="","", CONCATENATE(INDEX(display_strategy,1,B843),": ",HLOOKUP(INDEX(display_strategy,1,B843),strategies,4,TRUE)))</f>
        <v>Recover: A maximal week, should be fascilitated by maximal recovery and nutrition.</v>
      </c>
      <c r="D843" s="1418" t="str">
        <f ca="1">CONCATENATE("Strategy: ",INDEX(display_strategy,$B843))</f>
        <v>Strategy: Recover</v>
      </c>
      <c r="E843" s="1947">
        <f>plan_start_date + ($B843-1)*7 + (COLUMN(D$2)-2)/5</f>
        <v>43479.4</v>
      </c>
      <c r="F843" s="1947"/>
      <c r="G843" s="1417" t="str">
        <f>CONCATENATE("Slot: ", ((WEEKDAY(E$3,2)*2-1)+IF(E844="Morning",0,1)))</f>
        <v>Slot: 1</v>
      </c>
      <c r="H843" s="177"/>
      <c r="I843" s="1418" t="str">
        <f ca="1">CONCATENATE("Strategy: ",INDEX(display_strategy,$B843))</f>
        <v>Strategy: Recover</v>
      </c>
      <c r="J843" s="1947">
        <f>plan_start_date + ($B843-1)*7 + (COLUMN(I$2)-2)/5</f>
        <v>43480.4</v>
      </c>
      <c r="K843" s="1947"/>
      <c r="L843" s="1417" t="str">
        <f>CONCATENATE("Slot: ", ((WEEKDAY(J$3,2)*2-1)+IF(J844="Morning",0,1)))</f>
        <v>Slot: 3</v>
      </c>
      <c r="N843" s="1418" t="str">
        <f ca="1">CONCATENATE("Strategy: ",INDEX(display_strategy,$B843))</f>
        <v>Strategy: Recover</v>
      </c>
      <c r="O843" s="1947">
        <f>plan_start_date + ($B843-1)*7 + (COLUMN(N$2)-2)/5</f>
        <v>43481.4</v>
      </c>
      <c r="P843" s="1947"/>
      <c r="Q843" s="1417" t="str">
        <f>CONCATENATE("Slot: ", ((WEEKDAY(O$3,2)*2-1)+IF(O844="Morning",0,1)))</f>
        <v>Slot: 5</v>
      </c>
      <c r="S843" s="1418" t="str">
        <f ca="1">CONCATENATE("Strategy: ",INDEX(display_strategy,$B843))</f>
        <v>Strategy: Recover</v>
      </c>
      <c r="T843" s="1947">
        <f>plan_start_date + ($B843-1)*7 + (COLUMN(S$2)-2)/5</f>
        <v>43482.400000000001</v>
      </c>
      <c r="U843" s="1947"/>
      <c r="V843" s="1417" t="str">
        <f>CONCATENATE("Slot: ", ((WEEKDAY(T$3,2)*2-1)+IF(T844="Morning",0,1)))</f>
        <v>Slot: 7</v>
      </c>
      <c r="X843" s="1418" t="str">
        <f ca="1">CONCATENATE("Strategy: ",INDEX(display_strategy,$B843))</f>
        <v>Strategy: Recover</v>
      </c>
      <c r="Y843" s="1947">
        <f>plan_start_date + ($B843-1)*7 + (COLUMN(X$2)-2)/5</f>
        <v>43483.4</v>
      </c>
      <c r="Z843" s="1947"/>
      <c r="AA843" s="1417" t="str">
        <f>CONCATENATE("Slot: ", ((WEEKDAY(Y$3,2)*2-1)+IF(Y844="Morning",0,1)))</f>
        <v>Slot: 9</v>
      </c>
      <c r="AC843" s="1418" t="str">
        <f ca="1">CONCATENATE("Strategy: ",INDEX(display_strategy,$B843))</f>
        <v>Strategy: Recover</v>
      </c>
      <c r="AD843" s="1947">
        <f>plan_start_date + ($B843-1)*7 + (COLUMN(AC$2)-2)/5</f>
        <v>43484.4</v>
      </c>
      <c r="AE843" s="1947"/>
      <c r="AF843" s="1417" t="str">
        <f>CONCATENATE("Slot: ", ((WEEKDAY(AD$3,2)*2-1)+IF(AD844="Morning",0,1)))</f>
        <v>Slot: 11</v>
      </c>
      <c r="AH843" s="1418" t="str">
        <f ca="1">CONCATENATE("Strategy: ",INDEX(display_strategy,$B843))</f>
        <v>Strategy: Recover</v>
      </c>
      <c r="AI843" s="1947">
        <f>plan_start_date + ($B843-1)*7 + (COLUMN(AH$2)-2)/5</f>
        <v>43485.4</v>
      </c>
      <c r="AJ843" s="1947"/>
      <c r="AK843" s="1417" t="str">
        <f>CONCATENATE("Slot: ", ((WEEKDAY(AI$3,2)*2-1)+IF(AI844="Morning",0,1)))</f>
        <v>Slot: 13</v>
      </c>
    </row>
    <row r="844" spans="2:38" s="176" customFormat="1" x14ac:dyDescent="0.45">
      <c r="B844" s="1942"/>
      <c r="C844" s="1945"/>
      <c r="D844" s="1413">
        <f>$B843</f>
        <v>16</v>
      </c>
      <c r="E844" s="1930" t="s">
        <v>351</v>
      </c>
      <c r="F844" s="1930"/>
      <c r="G844" s="1412">
        <f ca="1">INDEX(final_duration_session, ((WEEKDAY(E$3,2)*2-1)+IF(E844="Morning",0,1)), $D844)</f>
        <v>30</v>
      </c>
      <c r="H844" s="177"/>
      <c r="I844" s="1413">
        <f>$B843</f>
        <v>16</v>
      </c>
      <c r="J844" s="1930" t="s">
        <v>351</v>
      </c>
      <c r="K844" s="1930"/>
      <c r="L844" s="1412">
        <f ca="1">INDEX(final_duration_session, ((WEEKDAY(J$3,2)*2-1)+IF(J844="Morning",0,1)), $D844)</f>
        <v>0</v>
      </c>
      <c r="M844" s="177"/>
      <c r="N844" s="1413">
        <f>$B843</f>
        <v>16</v>
      </c>
      <c r="O844" s="1930" t="s">
        <v>351</v>
      </c>
      <c r="P844" s="1930"/>
      <c r="Q844" s="1412">
        <f ca="1">INDEX(final_duration_session, ((WEEKDAY(O$3,2)*2-1)+IF(O844="Morning",0,1)), $D844)</f>
        <v>0</v>
      </c>
      <c r="R844" s="177"/>
      <c r="S844" s="1413">
        <f>$B843</f>
        <v>16</v>
      </c>
      <c r="T844" s="1930" t="s">
        <v>351</v>
      </c>
      <c r="U844" s="1930"/>
      <c r="V844" s="1412">
        <f ca="1">INDEX(final_duration_session, ((WEEKDAY(T$3,2)*2-1)+IF(T844="Morning",0,1)), $D844)</f>
        <v>0</v>
      </c>
      <c r="W844" s="177"/>
      <c r="X844" s="1413">
        <f>$B843</f>
        <v>16</v>
      </c>
      <c r="Y844" s="1930" t="s">
        <v>351</v>
      </c>
      <c r="Z844" s="1930"/>
      <c r="AA844" s="1412">
        <f ca="1">INDEX(final_duration_session, ((WEEKDAY(Y$3,2)*2-1)+IF(Y844="Morning",0,1)), $D844)</f>
        <v>30</v>
      </c>
      <c r="AB844" s="177"/>
      <c r="AC844" s="1413">
        <f>$B843</f>
        <v>16</v>
      </c>
      <c r="AD844" s="1930" t="s">
        <v>351</v>
      </c>
      <c r="AE844" s="1930"/>
      <c r="AF844" s="1412">
        <f ca="1">INDEX(final_duration_session, ((WEEKDAY(AD$3,2)*2-1)+IF(AD844="Morning",0,1)), $D844)</f>
        <v>50</v>
      </c>
      <c r="AG844" s="177"/>
      <c r="AH844" s="1413">
        <f>$B843</f>
        <v>16</v>
      </c>
      <c r="AI844" s="1930" t="s">
        <v>351</v>
      </c>
      <c r="AJ844" s="1930"/>
      <c r="AK844" s="1412">
        <f ca="1">INDEX(final_duration_session, ((WEEKDAY(AI$3,2)*2-1)+IF(AI844="Morning",0,1)), $D844)</f>
        <v>80</v>
      </c>
      <c r="AL844" s="177"/>
    </row>
    <row r="845" spans="2:38" s="176" customFormat="1" ht="15" customHeight="1" x14ac:dyDescent="0.45">
      <c r="B845" s="1942"/>
      <c r="C845" s="1945"/>
      <c r="D845" s="1931" t="str">
        <f ca="1">IF(G844&gt;0,INDEX(sessions_name,INDEX(plan_session_allocation,((WEEKDAY(E$3,2)*2-1)+IF(E844="Morning",0,1)),D844)),"")</f>
        <v>Easy</v>
      </c>
      <c r="E845" s="1932"/>
      <c r="F845" s="1932"/>
      <c r="G845" s="1933"/>
      <c r="H845" s="177"/>
      <c r="I845" s="1931" t="str">
        <f ca="1">IF(L844&gt;0,INDEX(sessions_name,INDEX(plan_session_allocation,((WEEKDAY(J$3,2)*2-1)+IF(J844="Morning",0,1)),I844)),"")</f>
        <v/>
      </c>
      <c r="J845" s="1932"/>
      <c r="K845" s="1932"/>
      <c r="L845" s="1933"/>
      <c r="M845" s="177"/>
      <c r="N845" s="1931" t="str">
        <f ca="1">IF(Q844&gt;0,INDEX(sessions_name,INDEX(plan_session_allocation,((WEEKDAY(O$3,2)*2-1)+IF(O844="Morning",0,1)),N844)),"")</f>
        <v/>
      </c>
      <c r="O845" s="1932"/>
      <c r="P845" s="1932"/>
      <c r="Q845" s="1933"/>
      <c r="R845" s="177"/>
      <c r="S845" s="1931" t="str">
        <f ca="1">IF(V844&gt;0,INDEX(sessions_name,INDEX(plan_session_allocation,((WEEKDAY(T$3,2)*2-1)+IF(T844="Morning",0,1)),S844)),"")</f>
        <v/>
      </c>
      <c r="T845" s="1932"/>
      <c r="U845" s="1932"/>
      <c r="V845" s="1933"/>
      <c r="W845" s="177"/>
      <c r="X845" s="1931" t="str">
        <f ca="1">IF(AA844&gt;0,INDEX(sessions_name,INDEX(plan_session_allocation,((WEEKDAY(Y$3,2)*2-1)+IF(Y844="Morning",0,1)),X844)),"")</f>
        <v>Easy</v>
      </c>
      <c r="Y845" s="1932"/>
      <c r="Z845" s="1932"/>
      <c r="AA845" s="1933"/>
      <c r="AB845" s="177"/>
      <c r="AC845" s="1931" t="str">
        <f ca="1">IF(AF844&gt;0,INDEX(sessions_name,INDEX(plan_session_allocation,((WEEKDAY(AD$3,2)*2-1)+IF(AD844="Morning",0,1)),AC844)),"")</f>
        <v>Steady</v>
      </c>
      <c r="AD845" s="1932"/>
      <c r="AE845" s="1932"/>
      <c r="AF845" s="1933"/>
      <c r="AG845" s="177"/>
      <c r="AH845" s="1931" t="str">
        <f ca="1">IF(AK844&gt;0,INDEX(sessions_name,INDEX(plan_session_allocation,((WEEKDAY(AI$3,2)*2-1)+IF(AI844="Morning",0,1)),AH844)),"")</f>
        <v>Long</v>
      </c>
      <c r="AI845" s="1932"/>
      <c r="AJ845" s="1932"/>
      <c r="AK845" s="1933"/>
      <c r="AL845" s="177"/>
    </row>
    <row r="846" spans="2:38" s="176" customFormat="1" ht="15" customHeight="1" x14ac:dyDescent="0.45">
      <c r="B846" s="1942"/>
      <c r="C846" s="1945"/>
      <c r="D846" s="1934" t="str">
        <f ca="1">IF(G844&gt;0,CONCATENATE("Sport: ",INDEX(sessions_sport_primary,INDEX(plan_session_allocation,(WEEKDAY(E$3,2)*2-1)+IF(E844="Morning",0,1),D844))),"")</f>
        <v>Sport: Ride</v>
      </c>
      <c r="E846" s="1935"/>
      <c r="F846" s="1936">
        <f ca="1">IF(G844&gt;0,IFERROR(F847+F848+F849,""),"")</f>
        <v>30</v>
      </c>
      <c r="G846" s="1937"/>
      <c r="H846" s="177"/>
      <c r="I846" s="1934" t="str">
        <f ca="1">IF(L844&gt;0,CONCATENATE("Sport: ",INDEX(sessions_sport_primary,INDEX(plan_session_allocation,(WEEKDAY(J$3,2)*2-1)+IF(J844="Morning",0,1),I844))),"")</f>
        <v/>
      </c>
      <c r="J846" s="1935"/>
      <c r="K846" s="1936" t="str">
        <f ca="1">IF(L844&gt;0,IFERROR(K847+K848+K849,""),"")</f>
        <v/>
      </c>
      <c r="L846" s="1937"/>
      <c r="M846" s="177"/>
      <c r="N846" s="1934" t="str">
        <f ca="1">IF(Q844&gt;0,CONCATENATE("Sport: ",INDEX(sessions_sport_primary,INDEX(plan_session_allocation,(WEEKDAY(O$3,2)*2-1)+IF(O844="Morning",0,1),N844))),"")</f>
        <v/>
      </c>
      <c r="O846" s="1935"/>
      <c r="P846" s="1936" t="str">
        <f ca="1">IF(Q844&gt;0,IFERROR(P847+P848+P849,""),"")</f>
        <v/>
      </c>
      <c r="Q846" s="1937"/>
      <c r="R846" s="177"/>
      <c r="S846" s="1934" t="str">
        <f ca="1">IF(V844&gt;0,CONCATENATE("Sport: ",INDEX(sessions_sport_primary,INDEX(plan_session_allocation,(WEEKDAY(T$3,2)*2-1)+IF(T844="Morning",0,1),S844))),"")</f>
        <v/>
      </c>
      <c r="T846" s="1935"/>
      <c r="U846" s="1936" t="str">
        <f ca="1">IF(V844&gt;0,IFERROR(U847+U848+U849,""),"")</f>
        <v/>
      </c>
      <c r="V846" s="1937"/>
      <c r="W846" s="177"/>
      <c r="X846" s="1934" t="str">
        <f ca="1">IF(AA844&gt;0,CONCATENATE("Sport: ",INDEX(sessions_sport_primary,INDEX(plan_session_allocation,(WEEKDAY(Y$3,2)*2-1)+IF(Y844="Morning",0,1),X844))),"")</f>
        <v>Sport: Ride</v>
      </c>
      <c r="Y846" s="1935"/>
      <c r="Z846" s="1936">
        <f ca="1">IF(AA844&gt;0,IFERROR(Z847+Z848+Z849,""),"")</f>
        <v>30</v>
      </c>
      <c r="AA846" s="1937"/>
      <c r="AB846" s="177"/>
      <c r="AC846" s="1934" t="str">
        <f ca="1">IF(AF844&gt;0,CONCATENATE("Sport: ",INDEX(sessions_sport_primary,INDEX(plan_session_allocation,(WEEKDAY(AD$3,2)*2-1)+IF(AD844="Morning",0,1),AC844))),"")</f>
        <v>Sport: Hilly Trail Run</v>
      </c>
      <c r="AD846" s="1935"/>
      <c r="AE846" s="1936">
        <f ca="1">IF(AF844&gt;0,IFERROR(AE847+AE848+AE849,""),"")</f>
        <v>50</v>
      </c>
      <c r="AF846" s="1937"/>
      <c r="AG846" s="177"/>
      <c r="AH846" s="1934" t="str">
        <f ca="1">IF(AK844&gt;0,CONCATENATE("Sport: ",INDEX(sessions_sport_primary,INDEX(plan_session_allocation,(WEEKDAY(AI$3,2)*2-1)+IF(AI844="Morning",0,1),AH844))),"")</f>
        <v>Sport: Hilly Trail Run</v>
      </c>
      <c r="AI846" s="1935"/>
      <c r="AJ846" s="1936">
        <f ca="1">IF(AK844&gt;0,IFERROR(AJ847+AJ848+AJ849,""),"")</f>
        <v>80</v>
      </c>
      <c r="AK846" s="1937"/>
      <c r="AL846" s="177"/>
    </row>
    <row r="847" spans="2:38" s="176" customFormat="1" ht="15" customHeight="1" x14ac:dyDescent="0.45">
      <c r="B847" s="1942"/>
      <c r="C847" s="1945"/>
      <c r="D847" s="1922" t="str">
        <f ca="1">IF(G844&gt;0,CONCATENATE("HR Target: ",
INDEX(sessions_HR_primary,INDEX(plan_session_allocation,((WEEKDAY(E$3,2)*2-1)+IF(E844="Morning",0,1)),D844)),
IF(INDEX(sessions_HR_primary,INDEX(plan_session_allocation,((WEEKDAY(E$3,2)*2-1)+IF(E844="Morning",0,1)),D844))="N/A","",
" BPM")),"")</f>
        <v>HR Target: 138 BPM</v>
      </c>
      <c r="E847" s="1923"/>
      <c r="F847" s="1924">
        <f ca="1">IF(G844&gt;0,
INDEX(final_duration_effort,((WEEKDAY(E$3,2)*2-1)+IF(E844="Morning",0,1)),D844),"")</f>
        <v>30</v>
      </c>
      <c r="G847" s="1925"/>
      <c r="H847" s="177"/>
      <c r="I847" s="1922" t="str">
        <f ca="1">IF(L844&gt;0,CONCATENATE("HR Target: ",
INDEX(sessions_HR_primary,INDEX(plan_session_allocation,((WEEKDAY(J$3,2)*2-1)+IF(J844="Morning",0,1)),I844)),
IF(INDEX(sessions_HR_primary,INDEX(plan_session_allocation,((WEEKDAY(J$3,2)*2-1)+IF(J844="Morning",0,1)),I844))="N/A","",
" BPM")),"")</f>
        <v/>
      </c>
      <c r="J847" s="1923"/>
      <c r="K847" s="1924" t="str">
        <f ca="1">IF(L844&gt;0,
INDEX(final_duration_effort,((WEEKDAY(J$3,2)*2-1)+IF(J844="Morning",0,1)),I844),"")</f>
        <v/>
      </c>
      <c r="L847" s="1925"/>
      <c r="M847" s="177"/>
      <c r="N847" s="1922" t="str">
        <f ca="1">IF(Q844&gt;0,CONCATENATE("HR Target: ",
INDEX(sessions_HR_primary,INDEX(plan_session_allocation,((WEEKDAY(O$3,2)*2-1)+IF(O844="Morning",0,1)),N844)),
IF(INDEX(sessions_HR_primary,INDEX(plan_session_allocation,((WEEKDAY(O$3,2)*2-1)+IF(O844="Morning",0,1)),N844))="N/A","",
" BPM")),"")</f>
        <v/>
      </c>
      <c r="O847" s="1923"/>
      <c r="P847" s="1924" t="str">
        <f ca="1">IF(Q844&gt;0,
INDEX(final_duration_effort,((WEEKDAY(O$3,2)*2-1)+IF(O844="Morning",0,1)),N844),"")</f>
        <v/>
      </c>
      <c r="Q847" s="1925"/>
      <c r="R847" s="177"/>
      <c r="S847" s="1922" t="str">
        <f ca="1">IF(V844&gt;0,CONCATENATE("HR Target: ",
INDEX(sessions_HR_primary,INDEX(plan_session_allocation,((WEEKDAY(T$3,2)*2-1)+IF(T844="Morning",0,1)),S844)),
IF(INDEX(sessions_HR_primary,INDEX(plan_session_allocation,((WEEKDAY(T$3,2)*2-1)+IF(T844="Morning",0,1)),S844))="N/A","",
" BPM")),"")</f>
        <v/>
      </c>
      <c r="T847" s="1923"/>
      <c r="U847" s="1924" t="str">
        <f ca="1">IF(V844&gt;0,
INDEX(final_duration_effort,((WEEKDAY(T$3,2)*2-1)+IF(T844="Morning",0,1)),S844),"")</f>
        <v/>
      </c>
      <c r="V847" s="1925"/>
      <c r="W847" s="177"/>
      <c r="X847" s="1922" t="str">
        <f ca="1">IF(AA844&gt;0,CONCATENATE("HR Target: ",
INDEX(sessions_HR_primary,INDEX(plan_session_allocation,((WEEKDAY(Y$3,2)*2-1)+IF(Y844="Morning",0,1)),X844)),
IF(INDEX(sessions_HR_primary,INDEX(plan_session_allocation,((WEEKDAY(Y$3,2)*2-1)+IF(Y844="Morning",0,1)),X844))="N/A","",
" BPM")),"")</f>
        <v>HR Target: 138 BPM</v>
      </c>
      <c r="Y847" s="1923"/>
      <c r="Z847" s="1924">
        <f ca="1">IF(AA844&gt;0,
INDEX(final_duration_effort,((WEEKDAY(Y$3,2)*2-1)+IF(Y844="Morning",0,1)),X844),"")</f>
        <v>30</v>
      </c>
      <c r="AA847" s="1925"/>
      <c r="AB847" s="177"/>
      <c r="AC847" s="1922" t="str">
        <f ca="1">IF(AF844&gt;0,CONCATENATE("HR Target: ",
INDEX(sessions_HR_primary,INDEX(plan_session_allocation,((WEEKDAY(AD$3,2)*2-1)+IF(AD844="Morning",0,1)),AC844)),
IF(INDEX(sessions_HR_primary,INDEX(plan_session_allocation,((WEEKDAY(AD$3,2)*2-1)+IF(AD844="Morning",0,1)),AC844))="N/A","",
" BPM")),"")</f>
        <v>HR Target: 148 BPM</v>
      </c>
      <c r="AD847" s="1923"/>
      <c r="AE847" s="1924">
        <f ca="1">IF(AF844&gt;0,
INDEX(final_duration_effort,((WEEKDAY(AD$3,2)*2-1)+IF(AD844="Morning",0,1)),AC844),"")</f>
        <v>50</v>
      </c>
      <c r="AF847" s="1925"/>
      <c r="AG847" s="177"/>
      <c r="AH847" s="1922" t="str">
        <f ca="1">IF(AK844&gt;0,CONCATENATE("HR Target: ",
INDEX(sessions_HR_primary,INDEX(plan_session_allocation,((WEEKDAY(AI$3,2)*2-1)+IF(AI844="Morning",0,1)),AH844)),
IF(INDEX(sessions_HR_primary,INDEX(plan_session_allocation,((WEEKDAY(AI$3,2)*2-1)+IF(AI844="Morning",0,1)),AH844))="N/A","",
" BPM")),"")</f>
        <v>HR Target: 148 BPM</v>
      </c>
      <c r="AI847" s="1923"/>
      <c r="AJ847" s="1924">
        <f ca="1">IF(AK844&gt;0,
INDEX(final_duration_effort,((WEEKDAY(AI$3,2)*2-1)+IF(AI844="Morning",0,1)),AH844),"")</f>
        <v>80</v>
      </c>
      <c r="AK847" s="1925"/>
      <c r="AL847" s="177"/>
    </row>
    <row r="848" spans="2:38" s="179" customFormat="1" x14ac:dyDescent="0.45">
      <c r="B848" s="1942"/>
      <c r="C848" s="1945"/>
      <c r="D848" s="1926" t="str">
        <f ca="1">IF(G844&gt;0,CONCATENATE("HR Range: ",
INDEX(sessions_HR_range_primary,INDEX(plan_session_allocation,((WEEKDAY(E$3,2)*2-1)+IF(E844="Morning",0,1)),D844)),
IF(INDEX(sessions_HR_range_primary,INDEX(plan_session_allocation,((WEEKDAY(E$3,2)*2-1)+IF(E844="Morning",0,1)),D844))="N/A","",
" BPM")),"")</f>
        <v>HR Range: 129 - 148 BPM</v>
      </c>
      <c r="E848" s="1927"/>
      <c r="F848" s="1928">
        <f ca="1">IF(G844&gt;0,IF(
INDEX(sessions_recoveries,INDEX(plan_session_allocation,((WEEKDAY(E$3,2)*2-1)+IF(E844="Morning",0,1)),D844))="Yes",
VLOOKUP(INDEX(plan_duration_primary,((WEEKDAY(E$3,2)*2-1)+IF(E844="Morning",0,1)),D844),
INDIRECT(INDEX(sessions_intervals_code_primary,INDEX(plan_session_allocation,((WEEKDAY(E$3,2)*2-1)+IF(E844="Morning",0,1)),D844))),7,TRUE),0),"")</f>
        <v>0</v>
      </c>
      <c r="G848" s="1929"/>
      <c r="H848" s="178"/>
      <c r="I848" s="1926" t="str">
        <f ca="1">IF(L844&gt;0,CONCATENATE("HR Range: ",
INDEX(sessions_HR_range_primary,INDEX(plan_session_allocation,((WEEKDAY(J$3,2)*2-1)+IF(J844="Morning",0,1)),I844)),
IF(INDEX(sessions_HR_range_primary,INDEX(plan_session_allocation,((WEEKDAY(J$3,2)*2-1)+IF(J844="Morning",0,1)),I844))="N/A","",
" BPM")),"")</f>
        <v/>
      </c>
      <c r="J848" s="1927"/>
      <c r="K848" s="1928" t="str">
        <f ca="1">IF(L844&gt;0,IF(
INDEX(sessions_recoveries,INDEX(plan_session_allocation,((WEEKDAY(J$3,2)*2-1)+IF(J844="Morning",0,1)),I844))="Yes",
VLOOKUP(INDEX(plan_duration_primary,((WEEKDAY(J$3,2)*2-1)+IF(J844="Morning",0,1)),I844),
INDIRECT(INDEX(sessions_intervals_code_primary,INDEX(plan_session_allocation,((WEEKDAY(J$3,2)*2-1)+IF(J844="Morning",0,1)),I844))),7,TRUE),0),"")</f>
        <v/>
      </c>
      <c r="L848" s="1929"/>
      <c r="M848" s="178"/>
      <c r="N848" s="1926" t="str">
        <f ca="1">IF(Q844&gt;0,CONCATENATE("HR Range: ",
INDEX(sessions_HR_range_primary,INDEX(plan_session_allocation,((WEEKDAY(O$3,2)*2-1)+IF(O844="Morning",0,1)),N844)),
IF(INDEX(sessions_HR_range_primary,INDEX(plan_session_allocation,((WEEKDAY(O$3,2)*2-1)+IF(O844="Morning",0,1)),N844))="N/A","",
" BPM")),"")</f>
        <v/>
      </c>
      <c r="O848" s="1927"/>
      <c r="P848" s="1928" t="str">
        <f ca="1">IF(Q844&gt;0,IF(
INDEX(sessions_recoveries,INDEX(plan_session_allocation,((WEEKDAY(O$3,2)*2-1)+IF(O844="Morning",0,1)),N844))="Yes",
VLOOKUP(INDEX(plan_duration_primary,((WEEKDAY(O$3,2)*2-1)+IF(O844="Morning",0,1)),N844),
INDIRECT(INDEX(sessions_intervals_code_primary,INDEX(plan_session_allocation,((WEEKDAY(O$3,2)*2-1)+IF(O844="Morning",0,1)),N844))),7,TRUE),0),"")</f>
        <v/>
      </c>
      <c r="Q848" s="1929"/>
      <c r="R848" s="178"/>
      <c r="S848" s="1926" t="str">
        <f ca="1">IF(V844&gt;0,CONCATENATE("HR Range: ",
INDEX(sessions_HR_range_primary,INDEX(plan_session_allocation,((WEEKDAY(T$3,2)*2-1)+IF(T844="Morning",0,1)),S844)),
IF(INDEX(sessions_HR_range_primary,INDEX(plan_session_allocation,((WEEKDAY(T$3,2)*2-1)+IF(T844="Morning",0,1)),S844))="N/A","",
" BPM")),"")</f>
        <v/>
      </c>
      <c r="T848" s="1927"/>
      <c r="U848" s="1928" t="str">
        <f ca="1">IF(V844&gt;0,IF(
INDEX(sessions_recoveries,INDEX(plan_session_allocation,((WEEKDAY(T$3,2)*2-1)+IF(T844="Morning",0,1)),S844))="Yes",
VLOOKUP(INDEX(plan_duration_primary,((WEEKDAY(T$3,2)*2-1)+IF(T844="Morning",0,1)),S844),
INDIRECT(INDEX(sessions_intervals_code_primary,INDEX(plan_session_allocation,((WEEKDAY(T$3,2)*2-1)+IF(T844="Morning",0,1)),S844))),7,TRUE),0),"")</f>
        <v/>
      </c>
      <c r="V848" s="1929"/>
      <c r="W848" s="178"/>
      <c r="X848" s="1926" t="str">
        <f ca="1">IF(AA844&gt;0,CONCATENATE("HR Range: ",
INDEX(sessions_HR_range_primary,INDEX(plan_session_allocation,((WEEKDAY(Y$3,2)*2-1)+IF(Y844="Morning",0,1)),X844)),
IF(INDEX(sessions_HR_range_primary,INDEX(plan_session_allocation,((WEEKDAY(Y$3,2)*2-1)+IF(Y844="Morning",0,1)),X844))="N/A","",
" BPM")),"")</f>
        <v>HR Range: 129 - 148 BPM</v>
      </c>
      <c r="Y848" s="1927"/>
      <c r="Z848" s="1928">
        <f ca="1">IF(AA844&gt;0,IF(
INDEX(sessions_recoveries,INDEX(plan_session_allocation,((WEEKDAY(Y$3,2)*2-1)+IF(Y844="Morning",0,1)),X844))="Yes",
VLOOKUP(INDEX(plan_duration_primary,((WEEKDAY(Y$3,2)*2-1)+IF(Y844="Morning",0,1)),X844),
INDIRECT(INDEX(sessions_intervals_code_primary,INDEX(plan_session_allocation,((WEEKDAY(Y$3,2)*2-1)+IF(Y844="Morning",0,1)),X844))),7,TRUE),0),"")</f>
        <v>0</v>
      </c>
      <c r="AA848" s="1929"/>
      <c r="AB848" s="178"/>
      <c r="AC848" s="1926" t="str">
        <f ca="1">IF(AF844&gt;0,CONCATENATE("HR Range: ",
INDEX(sessions_HR_range_primary,INDEX(plan_session_allocation,((WEEKDAY(AD$3,2)*2-1)+IF(AD844="Morning",0,1)),AC844)),
IF(INDEX(sessions_HR_range_primary,INDEX(plan_session_allocation,((WEEKDAY(AD$3,2)*2-1)+IF(AD844="Morning",0,1)),AC844))="N/A","",
" BPM")),"")</f>
        <v>HR Range: 138 - 157 BPM</v>
      </c>
      <c r="AD848" s="1927"/>
      <c r="AE848" s="1928">
        <f ca="1">IF(AF844&gt;0,IF(
INDEX(sessions_recoveries,INDEX(plan_session_allocation,((WEEKDAY(AD$3,2)*2-1)+IF(AD844="Morning",0,1)),AC844))="Yes",
VLOOKUP(INDEX(plan_duration_primary,((WEEKDAY(AD$3,2)*2-1)+IF(AD844="Morning",0,1)),AC844),
INDIRECT(INDEX(sessions_intervals_code_primary,INDEX(plan_session_allocation,((WEEKDAY(AD$3,2)*2-1)+IF(AD844="Morning",0,1)),AC844))),7,TRUE),0),"")</f>
        <v>0</v>
      </c>
      <c r="AF848" s="1929"/>
      <c r="AG848" s="178"/>
      <c r="AH848" s="1926" t="str">
        <f ca="1">IF(AK844&gt;0,CONCATENATE("HR Range: ",
INDEX(sessions_HR_range_primary,INDEX(plan_session_allocation,((WEEKDAY(AI$3,2)*2-1)+IF(AI844="Morning",0,1)),AH844)),
IF(INDEX(sessions_HR_range_primary,INDEX(plan_session_allocation,((WEEKDAY(AI$3,2)*2-1)+IF(AI844="Morning",0,1)),AH844))="N/A","",
" BPM")),"")</f>
        <v>HR Range: 129 - 169 BPM</v>
      </c>
      <c r="AI848" s="1927"/>
      <c r="AJ848" s="1928">
        <f ca="1">IF(AK844&gt;0,IF(
INDEX(sessions_recoveries,INDEX(plan_session_allocation,((WEEKDAY(AI$3,2)*2-1)+IF(AI844="Morning",0,1)),AH844))="Yes",
VLOOKUP(INDEX(plan_duration_primary,((WEEKDAY(AI$3,2)*2-1)+IF(AI844="Morning",0,1)),AH844),
INDIRECT(INDEX(sessions_intervals_code_primary,INDEX(plan_session_allocation,((WEEKDAY(AI$3,2)*2-1)+IF(AI844="Morning",0,1)),AH844))),7,TRUE),0),"")</f>
        <v>0</v>
      </c>
      <c r="AK848" s="1929"/>
      <c r="AL848" s="178"/>
    </row>
    <row r="849" spans="2:38" s="179" customFormat="1" ht="15" customHeight="1" x14ac:dyDescent="0.45">
      <c r="B849" s="1942"/>
      <c r="C849" s="1945"/>
      <c r="D849" s="1909" t="str">
        <f ca="1">IF(G844&gt;0,CONCATENATE("Equivalent Pace: ",
TEXT(INDEX(sessions_pace_primary,INDEX(plan_session_allocation,(WEEKDAY(E$3,2)*2-1)+IF(E844="Morning",0,1),D844)),"m:ss"),
" min/km"
),"")</f>
        <v>Equivalent Pace: 4:39 min/km</v>
      </c>
      <c r="E849" s="1910"/>
      <c r="F849" s="1911">
        <f ca="1">IF(G844&gt;0, INDEX(final_duration_WU,((WEEKDAY(E$3,2)*2-1)+IF(E844="Morning",0,1)),D844)  + INDEX(final_duration_WD,((WEEKDAY(E$3,2)*2-1)+IF(E844="Morning",0,1)),D844), "")</f>
        <v>0</v>
      </c>
      <c r="G849" s="1912"/>
      <c r="H849" s="178"/>
      <c r="I849" s="1909" t="str">
        <f ca="1">IF(L844&gt;0,CONCATENATE("Equivalent Pace: ",
TEXT(INDEX(sessions_pace_primary,INDEX(plan_session_allocation,(WEEKDAY(J$3,2)*2-1)+IF(J844="Morning",0,1),I844)),"m:ss"),
" min/km"
),"")</f>
        <v/>
      </c>
      <c r="J849" s="1910"/>
      <c r="K849" s="1911" t="str">
        <f ca="1">IF(L844&gt;0, INDEX(final_duration_WU,((WEEKDAY(J$3,2)*2-1)+IF(J844="Morning",0,1)),I844)  + INDEX(final_duration_WD,((WEEKDAY(J$3,2)*2-1)+IF(J844="Morning",0,1)),I844), "")</f>
        <v/>
      </c>
      <c r="L849" s="1912"/>
      <c r="M849" s="178"/>
      <c r="N849" s="1909" t="str">
        <f ca="1">IF(Q844&gt;0,CONCATENATE("Equivalent Pace: ",
TEXT(INDEX(sessions_pace_primary,INDEX(plan_session_allocation,(WEEKDAY(O$3,2)*2-1)+IF(O844="Morning",0,1),N844)),"m:ss"),
" min/km"
),"")</f>
        <v/>
      </c>
      <c r="O849" s="1910"/>
      <c r="P849" s="1911" t="str">
        <f ca="1">IF(Q844&gt;0, INDEX(final_duration_WU,((WEEKDAY(O$3,2)*2-1)+IF(O844="Morning",0,1)),N844)  + INDEX(final_duration_WD,((WEEKDAY(O$3,2)*2-1)+IF(O844="Morning",0,1)),N844), "")</f>
        <v/>
      </c>
      <c r="Q849" s="1912"/>
      <c r="R849" s="178"/>
      <c r="S849" s="1909" t="str">
        <f ca="1">IF(V844&gt;0,CONCATENATE("Equivalent Pace: ",
TEXT(INDEX(sessions_pace_primary,INDEX(plan_session_allocation,(WEEKDAY(T$3,2)*2-1)+IF(T844="Morning",0,1),S844)),"m:ss"),
" min/km"
),"")</f>
        <v/>
      </c>
      <c r="T849" s="1910"/>
      <c r="U849" s="1911" t="str">
        <f ca="1">IF(V844&gt;0, INDEX(final_duration_WU,((WEEKDAY(T$3,2)*2-1)+IF(T844="Morning",0,1)),S844)  + INDEX(final_duration_WD,((WEEKDAY(T$3,2)*2-1)+IF(T844="Morning",0,1)),S844), "")</f>
        <v/>
      </c>
      <c r="V849" s="1912"/>
      <c r="W849" s="178"/>
      <c r="X849" s="1909" t="str">
        <f ca="1">IF(AA844&gt;0,CONCATENATE("Equivalent Pace: ",
TEXT(INDEX(sessions_pace_primary,INDEX(plan_session_allocation,(WEEKDAY(Y$3,2)*2-1)+IF(Y844="Morning",0,1),X844)),"m:ss"),
" min/km"
),"")</f>
        <v>Equivalent Pace: 4:39 min/km</v>
      </c>
      <c r="Y849" s="1910"/>
      <c r="Z849" s="1911">
        <f ca="1">IF(AA844&gt;0, INDEX(final_duration_WU,((WEEKDAY(Y$3,2)*2-1)+IF(Y844="Morning",0,1)),X844)  + INDEX(final_duration_WD,((WEEKDAY(Y$3,2)*2-1)+IF(Y844="Morning",0,1)),X844), "")</f>
        <v>0</v>
      </c>
      <c r="AA849" s="1912"/>
      <c r="AB849" s="178"/>
      <c r="AC849" s="1909" t="str">
        <f ca="1">IF(AF844&gt;0,CONCATENATE("Equivalent Pace: ",
TEXT(INDEX(sessions_pace_primary,INDEX(plan_session_allocation,(WEEKDAY(AD$3,2)*2-1)+IF(AD844="Morning",0,1),AC844)),"m:ss"),
" min/km"
),"")</f>
        <v>Equivalent Pace: 4:14 min/km</v>
      </c>
      <c r="AD849" s="1910"/>
      <c r="AE849" s="1911">
        <f ca="1">IF(AF844&gt;0, INDEX(final_duration_WU,((WEEKDAY(AD$3,2)*2-1)+IF(AD844="Morning",0,1)),AC844)  + INDEX(final_duration_WD,((WEEKDAY(AD$3,2)*2-1)+IF(AD844="Morning",0,1)),AC844), "")</f>
        <v>0</v>
      </c>
      <c r="AF849" s="1912"/>
      <c r="AG849" s="178"/>
      <c r="AH849" s="1909" t="str">
        <f ca="1">IF(AK844&gt;0,CONCATENATE("Equivalent Pace: ",
TEXT(INDEX(sessions_pace_primary,INDEX(plan_session_allocation,(WEEKDAY(AI$3,2)*2-1)+IF(AI844="Morning",0,1),AH844)),"m:ss"),
" min/km"
),"")</f>
        <v>Equivalent Pace: 4:14 min/km</v>
      </c>
      <c r="AI849" s="1910"/>
      <c r="AJ849" s="1911">
        <f ca="1">IF(AK844&gt;0, INDEX(final_duration_WU,((WEEKDAY(AI$3,2)*2-1)+IF(AI844="Morning",0,1)),AH844)  + INDEX(final_duration_WD,((WEEKDAY(AI$3,2)*2-1)+IF(AI844="Morning",0,1)),AH844), "")</f>
        <v>0</v>
      </c>
      <c r="AK849" s="1912"/>
      <c r="AL849" s="178"/>
    </row>
    <row r="850" spans="2:38" s="180" customFormat="1" ht="15" customHeight="1" x14ac:dyDescent="0.45">
      <c r="B850" s="1942"/>
      <c r="C850" s="1945"/>
      <c r="D850" s="1913" t="str">
        <f ca="1">IF(G844&gt;0,CONCATENATE(IFERROR(CONCATENATE(IF(INDEX(display_intervals_breakdown,((WEEKDAY(E$3,2)*2-1)+IF(E844="Morning",0,1)),D844)="","",CONCATENATE("Intervals/Reps Breakdown: 
",INDEX(display_intervals_breakdown,((WEEKDAY(E$3,2)*2-1)+IF(E844="Morning",0,1)),D844),"
")),"Session Description: 
",CONCATENATE(IF(INDEX(final_duration_secondary,((WEEKDAY(E$3,2)*2-1)+IF(E844="Morning",0,1)),D844)=0,"","1. "),
INDEX(sessions_description_primary,,INDEX(plan_session_allocation,((WEEKDAY(E$3,2)*2-1)+IF(E844="Morning",0,1)),D844)),IF(INDEX(final_duration_secondary,((WEEKDAY(E$3,2)*2-1)+IF(E844="Morning",0,1)),D844)=0,"","
2. "),
IF(INDEX(final_duration_secondary,((WEEKDAY(E$3,2)*2-1)+IF(E844="Morning",0,1)),D844)=0,"",INDEX(sessions_description_secondary,,INDEX(plan_session_allocation,((WEEKDAY(E$3,2)*2-1)+IF(E844="Morning",0,1)),D844))),IF(INDEX(final_duration_tertiary,((WEEKDAY(E$3,2)*2-1)+IF(E844="Morning",0,1)),D844)=0,"","
3. "),
IF(INDEX(final_duration_tertiary,((WEEKDAY(E$3,2)*2-1)+IF(E844="Morning",0,1)),D844)="","",INDEX(sessions_description_tertiary,,INDEX(plan_session_allocation,((WEEKDAY(E$3,2)*2-1)+IF(E844="Morning",0,1)),D844))),
IF(INDEX(display_nutrition_description,((WEEKDAY(E$3,2)*2-1)+IF(E844="Morning",0,1)),D844)="","",
CONCATENATE("
Meal Plan: ", INDEX(sessions_nutrition,,INDEX(plan_session_allocation,((WEEKDAY(E$3,2)*2-1)+IF(E844="Morning",0,1)),D844)), "
", INDEX(display_nutrition_description,((WEEKDAY(E$3,2)*2-1)+IF(E844="Morning",0,1)),D844)))
)),"")),"")</f>
        <v>Session Description: 
Stay at a comfortable and controlled intensity where you should be able to have a conversation without large pauses. Keep an even intensity and accept that your pace may change as the terrain changes.</v>
      </c>
      <c r="E850" s="1914"/>
      <c r="F850" s="1914"/>
      <c r="G850" s="1915"/>
      <c r="I850" s="1913" t="str">
        <f ca="1">IF(L844&gt;0,CONCATENATE(IFERROR(CONCATENATE(IF(INDEX(display_intervals_breakdown,((WEEKDAY(J$3,2)*2-1)+IF(J844="Morning",0,1)),I844)="","",CONCATENATE("Intervals/Reps Breakdown: 
",INDEX(display_intervals_breakdown,((WEEKDAY(J$3,2)*2-1)+IF(J844="Morning",0,1)),I844),"
")),"Session Description: 
",CONCATENATE(IF(INDEX(final_duration_secondary,((WEEKDAY(J$3,2)*2-1)+IF(J844="Morning",0,1)),I844)=0,"","1. "),
INDEX(sessions_description_primary,,INDEX(plan_session_allocation,((WEEKDAY(J$3,2)*2-1)+IF(J844="Morning",0,1)),I844)),IF(INDEX(final_duration_secondary,((WEEKDAY(J$3,2)*2-1)+IF(J844="Morning",0,1)),I844)=0,"","
2. "),
IF(INDEX(final_duration_secondary,((WEEKDAY(J$3,2)*2-1)+IF(J844="Morning",0,1)),I844)=0,"",INDEX(sessions_description_secondary,,INDEX(plan_session_allocation,((WEEKDAY(J$3,2)*2-1)+IF(J844="Morning",0,1)),I844))),IF(INDEX(final_duration_tertiary,((WEEKDAY(J$3,2)*2-1)+IF(J844="Morning",0,1)),I844)=0,"","
3. "),
IF(INDEX(final_duration_tertiary,((WEEKDAY(J$3,2)*2-1)+IF(J844="Morning",0,1)),I844)="","",INDEX(sessions_description_tertiary,,INDEX(plan_session_allocation,((WEEKDAY(J$3,2)*2-1)+IF(J844="Morning",0,1)),I844))),
IF(INDEX(display_nutrition_description,((WEEKDAY(J$3,2)*2-1)+IF(J844="Morning",0,1)),I844)="","",
CONCATENATE("
Meal Plan: ", INDEX(sessions_nutrition,,INDEX(plan_session_allocation,((WEEKDAY(J$3,2)*2-1)+IF(J844="Morning",0,1)),I844)), "
", INDEX(display_nutrition_description,((WEEKDAY(J$3,2)*2-1)+IF(J844="Morning",0,1)),I844)))
)),"")),"")</f>
        <v/>
      </c>
      <c r="J850" s="1914"/>
      <c r="K850" s="1914"/>
      <c r="L850" s="1915"/>
      <c r="N850" s="1913" t="str">
        <f ca="1">IF(Q844&gt;0,CONCATENATE(IFERROR(CONCATENATE(IF(INDEX(display_intervals_breakdown,((WEEKDAY(O$3,2)*2-1)+IF(O844="Morning",0,1)),N844)="","",CONCATENATE("Intervals/Reps Breakdown: 
",INDEX(display_intervals_breakdown,((WEEKDAY(O$3,2)*2-1)+IF(O844="Morning",0,1)),N844),"
")),"Session Description: 
",CONCATENATE(IF(INDEX(final_duration_secondary,((WEEKDAY(O$3,2)*2-1)+IF(O844="Morning",0,1)),N844)=0,"","1. "),
INDEX(sessions_description_primary,,INDEX(plan_session_allocation,((WEEKDAY(O$3,2)*2-1)+IF(O844="Morning",0,1)),N844)),IF(INDEX(final_duration_secondary,((WEEKDAY(O$3,2)*2-1)+IF(O844="Morning",0,1)),N844)=0,"","
2. "),
IF(INDEX(final_duration_secondary,((WEEKDAY(O$3,2)*2-1)+IF(O844="Morning",0,1)),N844)=0,"",INDEX(sessions_description_secondary,,INDEX(plan_session_allocation,((WEEKDAY(O$3,2)*2-1)+IF(O844="Morning",0,1)),N844))),IF(INDEX(final_duration_tertiary,((WEEKDAY(O$3,2)*2-1)+IF(O844="Morning",0,1)),N844)=0,"","
3. "),
IF(INDEX(final_duration_tertiary,((WEEKDAY(O$3,2)*2-1)+IF(O844="Morning",0,1)),N844)="","",INDEX(sessions_description_tertiary,,INDEX(plan_session_allocation,((WEEKDAY(O$3,2)*2-1)+IF(O844="Morning",0,1)),N844))),
IF(INDEX(display_nutrition_description,((WEEKDAY(O$3,2)*2-1)+IF(O844="Morning",0,1)),N844)="","",
CONCATENATE("
Meal Plan: ", INDEX(sessions_nutrition,,INDEX(plan_session_allocation,((WEEKDAY(O$3,2)*2-1)+IF(O844="Morning",0,1)),N844)), "
", INDEX(display_nutrition_description,((WEEKDAY(O$3,2)*2-1)+IF(O844="Morning",0,1)),N844)))
)),"")),"")</f>
        <v/>
      </c>
      <c r="O850" s="1914"/>
      <c r="P850" s="1914"/>
      <c r="Q850" s="1915"/>
      <c r="S850" s="1913" t="str">
        <f ca="1">IF(V844&gt;0,CONCATENATE(IFERROR(CONCATENATE(IF(INDEX(display_intervals_breakdown,((WEEKDAY(T$3,2)*2-1)+IF(T844="Morning",0,1)),S844)="","",CONCATENATE("Intervals/Reps Breakdown: 
",INDEX(display_intervals_breakdown,((WEEKDAY(T$3,2)*2-1)+IF(T844="Morning",0,1)),S844),"
")),"Session Description: 
",CONCATENATE(IF(INDEX(final_duration_secondary,((WEEKDAY(T$3,2)*2-1)+IF(T844="Morning",0,1)),S844)=0,"","1. "),
INDEX(sessions_description_primary,,INDEX(plan_session_allocation,((WEEKDAY(T$3,2)*2-1)+IF(T844="Morning",0,1)),S844)),IF(INDEX(final_duration_secondary,((WEEKDAY(T$3,2)*2-1)+IF(T844="Morning",0,1)),S844)=0,"","
2. "),
IF(INDEX(final_duration_secondary,((WEEKDAY(T$3,2)*2-1)+IF(T844="Morning",0,1)),S844)=0,"",INDEX(sessions_description_secondary,,INDEX(plan_session_allocation,((WEEKDAY(T$3,2)*2-1)+IF(T844="Morning",0,1)),S844))),IF(INDEX(final_duration_tertiary,((WEEKDAY(T$3,2)*2-1)+IF(T844="Morning",0,1)),S844)=0,"","
3. "),
IF(INDEX(final_duration_tertiary,((WEEKDAY(T$3,2)*2-1)+IF(T844="Morning",0,1)),S844)="","",INDEX(sessions_description_tertiary,,INDEX(plan_session_allocation,((WEEKDAY(T$3,2)*2-1)+IF(T844="Morning",0,1)),S844))),
IF(INDEX(display_nutrition_description,((WEEKDAY(T$3,2)*2-1)+IF(T844="Morning",0,1)),S844)="","",
CONCATENATE("
Meal Plan: ", INDEX(sessions_nutrition,,INDEX(plan_session_allocation,((WEEKDAY(T$3,2)*2-1)+IF(T844="Morning",0,1)),S844)), "
", INDEX(display_nutrition_description,((WEEKDAY(T$3,2)*2-1)+IF(T844="Morning",0,1)),S844)))
)),"")),"")</f>
        <v/>
      </c>
      <c r="T850" s="1914"/>
      <c r="U850" s="1914"/>
      <c r="V850" s="1915"/>
      <c r="X850" s="1913" t="str">
        <f ca="1">IF(AA844&gt;0,CONCATENATE(IFERROR(CONCATENATE(IF(INDEX(display_intervals_breakdown,((WEEKDAY(Y$3,2)*2-1)+IF(Y844="Morning",0,1)),X844)="","",CONCATENATE("Intervals/Reps Breakdown: 
",INDEX(display_intervals_breakdown,((WEEKDAY(Y$3,2)*2-1)+IF(Y844="Morning",0,1)),X844),"
")),"Session Description: 
",CONCATENATE(IF(INDEX(final_duration_secondary,((WEEKDAY(Y$3,2)*2-1)+IF(Y844="Morning",0,1)),X844)=0,"","1. "),
INDEX(sessions_description_primary,,INDEX(plan_session_allocation,((WEEKDAY(Y$3,2)*2-1)+IF(Y844="Morning",0,1)),X844)),IF(INDEX(final_duration_secondary,((WEEKDAY(Y$3,2)*2-1)+IF(Y844="Morning",0,1)),X844)=0,"","
2. "),
IF(INDEX(final_duration_secondary,((WEEKDAY(Y$3,2)*2-1)+IF(Y844="Morning",0,1)),X844)=0,"",INDEX(sessions_description_secondary,,INDEX(plan_session_allocation,((WEEKDAY(Y$3,2)*2-1)+IF(Y844="Morning",0,1)),X844))),IF(INDEX(final_duration_tertiary,((WEEKDAY(Y$3,2)*2-1)+IF(Y844="Morning",0,1)),X844)=0,"","
3. "),
IF(INDEX(final_duration_tertiary,((WEEKDAY(Y$3,2)*2-1)+IF(Y844="Morning",0,1)),X844)="","",INDEX(sessions_description_tertiary,,INDEX(plan_session_allocation,((WEEKDAY(Y$3,2)*2-1)+IF(Y844="Morning",0,1)),X844))),
IF(INDEX(display_nutrition_description,((WEEKDAY(Y$3,2)*2-1)+IF(Y844="Morning",0,1)),X844)="","",
CONCATENATE("
Meal Plan: ", INDEX(sessions_nutrition,,INDEX(plan_session_allocation,((WEEKDAY(Y$3,2)*2-1)+IF(Y844="Morning",0,1)),X844)), "
", INDEX(display_nutrition_description,((WEEKDAY(Y$3,2)*2-1)+IF(Y844="Morning",0,1)),X844)))
)),"")),"")</f>
        <v>Session Description: 
Stay at a comfortable and controlled intensity where you should be able to have a conversation without large pauses. Keep an even intensity and accept that your pace may change as the terrain changes.</v>
      </c>
      <c r="Y850" s="1914"/>
      <c r="Z850" s="1914"/>
      <c r="AA850" s="1915"/>
      <c r="AC850" s="1913" t="str">
        <f ca="1">IF(AF844&gt;0,CONCATENATE(IFERROR(CONCATENATE(IF(INDEX(display_intervals_breakdown,((WEEKDAY(AD$3,2)*2-1)+IF(AD844="Morning",0,1)),AC844)="","",CONCATENATE("Intervals/Reps Breakdown: 
",INDEX(display_intervals_breakdown,((WEEKDAY(AD$3,2)*2-1)+IF(AD844="Morning",0,1)),AC844),"
")),"Session Description: 
",CONCATENATE(IF(INDEX(final_duration_secondary,((WEEKDAY(AD$3,2)*2-1)+IF(AD844="Morning",0,1)),AC844)=0,"","1. "),
INDEX(sessions_description_primary,,INDEX(plan_session_allocation,((WEEKDAY(AD$3,2)*2-1)+IF(AD844="Morning",0,1)),AC844)),IF(INDEX(final_duration_secondary,((WEEKDAY(AD$3,2)*2-1)+IF(AD844="Morning",0,1)),AC844)=0,"","
2. "),
IF(INDEX(final_duration_secondary,((WEEKDAY(AD$3,2)*2-1)+IF(AD844="Morning",0,1)),AC844)=0,"",INDEX(sessions_description_secondary,,INDEX(plan_session_allocation,((WEEKDAY(AD$3,2)*2-1)+IF(AD844="Morning",0,1)),AC844))),IF(INDEX(final_duration_tertiary,((WEEKDAY(AD$3,2)*2-1)+IF(AD844="Morning",0,1)),AC844)=0,"","
3. "),
IF(INDEX(final_duration_tertiary,((WEEKDAY(AD$3,2)*2-1)+IF(AD844="Morning",0,1)),AC844)="","",INDEX(sessions_description_tertiary,,INDEX(plan_session_allocation,((WEEKDAY(AD$3,2)*2-1)+IF(AD844="Morning",0,1)),AC844))),
IF(INDEX(display_nutrition_description,((WEEKDAY(AD$3,2)*2-1)+IF(AD844="Morning",0,1)),AC844)="","",
CONCATENATE("
Meal Plan: ", INDEX(sessions_nutrition,,INDEX(plan_session_allocation,((WEEKDAY(AD$3,2)*2-1)+IF(AD844="Morning",0,1)),AC844)), "
", INDEX(display_nutrition_description,((WEEKDAY(AD$3,2)*2-1)+IF(AD844="Morning",0,1)),AC844)))
)),"")),"")</f>
        <v>Session Description: 
Stay at a comfortable and controlled intensity where you should be able to have a conversation without large pauses. Keep an even intensity and accept that your pace may change as the terrain changes.</v>
      </c>
      <c r="AD850" s="1914"/>
      <c r="AE850" s="1914"/>
      <c r="AF850" s="1915"/>
      <c r="AH850" s="1913" t="str">
        <f ca="1">IF(AK844&gt;0,CONCATENATE(IFERROR(CONCATENATE(IF(INDEX(display_intervals_breakdown,((WEEKDAY(AI$3,2)*2-1)+IF(AI844="Morning",0,1)),AH844)="","",CONCATENATE("Intervals/Reps Breakdown: 
",INDEX(display_intervals_breakdown,((WEEKDAY(AI$3,2)*2-1)+IF(AI844="Morning",0,1)),AH844),"
")),"Session Description: 
",CONCATENATE(IF(INDEX(final_duration_secondary,((WEEKDAY(AI$3,2)*2-1)+IF(AI844="Morning",0,1)),AH844)=0,"","1. "),
INDEX(sessions_description_primary,,INDEX(plan_session_allocation,((WEEKDAY(AI$3,2)*2-1)+IF(AI844="Morning",0,1)),AH844)),IF(INDEX(final_duration_secondary,((WEEKDAY(AI$3,2)*2-1)+IF(AI844="Morning",0,1)),AH844)=0,"","
2. "),
IF(INDEX(final_duration_secondary,((WEEKDAY(AI$3,2)*2-1)+IF(AI844="Morning",0,1)),AH844)=0,"",INDEX(sessions_description_secondary,,INDEX(plan_session_allocation,((WEEKDAY(AI$3,2)*2-1)+IF(AI844="Morning",0,1)),AH844))),IF(INDEX(final_duration_tertiary,((WEEKDAY(AI$3,2)*2-1)+IF(AI844="Morning",0,1)),AH844)=0,"","
3. "),
IF(INDEX(final_duration_tertiary,((WEEKDAY(AI$3,2)*2-1)+IF(AI844="Morning",0,1)),AH844)="","",INDEX(sessions_description_tertiary,,INDEX(plan_session_allocation,((WEEKDAY(AI$3,2)*2-1)+IF(AI844="Morning",0,1)),AH844))),
IF(INDEX(display_nutrition_description,((WEEKDAY(AI$3,2)*2-1)+IF(AI844="Morning",0,1)),AH844)="","",
CONCATENATE("
Meal Plan: ", INDEX(sessions_nutrition,,INDEX(plan_session_allocation,((WEEKDAY(AI$3,2)*2-1)+IF(AI844="Morning",0,1)),AH844)), "
", INDEX(display_nutrition_description,((WEEKDAY(AI$3,2)*2-1)+IF(AI844="Morning",0,1)),AH844)))
)),"")),"")</f>
        <v xml:space="preserve">Session Description: 
Fundamentally a steady, but you can be less strict at controlling your intensity as long as your average intensity is close to it's target by the end of the session </v>
      </c>
      <c r="AI850" s="1914"/>
      <c r="AJ850" s="1914"/>
      <c r="AK850" s="1915"/>
    </row>
    <row r="851" spans="2:38" s="180" customFormat="1" x14ac:dyDescent="0.45">
      <c r="B851" s="1942"/>
      <c r="C851" s="1945"/>
      <c r="D851" s="1916"/>
      <c r="E851" s="1917"/>
      <c r="F851" s="1917"/>
      <c r="G851" s="1918"/>
      <c r="I851" s="1916"/>
      <c r="J851" s="1917"/>
      <c r="K851" s="1917"/>
      <c r="L851" s="1918"/>
      <c r="N851" s="1916"/>
      <c r="O851" s="1917"/>
      <c r="P851" s="1917"/>
      <c r="Q851" s="1918"/>
      <c r="S851" s="1916"/>
      <c r="T851" s="1917"/>
      <c r="U851" s="1917"/>
      <c r="V851" s="1918"/>
      <c r="X851" s="1916"/>
      <c r="Y851" s="1917"/>
      <c r="Z851" s="1917"/>
      <c r="AA851" s="1918"/>
      <c r="AC851" s="1916"/>
      <c r="AD851" s="1917"/>
      <c r="AE851" s="1917"/>
      <c r="AF851" s="1918"/>
      <c r="AH851" s="1916"/>
      <c r="AI851" s="1917"/>
      <c r="AJ851" s="1917"/>
      <c r="AK851" s="1918"/>
    </row>
    <row r="852" spans="2:38" s="180" customFormat="1" x14ac:dyDescent="0.45">
      <c r="B852" s="1942"/>
      <c r="C852" s="1945"/>
      <c r="D852" s="1916"/>
      <c r="E852" s="1917"/>
      <c r="F852" s="1917"/>
      <c r="G852" s="1918"/>
      <c r="I852" s="1916"/>
      <c r="J852" s="1917"/>
      <c r="K852" s="1917"/>
      <c r="L852" s="1918"/>
      <c r="N852" s="1916"/>
      <c r="O852" s="1917"/>
      <c r="P852" s="1917"/>
      <c r="Q852" s="1918"/>
      <c r="S852" s="1916"/>
      <c r="T852" s="1917"/>
      <c r="U852" s="1917"/>
      <c r="V852" s="1918"/>
      <c r="X852" s="1916"/>
      <c r="Y852" s="1917"/>
      <c r="Z852" s="1917"/>
      <c r="AA852" s="1918"/>
      <c r="AC852" s="1916"/>
      <c r="AD852" s="1917"/>
      <c r="AE852" s="1917"/>
      <c r="AF852" s="1918"/>
      <c r="AH852" s="1916"/>
      <c r="AI852" s="1917"/>
      <c r="AJ852" s="1917"/>
      <c r="AK852" s="1918"/>
    </row>
    <row r="853" spans="2:38" s="180" customFormat="1" x14ac:dyDescent="0.45">
      <c r="B853" s="1942"/>
      <c r="C853" s="1945"/>
      <c r="D853" s="1916"/>
      <c r="E853" s="1917"/>
      <c r="F853" s="1917"/>
      <c r="G853" s="1918"/>
      <c r="I853" s="1916"/>
      <c r="J853" s="1917"/>
      <c r="K853" s="1917"/>
      <c r="L853" s="1918"/>
      <c r="N853" s="1916"/>
      <c r="O853" s="1917"/>
      <c r="P853" s="1917"/>
      <c r="Q853" s="1918"/>
      <c r="S853" s="1916"/>
      <c r="T853" s="1917"/>
      <c r="U853" s="1917"/>
      <c r="V853" s="1918"/>
      <c r="X853" s="1916"/>
      <c r="Y853" s="1917"/>
      <c r="Z853" s="1917"/>
      <c r="AA853" s="1918"/>
      <c r="AC853" s="1916"/>
      <c r="AD853" s="1917"/>
      <c r="AE853" s="1917"/>
      <c r="AF853" s="1918"/>
      <c r="AH853" s="1916"/>
      <c r="AI853" s="1917"/>
      <c r="AJ853" s="1917"/>
      <c r="AK853" s="1918"/>
    </row>
    <row r="854" spans="2:38" s="180" customFormat="1" x14ac:dyDescent="0.45">
      <c r="B854" s="1942"/>
      <c r="C854" s="1945"/>
      <c r="D854" s="1916"/>
      <c r="E854" s="1917"/>
      <c r="F854" s="1917"/>
      <c r="G854" s="1918"/>
      <c r="I854" s="1916"/>
      <c r="J854" s="1917"/>
      <c r="K854" s="1917"/>
      <c r="L854" s="1918"/>
      <c r="N854" s="1916"/>
      <c r="O854" s="1917"/>
      <c r="P854" s="1917"/>
      <c r="Q854" s="1918"/>
      <c r="S854" s="1916"/>
      <c r="T854" s="1917"/>
      <c r="U854" s="1917"/>
      <c r="V854" s="1918"/>
      <c r="X854" s="1916"/>
      <c r="Y854" s="1917"/>
      <c r="Z854" s="1917"/>
      <c r="AA854" s="1918"/>
      <c r="AC854" s="1916"/>
      <c r="AD854" s="1917"/>
      <c r="AE854" s="1917"/>
      <c r="AF854" s="1918"/>
      <c r="AH854" s="1916"/>
      <c r="AI854" s="1917"/>
      <c r="AJ854" s="1917"/>
      <c r="AK854" s="1918"/>
    </row>
    <row r="855" spans="2:38" s="180" customFormat="1" x14ac:dyDescent="0.45">
      <c r="B855" s="1942"/>
      <c r="C855" s="1945"/>
      <c r="D855" s="1916"/>
      <c r="E855" s="1917"/>
      <c r="F855" s="1917"/>
      <c r="G855" s="1918"/>
      <c r="I855" s="1916"/>
      <c r="J855" s="1917"/>
      <c r="K855" s="1917"/>
      <c r="L855" s="1918"/>
      <c r="N855" s="1916"/>
      <c r="O855" s="1917"/>
      <c r="P855" s="1917"/>
      <c r="Q855" s="1918"/>
      <c r="S855" s="1916"/>
      <c r="T855" s="1917"/>
      <c r="U855" s="1917"/>
      <c r="V855" s="1918"/>
      <c r="X855" s="1916"/>
      <c r="Y855" s="1917"/>
      <c r="Z855" s="1917"/>
      <c r="AA855" s="1918"/>
      <c r="AC855" s="1916"/>
      <c r="AD855" s="1917"/>
      <c r="AE855" s="1917"/>
      <c r="AF855" s="1918"/>
      <c r="AH855" s="1916"/>
      <c r="AI855" s="1917"/>
      <c r="AJ855" s="1917"/>
      <c r="AK855" s="1918"/>
    </row>
    <row r="856" spans="2:38" s="180" customFormat="1" x14ac:dyDescent="0.45">
      <c r="B856" s="1942"/>
      <c r="C856" s="1945"/>
      <c r="D856" s="1916"/>
      <c r="E856" s="1917"/>
      <c r="F856" s="1917"/>
      <c r="G856" s="1918"/>
      <c r="I856" s="1916"/>
      <c r="J856" s="1917"/>
      <c r="K856" s="1917"/>
      <c r="L856" s="1918"/>
      <c r="N856" s="1916"/>
      <c r="O856" s="1917"/>
      <c r="P856" s="1917"/>
      <c r="Q856" s="1918"/>
      <c r="S856" s="1916"/>
      <c r="T856" s="1917"/>
      <c r="U856" s="1917"/>
      <c r="V856" s="1918"/>
      <c r="X856" s="1916"/>
      <c r="Y856" s="1917"/>
      <c r="Z856" s="1917"/>
      <c r="AA856" s="1918"/>
      <c r="AC856" s="1916"/>
      <c r="AD856" s="1917"/>
      <c r="AE856" s="1917"/>
      <c r="AF856" s="1918"/>
      <c r="AH856" s="1916"/>
      <c r="AI856" s="1917"/>
      <c r="AJ856" s="1917"/>
      <c r="AK856" s="1918"/>
    </row>
    <row r="857" spans="2:38" s="180" customFormat="1" ht="15.75" customHeight="1" x14ac:dyDescent="0.45">
      <c r="B857" s="1942"/>
      <c r="C857" s="1945"/>
      <c r="D857" s="1916"/>
      <c r="E857" s="1917"/>
      <c r="F857" s="1917"/>
      <c r="G857" s="1918"/>
      <c r="I857" s="1916"/>
      <c r="J857" s="1917"/>
      <c r="K857" s="1917"/>
      <c r="L857" s="1918"/>
      <c r="N857" s="1916"/>
      <c r="O857" s="1917"/>
      <c r="P857" s="1917"/>
      <c r="Q857" s="1918"/>
      <c r="S857" s="1916"/>
      <c r="T857" s="1917"/>
      <c r="U857" s="1917"/>
      <c r="V857" s="1918"/>
      <c r="X857" s="1916"/>
      <c r="Y857" s="1917"/>
      <c r="Z857" s="1917"/>
      <c r="AA857" s="1918"/>
      <c r="AC857" s="1916"/>
      <c r="AD857" s="1917"/>
      <c r="AE857" s="1917"/>
      <c r="AF857" s="1918"/>
      <c r="AH857" s="1916"/>
      <c r="AI857" s="1917"/>
      <c r="AJ857" s="1917"/>
      <c r="AK857" s="1918"/>
    </row>
    <row r="858" spans="2:38" s="180" customFormat="1" x14ac:dyDescent="0.45">
      <c r="B858" s="1942"/>
      <c r="C858" s="1945"/>
      <c r="D858" s="1916"/>
      <c r="E858" s="1917"/>
      <c r="F858" s="1917"/>
      <c r="G858" s="1918"/>
      <c r="I858" s="1916"/>
      <c r="J858" s="1917"/>
      <c r="K858" s="1917"/>
      <c r="L858" s="1918"/>
      <c r="N858" s="1916"/>
      <c r="O858" s="1917"/>
      <c r="P858" s="1917"/>
      <c r="Q858" s="1918"/>
      <c r="S858" s="1916"/>
      <c r="T858" s="1917"/>
      <c r="U858" s="1917"/>
      <c r="V858" s="1918"/>
      <c r="X858" s="1916"/>
      <c r="Y858" s="1917"/>
      <c r="Z858" s="1917"/>
      <c r="AA858" s="1918"/>
      <c r="AC858" s="1916"/>
      <c r="AD858" s="1917"/>
      <c r="AE858" s="1917"/>
      <c r="AF858" s="1918"/>
      <c r="AH858" s="1916"/>
      <c r="AI858" s="1917"/>
      <c r="AJ858" s="1917"/>
      <c r="AK858" s="1918"/>
    </row>
    <row r="859" spans="2:38" s="180" customFormat="1" x14ac:dyDescent="0.45">
      <c r="B859" s="1942"/>
      <c r="C859" s="1945"/>
      <c r="D859" s="1916"/>
      <c r="E859" s="1917"/>
      <c r="F859" s="1917"/>
      <c r="G859" s="1918"/>
      <c r="I859" s="1916"/>
      <c r="J859" s="1917"/>
      <c r="K859" s="1917"/>
      <c r="L859" s="1918"/>
      <c r="N859" s="1916"/>
      <c r="O859" s="1917"/>
      <c r="P859" s="1917"/>
      <c r="Q859" s="1918"/>
      <c r="S859" s="1916"/>
      <c r="T859" s="1917"/>
      <c r="U859" s="1917"/>
      <c r="V859" s="1918"/>
      <c r="X859" s="1916"/>
      <c r="Y859" s="1917"/>
      <c r="Z859" s="1917"/>
      <c r="AA859" s="1918"/>
      <c r="AC859" s="1916"/>
      <c r="AD859" s="1917"/>
      <c r="AE859" s="1917"/>
      <c r="AF859" s="1918"/>
      <c r="AH859" s="1916"/>
      <c r="AI859" s="1917"/>
      <c r="AJ859" s="1917"/>
      <c r="AK859" s="1918"/>
    </row>
    <row r="860" spans="2:38" s="180" customFormat="1" x14ac:dyDescent="0.45">
      <c r="B860" s="1942"/>
      <c r="C860" s="1945"/>
      <c r="D860" s="1916"/>
      <c r="E860" s="1917"/>
      <c r="F860" s="1917"/>
      <c r="G860" s="1918"/>
      <c r="I860" s="1916"/>
      <c r="J860" s="1917"/>
      <c r="K860" s="1917"/>
      <c r="L860" s="1918"/>
      <c r="N860" s="1916"/>
      <c r="O860" s="1917"/>
      <c r="P860" s="1917"/>
      <c r="Q860" s="1918"/>
      <c r="S860" s="1916"/>
      <c r="T860" s="1917"/>
      <c r="U860" s="1917"/>
      <c r="V860" s="1918"/>
      <c r="X860" s="1916"/>
      <c r="Y860" s="1917"/>
      <c r="Z860" s="1917"/>
      <c r="AA860" s="1918"/>
      <c r="AC860" s="1916"/>
      <c r="AD860" s="1917"/>
      <c r="AE860" s="1917"/>
      <c r="AF860" s="1918"/>
      <c r="AH860" s="1916"/>
      <c r="AI860" s="1917"/>
      <c r="AJ860" s="1917"/>
      <c r="AK860" s="1918"/>
    </row>
    <row r="861" spans="2:38" s="180" customFormat="1" x14ac:dyDescent="0.45">
      <c r="B861" s="1942"/>
      <c r="C861" s="1945"/>
      <c r="D861" s="1916"/>
      <c r="E861" s="1917"/>
      <c r="F861" s="1917"/>
      <c r="G861" s="1918"/>
      <c r="I861" s="1916"/>
      <c r="J861" s="1917"/>
      <c r="K861" s="1917"/>
      <c r="L861" s="1918"/>
      <c r="N861" s="1916"/>
      <c r="O861" s="1917"/>
      <c r="P861" s="1917"/>
      <c r="Q861" s="1918"/>
      <c r="S861" s="1916"/>
      <c r="T861" s="1917"/>
      <c r="U861" s="1917"/>
      <c r="V861" s="1918"/>
      <c r="X861" s="1916"/>
      <c r="Y861" s="1917"/>
      <c r="Z861" s="1917"/>
      <c r="AA861" s="1918"/>
      <c r="AC861" s="1916"/>
      <c r="AD861" s="1917"/>
      <c r="AE861" s="1917"/>
      <c r="AF861" s="1918"/>
      <c r="AH861" s="1916"/>
      <c r="AI861" s="1917"/>
      <c r="AJ861" s="1917"/>
      <c r="AK861" s="1918"/>
    </row>
    <row r="862" spans="2:38" s="180" customFormat="1" x14ac:dyDescent="0.45">
      <c r="B862" s="1942"/>
      <c r="C862" s="1945"/>
      <c r="D862" s="1916"/>
      <c r="E862" s="1917"/>
      <c r="F862" s="1917"/>
      <c r="G862" s="1918"/>
      <c r="I862" s="1916"/>
      <c r="J862" s="1917"/>
      <c r="K862" s="1917"/>
      <c r="L862" s="1918"/>
      <c r="N862" s="1916"/>
      <c r="O862" s="1917"/>
      <c r="P862" s="1917"/>
      <c r="Q862" s="1918"/>
      <c r="S862" s="1916"/>
      <c r="T862" s="1917"/>
      <c r="U862" s="1917"/>
      <c r="V862" s="1918"/>
      <c r="X862" s="1916"/>
      <c r="Y862" s="1917"/>
      <c r="Z862" s="1917"/>
      <c r="AA862" s="1918"/>
      <c r="AC862" s="1916"/>
      <c r="AD862" s="1917"/>
      <c r="AE862" s="1917"/>
      <c r="AF862" s="1918"/>
      <c r="AH862" s="1916"/>
      <c r="AI862" s="1917"/>
      <c r="AJ862" s="1917"/>
      <c r="AK862" s="1918"/>
    </row>
    <row r="863" spans="2:38" s="180" customFormat="1" x14ac:dyDescent="0.45">
      <c r="B863" s="1942"/>
      <c r="C863" s="1945"/>
      <c r="D863" s="1919"/>
      <c r="E863" s="1920"/>
      <c r="F863" s="1920"/>
      <c r="G863" s="1921"/>
      <c r="I863" s="1919"/>
      <c r="J863" s="1920"/>
      <c r="K863" s="1920"/>
      <c r="L863" s="1921"/>
      <c r="N863" s="1919"/>
      <c r="O863" s="1920"/>
      <c r="P863" s="1920"/>
      <c r="Q863" s="1921"/>
      <c r="S863" s="1919"/>
      <c r="T863" s="1920"/>
      <c r="U863" s="1920"/>
      <c r="V863" s="1921"/>
      <c r="X863" s="1919"/>
      <c r="Y863" s="1920"/>
      <c r="Z863" s="1920"/>
      <c r="AA863" s="1921"/>
      <c r="AC863" s="1919"/>
      <c r="AD863" s="1920"/>
      <c r="AE863" s="1920"/>
      <c r="AF863" s="1921"/>
      <c r="AH863" s="1919"/>
      <c r="AI863" s="1920"/>
      <c r="AJ863" s="1920"/>
      <c r="AK863" s="1921"/>
    </row>
    <row r="864" spans="2:38" s="180" customFormat="1" ht="15" customHeight="1" x14ac:dyDescent="0.45">
      <c r="B864" s="1942"/>
      <c r="C864" s="1945"/>
      <c r="D864" s="1913" t="str">
        <f ca="1">IF(G844&gt;0,CONCATENATE("Session Aim: 
", CONCATENATE(IF(INDEX(final_duration_secondary,((WEEKDAY(E$3,2)*2-1)+IF(E844="Morning",0,1)),D844)=0, "", "1. "),
INDEX(sessions_aim_primary,, INDEX(plan_session_allocation,((WEEKDAY(E$3,2)*2-1)+IF(E844="Morning",0,1)),D844)), IF(INDEX(final_duration_secondary,((WEEKDAY(E$3,2)*2-1)+IF(E844="Morning",0,1)),D844)=0, "", "
2. "),
IF(INDEX(final_duration_secondary,((WEEKDAY(E$3,2)*2-1)+IF(E844="Morning",0,1)),D844)=0, "", INDEX(sessions_aim_secondary,, INDEX(plan_session_allocation,((WEEKDAY(E$3,2)*2-1)+IF(E844="Morning",0,1)),D844))), IF(INDEX(final_duration_tertiary,((WEEKDAY(E$3,2)*2-1)+IF(E844="Morning",0,1)),D844)=0, "", "
3. "),
IF(INDEX(final_duration_tertiary,((WEEKDAY(E$3,2)*2-1)+IF(E844="Morning",0,1)),D844)=0, "", INDEX(sessions_aim_tertiary,, INDEX(plan_session_allocation,((WEEKDAY(E$3,2)*2-1)+IF(E844="Morning",0,1)),D844))),
IF(INDEX(display_nutrition_description,((WEEKDAY(E$3,2)*2-1)+IF(E844="Morning",0,1)),D844)="","",
CONCATENATE("
Nutrition Aim:
", INDEX(sessions_aim_nutrition,,INDEX(plan_session_allocation,((WEEKDAY(E$3,2)*2-1)+IF(E844="Morning",0,1)),D844))
))
)),"")</f>
        <v xml:space="preserve">Session Aim: 
Improve aerobic fitness while minimising the chance of injury. </v>
      </c>
      <c r="E864" s="1914"/>
      <c r="F864" s="1914"/>
      <c r="G864" s="1915"/>
      <c r="I864" s="1913" t="str">
        <f ca="1">IF(L844&gt;0,CONCATENATE("Session Aim: 
", CONCATENATE(IF(INDEX(final_duration_secondary,((WEEKDAY(J$3,2)*2-1)+IF(J844="Morning",0,1)),I844)=0, "", "1. "),
INDEX(sessions_aim_primary,, INDEX(plan_session_allocation,((WEEKDAY(J$3,2)*2-1)+IF(J844="Morning",0,1)),I844)), IF(INDEX(final_duration_secondary,((WEEKDAY(J$3,2)*2-1)+IF(J844="Morning",0,1)),I844)=0, "", "
2. "),
IF(INDEX(final_duration_secondary,((WEEKDAY(J$3,2)*2-1)+IF(J844="Morning",0,1)),I844)=0, "", INDEX(sessions_aim_secondary,, INDEX(plan_session_allocation,((WEEKDAY(J$3,2)*2-1)+IF(J844="Morning",0,1)),I844))), IF(INDEX(final_duration_tertiary,((WEEKDAY(J$3,2)*2-1)+IF(J844="Morning",0,1)),I844)=0, "", "
3. "),
IF(INDEX(final_duration_tertiary,((WEEKDAY(J$3,2)*2-1)+IF(J844="Morning",0,1)),I844)=0, "", INDEX(sessions_aim_tertiary,, INDEX(plan_session_allocation,((WEEKDAY(J$3,2)*2-1)+IF(J844="Morning",0,1)),I844))),
IF(INDEX(display_nutrition_description,((WEEKDAY(J$3,2)*2-1)+IF(J844="Morning",0,1)),I844)="","",
CONCATENATE("
Nutrition Aim:
", INDEX(sessions_aim_nutrition,,INDEX(plan_session_allocation,((WEEKDAY(J$3,2)*2-1)+IF(J844="Morning",0,1)),I844))
))
)),"")</f>
        <v/>
      </c>
      <c r="J864" s="1914"/>
      <c r="K864" s="1914"/>
      <c r="L864" s="1915"/>
      <c r="N864" s="1913" t="str">
        <f ca="1">IF(Q844&gt;0,CONCATENATE("Session Aim: 
", CONCATENATE(IF(INDEX(final_duration_secondary,((WEEKDAY(O$3,2)*2-1)+IF(O844="Morning",0,1)),N844)=0, "", "1. "),
INDEX(sessions_aim_primary,, INDEX(plan_session_allocation,((WEEKDAY(O$3,2)*2-1)+IF(O844="Morning",0,1)),N844)), IF(INDEX(final_duration_secondary,((WEEKDAY(O$3,2)*2-1)+IF(O844="Morning",0,1)),N844)=0, "", "
2. "),
IF(INDEX(final_duration_secondary,((WEEKDAY(O$3,2)*2-1)+IF(O844="Morning",0,1)),N844)=0, "", INDEX(sessions_aim_secondary,, INDEX(plan_session_allocation,((WEEKDAY(O$3,2)*2-1)+IF(O844="Morning",0,1)),N844))), IF(INDEX(final_duration_tertiary,((WEEKDAY(O$3,2)*2-1)+IF(O844="Morning",0,1)),N844)=0, "", "
3. "),
IF(INDEX(final_duration_tertiary,((WEEKDAY(O$3,2)*2-1)+IF(O844="Morning",0,1)),N844)=0, "", INDEX(sessions_aim_tertiary,, INDEX(plan_session_allocation,((WEEKDAY(O$3,2)*2-1)+IF(O844="Morning",0,1)),N844))),
IF(INDEX(display_nutrition_description,((WEEKDAY(O$3,2)*2-1)+IF(O844="Morning",0,1)),N844)="","",
CONCATENATE("
Nutrition Aim:
", INDEX(sessions_aim_nutrition,,INDEX(plan_session_allocation,((WEEKDAY(O$3,2)*2-1)+IF(O844="Morning",0,1)),N844))
))
)),"")</f>
        <v/>
      </c>
      <c r="O864" s="1914"/>
      <c r="P864" s="1914"/>
      <c r="Q864" s="1915"/>
      <c r="S864" s="1913" t="str">
        <f ca="1">IF(V844&gt;0,CONCATENATE("Session Aim: 
", CONCATENATE(IF(INDEX(final_duration_secondary,((WEEKDAY(T$3,2)*2-1)+IF(T844="Morning",0,1)),S844)=0, "", "1. "),
INDEX(sessions_aim_primary,, INDEX(plan_session_allocation,((WEEKDAY(T$3,2)*2-1)+IF(T844="Morning",0,1)),S844)), IF(INDEX(final_duration_secondary,((WEEKDAY(T$3,2)*2-1)+IF(T844="Morning",0,1)),S844)=0, "", "
2. "),
IF(INDEX(final_duration_secondary,((WEEKDAY(T$3,2)*2-1)+IF(T844="Morning",0,1)),S844)=0, "", INDEX(sessions_aim_secondary,, INDEX(plan_session_allocation,((WEEKDAY(T$3,2)*2-1)+IF(T844="Morning",0,1)),S844))), IF(INDEX(final_duration_tertiary,((WEEKDAY(T$3,2)*2-1)+IF(T844="Morning",0,1)),S844)=0, "", "
3. "),
IF(INDEX(final_duration_tertiary,((WEEKDAY(T$3,2)*2-1)+IF(T844="Morning",0,1)),S844)=0, "", INDEX(sessions_aim_tertiary,, INDEX(plan_session_allocation,((WEEKDAY(T$3,2)*2-1)+IF(T844="Morning",0,1)),S844))),
IF(INDEX(display_nutrition_description,((WEEKDAY(T$3,2)*2-1)+IF(T844="Morning",0,1)),S844)="","",
CONCATENATE("
Nutrition Aim:
", INDEX(sessions_aim_nutrition,,INDEX(plan_session_allocation,((WEEKDAY(T$3,2)*2-1)+IF(T844="Morning",0,1)),S844))
))
)),"")</f>
        <v/>
      </c>
      <c r="T864" s="1914"/>
      <c r="U864" s="1914"/>
      <c r="V864" s="1915"/>
      <c r="X864" s="1913" t="str">
        <f ca="1">IF(AA844&gt;0,CONCATENATE("Session Aim: 
", CONCATENATE(IF(INDEX(final_duration_secondary,((WEEKDAY(Y$3,2)*2-1)+IF(Y844="Morning",0,1)),X844)=0, "", "1. "),
INDEX(sessions_aim_primary,, INDEX(plan_session_allocation,((WEEKDAY(Y$3,2)*2-1)+IF(Y844="Morning",0,1)),X844)), IF(INDEX(final_duration_secondary,((WEEKDAY(Y$3,2)*2-1)+IF(Y844="Morning",0,1)),X844)=0, "", "
2. "),
IF(INDEX(final_duration_secondary,((WEEKDAY(Y$3,2)*2-1)+IF(Y844="Morning",0,1)),X844)=0, "", INDEX(sessions_aim_secondary,, INDEX(plan_session_allocation,((WEEKDAY(Y$3,2)*2-1)+IF(Y844="Morning",0,1)),X844))), IF(INDEX(final_duration_tertiary,((WEEKDAY(Y$3,2)*2-1)+IF(Y844="Morning",0,1)),X844)=0, "", "
3. "),
IF(INDEX(final_duration_tertiary,((WEEKDAY(Y$3,2)*2-1)+IF(Y844="Morning",0,1)),X844)=0, "", INDEX(sessions_aim_tertiary,, INDEX(plan_session_allocation,((WEEKDAY(Y$3,2)*2-1)+IF(Y844="Morning",0,1)),X844))),
IF(INDEX(display_nutrition_description,((WEEKDAY(Y$3,2)*2-1)+IF(Y844="Morning",0,1)),X844)="","",
CONCATENATE("
Nutrition Aim:
", INDEX(sessions_aim_nutrition,,INDEX(plan_session_allocation,((WEEKDAY(Y$3,2)*2-1)+IF(Y844="Morning",0,1)),X844))
))
)),"")</f>
        <v xml:space="preserve">Session Aim: 
Improve aerobic fitness while minimising the chance of injury. </v>
      </c>
      <c r="Y864" s="1914"/>
      <c r="Z864" s="1914"/>
      <c r="AA864" s="1915"/>
      <c r="AC864" s="1913" t="str">
        <f ca="1">IF(AF844&gt;0,CONCATENATE("Session Aim: 
", CONCATENATE(IF(INDEX(final_duration_secondary,((WEEKDAY(AD$3,2)*2-1)+IF(AD844="Morning",0,1)),AC844)=0, "", "1. "),
INDEX(sessions_aim_primary,, INDEX(plan_session_allocation,((WEEKDAY(AD$3,2)*2-1)+IF(AD844="Morning",0,1)),AC844)), IF(INDEX(final_duration_secondary,((WEEKDAY(AD$3,2)*2-1)+IF(AD844="Morning",0,1)),AC844)=0, "", "
2. "),
IF(INDEX(final_duration_secondary,((WEEKDAY(AD$3,2)*2-1)+IF(AD844="Morning",0,1)),AC844)=0, "", INDEX(sessions_aim_secondary,, INDEX(plan_session_allocation,((WEEKDAY(AD$3,2)*2-1)+IF(AD844="Morning",0,1)),AC844))), IF(INDEX(final_duration_tertiary,((WEEKDAY(AD$3,2)*2-1)+IF(AD844="Morning",0,1)),AC844)=0, "", "
3. "),
IF(INDEX(final_duration_tertiary,((WEEKDAY(AD$3,2)*2-1)+IF(AD844="Morning",0,1)),AC844)=0, "", INDEX(sessions_aim_tertiary,, INDEX(plan_session_allocation,((WEEKDAY(AD$3,2)*2-1)+IF(AD844="Morning",0,1)),AC844))),
IF(INDEX(display_nutrition_description,((WEEKDAY(AD$3,2)*2-1)+IF(AD844="Morning",0,1)),AC844)="","",
CONCATENATE("
Nutrition Aim:
", INDEX(sessions_aim_nutrition,,INDEX(plan_session_allocation,((WEEKDAY(AD$3,2)*2-1)+IF(AD844="Morning",0,1)),AC844))
))
)),"")</f>
        <v>Session Aim: 
Improve aerobic fitness at an optimal rate.</v>
      </c>
      <c r="AD864" s="1914"/>
      <c r="AE864" s="1914"/>
      <c r="AF864" s="1915"/>
      <c r="AH864" s="1913" t="str">
        <f ca="1">IF(AK844&gt;0,CONCATENATE("Session Aim: 
", CONCATENATE(IF(INDEX(final_duration_secondary,((WEEKDAY(AI$3,2)*2-1)+IF(AI844="Morning",0,1)),AH844)=0, "", "1. "),
INDEX(sessions_aim_primary,, INDEX(plan_session_allocation,((WEEKDAY(AI$3,2)*2-1)+IF(AI844="Morning",0,1)),AH844)), IF(INDEX(final_duration_secondary,((WEEKDAY(AI$3,2)*2-1)+IF(AI844="Morning",0,1)),AH844)=0, "", "
2. "),
IF(INDEX(final_duration_secondary,((WEEKDAY(AI$3,2)*2-1)+IF(AI844="Morning",0,1)),AH844)=0, "", INDEX(sessions_aim_secondary,, INDEX(plan_session_allocation,((WEEKDAY(AI$3,2)*2-1)+IF(AI844="Morning",0,1)),AH844))), IF(INDEX(final_duration_tertiary,((WEEKDAY(AI$3,2)*2-1)+IF(AI844="Morning",0,1)),AH844)=0, "", "
3. "),
IF(INDEX(final_duration_tertiary,((WEEKDAY(AI$3,2)*2-1)+IF(AI844="Morning",0,1)),AH844)=0, "", INDEX(sessions_aim_tertiary,, INDEX(plan_session_allocation,((WEEKDAY(AI$3,2)*2-1)+IF(AI844="Morning",0,1)),AH844))),
IF(INDEX(display_nutrition_description,((WEEKDAY(AI$3,2)*2-1)+IF(AI844="Morning",0,1)),AH844)="","",
CONCATENATE("
Nutrition Aim:
", INDEX(sessions_aim_nutrition,,INDEX(plan_session_allocation,((WEEKDAY(AI$3,2)*2-1)+IF(AI844="Morning",0,1)),AH844))
))
)),"")</f>
        <v xml:space="preserve">Session Aim: 
Improve aerobic fitness and energy utilisation. </v>
      </c>
      <c r="AI864" s="1914"/>
      <c r="AJ864" s="1914"/>
      <c r="AK864" s="1915"/>
    </row>
    <row r="865" spans="2:38" s="180" customFormat="1" x14ac:dyDescent="0.45">
      <c r="B865" s="1942"/>
      <c r="C865" s="1945"/>
      <c r="D865" s="1916"/>
      <c r="E865" s="1917"/>
      <c r="F865" s="1917"/>
      <c r="G865" s="1918"/>
      <c r="I865" s="1916"/>
      <c r="J865" s="1917"/>
      <c r="K865" s="1917"/>
      <c r="L865" s="1918"/>
      <c r="N865" s="1916"/>
      <c r="O865" s="1917"/>
      <c r="P865" s="1917"/>
      <c r="Q865" s="1918"/>
      <c r="S865" s="1916"/>
      <c r="T865" s="1917"/>
      <c r="U865" s="1917"/>
      <c r="V865" s="1918"/>
      <c r="X865" s="1916"/>
      <c r="Y865" s="1917"/>
      <c r="Z865" s="1917"/>
      <c r="AA865" s="1918"/>
      <c r="AC865" s="1916"/>
      <c r="AD865" s="1917"/>
      <c r="AE865" s="1917"/>
      <c r="AF865" s="1918"/>
      <c r="AH865" s="1916"/>
      <c r="AI865" s="1917"/>
      <c r="AJ865" s="1917"/>
      <c r="AK865" s="1918"/>
    </row>
    <row r="866" spans="2:38" s="180" customFormat="1" x14ac:dyDescent="0.45">
      <c r="B866" s="1942"/>
      <c r="C866" s="1945"/>
      <c r="D866" s="1916"/>
      <c r="E866" s="1917"/>
      <c r="F866" s="1917"/>
      <c r="G866" s="1918"/>
      <c r="I866" s="1916"/>
      <c r="J866" s="1917"/>
      <c r="K866" s="1917"/>
      <c r="L866" s="1918"/>
      <c r="N866" s="1916"/>
      <c r="O866" s="1917"/>
      <c r="P866" s="1917"/>
      <c r="Q866" s="1918"/>
      <c r="S866" s="1916"/>
      <c r="T866" s="1917"/>
      <c r="U866" s="1917"/>
      <c r="V866" s="1918"/>
      <c r="X866" s="1916"/>
      <c r="Y866" s="1917"/>
      <c r="Z866" s="1917"/>
      <c r="AA866" s="1918"/>
      <c r="AC866" s="1916"/>
      <c r="AD866" s="1917"/>
      <c r="AE866" s="1917"/>
      <c r="AF866" s="1918"/>
      <c r="AH866" s="1916"/>
      <c r="AI866" s="1917"/>
      <c r="AJ866" s="1917"/>
      <c r="AK866" s="1918"/>
    </row>
    <row r="867" spans="2:38" s="180" customFormat="1" x14ac:dyDescent="0.45">
      <c r="B867" s="1942"/>
      <c r="C867" s="1945"/>
      <c r="D867" s="1916"/>
      <c r="E867" s="1917"/>
      <c r="F867" s="1917"/>
      <c r="G867" s="1918"/>
      <c r="I867" s="1916"/>
      <c r="J867" s="1917"/>
      <c r="K867" s="1917"/>
      <c r="L867" s="1918"/>
      <c r="N867" s="1916"/>
      <c r="O867" s="1917"/>
      <c r="P867" s="1917"/>
      <c r="Q867" s="1918"/>
      <c r="S867" s="1916"/>
      <c r="T867" s="1917"/>
      <c r="U867" s="1917"/>
      <c r="V867" s="1918"/>
      <c r="X867" s="1916"/>
      <c r="Y867" s="1917"/>
      <c r="Z867" s="1917"/>
      <c r="AA867" s="1918"/>
      <c r="AC867" s="1916"/>
      <c r="AD867" s="1917"/>
      <c r="AE867" s="1917"/>
      <c r="AF867" s="1918"/>
      <c r="AH867" s="1916"/>
      <c r="AI867" s="1917"/>
      <c r="AJ867" s="1917"/>
      <c r="AK867" s="1918"/>
    </row>
    <row r="868" spans="2:38" s="180" customFormat="1" x14ac:dyDescent="0.45">
      <c r="B868" s="1942"/>
      <c r="C868" s="1945"/>
      <c r="D868" s="1916"/>
      <c r="E868" s="1917"/>
      <c r="F868" s="1917"/>
      <c r="G868" s="1918"/>
      <c r="I868" s="1916"/>
      <c r="J868" s="1917"/>
      <c r="K868" s="1917"/>
      <c r="L868" s="1918"/>
      <c r="N868" s="1916"/>
      <c r="O868" s="1917"/>
      <c r="P868" s="1917"/>
      <c r="Q868" s="1918"/>
      <c r="S868" s="1916"/>
      <c r="T868" s="1917"/>
      <c r="U868" s="1917"/>
      <c r="V868" s="1918"/>
      <c r="X868" s="1916"/>
      <c r="Y868" s="1917"/>
      <c r="Z868" s="1917"/>
      <c r="AA868" s="1918"/>
      <c r="AC868" s="1916"/>
      <c r="AD868" s="1917"/>
      <c r="AE868" s="1917"/>
      <c r="AF868" s="1918"/>
      <c r="AH868" s="1916"/>
      <c r="AI868" s="1917"/>
      <c r="AJ868" s="1917"/>
      <c r="AK868" s="1918"/>
    </row>
    <row r="869" spans="2:38" s="180" customFormat="1" x14ac:dyDescent="0.45">
      <c r="B869" s="1942"/>
      <c r="C869" s="1945"/>
      <c r="D869" s="1916"/>
      <c r="E869" s="1917"/>
      <c r="F869" s="1917"/>
      <c r="G869" s="1918"/>
      <c r="I869" s="1916"/>
      <c r="J869" s="1917"/>
      <c r="K869" s="1917"/>
      <c r="L869" s="1918"/>
      <c r="N869" s="1916"/>
      <c r="O869" s="1917"/>
      <c r="P869" s="1917"/>
      <c r="Q869" s="1918"/>
      <c r="S869" s="1916"/>
      <c r="T869" s="1917"/>
      <c r="U869" s="1917"/>
      <c r="V869" s="1918"/>
      <c r="X869" s="1916"/>
      <c r="Y869" s="1917"/>
      <c r="Z869" s="1917"/>
      <c r="AA869" s="1918"/>
      <c r="AC869" s="1916"/>
      <c r="AD869" s="1917"/>
      <c r="AE869" s="1917"/>
      <c r="AF869" s="1918"/>
      <c r="AH869" s="1916"/>
      <c r="AI869" s="1917"/>
      <c r="AJ869" s="1917"/>
      <c r="AK869" s="1918"/>
    </row>
    <row r="870" spans="2:38" s="180" customFormat="1" ht="14.65" thickBot="1" x14ac:dyDescent="0.5">
      <c r="B870" s="1942"/>
      <c r="C870" s="1945"/>
      <c r="D870" s="1938"/>
      <c r="E870" s="1939"/>
      <c r="F870" s="1939"/>
      <c r="G870" s="1940"/>
      <c r="I870" s="1938"/>
      <c r="J870" s="1939"/>
      <c r="K870" s="1939"/>
      <c r="L870" s="1940"/>
      <c r="N870" s="1938"/>
      <c r="O870" s="1939"/>
      <c r="P870" s="1939"/>
      <c r="Q870" s="1940"/>
      <c r="S870" s="1938"/>
      <c r="T870" s="1939"/>
      <c r="U870" s="1939"/>
      <c r="V870" s="1940"/>
      <c r="X870" s="1938"/>
      <c r="Y870" s="1939"/>
      <c r="Z870" s="1939"/>
      <c r="AA870" s="1940"/>
      <c r="AC870" s="1938"/>
      <c r="AD870" s="1939"/>
      <c r="AE870" s="1939"/>
      <c r="AF870" s="1940"/>
      <c r="AH870" s="1938"/>
      <c r="AI870" s="1939"/>
      <c r="AJ870" s="1939"/>
      <c r="AK870" s="1940"/>
    </row>
    <row r="871" spans="2:38" s="176" customFormat="1" ht="15.75" customHeight="1" x14ac:dyDescent="0.45">
      <c r="B871" s="1942"/>
      <c r="C871" s="1945"/>
      <c r="D871" s="1415">
        <f>$B843</f>
        <v>16</v>
      </c>
      <c r="E871" s="1930" t="s">
        <v>352</v>
      </c>
      <c r="F871" s="1930"/>
      <c r="G871" s="1414">
        <f ca="1">INDEX(final_duration_session,((WEEKDAY(E$3,2)*2-1)+IF(E871="Morning",0,1)),$D871)</f>
        <v>60</v>
      </c>
      <c r="H871" s="177"/>
      <c r="I871" s="1415">
        <f>$B843</f>
        <v>16</v>
      </c>
      <c r="J871" s="1930" t="s">
        <v>352</v>
      </c>
      <c r="K871" s="1930"/>
      <c r="L871" s="1414">
        <f ca="1">INDEX(final_duration_session,((WEEKDAY(J$3,2)*2-1)+IF(J871="Morning",0,1)),$D871)</f>
        <v>55</v>
      </c>
      <c r="M871" s="177"/>
      <c r="N871" s="1415">
        <f>$B843</f>
        <v>16</v>
      </c>
      <c r="O871" s="1930" t="s">
        <v>352</v>
      </c>
      <c r="P871" s="1930"/>
      <c r="Q871" s="1414">
        <f ca="1">INDEX(final_duration_session,((WEEKDAY(O$3,2)*2-1)+IF(O871="Morning",0,1)),$D871)</f>
        <v>30</v>
      </c>
      <c r="R871" s="177"/>
      <c r="S871" s="1415">
        <f>$B843</f>
        <v>16</v>
      </c>
      <c r="T871" s="1930" t="s">
        <v>352</v>
      </c>
      <c r="U871" s="1930"/>
      <c r="V871" s="1414">
        <f ca="1">INDEX(final_duration_session,((WEEKDAY(T$3,2)*2-1)+IF(T871="Morning",0,1)),$D871)</f>
        <v>45.4</v>
      </c>
      <c r="W871" s="177"/>
      <c r="X871" s="1415">
        <f>$B843</f>
        <v>16</v>
      </c>
      <c r="Y871" s="1930" t="s">
        <v>352</v>
      </c>
      <c r="Z871" s="1930"/>
      <c r="AA871" s="1414">
        <f ca="1">INDEX(final_duration_session,((WEEKDAY(Y$3,2)*2-1)+IF(Y871="Morning",0,1)),$D871)</f>
        <v>60</v>
      </c>
      <c r="AB871" s="177"/>
      <c r="AC871" s="1415">
        <f>$B843</f>
        <v>16</v>
      </c>
      <c r="AD871" s="1930" t="s">
        <v>352</v>
      </c>
      <c r="AE871" s="1930"/>
      <c r="AF871" s="1414">
        <f ca="1">INDEX(final_duration_session,((WEEKDAY(AD$3,2)*2-1)+IF(AD871="Morning",0,1)),$D871)</f>
        <v>0</v>
      </c>
      <c r="AG871" s="177"/>
      <c r="AH871" s="1415">
        <f>$B843</f>
        <v>16</v>
      </c>
      <c r="AI871" s="1930" t="s">
        <v>352</v>
      </c>
      <c r="AJ871" s="1930"/>
      <c r="AK871" s="1414">
        <f ca="1">INDEX(final_duration_session,((WEEKDAY(AI$3,2)*2-1)+IF(AI871="Morning",0,1)),$D871)</f>
        <v>0</v>
      </c>
      <c r="AL871" s="177"/>
    </row>
    <row r="872" spans="2:38" s="176" customFormat="1" ht="15" customHeight="1" x14ac:dyDescent="0.45">
      <c r="B872" s="1942"/>
      <c r="C872" s="1945"/>
      <c r="D872" s="1931" t="str">
        <f ca="1">IF(G871&gt;0,INDEX(sessions_name,INDEX(plan_session_allocation,((WEEKDAY(E$3,2)*2-1)+IF(E871="Morning",0,1)),D871)),"")</f>
        <v>Strength and Maintenance</v>
      </c>
      <c r="E872" s="1932"/>
      <c r="F872" s="1932"/>
      <c r="G872" s="1933"/>
      <c r="H872" s="177"/>
      <c r="I872" s="1931" t="str">
        <f ca="1">IF(L871&gt;0,INDEX(sessions_name,INDEX(plan_session_allocation,((WEEKDAY(J$3,2)*2-1)+IF(J871="Morning",0,1)),I871)),"")</f>
        <v>Hill Tempo</v>
      </c>
      <c r="J872" s="1932"/>
      <c r="K872" s="1932"/>
      <c r="L872" s="1933"/>
      <c r="M872" s="177"/>
      <c r="N872" s="1931" t="str">
        <f ca="1">IF(Q871&gt;0,INDEX(sessions_name,INDEX(plan_session_allocation,((WEEKDAY(O$3,2)*2-1)+IF(O871="Morning",0,1)),N871)),"")</f>
        <v xml:space="preserve">Easy </v>
      </c>
      <c r="O872" s="1932"/>
      <c r="P872" s="1932"/>
      <c r="Q872" s="1933"/>
      <c r="R872" s="177"/>
      <c r="S872" s="1931" t="str">
        <f ca="1">IF(V871&gt;0,INDEX(sessions_name,INDEX(plan_session_allocation,((WEEKDAY(T$3,2)*2-1)+IF(T871="Morning",0,1)),S871)),"")</f>
        <v>Intervals: 1km w/ 1min</v>
      </c>
      <c r="T872" s="1932"/>
      <c r="U872" s="1932"/>
      <c r="V872" s="1933"/>
      <c r="W872" s="177"/>
      <c r="X872" s="1931" t="str">
        <f ca="1">IF(AA871&gt;0,INDEX(sessions_name,INDEX(plan_session_allocation,((WEEKDAY(Y$3,2)*2-1)+IF(Y871="Morning",0,1)),X871)),"")</f>
        <v>Strength and Maintenance</v>
      </c>
      <c r="Y872" s="1932"/>
      <c r="Z872" s="1932"/>
      <c r="AA872" s="1933"/>
      <c r="AB872" s="177"/>
      <c r="AC872" s="1931" t="str">
        <f ca="1">IF(AF871&gt;0,INDEX(sessions_name,INDEX(plan_session_allocation,((WEEKDAY(AD$3,2)*2-1)+IF(AD871="Morning",0,1)),AC871)),"")</f>
        <v/>
      </c>
      <c r="AD872" s="1932"/>
      <c r="AE872" s="1932"/>
      <c r="AF872" s="1933"/>
      <c r="AG872" s="177"/>
      <c r="AH872" s="1931" t="str">
        <f ca="1">IF(AK871&gt;0,INDEX(sessions_name,INDEX(plan_session_allocation,((WEEKDAY(AI$3,2)*2-1)+IF(AI871="Morning",0,1)),AH871)),"")</f>
        <v/>
      </c>
      <c r="AI872" s="1932"/>
      <c r="AJ872" s="1932"/>
      <c r="AK872" s="1933"/>
      <c r="AL872" s="177"/>
    </row>
    <row r="873" spans="2:38" s="176" customFormat="1" ht="15" customHeight="1" x14ac:dyDescent="0.45">
      <c r="B873" s="1942"/>
      <c r="C873" s="1945"/>
      <c r="D873" s="1934" t="str">
        <f ca="1">IF(G871&gt;0,CONCATENATE("Sport: ",INDEX(sessions_sport_primary,INDEX(plan_session_allocation,(WEEKDAY(E$3,2)*2-1)+IF(E871="Morning",0,1),D871))),"")</f>
        <v>Sport: Indoor</v>
      </c>
      <c r="E873" s="1935"/>
      <c r="F873" s="1936">
        <f ca="1">IF(G871&gt;0,IFERROR(F874+F875+F876,""),"")</f>
        <v>60</v>
      </c>
      <c r="G873" s="1937"/>
      <c r="H873" s="177"/>
      <c r="I873" s="1934" t="str">
        <f ca="1">IF(L871&gt;0,CONCATENATE("Sport: ",INDEX(sessions_sport_primary,INDEX(plan_session_allocation,(WEEKDAY(J$3,2)*2-1)+IF(J871="Morning",0,1),I871))),"")</f>
        <v>Sport: Hilly Trail Run</v>
      </c>
      <c r="J873" s="1935"/>
      <c r="K873" s="1936">
        <f ca="1">IF(L871&gt;0,IFERROR(K874+K875+K876,""),"")</f>
        <v>55</v>
      </c>
      <c r="L873" s="1937"/>
      <c r="M873" s="177"/>
      <c r="N873" s="1934" t="str">
        <f ca="1">IF(Q871&gt;0,CONCATENATE("Sport: ",INDEX(sessions_sport_primary,INDEX(plan_session_allocation,(WEEKDAY(O$3,2)*2-1)+IF(O871="Morning",0,1),N871))),"")</f>
        <v>Sport: Road Ride</v>
      </c>
      <c r="O873" s="1935"/>
      <c r="P873" s="1936">
        <f ca="1">IF(Q871&gt;0,IFERROR(P874+P875+P876,""),"")</f>
        <v>30</v>
      </c>
      <c r="Q873" s="1937"/>
      <c r="R873" s="177"/>
      <c r="S873" s="1934" t="str">
        <f ca="1">IF(V871&gt;0,CONCATENATE("Sport: ",INDEX(sessions_sport_primary,INDEX(plan_session_allocation,(WEEKDAY(T$3,2)*2-1)+IF(T871="Morning",0,1),S871))),"")</f>
        <v>Sport: Road Run</v>
      </c>
      <c r="T873" s="1935"/>
      <c r="U873" s="1936">
        <f ca="1">IF(V871&gt;0,IFERROR(U874+U875+U876,""),"")</f>
        <v>45.4</v>
      </c>
      <c r="V873" s="1937"/>
      <c r="W873" s="177"/>
      <c r="X873" s="1934" t="str">
        <f ca="1">IF(AA871&gt;0,CONCATENATE("Sport: ",INDEX(sessions_sport_primary,INDEX(plan_session_allocation,(WEEKDAY(Y$3,2)*2-1)+IF(Y871="Morning",0,1),X871))),"")</f>
        <v>Sport: Indoor</v>
      </c>
      <c r="Y873" s="1935"/>
      <c r="Z873" s="1936">
        <f ca="1">IF(AA871&gt;0,IFERROR(Z874+Z875+Z876,""),"")</f>
        <v>60</v>
      </c>
      <c r="AA873" s="1937"/>
      <c r="AB873" s="177"/>
      <c r="AC873" s="1934" t="str">
        <f ca="1">IF(AF871&gt;0,CONCATENATE("Sport: ",INDEX(sessions_sport_primary,INDEX(plan_session_allocation,(WEEKDAY(AD$3,2)*2-1)+IF(AD871="Morning",0,1),AC871))),"")</f>
        <v/>
      </c>
      <c r="AD873" s="1935"/>
      <c r="AE873" s="1936" t="str">
        <f ca="1">IF(AF871&gt;0,IFERROR(AE874+AE875+AE876,""),"")</f>
        <v/>
      </c>
      <c r="AF873" s="1937"/>
      <c r="AG873" s="177"/>
      <c r="AH873" s="1934" t="str">
        <f ca="1">IF(AK871&gt;0,CONCATENATE("Sport: ",INDEX(sessions_sport_primary,INDEX(plan_session_allocation,(WEEKDAY(AI$3,2)*2-1)+IF(AI871="Morning",0,1),AH871))),"")</f>
        <v/>
      </c>
      <c r="AI873" s="1935"/>
      <c r="AJ873" s="1936" t="str">
        <f ca="1">IF(AK871&gt;0,IFERROR(AJ874+AJ875+AJ876,""),"")</f>
        <v/>
      </c>
      <c r="AK873" s="1937"/>
      <c r="AL873" s="177"/>
    </row>
    <row r="874" spans="2:38" s="177" customFormat="1" ht="15" customHeight="1" x14ac:dyDescent="0.45">
      <c r="B874" s="1942"/>
      <c r="C874" s="1945"/>
      <c r="D874" s="1922" t="str">
        <f ca="1">IF(G871&gt;0,CONCATENATE("HR Target: ",
INDEX(sessions_HR_primary,INDEX(plan_session_allocation,((WEEKDAY(E$3,2)*2-1)+IF(E871="Morning",0,1)),D871)),
IF(INDEX(sessions_HR_primary,INDEX(plan_session_allocation,((WEEKDAY(E$3,2)*2-1)+IF(E871="Morning",0,1)),D871))="N/A","",
" BPM")),"")</f>
        <v>HR Target: N/A</v>
      </c>
      <c r="E874" s="1923"/>
      <c r="F874" s="1924">
        <f ca="1">IF(G871&gt;0,
INDEX(final_duration_effort,((WEEKDAY(E$3,2)*2-1)+IF(E871="Morning",0,1)),D871),"")</f>
        <v>60</v>
      </c>
      <c r="G874" s="1925"/>
      <c r="I874" s="1922" t="str">
        <f ca="1">IF(L871&gt;0,CONCATENATE("HR Target: ",
INDEX(sessions_HR_primary,INDEX(plan_session_allocation,((WEEKDAY(J$3,2)*2-1)+IF(J871="Morning",0,1)),I871)),
IF(INDEX(sessions_HR_primary,INDEX(plan_session_allocation,((WEEKDAY(J$3,2)*2-1)+IF(J871="Morning",0,1)),I871))="N/A","",
" BPM")),"")</f>
        <v>HR Target: 177 BPM</v>
      </c>
      <c r="J874" s="1923"/>
      <c r="K874" s="1924">
        <f ca="1">IF(L871&gt;0,
INDEX(final_duration_effort,((WEEKDAY(J$3,2)*2-1)+IF(J871="Morning",0,1)),I871),"")</f>
        <v>25</v>
      </c>
      <c r="L874" s="1925"/>
      <c r="N874" s="1922" t="str">
        <f ca="1">IF(Q871&gt;0,CONCATENATE("HR Target: ",
INDEX(sessions_HR_primary,INDEX(plan_session_allocation,((WEEKDAY(O$3,2)*2-1)+IF(O871="Morning",0,1)),N871)),
IF(INDEX(sessions_HR_primary,INDEX(plan_session_allocation,((WEEKDAY(O$3,2)*2-1)+IF(O871="Morning",0,1)),N871))="N/A","",
" BPM")),"")</f>
        <v>HR Target: 138 BPM</v>
      </c>
      <c r="O874" s="1923"/>
      <c r="P874" s="1924">
        <f ca="1">IF(Q871&gt;0,
INDEX(final_duration_effort,((WEEKDAY(O$3,2)*2-1)+IF(O871="Morning",0,1)),N871),"")</f>
        <v>30</v>
      </c>
      <c r="Q874" s="1925"/>
      <c r="S874" s="1922" t="str">
        <f ca="1">IF(V871&gt;0,CONCATENATE("HR Target: ",
INDEX(sessions_HR_primary,INDEX(plan_session_allocation,((WEEKDAY(T$3,2)*2-1)+IF(T871="Morning",0,1)),S871)),
IF(INDEX(sessions_HR_primary,INDEX(plan_session_allocation,((WEEKDAY(T$3,2)*2-1)+IF(T871="Morning",0,1)),S871))="N/A","",
" BPM")),"")</f>
        <v>HR Target: 188 BPM</v>
      </c>
      <c r="T874" s="1923"/>
      <c r="U874" s="1924">
        <f ca="1">IF(V871&gt;0,
INDEX(final_duration_effort,((WEEKDAY(T$3,2)*2-1)+IF(T871="Morning",0,1)),S871),"")</f>
        <v>12.4</v>
      </c>
      <c r="V874" s="1925"/>
      <c r="X874" s="1922" t="str">
        <f ca="1">IF(AA871&gt;0,CONCATENATE("HR Target: ",
INDEX(sessions_HR_primary,INDEX(plan_session_allocation,((WEEKDAY(Y$3,2)*2-1)+IF(Y871="Morning",0,1)),X871)),
IF(INDEX(sessions_HR_primary,INDEX(plan_session_allocation,((WEEKDAY(Y$3,2)*2-1)+IF(Y871="Morning",0,1)),X871))="N/A","",
" BPM")),"")</f>
        <v>HR Target: N/A</v>
      </c>
      <c r="Y874" s="1923"/>
      <c r="Z874" s="1924">
        <f ca="1">IF(AA871&gt;0,
INDEX(final_duration_effort,((WEEKDAY(Y$3,2)*2-1)+IF(Y871="Morning",0,1)),X871),"")</f>
        <v>60</v>
      </c>
      <c r="AA874" s="1925"/>
      <c r="AC874" s="1922" t="str">
        <f ca="1">IF(AF871&gt;0,CONCATENATE("HR Target: ",
INDEX(sessions_HR_primary,INDEX(plan_session_allocation,((WEEKDAY(AD$3,2)*2-1)+IF(AD871="Morning",0,1)),AC871)),
IF(INDEX(sessions_HR_primary,INDEX(plan_session_allocation,((WEEKDAY(AD$3,2)*2-1)+IF(AD871="Morning",0,1)),AC871))="N/A","",
" BPM")),"")</f>
        <v/>
      </c>
      <c r="AD874" s="1923"/>
      <c r="AE874" s="1924" t="str">
        <f ca="1">IF(AF871&gt;0,
INDEX(final_duration_effort,((WEEKDAY(AD$3,2)*2-1)+IF(AD871="Morning",0,1)),AC871),"")</f>
        <v/>
      </c>
      <c r="AF874" s="1925"/>
      <c r="AH874" s="1922" t="str">
        <f ca="1">IF(AK871&gt;0,CONCATENATE("HR Target: ",
INDEX(sessions_HR_primary,INDEX(plan_session_allocation,((WEEKDAY(AI$3,2)*2-1)+IF(AI871="Morning",0,1)),AH871)),
IF(INDEX(sessions_HR_primary,INDEX(plan_session_allocation,((WEEKDAY(AI$3,2)*2-1)+IF(AI871="Morning",0,1)),AH871))="N/A","",
" BPM")),"")</f>
        <v/>
      </c>
      <c r="AI874" s="1923"/>
      <c r="AJ874" s="1924" t="str">
        <f ca="1">IF(AK871&gt;0,
INDEX(final_duration_effort,((WEEKDAY(AI$3,2)*2-1)+IF(AI871="Morning",0,1)),AH871),"")</f>
        <v/>
      </c>
      <c r="AK874" s="1925"/>
    </row>
    <row r="875" spans="2:38" s="177" customFormat="1" ht="15" customHeight="1" x14ac:dyDescent="0.45">
      <c r="B875" s="1942"/>
      <c r="C875" s="1945"/>
      <c r="D875" s="1926" t="str">
        <f ca="1">IF(G871&gt;0,CONCATENATE("HR Range: ",
INDEX(sessions_HR_range_primary,INDEX(plan_session_allocation,((WEEKDAY(E$3,2)*2-1)+IF(E871="Morning",0,1)),D871)),
IF(INDEX(sessions_HR_range_primary,INDEX(plan_session_allocation,((WEEKDAY(E$3,2)*2-1)+IF(E871="Morning",0,1)),D871))="N/A","",
" BPM")),"")</f>
        <v>HR Range: N/A</v>
      </c>
      <c r="E875" s="1927"/>
      <c r="F875" s="1928">
        <f ca="1">IF(G871&gt;0,IF(
INDEX(sessions_recoveries,INDEX(plan_session_allocation,((WEEKDAY(E$3,2)*2-1)+IF(E871="Morning",0,1)),D871))="Yes",
VLOOKUP(INDEX(plan_duration_primary,((WEEKDAY(E$3,2)*2-1)+IF(E871="Morning",0,1)),D871),
INDIRECT(INDEX(sessions_intervals_code_primary,INDEX(plan_session_allocation,((WEEKDAY(E$3,2)*2-1)+IF(E871="Morning",0,1)),D871))),7,TRUE),0),"")</f>
        <v>0</v>
      </c>
      <c r="G875" s="1929"/>
      <c r="I875" s="1926" t="str">
        <f ca="1">IF(L871&gt;0,CONCATENATE("HR Range: ",
INDEX(sessions_HR_range_primary,INDEX(plan_session_allocation,((WEEKDAY(J$3,2)*2-1)+IF(J871="Morning",0,1)),I871)),
IF(INDEX(sessions_HR_range_primary,INDEX(plan_session_allocation,((WEEKDAY(J$3,2)*2-1)+IF(J871="Morning",0,1)),I871))="N/A","",
" BPM")),"")</f>
        <v>HR Range: 173 - 180 BPM</v>
      </c>
      <c r="J875" s="1927"/>
      <c r="K875" s="1928">
        <f ca="1">IF(L871&gt;0,IF(
INDEX(sessions_recoveries,INDEX(plan_session_allocation,((WEEKDAY(J$3,2)*2-1)+IF(J871="Morning",0,1)),I871))="Yes",
VLOOKUP(INDEX(plan_duration_primary,((WEEKDAY(J$3,2)*2-1)+IF(J871="Morning",0,1)),I871),
INDIRECT(INDEX(sessions_intervals_code_primary,INDEX(plan_session_allocation,((WEEKDAY(J$3,2)*2-1)+IF(J871="Morning",0,1)),I871))),7,TRUE),0),"")</f>
        <v>0</v>
      </c>
      <c r="L875" s="1929"/>
      <c r="N875" s="1926" t="str">
        <f ca="1">IF(Q871&gt;0,CONCATENATE("HR Range: ",
INDEX(sessions_HR_range_primary,INDEX(plan_session_allocation,((WEEKDAY(O$3,2)*2-1)+IF(O871="Morning",0,1)),N871)),
IF(INDEX(sessions_HR_range_primary,INDEX(plan_session_allocation,((WEEKDAY(O$3,2)*2-1)+IF(O871="Morning",0,1)),N871))="N/A","",
" BPM")),"")</f>
        <v>HR Range: 129 - 148 BPM</v>
      </c>
      <c r="O875" s="1927"/>
      <c r="P875" s="1928">
        <f ca="1">IF(Q871&gt;0,IF(
INDEX(sessions_recoveries,INDEX(plan_session_allocation,((WEEKDAY(O$3,2)*2-1)+IF(O871="Morning",0,1)),N871))="Yes",
VLOOKUP(INDEX(plan_duration_primary,((WEEKDAY(O$3,2)*2-1)+IF(O871="Morning",0,1)),N871),
INDIRECT(INDEX(sessions_intervals_code_primary,INDEX(plan_session_allocation,((WEEKDAY(O$3,2)*2-1)+IF(O871="Morning",0,1)),N871))),7,TRUE),0),"")</f>
        <v>0</v>
      </c>
      <c r="Q875" s="1929"/>
      <c r="S875" s="1926" t="str">
        <f ca="1">IF(V871&gt;0,CONCATENATE("HR Range: ",
INDEX(sessions_HR_range_primary,INDEX(plan_session_allocation,((WEEKDAY(T$3,2)*2-1)+IF(T871="Morning",0,1)),S871)),
IF(INDEX(sessions_HR_range_primary,INDEX(plan_session_allocation,((WEEKDAY(T$3,2)*2-1)+IF(T871="Morning",0,1)),S871))="N/A","",
" BPM")),"")</f>
        <v>HR Range: 184 - 192 BPM</v>
      </c>
      <c r="T875" s="1927"/>
      <c r="U875" s="1928">
        <f ca="1">IF(V871&gt;0,IF(
INDEX(sessions_recoveries,INDEX(plan_session_allocation,((WEEKDAY(T$3,2)*2-1)+IF(T871="Morning",0,1)),S871))="Yes",
VLOOKUP(INDEX(plan_duration_primary,((WEEKDAY(T$3,2)*2-1)+IF(T871="Morning",0,1)),S871),
INDIRECT(INDEX(sessions_intervals_code_primary,INDEX(plan_session_allocation,((WEEKDAY(T$3,2)*2-1)+IF(T871="Morning",0,1)),S871))),7,TRUE),0),"")</f>
        <v>3</v>
      </c>
      <c r="V875" s="1929"/>
      <c r="X875" s="1926" t="str">
        <f ca="1">IF(AA871&gt;0,CONCATENATE("HR Range: ",
INDEX(sessions_HR_range_primary,INDEX(plan_session_allocation,((WEEKDAY(Y$3,2)*2-1)+IF(Y871="Morning",0,1)),X871)),
IF(INDEX(sessions_HR_range_primary,INDEX(plan_session_allocation,((WEEKDAY(Y$3,2)*2-1)+IF(Y871="Morning",0,1)),X871))="N/A","",
" BPM")),"")</f>
        <v>HR Range: N/A</v>
      </c>
      <c r="Y875" s="1927"/>
      <c r="Z875" s="1928">
        <f ca="1">IF(AA871&gt;0,IF(
INDEX(sessions_recoveries,INDEX(plan_session_allocation,((WEEKDAY(Y$3,2)*2-1)+IF(Y871="Morning",0,1)),X871))="Yes",
VLOOKUP(INDEX(plan_duration_primary,((WEEKDAY(Y$3,2)*2-1)+IF(Y871="Morning",0,1)),X871),
INDIRECT(INDEX(sessions_intervals_code_primary,INDEX(plan_session_allocation,((WEEKDAY(Y$3,2)*2-1)+IF(Y871="Morning",0,1)),X871))),7,TRUE),0),"")</f>
        <v>0</v>
      </c>
      <c r="AA875" s="1929"/>
      <c r="AC875" s="1926" t="str">
        <f ca="1">IF(AF871&gt;0,CONCATENATE("HR Range: ",
INDEX(sessions_HR_range_primary,INDEX(plan_session_allocation,((WEEKDAY(AD$3,2)*2-1)+IF(AD871="Morning",0,1)),AC871)),
IF(INDEX(sessions_HR_range_primary,INDEX(plan_session_allocation,((WEEKDAY(AD$3,2)*2-1)+IF(AD871="Morning",0,1)),AC871))="N/A","",
" BPM")),"")</f>
        <v/>
      </c>
      <c r="AD875" s="1927"/>
      <c r="AE875" s="1928" t="str">
        <f ca="1">IF(AF871&gt;0,IF(
INDEX(sessions_recoveries,INDEX(plan_session_allocation,((WEEKDAY(AD$3,2)*2-1)+IF(AD871="Morning",0,1)),AC871))="Yes",
VLOOKUP(INDEX(plan_duration_primary,((WEEKDAY(AD$3,2)*2-1)+IF(AD871="Morning",0,1)),AC871),
INDIRECT(INDEX(sessions_intervals_code_primary,INDEX(plan_session_allocation,((WEEKDAY(AD$3,2)*2-1)+IF(AD871="Morning",0,1)),AC871))),7,TRUE),0),"")</f>
        <v/>
      </c>
      <c r="AF875" s="1929"/>
      <c r="AH875" s="1926" t="str">
        <f ca="1">IF(AK871&gt;0,CONCATENATE("HR Range: ",
INDEX(sessions_HR_range_primary,INDEX(plan_session_allocation,((WEEKDAY(AI$3,2)*2-1)+IF(AI871="Morning",0,1)),AH871)),
IF(INDEX(sessions_HR_range_primary,INDEX(plan_session_allocation,((WEEKDAY(AI$3,2)*2-1)+IF(AI871="Morning",0,1)),AH871))="N/A","",
" BPM")),"")</f>
        <v/>
      </c>
      <c r="AI875" s="1927"/>
      <c r="AJ875" s="1928" t="str">
        <f ca="1">IF(AK871&gt;0,IF(
INDEX(sessions_recoveries,INDEX(plan_session_allocation,((WEEKDAY(AI$3,2)*2-1)+IF(AI871="Morning",0,1)),AH871))="Yes",
VLOOKUP(INDEX(plan_duration_primary,((WEEKDAY(AI$3,2)*2-1)+IF(AI871="Morning",0,1)),AH871),
INDIRECT(INDEX(sessions_intervals_code_primary,INDEX(plan_session_allocation,((WEEKDAY(AI$3,2)*2-1)+IF(AI871="Morning",0,1)),AH871))),7,TRUE),0),"")</f>
        <v/>
      </c>
      <c r="AK875" s="1929"/>
    </row>
    <row r="876" spans="2:38" s="177" customFormat="1" ht="15" customHeight="1" x14ac:dyDescent="0.45">
      <c r="B876" s="1942"/>
      <c r="C876" s="1945"/>
      <c r="D876" s="1909" t="str">
        <f ca="1">IF(G871&gt;0,CONCATENATE("Equivalent Pace: ",
TEXT(INDEX(sessions_pace_primary,INDEX(plan_session_allocation,(WEEKDAY(E$3,2)*2-1)+IF(E871="Morning",0,1),D871)),"m:ss"),
" min/km"
),"")</f>
        <v>Equivalent Pace:  min/km</v>
      </c>
      <c r="E876" s="1910"/>
      <c r="F876" s="1911">
        <f ca="1">IF(G871&gt;0, INDEX(final_duration_WU,((WEEKDAY(E$3,2)*2-1)+IF(E871="Morning",0,1)),D871)  + INDEX(final_duration_WD,((WEEKDAY(E$3,2)*2-1)+IF(E871="Morning",0,1)),D871), "")</f>
        <v>0</v>
      </c>
      <c r="G876" s="1912"/>
      <c r="I876" s="1909" t="str">
        <f ca="1">IF(L871&gt;0,CONCATENATE("Equivalent Pace: ",
TEXT(INDEX(sessions_pace_primary,INDEX(plan_session_allocation,(WEEKDAY(J$3,2)*2-1)+IF(J871="Morning",0,1),I871)),"m:ss"),
" min/km"
),"")</f>
        <v>Equivalent Pace: 3:21 min/km</v>
      </c>
      <c r="J876" s="1910"/>
      <c r="K876" s="1911">
        <f ca="1">IF(L871&gt;0, INDEX(final_duration_WU,((WEEKDAY(J$3,2)*2-1)+IF(J871="Morning",0,1)),I871)  + INDEX(final_duration_WD,((WEEKDAY(J$3,2)*2-1)+IF(J871="Morning",0,1)),I871), "")</f>
        <v>30</v>
      </c>
      <c r="L876" s="1912"/>
      <c r="N876" s="1909" t="str">
        <f ca="1">IF(Q871&gt;0,CONCATENATE("Equivalent Pace: ",
TEXT(INDEX(sessions_pace_primary,INDEX(plan_session_allocation,(WEEKDAY(O$3,2)*2-1)+IF(O871="Morning",0,1),N871)),"m:ss"),
" min/km"
),"")</f>
        <v>Equivalent Pace: 4:39 min/km</v>
      </c>
      <c r="O876" s="1910"/>
      <c r="P876" s="1911">
        <f ca="1">IF(Q871&gt;0, INDEX(final_duration_WU,((WEEKDAY(O$3,2)*2-1)+IF(O871="Morning",0,1)),N871)  + INDEX(final_duration_WD,((WEEKDAY(O$3,2)*2-1)+IF(O871="Morning",0,1)),N871), "")</f>
        <v>0</v>
      </c>
      <c r="Q876" s="1912"/>
      <c r="S876" s="1909" t="str">
        <f ca="1">IF(V871&gt;0,CONCATENATE("Equivalent Pace: ",
TEXT(INDEX(sessions_pace_primary,INDEX(plan_session_allocation,(WEEKDAY(T$3,2)*2-1)+IF(T871="Morning",0,1),S871)),"m:ss"),
" min/km"
),"")</f>
        <v>Equivalent Pace: 3:06 min/km</v>
      </c>
      <c r="T876" s="1910"/>
      <c r="U876" s="1911">
        <f ca="1">IF(V871&gt;0, INDEX(final_duration_WU,((WEEKDAY(T$3,2)*2-1)+IF(T871="Morning",0,1)),S871)  + INDEX(final_duration_WD,((WEEKDAY(T$3,2)*2-1)+IF(T871="Morning",0,1)),S871), "")</f>
        <v>30</v>
      </c>
      <c r="V876" s="1912"/>
      <c r="X876" s="1909" t="str">
        <f ca="1">IF(AA871&gt;0,CONCATENATE("Equivalent Pace: ",
TEXT(INDEX(sessions_pace_primary,INDEX(plan_session_allocation,(WEEKDAY(Y$3,2)*2-1)+IF(Y871="Morning",0,1),X871)),"m:ss"),
" min/km"
),"")</f>
        <v>Equivalent Pace:  min/km</v>
      </c>
      <c r="Y876" s="1910"/>
      <c r="Z876" s="1911">
        <f ca="1">IF(AA871&gt;0, INDEX(final_duration_WU,((WEEKDAY(Y$3,2)*2-1)+IF(Y871="Morning",0,1)),X871)  + INDEX(final_duration_WD,((WEEKDAY(Y$3,2)*2-1)+IF(Y871="Morning",0,1)),X871), "")</f>
        <v>0</v>
      </c>
      <c r="AA876" s="1912"/>
      <c r="AC876" s="1909" t="str">
        <f ca="1">IF(AF871&gt;0,CONCATENATE("Equivalent Pace: ",
TEXT(INDEX(sessions_pace_primary,INDEX(plan_session_allocation,(WEEKDAY(AD$3,2)*2-1)+IF(AD871="Morning",0,1),AC871)),"m:ss"),
" min/km"
),"")</f>
        <v/>
      </c>
      <c r="AD876" s="1910"/>
      <c r="AE876" s="1911" t="str">
        <f ca="1">IF(AF871&gt;0, INDEX(final_duration_WU,((WEEKDAY(AD$3,2)*2-1)+IF(AD871="Morning",0,1)),AC871)  + INDEX(final_duration_WD,((WEEKDAY(AD$3,2)*2-1)+IF(AD871="Morning",0,1)),AC871), "")</f>
        <v/>
      </c>
      <c r="AF876" s="1912"/>
      <c r="AH876" s="1909" t="str">
        <f ca="1">IF(AK871&gt;0,CONCATENATE("Equivalent Pace: ",
TEXT(INDEX(sessions_pace_primary,INDEX(plan_session_allocation,(WEEKDAY(AI$3,2)*2-1)+IF(AI871="Morning",0,1),AH871)),"m:ss"),
" min/km"
),"")</f>
        <v/>
      </c>
      <c r="AI876" s="1910"/>
      <c r="AJ876" s="1911" t="str">
        <f ca="1">IF(AK871&gt;0, INDEX(final_duration_WU,((WEEKDAY(AI$3,2)*2-1)+IF(AI871="Morning",0,1)),AH871)  + INDEX(final_duration_WD,((WEEKDAY(AI$3,2)*2-1)+IF(AI871="Morning",0,1)),AH871), "")</f>
        <v/>
      </c>
      <c r="AK876" s="1912"/>
    </row>
    <row r="877" spans="2:38" s="176" customFormat="1" ht="15" customHeight="1" x14ac:dyDescent="0.45">
      <c r="B877" s="1942"/>
      <c r="C877" s="1945"/>
      <c r="D877" s="1913" t="str">
        <f ca="1">IF(G871&gt;0,CONCATENATE(IFERROR(CONCATENATE(IF(INDEX(display_intervals_breakdown,((WEEKDAY(E$3,2)*2-1)+IF(E871="Morning",0,1)),D871)="","",CONCATENATE("Intervals/Reps Breakdown: 
",INDEX(display_intervals_breakdown,((WEEKDAY(E$3,2)*2-1)+IF(E871="Morning",0,1)),D871),"
")),"Session Description: 
",CONCATENATE(IF(INDEX(final_duration_secondary,((WEEKDAY(E$3,2)*2-1)+IF(E871="Morning",0,1)),D871)=0,"","1. "),
INDEX(sessions_description_primary,,INDEX(plan_session_allocation,((WEEKDAY(E$3,2)*2-1)+IF(E871="Morning",0,1)),D871)),IF(INDEX(final_duration_secondary,((WEEKDAY(E$3,2)*2-1)+IF(E871="Morning",0,1)),D871)=0,"","
2. "),
IF(INDEX(final_duration_secondary,((WEEKDAY(E$3,2)*2-1)+IF(E871="Morning",0,1)),D871)=0,"",INDEX(sessions_description_secondary,,INDEX(plan_session_allocation,((WEEKDAY(E$3,2)*2-1)+IF(E871="Morning",0,1)),D871))),IF(INDEX(final_duration_tertiary,((WEEKDAY(E$3,2)*2-1)+IF(E871="Morning",0,1)),D871)=0,"","
3. "),
IF(INDEX(final_duration_tertiary,((WEEKDAY(E$3,2)*2-1)+IF(E871="Morning",0,1)),D871)="","",INDEX(sessions_description_tertiary,,INDEX(plan_session_allocation,((WEEKDAY(E$3,2)*2-1)+IF(E871="Morning",0,1)),D871))),
IF(INDEX(display_nutrition_description,((WEEKDAY(E$3,2)*2-1)+IF(E871="Morning",0,1)),D871)="","",
CONCATENATE("
Meal Plan: ", INDEX(sessions_nutrition,,INDEX(plan_session_allocation,((WEEKDAY(E$3,2)*2-1)+IF(E871="Morning",0,1)),D871)), "
", INDEX(display_nutrition_description,((WEEKDAY(E$3,2)*2-1)+IF(E871="Morning",0,1)),D871)))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877" s="1914"/>
      <c r="F877" s="1914"/>
      <c r="G877" s="1915"/>
      <c r="H877" s="177"/>
      <c r="I877" s="1913" t="str">
        <f ca="1">IF(L871&gt;0,CONCATENATE(IFERROR(CONCATENATE(IF(INDEX(display_intervals_breakdown,((WEEKDAY(J$3,2)*2-1)+IF(J871="Morning",0,1)),I871)="","",CONCATENATE("Intervals/Reps Breakdown: 
",INDEX(display_intervals_breakdown,((WEEKDAY(J$3,2)*2-1)+IF(J871="Morning",0,1)),I871),"
")),"Session Description: 
",CONCATENATE(IF(INDEX(final_duration_secondary,((WEEKDAY(J$3,2)*2-1)+IF(J871="Morning",0,1)),I871)=0,"","1. "),
INDEX(sessions_description_primary,,INDEX(plan_session_allocation,((WEEKDAY(J$3,2)*2-1)+IF(J871="Morning",0,1)),I871)),IF(INDEX(final_duration_secondary,((WEEKDAY(J$3,2)*2-1)+IF(J871="Morning",0,1)),I871)=0,"","
2. "),
IF(INDEX(final_duration_secondary,((WEEKDAY(J$3,2)*2-1)+IF(J871="Morning",0,1)),I871)=0,"",INDEX(sessions_description_secondary,,INDEX(plan_session_allocation,((WEEKDAY(J$3,2)*2-1)+IF(J871="Morning",0,1)),I871))),IF(INDEX(final_duration_tertiary,((WEEKDAY(J$3,2)*2-1)+IF(J871="Morning",0,1)),I871)=0,"","
3. "),
IF(INDEX(final_duration_tertiary,((WEEKDAY(J$3,2)*2-1)+IF(J871="Morning",0,1)),I871)="","",INDEX(sessions_description_tertiary,,INDEX(plan_session_allocation,((WEEKDAY(J$3,2)*2-1)+IF(J871="Morning",0,1)),I871))),
IF(INDEX(display_nutrition_description,((WEEKDAY(J$3,2)*2-1)+IF(J871="Morning",0,1)),I871)="","",
CONCATENATE("
Meal Plan: ", INDEX(sessions_nutrition,,INDEX(plan_session_allocation,((WEEKDAY(J$3,2)*2-1)+IF(J871="Morning",0,1)),I871)), "
", INDEX(display_nutrition_description,((WEEKDAY(J$3,2)*2-1)+IF(J871="Morning",0,1)),I871)))
)),"")),"")</f>
        <v>Session Description: 
Accelerate to a fast pace which you should be able to hold for 50 minutes in a race situation. This will take concentration, but it's important to keep the intensity even, so do not start too hard. Warm up and warm down for 10 minutes each.</v>
      </c>
      <c r="J877" s="1914"/>
      <c r="K877" s="1914"/>
      <c r="L877" s="1915"/>
      <c r="M877" s="177"/>
      <c r="N877" s="1913" t="str">
        <f ca="1">IF(Q871&gt;0,CONCATENATE(IFERROR(CONCATENATE(IF(INDEX(display_intervals_breakdown,((WEEKDAY(O$3,2)*2-1)+IF(O871="Morning",0,1)),N871)="","",CONCATENATE("Intervals/Reps Breakdown: 
",INDEX(display_intervals_breakdown,((WEEKDAY(O$3,2)*2-1)+IF(O871="Morning",0,1)),N871),"
")),"Session Description: 
",CONCATENATE(IF(INDEX(final_duration_secondary,((WEEKDAY(O$3,2)*2-1)+IF(O871="Morning",0,1)),N871)=0,"","1. "),
INDEX(sessions_description_primary,,INDEX(plan_session_allocation,((WEEKDAY(O$3,2)*2-1)+IF(O871="Morning",0,1)),N871)),IF(INDEX(final_duration_secondary,((WEEKDAY(O$3,2)*2-1)+IF(O871="Morning",0,1)),N871)=0,"","
2. "),
IF(INDEX(final_duration_secondary,((WEEKDAY(O$3,2)*2-1)+IF(O871="Morning",0,1)),N871)=0,"",INDEX(sessions_description_secondary,,INDEX(plan_session_allocation,((WEEKDAY(O$3,2)*2-1)+IF(O871="Morning",0,1)),N871))),IF(INDEX(final_duration_tertiary,((WEEKDAY(O$3,2)*2-1)+IF(O871="Morning",0,1)),N871)=0,"","
3. "),
IF(INDEX(final_duration_tertiary,((WEEKDAY(O$3,2)*2-1)+IF(O871="Morning",0,1)),N871)="","",INDEX(sessions_description_tertiary,,INDEX(plan_session_allocation,((WEEKDAY(O$3,2)*2-1)+IF(O871="Morning",0,1)),N871))),
IF(INDEX(display_nutrition_description,((WEEKDAY(O$3,2)*2-1)+IF(O871="Morning",0,1)),N871)="","",
CONCATENATE("
Meal Plan: ", INDEX(sessions_nutrition,,INDEX(plan_session_allocation,((WEEKDAY(O$3,2)*2-1)+IF(O871="Morning",0,1)),N871)), "
", INDEX(display_nutrition_description,((WEEKDAY(O$3,2)*2-1)+IF(O871="Morning",0,1)),N871)))
)),"")),"")</f>
        <v>Session Description: 
Stay at a comfortable and controlled intensity where you should be able to have a conversation without large pauses. Keep an even intensity and accept that your pace may change as the terrain changes.</v>
      </c>
      <c r="O877" s="1914"/>
      <c r="P877" s="1914"/>
      <c r="Q877" s="1915"/>
      <c r="R877" s="177"/>
      <c r="S877" s="1913" t="str">
        <f ca="1">IF(V871&gt;0,CONCATENATE(IFERROR(CONCATENATE(IF(INDEX(display_intervals_breakdown,((WEEKDAY(T$3,2)*2-1)+IF(T871="Morning",0,1)),S871)="","",CONCATENATE("Intervals/Reps Breakdown: 
",INDEX(display_intervals_breakdown,((WEEKDAY(T$3,2)*2-1)+IF(T871="Morning",0,1)),S871),"
")),"Session Description: 
",CONCATENATE(IF(INDEX(final_duration_secondary,((WEEKDAY(T$3,2)*2-1)+IF(T871="Morning",0,1)),S871)=0,"","1. "),
INDEX(sessions_description_primary,,INDEX(plan_session_allocation,((WEEKDAY(T$3,2)*2-1)+IF(T871="Morning",0,1)),S871)),IF(INDEX(final_duration_secondary,((WEEKDAY(T$3,2)*2-1)+IF(T871="Morning",0,1)),S871)=0,"","
2. "),
IF(INDEX(final_duration_secondary,((WEEKDAY(T$3,2)*2-1)+IF(T871="Morning",0,1)),S871)=0,"",INDEX(sessions_description_secondary,,INDEX(plan_session_allocation,((WEEKDAY(T$3,2)*2-1)+IF(T871="Morning",0,1)),S871))),IF(INDEX(final_duration_tertiary,((WEEKDAY(T$3,2)*2-1)+IF(T871="Morning",0,1)),S871)=0,"","
3. "),
IF(INDEX(final_duration_tertiary,((WEEKDAY(T$3,2)*2-1)+IF(T871="Morning",0,1)),S871)="","",INDEX(sessions_description_tertiary,,INDEX(plan_session_allocation,((WEEKDAY(T$3,2)*2-1)+IF(T871="Morning",0,1)),S871))),
IF(INDEX(display_nutrition_description,((WEEKDAY(T$3,2)*2-1)+IF(T871="Morning",0,1)),S871)="","",
CONCATENATE("
Meal Plan: ", INDEX(sessions_nutrition,,INDEX(plan_session_allocation,((WEEKDAY(T$3,2)*2-1)+IF(T871="Morning",0,1)),S871)), "
", INDEX(display_nutrition_description,((WEEKDAY(T$3,2)*2-1)+IF(T871="Morning",0,1)),S871)))
)),"")),"")</f>
        <v>Intervals/Reps Breakdown: 
Efforts of: 1km x4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T877" s="1914"/>
      <c r="U877" s="1914"/>
      <c r="V877" s="1915"/>
      <c r="W877" s="177"/>
      <c r="X877" s="1913" t="str">
        <f ca="1">IF(AA871&gt;0,CONCATENATE(IFERROR(CONCATENATE(IF(INDEX(display_intervals_breakdown,((WEEKDAY(Y$3,2)*2-1)+IF(Y871="Morning",0,1)),X871)="","",CONCATENATE("Intervals/Reps Breakdown: 
",INDEX(display_intervals_breakdown,((WEEKDAY(Y$3,2)*2-1)+IF(Y871="Morning",0,1)),X871),"
")),"Session Description: 
",CONCATENATE(IF(INDEX(final_duration_secondary,((WEEKDAY(Y$3,2)*2-1)+IF(Y871="Morning",0,1)),X871)=0,"","1. "),
INDEX(sessions_description_primary,,INDEX(plan_session_allocation,((WEEKDAY(Y$3,2)*2-1)+IF(Y871="Morning",0,1)),X871)),IF(INDEX(final_duration_secondary,((WEEKDAY(Y$3,2)*2-1)+IF(Y871="Morning",0,1)),X871)=0,"","
2. "),
IF(INDEX(final_duration_secondary,((WEEKDAY(Y$3,2)*2-1)+IF(Y871="Morning",0,1)),X871)=0,"",INDEX(sessions_description_secondary,,INDEX(plan_session_allocation,((WEEKDAY(Y$3,2)*2-1)+IF(Y871="Morning",0,1)),X871))),IF(INDEX(final_duration_tertiary,((WEEKDAY(Y$3,2)*2-1)+IF(Y871="Morning",0,1)),X871)=0,"","
3. "),
IF(INDEX(final_duration_tertiary,((WEEKDAY(Y$3,2)*2-1)+IF(Y871="Morning",0,1)),X871)="","",INDEX(sessions_description_tertiary,,INDEX(plan_session_allocation,((WEEKDAY(Y$3,2)*2-1)+IF(Y871="Morning",0,1)),X871))),
IF(INDEX(display_nutrition_description,((WEEKDAY(Y$3,2)*2-1)+IF(Y871="Morning",0,1)),X871)="","",
CONCATENATE("
Meal Plan: ", INDEX(sessions_nutrition,,INDEX(plan_session_allocation,((WEEKDAY(Y$3,2)*2-1)+IF(Y871="Morning",0,1)),X871)), "
", INDEX(display_nutrition_description,((WEEKDAY(Y$3,2)*2-1)+IF(Y871="Morning",0,1)),X871)))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877" s="1914"/>
      <c r="Z877" s="1914"/>
      <c r="AA877" s="1915"/>
      <c r="AB877" s="177"/>
      <c r="AC877" s="1913" t="str">
        <f ca="1">IF(AF871&gt;0,CONCATENATE(IFERROR(CONCATENATE(IF(INDEX(display_intervals_breakdown,((WEEKDAY(AD$3,2)*2-1)+IF(AD871="Morning",0,1)),AC871)="","",CONCATENATE("Intervals/Reps Breakdown: 
",INDEX(display_intervals_breakdown,((WEEKDAY(AD$3,2)*2-1)+IF(AD871="Morning",0,1)),AC871),"
")),"Session Description: 
",CONCATENATE(IF(INDEX(final_duration_secondary,((WEEKDAY(AD$3,2)*2-1)+IF(AD871="Morning",0,1)),AC871)=0,"","1. "),
INDEX(sessions_description_primary,,INDEX(plan_session_allocation,((WEEKDAY(AD$3,2)*2-1)+IF(AD871="Morning",0,1)),AC871)),IF(INDEX(final_duration_secondary,((WEEKDAY(AD$3,2)*2-1)+IF(AD871="Morning",0,1)),AC871)=0,"","
2. "),
IF(INDEX(final_duration_secondary,((WEEKDAY(AD$3,2)*2-1)+IF(AD871="Morning",0,1)),AC871)=0,"",INDEX(sessions_description_secondary,,INDEX(plan_session_allocation,((WEEKDAY(AD$3,2)*2-1)+IF(AD871="Morning",0,1)),AC871))),IF(INDEX(final_duration_tertiary,((WEEKDAY(AD$3,2)*2-1)+IF(AD871="Morning",0,1)),AC871)=0,"","
3. "),
IF(INDEX(final_duration_tertiary,((WEEKDAY(AD$3,2)*2-1)+IF(AD871="Morning",0,1)),AC871)="","",INDEX(sessions_description_tertiary,,INDEX(plan_session_allocation,((WEEKDAY(AD$3,2)*2-1)+IF(AD871="Morning",0,1)),AC871))),
IF(INDEX(display_nutrition_description,((WEEKDAY(AD$3,2)*2-1)+IF(AD871="Morning",0,1)),AC871)="","",
CONCATENATE("
Meal Plan: ", INDEX(sessions_nutrition,,INDEX(plan_session_allocation,((WEEKDAY(AD$3,2)*2-1)+IF(AD871="Morning",0,1)),AC871)), "
", INDEX(display_nutrition_description,((WEEKDAY(AD$3,2)*2-1)+IF(AD871="Morning",0,1)),AC871)))
)),"")),"")</f>
        <v/>
      </c>
      <c r="AD877" s="1914"/>
      <c r="AE877" s="1914"/>
      <c r="AF877" s="1915"/>
      <c r="AG877" s="177"/>
      <c r="AH877" s="1913" t="str">
        <f ca="1">IF(AK871&gt;0,CONCATENATE(IFERROR(CONCATENATE(IF(INDEX(display_intervals_breakdown,((WEEKDAY(AI$3,2)*2-1)+IF(AI871="Morning",0,1)),AH871)="","",CONCATENATE("Intervals/Reps Breakdown: 
",INDEX(display_intervals_breakdown,((WEEKDAY(AI$3,2)*2-1)+IF(AI871="Morning",0,1)),AH871),"
")),"Session Description: 
",CONCATENATE(IF(INDEX(final_duration_secondary,((WEEKDAY(AI$3,2)*2-1)+IF(AI871="Morning",0,1)),AH871)=0,"","1. "),
INDEX(sessions_description_primary,,INDEX(plan_session_allocation,((WEEKDAY(AI$3,2)*2-1)+IF(AI871="Morning",0,1)),AH871)),IF(INDEX(final_duration_secondary,((WEEKDAY(AI$3,2)*2-1)+IF(AI871="Morning",0,1)),AH871)=0,"","
2. "),
IF(INDEX(final_duration_secondary,((WEEKDAY(AI$3,2)*2-1)+IF(AI871="Morning",0,1)),AH871)=0,"",INDEX(sessions_description_secondary,,INDEX(plan_session_allocation,((WEEKDAY(AI$3,2)*2-1)+IF(AI871="Morning",0,1)),AH871))),IF(INDEX(final_duration_tertiary,((WEEKDAY(AI$3,2)*2-1)+IF(AI871="Morning",0,1)),AH871)=0,"","
3. "),
IF(INDEX(final_duration_tertiary,((WEEKDAY(AI$3,2)*2-1)+IF(AI871="Morning",0,1)),AH871)="","",INDEX(sessions_description_tertiary,,INDEX(plan_session_allocation,((WEEKDAY(AI$3,2)*2-1)+IF(AI871="Morning",0,1)),AH871))),
IF(INDEX(display_nutrition_description,((WEEKDAY(AI$3,2)*2-1)+IF(AI871="Morning",0,1)),AH871)="","",
CONCATENATE("
Meal Plan: ", INDEX(sessions_nutrition,,INDEX(plan_session_allocation,((WEEKDAY(AI$3,2)*2-1)+IF(AI871="Morning",0,1)),AH871)), "
", INDEX(display_nutrition_description,((WEEKDAY(AI$3,2)*2-1)+IF(AI871="Morning",0,1)),AH871)))
)),"")),"")</f>
        <v/>
      </c>
      <c r="AI877" s="1914"/>
      <c r="AJ877" s="1914"/>
      <c r="AK877" s="1915"/>
      <c r="AL877" s="177"/>
    </row>
    <row r="878" spans="2:38" s="176" customFormat="1" ht="15" customHeight="1" x14ac:dyDescent="0.45">
      <c r="B878" s="1942"/>
      <c r="C878" s="1945"/>
      <c r="D878" s="1916"/>
      <c r="E878" s="1917"/>
      <c r="F878" s="1917"/>
      <c r="G878" s="1918"/>
      <c r="H878" s="177"/>
      <c r="I878" s="1916"/>
      <c r="J878" s="1917"/>
      <c r="K878" s="1917"/>
      <c r="L878" s="1918"/>
      <c r="M878" s="177"/>
      <c r="N878" s="1916"/>
      <c r="O878" s="1917"/>
      <c r="P878" s="1917"/>
      <c r="Q878" s="1918"/>
      <c r="R878" s="177"/>
      <c r="S878" s="1916"/>
      <c r="T878" s="1917"/>
      <c r="U878" s="1917"/>
      <c r="V878" s="1918"/>
      <c r="W878" s="177"/>
      <c r="X878" s="1916"/>
      <c r="Y878" s="1917"/>
      <c r="Z878" s="1917"/>
      <c r="AA878" s="1918"/>
      <c r="AB878" s="177"/>
      <c r="AC878" s="1916"/>
      <c r="AD878" s="1917"/>
      <c r="AE878" s="1917"/>
      <c r="AF878" s="1918"/>
      <c r="AG878" s="177"/>
      <c r="AH878" s="1916"/>
      <c r="AI878" s="1917"/>
      <c r="AJ878" s="1917"/>
      <c r="AK878" s="1918"/>
      <c r="AL878" s="177"/>
    </row>
    <row r="879" spans="2:38" s="176" customFormat="1" ht="15" customHeight="1" x14ac:dyDescent="0.45">
      <c r="B879" s="1942"/>
      <c r="C879" s="1945"/>
      <c r="D879" s="1916"/>
      <c r="E879" s="1917"/>
      <c r="F879" s="1917"/>
      <c r="G879" s="1918"/>
      <c r="H879" s="177"/>
      <c r="I879" s="1916"/>
      <c r="J879" s="1917"/>
      <c r="K879" s="1917"/>
      <c r="L879" s="1918"/>
      <c r="M879" s="177"/>
      <c r="N879" s="1916"/>
      <c r="O879" s="1917"/>
      <c r="P879" s="1917"/>
      <c r="Q879" s="1918"/>
      <c r="R879" s="177"/>
      <c r="S879" s="1916"/>
      <c r="T879" s="1917"/>
      <c r="U879" s="1917"/>
      <c r="V879" s="1918"/>
      <c r="W879" s="177"/>
      <c r="X879" s="1916"/>
      <c r="Y879" s="1917"/>
      <c r="Z879" s="1917"/>
      <c r="AA879" s="1918"/>
      <c r="AB879" s="177"/>
      <c r="AC879" s="1916"/>
      <c r="AD879" s="1917"/>
      <c r="AE879" s="1917"/>
      <c r="AF879" s="1918"/>
      <c r="AG879" s="177"/>
      <c r="AH879" s="1916"/>
      <c r="AI879" s="1917"/>
      <c r="AJ879" s="1917"/>
      <c r="AK879" s="1918"/>
      <c r="AL879" s="177"/>
    </row>
    <row r="880" spans="2:38" s="176" customFormat="1" x14ac:dyDescent="0.45">
      <c r="B880" s="1942"/>
      <c r="C880" s="1945"/>
      <c r="D880" s="1916"/>
      <c r="E880" s="1917"/>
      <c r="F880" s="1917"/>
      <c r="G880" s="1918"/>
      <c r="H880" s="177"/>
      <c r="I880" s="1916"/>
      <c r="J880" s="1917"/>
      <c r="K880" s="1917"/>
      <c r="L880" s="1918"/>
      <c r="M880" s="177"/>
      <c r="N880" s="1916"/>
      <c r="O880" s="1917"/>
      <c r="P880" s="1917"/>
      <c r="Q880" s="1918"/>
      <c r="R880" s="177"/>
      <c r="S880" s="1916"/>
      <c r="T880" s="1917"/>
      <c r="U880" s="1917"/>
      <c r="V880" s="1918"/>
      <c r="W880" s="177"/>
      <c r="X880" s="1916"/>
      <c r="Y880" s="1917"/>
      <c r="Z880" s="1917"/>
      <c r="AA880" s="1918"/>
      <c r="AB880" s="177"/>
      <c r="AC880" s="1916"/>
      <c r="AD880" s="1917"/>
      <c r="AE880" s="1917"/>
      <c r="AF880" s="1918"/>
      <c r="AG880" s="177"/>
      <c r="AH880" s="1916"/>
      <c r="AI880" s="1917"/>
      <c r="AJ880" s="1917"/>
      <c r="AK880" s="1918"/>
      <c r="AL880" s="177"/>
    </row>
    <row r="881" spans="2:38" s="176" customFormat="1" x14ac:dyDescent="0.45">
      <c r="B881" s="1942"/>
      <c r="C881" s="1945"/>
      <c r="D881" s="1916"/>
      <c r="E881" s="1917"/>
      <c r="F881" s="1917"/>
      <c r="G881" s="1918"/>
      <c r="H881" s="177"/>
      <c r="I881" s="1916"/>
      <c r="J881" s="1917"/>
      <c r="K881" s="1917"/>
      <c r="L881" s="1918"/>
      <c r="M881" s="177"/>
      <c r="N881" s="1916"/>
      <c r="O881" s="1917"/>
      <c r="P881" s="1917"/>
      <c r="Q881" s="1918"/>
      <c r="R881" s="177"/>
      <c r="S881" s="1916"/>
      <c r="T881" s="1917"/>
      <c r="U881" s="1917"/>
      <c r="V881" s="1918"/>
      <c r="W881" s="177"/>
      <c r="X881" s="1916"/>
      <c r="Y881" s="1917"/>
      <c r="Z881" s="1917"/>
      <c r="AA881" s="1918"/>
      <c r="AB881" s="177"/>
      <c r="AC881" s="1916"/>
      <c r="AD881" s="1917"/>
      <c r="AE881" s="1917"/>
      <c r="AF881" s="1918"/>
      <c r="AG881" s="177"/>
      <c r="AH881" s="1916"/>
      <c r="AI881" s="1917"/>
      <c r="AJ881" s="1917"/>
      <c r="AK881" s="1918"/>
      <c r="AL881" s="177"/>
    </row>
    <row r="882" spans="2:38" s="176" customFormat="1" x14ac:dyDescent="0.45">
      <c r="B882" s="1942"/>
      <c r="C882" s="1945"/>
      <c r="D882" s="1916"/>
      <c r="E882" s="1917"/>
      <c r="F882" s="1917"/>
      <c r="G882" s="1918"/>
      <c r="H882" s="177"/>
      <c r="I882" s="1916"/>
      <c r="J882" s="1917"/>
      <c r="K882" s="1917"/>
      <c r="L882" s="1918"/>
      <c r="M882" s="177"/>
      <c r="N882" s="1916"/>
      <c r="O882" s="1917"/>
      <c r="P882" s="1917"/>
      <c r="Q882" s="1918"/>
      <c r="R882" s="177"/>
      <c r="S882" s="1916"/>
      <c r="T882" s="1917"/>
      <c r="U882" s="1917"/>
      <c r="V882" s="1918"/>
      <c r="W882" s="177"/>
      <c r="X882" s="1916"/>
      <c r="Y882" s="1917"/>
      <c r="Z882" s="1917"/>
      <c r="AA882" s="1918"/>
      <c r="AB882" s="177"/>
      <c r="AC882" s="1916"/>
      <c r="AD882" s="1917"/>
      <c r="AE882" s="1917"/>
      <c r="AF882" s="1918"/>
      <c r="AG882" s="177"/>
      <c r="AH882" s="1916"/>
      <c r="AI882" s="1917"/>
      <c r="AJ882" s="1917"/>
      <c r="AK882" s="1918"/>
      <c r="AL882" s="177"/>
    </row>
    <row r="883" spans="2:38" s="176" customFormat="1" ht="15" customHeight="1" x14ac:dyDescent="0.45">
      <c r="B883" s="1942"/>
      <c r="C883" s="1945"/>
      <c r="D883" s="1916"/>
      <c r="E883" s="1917"/>
      <c r="F883" s="1917"/>
      <c r="G883" s="1918"/>
      <c r="H883" s="177"/>
      <c r="I883" s="1916"/>
      <c r="J883" s="1917"/>
      <c r="K883" s="1917"/>
      <c r="L883" s="1918"/>
      <c r="M883" s="177"/>
      <c r="N883" s="1916"/>
      <c r="O883" s="1917"/>
      <c r="P883" s="1917"/>
      <c r="Q883" s="1918"/>
      <c r="R883" s="177"/>
      <c r="S883" s="1916"/>
      <c r="T883" s="1917"/>
      <c r="U883" s="1917"/>
      <c r="V883" s="1918"/>
      <c r="W883" s="177"/>
      <c r="X883" s="1916"/>
      <c r="Y883" s="1917"/>
      <c r="Z883" s="1917"/>
      <c r="AA883" s="1918"/>
      <c r="AB883" s="177"/>
      <c r="AC883" s="1916"/>
      <c r="AD883" s="1917"/>
      <c r="AE883" s="1917"/>
      <c r="AF883" s="1918"/>
      <c r="AG883" s="177"/>
      <c r="AH883" s="1916"/>
      <c r="AI883" s="1917"/>
      <c r="AJ883" s="1917"/>
      <c r="AK883" s="1918"/>
      <c r="AL883" s="177"/>
    </row>
    <row r="884" spans="2:38" s="176" customFormat="1" ht="15" customHeight="1" x14ac:dyDescent="0.45">
      <c r="B884" s="1942"/>
      <c r="C884" s="1945"/>
      <c r="D884" s="1916"/>
      <c r="E884" s="1917"/>
      <c r="F884" s="1917"/>
      <c r="G884" s="1918"/>
      <c r="H884" s="177"/>
      <c r="I884" s="1916"/>
      <c r="J884" s="1917"/>
      <c r="K884" s="1917"/>
      <c r="L884" s="1918"/>
      <c r="M884" s="177"/>
      <c r="N884" s="1916"/>
      <c r="O884" s="1917"/>
      <c r="P884" s="1917"/>
      <c r="Q884" s="1918"/>
      <c r="R884" s="177"/>
      <c r="S884" s="1916"/>
      <c r="T884" s="1917"/>
      <c r="U884" s="1917"/>
      <c r="V884" s="1918"/>
      <c r="W884" s="177"/>
      <c r="X884" s="1916"/>
      <c r="Y884" s="1917"/>
      <c r="Z884" s="1917"/>
      <c r="AA884" s="1918"/>
      <c r="AB884" s="177"/>
      <c r="AC884" s="1916"/>
      <c r="AD884" s="1917"/>
      <c r="AE884" s="1917"/>
      <c r="AF884" s="1918"/>
      <c r="AG884" s="177"/>
      <c r="AH884" s="1916"/>
      <c r="AI884" s="1917"/>
      <c r="AJ884" s="1917"/>
      <c r="AK884" s="1918"/>
      <c r="AL884" s="177"/>
    </row>
    <row r="885" spans="2:38" s="176" customFormat="1" x14ac:dyDescent="0.45">
      <c r="B885" s="1942"/>
      <c r="C885" s="1945"/>
      <c r="D885" s="1916"/>
      <c r="E885" s="1917"/>
      <c r="F885" s="1917"/>
      <c r="G885" s="1918"/>
      <c r="H885" s="177"/>
      <c r="I885" s="1916"/>
      <c r="J885" s="1917"/>
      <c r="K885" s="1917"/>
      <c r="L885" s="1918"/>
      <c r="M885" s="177"/>
      <c r="N885" s="1916"/>
      <c r="O885" s="1917"/>
      <c r="P885" s="1917"/>
      <c r="Q885" s="1918"/>
      <c r="R885" s="177"/>
      <c r="S885" s="1916"/>
      <c r="T885" s="1917"/>
      <c r="U885" s="1917"/>
      <c r="V885" s="1918"/>
      <c r="W885" s="177"/>
      <c r="X885" s="1916"/>
      <c r="Y885" s="1917"/>
      <c r="Z885" s="1917"/>
      <c r="AA885" s="1918"/>
      <c r="AB885" s="177"/>
      <c r="AC885" s="1916"/>
      <c r="AD885" s="1917"/>
      <c r="AE885" s="1917"/>
      <c r="AF885" s="1918"/>
      <c r="AG885" s="177"/>
      <c r="AH885" s="1916"/>
      <c r="AI885" s="1917"/>
      <c r="AJ885" s="1917"/>
      <c r="AK885" s="1918"/>
      <c r="AL885" s="177"/>
    </row>
    <row r="886" spans="2:38" s="176" customFormat="1" x14ac:dyDescent="0.45">
      <c r="B886" s="1942"/>
      <c r="C886" s="1945"/>
      <c r="D886" s="1916"/>
      <c r="E886" s="1917"/>
      <c r="F886" s="1917"/>
      <c r="G886" s="1918"/>
      <c r="H886" s="177"/>
      <c r="I886" s="1916"/>
      <c r="J886" s="1917"/>
      <c r="K886" s="1917"/>
      <c r="L886" s="1918"/>
      <c r="M886" s="177"/>
      <c r="N886" s="1916"/>
      <c r="O886" s="1917"/>
      <c r="P886" s="1917"/>
      <c r="Q886" s="1918"/>
      <c r="R886" s="177"/>
      <c r="S886" s="1916"/>
      <c r="T886" s="1917"/>
      <c r="U886" s="1917"/>
      <c r="V886" s="1918"/>
      <c r="W886" s="177"/>
      <c r="X886" s="1916"/>
      <c r="Y886" s="1917"/>
      <c r="Z886" s="1917"/>
      <c r="AA886" s="1918"/>
      <c r="AB886" s="177"/>
      <c r="AC886" s="1916"/>
      <c r="AD886" s="1917"/>
      <c r="AE886" s="1917"/>
      <c r="AF886" s="1918"/>
      <c r="AG886" s="177"/>
      <c r="AH886" s="1916"/>
      <c r="AI886" s="1917"/>
      <c r="AJ886" s="1917"/>
      <c r="AK886" s="1918"/>
      <c r="AL886" s="177"/>
    </row>
    <row r="887" spans="2:38" s="176" customFormat="1" x14ac:dyDescent="0.45">
      <c r="B887" s="1942"/>
      <c r="C887" s="1945"/>
      <c r="D887" s="1916"/>
      <c r="E887" s="1917"/>
      <c r="F887" s="1917"/>
      <c r="G887" s="1918"/>
      <c r="H887" s="177"/>
      <c r="I887" s="1916"/>
      <c r="J887" s="1917"/>
      <c r="K887" s="1917"/>
      <c r="L887" s="1918"/>
      <c r="M887" s="177"/>
      <c r="N887" s="1916"/>
      <c r="O887" s="1917"/>
      <c r="P887" s="1917"/>
      <c r="Q887" s="1918"/>
      <c r="R887" s="177"/>
      <c r="S887" s="1916"/>
      <c r="T887" s="1917"/>
      <c r="U887" s="1917"/>
      <c r="V887" s="1918"/>
      <c r="W887" s="177"/>
      <c r="X887" s="1916"/>
      <c r="Y887" s="1917"/>
      <c r="Z887" s="1917"/>
      <c r="AA887" s="1918"/>
      <c r="AB887" s="177"/>
      <c r="AC887" s="1916"/>
      <c r="AD887" s="1917"/>
      <c r="AE887" s="1917"/>
      <c r="AF887" s="1918"/>
      <c r="AG887" s="177"/>
      <c r="AH887" s="1916"/>
      <c r="AI887" s="1917"/>
      <c r="AJ887" s="1917"/>
      <c r="AK887" s="1918"/>
      <c r="AL887" s="177"/>
    </row>
    <row r="888" spans="2:38" s="176" customFormat="1" x14ac:dyDescent="0.45">
      <c r="B888" s="1942"/>
      <c r="C888" s="1945"/>
      <c r="D888" s="1916"/>
      <c r="E888" s="1917"/>
      <c r="F888" s="1917"/>
      <c r="G888" s="1918"/>
      <c r="H888" s="177"/>
      <c r="I888" s="1916"/>
      <c r="J888" s="1917"/>
      <c r="K888" s="1917"/>
      <c r="L888" s="1918"/>
      <c r="M888" s="177"/>
      <c r="N888" s="1916"/>
      <c r="O888" s="1917"/>
      <c r="P888" s="1917"/>
      <c r="Q888" s="1918"/>
      <c r="R888" s="177"/>
      <c r="S888" s="1916"/>
      <c r="T888" s="1917"/>
      <c r="U888" s="1917"/>
      <c r="V888" s="1918"/>
      <c r="W888" s="177"/>
      <c r="X888" s="1916"/>
      <c r="Y888" s="1917"/>
      <c r="Z888" s="1917"/>
      <c r="AA888" s="1918"/>
      <c r="AB888" s="177"/>
      <c r="AC888" s="1916"/>
      <c r="AD888" s="1917"/>
      <c r="AE888" s="1917"/>
      <c r="AF888" s="1918"/>
      <c r="AG888" s="177"/>
      <c r="AH888" s="1916"/>
      <c r="AI888" s="1917"/>
      <c r="AJ888" s="1917"/>
      <c r="AK888" s="1918"/>
      <c r="AL888" s="177"/>
    </row>
    <row r="889" spans="2:38" s="176" customFormat="1" x14ac:dyDescent="0.45">
      <c r="B889" s="1942"/>
      <c r="C889" s="1945"/>
      <c r="D889" s="1916"/>
      <c r="E889" s="1917"/>
      <c r="F889" s="1917"/>
      <c r="G889" s="1918"/>
      <c r="H889" s="177"/>
      <c r="I889" s="1916"/>
      <c r="J889" s="1917"/>
      <c r="K889" s="1917"/>
      <c r="L889" s="1918"/>
      <c r="M889" s="177"/>
      <c r="N889" s="1916"/>
      <c r="O889" s="1917"/>
      <c r="P889" s="1917"/>
      <c r="Q889" s="1918"/>
      <c r="R889" s="177"/>
      <c r="S889" s="1916"/>
      <c r="T889" s="1917"/>
      <c r="U889" s="1917"/>
      <c r="V889" s="1918"/>
      <c r="W889" s="177"/>
      <c r="X889" s="1916"/>
      <c r="Y889" s="1917"/>
      <c r="Z889" s="1917"/>
      <c r="AA889" s="1918"/>
      <c r="AB889" s="177"/>
      <c r="AC889" s="1916"/>
      <c r="AD889" s="1917"/>
      <c r="AE889" s="1917"/>
      <c r="AF889" s="1918"/>
      <c r="AG889" s="177"/>
      <c r="AH889" s="1916"/>
      <c r="AI889" s="1917"/>
      <c r="AJ889" s="1917"/>
      <c r="AK889" s="1918"/>
      <c r="AL889" s="177"/>
    </row>
    <row r="890" spans="2:38" s="176" customFormat="1" ht="15" customHeight="1" x14ac:dyDescent="0.45">
      <c r="B890" s="1942"/>
      <c r="C890" s="1945"/>
      <c r="D890" s="1919"/>
      <c r="E890" s="1920"/>
      <c r="F890" s="1920"/>
      <c r="G890" s="1921"/>
      <c r="H890" s="177"/>
      <c r="I890" s="1919"/>
      <c r="J890" s="1920"/>
      <c r="K890" s="1920"/>
      <c r="L890" s="1921"/>
      <c r="M890" s="177"/>
      <c r="N890" s="1919"/>
      <c r="O890" s="1920"/>
      <c r="P890" s="1920"/>
      <c r="Q890" s="1921"/>
      <c r="R890" s="177"/>
      <c r="S890" s="1919"/>
      <c r="T890" s="1920"/>
      <c r="U890" s="1920"/>
      <c r="V890" s="1921"/>
      <c r="W890" s="177"/>
      <c r="X890" s="1919"/>
      <c r="Y890" s="1920"/>
      <c r="Z890" s="1920"/>
      <c r="AA890" s="1921"/>
      <c r="AB890" s="177"/>
      <c r="AC890" s="1919"/>
      <c r="AD890" s="1920"/>
      <c r="AE890" s="1920"/>
      <c r="AF890" s="1921"/>
      <c r="AG890" s="177"/>
      <c r="AH890" s="1919"/>
      <c r="AI890" s="1920"/>
      <c r="AJ890" s="1920"/>
      <c r="AK890" s="1921"/>
      <c r="AL890" s="177"/>
    </row>
    <row r="891" spans="2:38" s="176" customFormat="1" ht="15" customHeight="1" x14ac:dyDescent="0.45">
      <c r="B891" s="1942"/>
      <c r="C891" s="1945"/>
      <c r="D891" s="1913" t="str">
        <f ca="1">IF(G871&gt;0,CONCATENATE("Session Aim: 
", CONCATENATE(IF(INDEX(final_duration_secondary,((WEEKDAY(E$3,2)*2-1)+IF(E871="Morning",0,1)),D871)=0, "", "1. "),
INDEX(sessions_aim_primary,, INDEX(plan_session_allocation,((WEEKDAY(E$3,2)*2-1)+IF(E871="Morning",0,1)),D871)), IF(INDEX(final_duration_secondary,((WEEKDAY(E$3,2)*2-1)+IF(E871="Morning",0,1)),D871)=0, "", "
2. "),
IF(INDEX(final_duration_secondary,((WEEKDAY(E$3,2)*2-1)+IF(E871="Morning",0,1)),D871)=0, "", INDEX(sessions_aim_secondary,, INDEX(plan_session_allocation,((WEEKDAY(E$3,2)*2-1)+IF(E871="Morning",0,1)),D871))), IF(INDEX(final_duration_tertiary,((WEEKDAY(E$3,2)*2-1)+IF(E871="Morning",0,1)),D871)=0, "", "
3. "),
IF(INDEX(final_duration_tertiary,((WEEKDAY(E$3,2)*2-1)+IF(E871="Morning",0,1)),D871)=0, "", INDEX(sessions_aim_tertiary,, INDEX(plan_session_allocation,((WEEKDAY(E$3,2)*2-1)+IF(E871="Morning",0,1)),D871))),
IF(INDEX(display_nutrition_description,((WEEKDAY(E$3,2)*2-1)+IF(E871="Morning",0,1)),D871)="","",
CONCATENATE("
Nutrition Aim:
", INDEX(sessions_aim_nutrition,,INDEX(plan_session_allocation,((WEEKDAY(E$3,2)*2-1)+IF(E871="Morning",0,1)),D871))
))
)),"")</f>
        <v xml:space="preserve">Session Aim: 
1. Increase strength of specific muscle groups, running economy and injury resistance. 
2. Release tension that develops in soft tissue from training and non-training stresses. </v>
      </c>
      <c r="E891" s="1914"/>
      <c r="F891" s="1914"/>
      <c r="G891" s="1915"/>
      <c r="H891" s="177"/>
      <c r="I891" s="1913" t="str">
        <f ca="1">IF(L871&gt;0,CONCATENATE("Session Aim: 
", CONCATENATE(IF(INDEX(final_duration_secondary,((WEEKDAY(J$3,2)*2-1)+IF(J871="Morning",0,1)),I871)=0, "", "1. "),
INDEX(sessions_aim_primary,, INDEX(plan_session_allocation,((WEEKDAY(J$3,2)*2-1)+IF(J871="Morning",0,1)),I871)), IF(INDEX(final_duration_secondary,((WEEKDAY(J$3,2)*2-1)+IF(J871="Morning",0,1)),I871)=0, "", "
2. "),
IF(INDEX(final_duration_secondary,((WEEKDAY(J$3,2)*2-1)+IF(J871="Morning",0,1)),I871)=0, "", INDEX(sessions_aim_secondary,, INDEX(plan_session_allocation,((WEEKDAY(J$3,2)*2-1)+IF(J871="Morning",0,1)),I871))), IF(INDEX(final_duration_tertiary,((WEEKDAY(J$3,2)*2-1)+IF(J871="Morning",0,1)),I871)=0, "", "
3. "),
IF(INDEX(final_duration_tertiary,((WEEKDAY(J$3,2)*2-1)+IF(J871="Morning",0,1)),I871)=0, "", INDEX(sessions_aim_tertiary,, INDEX(plan_session_allocation,((WEEKDAY(J$3,2)*2-1)+IF(J871="Morning",0,1)),I871))),
IF(INDEX(display_nutrition_description,((WEEKDAY(J$3,2)*2-1)+IF(J871="Morning",0,1)),I871)="","",
CONCATENATE("
Nutrition Aim:
", INDEX(sessions_aim_nutrition,,INDEX(plan_session_allocation,((WEEKDAY(J$3,2)*2-1)+IF(J871="Morning",0,1)),I871))
))
)),"")</f>
        <v xml:space="preserve">Session Aim: 
Improve endurance by increasing lactate threshold and developing mental toughness. </v>
      </c>
      <c r="J891" s="1914"/>
      <c r="K891" s="1914"/>
      <c r="L891" s="1915"/>
      <c r="M891" s="177"/>
      <c r="N891" s="1913" t="str">
        <f ca="1">IF(Q871&gt;0,CONCATENATE("Session Aim: 
", CONCATENATE(IF(INDEX(final_duration_secondary,((WEEKDAY(O$3,2)*2-1)+IF(O871="Morning",0,1)),N871)=0, "", "1. "),
INDEX(sessions_aim_primary,, INDEX(plan_session_allocation,((WEEKDAY(O$3,2)*2-1)+IF(O871="Morning",0,1)),N871)), IF(INDEX(final_duration_secondary,((WEEKDAY(O$3,2)*2-1)+IF(O871="Morning",0,1)),N871)=0, "", "
2. "),
IF(INDEX(final_duration_secondary,((WEEKDAY(O$3,2)*2-1)+IF(O871="Morning",0,1)),N871)=0, "", INDEX(sessions_aim_secondary,, INDEX(plan_session_allocation,((WEEKDAY(O$3,2)*2-1)+IF(O871="Morning",0,1)),N871))), IF(INDEX(final_duration_tertiary,((WEEKDAY(O$3,2)*2-1)+IF(O871="Morning",0,1)),N871)=0, "", "
3. "),
IF(INDEX(final_duration_tertiary,((WEEKDAY(O$3,2)*2-1)+IF(O871="Morning",0,1)),N871)=0, "", INDEX(sessions_aim_tertiary,, INDEX(plan_session_allocation,((WEEKDAY(O$3,2)*2-1)+IF(O871="Morning",0,1)),N871))),
IF(INDEX(display_nutrition_description,((WEEKDAY(O$3,2)*2-1)+IF(O871="Morning",0,1)),N871)="","",
CONCATENATE("
Nutrition Aim:
", INDEX(sessions_aim_nutrition,,INDEX(plan_session_allocation,((WEEKDAY(O$3,2)*2-1)+IF(O871="Morning",0,1)),N871))
))
)),"")</f>
        <v xml:space="preserve">Session Aim: 
Improve aerobic fitness while minimising the chance of injury. </v>
      </c>
      <c r="O891" s="1914"/>
      <c r="P891" s="1914"/>
      <c r="Q891" s="1915"/>
      <c r="R891" s="177"/>
      <c r="S891" s="1913" t="str">
        <f ca="1">IF(V871&gt;0,CONCATENATE("Session Aim: 
", CONCATENATE(IF(INDEX(final_duration_secondary,((WEEKDAY(T$3,2)*2-1)+IF(T871="Morning",0,1)),S871)=0, "", "1. "),
INDEX(sessions_aim_primary,, INDEX(plan_session_allocation,((WEEKDAY(T$3,2)*2-1)+IF(T871="Morning",0,1)),S871)), IF(INDEX(final_duration_secondary,((WEEKDAY(T$3,2)*2-1)+IF(T871="Morning",0,1)),S871)=0, "", "
2. "),
IF(INDEX(final_duration_secondary,((WEEKDAY(T$3,2)*2-1)+IF(T871="Morning",0,1)),S871)=0, "", INDEX(sessions_aim_secondary,, INDEX(plan_session_allocation,((WEEKDAY(T$3,2)*2-1)+IF(T871="Morning",0,1)),S871))), IF(INDEX(final_duration_tertiary,((WEEKDAY(T$3,2)*2-1)+IF(T871="Morning",0,1)),S871)=0, "", "
3. "),
IF(INDEX(final_duration_tertiary,((WEEKDAY(T$3,2)*2-1)+IF(T871="Morning",0,1)),S871)=0, "", INDEX(sessions_aim_tertiary,, INDEX(plan_session_allocation,((WEEKDAY(T$3,2)*2-1)+IF(T871="Morning",0,1)),S871))),
IF(INDEX(display_nutrition_description,((WEEKDAY(T$3,2)*2-1)+IF(T871="Morning",0,1)),S871)="","",
CONCATENATE("
Nutrition Aim:
", INDEX(sessions_aim_nutrition,,INDEX(plan_session_allocation,((WEEKDAY(T$3,2)*2-1)+IF(T871="Morning",0,1)),S871))
))
)),"")</f>
        <v xml:space="preserve">Session Aim: 
Improve VO2 max and develop metal toughness. </v>
      </c>
      <c r="T891" s="1914"/>
      <c r="U891" s="1914"/>
      <c r="V891" s="1915"/>
      <c r="W891" s="177"/>
      <c r="X891" s="1913" t="str">
        <f ca="1">IF(AA871&gt;0,CONCATENATE("Session Aim: 
", CONCATENATE(IF(INDEX(final_duration_secondary,((WEEKDAY(Y$3,2)*2-1)+IF(Y871="Morning",0,1)),X871)=0, "", "1. "),
INDEX(sessions_aim_primary,, INDEX(plan_session_allocation,((WEEKDAY(Y$3,2)*2-1)+IF(Y871="Morning",0,1)),X871)), IF(INDEX(final_duration_secondary,((WEEKDAY(Y$3,2)*2-1)+IF(Y871="Morning",0,1)),X871)=0, "", "
2. "),
IF(INDEX(final_duration_secondary,((WEEKDAY(Y$3,2)*2-1)+IF(Y871="Morning",0,1)),X871)=0, "", INDEX(sessions_aim_secondary,, INDEX(plan_session_allocation,((WEEKDAY(Y$3,2)*2-1)+IF(Y871="Morning",0,1)),X871))), IF(INDEX(final_duration_tertiary,((WEEKDAY(Y$3,2)*2-1)+IF(Y871="Morning",0,1)),X871)=0, "", "
3. "),
IF(INDEX(final_duration_tertiary,((WEEKDAY(Y$3,2)*2-1)+IF(Y871="Morning",0,1)),X871)=0, "", INDEX(sessions_aim_tertiary,, INDEX(plan_session_allocation,((WEEKDAY(Y$3,2)*2-1)+IF(Y871="Morning",0,1)),X871))),
IF(INDEX(display_nutrition_description,((WEEKDAY(Y$3,2)*2-1)+IF(Y871="Morning",0,1)),X871)="","",
CONCATENATE("
Nutrition Aim:
", INDEX(sessions_aim_nutrition,,INDEX(plan_session_allocation,((WEEKDAY(Y$3,2)*2-1)+IF(Y871="Morning",0,1)),X871))
))
)),"")</f>
        <v xml:space="preserve">Session Aim: 
1. Increase strength of specific muscle groups, running economy and injury resistance. 
2. Release tension that develops in soft tissue from training and non-training stresses. </v>
      </c>
      <c r="Y891" s="1914"/>
      <c r="Z891" s="1914"/>
      <c r="AA891" s="1915"/>
      <c r="AB891" s="177"/>
      <c r="AC891" s="1913" t="str">
        <f ca="1">IF(AF871&gt;0,CONCATENATE("Session Aim: 
", CONCATENATE(IF(INDEX(final_duration_secondary,((WEEKDAY(AD$3,2)*2-1)+IF(AD871="Morning",0,1)),AC871)=0, "", "1. "),
INDEX(sessions_aim_primary,, INDEX(plan_session_allocation,((WEEKDAY(AD$3,2)*2-1)+IF(AD871="Morning",0,1)),AC871)), IF(INDEX(final_duration_secondary,((WEEKDAY(AD$3,2)*2-1)+IF(AD871="Morning",0,1)),AC871)=0, "", "
2. "),
IF(INDEX(final_duration_secondary,((WEEKDAY(AD$3,2)*2-1)+IF(AD871="Morning",0,1)),AC871)=0, "", INDEX(sessions_aim_secondary,, INDEX(plan_session_allocation,((WEEKDAY(AD$3,2)*2-1)+IF(AD871="Morning",0,1)),AC871))), IF(INDEX(final_duration_tertiary,((WEEKDAY(AD$3,2)*2-1)+IF(AD871="Morning",0,1)),AC871)=0, "", "
3. "),
IF(INDEX(final_duration_tertiary,((WEEKDAY(AD$3,2)*2-1)+IF(AD871="Morning",0,1)),AC871)=0, "", INDEX(sessions_aim_tertiary,, INDEX(plan_session_allocation,((WEEKDAY(AD$3,2)*2-1)+IF(AD871="Morning",0,1)),AC871))),
IF(INDEX(display_nutrition_description,((WEEKDAY(AD$3,2)*2-1)+IF(AD871="Morning",0,1)),AC871)="","",
CONCATENATE("
Nutrition Aim:
", INDEX(sessions_aim_nutrition,,INDEX(plan_session_allocation,((WEEKDAY(AD$3,2)*2-1)+IF(AD871="Morning",0,1)),AC871))
))
)),"")</f>
        <v/>
      </c>
      <c r="AD891" s="1914"/>
      <c r="AE891" s="1914"/>
      <c r="AF891" s="1915"/>
      <c r="AG891" s="177"/>
      <c r="AH891" s="1913" t="str">
        <f ca="1">IF(AK871&gt;0,CONCATENATE("Session Aim: 
", CONCATENATE(IF(INDEX(final_duration_secondary,((WEEKDAY(AI$3,2)*2-1)+IF(AI871="Morning",0,1)),AH871)=0, "", "1. "),
INDEX(sessions_aim_primary,, INDEX(plan_session_allocation,((WEEKDAY(AI$3,2)*2-1)+IF(AI871="Morning",0,1)),AH871)), IF(INDEX(final_duration_secondary,((WEEKDAY(AI$3,2)*2-1)+IF(AI871="Morning",0,1)),AH871)=0, "", "
2. "),
IF(INDEX(final_duration_secondary,((WEEKDAY(AI$3,2)*2-1)+IF(AI871="Morning",0,1)),AH871)=0, "", INDEX(sessions_aim_secondary,, INDEX(plan_session_allocation,((WEEKDAY(AI$3,2)*2-1)+IF(AI871="Morning",0,1)),AH871))), IF(INDEX(final_duration_tertiary,((WEEKDAY(AI$3,2)*2-1)+IF(AI871="Morning",0,1)),AH871)=0, "", "
3. "),
IF(INDEX(final_duration_tertiary,((WEEKDAY(AI$3,2)*2-1)+IF(AI871="Morning",0,1)),AH871)=0, "", INDEX(sessions_aim_tertiary,, INDEX(plan_session_allocation,((WEEKDAY(AI$3,2)*2-1)+IF(AI871="Morning",0,1)),AH871))),
IF(INDEX(display_nutrition_description,((WEEKDAY(AI$3,2)*2-1)+IF(AI871="Morning",0,1)),AH871)="","",
CONCATENATE("
Nutrition Aim:
", INDEX(sessions_aim_nutrition,,INDEX(plan_session_allocation,((WEEKDAY(AI$3,2)*2-1)+IF(AI871="Morning",0,1)),AH871))
))
)),"")</f>
        <v/>
      </c>
      <c r="AI891" s="1914"/>
      <c r="AJ891" s="1914"/>
      <c r="AK891" s="1915"/>
      <c r="AL891" s="177"/>
    </row>
    <row r="892" spans="2:38" s="176" customFormat="1" x14ac:dyDescent="0.45">
      <c r="B892" s="1942"/>
      <c r="C892" s="1945"/>
      <c r="D892" s="1916"/>
      <c r="E892" s="1917"/>
      <c r="F892" s="1917"/>
      <c r="G892" s="1918"/>
      <c r="H892" s="177"/>
      <c r="I892" s="1916"/>
      <c r="J892" s="1917"/>
      <c r="K892" s="1917"/>
      <c r="L892" s="1918"/>
      <c r="M892" s="177"/>
      <c r="N892" s="1916"/>
      <c r="O892" s="1917"/>
      <c r="P892" s="1917"/>
      <c r="Q892" s="1918"/>
      <c r="R892" s="177"/>
      <c r="S892" s="1916"/>
      <c r="T892" s="1917"/>
      <c r="U892" s="1917"/>
      <c r="V892" s="1918"/>
      <c r="W892" s="177"/>
      <c r="X892" s="1916"/>
      <c r="Y892" s="1917"/>
      <c r="Z892" s="1917"/>
      <c r="AA892" s="1918"/>
      <c r="AB892" s="177"/>
      <c r="AC892" s="1916"/>
      <c r="AD892" s="1917"/>
      <c r="AE892" s="1917"/>
      <c r="AF892" s="1918"/>
      <c r="AG892" s="177"/>
      <c r="AH892" s="1916"/>
      <c r="AI892" s="1917"/>
      <c r="AJ892" s="1917"/>
      <c r="AK892" s="1918"/>
      <c r="AL892" s="177"/>
    </row>
    <row r="893" spans="2:38" s="176" customFormat="1" x14ac:dyDescent="0.45">
      <c r="B893" s="1942"/>
      <c r="C893" s="1945"/>
      <c r="D893" s="1916"/>
      <c r="E893" s="1917"/>
      <c r="F893" s="1917"/>
      <c r="G893" s="1918"/>
      <c r="H893" s="177"/>
      <c r="I893" s="1916"/>
      <c r="J893" s="1917"/>
      <c r="K893" s="1917"/>
      <c r="L893" s="1918"/>
      <c r="M893" s="177"/>
      <c r="N893" s="1916"/>
      <c r="O893" s="1917"/>
      <c r="P893" s="1917"/>
      <c r="Q893" s="1918"/>
      <c r="R893" s="177"/>
      <c r="S893" s="1916"/>
      <c r="T893" s="1917"/>
      <c r="U893" s="1917"/>
      <c r="V893" s="1918"/>
      <c r="W893" s="177"/>
      <c r="X893" s="1916"/>
      <c r="Y893" s="1917"/>
      <c r="Z893" s="1917"/>
      <c r="AA893" s="1918"/>
      <c r="AB893" s="177"/>
      <c r="AC893" s="1916"/>
      <c r="AD893" s="1917"/>
      <c r="AE893" s="1917"/>
      <c r="AF893" s="1918"/>
      <c r="AG893" s="177"/>
      <c r="AH893" s="1916"/>
      <c r="AI893" s="1917"/>
      <c r="AJ893" s="1917"/>
      <c r="AK893" s="1918"/>
      <c r="AL893" s="177"/>
    </row>
    <row r="894" spans="2:38" s="176" customFormat="1" x14ac:dyDescent="0.45">
      <c r="B894" s="1942"/>
      <c r="C894" s="1945"/>
      <c r="D894" s="1916"/>
      <c r="E894" s="1917"/>
      <c r="F894" s="1917"/>
      <c r="G894" s="1918"/>
      <c r="H894" s="177"/>
      <c r="I894" s="1916"/>
      <c r="J894" s="1917"/>
      <c r="K894" s="1917"/>
      <c r="L894" s="1918"/>
      <c r="M894" s="177"/>
      <c r="N894" s="1916"/>
      <c r="O894" s="1917"/>
      <c r="P894" s="1917"/>
      <c r="Q894" s="1918"/>
      <c r="R894" s="177"/>
      <c r="S894" s="1916"/>
      <c r="T894" s="1917"/>
      <c r="U894" s="1917"/>
      <c r="V894" s="1918"/>
      <c r="W894" s="177"/>
      <c r="X894" s="1916"/>
      <c r="Y894" s="1917"/>
      <c r="Z894" s="1917"/>
      <c r="AA894" s="1918"/>
      <c r="AB894" s="177"/>
      <c r="AC894" s="1916"/>
      <c r="AD894" s="1917"/>
      <c r="AE894" s="1917"/>
      <c r="AF894" s="1918"/>
      <c r="AG894" s="177"/>
      <c r="AH894" s="1916"/>
      <c r="AI894" s="1917"/>
      <c r="AJ894" s="1917"/>
      <c r="AK894" s="1918"/>
      <c r="AL894" s="177"/>
    </row>
    <row r="895" spans="2:38" s="176" customFormat="1" x14ac:dyDescent="0.45">
      <c r="B895" s="1942"/>
      <c r="C895" s="1945"/>
      <c r="D895" s="1916"/>
      <c r="E895" s="1917"/>
      <c r="F895" s="1917"/>
      <c r="G895" s="1918"/>
      <c r="H895" s="177"/>
      <c r="I895" s="1916"/>
      <c r="J895" s="1917"/>
      <c r="K895" s="1917"/>
      <c r="L895" s="1918"/>
      <c r="M895" s="177"/>
      <c r="N895" s="1916"/>
      <c r="O895" s="1917"/>
      <c r="P895" s="1917"/>
      <c r="Q895" s="1918"/>
      <c r="R895" s="177"/>
      <c r="S895" s="1916"/>
      <c r="T895" s="1917"/>
      <c r="U895" s="1917"/>
      <c r="V895" s="1918"/>
      <c r="W895" s="177"/>
      <c r="X895" s="1916"/>
      <c r="Y895" s="1917"/>
      <c r="Z895" s="1917"/>
      <c r="AA895" s="1918"/>
      <c r="AB895" s="177"/>
      <c r="AC895" s="1916"/>
      <c r="AD895" s="1917"/>
      <c r="AE895" s="1917"/>
      <c r="AF895" s="1918"/>
      <c r="AG895" s="177"/>
      <c r="AH895" s="1916"/>
      <c r="AI895" s="1917"/>
      <c r="AJ895" s="1917"/>
      <c r="AK895" s="1918"/>
      <c r="AL895" s="177"/>
    </row>
    <row r="896" spans="2:38" s="176" customFormat="1" x14ac:dyDescent="0.45">
      <c r="B896" s="1942"/>
      <c r="C896" s="1945"/>
      <c r="D896" s="1916"/>
      <c r="E896" s="1917"/>
      <c r="F896" s="1917"/>
      <c r="G896" s="1918"/>
      <c r="H896" s="177"/>
      <c r="I896" s="1916"/>
      <c r="J896" s="1917"/>
      <c r="K896" s="1917"/>
      <c r="L896" s="1918"/>
      <c r="N896" s="1916"/>
      <c r="O896" s="1917"/>
      <c r="P896" s="1917"/>
      <c r="Q896" s="1918"/>
      <c r="S896" s="1916"/>
      <c r="T896" s="1917"/>
      <c r="U896" s="1917"/>
      <c r="V896" s="1918"/>
      <c r="X896" s="1916"/>
      <c r="Y896" s="1917"/>
      <c r="Z896" s="1917"/>
      <c r="AA896" s="1918"/>
      <c r="AC896" s="1916"/>
      <c r="AD896" s="1917"/>
      <c r="AE896" s="1917"/>
      <c r="AF896" s="1918"/>
      <c r="AH896" s="1916"/>
      <c r="AI896" s="1917"/>
      <c r="AJ896" s="1917"/>
      <c r="AK896" s="1918"/>
    </row>
    <row r="897" spans="2:38" s="176" customFormat="1" ht="14.65" thickBot="1" x14ac:dyDescent="0.5">
      <c r="B897" s="1943"/>
      <c r="C897" s="1946"/>
      <c r="D897" s="1938"/>
      <c r="E897" s="1939"/>
      <c r="F897" s="1939"/>
      <c r="G897" s="1940"/>
      <c r="H897" s="177"/>
      <c r="I897" s="1938"/>
      <c r="J897" s="1939"/>
      <c r="K897" s="1939"/>
      <c r="L897" s="1940"/>
      <c r="N897" s="1938"/>
      <c r="O897" s="1939"/>
      <c r="P897" s="1939"/>
      <c r="Q897" s="1940"/>
      <c r="S897" s="1938"/>
      <c r="T897" s="1939"/>
      <c r="U897" s="1939"/>
      <c r="V897" s="1940"/>
      <c r="X897" s="1938"/>
      <c r="Y897" s="1939"/>
      <c r="Z897" s="1939"/>
      <c r="AA897" s="1940"/>
      <c r="AC897" s="1938"/>
      <c r="AD897" s="1939"/>
      <c r="AE897" s="1939"/>
      <c r="AF897" s="1940"/>
      <c r="AH897" s="1938"/>
      <c r="AI897" s="1939"/>
      <c r="AJ897" s="1939"/>
      <c r="AK897" s="1940"/>
    </row>
    <row r="898" spans="2:38" s="176" customFormat="1" ht="14.65" thickBot="1" x14ac:dyDescent="0.5">
      <c r="H898" s="177"/>
    </row>
    <row r="899" spans="2:38" s="176" customFormat="1" ht="15" customHeight="1" thickBot="1" x14ac:dyDescent="0.5">
      <c r="B899" s="1941">
        <v>17</v>
      </c>
      <c r="C899" s="1944" t="str">
        <f ca="1">IF(INDEX(display_strategy,1,B899)="","", CONCATENATE(INDEX(display_strategy,1,B899),": ",HLOOKUP(INDEX(display_strategy,1,B899),strategies,4,TRUE)))</f>
        <v>Maintain: Stress aerobic power and develop racing level speed.</v>
      </c>
      <c r="D899" s="1418" t="str">
        <f ca="1">CONCATENATE("Strategy: ",INDEX(display_strategy,$B899))</f>
        <v>Strategy: Maintain</v>
      </c>
      <c r="E899" s="1947">
        <f>plan_start_date + ($B899-1)*7 + (COLUMN(D$2)-2)/5</f>
        <v>43486.400000000001</v>
      </c>
      <c r="F899" s="1947"/>
      <c r="G899" s="1417" t="str">
        <f>CONCATENATE("Slot: ", ((WEEKDAY(E$3,2)*2-1)+IF(E900="Morning",0,1)))</f>
        <v>Slot: 1</v>
      </c>
      <c r="H899" s="177"/>
      <c r="I899" s="1418" t="str">
        <f ca="1">CONCATENATE("Strategy: ",INDEX(display_strategy,$B899))</f>
        <v>Strategy: Maintain</v>
      </c>
      <c r="J899" s="1947">
        <f>plan_start_date + ($B899-1)*7 + (COLUMN(I$2)-2)/5</f>
        <v>43487.4</v>
      </c>
      <c r="K899" s="1947"/>
      <c r="L899" s="1417" t="str">
        <f>CONCATENATE("Slot: ", ((WEEKDAY(J$3,2)*2-1)+IF(J900="Morning",0,1)))</f>
        <v>Slot: 3</v>
      </c>
      <c r="N899" s="1418" t="str">
        <f ca="1">CONCATENATE("Strategy: ",INDEX(display_strategy,$B899))</f>
        <v>Strategy: Maintain</v>
      </c>
      <c r="O899" s="1947">
        <f>plan_start_date + ($B899-1)*7 + (COLUMN(N$2)-2)/5</f>
        <v>43488.4</v>
      </c>
      <c r="P899" s="1947"/>
      <c r="Q899" s="1417" t="str">
        <f>CONCATENATE("Slot: ", ((WEEKDAY(O$3,2)*2-1)+IF(O900="Morning",0,1)))</f>
        <v>Slot: 5</v>
      </c>
      <c r="S899" s="1418" t="str">
        <f ca="1">CONCATENATE("Strategy: ",INDEX(display_strategy,$B899))</f>
        <v>Strategy: Maintain</v>
      </c>
      <c r="T899" s="1947">
        <f>plan_start_date + ($B899-1)*7 + (COLUMN(S$2)-2)/5</f>
        <v>43489.4</v>
      </c>
      <c r="U899" s="1947"/>
      <c r="V899" s="1417" t="str">
        <f>CONCATENATE("Slot: ", ((WEEKDAY(T$3,2)*2-1)+IF(T900="Morning",0,1)))</f>
        <v>Slot: 7</v>
      </c>
      <c r="X899" s="1418" t="str">
        <f ca="1">CONCATENATE("Strategy: ",INDEX(display_strategy,$B899))</f>
        <v>Strategy: Maintain</v>
      </c>
      <c r="Y899" s="1947">
        <f>plan_start_date + ($B899-1)*7 + (COLUMN(X$2)-2)/5</f>
        <v>43490.400000000001</v>
      </c>
      <c r="Z899" s="1947"/>
      <c r="AA899" s="1417" t="str">
        <f>CONCATENATE("Slot: ", ((WEEKDAY(Y$3,2)*2-1)+IF(Y900="Morning",0,1)))</f>
        <v>Slot: 9</v>
      </c>
      <c r="AC899" s="1418" t="str">
        <f ca="1">CONCATENATE("Strategy: ",INDEX(display_strategy,$B899))</f>
        <v>Strategy: Maintain</v>
      </c>
      <c r="AD899" s="1947">
        <f>plan_start_date + ($B899-1)*7 + (COLUMN(AC$2)-2)/5</f>
        <v>43491.4</v>
      </c>
      <c r="AE899" s="1947"/>
      <c r="AF899" s="1417" t="str">
        <f>CONCATENATE("Slot: ", ((WEEKDAY(AD$3,2)*2-1)+IF(AD900="Morning",0,1)))</f>
        <v>Slot: 11</v>
      </c>
      <c r="AH899" s="1418" t="str">
        <f ca="1">CONCATENATE("Strategy: ",INDEX(display_strategy,$B899))</f>
        <v>Strategy: Maintain</v>
      </c>
      <c r="AI899" s="1947">
        <f>plan_start_date + ($B899-1)*7 + (COLUMN(AH$2)-2)/5</f>
        <v>43492.4</v>
      </c>
      <c r="AJ899" s="1947"/>
      <c r="AK899" s="1417" t="str">
        <f>CONCATENATE("Slot: ", ((WEEKDAY(AI$3,2)*2-1)+IF(AI900="Morning",0,1)))</f>
        <v>Slot: 13</v>
      </c>
    </row>
    <row r="900" spans="2:38" s="176" customFormat="1" x14ac:dyDescent="0.45">
      <c r="B900" s="1942"/>
      <c r="C900" s="1945"/>
      <c r="D900" s="1413">
        <f>$B899</f>
        <v>17</v>
      </c>
      <c r="E900" s="1930" t="s">
        <v>351</v>
      </c>
      <c r="F900" s="1930"/>
      <c r="G900" s="1412">
        <f ca="1">INDEX(final_duration_session, ((WEEKDAY(E$3,2)*2-1)+IF(E900="Morning",0,1)), $D900)</f>
        <v>30</v>
      </c>
      <c r="H900" s="177"/>
      <c r="I900" s="1413">
        <f>$B899</f>
        <v>17</v>
      </c>
      <c r="J900" s="1930" t="s">
        <v>351</v>
      </c>
      <c r="K900" s="1930"/>
      <c r="L900" s="1412">
        <f ca="1">INDEX(final_duration_session, ((WEEKDAY(J$3,2)*2-1)+IF(J900="Morning",0,1)), $D900)</f>
        <v>0</v>
      </c>
      <c r="M900" s="177"/>
      <c r="N900" s="1413">
        <f>$B899</f>
        <v>17</v>
      </c>
      <c r="O900" s="1930" t="s">
        <v>351</v>
      </c>
      <c r="P900" s="1930"/>
      <c r="Q900" s="1412">
        <f ca="1">INDEX(final_duration_session, ((WEEKDAY(O$3,2)*2-1)+IF(O900="Morning",0,1)), $D900)</f>
        <v>0</v>
      </c>
      <c r="R900" s="177"/>
      <c r="S900" s="1413">
        <f>$B899</f>
        <v>17</v>
      </c>
      <c r="T900" s="1930" t="s">
        <v>351</v>
      </c>
      <c r="U900" s="1930"/>
      <c r="V900" s="1412">
        <f ca="1">INDEX(final_duration_session, ((WEEKDAY(T$3,2)*2-1)+IF(T900="Morning",0,1)), $D900)</f>
        <v>0</v>
      </c>
      <c r="W900" s="177"/>
      <c r="X900" s="1413">
        <f>$B899</f>
        <v>17</v>
      </c>
      <c r="Y900" s="1930" t="s">
        <v>351</v>
      </c>
      <c r="Z900" s="1930"/>
      <c r="AA900" s="1412">
        <f ca="1">INDEX(final_duration_session, ((WEEKDAY(Y$3,2)*2-1)+IF(Y900="Morning",0,1)), $D900)</f>
        <v>0</v>
      </c>
      <c r="AB900" s="177"/>
      <c r="AC900" s="1413">
        <f>$B899</f>
        <v>17</v>
      </c>
      <c r="AD900" s="1930" t="s">
        <v>351</v>
      </c>
      <c r="AE900" s="1930"/>
      <c r="AF900" s="1412">
        <f ca="1">INDEX(final_duration_session, ((WEEKDAY(AD$3,2)*2-1)+IF(AD900="Morning",0,1)), $D900)</f>
        <v>120</v>
      </c>
      <c r="AG900" s="177"/>
      <c r="AH900" s="1413">
        <f>$B899</f>
        <v>17</v>
      </c>
      <c r="AI900" s="1930" t="s">
        <v>351</v>
      </c>
      <c r="AJ900" s="1930"/>
      <c r="AK900" s="1412">
        <f ca="1">INDEX(final_duration_session, ((WEEKDAY(AI$3,2)*2-1)+IF(AI900="Morning",0,1)), $D900)</f>
        <v>60</v>
      </c>
      <c r="AL900" s="177"/>
    </row>
    <row r="901" spans="2:38" s="176" customFormat="1" ht="15" customHeight="1" x14ac:dyDescent="0.45">
      <c r="B901" s="1942"/>
      <c r="C901" s="1945"/>
      <c r="D901" s="1931" t="str">
        <f ca="1">IF(G900&gt;0,INDEX(sessions_name,INDEX(plan_session_allocation,((WEEKDAY(E$3,2)*2-1)+IF(E900="Morning",0,1)),D900)),"")</f>
        <v>Easy</v>
      </c>
      <c r="E901" s="1932"/>
      <c r="F901" s="1932"/>
      <c r="G901" s="1933"/>
      <c r="H901" s="177"/>
      <c r="I901" s="1931" t="str">
        <f ca="1">IF(L900&gt;0,INDEX(sessions_name,INDEX(plan_session_allocation,((WEEKDAY(J$3,2)*2-1)+IF(J900="Morning",0,1)),I900)),"")</f>
        <v/>
      </c>
      <c r="J901" s="1932"/>
      <c r="K901" s="1932"/>
      <c r="L901" s="1933"/>
      <c r="M901" s="177"/>
      <c r="N901" s="1931" t="str">
        <f ca="1">IF(Q900&gt;0,INDEX(sessions_name,INDEX(plan_session_allocation,((WEEKDAY(O$3,2)*2-1)+IF(O900="Morning",0,1)),N900)),"")</f>
        <v/>
      </c>
      <c r="O901" s="1932"/>
      <c r="P901" s="1932"/>
      <c r="Q901" s="1933"/>
      <c r="R901" s="177"/>
      <c r="S901" s="1931" t="str">
        <f ca="1">IF(V900&gt;0,INDEX(sessions_name,INDEX(plan_session_allocation,((WEEKDAY(T$3,2)*2-1)+IF(T900="Morning",0,1)),S900)),"")</f>
        <v/>
      </c>
      <c r="T901" s="1932"/>
      <c r="U901" s="1932"/>
      <c r="V901" s="1933"/>
      <c r="W901" s="177"/>
      <c r="X901" s="1931" t="str">
        <f ca="1">IF(AA900&gt;0,INDEX(sessions_name,INDEX(plan_session_allocation,((WEEKDAY(Y$3,2)*2-1)+IF(Y900="Morning",0,1)),X900)),"")</f>
        <v/>
      </c>
      <c r="Y901" s="1932"/>
      <c r="Z901" s="1932"/>
      <c r="AA901" s="1933"/>
      <c r="AB901" s="177"/>
      <c r="AC901" s="1931" t="str">
        <f ca="1">IF(AF900&gt;0,INDEX(sessions_name,INDEX(plan_session_allocation,((WEEKDAY(AD$3,2)*2-1)+IF(AD900="Morning",0,1)),AC900)),"")</f>
        <v>Race: 90 minutes</v>
      </c>
      <c r="AD901" s="1932"/>
      <c r="AE901" s="1932"/>
      <c r="AF901" s="1933"/>
      <c r="AG901" s="177"/>
      <c r="AH901" s="1931" t="str">
        <f ca="1">IF(AK900&gt;0,INDEX(sessions_name,INDEX(plan_session_allocation,((WEEKDAY(AI$3,2)*2-1)+IF(AI900="Morning",0,1)),AH900)),"")</f>
        <v>Race: 30 minutes</v>
      </c>
      <c r="AI901" s="1932"/>
      <c r="AJ901" s="1932"/>
      <c r="AK901" s="1933"/>
      <c r="AL901" s="177"/>
    </row>
    <row r="902" spans="2:38" s="176" customFormat="1" ht="15" customHeight="1" x14ac:dyDescent="0.45">
      <c r="B902" s="1942"/>
      <c r="C902" s="1945"/>
      <c r="D902" s="1934" t="str">
        <f ca="1">IF(G900&gt;0,CONCATENATE("Sport: ",INDEX(sessions_sport_primary,INDEX(plan_session_allocation,(WEEKDAY(E$3,2)*2-1)+IF(E900="Morning",0,1),D900))),"")</f>
        <v>Sport: Ride</v>
      </c>
      <c r="E902" s="1935"/>
      <c r="F902" s="1936">
        <f ca="1">IF(G900&gt;0,IFERROR(F903+F904+F905,""),"")</f>
        <v>30</v>
      </c>
      <c r="G902" s="1937"/>
      <c r="H902" s="177"/>
      <c r="I902" s="1934" t="str">
        <f ca="1">IF(L900&gt;0,CONCATENATE("Sport: ",INDEX(sessions_sport_primary,INDEX(plan_session_allocation,(WEEKDAY(J$3,2)*2-1)+IF(J900="Morning",0,1),I900))),"")</f>
        <v/>
      </c>
      <c r="J902" s="1935"/>
      <c r="K902" s="1936" t="str">
        <f ca="1">IF(L900&gt;0,IFERROR(K903+K904+K905,""),"")</f>
        <v/>
      </c>
      <c r="L902" s="1937"/>
      <c r="M902" s="177"/>
      <c r="N902" s="1934" t="str">
        <f ca="1">IF(Q900&gt;0,CONCATENATE("Sport: ",INDEX(sessions_sport_primary,INDEX(plan_session_allocation,(WEEKDAY(O$3,2)*2-1)+IF(O900="Morning",0,1),N900))),"")</f>
        <v/>
      </c>
      <c r="O902" s="1935"/>
      <c r="P902" s="1936" t="str">
        <f ca="1">IF(Q900&gt;0,IFERROR(P903+P904+P905,""),"")</f>
        <v/>
      </c>
      <c r="Q902" s="1937"/>
      <c r="R902" s="177"/>
      <c r="S902" s="1934" t="str">
        <f ca="1">IF(V900&gt;0,CONCATENATE("Sport: ",INDEX(sessions_sport_primary,INDEX(plan_session_allocation,(WEEKDAY(T$3,2)*2-1)+IF(T900="Morning",0,1),S900))),"")</f>
        <v/>
      </c>
      <c r="T902" s="1935"/>
      <c r="U902" s="1936" t="str">
        <f ca="1">IF(V900&gt;0,IFERROR(U903+U904+U905,""),"")</f>
        <v/>
      </c>
      <c r="V902" s="1937"/>
      <c r="W902" s="177"/>
      <c r="X902" s="1934" t="str">
        <f ca="1">IF(AA900&gt;0,CONCATENATE("Sport: ",INDEX(sessions_sport_primary,INDEX(plan_session_allocation,(WEEKDAY(Y$3,2)*2-1)+IF(Y900="Morning",0,1),X900))),"")</f>
        <v/>
      </c>
      <c r="Y902" s="1935"/>
      <c r="Z902" s="1936" t="str">
        <f ca="1">IF(AA900&gt;0,IFERROR(Z903+Z904+Z905,""),"")</f>
        <v/>
      </c>
      <c r="AA902" s="1937"/>
      <c r="AB902" s="177"/>
      <c r="AC902" s="1934" t="str">
        <f ca="1">IF(AF900&gt;0,CONCATENATE("Sport: ",INDEX(sessions_sport_primary,INDEX(plan_session_allocation,(WEEKDAY(AD$3,2)*2-1)+IF(AD900="Morning",0,1),AC900))),"")</f>
        <v>Sport: Hilly Trail Run</v>
      </c>
      <c r="AD902" s="1935"/>
      <c r="AE902" s="1936">
        <f ca="1">IF(AF900&gt;0,IFERROR(AE903+AE904+AE905,""),"")</f>
        <v>120</v>
      </c>
      <c r="AF902" s="1937"/>
      <c r="AG902" s="177"/>
      <c r="AH902" s="1934" t="str">
        <f ca="1">IF(AK900&gt;0,CONCATENATE("Sport: ",INDEX(sessions_sport_primary,INDEX(plan_session_allocation,(WEEKDAY(AI$3,2)*2-1)+IF(AI900="Morning",0,1),AH900))),"")</f>
        <v>Sport: Hilly Trail Run</v>
      </c>
      <c r="AI902" s="1935"/>
      <c r="AJ902" s="1936">
        <f ca="1">IF(AK900&gt;0,IFERROR(AJ903+AJ904+AJ905,""),"")</f>
        <v>60</v>
      </c>
      <c r="AK902" s="1937"/>
      <c r="AL902" s="177"/>
    </row>
    <row r="903" spans="2:38" s="176" customFormat="1" ht="15" customHeight="1" x14ac:dyDescent="0.45">
      <c r="B903" s="1942"/>
      <c r="C903" s="1945"/>
      <c r="D903" s="1922" t="str">
        <f ca="1">IF(G900&gt;0,CONCATENATE("HR Target: ",
INDEX(sessions_HR_primary,INDEX(plan_session_allocation,((WEEKDAY(E$3,2)*2-1)+IF(E900="Morning",0,1)),D900)),
IF(INDEX(sessions_HR_primary,INDEX(plan_session_allocation,((WEEKDAY(E$3,2)*2-1)+IF(E900="Morning",0,1)),D900))="N/A","",
" BPM")),"")</f>
        <v>HR Target: 138 BPM</v>
      </c>
      <c r="E903" s="1923"/>
      <c r="F903" s="1924">
        <f ca="1">IF(G900&gt;0,
INDEX(final_duration_effort,((WEEKDAY(E$3,2)*2-1)+IF(E900="Morning",0,1)),D900),"")</f>
        <v>30</v>
      </c>
      <c r="G903" s="1925"/>
      <c r="H903" s="177"/>
      <c r="I903" s="1922" t="str">
        <f ca="1">IF(L900&gt;0,CONCATENATE("HR Target: ",
INDEX(sessions_HR_primary,INDEX(plan_session_allocation,((WEEKDAY(J$3,2)*2-1)+IF(J900="Morning",0,1)),I900)),
IF(INDEX(sessions_HR_primary,INDEX(plan_session_allocation,((WEEKDAY(J$3,2)*2-1)+IF(J900="Morning",0,1)),I900))="N/A","",
" BPM")),"")</f>
        <v/>
      </c>
      <c r="J903" s="1923"/>
      <c r="K903" s="1924" t="str">
        <f ca="1">IF(L900&gt;0,
INDEX(final_duration_effort,((WEEKDAY(J$3,2)*2-1)+IF(J900="Morning",0,1)),I900),"")</f>
        <v/>
      </c>
      <c r="L903" s="1925"/>
      <c r="M903" s="177"/>
      <c r="N903" s="1922" t="str">
        <f ca="1">IF(Q900&gt;0,CONCATENATE("HR Target: ",
INDEX(sessions_HR_primary,INDEX(plan_session_allocation,((WEEKDAY(O$3,2)*2-1)+IF(O900="Morning",0,1)),N900)),
IF(INDEX(sessions_HR_primary,INDEX(plan_session_allocation,((WEEKDAY(O$3,2)*2-1)+IF(O900="Morning",0,1)),N900))="N/A","",
" BPM")),"")</f>
        <v/>
      </c>
      <c r="O903" s="1923"/>
      <c r="P903" s="1924" t="str">
        <f ca="1">IF(Q900&gt;0,
INDEX(final_duration_effort,((WEEKDAY(O$3,2)*2-1)+IF(O900="Morning",0,1)),N900),"")</f>
        <v/>
      </c>
      <c r="Q903" s="1925"/>
      <c r="R903" s="177"/>
      <c r="S903" s="1922" t="str">
        <f ca="1">IF(V900&gt;0,CONCATENATE("HR Target: ",
INDEX(sessions_HR_primary,INDEX(plan_session_allocation,((WEEKDAY(T$3,2)*2-1)+IF(T900="Morning",0,1)),S900)),
IF(INDEX(sessions_HR_primary,INDEX(plan_session_allocation,((WEEKDAY(T$3,2)*2-1)+IF(T900="Morning",0,1)),S900))="N/A","",
" BPM")),"")</f>
        <v/>
      </c>
      <c r="T903" s="1923"/>
      <c r="U903" s="1924" t="str">
        <f ca="1">IF(V900&gt;0,
INDEX(final_duration_effort,((WEEKDAY(T$3,2)*2-1)+IF(T900="Morning",0,1)),S900),"")</f>
        <v/>
      </c>
      <c r="V903" s="1925"/>
      <c r="W903" s="177"/>
      <c r="X903" s="1922" t="str">
        <f ca="1">IF(AA900&gt;0,CONCATENATE("HR Target: ",
INDEX(sessions_HR_primary,INDEX(plan_session_allocation,((WEEKDAY(Y$3,2)*2-1)+IF(Y900="Morning",0,1)),X900)),
IF(INDEX(sessions_HR_primary,INDEX(plan_session_allocation,((WEEKDAY(Y$3,2)*2-1)+IF(Y900="Morning",0,1)),X900))="N/A","",
" BPM")),"")</f>
        <v/>
      </c>
      <c r="Y903" s="1923"/>
      <c r="Z903" s="1924" t="str">
        <f ca="1">IF(AA900&gt;0,
INDEX(final_duration_effort,((WEEKDAY(Y$3,2)*2-1)+IF(Y900="Morning",0,1)),X900),"")</f>
        <v/>
      </c>
      <c r="AA903" s="1925"/>
      <c r="AB903" s="177"/>
      <c r="AC903" s="1922" t="str">
        <f ca="1">IF(AF900&gt;0,CONCATENATE("HR Target: ",
INDEX(sessions_HR_primary,INDEX(plan_session_allocation,((WEEKDAY(AD$3,2)*2-1)+IF(AD900="Morning",0,1)),AC900)),
IF(INDEX(sessions_HR_primary,INDEX(plan_session_allocation,((WEEKDAY(AD$3,2)*2-1)+IF(AD900="Morning",0,1)),AC900))="N/A","",
" BPM")),"")</f>
        <v>HR Target: 173 BPM</v>
      </c>
      <c r="AD903" s="1923"/>
      <c r="AE903" s="1924">
        <f ca="1">IF(AF900&gt;0,
INDEX(final_duration_effort,((WEEKDAY(AD$3,2)*2-1)+IF(AD900="Morning",0,1)),AC900),"")</f>
        <v>90</v>
      </c>
      <c r="AF903" s="1925"/>
      <c r="AG903" s="177"/>
      <c r="AH903" s="1922" t="str">
        <f ca="1">IF(AK900&gt;0,CONCATENATE("HR Target: ",
INDEX(sessions_HR_primary,INDEX(plan_session_allocation,((WEEKDAY(AI$3,2)*2-1)+IF(AI900="Morning",0,1)),AH900)),
IF(INDEX(sessions_HR_primary,INDEX(plan_session_allocation,((WEEKDAY(AI$3,2)*2-1)+IF(AI900="Morning",0,1)),AH900))="N/A","",
" BPM")),"")</f>
        <v>HR Target: 183 BPM</v>
      </c>
      <c r="AI903" s="1923"/>
      <c r="AJ903" s="1924">
        <f ca="1">IF(AK900&gt;0,
INDEX(final_duration_effort,((WEEKDAY(AI$3,2)*2-1)+IF(AI900="Morning",0,1)),AH900),"")</f>
        <v>30</v>
      </c>
      <c r="AK903" s="1925"/>
      <c r="AL903" s="177"/>
    </row>
    <row r="904" spans="2:38" s="179" customFormat="1" x14ac:dyDescent="0.45">
      <c r="B904" s="1942"/>
      <c r="C904" s="1945"/>
      <c r="D904" s="1926" t="str">
        <f ca="1">IF(G900&gt;0,CONCATENATE("HR Range: ",
INDEX(sessions_HR_range_primary,INDEX(plan_session_allocation,((WEEKDAY(E$3,2)*2-1)+IF(E900="Morning",0,1)),D900)),
IF(INDEX(sessions_HR_range_primary,INDEX(plan_session_allocation,((WEEKDAY(E$3,2)*2-1)+IF(E900="Morning",0,1)),D900))="N/A","",
" BPM")),"")</f>
        <v>HR Range: 129 - 148 BPM</v>
      </c>
      <c r="E904" s="1927"/>
      <c r="F904" s="1928">
        <f ca="1">IF(G900&gt;0,IF(
INDEX(sessions_recoveries,INDEX(plan_session_allocation,((WEEKDAY(E$3,2)*2-1)+IF(E900="Morning",0,1)),D900))="Yes",
VLOOKUP(INDEX(plan_duration_primary,((WEEKDAY(E$3,2)*2-1)+IF(E900="Morning",0,1)),D900),
INDIRECT(INDEX(sessions_intervals_code_primary,INDEX(plan_session_allocation,((WEEKDAY(E$3,2)*2-1)+IF(E900="Morning",0,1)),D900))),7,TRUE),0),"")</f>
        <v>0</v>
      </c>
      <c r="G904" s="1929"/>
      <c r="H904" s="178"/>
      <c r="I904" s="1926" t="str">
        <f ca="1">IF(L900&gt;0,CONCATENATE("HR Range: ",
INDEX(sessions_HR_range_primary,INDEX(plan_session_allocation,((WEEKDAY(J$3,2)*2-1)+IF(J900="Morning",0,1)),I900)),
IF(INDEX(sessions_HR_range_primary,INDEX(plan_session_allocation,((WEEKDAY(J$3,2)*2-1)+IF(J900="Morning",0,1)),I900))="N/A","",
" BPM")),"")</f>
        <v/>
      </c>
      <c r="J904" s="1927"/>
      <c r="K904" s="1928" t="str">
        <f ca="1">IF(L900&gt;0,IF(
INDEX(sessions_recoveries,INDEX(plan_session_allocation,((WEEKDAY(J$3,2)*2-1)+IF(J900="Morning",0,1)),I900))="Yes",
VLOOKUP(INDEX(plan_duration_primary,((WEEKDAY(J$3,2)*2-1)+IF(J900="Morning",0,1)),I900),
INDIRECT(INDEX(sessions_intervals_code_primary,INDEX(plan_session_allocation,((WEEKDAY(J$3,2)*2-1)+IF(J900="Morning",0,1)),I900))),7,TRUE),0),"")</f>
        <v/>
      </c>
      <c r="L904" s="1929"/>
      <c r="M904" s="178"/>
      <c r="N904" s="1926" t="str">
        <f ca="1">IF(Q900&gt;0,CONCATENATE("HR Range: ",
INDEX(sessions_HR_range_primary,INDEX(plan_session_allocation,((WEEKDAY(O$3,2)*2-1)+IF(O900="Morning",0,1)),N900)),
IF(INDEX(sessions_HR_range_primary,INDEX(plan_session_allocation,((WEEKDAY(O$3,2)*2-1)+IF(O900="Morning",0,1)),N900))="N/A","",
" BPM")),"")</f>
        <v/>
      </c>
      <c r="O904" s="1927"/>
      <c r="P904" s="1928" t="str">
        <f ca="1">IF(Q900&gt;0,IF(
INDEX(sessions_recoveries,INDEX(plan_session_allocation,((WEEKDAY(O$3,2)*2-1)+IF(O900="Morning",0,1)),N900))="Yes",
VLOOKUP(INDEX(plan_duration_primary,((WEEKDAY(O$3,2)*2-1)+IF(O900="Morning",0,1)),N900),
INDIRECT(INDEX(sessions_intervals_code_primary,INDEX(plan_session_allocation,((WEEKDAY(O$3,2)*2-1)+IF(O900="Morning",0,1)),N900))),7,TRUE),0),"")</f>
        <v/>
      </c>
      <c r="Q904" s="1929"/>
      <c r="R904" s="178"/>
      <c r="S904" s="1926" t="str">
        <f ca="1">IF(V900&gt;0,CONCATENATE("HR Range: ",
INDEX(sessions_HR_range_primary,INDEX(plan_session_allocation,((WEEKDAY(T$3,2)*2-1)+IF(T900="Morning",0,1)),S900)),
IF(INDEX(sessions_HR_range_primary,INDEX(plan_session_allocation,((WEEKDAY(T$3,2)*2-1)+IF(T900="Morning",0,1)),S900))="N/A","",
" BPM")),"")</f>
        <v/>
      </c>
      <c r="T904" s="1927"/>
      <c r="U904" s="1928" t="str">
        <f ca="1">IF(V900&gt;0,IF(
INDEX(sessions_recoveries,INDEX(plan_session_allocation,((WEEKDAY(T$3,2)*2-1)+IF(T900="Morning",0,1)),S900))="Yes",
VLOOKUP(INDEX(plan_duration_primary,((WEEKDAY(T$3,2)*2-1)+IF(T900="Morning",0,1)),S900),
INDIRECT(INDEX(sessions_intervals_code_primary,INDEX(plan_session_allocation,((WEEKDAY(T$3,2)*2-1)+IF(T900="Morning",0,1)),S900))),7,TRUE),0),"")</f>
        <v/>
      </c>
      <c r="V904" s="1929"/>
      <c r="W904" s="178"/>
      <c r="X904" s="1926" t="str">
        <f ca="1">IF(AA900&gt;0,CONCATENATE("HR Range: ",
INDEX(sessions_HR_range_primary,INDEX(plan_session_allocation,((WEEKDAY(Y$3,2)*2-1)+IF(Y900="Morning",0,1)),X900)),
IF(INDEX(sessions_HR_range_primary,INDEX(plan_session_allocation,((WEEKDAY(Y$3,2)*2-1)+IF(Y900="Morning",0,1)),X900))="N/A","",
" BPM")),"")</f>
        <v/>
      </c>
      <c r="Y904" s="1927"/>
      <c r="Z904" s="1928" t="str">
        <f ca="1">IF(AA900&gt;0,IF(
INDEX(sessions_recoveries,INDEX(plan_session_allocation,((WEEKDAY(Y$3,2)*2-1)+IF(Y900="Morning",0,1)),X900))="Yes",
VLOOKUP(INDEX(plan_duration_primary,((WEEKDAY(Y$3,2)*2-1)+IF(Y900="Morning",0,1)),X900),
INDIRECT(INDEX(sessions_intervals_code_primary,INDEX(plan_session_allocation,((WEEKDAY(Y$3,2)*2-1)+IF(Y900="Morning",0,1)),X900))),7,TRUE),0),"")</f>
        <v/>
      </c>
      <c r="AA904" s="1929"/>
      <c r="AB904" s="178"/>
      <c r="AC904" s="1926" t="str">
        <f ca="1">IF(AF900&gt;0,CONCATENATE("HR Range: ",
INDEX(sessions_HR_range_primary,INDEX(plan_session_allocation,((WEEKDAY(AD$3,2)*2-1)+IF(AD900="Morning",0,1)),AC900)),
IF(INDEX(sessions_HR_range_primary,INDEX(plan_session_allocation,((WEEKDAY(AD$3,2)*2-1)+IF(AD900="Morning",0,1)),AC900))="N/A","",
" BPM")),"")</f>
        <v>HR Range: N/A</v>
      </c>
      <c r="AD904" s="1927"/>
      <c r="AE904" s="1928">
        <f ca="1">IF(AF900&gt;0,IF(
INDEX(sessions_recoveries,INDEX(plan_session_allocation,((WEEKDAY(AD$3,2)*2-1)+IF(AD900="Morning",0,1)),AC900))="Yes",
VLOOKUP(INDEX(plan_duration_primary,((WEEKDAY(AD$3,2)*2-1)+IF(AD900="Morning",0,1)),AC900),
INDIRECT(INDEX(sessions_intervals_code_primary,INDEX(plan_session_allocation,((WEEKDAY(AD$3,2)*2-1)+IF(AD900="Morning",0,1)),AC900))),7,TRUE),0),"")</f>
        <v>0</v>
      </c>
      <c r="AF904" s="1929"/>
      <c r="AG904" s="178"/>
      <c r="AH904" s="1926" t="str">
        <f ca="1">IF(AK900&gt;0,CONCATENATE("HR Range: ",
INDEX(sessions_HR_range_primary,INDEX(plan_session_allocation,((WEEKDAY(AI$3,2)*2-1)+IF(AI900="Morning",0,1)),AH900)),
IF(INDEX(sessions_HR_range_primary,INDEX(plan_session_allocation,((WEEKDAY(AI$3,2)*2-1)+IF(AI900="Morning",0,1)),AH900))="N/A","",
" BPM")),"")</f>
        <v>HR Range: N/A</v>
      </c>
      <c r="AI904" s="1927"/>
      <c r="AJ904" s="1928">
        <f ca="1">IF(AK900&gt;0,IF(
INDEX(sessions_recoveries,INDEX(plan_session_allocation,((WEEKDAY(AI$3,2)*2-1)+IF(AI900="Morning",0,1)),AH900))="Yes",
VLOOKUP(INDEX(plan_duration_primary,((WEEKDAY(AI$3,2)*2-1)+IF(AI900="Morning",0,1)),AH900),
INDIRECT(INDEX(sessions_intervals_code_primary,INDEX(plan_session_allocation,((WEEKDAY(AI$3,2)*2-1)+IF(AI900="Morning",0,1)),AH900))),7,TRUE),0),"")</f>
        <v>0</v>
      </c>
      <c r="AK904" s="1929"/>
      <c r="AL904" s="178"/>
    </row>
    <row r="905" spans="2:38" s="179" customFormat="1" ht="15" customHeight="1" x14ac:dyDescent="0.45">
      <c r="B905" s="1942"/>
      <c r="C905" s="1945"/>
      <c r="D905" s="1909" t="str">
        <f ca="1">IF(G900&gt;0,CONCATENATE("Equivalent Pace: ",
TEXT(INDEX(sessions_pace_primary,INDEX(plan_session_allocation,(WEEKDAY(E$3,2)*2-1)+IF(E900="Morning",0,1),D900)),"m:ss"),
" min/km"
),"")</f>
        <v>Equivalent Pace: 4:39 min/km</v>
      </c>
      <c r="E905" s="1910"/>
      <c r="F905" s="1911">
        <f ca="1">IF(G900&gt;0, INDEX(final_duration_WU,((WEEKDAY(E$3,2)*2-1)+IF(E900="Morning",0,1)),D900)  + INDEX(final_duration_WD,((WEEKDAY(E$3,2)*2-1)+IF(E900="Morning",0,1)),D900), "")</f>
        <v>0</v>
      </c>
      <c r="G905" s="1912"/>
      <c r="H905" s="178"/>
      <c r="I905" s="1909" t="str">
        <f ca="1">IF(L900&gt;0,CONCATENATE("Equivalent Pace: ",
TEXT(INDEX(sessions_pace_primary,INDEX(plan_session_allocation,(WEEKDAY(J$3,2)*2-1)+IF(J900="Morning",0,1),I900)),"m:ss"),
" min/km"
),"")</f>
        <v/>
      </c>
      <c r="J905" s="1910"/>
      <c r="K905" s="1911" t="str">
        <f ca="1">IF(L900&gt;0, INDEX(final_duration_WU,((WEEKDAY(J$3,2)*2-1)+IF(J900="Morning",0,1)),I900)  + INDEX(final_duration_WD,((WEEKDAY(J$3,2)*2-1)+IF(J900="Morning",0,1)),I900), "")</f>
        <v/>
      </c>
      <c r="L905" s="1912"/>
      <c r="M905" s="178"/>
      <c r="N905" s="1909" t="str">
        <f ca="1">IF(Q900&gt;0,CONCATENATE("Equivalent Pace: ",
TEXT(INDEX(sessions_pace_primary,INDEX(plan_session_allocation,(WEEKDAY(O$3,2)*2-1)+IF(O900="Morning",0,1),N900)),"m:ss"),
" min/km"
),"")</f>
        <v/>
      </c>
      <c r="O905" s="1910"/>
      <c r="P905" s="1911" t="str">
        <f ca="1">IF(Q900&gt;0, INDEX(final_duration_WU,((WEEKDAY(O$3,2)*2-1)+IF(O900="Morning",0,1)),N900)  + INDEX(final_duration_WD,((WEEKDAY(O$3,2)*2-1)+IF(O900="Morning",0,1)),N900), "")</f>
        <v/>
      </c>
      <c r="Q905" s="1912"/>
      <c r="R905" s="178"/>
      <c r="S905" s="1909" t="str">
        <f ca="1">IF(V900&gt;0,CONCATENATE("Equivalent Pace: ",
TEXT(INDEX(sessions_pace_primary,INDEX(plan_session_allocation,(WEEKDAY(T$3,2)*2-1)+IF(T900="Morning",0,1),S900)),"m:ss"),
" min/km"
),"")</f>
        <v/>
      </c>
      <c r="T905" s="1910"/>
      <c r="U905" s="1911" t="str">
        <f ca="1">IF(V900&gt;0, INDEX(final_duration_WU,((WEEKDAY(T$3,2)*2-1)+IF(T900="Morning",0,1)),S900)  + INDEX(final_duration_WD,((WEEKDAY(T$3,2)*2-1)+IF(T900="Morning",0,1)),S900), "")</f>
        <v/>
      </c>
      <c r="V905" s="1912"/>
      <c r="W905" s="178"/>
      <c r="X905" s="1909" t="str">
        <f ca="1">IF(AA900&gt;0,CONCATENATE("Equivalent Pace: ",
TEXT(INDEX(sessions_pace_primary,INDEX(plan_session_allocation,(WEEKDAY(Y$3,2)*2-1)+IF(Y900="Morning",0,1),X900)),"m:ss"),
" min/km"
),"")</f>
        <v/>
      </c>
      <c r="Y905" s="1910"/>
      <c r="Z905" s="1911" t="str">
        <f ca="1">IF(AA900&gt;0, INDEX(final_duration_WU,((WEEKDAY(Y$3,2)*2-1)+IF(Y900="Morning",0,1)),X900)  + INDEX(final_duration_WD,((WEEKDAY(Y$3,2)*2-1)+IF(Y900="Morning",0,1)),X900), "")</f>
        <v/>
      </c>
      <c r="AA905" s="1912"/>
      <c r="AB905" s="178"/>
      <c r="AC905" s="1909" t="str">
        <f ca="1">IF(AF900&gt;0,CONCATENATE("Equivalent Pace: ",
TEXT(INDEX(sessions_pace_primary,INDEX(plan_session_allocation,(WEEKDAY(AD$3,2)*2-1)+IF(AD900="Morning",0,1),AC900)),"m:ss"),
" min/km"
),"")</f>
        <v>Equivalent Pace: 3:26 min/km</v>
      </c>
      <c r="AD905" s="1910"/>
      <c r="AE905" s="1911">
        <f ca="1">IF(AF900&gt;0, INDEX(final_duration_WU,((WEEKDAY(AD$3,2)*2-1)+IF(AD900="Morning",0,1)),AC900)  + INDEX(final_duration_WD,((WEEKDAY(AD$3,2)*2-1)+IF(AD900="Morning",0,1)),AC900), "")</f>
        <v>30</v>
      </c>
      <c r="AF905" s="1912"/>
      <c r="AG905" s="178"/>
      <c r="AH905" s="1909" t="str">
        <f ca="1">IF(AK900&gt;0,CONCATENATE("Equivalent Pace: ",
TEXT(INDEX(sessions_pace_primary,INDEX(plan_session_allocation,(WEEKDAY(AI$3,2)*2-1)+IF(AI900="Morning",0,1),AH900)),"m:ss"),
" min/km"
),"")</f>
        <v>Equivalent Pace: 3:12 min/km</v>
      </c>
      <c r="AI905" s="1910"/>
      <c r="AJ905" s="1911">
        <f ca="1">IF(AK900&gt;0, INDEX(final_duration_WU,((WEEKDAY(AI$3,2)*2-1)+IF(AI900="Morning",0,1)),AH900)  + INDEX(final_duration_WD,((WEEKDAY(AI$3,2)*2-1)+IF(AI900="Morning",0,1)),AH900), "")</f>
        <v>30</v>
      </c>
      <c r="AK905" s="1912"/>
      <c r="AL905" s="178"/>
    </row>
    <row r="906" spans="2:38" s="180" customFormat="1" ht="15" customHeight="1" x14ac:dyDescent="0.45">
      <c r="B906" s="1942"/>
      <c r="C906" s="1945"/>
      <c r="D906" s="1913" t="str">
        <f ca="1">IF(G900&gt;0,CONCATENATE(IFERROR(CONCATENATE(IF(INDEX(display_intervals_breakdown,((WEEKDAY(E$3,2)*2-1)+IF(E900="Morning",0,1)),D900)="","",CONCATENATE("Intervals/Reps Breakdown: 
",INDEX(display_intervals_breakdown,((WEEKDAY(E$3,2)*2-1)+IF(E900="Morning",0,1)),D900),"
")),"Session Description: 
",CONCATENATE(IF(INDEX(final_duration_secondary,((WEEKDAY(E$3,2)*2-1)+IF(E900="Morning",0,1)),D900)=0,"","1. "),
INDEX(sessions_description_primary,,INDEX(plan_session_allocation,((WEEKDAY(E$3,2)*2-1)+IF(E900="Morning",0,1)),D900)),IF(INDEX(final_duration_secondary,((WEEKDAY(E$3,2)*2-1)+IF(E900="Morning",0,1)),D900)=0,"","
2. "),
IF(INDEX(final_duration_secondary,((WEEKDAY(E$3,2)*2-1)+IF(E900="Morning",0,1)),D900)=0,"",INDEX(sessions_description_secondary,,INDEX(plan_session_allocation,((WEEKDAY(E$3,2)*2-1)+IF(E900="Morning",0,1)),D900))),IF(INDEX(final_duration_tertiary,((WEEKDAY(E$3,2)*2-1)+IF(E900="Morning",0,1)),D900)=0,"","
3. "),
IF(INDEX(final_duration_tertiary,((WEEKDAY(E$3,2)*2-1)+IF(E900="Morning",0,1)),D900)="","",INDEX(sessions_description_tertiary,,INDEX(plan_session_allocation,((WEEKDAY(E$3,2)*2-1)+IF(E900="Morning",0,1)),D900))),
IF(INDEX(display_nutrition_description,((WEEKDAY(E$3,2)*2-1)+IF(E900="Morning",0,1)),D900)="","",
CONCATENATE("
Meal Plan: ", INDEX(sessions_nutrition,,INDEX(plan_session_allocation,((WEEKDAY(E$3,2)*2-1)+IF(E900="Morning",0,1)),D900)), "
", INDEX(display_nutrition_description,((WEEKDAY(E$3,2)*2-1)+IF(E900="Morning",0,1)),D900)))
)),"")),"")</f>
        <v>Session Description: 
Stay at a comfortable and controlled intensity where you should be able to have a conversation without large pauses. Keep an even intensity and accept that your pace may change as the terrain changes.</v>
      </c>
      <c r="E906" s="1914"/>
      <c r="F906" s="1914"/>
      <c r="G906" s="1915"/>
      <c r="I906" s="1913" t="str">
        <f ca="1">IF(L900&gt;0,CONCATENATE(IFERROR(CONCATENATE(IF(INDEX(display_intervals_breakdown,((WEEKDAY(J$3,2)*2-1)+IF(J900="Morning",0,1)),I900)="","",CONCATENATE("Intervals/Reps Breakdown: 
",INDEX(display_intervals_breakdown,((WEEKDAY(J$3,2)*2-1)+IF(J900="Morning",0,1)),I900),"
")),"Session Description: 
",CONCATENATE(IF(INDEX(final_duration_secondary,((WEEKDAY(J$3,2)*2-1)+IF(J900="Morning",0,1)),I900)=0,"","1. "),
INDEX(sessions_description_primary,,INDEX(plan_session_allocation,((WEEKDAY(J$3,2)*2-1)+IF(J900="Morning",0,1)),I900)),IF(INDEX(final_duration_secondary,((WEEKDAY(J$3,2)*2-1)+IF(J900="Morning",0,1)),I900)=0,"","
2. "),
IF(INDEX(final_duration_secondary,((WEEKDAY(J$3,2)*2-1)+IF(J900="Morning",0,1)),I900)=0,"",INDEX(sessions_description_secondary,,INDEX(plan_session_allocation,((WEEKDAY(J$3,2)*2-1)+IF(J900="Morning",0,1)),I900))),IF(INDEX(final_duration_tertiary,((WEEKDAY(J$3,2)*2-1)+IF(J900="Morning",0,1)),I900)=0,"","
3. "),
IF(INDEX(final_duration_tertiary,((WEEKDAY(J$3,2)*2-1)+IF(J900="Morning",0,1)),I900)="","",INDEX(sessions_description_tertiary,,INDEX(plan_session_allocation,((WEEKDAY(J$3,2)*2-1)+IF(J900="Morning",0,1)),I900))),
IF(INDEX(display_nutrition_description,((WEEKDAY(J$3,2)*2-1)+IF(J900="Morning",0,1)),I900)="","",
CONCATENATE("
Meal Plan: ", INDEX(sessions_nutrition,,INDEX(plan_session_allocation,((WEEKDAY(J$3,2)*2-1)+IF(J900="Morning",0,1)),I900)), "
", INDEX(display_nutrition_description,((WEEKDAY(J$3,2)*2-1)+IF(J900="Morning",0,1)),I900)))
)),"")),"")</f>
        <v/>
      </c>
      <c r="J906" s="1914"/>
      <c r="K906" s="1914"/>
      <c r="L906" s="1915"/>
      <c r="N906" s="1913" t="str">
        <f ca="1">IF(Q900&gt;0,CONCATENATE(IFERROR(CONCATENATE(IF(INDEX(display_intervals_breakdown,((WEEKDAY(O$3,2)*2-1)+IF(O900="Morning",0,1)),N900)="","",CONCATENATE("Intervals/Reps Breakdown: 
",INDEX(display_intervals_breakdown,((WEEKDAY(O$3,2)*2-1)+IF(O900="Morning",0,1)),N900),"
")),"Session Description: 
",CONCATENATE(IF(INDEX(final_duration_secondary,((WEEKDAY(O$3,2)*2-1)+IF(O900="Morning",0,1)),N900)=0,"","1. "),
INDEX(sessions_description_primary,,INDEX(plan_session_allocation,((WEEKDAY(O$3,2)*2-1)+IF(O900="Morning",0,1)),N900)),IF(INDEX(final_duration_secondary,((WEEKDAY(O$3,2)*2-1)+IF(O900="Morning",0,1)),N900)=0,"","
2. "),
IF(INDEX(final_duration_secondary,((WEEKDAY(O$3,2)*2-1)+IF(O900="Morning",0,1)),N900)=0,"",INDEX(sessions_description_secondary,,INDEX(plan_session_allocation,((WEEKDAY(O$3,2)*2-1)+IF(O900="Morning",0,1)),N900))),IF(INDEX(final_duration_tertiary,((WEEKDAY(O$3,2)*2-1)+IF(O900="Morning",0,1)),N900)=0,"","
3. "),
IF(INDEX(final_duration_tertiary,((WEEKDAY(O$3,2)*2-1)+IF(O900="Morning",0,1)),N900)="","",INDEX(sessions_description_tertiary,,INDEX(plan_session_allocation,((WEEKDAY(O$3,2)*2-1)+IF(O900="Morning",0,1)),N900))),
IF(INDEX(display_nutrition_description,((WEEKDAY(O$3,2)*2-1)+IF(O900="Morning",0,1)),N900)="","",
CONCATENATE("
Meal Plan: ", INDEX(sessions_nutrition,,INDEX(plan_session_allocation,((WEEKDAY(O$3,2)*2-1)+IF(O900="Morning",0,1)),N900)), "
", INDEX(display_nutrition_description,((WEEKDAY(O$3,2)*2-1)+IF(O900="Morning",0,1)),N900)))
)),"")),"")</f>
        <v/>
      </c>
      <c r="O906" s="1914"/>
      <c r="P906" s="1914"/>
      <c r="Q906" s="1915"/>
      <c r="S906" s="1913" t="str">
        <f ca="1">IF(V900&gt;0,CONCATENATE(IFERROR(CONCATENATE(IF(INDEX(display_intervals_breakdown,((WEEKDAY(T$3,2)*2-1)+IF(T900="Morning",0,1)),S900)="","",CONCATENATE("Intervals/Reps Breakdown: 
",INDEX(display_intervals_breakdown,((WEEKDAY(T$3,2)*2-1)+IF(T900="Morning",0,1)),S900),"
")),"Session Description: 
",CONCATENATE(IF(INDEX(final_duration_secondary,((WEEKDAY(T$3,2)*2-1)+IF(T900="Morning",0,1)),S900)=0,"","1. "),
INDEX(sessions_description_primary,,INDEX(plan_session_allocation,((WEEKDAY(T$3,2)*2-1)+IF(T900="Morning",0,1)),S900)),IF(INDEX(final_duration_secondary,((WEEKDAY(T$3,2)*2-1)+IF(T900="Morning",0,1)),S900)=0,"","
2. "),
IF(INDEX(final_duration_secondary,((WEEKDAY(T$3,2)*2-1)+IF(T900="Morning",0,1)),S900)=0,"",INDEX(sessions_description_secondary,,INDEX(plan_session_allocation,((WEEKDAY(T$3,2)*2-1)+IF(T900="Morning",0,1)),S900))),IF(INDEX(final_duration_tertiary,((WEEKDAY(T$3,2)*2-1)+IF(T900="Morning",0,1)),S900)=0,"","
3. "),
IF(INDEX(final_duration_tertiary,((WEEKDAY(T$3,2)*2-1)+IF(T900="Morning",0,1)),S900)="","",INDEX(sessions_description_tertiary,,INDEX(plan_session_allocation,((WEEKDAY(T$3,2)*2-1)+IF(T900="Morning",0,1)),S900))),
IF(INDEX(display_nutrition_description,((WEEKDAY(T$3,2)*2-1)+IF(T900="Morning",0,1)),S900)="","",
CONCATENATE("
Meal Plan: ", INDEX(sessions_nutrition,,INDEX(plan_session_allocation,((WEEKDAY(T$3,2)*2-1)+IF(T900="Morning",0,1)),S900)), "
", INDEX(display_nutrition_description,((WEEKDAY(T$3,2)*2-1)+IF(T900="Morning",0,1)),S900)))
)),"")),"")</f>
        <v/>
      </c>
      <c r="T906" s="1914"/>
      <c r="U906" s="1914"/>
      <c r="V906" s="1915"/>
      <c r="X906" s="1913" t="str">
        <f ca="1">IF(AA900&gt;0,CONCATENATE(IFERROR(CONCATENATE(IF(INDEX(display_intervals_breakdown,((WEEKDAY(Y$3,2)*2-1)+IF(Y900="Morning",0,1)),X900)="","",CONCATENATE("Intervals/Reps Breakdown: 
",INDEX(display_intervals_breakdown,((WEEKDAY(Y$3,2)*2-1)+IF(Y900="Morning",0,1)),X900),"
")),"Session Description: 
",CONCATENATE(IF(INDEX(final_duration_secondary,((WEEKDAY(Y$3,2)*2-1)+IF(Y900="Morning",0,1)),X900)=0,"","1. "),
INDEX(sessions_description_primary,,INDEX(plan_session_allocation,((WEEKDAY(Y$3,2)*2-1)+IF(Y900="Morning",0,1)),X900)),IF(INDEX(final_duration_secondary,((WEEKDAY(Y$3,2)*2-1)+IF(Y900="Morning",0,1)),X900)=0,"","
2. "),
IF(INDEX(final_duration_secondary,((WEEKDAY(Y$3,2)*2-1)+IF(Y900="Morning",0,1)),X900)=0,"",INDEX(sessions_description_secondary,,INDEX(plan_session_allocation,((WEEKDAY(Y$3,2)*2-1)+IF(Y900="Morning",0,1)),X900))),IF(INDEX(final_duration_tertiary,((WEEKDAY(Y$3,2)*2-1)+IF(Y900="Morning",0,1)),X900)=0,"","
3. "),
IF(INDEX(final_duration_tertiary,((WEEKDAY(Y$3,2)*2-1)+IF(Y900="Morning",0,1)),X900)="","",INDEX(sessions_description_tertiary,,INDEX(plan_session_allocation,((WEEKDAY(Y$3,2)*2-1)+IF(Y900="Morning",0,1)),X900))),
IF(INDEX(display_nutrition_description,((WEEKDAY(Y$3,2)*2-1)+IF(Y900="Morning",0,1)),X900)="","",
CONCATENATE("
Meal Plan: ", INDEX(sessions_nutrition,,INDEX(plan_session_allocation,((WEEKDAY(Y$3,2)*2-1)+IF(Y900="Morning",0,1)),X900)), "
", INDEX(display_nutrition_description,((WEEKDAY(Y$3,2)*2-1)+IF(Y900="Morning",0,1)),X900)))
)),"")),"")</f>
        <v/>
      </c>
      <c r="Y906" s="1914"/>
      <c r="Z906" s="1914"/>
      <c r="AA906" s="1915"/>
      <c r="AC906" s="1913" t="str">
        <f ca="1">IF(AF900&gt;0,CONCATENATE(IFERROR(CONCATENATE(IF(INDEX(display_intervals_breakdown,((WEEKDAY(AD$3,2)*2-1)+IF(AD900="Morning",0,1)),AC900)="","",CONCATENATE("Intervals/Reps Breakdown: 
",INDEX(display_intervals_breakdown,((WEEKDAY(AD$3,2)*2-1)+IF(AD900="Morning",0,1)),AC900),"
")),"Session Description: 
",CONCATENATE(IF(INDEX(final_duration_secondary,((WEEKDAY(AD$3,2)*2-1)+IF(AD900="Morning",0,1)),AC900)=0,"","1. "),
INDEX(sessions_description_primary,,INDEX(plan_session_allocation,((WEEKDAY(AD$3,2)*2-1)+IF(AD900="Morning",0,1)),AC900)),IF(INDEX(final_duration_secondary,((WEEKDAY(AD$3,2)*2-1)+IF(AD900="Morning",0,1)),AC900)=0,"","
2. "),
IF(INDEX(final_duration_secondary,((WEEKDAY(AD$3,2)*2-1)+IF(AD900="Morning",0,1)),AC900)=0,"",INDEX(sessions_description_secondary,,INDEX(plan_session_allocation,((WEEKDAY(AD$3,2)*2-1)+IF(AD900="Morning",0,1)),AC900))),IF(INDEX(final_duration_tertiary,((WEEKDAY(AD$3,2)*2-1)+IF(AD900="Morning",0,1)),AC900)=0,"","
3. "),
IF(INDEX(final_duration_tertiary,((WEEKDAY(AD$3,2)*2-1)+IF(AD900="Morning",0,1)),AC900)="","",INDEX(sessions_description_tertiary,,INDEX(plan_session_allocation,((WEEKDAY(AD$3,2)*2-1)+IF(AD900="Morning",0,1)),AC900))),
IF(INDEX(display_nutrition_description,((WEEKDAY(AD$3,2)*2-1)+IF(AD900="Morning",0,1)),AC900)="","",
CONCATENATE("
Meal Plan: ", INDEX(sessions_nutrition,,INDEX(plan_session_allocation,((WEEKDAY(AD$3,2)*2-1)+IF(AD900="Morning",0,1)),AC900)), "
", INDEX(display_nutrition_description,((WEEKDAY(AD$3,2)*2-1)+IF(AD900="Morning",0,1)),AC900)))
)),"")),"")</f>
        <v>Session Description: 
The exact intensity will change depending on the length of the race. This optimum intensity can be found though a mix of natural urgency and reasoning with what your body is telling you.</v>
      </c>
      <c r="AD906" s="1914"/>
      <c r="AE906" s="1914"/>
      <c r="AF906" s="1915"/>
      <c r="AH906" s="1913" t="str">
        <f ca="1">IF(AK900&gt;0,CONCATENATE(IFERROR(CONCATENATE(IF(INDEX(display_intervals_breakdown,((WEEKDAY(AI$3,2)*2-1)+IF(AI900="Morning",0,1)),AH900)="","",CONCATENATE("Intervals/Reps Breakdown: 
",INDEX(display_intervals_breakdown,((WEEKDAY(AI$3,2)*2-1)+IF(AI900="Morning",0,1)),AH900),"
")),"Session Description: 
",CONCATENATE(IF(INDEX(final_duration_secondary,((WEEKDAY(AI$3,2)*2-1)+IF(AI900="Morning",0,1)),AH900)=0,"","1. "),
INDEX(sessions_description_primary,,INDEX(plan_session_allocation,((WEEKDAY(AI$3,2)*2-1)+IF(AI900="Morning",0,1)),AH900)),IF(INDEX(final_duration_secondary,((WEEKDAY(AI$3,2)*2-1)+IF(AI900="Morning",0,1)),AH900)=0,"","
2. "),
IF(INDEX(final_duration_secondary,((WEEKDAY(AI$3,2)*2-1)+IF(AI900="Morning",0,1)),AH900)=0,"",INDEX(sessions_description_secondary,,INDEX(plan_session_allocation,((WEEKDAY(AI$3,2)*2-1)+IF(AI900="Morning",0,1)),AH900))),IF(INDEX(final_duration_tertiary,((WEEKDAY(AI$3,2)*2-1)+IF(AI900="Morning",0,1)),AH900)=0,"","
3. "),
IF(INDEX(final_duration_tertiary,((WEEKDAY(AI$3,2)*2-1)+IF(AI900="Morning",0,1)),AH900)="","",INDEX(sessions_description_tertiary,,INDEX(plan_session_allocation,((WEEKDAY(AI$3,2)*2-1)+IF(AI900="Morning",0,1)),AH900))),
IF(INDEX(display_nutrition_description,((WEEKDAY(AI$3,2)*2-1)+IF(AI900="Morning",0,1)),AH900)="","",
CONCATENATE("
Meal Plan: ", INDEX(sessions_nutrition,,INDEX(plan_session_allocation,((WEEKDAY(AI$3,2)*2-1)+IF(AI900="Morning",0,1)),AH900)), "
", INDEX(display_nutrition_description,((WEEKDAY(AI$3,2)*2-1)+IF(AI900="Morning",0,1)),AH900)))
)),"")),"")</f>
        <v>Session Description: 
The exact intensity will change depending on the length of the race. This optimum intensity can be found though a mix of natural urgency and reasoning with what your body is telling you.</v>
      </c>
      <c r="AI906" s="1914"/>
      <c r="AJ906" s="1914"/>
      <c r="AK906" s="1915"/>
    </row>
    <row r="907" spans="2:38" s="180" customFormat="1" x14ac:dyDescent="0.45">
      <c r="B907" s="1942"/>
      <c r="C907" s="1945"/>
      <c r="D907" s="1916"/>
      <c r="E907" s="1917"/>
      <c r="F907" s="1917"/>
      <c r="G907" s="1918"/>
      <c r="I907" s="1916"/>
      <c r="J907" s="1917"/>
      <c r="K907" s="1917"/>
      <c r="L907" s="1918"/>
      <c r="N907" s="1916"/>
      <c r="O907" s="1917"/>
      <c r="P907" s="1917"/>
      <c r="Q907" s="1918"/>
      <c r="S907" s="1916"/>
      <c r="T907" s="1917"/>
      <c r="U907" s="1917"/>
      <c r="V907" s="1918"/>
      <c r="X907" s="1916"/>
      <c r="Y907" s="1917"/>
      <c r="Z907" s="1917"/>
      <c r="AA907" s="1918"/>
      <c r="AC907" s="1916"/>
      <c r="AD907" s="1917"/>
      <c r="AE907" s="1917"/>
      <c r="AF907" s="1918"/>
      <c r="AH907" s="1916"/>
      <c r="AI907" s="1917"/>
      <c r="AJ907" s="1917"/>
      <c r="AK907" s="1918"/>
    </row>
    <row r="908" spans="2:38" s="180" customFormat="1" x14ac:dyDescent="0.45">
      <c r="B908" s="1942"/>
      <c r="C908" s="1945"/>
      <c r="D908" s="1916"/>
      <c r="E908" s="1917"/>
      <c r="F908" s="1917"/>
      <c r="G908" s="1918"/>
      <c r="I908" s="1916"/>
      <c r="J908" s="1917"/>
      <c r="K908" s="1917"/>
      <c r="L908" s="1918"/>
      <c r="N908" s="1916"/>
      <c r="O908" s="1917"/>
      <c r="P908" s="1917"/>
      <c r="Q908" s="1918"/>
      <c r="S908" s="1916"/>
      <c r="T908" s="1917"/>
      <c r="U908" s="1917"/>
      <c r="V908" s="1918"/>
      <c r="X908" s="1916"/>
      <c r="Y908" s="1917"/>
      <c r="Z908" s="1917"/>
      <c r="AA908" s="1918"/>
      <c r="AC908" s="1916"/>
      <c r="AD908" s="1917"/>
      <c r="AE908" s="1917"/>
      <c r="AF908" s="1918"/>
      <c r="AH908" s="1916"/>
      <c r="AI908" s="1917"/>
      <c r="AJ908" s="1917"/>
      <c r="AK908" s="1918"/>
    </row>
    <row r="909" spans="2:38" s="180" customFormat="1" x14ac:dyDescent="0.45">
      <c r="B909" s="1942"/>
      <c r="C909" s="1945"/>
      <c r="D909" s="1916"/>
      <c r="E909" s="1917"/>
      <c r="F909" s="1917"/>
      <c r="G909" s="1918"/>
      <c r="I909" s="1916"/>
      <c r="J909" s="1917"/>
      <c r="K909" s="1917"/>
      <c r="L909" s="1918"/>
      <c r="N909" s="1916"/>
      <c r="O909" s="1917"/>
      <c r="P909" s="1917"/>
      <c r="Q909" s="1918"/>
      <c r="S909" s="1916"/>
      <c r="T909" s="1917"/>
      <c r="U909" s="1917"/>
      <c r="V909" s="1918"/>
      <c r="X909" s="1916"/>
      <c r="Y909" s="1917"/>
      <c r="Z909" s="1917"/>
      <c r="AA909" s="1918"/>
      <c r="AC909" s="1916"/>
      <c r="AD909" s="1917"/>
      <c r="AE909" s="1917"/>
      <c r="AF909" s="1918"/>
      <c r="AH909" s="1916"/>
      <c r="AI909" s="1917"/>
      <c r="AJ909" s="1917"/>
      <c r="AK909" s="1918"/>
    </row>
    <row r="910" spans="2:38" s="180" customFormat="1" x14ac:dyDescent="0.45">
      <c r="B910" s="1942"/>
      <c r="C910" s="1945"/>
      <c r="D910" s="1916"/>
      <c r="E910" s="1917"/>
      <c r="F910" s="1917"/>
      <c r="G910" s="1918"/>
      <c r="I910" s="1916"/>
      <c r="J910" s="1917"/>
      <c r="K910" s="1917"/>
      <c r="L910" s="1918"/>
      <c r="N910" s="1916"/>
      <c r="O910" s="1917"/>
      <c r="P910" s="1917"/>
      <c r="Q910" s="1918"/>
      <c r="S910" s="1916"/>
      <c r="T910" s="1917"/>
      <c r="U910" s="1917"/>
      <c r="V910" s="1918"/>
      <c r="X910" s="1916"/>
      <c r="Y910" s="1917"/>
      <c r="Z910" s="1917"/>
      <c r="AA910" s="1918"/>
      <c r="AC910" s="1916"/>
      <c r="AD910" s="1917"/>
      <c r="AE910" s="1917"/>
      <c r="AF910" s="1918"/>
      <c r="AH910" s="1916"/>
      <c r="AI910" s="1917"/>
      <c r="AJ910" s="1917"/>
      <c r="AK910" s="1918"/>
    </row>
    <row r="911" spans="2:38" s="180" customFormat="1" x14ac:dyDescent="0.45">
      <c r="B911" s="1942"/>
      <c r="C911" s="1945"/>
      <c r="D911" s="1916"/>
      <c r="E911" s="1917"/>
      <c r="F911" s="1917"/>
      <c r="G911" s="1918"/>
      <c r="I911" s="1916"/>
      <c r="J911" s="1917"/>
      <c r="K911" s="1917"/>
      <c r="L911" s="1918"/>
      <c r="N911" s="1916"/>
      <c r="O911" s="1917"/>
      <c r="P911" s="1917"/>
      <c r="Q911" s="1918"/>
      <c r="S911" s="1916"/>
      <c r="T911" s="1917"/>
      <c r="U911" s="1917"/>
      <c r="V911" s="1918"/>
      <c r="X911" s="1916"/>
      <c r="Y911" s="1917"/>
      <c r="Z911" s="1917"/>
      <c r="AA911" s="1918"/>
      <c r="AC911" s="1916"/>
      <c r="AD911" s="1917"/>
      <c r="AE911" s="1917"/>
      <c r="AF911" s="1918"/>
      <c r="AH911" s="1916"/>
      <c r="AI911" s="1917"/>
      <c r="AJ911" s="1917"/>
      <c r="AK911" s="1918"/>
    </row>
    <row r="912" spans="2:38" s="180" customFormat="1" x14ac:dyDescent="0.45">
      <c r="B912" s="1942"/>
      <c r="C912" s="1945"/>
      <c r="D912" s="1916"/>
      <c r="E912" s="1917"/>
      <c r="F912" s="1917"/>
      <c r="G912" s="1918"/>
      <c r="I912" s="1916"/>
      <c r="J912" s="1917"/>
      <c r="K912" s="1917"/>
      <c r="L912" s="1918"/>
      <c r="N912" s="1916"/>
      <c r="O912" s="1917"/>
      <c r="P912" s="1917"/>
      <c r="Q912" s="1918"/>
      <c r="S912" s="1916"/>
      <c r="T912" s="1917"/>
      <c r="U912" s="1917"/>
      <c r="V912" s="1918"/>
      <c r="X912" s="1916"/>
      <c r="Y912" s="1917"/>
      <c r="Z912" s="1917"/>
      <c r="AA912" s="1918"/>
      <c r="AC912" s="1916"/>
      <c r="AD912" s="1917"/>
      <c r="AE912" s="1917"/>
      <c r="AF912" s="1918"/>
      <c r="AH912" s="1916"/>
      <c r="AI912" s="1917"/>
      <c r="AJ912" s="1917"/>
      <c r="AK912" s="1918"/>
    </row>
    <row r="913" spans="2:38" s="180" customFormat="1" ht="15.75" customHeight="1" x14ac:dyDescent="0.45">
      <c r="B913" s="1942"/>
      <c r="C913" s="1945"/>
      <c r="D913" s="1916"/>
      <c r="E913" s="1917"/>
      <c r="F913" s="1917"/>
      <c r="G913" s="1918"/>
      <c r="I913" s="1916"/>
      <c r="J913" s="1917"/>
      <c r="K913" s="1917"/>
      <c r="L913" s="1918"/>
      <c r="N913" s="1916"/>
      <c r="O913" s="1917"/>
      <c r="P913" s="1917"/>
      <c r="Q913" s="1918"/>
      <c r="S913" s="1916"/>
      <c r="T913" s="1917"/>
      <c r="U913" s="1917"/>
      <c r="V913" s="1918"/>
      <c r="X913" s="1916"/>
      <c r="Y913" s="1917"/>
      <c r="Z913" s="1917"/>
      <c r="AA913" s="1918"/>
      <c r="AC913" s="1916"/>
      <c r="AD913" s="1917"/>
      <c r="AE913" s="1917"/>
      <c r="AF913" s="1918"/>
      <c r="AH913" s="1916"/>
      <c r="AI913" s="1917"/>
      <c r="AJ913" s="1917"/>
      <c r="AK913" s="1918"/>
    </row>
    <row r="914" spans="2:38" s="180" customFormat="1" x14ac:dyDescent="0.45">
      <c r="B914" s="1942"/>
      <c r="C914" s="1945"/>
      <c r="D914" s="1916"/>
      <c r="E914" s="1917"/>
      <c r="F914" s="1917"/>
      <c r="G914" s="1918"/>
      <c r="I914" s="1916"/>
      <c r="J914" s="1917"/>
      <c r="K914" s="1917"/>
      <c r="L914" s="1918"/>
      <c r="N914" s="1916"/>
      <c r="O914" s="1917"/>
      <c r="P914" s="1917"/>
      <c r="Q914" s="1918"/>
      <c r="S914" s="1916"/>
      <c r="T914" s="1917"/>
      <c r="U914" s="1917"/>
      <c r="V914" s="1918"/>
      <c r="X914" s="1916"/>
      <c r="Y914" s="1917"/>
      <c r="Z914" s="1917"/>
      <c r="AA914" s="1918"/>
      <c r="AC914" s="1916"/>
      <c r="AD914" s="1917"/>
      <c r="AE914" s="1917"/>
      <c r="AF914" s="1918"/>
      <c r="AH914" s="1916"/>
      <c r="AI914" s="1917"/>
      <c r="AJ914" s="1917"/>
      <c r="AK914" s="1918"/>
    </row>
    <row r="915" spans="2:38" s="180" customFormat="1" x14ac:dyDescent="0.45">
      <c r="B915" s="1942"/>
      <c r="C915" s="1945"/>
      <c r="D915" s="1916"/>
      <c r="E915" s="1917"/>
      <c r="F915" s="1917"/>
      <c r="G915" s="1918"/>
      <c r="I915" s="1916"/>
      <c r="J915" s="1917"/>
      <c r="K915" s="1917"/>
      <c r="L915" s="1918"/>
      <c r="N915" s="1916"/>
      <c r="O915" s="1917"/>
      <c r="P915" s="1917"/>
      <c r="Q915" s="1918"/>
      <c r="S915" s="1916"/>
      <c r="T915" s="1917"/>
      <c r="U915" s="1917"/>
      <c r="V915" s="1918"/>
      <c r="X915" s="1916"/>
      <c r="Y915" s="1917"/>
      <c r="Z915" s="1917"/>
      <c r="AA915" s="1918"/>
      <c r="AC915" s="1916"/>
      <c r="AD915" s="1917"/>
      <c r="AE915" s="1917"/>
      <c r="AF915" s="1918"/>
      <c r="AH915" s="1916"/>
      <c r="AI915" s="1917"/>
      <c r="AJ915" s="1917"/>
      <c r="AK915" s="1918"/>
    </row>
    <row r="916" spans="2:38" s="180" customFormat="1" x14ac:dyDescent="0.45">
      <c r="B916" s="1942"/>
      <c r="C916" s="1945"/>
      <c r="D916" s="1916"/>
      <c r="E916" s="1917"/>
      <c r="F916" s="1917"/>
      <c r="G916" s="1918"/>
      <c r="I916" s="1916"/>
      <c r="J916" s="1917"/>
      <c r="K916" s="1917"/>
      <c r="L916" s="1918"/>
      <c r="N916" s="1916"/>
      <c r="O916" s="1917"/>
      <c r="P916" s="1917"/>
      <c r="Q916" s="1918"/>
      <c r="S916" s="1916"/>
      <c r="T916" s="1917"/>
      <c r="U916" s="1917"/>
      <c r="V916" s="1918"/>
      <c r="X916" s="1916"/>
      <c r="Y916" s="1917"/>
      <c r="Z916" s="1917"/>
      <c r="AA916" s="1918"/>
      <c r="AC916" s="1916"/>
      <c r="AD916" s="1917"/>
      <c r="AE916" s="1917"/>
      <c r="AF916" s="1918"/>
      <c r="AH916" s="1916"/>
      <c r="AI916" s="1917"/>
      <c r="AJ916" s="1917"/>
      <c r="AK916" s="1918"/>
    </row>
    <row r="917" spans="2:38" s="180" customFormat="1" x14ac:dyDescent="0.45">
      <c r="B917" s="1942"/>
      <c r="C917" s="1945"/>
      <c r="D917" s="1916"/>
      <c r="E917" s="1917"/>
      <c r="F917" s="1917"/>
      <c r="G917" s="1918"/>
      <c r="I917" s="1916"/>
      <c r="J917" s="1917"/>
      <c r="K917" s="1917"/>
      <c r="L917" s="1918"/>
      <c r="N917" s="1916"/>
      <c r="O917" s="1917"/>
      <c r="P917" s="1917"/>
      <c r="Q917" s="1918"/>
      <c r="S917" s="1916"/>
      <c r="T917" s="1917"/>
      <c r="U917" s="1917"/>
      <c r="V917" s="1918"/>
      <c r="X917" s="1916"/>
      <c r="Y917" s="1917"/>
      <c r="Z917" s="1917"/>
      <c r="AA917" s="1918"/>
      <c r="AC917" s="1916"/>
      <c r="AD917" s="1917"/>
      <c r="AE917" s="1917"/>
      <c r="AF917" s="1918"/>
      <c r="AH917" s="1916"/>
      <c r="AI917" s="1917"/>
      <c r="AJ917" s="1917"/>
      <c r="AK917" s="1918"/>
    </row>
    <row r="918" spans="2:38" s="180" customFormat="1" x14ac:dyDescent="0.45">
      <c r="B918" s="1942"/>
      <c r="C918" s="1945"/>
      <c r="D918" s="1916"/>
      <c r="E918" s="1917"/>
      <c r="F918" s="1917"/>
      <c r="G918" s="1918"/>
      <c r="I918" s="1916"/>
      <c r="J918" s="1917"/>
      <c r="K918" s="1917"/>
      <c r="L918" s="1918"/>
      <c r="N918" s="1916"/>
      <c r="O918" s="1917"/>
      <c r="P918" s="1917"/>
      <c r="Q918" s="1918"/>
      <c r="S918" s="1916"/>
      <c r="T918" s="1917"/>
      <c r="U918" s="1917"/>
      <c r="V918" s="1918"/>
      <c r="X918" s="1916"/>
      <c r="Y918" s="1917"/>
      <c r="Z918" s="1917"/>
      <c r="AA918" s="1918"/>
      <c r="AC918" s="1916"/>
      <c r="AD918" s="1917"/>
      <c r="AE918" s="1917"/>
      <c r="AF918" s="1918"/>
      <c r="AH918" s="1916"/>
      <c r="AI918" s="1917"/>
      <c r="AJ918" s="1917"/>
      <c r="AK918" s="1918"/>
    </row>
    <row r="919" spans="2:38" s="180" customFormat="1" x14ac:dyDescent="0.45">
      <c r="B919" s="1942"/>
      <c r="C919" s="1945"/>
      <c r="D919" s="1919"/>
      <c r="E919" s="1920"/>
      <c r="F919" s="1920"/>
      <c r="G919" s="1921"/>
      <c r="I919" s="1919"/>
      <c r="J919" s="1920"/>
      <c r="K919" s="1920"/>
      <c r="L919" s="1921"/>
      <c r="N919" s="1919"/>
      <c r="O919" s="1920"/>
      <c r="P919" s="1920"/>
      <c r="Q919" s="1921"/>
      <c r="S919" s="1919"/>
      <c r="T919" s="1920"/>
      <c r="U919" s="1920"/>
      <c r="V919" s="1921"/>
      <c r="X919" s="1919"/>
      <c r="Y919" s="1920"/>
      <c r="Z919" s="1920"/>
      <c r="AA919" s="1921"/>
      <c r="AC919" s="1919"/>
      <c r="AD919" s="1920"/>
      <c r="AE919" s="1920"/>
      <c r="AF919" s="1921"/>
      <c r="AH919" s="1919"/>
      <c r="AI919" s="1920"/>
      <c r="AJ919" s="1920"/>
      <c r="AK919" s="1921"/>
    </row>
    <row r="920" spans="2:38" s="180" customFormat="1" ht="15" customHeight="1" x14ac:dyDescent="0.45">
      <c r="B920" s="1942"/>
      <c r="C920" s="1945"/>
      <c r="D920" s="1913" t="str">
        <f ca="1">IF(G900&gt;0,CONCATENATE("Session Aim: 
", CONCATENATE(IF(INDEX(final_duration_secondary,((WEEKDAY(E$3,2)*2-1)+IF(E900="Morning",0,1)),D900)=0, "", "1. "),
INDEX(sessions_aim_primary,, INDEX(plan_session_allocation,((WEEKDAY(E$3,2)*2-1)+IF(E900="Morning",0,1)),D900)), IF(INDEX(final_duration_secondary,((WEEKDAY(E$3,2)*2-1)+IF(E900="Morning",0,1)),D900)=0, "", "
2. "),
IF(INDEX(final_duration_secondary,((WEEKDAY(E$3,2)*2-1)+IF(E900="Morning",0,1)),D900)=0, "", INDEX(sessions_aim_secondary,, INDEX(plan_session_allocation,((WEEKDAY(E$3,2)*2-1)+IF(E900="Morning",0,1)),D900))), IF(INDEX(final_duration_tertiary,((WEEKDAY(E$3,2)*2-1)+IF(E900="Morning",0,1)),D900)=0, "", "
3. "),
IF(INDEX(final_duration_tertiary,((WEEKDAY(E$3,2)*2-1)+IF(E900="Morning",0,1)),D900)=0, "", INDEX(sessions_aim_tertiary,, INDEX(plan_session_allocation,((WEEKDAY(E$3,2)*2-1)+IF(E900="Morning",0,1)),D900))),
IF(INDEX(display_nutrition_description,((WEEKDAY(E$3,2)*2-1)+IF(E900="Morning",0,1)),D900)="","",
CONCATENATE("
Nutrition Aim:
", INDEX(sessions_aim_nutrition,,INDEX(plan_session_allocation,((WEEKDAY(E$3,2)*2-1)+IF(E900="Morning",0,1)),D900))
))
)),"")</f>
        <v xml:space="preserve">Session Aim: 
Improve aerobic fitness while minimising the chance of injury. </v>
      </c>
      <c r="E920" s="1914"/>
      <c r="F920" s="1914"/>
      <c r="G920" s="1915"/>
      <c r="I920" s="1913" t="str">
        <f ca="1">IF(L900&gt;0,CONCATENATE("Session Aim: 
", CONCATENATE(IF(INDEX(final_duration_secondary,((WEEKDAY(J$3,2)*2-1)+IF(J900="Morning",0,1)),I900)=0, "", "1. "),
INDEX(sessions_aim_primary,, INDEX(plan_session_allocation,((WEEKDAY(J$3,2)*2-1)+IF(J900="Morning",0,1)),I900)), IF(INDEX(final_duration_secondary,((WEEKDAY(J$3,2)*2-1)+IF(J900="Morning",0,1)),I900)=0, "", "
2. "),
IF(INDEX(final_duration_secondary,((WEEKDAY(J$3,2)*2-1)+IF(J900="Morning",0,1)),I900)=0, "", INDEX(sessions_aim_secondary,, INDEX(plan_session_allocation,((WEEKDAY(J$3,2)*2-1)+IF(J900="Morning",0,1)),I900))), IF(INDEX(final_duration_tertiary,((WEEKDAY(J$3,2)*2-1)+IF(J900="Morning",0,1)),I900)=0, "", "
3. "),
IF(INDEX(final_duration_tertiary,((WEEKDAY(J$3,2)*2-1)+IF(J900="Morning",0,1)),I900)=0, "", INDEX(sessions_aim_tertiary,, INDEX(plan_session_allocation,((WEEKDAY(J$3,2)*2-1)+IF(J900="Morning",0,1)),I900))),
IF(INDEX(display_nutrition_description,((WEEKDAY(J$3,2)*2-1)+IF(J900="Morning",0,1)),I900)="","",
CONCATENATE("
Nutrition Aim:
", INDEX(sessions_aim_nutrition,,INDEX(plan_session_allocation,((WEEKDAY(J$3,2)*2-1)+IF(J900="Morning",0,1)),I900))
))
)),"")</f>
        <v/>
      </c>
      <c r="J920" s="1914"/>
      <c r="K920" s="1914"/>
      <c r="L920" s="1915"/>
      <c r="N920" s="1913" t="str">
        <f ca="1">IF(Q900&gt;0,CONCATENATE("Session Aim: 
", CONCATENATE(IF(INDEX(final_duration_secondary,((WEEKDAY(O$3,2)*2-1)+IF(O900="Morning",0,1)),N900)=0, "", "1. "),
INDEX(sessions_aim_primary,, INDEX(plan_session_allocation,((WEEKDAY(O$3,2)*2-1)+IF(O900="Morning",0,1)),N900)), IF(INDEX(final_duration_secondary,((WEEKDAY(O$3,2)*2-1)+IF(O900="Morning",0,1)),N900)=0, "", "
2. "),
IF(INDEX(final_duration_secondary,((WEEKDAY(O$3,2)*2-1)+IF(O900="Morning",0,1)),N900)=0, "", INDEX(sessions_aim_secondary,, INDEX(plan_session_allocation,((WEEKDAY(O$3,2)*2-1)+IF(O900="Morning",0,1)),N900))), IF(INDEX(final_duration_tertiary,((WEEKDAY(O$3,2)*2-1)+IF(O900="Morning",0,1)),N900)=0, "", "
3. "),
IF(INDEX(final_duration_tertiary,((WEEKDAY(O$3,2)*2-1)+IF(O900="Morning",0,1)),N900)=0, "", INDEX(sessions_aim_tertiary,, INDEX(plan_session_allocation,((WEEKDAY(O$3,2)*2-1)+IF(O900="Morning",0,1)),N900))),
IF(INDEX(display_nutrition_description,((WEEKDAY(O$3,2)*2-1)+IF(O900="Morning",0,1)),N900)="","",
CONCATENATE("
Nutrition Aim:
", INDEX(sessions_aim_nutrition,,INDEX(plan_session_allocation,((WEEKDAY(O$3,2)*2-1)+IF(O900="Morning",0,1)),N900))
))
)),"")</f>
        <v/>
      </c>
      <c r="O920" s="1914"/>
      <c r="P920" s="1914"/>
      <c r="Q920" s="1915"/>
      <c r="S920" s="1913" t="str">
        <f ca="1">IF(V900&gt;0,CONCATENATE("Session Aim: 
", CONCATENATE(IF(INDEX(final_duration_secondary,((WEEKDAY(T$3,2)*2-1)+IF(T900="Morning",0,1)),S900)=0, "", "1. "),
INDEX(sessions_aim_primary,, INDEX(plan_session_allocation,((WEEKDAY(T$3,2)*2-1)+IF(T900="Morning",0,1)),S900)), IF(INDEX(final_duration_secondary,((WEEKDAY(T$3,2)*2-1)+IF(T900="Morning",0,1)),S900)=0, "", "
2. "),
IF(INDEX(final_duration_secondary,((WEEKDAY(T$3,2)*2-1)+IF(T900="Morning",0,1)),S900)=0, "", INDEX(sessions_aim_secondary,, INDEX(plan_session_allocation,((WEEKDAY(T$3,2)*2-1)+IF(T900="Morning",0,1)),S900))), IF(INDEX(final_duration_tertiary,((WEEKDAY(T$3,2)*2-1)+IF(T900="Morning",0,1)),S900)=0, "", "
3. "),
IF(INDEX(final_duration_tertiary,((WEEKDAY(T$3,2)*2-1)+IF(T900="Morning",0,1)),S900)=0, "", INDEX(sessions_aim_tertiary,, INDEX(plan_session_allocation,((WEEKDAY(T$3,2)*2-1)+IF(T900="Morning",0,1)),S900))),
IF(INDEX(display_nutrition_description,((WEEKDAY(T$3,2)*2-1)+IF(T900="Morning",0,1)),S900)="","",
CONCATENATE("
Nutrition Aim:
", INDEX(sessions_aim_nutrition,,INDEX(plan_session_allocation,((WEEKDAY(T$3,2)*2-1)+IF(T900="Morning",0,1)),S900))
))
)),"")</f>
        <v/>
      </c>
      <c r="T920" s="1914"/>
      <c r="U920" s="1914"/>
      <c r="V920" s="1915"/>
      <c r="X920" s="1913" t="str">
        <f ca="1">IF(AA900&gt;0,CONCATENATE("Session Aim: 
", CONCATENATE(IF(INDEX(final_duration_secondary,((WEEKDAY(Y$3,2)*2-1)+IF(Y900="Morning",0,1)),X900)=0, "", "1. "),
INDEX(sessions_aim_primary,, INDEX(plan_session_allocation,((WEEKDAY(Y$3,2)*2-1)+IF(Y900="Morning",0,1)),X900)), IF(INDEX(final_duration_secondary,((WEEKDAY(Y$3,2)*2-1)+IF(Y900="Morning",0,1)),X900)=0, "", "
2. "),
IF(INDEX(final_duration_secondary,((WEEKDAY(Y$3,2)*2-1)+IF(Y900="Morning",0,1)),X900)=0, "", INDEX(sessions_aim_secondary,, INDEX(plan_session_allocation,((WEEKDAY(Y$3,2)*2-1)+IF(Y900="Morning",0,1)),X900))), IF(INDEX(final_duration_tertiary,((WEEKDAY(Y$3,2)*2-1)+IF(Y900="Morning",0,1)),X900)=0, "", "
3. "),
IF(INDEX(final_duration_tertiary,((WEEKDAY(Y$3,2)*2-1)+IF(Y900="Morning",0,1)),X900)=0, "", INDEX(sessions_aim_tertiary,, INDEX(plan_session_allocation,((WEEKDAY(Y$3,2)*2-1)+IF(Y900="Morning",0,1)),X900))),
IF(INDEX(display_nutrition_description,((WEEKDAY(Y$3,2)*2-1)+IF(Y900="Morning",0,1)),X900)="","",
CONCATENATE("
Nutrition Aim:
", INDEX(sessions_aim_nutrition,,INDEX(plan_session_allocation,((WEEKDAY(Y$3,2)*2-1)+IF(Y900="Morning",0,1)),X900))
))
)),"")</f>
        <v/>
      </c>
      <c r="Y920" s="1914"/>
      <c r="Z920" s="1914"/>
      <c r="AA920" s="1915"/>
      <c r="AC920" s="1913" t="str">
        <f ca="1">IF(AF900&gt;0,CONCATENATE("Session Aim: 
", CONCATENATE(IF(INDEX(final_duration_secondary,((WEEKDAY(AD$3,2)*2-1)+IF(AD900="Morning",0,1)),AC900)=0, "", "1. "),
INDEX(sessions_aim_primary,, INDEX(plan_session_allocation,((WEEKDAY(AD$3,2)*2-1)+IF(AD900="Morning",0,1)),AC900)), IF(INDEX(final_duration_secondary,((WEEKDAY(AD$3,2)*2-1)+IF(AD900="Morning",0,1)),AC900)=0, "", "
2. "),
IF(INDEX(final_duration_secondary,((WEEKDAY(AD$3,2)*2-1)+IF(AD900="Morning",0,1)),AC900)=0, "", INDEX(sessions_aim_secondary,, INDEX(plan_session_allocation,((WEEKDAY(AD$3,2)*2-1)+IF(AD900="Morning",0,1)),AC900))), IF(INDEX(final_duration_tertiary,((WEEKDAY(AD$3,2)*2-1)+IF(AD900="Morning",0,1)),AC900)=0, "", "
3. "),
IF(INDEX(final_duration_tertiary,((WEEKDAY(AD$3,2)*2-1)+IF(AD900="Morning",0,1)),AC900)=0, "", INDEX(sessions_aim_tertiary,, INDEX(plan_session_allocation,((WEEKDAY(AD$3,2)*2-1)+IF(AD900="Morning",0,1)),AC900))),
IF(INDEX(display_nutrition_description,((WEEKDAY(AD$3,2)*2-1)+IF(AD900="Morning",0,1)),AC900)="","",
CONCATENATE("
Nutrition Aim:
", INDEX(sessions_aim_nutrition,,INDEX(plan_session_allocation,((WEEKDAY(AD$3,2)*2-1)+IF(AD900="Morning",0,1)),AC900))
))
)),"")</f>
        <v>Session Aim: 
Push your physical and mental limits and put tactics and techniques to the test.</v>
      </c>
      <c r="AD920" s="1914"/>
      <c r="AE920" s="1914"/>
      <c r="AF920" s="1915"/>
      <c r="AH920" s="1913" t="str">
        <f ca="1">IF(AK900&gt;0,CONCATENATE("Session Aim: 
", CONCATENATE(IF(INDEX(final_duration_secondary,((WEEKDAY(AI$3,2)*2-1)+IF(AI900="Morning",0,1)),AH900)=0, "", "1. "),
INDEX(sessions_aim_primary,, INDEX(plan_session_allocation,((WEEKDAY(AI$3,2)*2-1)+IF(AI900="Morning",0,1)),AH900)), IF(INDEX(final_duration_secondary,((WEEKDAY(AI$3,2)*2-1)+IF(AI900="Morning",0,1)),AH900)=0, "", "
2. "),
IF(INDEX(final_duration_secondary,((WEEKDAY(AI$3,2)*2-1)+IF(AI900="Morning",0,1)),AH900)=0, "", INDEX(sessions_aim_secondary,, INDEX(plan_session_allocation,((WEEKDAY(AI$3,2)*2-1)+IF(AI900="Morning",0,1)),AH900))), IF(INDEX(final_duration_tertiary,((WEEKDAY(AI$3,2)*2-1)+IF(AI900="Morning",0,1)),AH900)=0, "", "
3. "),
IF(INDEX(final_duration_tertiary,((WEEKDAY(AI$3,2)*2-1)+IF(AI900="Morning",0,1)),AH900)=0, "", INDEX(sessions_aim_tertiary,, INDEX(plan_session_allocation,((WEEKDAY(AI$3,2)*2-1)+IF(AI900="Morning",0,1)),AH900))),
IF(INDEX(display_nutrition_description,((WEEKDAY(AI$3,2)*2-1)+IF(AI900="Morning",0,1)),AH900)="","",
CONCATENATE("
Nutrition Aim:
", INDEX(sessions_aim_nutrition,,INDEX(plan_session_allocation,((WEEKDAY(AI$3,2)*2-1)+IF(AI900="Morning",0,1)),AH900))
))
)),"")</f>
        <v>Session Aim: 
Push your physical and mental limits and put tactics and techniques to the test.</v>
      </c>
      <c r="AI920" s="1914"/>
      <c r="AJ920" s="1914"/>
      <c r="AK920" s="1915"/>
    </row>
    <row r="921" spans="2:38" s="180" customFormat="1" x14ac:dyDescent="0.45">
      <c r="B921" s="1942"/>
      <c r="C921" s="1945"/>
      <c r="D921" s="1916"/>
      <c r="E921" s="1917"/>
      <c r="F921" s="1917"/>
      <c r="G921" s="1918"/>
      <c r="I921" s="1916"/>
      <c r="J921" s="1917"/>
      <c r="K921" s="1917"/>
      <c r="L921" s="1918"/>
      <c r="N921" s="1916"/>
      <c r="O921" s="1917"/>
      <c r="P921" s="1917"/>
      <c r="Q921" s="1918"/>
      <c r="S921" s="1916"/>
      <c r="T921" s="1917"/>
      <c r="U921" s="1917"/>
      <c r="V921" s="1918"/>
      <c r="X921" s="1916"/>
      <c r="Y921" s="1917"/>
      <c r="Z921" s="1917"/>
      <c r="AA921" s="1918"/>
      <c r="AC921" s="1916"/>
      <c r="AD921" s="1917"/>
      <c r="AE921" s="1917"/>
      <c r="AF921" s="1918"/>
      <c r="AH921" s="1916"/>
      <c r="AI921" s="1917"/>
      <c r="AJ921" s="1917"/>
      <c r="AK921" s="1918"/>
    </row>
    <row r="922" spans="2:38" s="180" customFormat="1" x14ac:dyDescent="0.45">
      <c r="B922" s="1942"/>
      <c r="C922" s="1945"/>
      <c r="D922" s="1916"/>
      <c r="E922" s="1917"/>
      <c r="F922" s="1917"/>
      <c r="G922" s="1918"/>
      <c r="I922" s="1916"/>
      <c r="J922" s="1917"/>
      <c r="K922" s="1917"/>
      <c r="L922" s="1918"/>
      <c r="N922" s="1916"/>
      <c r="O922" s="1917"/>
      <c r="P922" s="1917"/>
      <c r="Q922" s="1918"/>
      <c r="S922" s="1916"/>
      <c r="T922" s="1917"/>
      <c r="U922" s="1917"/>
      <c r="V922" s="1918"/>
      <c r="X922" s="1916"/>
      <c r="Y922" s="1917"/>
      <c r="Z922" s="1917"/>
      <c r="AA922" s="1918"/>
      <c r="AC922" s="1916"/>
      <c r="AD922" s="1917"/>
      <c r="AE922" s="1917"/>
      <c r="AF922" s="1918"/>
      <c r="AH922" s="1916"/>
      <c r="AI922" s="1917"/>
      <c r="AJ922" s="1917"/>
      <c r="AK922" s="1918"/>
    </row>
    <row r="923" spans="2:38" s="180" customFormat="1" x14ac:dyDescent="0.45">
      <c r="B923" s="1942"/>
      <c r="C923" s="1945"/>
      <c r="D923" s="1916"/>
      <c r="E923" s="1917"/>
      <c r="F923" s="1917"/>
      <c r="G923" s="1918"/>
      <c r="I923" s="1916"/>
      <c r="J923" s="1917"/>
      <c r="K923" s="1917"/>
      <c r="L923" s="1918"/>
      <c r="N923" s="1916"/>
      <c r="O923" s="1917"/>
      <c r="P923" s="1917"/>
      <c r="Q923" s="1918"/>
      <c r="S923" s="1916"/>
      <c r="T923" s="1917"/>
      <c r="U923" s="1917"/>
      <c r="V923" s="1918"/>
      <c r="X923" s="1916"/>
      <c r="Y923" s="1917"/>
      <c r="Z923" s="1917"/>
      <c r="AA923" s="1918"/>
      <c r="AC923" s="1916"/>
      <c r="AD923" s="1917"/>
      <c r="AE923" s="1917"/>
      <c r="AF923" s="1918"/>
      <c r="AH923" s="1916"/>
      <c r="AI923" s="1917"/>
      <c r="AJ923" s="1917"/>
      <c r="AK923" s="1918"/>
    </row>
    <row r="924" spans="2:38" s="180" customFormat="1" x14ac:dyDescent="0.45">
      <c r="B924" s="1942"/>
      <c r="C924" s="1945"/>
      <c r="D924" s="1916"/>
      <c r="E924" s="1917"/>
      <c r="F924" s="1917"/>
      <c r="G924" s="1918"/>
      <c r="I924" s="1916"/>
      <c r="J924" s="1917"/>
      <c r="K924" s="1917"/>
      <c r="L924" s="1918"/>
      <c r="N924" s="1916"/>
      <c r="O924" s="1917"/>
      <c r="P924" s="1917"/>
      <c r="Q924" s="1918"/>
      <c r="S924" s="1916"/>
      <c r="T924" s="1917"/>
      <c r="U924" s="1917"/>
      <c r="V924" s="1918"/>
      <c r="X924" s="1916"/>
      <c r="Y924" s="1917"/>
      <c r="Z924" s="1917"/>
      <c r="AA924" s="1918"/>
      <c r="AC924" s="1916"/>
      <c r="AD924" s="1917"/>
      <c r="AE924" s="1917"/>
      <c r="AF924" s="1918"/>
      <c r="AH924" s="1916"/>
      <c r="AI924" s="1917"/>
      <c r="AJ924" s="1917"/>
      <c r="AK924" s="1918"/>
    </row>
    <row r="925" spans="2:38" s="180" customFormat="1" x14ac:dyDescent="0.45">
      <c r="B925" s="1942"/>
      <c r="C925" s="1945"/>
      <c r="D925" s="1916"/>
      <c r="E925" s="1917"/>
      <c r="F925" s="1917"/>
      <c r="G925" s="1918"/>
      <c r="I925" s="1916"/>
      <c r="J925" s="1917"/>
      <c r="K925" s="1917"/>
      <c r="L925" s="1918"/>
      <c r="N925" s="1916"/>
      <c r="O925" s="1917"/>
      <c r="P925" s="1917"/>
      <c r="Q925" s="1918"/>
      <c r="S925" s="1916"/>
      <c r="T925" s="1917"/>
      <c r="U925" s="1917"/>
      <c r="V925" s="1918"/>
      <c r="X925" s="1916"/>
      <c r="Y925" s="1917"/>
      <c r="Z925" s="1917"/>
      <c r="AA925" s="1918"/>
      <c r="AC925" s="1916"/>
      <c r="AD925" s="1917"/>
      <c r="AE925" s="1917"/>
      <c r="AF925" s="1918"/>
      <c r="AH925" s="1916"/>
      <c r="AI925" s="1917"/>
      <c r="AJ925" s="1917"/>
      <c r="AK925" s="1918"/>
    </row>
    <row r="926" spans="2:38" s="180" customFormat="1" ht="14.65" thickBot="1" x14ac:dyDescent="0.5">
      <c r="B926" s="1942"/>
      <c r="C926" s="1945"/>
      <c r="D926" s="1938"/>
      <c r="E926" s="1939"/>
      <c r="F926" s="1939"/>
      <c r="G926" s="1940"/>
      <c r="I926" s="1938"/>
      <c r="J926" s="1939"/>
      <c r="K926" s="1939"/>
      <c r="L926" s="1940"/>
      <c r="N926" s="1938"/>
      <c r="O926" s="1939"/>
      <c r="P926" s="1939"/>
      <c r="Q926" s="1940"/>
      <c r="S926" s="1938"/>
      <c r="T926" s="1939"/>
      <c r="U926" s="1939"/>
      <c r="V926" s="1940"/>
      <c r="X926" s="1938"/>
      <c r="Y926" s="1939"/>
      <c r="Z926" s="1939"/>
      <c r="AA926" s="1940"/>
      <c r="AC926" s="1938"/>
      <c r="AD926" s="1939"/>
      <c r="AE926" s="1939"/>
      <c r="AF926" s="1940"/>
      <c r="AH926" s="1938"/>
      <c r="AI926" s="1939"/>
      <c r="AJ926" s="1939"/>
      <c r="AK926" s="1940"/>
    </row>
    <row r="927" spans="2:38" s="176" customFormat="1" ht="15.75" customHeight="1" x14ac:dyDescent="0.45">
      <c r="B927" s="1942"/>
      <c r="C927" s="1945"/>
      <c r="D927" s="1415">
        <f>$B899</f>
        <v>17</v>
      </c>
      <c r="E927" s="1930" t="s">
        <v>352</v>
      </c>
      <c r="F927" s="1930"/>
      <c r="G927" s="1414">
        <f ca="1">INDEX(final_duration_session,((WEEKDAY(E$3,2)*2-1)+IF(E927="Morning",0,1)),$D927)</f>
        <v>60</v>
      </c>
      <c r="H927" s="177"/>
      <c r="I927" s="1415">
        <f>$B899</f>
        <v>17</v>
      </c>
      <c r="J927" s="1930" t="s">
        <v>352</v>
      </c>
      <c r="K927" s="1930"/>
      <c r="L927" s="1414">
        <f ca="1">INDEX(final_duration_session,((WEEKDAY(J$3,2)*2-1)+IF(J927="Morning",0,1)),$D927)</f>
        <v>55</v>
      </c>
      <c r="M927" s="177"/>
      <c r="N927" s="1415">
        <f>$B899</f>
        <v>17</v>
      </c>
      <c r="O927" s="1930" t="s">
        <v>352</v>
      </c>
      <c r="P927" s="1930"/>
      <c r="Q927" s="1414">
        <f ca="1">INDEX(final_duration_session,((WEEKDAY(O$3,2)*2-1)+IF(O927="Morning",0,1)),$D927)</f>
        <v>55</v>
      </c>
      <c r="R927" s="177"/>
      <c r="S927" s="1415">
        <f>$B899</f>
        <v>17</v>
      </c>
      <c r="T927" s="1930" t="s">
        <v>352</v>
      </c>
      <c r="U927" s="1930"/>
      <c r="V927" s="1414">
        <f ca="1">INDEX(final_duration_session,((WEEKDAY(T$3,2)*2-1)+IF(T927="Morning",0,1)),$D927)</f>
        <v>0</v>
      </c>
      <c r="W927" s="177"/>
      <c r="X927" s="1415">
        <f>$B899</f>
        <v>17</v>
      </c>
      <c r="Y927" s="1930" t="s">
        <v>352</v>
      </c>
      <c r="Z927" s="1930"/>
      <c r="AA927" s="1414">
        <f ca="1">INDEX(final_duration_session,((WEEKDAY(Y$3,2)*2-1)+IF(Y927="Morning",0,1)),$D927)</f>
        <v>45</v>
      </c>
      <c r="AB927" s="177"/>
      <c r="AC927" s="1415">
        <f>$B899</f>
        <v>17</v>
      </c>
      <c r="AD927" s="1930" t="s">
        <v>352</v>
      </c>
      <c r="AE927" s="1930"/>
      <c r="AF927" s="1414">
        <f ca="1">INDEX(final_duration_session,((WEEKDAY(AD$3,2)*2-1)+IF(AD927="Morning",0,1)),$D927)</f>
        <v>0</v>
      </c>
      <c r="AG927" s="177"/>
      <c r="AH927" s="1415">
        <f>$B899</f>
        <v>17</v>
      </c>
      <c r="AI927" s="1930" t="s">
        <v>352</v>
      </c>
      <c r="AJ927" s="1930"/>
      <c r="AK927" s="1414">
        <f ca="1">INDEX(final_duration_session,((WEEKDAY(AI$3,2)*2-1)+IF(AI927="Morning",0,1)),$D927)</f>
        <v>0</v>
      </c>
      <c r="AL927" s="177"/>
    </row>
    <row r="928" spans="2:38" s="176" customFormat="1" ht="15" customHeight="1" x14ac:dyDescent="0.45">
      <c r="B928" s="1942"/>
      <c r="C928" s="1945"/>
      <c r="D928" s="1931" t="str">
        <f ca="1">IF(G927&gt;0,INDEX(sessions_name,INDEX(plan_session_allocation,((WEEKDAY(E$3,2)*2-1)+IF(E927="Morning",0,1)),D927)),"")</f>
        <v>Strength and Maintenance</v>
      </c>
      <c r="E928" s="1932"/>
      <c r="F928" s="1932"/>
      <c r="G928" s="1933"/>
      <c r="H928" s="177"/>
      <c r="I928" s="1931" t="str">
        <f ca="1">IF(L927&gt;0,INDEX(sessions_name,INDEX(plan_session_allocation,((WEEKDAY(J$3,2)*2-1)+IF(J927="Morning",0,1)),I927)),"")</f>
        <v xml:space="preserve">Easy </v>
      </c>
      <c r="J928" s="1932"/>
      <c r="K928" s="1932"/>
      <c r="L928" s="1933"/>
      <c r="M928" s="177"/>
      <c r="N928" s="1931" t="str">
        <f ca="1">IF(Q927&gt;0,INDEX(sessions_name,INDEX(plan_session_allocation,((WEEKDAY(O$3,2)*2-1)+IF(O927="Morning",0,1)),N927)),"")</f>
        <v xml:space="preserve">Easy </v>
      </c>
      <c r="O928" s="1932"/>
      <c r="P928" s="1932"/>
      <c r="Q928" s="1933"/>
      <c r="R928" s="177"/>
      <c r="S928" s="1931" t="str">
        <f ca="1">IF(V927&gt;0,INDEX(sessions_name,INDEX(plan_session_allocation,((WEEKDAY(T$3,2)*2-1)+IF(T927="Morning",0,1)),S927)),"")</f>
        <v/>
      </c>
      <c r="T928" s="1932"/>
      <c r="U928" s="1932"/>
      <c r="V928" s="1933"/>
      <c r="W928" s="177"/>
      <c r="X928" s="1931" t="str">
        <f ca="1">IF(AA927&gt;0,INDEX(sessions_name,INDEX(plan_session_allocation,((WEEKDAY(Y$3,2)*2-1)+IF(Y927="Morning",0,1)),X927)),"")</f>
        <v>Race: 15 minutes</v>
      </c>
      <c r="Y928" s="1932"/>
      <c r="Z928" s="1932"/>
      <c r="AA928" s="1933"/>
      <c r="AB928" s="177"/>
      <c r="AC928" s="1931" t="str">
        <f ca="1">IF(AF927&gt;0,INDEX(sessions_name,INDEX(plan_session_allocation,((WEEKDAY(AD$3,2)*2-1)+IF(AD927="Morning",0,1)),AC927)),"")</f>
        <v/>
      </c>
      <c r="AD928" s="1932"/>
      <c r="AE928" s="1932"/>
      <c r="AF928" s="1933"/>
      <c r="AG928" s="177"/>
      <c r="AH928" s="1931" t="str">
        <f ca="1">IF(AK927&gt;0,INDEX(sessions_name,INDEX(plan_session_allocation,((WEEKDAY(AI$3,2)*2-1)+IF(AI927="Morning",0,1)),AH927)),"")</f>
        <v/>
      </c>
      <c r="AI928" s="1932"/>
      <c r="AJ928" s="1932"/>
      <c r="AK928" s="1933"/>
      <c r="AL928" s="177"/>
    </row>
    <row r="929" spans="2:38" s="176" customFormat="1" ht="15" customHeight="1" x14ac:dyDescent="0.45">
      <c r="B929" s="1942"/>
      <c r="C929" s="1945"/>
      <c r="D929" s="1934" t="str">
        <f ca="1">IF(G927&gt;0,CONCATENATE("Sport: ",INDEX(sessions_sport_primary,INDEX(plan_session_allocation,(WEEKDAY(E$3,2)*2-1)+IF(E927="Morning",0,1),D927))),"")</f>
        <v>Sport: Indoor</v>
      </c>
      <c r="E929" s="1935"/>
      <c r="F929" s="1936">
        <f ca="1">IF(G927&gt;0,IFERROR(F930+F931+F932,""),"")</f>
        <v>60</v>
      </c>
      <c r="G929" s="1937"/>
      <c r="H929" s="177"/>
      <c r="I929" s="1934" t="str">
        <f ca="1">IF(L927&gt;0,CONCATENATE("Sport: ",INDEX(sessions_sport_primary,INDEX(plan_session_allocation,(WEEKDAY(J$3,2)*2-1)+IF(J927="Morning",0,1),I927))),"")</f>
        <v>Sport: Run</v>
      </c>
      <c r="J929" s="1935"/>
      <c r="K929" s="1936">
        <f ca="1">IF(L927&gt;0,IFERROR(K930+K931+K932,""),"")</f>
        <v>55</v>
      </c>
      <c r="L929" s="1937"/>
      <c r="M929" s="177"/>
      <c r="N929" s="1934" t="str">
        <f ca="1">IF(Q927&gt;0,CONCATENATE("Sport: ",INDEX(sessions_sport_primary,INDEX(plan_session_allocation,(WEEKDAY(O$3,2)*2-1)+IF(O927="Morning",0,1),N927))),"")</f>
        <v>Sport: Run</v>
      </c>
      <c r="O929" s="1935"/>
      <c r="P929" s="1936">
        <f ca="1">IF(Q927&gt;0,IFERROR(P930+P931+P932,""),"")</f>
        <v>55</v>
      </c>
      <c r="Q929" s="1937"/>
      <c r="R929" s="177"/>
      <c r="S929" s="1934" t="str">
        <f ca="1">IF(V927&gt;0,CONCATENATE("Sport: ",INDEX(sessions_sport_primary,INDEX(plan_session_allocation,(WEEKDAY(T$3,2)*2-1)+IF(T927="Morning",0,1),S927))),"")</f>
        <v/>
      </c>
      <c r="T929" s="1935"/>
      <c r="U929" s="1936" t="str">
        <f ca="1">IF(V927&gt;0,IFERROR(U930+U931+U932,""),"")</f>
        <v/>
      </c>
      <c r="V929" s="1937"/>
      <c r="W929" s="177"/>
      <c r="X929" s="1934" t="str">
        <f ca="1">IF(AA927&gt;0,CONCATENATE("Sport: ",INDEX(sessions_sport_primary,INDEX(plan_session_allocation,(WEEKDAY(Y$3,2)*2-1)+IF(Y927="Morning",0,1),X927))),"")</f>
        <v>Sport: Hilly Trail Run</v>
      </c>
      <c r="Y929" s="1935"/>
      <c r="Z929" s="1936">
        <f ca="1">IF(AA927&gt;0,IFERROR(Z930+Z931+Z932,""),"")</f>
        <v>45</v>
      </c>
      <c r="AA929" s="1937"/>
      <c r="AB929" s="177"/>
      <c r="AC929" s="1934" t="str">
        <f ca="1">IF(AF927&gt;0,CONCATENATE("Sport: ",INDEX(sessions_sport_primary,INDEX(plan_session_allocation,(WEEKDAY(AD$3,2)*2-1)+IF(AD927="Morning",0,1),AC927))),"")</f>
        <v/>
      </c>
      <c r="AD929" s="1935"/>
      <c r="AE929" s="1936" t="str">
        <f ca="1">IF(AF927&gt;0,IFERROR(AE930+AE931+AE932,""),"")</f>
        <v/>
      </c>
      <c r="AF929" s="1937"/>
      <c r="AG929" s="177"/>
      <c r="AH929" s="1934" t="str">
        <f ca="1">IF(AK927&gt;0,CONCATENATE("Sport: ",INDEX(sessions_sport_primary,INDEX(plan_session_allocation,(WEEKDAY(AI$3,2)*2-1)+IF(AI927="Morning",0,1),AH927))),"")</f>
        <v/>
      </c>
      <c r="AI929" s="1935"/>
      <c r="AJ929" s="1936" t="str">
        <f ca="1">IF(AK927&gt;0,IFERROR(AJ930+AJ931+AJ932,""),"")</f>
        <v/>
      </c>
      <c r="AK929" s="1937"/>
      <c r="AL929" s="177"/>
    </row>
    <row r="930" spans="2:38" s="177" customFormat="1" ht="15" customHeight="1" x14ac:dyDescent="0.45">
      <c r="B930" s="1942"/>
      <c r="C930" s="1945"/>
      <c r="D930" s="1922" t="str">
        <f ca="1">IF(G927&gt;0,CONCATENATE("HR Target: ",
INDEX(sessions_HR_primary,INDEX(plan_session_allocation,((WEEKDAY(E$3,2)*2-1)+IF(E927="Morning",0,1)),D927)),
IF(INDEX(sessions_HR_primary,INDEX(plan_session_allocation,((WEEKDAY(E$3,2)*2-1)+IF(E927="Morning",0,1)),D927))="N/A","",
" BPM")),"")</f>
        <v>HR Target: N/A</v>
      </c>
      <c r="E930" s="1923"/>
      <c r="F930" s="1924">
        <f ca="1">IF(G927&gt;0,
INDEX(final_duration_effort,((WEEKDAY(E$3,2)*2-1)+IF(E927="Morning",0,1)),D927),"")</f>
        <v>60</v>
      </c>
      <c r="G930" s="1925"/>
      <c r="I930" s="1922" t="str">
        <f ca="1">IF(L927&gt;0,CONCATENATE("HR Target: ",
INDEX(sessions_HR_primary,INDEX(plan_session_allocation,((WEEKDAY(J$3,2)*2-1)+IF(J927="Morning",0,1)),I927)),
IF(INDEX(sessions_HR_primary,INDEX(plan_session_allocation,((WEEKDAY(J$3,2)*2-1)+IF(J927="Morning",0,1)),I927))="N/A","",
" BPM")),"")</f>
        <v>HR Target: 138 BPM</v>
      </c>
      <c r="J930" s="1923"/>
      <c r="K930" s="1924">
        <f ca="1">IF(L927&gt;0,
INDEX(final_duration_effort,((WEEKDAY(J$3,2)*2-1)+IF(J927="Morning",0,1)),I927),"")</f>
        <v>55</v>
      </c>
      <c r="L930" s="1925"/>
      <c r="N930" s="1922" t="str">
        <f ca="1">IF(Q927&gt;0,CONCATENATE("HR Target: ",
INDEX(sessions_HR_primary,INDEX(plan_session_allocation,((WEEKDAY(O$3,2)*2-1)+IF(O927="Morning",0,1)),N927)),
IF(INDEX(sessions_HR_primary,INDEX(plan_session_allocation,((WEEKDAY(O$3,2)*2-1)+IF(O927="Morning",0,1)),N927))="N/A","",
" BPM")),"")</f>
        <v>HR Target: 138 BPM</v>
      </c>
      <c r="O930" s="1923"/>
      <c r="P930" s="1924">
        <f ca="1">IF(Q927&gt;0,
INDEX(final_duration_effort,((WEEKDAY(O$3,2)*2-1)+IF(O927="Morning",0,1)),N927),"")</f>
        <v>55</v>
      </c>
      <c r="Q930" s="1925"/>
      <c r="S930" s="1922" t="str">
        <f ca="1">IF(V927&gt;0,CONCATENATE("HR Target: ",
INDEX(sessions_HR_primary,INDEX(plan_session_allocation,((WEEKDAY(T$3,2)*2-1)+IF(T927="Morning",0,1)),S927)),
IF(INDEX(sessions_HR_primary,INDEX(plan_session_allocation,((WEEKDAY(T$3,2)*2-1)+IF(T927="Morning",0,1)),S927))="N/A","",
" BPM")),"")</f>
        <v/>
      </c>
      <c r="T930" s="1923"/>
      <c r="U930" s="1924" t="str">
        <f ca="1">IF(V927&gt;0,
INDEX(final_duration_effort,((WEEKDAY(T$3,2)*2-1)+IF(T927="Morning",0,1)),S927),"")</f>
        <v/>
      </c>
      <c r="V930" s="1925"/>
      <c r="X930" s="1922" t="str">
        <f ca="1">IF(AA927&gt;0,CONCATENATE("HR Target: ",
INDEX(sessions_HR_primary,INDEX(plan_session_allocation,((WEEKDAY(Y$3,2)*2-1)+IF(Y927="Morning",0,1)),X927)),
IF(INDEX(sessions_HR_primary,INDEX(plan_session_allocation,((WEEKDAY(Y$3,2)*2-1)+IF(Y927="Morning",0,1)),X927))="N/A","",
" BPM")),"")</f>
        <v>HR Target: 188 BPM</v>
      </c>
      <c r="Y930" s="1923"/>
      <c r="Z930" s="1924">
        <f ca="1">IF(AA927&gt;0,
INDEX(final_duration_effort,((WEEKDAY(Y$3,2)*2-1)+IF(Y927="Morning",0,1)),X927),"")</f>
        <v>15</v>
      </c>
      <c r="AA930" s="1925"/>
      <c r="AC930" s="1922" t="str">
        <f ca="1">IF(AF927&gt;0,CONCATENATE("HR Target: ",
INDEX(sessions_HR_primary,INDEX(plan_session_allocation,((WEEKDAY(AD$3,2)*2-1)+IF(AD927="Morning",0,1)),AC927)),
IF(INDEX(sessions_HR_primary,INDEX(plan_session_allocation,((WEEKDAY(AD$3,2)*2-1)+IF(AD927="Morning",0,1)),AC927))="N/A","",
" BPM")),"")</f>
        <v/>
      </c>
      <c r="AD930" s="1923"/>
      <c r="AE930" s="1924" t="str">
        <f ca="1">IF(AF927&gt;0,
INDEX(final_duration_effort,((WEEKDAY(AD$3,2)*2-1)+IF(AD927="Morning",0,1)),AC927),"")</f>
        <v/>
      </c>
      <c r="AF930" s="1925"/>
      <c r="AH930" s="1922" t="str">
        <f ca="1">IF(AK927&gt;0,CONCATENATE("HR Target: ",
INDEX(sessions_HR_primary,INDEX(plan_session_allocation,((WEEKDAY(AI$3,2)*2-1)+IF(AI927="Morning",0,1)),AH927)),
IF(INDEX(sessions_HR_primary,INDEX(plan_session_allocation,((WEEKDAY(AI$3,2)*2-1)+IF(AI927="Morning",0,1)),AH927))="N/A","",
" BPM")),"")</f>
        <v/>
      </c>
      <c r="AI930" s="1923"/>
      <c r="AJ930" s="1924" t="str">
        <f ca="1">IF(AK927&gt;0,
INDEX(final_duration_effort,((WEEKDAY(AI$3,2)*2-1)+IF(AI927="Morning",0,1)),AH927),"")</f>
        <v/>
      </c>
      <c r="AK930" s="1925"/>
    </row>
    <row r="931" spans="2:38" s="177" customFormat="1" ht="15" customHeight="1" x14ac:dyDescent="0.45">
      <c r="B931" s="1942"/>
      <c r="C931" s="1945"/>
      <c r="D931" s="1926" t="str">
        <f ca="1">IF(G927&gt;0,CONCATENATE("HR Range: ",
INDEX(sessions_HR_range_primary,INDEX(plan_session_allocation,((WEEKDAY(E$3,2)*2-1)+IF(E927="Morning",0,1)),D927)),
IF(INDEX(sessions_HR_range_primary,INDEX(plan_session_allocation,((WEEKDAY(E$3,2)*2-1)+IF(E927="Morning",0,1)),D927))="N/A","",
" BPM")),"")</f>
        <v>HR Range: N/A</v>
      </c>
      <c r="E931" s="1927"/>
      <c r="F931" s="1928">
        <f ca="1">IF(G927&gt;0,IF(
INDEX(sessions_recoveries,INDEX(plan_session_allocation,((WEEKDAY(E$3,2)*2-1)+IF(E927="Morning",0,1)),D927))="Yes",
VLOOKUP(INDEX(plan_duration_primary,((WEEKDAY(E$3,2)*2-1)+IF(E927="Morning",0,1)),D927),
INDIRECT(INDEX(sessions_intervals_code_primary,INDEX(plan_session_allocation,((WEEKDAY(E$3,2)*2-1)+IF(E927="Morning",0,1)),D927))),7,TRUE),0),"")</f>
        <v>0</v>
      </c>
      <c r="G931" s="1929"/>
      <c r="I931" s="1926" t="str">
        <f ca="1">IF(L927&gt;0,CONCATENATE("HR Range: ",
INDEX(sessions_HR_range_primary,INDEX(plan_session_allocation,((WEEKDAY(J$3,2)*2-1)+IF(J927="Morning",0,1)),I927)),
IF(INDEX(sessions_HR_range_primary,INDEX(plan_session_allocation,((WEEKDAY(J$3,2)*2-1)+IF(J927="Morning",0,1)),I927))="N/A","",
" BPM")),"")</f>
        <v>HR Range: 129 - 148 BPM</v>
      </c>
      <c r="J931" s="1927"/>
      <c r="K931" s="1928">
        <f ca="1">IF(L927&gt;0,IF(
INDEX(sessions_recoveries,INDEX(plan_session_allocation,((WEEKDAY(J$3,2)*2-1)+IF(J927="Morning",0,1)),I927))="Yes",
VLOOKUP(INDEX(plan_duration_primary,((WEEKDAY(J$3,2)*2-1)+IF(J927="Morning",0,1)),I927),
INDIRECT(INDEX(sessions_intervals_code_primary,INDEX(plan_session_allocation,((WEEKDAY(J$3,2)*2-1)+IF(J927="Morning",0,1)),I927))),7,TRUE),0),"")</f>
        <v>0</v>
      </c>
      <c r="L931" s="1929"/>
      <c r="N931" s="1926" t="str">
        <f ca="1">IF(Q927&gt;0,CONCATENATE("HR Range: ",
INDEX(sessions_HR_range_primary,INDEX(plan_session_allocation,((WEEKDAY(O$3,2)*2-1)+IF(O927="Morning",0,1)),N927)),
IF(INDEX(sessions_HR_range_primary,INDEX(plan_session_allocation,((WEEKDAY(O$3,2)*2-1)+IF(O927="Morning",0,1)),N927))="N/A","",
" BPM")),"")</f>
        <v>HR Range: 129 - 148 BPM</v>
      </c>
      <c r="O931" s="1927"/>
      <c r="P931" s="1928">
        <f ca="1">IF(Q927&gt;0,IF(
INDEX(sessions_recoveries,INDEX(plan_session_allocation,((WEEKDAY(O$3,2)*2-1)+IF(O927="Morning",0,1)),N927))="Yes",
VLOOKUP(INDEX(plan_duration_primary,((WEEKDAY(O$3,2)*2-1)+IF(O927="Morning",0,1)),N927),
INDIRECT(INDEX(sessions_intervals_code_primary,INDEX(plan_session_allocation,((WEEKDAY(O$3,2)*2-1)+IF(O927="Morning",0,1)),N927))),7,TRUE),0),"")</f>
        <v>0</v>
      </c>
      <c r="Q931" s="1929"/>
      <c r="S931" s="1926" t="str">
        <f ca="1">IF(V927&gt;0,CONCATENATE("HR Range: ",
INDEX(sessions_HR_range_primary,INDEX(plan_session_allocation,((WEEKDAY(T$3,2)*2-1)+IF(T927="Morning",0,1)),S927)),
IF(INDEX(sessions_HR_range_primary,INDEX(plan_session_allocation,((WEEKDAY(T$3,2)*2-1)+IF(T927="Morning",0,1)),S927))="N/A","",
" BPM")),"")</f>
        <v/>
      </c>
      <c r="T931" s="1927"/>
      <c r="U931" s="1928" t="str">
        <f ca="1">IF(V927&gt;0,IF(
INDEX(sessions_recoveries,INDEX(plan_session_allocation,((WEEKDAY(T$3,2)*2-1)+IF(T927="Morning",0,1)),S927))="Yes",
VLOOKUP(INDEX(plan_duration_primary,((WEEKDAY(T$3,2)*2-1)+IF(T927="Morning",0,1)),S927),
INDIRECT(INDEX(sessions_intervals_code_primary,INDEX(plan_session_allocation,((WEEKDAY(T$3,2)*2-1)+IF(T927="Morning",0,1)),S927))),7,TRUE),0),"")</f>
        <v/>
      </c>
      <c r="V931" s="1929"/>
      <c r="X931" s="1926" t="str">
        <f ca="1">IF(AA927&gt;0,CONCATENATE("HR Range: ",
INDEX(sessions_HR_range_primary,INDEX(plan_session_allocation,((WEEKDAY(Y$3,2)*2-1)+IF(Y927="Morning",0,1)),X927)),
IF(INDEX(sessions_HR_range_primary,INDEX(plan_session_allocation,((WEEKDAY(Y$3,2)*2-1)+IF(Y927="Morning",0,1)),X927))="N/A","",
" BPM")),"")</f>
        <v>HR Range: N/A</v>
      </c>
      <c r="Y931" s="1927"/>
      <c r="Z931" s="1928">
        <f ca="1">IF(AA927&gt;0,IF(
INDEX(sessions_recoveries,INDEX(plan_session_allocation,((WEEKDAY(Y$3,2)*2-1)+IF(Y927="Morning",0,1)),X927))="Yes",
VLOOKUP(INDEX(plan_duration_primary,((WEEKDAY(Y$3,2)*2-1)+IF(Y927="Morning",0,1)),X927),
INDIRECT(INDEX(sessions_intervals_code_primary,INDEX(plan_session_allocation,((WEEKDAY(Y$3,2)*2-1)+IF(Y927="Morning",0,1)),X927))),7,TRUE),0),"")</f>
        <v>0</v>
      </c>
      <c r="AA931" s="1929"/>
      <c r="AC931" s="1926" t="str">
        <f ca="1">IF(AF927&gt;0,CONCATENATE("HR Range: ",
INDEX(sessions_HR_range_primary,INDEX(plan_session_allocation,((WEEKDAY(AD$3,2)*2-1)+IF(AD927="Morning",0,1)),AC927)),
IF(INDEX(sessions_HR_range_primary,INDEX(plan_session_allocation,((WEEKDAY(AD$3,2)*2-1)+IF(AD927="Morning",0,1)),AC927))="N/A","",
" BPM")),"")</f>
        <v/>
      </c>
      <c r="AD931" s="1927"/>
      <c r="AE931" s="1928" t="str">
        <f ca="1">IF(AF927&gt;0,IF(
INDEX(sessions_recoveries,INDEX(plan_session_allocation,((WEEKDAY(AD$3,2)*2-1)+IF(AD927="Morning",0,1)),AC927))="Yes",
VLOOKUP(INDEX(plan_duration_primary,((WEEKDAY(AD$3,2)*2-1)+IF(AD927="Morning",0,1)),AC927),
INDIRECT(INDEX(sessions_intervals_code_primary,INDEX(plan_session_allocation,((WEEKDAY(AD$3,2)*2-1)+IF(AD927="Morning",0,1)),AC927))),7,TRUE),0),"")</f>
        <v/>
      </c>
      <c r="AF931" s="1929"/>
      <c r="AH931" s="1926" t="str">
        <f ca="1">IF(AK927&gt;0,CONCATENATE("HR Range: ",
INDEX(sessions_HR_range_primary,INDEX(plan_session_allocation,((WEEKDAY(AI$3,2)*2-1)+IF(AI927="Morning",0,1)),AH927)),
IF(INDEX(sessions_HR_range_primary,INDEX(plan_session_allocation,((WEEKDAY(AI$3,2)*2-1)+IF(AI927="Morning",0,1)),AH927))="N/A","",
" BPM")),"")</f>
        <v/>
      </c>
      <c r="AI931" s="1927"/>
      <c r="AJ931" s="1928" t="str">
        <f ca="1">IF(AK927&gt;0,IF(
INDEX(sessions_recoveries,INDEX(plan_session_allocation,((WEEKDAY(AI$3,2)*2-1)+IF(AI927="Morning",0,1)),AH927))="Yes",
VLOOKUP(INDEX(plan_duration_primary,((WEEKDAY(AI$3,2)*2-1)+IF(AI927="Morning",0,1)),AH927),
INDIRECT(INDEX(sessions_intervals_code_primary,INDEX(plan_session_allocation,((WEEKDAY(AI$3,2)*2-1)+IF(AI927="Morning",0,1)),AH927))),7,TRUE),0),"")</f>
        <v/>
      </c>
      <c r="AK931" s="1929"/>
    </row>
    <row r="932" spans="2:38" s="177" customFormat="1" ht="15" customHeight="1" x14ac:dyDescent="0.45">
      <c r="B932" s="1942"/>
      <c r="C932" s="1945"/>
      <c r="D932" s="1909" t="str">
        <f ca="1">IF(G927&gt;0,CONCATENATE("Equivalent Pace: ",
TEXT(INDEX(sessions_pace_primary,INDEX(plan_session_allocation,(WEEKDAY(E$3,2)*2-1)+IF(E927="Morning",0,1),D927)),"m:ss"),
" min/km"
),"")</f>
        <v>Equivalent Pace:  min/km</v>
      </c>
      <c r="E932" s="1910"/>
      <c r="F932" s="1911">
        <f ca="1">IF(G927&gt;0, INDEX(final_duration_WU,((WEEKDAY(E$3,2)*2-1)+IF(E927="Morning",0,1)),D927)  + INDEX(final_duration_WD,((WEEKDAY(E$3,2)*2-1)+IF(E927="Morning",0,1)),D927), "")</f>
        <v>0</v>
      </c>
      <c r="G932" s="1912"/>
      <c r="I932" s="1909" t="str">
        <f ca="1">IF(L927&gt;0,CONCATENATE("Equivalent Pace: ",
TEXT(INDEX(sessions_pace_primary,INDEX(plan_session_allocation,(WEEKDAY(J$3,2)*2-1)+IF(J927="Morning",0,1),I927)),"m:ss"),
" min/km"
),"")</f>
        <v>Equivalent Pace: 4:39 min/km</v>
      </c>
      <c r="J932" s="1910"/>
      <c r="K932" s="1911">
        <f ca="1">IF(L927&gt;0, INDEX(final_duration_WU,((WEEKDAY(J$3,2)*2-1)+IF(J927="Morning",0,1)),I927)  + INDEX(final_duration_WD,((WEEKDAY(J$3,2)*2-1)+IF(J927="Morning",0,1)),I927), "")</f>
        <v>0</v>
      </c>
      <c r="L932" s="1912"/>
      <c r="N932" s="1909" t="str">
        <f ca="1">IF(Q927&gt;0,CONCATENATE("Equivalent Pace: ",
TEXT(INDEX(sessions_pace_primary,INDEX(plan_session_allocation,(WEEKDAY(O$3,2)*2-1)+IF(O927="Morning",0,1),N927)),"m:ss"),
" min/km"
),"")</f>
        <v>Equivalent Pace: 4:39 min/km</v>
      </c>
      <c r="O932" s="1910"/>
      <c r="P932" s="1911">
        <f ca="1">IF(Q927&gt;0, INDEX(final_duration_WU,((WEEKDAY(O$3,2)*2-1)+IF(O927="Morning",0,1)),N927)  + INDEX(final_duration_WD,((WEEKDAY(O$3,2)*2-1)+IF(O927="Morning",0,1)),N927), "")</f>
        <v>0</v>
      </c>
      <c r="Q932" s="1912"/>
      <c r="S932" s="1909" t="str">
        <f ca="1">IF(V927&gt;0,CONCATENATE("Equivalent Pace: ",
TEXT(INDEX(sessions_pace_primary,INDEX(plan_session_allocation,(WEEKDAY(T$3,2)*2-1)+IF(T927="Morning",0,1),S927)),"m:ss"),
" min/km"
),"")</f>
        <v/>
      </c>
      <c r="T932" s="1910"/>
      <c r="U932" s="1911" t="str">
        <f ca="1">IF(V927&gt;0, INDEX(final_duration_WU,((WEEKDAY(T$3,2)*2-1)+IF(T927="Morning",0,1)),S927)  + INDEX(final_duration_WD,((WEEKDAY(T$3,2)*2-1)+IF(T927="Morning",0,1)),S927), "")</f>
        <v/>
      </c>
      <c r="V932" s="1912"/>
      <c r="X932" s="1909" t="str">
        <f ca="1">IF(AA927&gt;0,CONCATENATE("Equivalent Pace: ",
TEXT(INDEX(sessions_pace_primary,INDEX(plan_session_allocation,(WEEKDAY(Y$3,2)*2-1)+IF(Y927="Morning",0,1),X927)),"m:ss"),
" min/km"
),"")</f>
        <v>Equivalent Pace: 3:06 min/km</v>
      </c>
      <c r="Y932" s="1910"/>
      <c r="Z932" s="1911">
        <f ca="1">IF(AA927&gt;0, INDEX(final_duration_WU,((WEEKDAY(Y$3,2)*2-1)+IF(Y927="Morning",0,1)),X927)  + INDEX(final_duration_WD,((WEEKDAY(Y$3,2)*2-1)+IF(Y927="Morning",0,1)),X927), "")</f>
        <v>30</v>
      </c>
      <c r="AA932" s="1912"/>
      <c r="AC932" s="1909" t="str">
        <f ca="1">IF(AF927&gt;0,CONCATENATE("Equivalent Pace: ",
TEXT(INDEX(sessions_pace_primary,INDEX(plan_session_allocation,(WEEKDAY(AD$3,2)*2-1)+IF(AD927="Morning",0,1),AC927)),"m:ss"),
" min/km"
),"")</f>
        <v/>
      </c>
      <c r="AD932" s="1910"/>
      <c r="AE932" s="1911" t="str">
        <f ca="1">IF(AF927&gt;0, INDEX(final_duration_WU,((WEEKDAY(AD$3,2)*2-1)+IF(AD927="Morning",0,1)),AC927)  + INDEX(final_duration_WD,((WEEKDAY(AD$3,2)*2-1)+IF(AD927="Morning",0,1)),AC927), "")</f>
        <v/>
      </c>
      <c r="AF932" s="1912"/>
      <c r="AH932" s="1909" t="str">
        <f ca="1">IF(AK927&gt;0,CONCATENATE("Equivalent Pace: ",
TEXT(INDEX(sessions_pace_primary,INDEX(plan_session_allocation,(WEEKDAY(AI$3,2)*2-1)+IF(AI927="Morning",0,1),AH927)),"m:ss"),
" min/km"
),"")</f>
        <v/>
      </c>
      <c r="AI932" s="1910"/>
      <c r="AJ932" s="1911" t="str">
        <f ca="1">IF(AK927&gt;0, INDEX(final_duration_WU,((WEEKDAY(AI$3,2)*2-1)+IF(AI927="Morning",0,1)),AH927)  + INDEX(final_duration_WD,((WEEKDAY(AI$3,2)*2-1)+IF(AI927="Morning",0,1)),AH927), "")</f>
        <v/>
      </c>
      <c r="AK932" s="1912"/>
    </row>
    <row r="933" spans="2:38" s="176" customFormat="1" ht="15" customHeight="1" x14ac:dyDescent="0.45">
      <c r="B933" s="1942"/>
      <c r="C933" s="1945"/>
      <c r="D933" s="1913" t="str">
        <f ca="1">IF(G927&gt;0,CONCATENATE(IFERROR(CONCATENATE(IF(INDEX(display_intervals_breakdown,((WEEKDAY(E$3,2)*2-1)+IF(E927="Morning",0,1)),D927)="","",CONCATENATE("Intervals/Reps Breakdown: 
",INDEX(display_intervals_breakdown,((WEEKDAY(E$3,2)*2-1)+IF(E927="Morning",0,1)),D927),"
")),"Session Description: 
",CONCATENATE(IF(INDEX(final_duration_secondary,((WEEKDAY(E$3,2)*2-1)+IF(E927="Morning",0,1)),D927)=0,"","1. "),
INDEX(sessions_description_primary,,INDEX(plan_session_allocation,((WEEKDAY(E$3,2)*2-1)+IF(E927="Morning",0,1)),D927)),IF(INDEX(final_duration_secondary,((WEEKDAY(E$3,2)*2-1)+IF(E927="Morning",0,1)),D927)=0,"","
2. "),
IF(INDEX(final_duration_secondary,((WEEKDAY(E$3,2)*2-1)+IF(E927="Morning",0,1)),D927)=0,"",INDEX(sessions_description_secondary,,INDEX(plan_session_allocation,((WEEKDAY(E$3,2)*2-1)+IF(E927="Morning",0,1)),D927))),IF(INDEX(final_duration_tertiary,((WEEKDAY(E$3,2)*2-1)+IF(E927="Morning",0,1)),D927)=0,"","
3. "),
IF(INDEX(final_duration_tertiary,((WEEKDAY(E$3,2)*2-1)+IF(E927="Morning",0,1)),D927)="","",INDEX(sessions_description_tertiary,,INDEX(plan_session_allocation,((WEEKDAY(E$3,2)*2-1)+IF(E927="Morning",0,1)),D927))),
IF(INDEX(display_nutrition_description,((WEEKDAY(E$3,2)*2-1)+IF(E927="Morning",0,1)),D927)="","",
CONCATENATE("
Meal Plan: ", INDEX(sessions_nutrition,,INDEX(plan_session_allocation,((WEEKDAY(E$3,2)*2-1)+IF(E927="Morning",0,1)),D927)), "
", INDEX(display_nutrition_description,((WEEKDAY(E$3,2)*2-1)+IF(E927="Morning",0,1)),D927)))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33" s="1914"/>
      <c r="F933" s="1914"/>
      <c r="G933" s="1915"/>
      <c r="H933" s="177"/>
      <c r="I933" s="1913" t="str">
        <f ca="1">IF(L927&gt;0,CONCATENATE(IFERROR(CONCATENATE(IF(INDEX(display_intervals_breakdown,((WEEKDAY(J$3,2)*2-1)+IF(J927="Morning",0,1)),I927)="","",CONCATENATE("Intervals/Reps Breakdown: 
",INDEX(display_intervals_breakdown,((WEEKDAY(J$3,2)*2-1)+IF(J927="Morning",0,1)),I927),"
")),"Session Description: 
",CONCATENATE(IF(INDEX(final_duration_secondary,((WEEKDAY(J$3,2)*2-1)+IF(J927="Morning",0,1)),I927)=0,"","1. "),
INDEX(sessions_description_primary,,INDEX(plan_session_allocation,((WEEKDAY(J$3,2)*2-1)+IF(J927="Morning",0,1)),I927)),IF(INDEX(final_duration_secondary,((WEEKDAY(J$3,2)*2-1)+IF(J927="Morning",0,1)),I927)=0,"","
2. "),
IF(INDEX(final_duration_secondary,((WEEKDAY(J$3,2)*2-1)+IF(J927="Morning",0,1)),I927)=0,"",INDEX(sessions_description_secondary,,INDEX(plan_session_allocation,((WEEKDAY(J$3,2)*2-1)+IF(J927="Morning",0,1)),I927))),IF(INDEX(final_duration_tertiary,((WEEKDAY(J$3,2)*2-1)+IF(J927="Morning",0,1)),I927)=0,"","
3. "),
IF(INDEX(final_duration_tertiary,((WEEKDAY(J$3,2)*2-1)+IF(J927="Morning",0,1)),I927)="","",INDEX(sessions_description_tertiary,,INDEX(plan_session_allocation,((WEEKDAY(J$3,2)*2-1)+IF(J927="Morning",0,1)),I927))),
IF(INDEX(display_nutrition_description,((WEEKDAY(J$3,2)*2-1)+IF(J927="Morning",0,1)),I927)="","",
CONCATENATE("
Meal Plan: ", INDEX(sessions_nutrition,,INDEX(plan_session_allocation,((WEEKDAY(J$3,2)*2-1)+IF(J927="Morning",0,1)),I927)), "
", INDEX(display_nutrition_description,((WEEKDAY(J$3,2)*2-1)+IF(J927="Morning",0,1)),I927)))
)),"")),"")</f>
        <v>Session Description: 
Stay at a comfortable and controlled intensity where you should be able to have a conversation without large pauses. Keep an even intensity and accept that your pace may change as the terrain changes.</v>
      </c>
      <c r="J933" s="1914"/>
      <c r="K933" s="1914"/>
      <c r="L933" s="1915"/>
      <c r="M933" s="177"/>
      <c r="N933" s="1913" t="str">
        <f ca="1">IF(Q927&gt;0,CONCATENATE(IFERROR(CONCATENATE(IF(INDEX(display_intervals_breakdown,((WEEKDAY(O$3,2)*2-1)+IF(O927="Morning",0,1)),N927)="","",CONCATENATE("Intervals/Reps Breakdown: 
",INDEX(display_intervals_breakdown,((WEEKDAY(O$3,2)*2-1)+IF(O927="Morning",0,1)),N927),"
")),"Session Description: 
",CONCATENATE(IF(INDEX(final_duration_secondary,((WEEKDAY(O$3,2)*2-1)+IF(O927="Morning",0,1)),N927)=0,"","1. "),
INDEX(sessions_description_primary,,INDEX(plan_session_allocation,((WEEKDAY(O$3,2)*2-1)+IF(O927="Morning",0,1)),N927)),IF(INDEX(final_duration_secondary,((WEEKDAY(O$3,2)*2-1)+IF(O927="Morning",0,1)),N927)=0,"","
2. "),
IF(INDEX(final_duration_secondary,((WEEKDAY(O$3,2)*2-1)+IF(O927="Morning",0,1)),N927)=0,"",INDEX(sessions_description_secondary,,INDEX(plan_session_allocation,((WEEKDAY(O$3,2)*2-1)+IF(O927="Morning",0,1)),N927))),IF(INDEX(final_duration_tertiary,((WEEKDAY(O$3,2)*2-1)+IF(O927="Morning",0,1)),N927)=0,"","
3. "),
IF(INDEX(final_duration_tertiary,((WEEKDAY(O$3,2)*2-1)+IF(O927="Morning",0,1)),N927)="","",INDEX(sessions_description_tertiary,,INDEX(plan_session_allocation,((WEEKDAY(O$3,2)*2-1)+IF(O927="Morning",0,1)),N927))),
IF(INDEX(display_nutrition_description,((WEEKDAY(O$3,2)*2-1)+IF(O927="Morning",0,1)),N927)="","",
CONCATENATE("
Meal Plan: ", INDEX(sessions_nutrition,,INDEX(plan_session_allocation,((WEEKDAY(O$3,2)*2-1)+IF(O927="Morning",0,1)),N927)), "
", INDEX(display_nutrition_description,((WEEKDAY(O$3,2)*2-1)+IF(O927="Morning",0,1)),N927)))
)),"")),"")</f>
        <v>Session Description: 
Stay at a comfortable and controlled intensity where you should be able to have a conversation without large pauses. Keep an even intensity and accept that your pace may change as the terrain changes.</v>
      </c>
      <c r="O933" s="1914"/>
      <c r="P933" s="1914"/>
      <c r="Q933" s="1915"/>
      <c r="R933" s="177"/>
      <c r="S933" s="1913" t="str">
        <f ca="1">IF(V927&gt;0,CONCATENATE(IFERROR(CONCATENATE(IF(INDEX(display_intervals_breakdown,((WEEKDAY(T$3,2)*2-1)+IF(T927="Morning",0,1)),S927)="","",CONCATENATE("Intervals/Reps Breakdown: 
",INDEX(display_intervals_breakdown,((WEEKDAY(T$3,2)*2-1)+IF(T927="Morning",0,1)),S927),"
")),"Session Description: 
",CONCATENATE(IF(INDEX(final_duration_secondary,((WEEKDAY(T$3,2)*2-1)+IF(T927="Morning",0,1)),S927)=0,"","1. "),
INDEX(sessions_description_primary,,INDEX(plan_session_allocation,((WEEKDAY(T$3,2)*2-1)+IF(T927="Morning",0,1)),S927)),IF(INDEX(final_duration_secondary,((WEEKDAY(T$3,2)*2-1)+IF(T927="Morning",0,1)),S927)=0,"","
2. "),
IF(INDEX(final_duration_secondary,((WEEKDAY(T$3,2)*2-1)+IF(T927="Morning",0,1)),S927)=0,"",INDEX(sessions_description_secondary,,INDEX(plan_session_allocation,((WEEKDAY(T$3,2)*2-1)+IF(T927="Morning",0,1)),S927))),IF(INDEX(final_duration_tertiary,((WEEKDAY(T$3,2)*2-1)+IF(T927="Morning",0,1)),S927)=0,"","
3. "),
IF(INDEX(final_duration_tertiary,((WEEKDAY(T$3,2)*2-1)+IF(T927="Morning",0,1)),S927)="","",INDEX(sessions_description_tertiary,,INDEX(plan_session_allocation,((WEEKDAY(T$3,2)*2-1)+IF(T927="Morning",0,1)),S927))),
IF(INDEX(display_nutrition_description,((WEEKDAY(T$3,2)*2-1)+IF(T927="Morning",0,1)),S927)="","",
CONCATENATE("
Meal Plan: ", INDEX(sessions_nutrition,,INDEX(plan_session_allocation,((WEEKDAY(T$3,2)*2-1)+IF(T927="Morning",0,1)),S927)), "
", INDEX(display_nutrition_description,((WEEKDAY(T$3,2)*2-1)+IF(T927="Morning",0,1)),S927)))
)),"")),"")</f>
        <v/>
      </c>
      <c r="T933" s="1914"/>
      <c r="U933" s="1914"/>
      <c r="V933" s="1915"/>
      <c r="W933" s="177"/>
      <c r="X933" s="1913" t="str">
        <f ca="1">IF(AA927&gt;0,CONCATENATE(IFERROR(CONCATENATE(IF(INDEX(display_intervals_breakdown,((WEEKDAY(Y$3,2)*2-1)+IF(Y927="Morning",0,1)),X927)="","",CONCATENATE("Intervals/Reps Breakdown: 
",INDEX(display_intervals_breakdown,((WEEKDAY(Y$3,2)*2-1)+IF(Y927="Morning",0,1)),X927),"
")),"Session Description: 
",CONCATENATE(IF(INDEX(final_duration_secondary,((WEEKDAY(Y$3,2)*2-1)+IF(Y927="Morning",0,1)),X927)=0,"","1. "),
INDEX(sessions_description_primary,,INDEX(plan_session_allocation,((WEEKDAY(Y$3,2)*2-1)+IF(Y927="Morning",0,1)),X927)),IF(INDEX(final_duration_secondary,((WEEKDAY(Y$3,2)*2-1)+IF(Y927="Morning",0,1)),X927)=0,"","
2. "),
IF(INDEX(final_duration_secondary,((WEEKDAY(Y$3,2)*2-1)+IF(Y927="Morning",0,1)),X927)=0,"",INDEX(sessions_description_secondary,,INDEX(plan_session_allocation,((WEEKDAY(Y$3,2)*2-1)+IF(Y927="Morning",0,1)),X927))),IF(INDEX(final_duration_tertiary,((WEEKDAY(Y$3,2)*2-1)+IF(Y927="Morning",0,1)),X927)=0,"","
3. "),
IF(INDEX(final_duration_tertiary,((WEEKDAY(Y$3,2)*2-1)+IF(Y927="Morning",0,1)),X927)="","",INDEX(sessions_description_tertiary,,INDEX(plan_session_allocation,((WEEKDAY(Y$3,2)*2-1)+IF(Y927="Morning",0,1)),X927))),
IF(INDEX(display_nutrition_description,((WEEKDAY(Y$3,2)*2-1)+IF(Y927="Morning",0,1)),X927)="","",
CONCATENATE("
Meal Plan: ", INDEX(sessions_nutrition,,INDEX(plan_session_allocation,((WEEKDAY(Y$3,2)*2-1)+IF(Y927="Morning",0,1)),X927)), "
", INDEX(display_nutrition_description,((WEEKDAY(Y$3,2)*2-1)+IF(Y927="Morning",0,1)),X927)))
)),"")),"")</f>
        <v>Session Description: 
The exact intensity will change depending on the length of the race. This optimum intensity can be found though a mix of natural urgency and reasoning with what your body is telling you.</v>
      </c>
      <c r="Y933" s="1914"/>
      <c r="Z933" s="1914"/>
      <c r="AA933" s="1915"/>
      <c r="AB933" s="177"/>
      <c r="AC933" s="1913" t="str">
        <f ca="1">IF(AF927&gt;0,CONCATENATE(IFERROR(CONCATENATE(IF(INDEX(display_intervals_breakdown,((WEEKDAY(AD$3,2)*2-1)+IF(AD927="Morning",0,1)),AC927)="","",CONCATENATE("Intervals/Reps Breakdown: 
",INDEX(display_intervals_breakdown,((WEEKDAY(AD$3,2)*2-1)+IF(AD927="Morning",0,1)),AC927),"
")),"Session Description: 
",CONCATENATE(IF(INDEX(final_duration_secondary,((WEEKDAY(AD$3,2)*2-1)+IF(AD927="Morning",0,1)),AC927)=0,"","1. "),
INDEX(sessions_description_primary,,INDEX(plan_session_allocation,((WEEKDAY(AD$3,2)*2-1)+IF(AD927="Morning",0,1)),AC927)),IF(INDEX(final_duration_secondary,((WEEKDAY(AD$3,2)*2-1)+IF(AD927="Morning",0,1)),AC927)=0,"","
2. "),
IF(INDEX(final_duration_secondary,((WEEKDAY(AD$3,2)*2-1)+IF(AD927="Morning",0,1)),AC927)=0,"",INDEX(sessions_description_secondary,,INDEX(plan_session_allocation,((WEEKDAY(AD$3,2)*2-1)+IF(AD927="Morning",0,1)),AC927))),IF(INDEX(final_duration_tertiary,((WEEKDAY(AD$3,2)*2-1)+IF(AD927="Morning",0,1)),AC927)=0,"","
3. "),
IF(INDEX(final_duration_tertiary,((WEEKDAY(AD$3,2)*2-1)+IF(AD927="Morning",0,1)),AC927)="","",INDEX(sessions_description_tertiary,,INDEX(plan_session_allocation,((WEEKDAY(AD$3,2)*2-1)+IF(AD927="Morning",0,1)),AC927))),
IF(INDEX(display_nutrition_description,((WEEKDAY(AD$3,2)*2-1)+IF(AD927="Morning",0,1)),AC927)="","",
CONCATENATE("
Meal Plan: ", INDEX(sessions_nutrition,,INDEX(plan_session_allocation,((WEEKDAY(AD$3,2)*2-1)+IF(AD927="Morning",0,1)),AC927)), "
", INDEX(display_nutrition_description,((WEEKDAY(AD$3,2)*2-1)+IF(AD927="Morning",0,1)),AC927)))
)),"")),"")</f>
        <v/>
      </c>
      <c r="AD933" s="1914"/>
      <c r="AE933" s="1914"/>
      <c r="AF933" s="1915"/>
      <c r="AG933" s="177"/>
      <c r="AH933" s="1913" t="str">
        <f ca="1">IF(AK927&gt;0,CONCATENATE(IFERROR(CONCATENATE(IF(INDEX(display_intervals_breakdown,((WEEKDAY(AI$3,2)*2-1)+IF(AI927="Morning",0,1)),AH927)="","",CONCATENATE("Intervals/Reps Breakdown: 
",INDEX(display_intervals_breakdown,((WEEKDAY(AI$3,2)*2-1)+IF(AI927="Morning",0,1)),AH927),"
")),"Session Description: 
",CONCATENATE(IF(INDEX(final_duration_secondary,((WEEKDAY(AI$3,2)*2-1)+IF(AI927="Morning",0,1)),AH927)=0,"","1. "),
INDEX(sessions_description_primary,,INDEX(plan_session_allocation,((WEEKDAY(AI$3,2)*2-1)+IF(AI927="Morning",0,1)),AH927)),IF(INDEX(final_duration_secondary,((WEEKDAY(AI$3,2)*2-1)+IF(AI927="Morning",0,1)),AH927)=0,"","
2. "),
IF(INDEX(final_duration_secondary,((WEEKDAY(AI$3,2)*2-1)+IF(AI927="Morning",0,1)),AH927)=0,"",INDEX(sessions_description_secondary,,INDEX(plan_session_allocation,((WEEKDAY(AI$3,2)*2-1)+IF(AI927="Morning",0,1)),AH927))),IF(INDEX(final_duration_tertiary,((WEEKDAY(AI$3,2)*2-1)+IF(AI927="Morning",0,1)),AH927)=0,"","
3. "),
IF(INDEX(final_duration_tertiary,((WEEKDAY(AI$3,2)*2-1)+IF(AI927="Morning",0,1)),AH927)="","",INDEX(sessions_description_tertiary,,INDEX(plan_session_allocation,((WEEKDAY(AI$3,2)*2-1)+IF(AI927="Morning",0,1)),AH927))),
IF(INDEX(display_nutrition_description,((WEEKDAY(AI$3,2)*2-1)+IF(AI927="Morning",0,1)),AH927)="","",
CONCATENATE("
Meal Plan: ", INDEX(sessions_nutrition,,INDEX(plan_session_allocation,((WEEKDAY(AI$3,2)*2-1)+IF(AI927="Morning",0,1)),AH927)), "
", INDEX(display_nutrition_description,((WEEKDAY(AI$3,2)*2-1)+IF(AI927="Morning",0,1)),AH927)))
)),"")),"")</f>
        <v/>
      </c>
      <c r="AI933" s="1914"/>
      <c r="AJ933" s="1914"/>
      <c r="AK933" s="1915"/>
      <c r="AL933" s="177"/>
    </row>
    <row r="934" spans="2:38" s="176" customFormat="1" ht="15" customHeight="1" x14ac:dyDescent="0.45">
      <c r="B934" s="1942"/>
      <c r="C934" s="1945"/>
      <c r="D934" s="1916"/>
      <c r="E934" s="1917"/>
      <c r="F934" s="1917"/>
      <c r="G934" s="1918"/>
      <c r="H934" s="177"/>
      <c r="I934" s="1916"/>
      <c r="J934" s="1917"/>
      <c r="K934" s="1917"/>
      <c r="L934" s="1918"/>
      <c r="M934" s="177"/>
      <c r="N934" s="1916"/>
      <c r="O934" s="1917"/>
      <c r="P934" s="1917"/>
      <c r="Q934" s="1918"/>
      <c r="R934" s="177"/>
      <c r="S934" s="1916"/>
      <c r="T934" s="1917"/>
      <c r="U934" s="1917"/>
      <c r="V934" s="1918"/>
      <c r="W934" s="177"/>
      <c r="X934" s="1916"/>
      <c r="Y934" s="1917"/>
      <c r="Z934" s="1917"/>
      <c r="AA934" s="1918"/>
      <c r="AB934" s="177"/>
      <c r="AC934" s="1916"/>
      <c r="AD934" s="1917"/>
      <c r="AE934" s="1917"/>
      <c r="AF934" s="1918"/>
      <c r="AG934" s="177"/>
      <c r="AH934" s="1916"/>
      <c r="AI934" s="1917"/>
      <c r="AJ934" s="1917"/>
      <c r="AK934" s="1918"/>
      <c r="AL934" s="177"/>
    </row>
    <row r="935" spans="2:38" s="176" customFormat="1" ht="15" customHeight="1" x14ac:dyDescent="0.45">
      <c r="B935" s="1942"/>
      <c r="C935" s="1945"/>
      <c r="D935" s="1916"/>
      <c r="E935" s="1917"/>
      <c r="F935" s="1917"/>
      <c r="G935" s="1918"/>
      <c r="H935" s="177"/>
      <c r="I935" s="1916"/>
      <c r="J935" s="1917"/>
      <c r="K935" s="1917"/>
      <c r="L935" s="1918"/>
      <c r="M935" s="177"/>
      <c r="N935" s="1916"/>
      <c r="O935" s="1917"/>
      <c r="P935" s="1917"/>
      <c r="Q935" s="1918"/>
      <c r="R935" s="177"/>
      <c r="S935" s="1916"/>
      <c r="T935" s="1917"/>
      <c r="U935" s="1917"/>
      <c r="V935" s="1918"/>
      <c r="W935" s="177"/>
      <c r="X935" s="1916"/>
      <c r="Y935" s="1917"/>
      <c r="Z935" s="1917"/>
      <c r="AA935" s="1918"/>
      <c r="AB935" s="177"/>
      <c r="AC935" s="1916"/>
      <c r="AD935" s="1917"/>
      <c r="AE935" s="1917"/>
      <c r="AF935" s="1918"/>
      <c r="AG935" s="177"/>
      <c r="AH935" s="1916"/>
      <c r="AI935" s="1917"/>
      <c r="AJ935" s="1917"/>
      <c r="AK935" s="1918"/>
      <c r="AL935" s="177"/>
    </row>
    <row r="936" spans="2:38" s="176" customFormat="1" x14ac:dyDescent="0.45">
      <c r="B936" s="1942"/>
      <c r="C936" s="1945"/>
      <c r="D936" s="1916"/>
      <c r="E936" s="1917"/>
      <c r="F936" s="1917"/>
      <c r="G936" s="1918"/>
      <c r="H936" s="177"/>
      <c r="I936" s="1916"/>
      <c r="J936" s="1917"/>
      <c r="K936" s="1917"/>
      <c r="L936" s="1918"/>
      <c r="M936" s="177"/>
      <c r="N936" s="1916"/>
      <c r="O936" s="1917"/>
      <c r="P936" s="1917"/>
      <c r="Q936" s="1918"/>
      <c r="R936" s="177"/>
      <c r="S936" s="1916"/>
      <c r="T936" s="1917"/>
      <c r="U936" s="1917"/>
      <c r="V936" s="1918"/>
      <c r="W936" s="177"/>
      <c r="X936" s="1916"/>
      <c r="Y936" s="1917"/>
      <c r="Z936" s="1917"/>
      <c r="AA936" s="1918"/>
      <c r="AB936" s="177"/>
      <c r="AC936" s="1916"/>
      <c r="AD936" s="1917"/>
      <c r="AE936" s="1917"/>
      <c r="AF936" s="1918"/>
      <c r="AG936" s="177"/>
      <c r="AH936" s="1916"/>
      <c r="AI936" s="1917"/>
      <c r="AJ936" s="1917"/>
      <c r="AK936" s="1918"/>
      <c r="AL936" s="177"/>
    </row>
    <row r="937" spans="2:38" s="176" customFormat="1" x14ac:dyDescent="0.45">
      <c r="B937" s="1942"/>
      <c r="C937" s="1945"/>
      <c r="D937" s="1916"/>
      <c r="E937" s="1917"/>
      <c r="F937" s="1917"/>
      <c r="G937" s="1918"/>
      <c r="H937" s="177"/>
      <c r="I937" s="1916"/>
      <c r="J937" s="1917"/>
      <c r="K937" s="1917"/>
      <c r="L937" s="1918"/>
      <c r="M937" s="177"/>
      <c r="N937" s="1916"/>
      <c r="O937" s="1917"/>
      <c r="P937" s="1917"/>
      <c r="Q937" s="1918"/>
      <c r="R937" s="177"/>
      <c r="S937" s="1916"/>
      <c r="T937" s="1917"/>
      <c r="U937" s="1917"/>
      <c r="V937" s="1918"/>
      <c r="W937" s="177"/>
      <c r="X937" s="1916"/>
      <c r="Y937" s="1917"/>
      <c r="Z937" s="1917"/>
      <c r="AA937" s="1918"/>
      <c r="AB937" s="177"/>
      <c r="AC937" s="1916"/>
      <c r="AD937" s="1917"/>
      <c r="AE937" s="1917"/>
      <c r="AF937" s="1918"/>
      <c r="AG937" s="177"/>
      <c r="AH937" s="1916"/>
      <c r="AI937" s="1917"/>
      <c r="AJ937" s="1917"/>
      <c r="AK937" s="1918"/>
      <c r="AL937" s="177"/>
    </row>
    <row r="938" spans="2:38" s="176" customFormat="1" x14ac:dyDescent="0.45">
      <c r="B938" s="1942"/>
      <c r="C938" s="1945"/>
      <c r="D938" s="1916"/>
      <c r="E938" s="1917"/>
      <c r="F938" s="1917"/>
      <c r="G938" s="1918"/>
      <c r="H938" s="177"/>
      <c r="I938" s="1916"/>
      <c r="J938" s="1917"/>
      <c r="K938" s="1917"/>
      <c r="L938" s="1918"/>
      <c r="M938" s="177"/>
      <c r="N938" s="1916"/>
      <c r="O938" s="1917"/>
      <c r="P938" s="1917"/>
      <c r="Q938" s="1918"/>
      <c r="R938" s="177"/>
      <c r="S938" s="1916"/>
      <c r="T938" s="1917"/>
      <c r="U938" s="1917"/>
      <c r="V938" s="1918"/>
      <c r="W938" s="177"/>
      <c r="X938" s="1916"/>
      <c r="Y938" s="1917"/>
      <c r="Z938" s="1917"/>
      <c r="AA938" s="1918"/>
      <c r="AB938" s="177"/>
      <c r="AC938" s="1916"/>
      <c r="AD938" s="1917"/>
      <c r="AE938" s="1917"/>
      <c r="AF938" s="1918"/>
      <c r="AG938" s="177"/>
      <c r="AH938" s="1916"/>
      <c r="AI938" s="1917"/>
      <c r="AJ938" s="1917"/>
      <c r="AK938" s="1918"/>
      <c r="AL938" s="177"/>
    </row>
    <row r="939" spans="2:38" s="176" customFormat="1" ht="15" customHeight="1" x14ac:dyDescent="0.45">
      <c r="B939" s="1942"/>
      <c r="C939" s="1945"/>
      <c r="D939" s="1916"/>
      <c r="E939" s="1917"/>
      <c r="F939" s="1917"/>
      <c r="G939" s="1918"/>
      <c r="H939" s="177"/>
      <c r="I939" s="1916"/>
      <c r="J939" s="1917"/>
      <c r="K939" s="1917"/>
      <c r="L939" s="1918"/>
      <c r="M939" s="177"/>
      <c r="N939" s="1916"/>
      <c r="O939" s="1917"/>
      <c r="P939" s="1917"/>
      <c r="Q939" s="1918"/>
      <c r="R939" s="177"/>
      <c r="S939" s="1916"/>
      <c r="T939" s="1917"/>
      <c r="U939" s="1917"/>
      <c r="V939" s="1918"/>
      <c r="W939" s="177"/>
      <c r="X939" s="1916"/>
      <c r="Y939" s="1917"/>
      <c r="Z939" s="1917"/>
      <c r="AA939" s="1918"/>
      <c r="AB939" s="177"/>
      <c r="AC939" s="1916"/>
      <c r="AD939" s="1917"/>
      <c r="AE939" s="1917"/>
      <c r="AF939" s="1918"/>
      <c r="AG939" s="177"/>
      <c r="AH939" s="1916"/>
      <c r="AI939" s="1917"/>
      <c r="AJ939" s="1917"/>
      <c r="AK939" s="1918"/>
      <c r="AL939" s="177"/>
    </row>
    <row r="940" spans="2:38" s="176" customFormat="1" ht="15" customHeight="1" x14ac:dyDescent="0.45">
      <c r="B940" s="1942"/>
      <c r="C940" s="1945"/>
      <c r="D940" s="1916"/>
      <c r="E940" s="1917"/>
      <c r="F940" s="1917"/>
      <c r="G940" s="1918"/>
      <c r="H940" s="177"/>
      <c r="I940" s="1916"/>
      <c r="J940" s="1917"/>
      <c r="K940" s="1917"/>
      <c r="L940" s="1918"/>
      <c r="M940" s="177"/>
      <c r="N940" s="1916"/>
      <c r="O940" s="1917"/>
      <c r="P940" s="1917"/>
      <c r="Q940" s="1918"/>
      <c r="R940" s="177"/>
      <c r="S940" s="1916"/>
      <c r="T940" s="1917"/>
      <c r="U940" s="1917"/>
      <c r="V940" s="1918"/>
      <c r="W940" s="177"/>
      <c r="X940" s="1916"/>
      <c r="Y940" s="1917"/>
      <c r="Z940" s="1917"/>
      <c r="AA940" s="1918"/>
      <c r="AB940" s="177"/>
      <c r="AC940" s="1916"/>
      <c r="AD940" s="1917"/>
      <c r="AE940" s="1917"/>
      <c r="AF940" s="1918"/>
      <c r="AG940" s="177"/>
      <c r="AH940" s="1916"/>
      <c r="AI940" s="1917"/>
      <c r="AJ940" s="1917"/>
      <c r="AK940" s="1918"/>
      <c r="AL940" s="177"/>
    </row>
    <row r="941" spans="2:38" s="176" customFormat="1" x14ac:dyDescent="0.45">
      <c r="B941" s="1942"/>
      <c r="C941" s="1945"/>
      <c r="D941" s="1916"/>
      <c r="E941" s="1917"/>
      <c r="F941" s="1917"/>
      <c r="G941" s="1918"/>
      <c r="H941" s="177"/>
      <c r="I941" s="1916"/>
      <c r="J941" s="1917"/>
      <c r="K941" s="1917"/>
      <c r="L941" s="1918"/>
      <c r="M941" s="177"/>
      <c r="N941" s="1916"/>
      <c r="O941" s="1917"/>
      <c r="P941" s="1917"/>
      <c r="Q941" s="1918"/>
      <c r="R941" s="177"/>
      <c r="S941" s="1916"/>
      <c r="T941" s="1917"/>
      <c r="U941" s="1917"/>
      <c r="V941" s="1918"/>
      <c r="W941" s="177"/>
      <c r="X941" s="1916"/>
      <c r="Y941" s="1917"/>
      <c r="Z941" s="1917"/>
      <c r="AA941" s="1918"/>
      <c r="AB941" s="177"/>
      <c r="AC941" s="1916"/>
      <c r="AD941" s="1917"/>
      <c r="AE941" s="1917"/>
      <c r="AF941" s="1918"/>
      <c r="AG941" s="177"/>
      <c r="AH941" s="1916"/>
      <c r="AI941" s="1917"/>
      <c r="AJ941" s="1917"/>
      <c r="AK941" s="1918"/>
      <c r="AL941" s="177"/>
    </row>
    <row r="942" spans="2:38" s="176" customFormat="1" x14ac:dyDescent="0.45">
      <c r="B942" s="1942"/>
      <c r="C942" s="1945"/>
      <c r="D942" s="1916"/>
      <c r="E942" s="1917"/>
      <c r="F942" s="1917"/>
      <c r="G942" s="1918"/>
      <c r="H942" s="177"/>
      <c r="I942" s="1916"/>
      <c r="J942" s="1917"/>
      <c r="K942" s="1917"/>
      <c r="L942" s="1918"/>
      <c r="M942" s="177"/>
      <c r="N942" s="1916"/>
      <c r="O942" s="1917"/>
      <c r="P942" s="1917"/>
      <c r="Q942" s="1918"/>
      <c r="R942" s="177"/>
      <c r="S942" s="1916"/>
      <c r="T942" s="1917"/>
      <c r="U942" s="1917"/>
      <c r="V942" s="1918"/>
      <c r="W942" s="177"/>
      <c r="X942" s="1916"/>
      <c r="Y942" s="1917"/>
      <c r="Z942" s="1917"/>
      <c r="AA942" s="1918"/>
      <c r="AB942" s="177"/>
      <c r="AC942" s="1916"/>
      <c r="AD942" s="1917"/>
      <c r="AE942" s="1917"/>
      <c r="AF942" s="1918"/>
      <c r="AG942" s="177"/>
      <c r="AH942" s="1916"/>
      <c r="AI942" s="1917"/>
      <c r="AJ942" s="1917"/>
      <c r="AK942" s="1918"/>
      <c r="AL942" s="177"/>
    </row>
    <row r="943" spans="2:38" s="176" customFormat="1" x14ac:dyDescent="0.45">
      <c r="B943" s="1942"/>
      <c r="C943" s="1945"/>
      <c r="D943" s="1916"/>
      <c r="E943" s="1917"/>
      <c r="F943" s="1917"/>
      <c r="G943" s="1918"/>
      <c r="H943" s="177"/>
      <c r="I943" s="1916"/>
      <c r="J943" s="1917"/>
      <c r="K943" s="1917"/>
      <c r="L943" s="1918"/>
      <c r="M943" s="177"/>
      <c r="N943" s="1916"/>
      <c r="O943" s="1917"/>
      <c r="P943" s="1917"/>
      <c r="Q943" s="1918"/>
      <c r="R943" s="177"/>
      <c r="S943" s="1916"/>
      <c r="T943" s="1917"/>
      <c r="U943" s="1917"/>
      <c r="V943" s="1918"/>
      <c r="W943" s="177"/>
      <c r="X943" s="1916"/>
      <c r="Y943" s="1917"/>
      <c r="Z943" s="1917"/>
      <c r="AA943" s="1918"/>
      <c r="AB943" s="177"/>
      <c r="AC943" s="1916"/>
      <c r="AD943" s="1917"/>
      <c r="AE943" s="1917"/>
      <c r="AF943" s="1918"/>
      <c r="AG943" s="177"/>
      <c r="AH943" s="1916"/>
      <c r="AI943" s="1917"/>
      <c r="AJ943" s="1917"/>
      <c r="AK943" s="1918"/>
      <c r="AL943" s="177"/>
    </row>
    <row r="944" spans="2:38" s="176" customFormat="1" x14ac:dyDescent="0.45">
      <c r="B944" s="1942"/>
      <c r="C944" s="1945"/>
      <c r="D944" s="1916"/>
      <c r="E944" s="1917"/>
      <c r="F944" s="1917"/>
      <c r="G944" s="1918"/>
      <c r="H944" s="177"/>
      <c r="I944" s="1916"/>
      <c r="J944" s="1917"/>
      <c r="K944" s="1917"/>
      <c r="L944" s="1918"/>
      <c r="M944" s="177"/>
      <c r="N944" s="1916"/>
      <c r="O944" s="1917"/>
      <c r="P944" s="1917"/>
      <c r="Q944" s="1918"/>
      <c r="R944" s="177"/>
      <c r="S944" s="1916"/>
      <c r="T944" s="1917"/>
      <c r="U944" s="1917"/>
      <c r="V944" s="1918"/>
      <c r="W944" s="177"/>
      <c r="X944" s="1916"/>
      <c r="Y944" s="1917"/>
      <c r="Z944" s="1917"/>
      <c r="AA944" s="1918"/>
      <c r="AB944" s="177"/>
      <c r="AC944" s="1916"/>
      <c r="AD944" s="1917"/>
      <c r="AE944" s="1917"/>
      <c r="AF944" s="1918"/>
      <c r="AG944" s="177"/>
      <c r="AH944" s="1916"/>
      <c r="AI944" s="1917"/>
      <c r="AJ944" s="1917"/>
      <c r="AK944" s="1918"/>
      <c r="AL944" s="177"/>
    </row>
    <row r="945" spans="2:38" s="176" customFormat="1" x14ac:dyDescent="0.45">
      <c r="B945" s="1942"/>
      <c r="C945" s="1945"/>
      <c r="D945" s="1916"/>
      <c r="E945" s="1917"/>
      <c r="F945" s="1917"/>
      <c r="G945" s="1918"/>
      <c r="H945" s="177"/>
      <c r="I945" s="1916"/>
      <c r="J945" s="1917"/>
      <c r="K945" s="1917"/>
      <c r="L945" s="1918"/>
      <c r="M945" s="177"/>
      <c r="N945" s="1916"/>
      <c r="O945" s="1917"/>
      <c r="P945" s="1917"/>
      <c r="Q945" s="1918"/>
      <c r="R945" s="177"/>
      <c r="S945" s="1916"/>
      <c r="T945" s="1917"/>
      <c r="U945" s="1917"/>
      <c r="V945" s="1918"/>
      <c r="W945" s="177"/>
      <c r="X945" s="1916"/>
      <c r="Y945" s="1917"/>
      <c r="Z945" s="1917"/>
      <c r="AA945" s="1918"/>
      <c r="AB945" s="177"/>
      <c r="AC945" s="1916"/>
      <c r="AD945" s="1917"/>
      <c r="AE945" s="1917"/>
      <c r="AF945" s="1918"/>
      <c r="AG945" s="177"/>
      <c r="AH945" s="1916"/>
      <c r="AI945" s="1917"/>
      <c r="AJ945" s="1917"/>
      <c r="AK945" s="1918"/>
      <c r="AL945" s="177"/>
    </row>
    <row r="946" spans="2:38" s="176" customFormat="1" ht="15" customHeight="1" x14ac:dyDescent="0.45">
      <c r="B946" s="1942"/>
      <c r="C946" s="1945"/>
      <c r="D946" s="1919"/>
      <c r="E946" s="1920"/>
      <c r="F946" s="1920"/>
      <c r="G946" s="1921"/>
      <c r="H946" s="177"/>
      <c r="I946" s="1919"/>
      <c r="J946" s="1920"/>
      <c r="K946" s="1920"/>
      <c r="L946" s="1921"/>
      <c r="M946" s="177"/>
      <c r="N946" s="1919"/>
      <c r="O946" s="1920"/>
      <c r="P946" s="1920"/>
      <c r="Q946" s="1921"/>
      <c r="R946" s="177"/>
      <c r="S946" s="1919"/>
      <c r="T946" s="1920"/>
      <c r="U946" s="1920"/>
      <c r="V946" s="1921"/>
      <c r="W946" s="177"/>
      <c r="X946" s="1919"/>
      <c r="Y946" s="1920"/>
      <c r="Z946" s="1920"/>
      <c r="AA946" s="1921"/>
      <c r="AB946" s="177"/>
      <c r="AC946" s="1919"/>
      <c r="AD946" s="1920"/>
      <c r="AE946" s="1920"/>
      <c r="AF946" s="1921"/>
      <c r="AG946" s="177"/>
      <c r="AH946" s="1919"/>
      <c r="AI946" s="1920"/>
      <c r="AJ946" s="1920"/>
      <c r="AK946" s="1921"/>
      <c r="AL946" s="177"/>
    </row>
    <row r="947" spans="2:38" s="176" customFormat="1" ht="15" customHeight="1" x14ac:dyDescent="0.45">
      <c r="B947" s="1942"/>
      <c r="C947" s="1945"/>
      <c r="D947" s="1913" t="str">
        <f ca="1">IF(G927&gt;0,CONCATENATE("Session Aim: 
", CONCATENATE(IF(INDEX(final_duration_secondary,((WEEKDAY(E$3,2)*2-1)+IF(E927="Morning",0,1)),D927)=0, "", "1. "),
INDEX(sessions_aim_primary,, INDEX(plan_session_allocation,((WEEKDAY(E$3,2)*2-1)+IF(E927="Morning",0,1)),D927)), IF(INDEX(final_duration_secondary,((WEEKDAY(E$3,2)*2-1)+IF(E927="Morning",0,1)),D927)=0, "", "
2. "),
IF(INDEX(final_duration_secondary,((WEEKDAY(E$3,2)*2-1)+IF(E927="Morning",0,1)),D927)=0, "", INDEX(sessions_aim_secondary,, INDEX(plan_session_allocation,((WEEKDAY(E$3,2)*2-1)+IF(E927="Morning",0,1)),D927))), IF(INDEX(final_duration_tertiary,((WEEKDAY(E$3,2)*2-1)+IF(E927="Morning",0,1)),D927)=0, "", "
3. "),
IF(INDEX(final_duration_tertiary,((WEEKDAY(E$3,2)*2-1)+IF(E927="Morning",0,1)),D927)=0, "", INDEX(sessions_aim_tertiary,, INDEX(plan_session_allocation,((WEEKDAY(E$3,2)*2-1)+IF(E927="Morning",0,1)),D927))),
IF(INDEX(display_nutrition_description,((WEEKDAY(E$3,2)*2-1)+IF(E927="Morning",0,1)),D927)="","",
CONCATENATE("
Nutrition Aim:
", INDEX(sessions_aim_nutrition,,INDEX(plan_session_allocation,((WEEKDAY(E$3,2)*2-1)+IF(E927="Morning",0,1)),D927))
))
)),"")</f>
        <v xml:space="preserve">Session Aim: 
1. Increase strength of specific muscle groups, running economy and injury resistance. 
2. Release tension that develops in soft tissue from training and non-training stresses. </v>
      </c>
      <c r="E947" s="1914"/>
      <c r="F947" s="1914"/>
      <c r="G947" s="1915"/>
      <c r="H947" s="177"/>
      <c r="I947" s="1913" t="str">
        <f ca="1">IF(L927&gt;0,CONCATENATE("Session Aim: 
", CONCATENATE(IF(INDEX(final_duration_secondary,((WEEKDAY(J$3,2)*2-1)+IF(J927="Morning",0,1)),I927)=0, "", "1. "),
INDEX(sessions_aim_primary,, INDEX(plan_session_allocation,((WEEKDAY(J$3,2)*2-1)+IF(J927="Morning",0,1)),I927)), IF(INDEX(final_duration_secondary,((WEEKDAY(J$3,2)*2-1)+IF(J927="Morning",0,1)),I927)=0, "", "
2. "),
IF(INDEX(final_duration_secondary,((WEEKDAY(J$3,2)*2-1)+IF(J927="Morning",0,1)),I927)=0, "", INDEX(sessions_aim_secondary,, INDEX(plan_session_allocation,((WEEKDAY(J$3,2)*2-1)+IF(J927="Morning",0,1)),I927))), IF(INDEX(final_duration_tertiary,((WEEKDAY(J$3,2)*2-1)+IF(J927="Morning",0,1)),I927)=0, "", "
3. "),
IF(INDEX(final_duration_tertiary,((WEEKDAY(J$3,2)*2-1)+IF(J927="Morning",0,1)),I927)=0, "", INDEX(sessions_aim_tertiary,, INDEX(plan_session_allocation,((WEEKDAY(J$3,2)*2-1)+IF(J927="Morning",0,1)),I927))),
IF(INDEX(display_nutrition_description,((WEEKDAY(J$3,2)*2-1)+IF(J927="Morning",0,1)),I927)="","",
CONCATENATE("
Nutrition Aim:
", INDEX(sessions_aim_nutrition,,INDEX(plan_session_allocation,((WEEKDAY(J$3,2)*2-1)+IF(J927="Morning",0,1)),I927))
))
)),"")</f>
        <v xml:space="preserve">Session Aim: 
Improve aerobic fitness while minimising the chance of injury. </v>
      </c>
      <c r="J947" s="1914"/>
      <c r="K947" s="1914"/>
      <c r="L947" s="1915"/>
      <c r="M947" s="177"/>
      <c r="N947" s="1913" t="str">
        <f ca="1">IF(Q927&gt;0,CONCATENATE("Session Aim: 
", CONCATENATE(IF(INDEX(final_duration_secondary,((WEEKDAY(O$3,2)*2-1)+IF(O927="Morning",0,1)),N927)=0, "", "1. "),
INDEX(sessions_aim_primary,, INDEX(plan_session_allocation,((WEEKDAY(O$3,2)*2-1)+IF(O927="Morning",0,1)),N927)), IF(INDEX(final_duration_secondary,((WEEKDAY(O$3,2)*2-1)+IF(O927="Morning",0,1)),N927)=0, "", "
2. "),
IF(INDEX(final_duration_secondary,((WEEKDAY(O$3,2)*2-1)+IF(O927="Morning",0,1)),N927)=0, "", INDEX(sessions_aim_secondary,, INDEX(plan_session_allocation,((WEEKDAY(O$3,2)*2-1)+IF(O927="Morning",0,1)),N927))), IF(INDEX(final_duration_tertiary,((WEEKDAY(O$3,2)*2-1)+IF(O927="Morning",0,1)),N927)=0, "", "
3. "),
IF(INDEX(final_duration_tertiary,((WEEKDAY(O$3,2)*2-1)+IF(O927="Morning",0,1)),N927)=0, "", INDEX(sessions_aim_tertiary,, INDEX(plan_session_allocation,((WEEKDAY(O$3,2)*2-1)+IF(O927="Morning",0,1)),N927))),
IF(INDEX(display_nutrition_description,((WEEKDAY(O$3,2)*2-1)+IF(O927="Morning",0,1)),N927)="","",
CONCATENATE("
Nutrition Aim:
", INDEX(sessions_aim_nutrition,,INDEX(plan_session_allocation,((WEEKDAY(O$3,2)*2-1)+IF(O927="Morning",0,1)),N927))
))
)),"")</f>
        <v xml:space="preserve">Session Aim: 
Improve aerobic fitness while minimising the chance of injury. </v>
      </c>
      <c r="O947" s="1914"/>
      <c r="P947" s="1914"/>
      <c r="Q947" s="1915"/>
      <c r="R947" s="177"/>
      <c r="S947" s="1913" t="str">
        <f ca="1">IF(V927&gt;0,CONCATENATE("Session Aim: 
", CONCATENATE(IF(INDEX(final_duration_secondary,((WEEKDAY(T$3,2)*2-1)+IF(T927="Morning",0,1)),S927)=0, "", "1. "),
INDEX(sessions_aim_primary,, INDEX(plan_session_allocation,((WEEKDAY(T$3,2)*2-1)+IF(T927="Morning",0,1)),S927)), IF(INDEX(final_duration_secondary,((WEEKDAY(T$3,2)*2-1)+IF(T927="Morning",0,1)),S927)=0, "", "
2. "),
IF(INDEX(final_duration_secondary,((WEEKDAY(T$3,2)*2-1)+IF(T927="Morning",0,1)),S927)=0, "", INDEX(sessions_aim_secondary,, INDEX(plan_session_allocation,((WEEKDAY(T$3,2)*2-1)+IF(T927="Morning",0,1)),S927))), IF(INDEX(final_duration_tertiary,((WEEKDAY(T$3,2)*2-1)+IF(T927="Morning",0,1)),S927)=0, "", "
3. "),
IF(INDEX(final_duration_tertiary,((WEEKDAY(T$3,2)*2-1)+IF(T927="Morning",0,1)),S927)=0, "", INDEX(sessions_aim_tertiary,, INDEX(plan_session_allocation,((WEEKDAY(T$3,2)*2-1)+IF(T927="Morning",0,1)),S927))),
IF(INDEX(display_nutrition_description,((WEEKDAY(T$3,2)*2-1)+IF(T927="Morning",0,1)),S927)="","",
CONCATENATE("
Nutrition Aim:
", INDEX(sessions_aim_nutrition,,INDEX(plan_session_allocation,((WEEKDAY(T$3,2)*2-1)+IF(T927="Morning",0,1)),S927))
))
)),"")</f>
        <v/>
      </c>
      <c r="T947" s="1914"/>
      <c r="U947" s="1914"/>
      <c r="V947" s="1915"/>
      <c r="W947" s="177"/>
      <c r="X947" s="1913" t="str">
        <f ca="1">IF(AA927&gt;0,CONCATENATE("Session Aim: 
", CONCATENATE(IF(INDEX(final_duration_secondary,((WEEKDAY(Y$3,2)*2-1)+IF(Y927="Morning",0,1)),X927)=0, "", "1. "),
INDEX(sessions_aim_primary,, INDEX(plan_session_allocation,((WEEKDAY(Y$3,2)*2-1)+IF(Y927="Morning",0,1)),X927)), IF(INDEX(final_duration_secondary,((WEEKDAY(Y$3,2)*2-1)+IF(Y927="Morning",0,1)),X927)=0, "", "
2. "),
IF(INDEX(final_duration_secondary,((WEEKDAY(Y$3,2)*2-1)+IF(Y927="Morning",0,1)),X927)=0, "", INDEX(sessions_aim_secondary,, INDEX(plan_session_allocation,((WEEKDAY(Y$3,2)*2-1)+IF(Y927="Morning",0,1)),X927))), IF(INDEX(final_duration_tertiary,((WEEKDAY(Y$3,2)*2-1)+IF(Y927="Morning",0,1)),X927)=0, "", "
3. "),
IF(INDEX(final_duration_tertiary,((WEEKDAY(Y$3,2)*2-1)+IF(Y927="Morning",0,1)),X927)=0, "", INDEX(sessions_aim_tertiary,, INDEX(plan_session_allocation,((WEEKDAY(Y$3,2)*2-1)+IF(Y927="Morning",0,1)),X927))),
IF(INDEX(display_nutrition_description,((WEEKDAY(Y$3,2)*2-1)+IF(Y927="Morning",0,1)),X927)="","",
CONCATENATE("
Nutrition Aim:
", INDEX(sessions_aim_nutrition,,INDEX(plan_session_allocation,((WEEKDAY(Y$3,2)*2-1)+IF(Y927="Morning",0,1)),X927))
))
)),"")</f>
        <v>Session Aim: 
Push your physical and mental limits and put tactics and techniques to the test.</v>
      </c>
      <c r="Y947" s="1914"/>
      <c r="Z947" s="1914"/>
      <c r="AA947" s="1915"/>
      <c r="AB947" s="177"/>
      <c r="AC947" s="1913" t="str">
        <f ca="1">IF(AF927&gt;0,CONCATENATE("Session Aim: 
", CONCATENATE(IF(INDEX(final_duration_secondary,((WEEKDAY(AD$3,2)*2-1)+IF(AD927="Morning",0,1)),AC927)=0, "", "1. "),
INDEX(sessions_aim_primary,, INDEX(plan_session_allocation,((WEEKDAY(AD$3,2)*2-1)+IF(AD927="Morning",0,1)),AC927)), IF(INDEX(final_duration_secondary,((WEEKDAY(AD$3,2)*2-1)+IF(AD927="Morning",0,1)),AC927)=0, "", "
2. "),
IF(INDEX(final_duration_secondary,((WEEKDAY(AD$3,2)*2-1)+IF(AD927="Morning",0,1)),AC927)=0, "", INDEX(sessions_aim_secondary,, INDEX(plan_session_allocation,((WEEKDAY(AD$3,2)*2-1)+IF(AD927="Morning",0,1)),AC927))), IF(INDEX(final_duration_tertiary,((WEEKDAY(AD$3,2)*2-1)+IF(AD927="Morning",0,1)),AC927)=0, "", "
3. "),
IF(INDEX(final_duration_tertiary,((WEEKDAY(AD$3,2)*2-1)+IF(AD927="Morning",0,1)),AC927)=0, "", INDEX(sessions_aim_tertiary,, INDEX(plan_session_allocation,((WEEKDAY(AD$3,2)*2-1)+IF(AD927="Morning",0,1)),AC927))),
IF(INDEX(display_nutrition_description,((WEEKDAY(AD$3,2)*2-1)+IF(AD927="Morning",0,1)),AC927)="","",
CONCATENATE("
Nutrition Aim:
", INDEX(sessions_aim_nutrition,,INDEX(plan_session_allocation,((WEEKDAY(AD$3,2)*2-1)+IF(AD927="Morning",0,1)),AC927))
))
)),"")</f>
        <v/>
      </c>
      <c r="AD947" s="1914"/>
      <c r="AE947" s="1914"/>
      <c r="AF947" s="1915"/>
      <c r="AG947" s="177"/>
      <c r="AH947" s="1913" t="str">
        <f ca="1">IF(AK927&gt;0,CONCATENATE("Session Aim: 
", CONCATENATE(IF(INDEX(final_duration_secondary,((WEEKDAY(AI$3,2)*2-1)+IF(AI927="Morning",0,1)),AH927)=0, "", "1. "),
INDEX(sessions_aim_primary,, INDEX(plan_session_allocation,((WEEKDAY(AI$3,2)*2-1)+IF(AI927="Morning",0,1)),AH927)), IF(INDEX(final_duration_secondary,((WEEKDAY(AI$3,2)*2-1)+IF(AI927="Morning",0,1)),AH927)=0, "", "
2. "),
IF(INDEX(final_duration_secondary,((WEEKDAY(AI$3,2)*2-1)+IF(AI927="Morning",0,1)),AH927)=0, "", INDEX(sessions_aim_secondary,, INDEX(plan_session_allocation,((WEEKDAY(AI$3,2)*2-1)+IF(AI927="Morning",0,1)),AH927))), IF(INDEX(final_duration_tertiary,((WEEKDAY(AI$3,2)*2-1)+IF(AI927="Morning",0,1)),AH927)=0, "", "
3. "),
IF(INDEX(final_duration_tertiary,((WEEKDAY(AI$3,2)*2-1)+IF(AI927="Morning",0,1)),AH927)=0, "", INDEX(sessions_aim_tertiary,, INDEX(plan_session_allocation,((WEEKDAY(AI$3,2)*2-1)+IF(AI927="Morning",0,1)),AH927))),
IF(INDEX(display_nutrition_description,((WEEKDAY(AI$3,2)*2-1)+IF(AI927="Morning",0,1)),AH927)="","",
CONCATENATE("
Nutrition Aim:
", INDEX(sessions_aim_nutrition,,INDEX(plan_session_allocation,((WEEKDAY(AI$3,2)*2-1)+IF(AI927="Morning",0,1)),AH927))
))
)),"")</f>
        <v/>
      </c>
      <c r="AI947" s="1914"/>
      <c r="AJ947" s="1914"/>
      <c r="AK947" s="1915"/>
      <c r="AL947" s="177"/>
    </row>
    <row r="948" spans="2:38" s="176" customFormat="1" x14ac:dyDescent="0.45">
      <c r="B948" s="1942"/>
      <c r="C948" s="1945"/>
      <c r="D948" s="1916"/>
      <c r="E948" s="1917"/>
      <c r="F948" s="1917"/>
      <c r="G948" s="1918"/>
      <c r="H948" s="177"/>
      <c r="I948" s="1916"/>
      <c r="J948" s="1917"/>
      <c r="K948" s="1917"/>
      <c r="L948" s="1918"/>
      <c r="M948" s="177"/>
      <c r="N948" s="1916"/>
      <c r="O948" s="1917"/>
      <c r="P948" s="1917"/>
      <c r="Q948" s="1918"/>
      <c r="R948" s="177"/>
      <c r="S948" s="1916"/>
      <c r="T948" s="1917"/>
      <c r="U948" s="1917"/>
      <c r="V948" s="1918"/>
      <c r="W948" s="177"/>
      <c r="X948" s="1916"/>
      <c r="Y948" s="1917"/>
      <c r="Z948" s="1917"/>
      <c r="AA948" s="1918"/>
      <c r="AB948" s="177"/>
      <c r="AC948" s="1916"/>
      <c r="AD948" s="1917"/>
      <c r="AE948" s="1917"/>
      <c r="AF948" s="1918"/>
      <c r="AG948" s="177"/>
      <c r="AH948" s="1916"/>
      <c r="AI948" s="1917"/>
      <c r="AJ948" s="1917"/>
      <c r="AK948" s="1918"/>
      <c r="AL948" s="177"/>
    </row>
    <row r="949" spans="2:38" s="176" customFormat="1" x14ac:dyDescent="0.45">
      <c r="B949" s="1942"/>
      <c r="C949" s="1945"/>
      <c r="D949" s="1916"/>
      <c r="E949" s="1917"/>
      <c r="F949" s="1917"/>
      <c r="G949" s="1918"/>
      <c r="H949" s="177"/>
      <c r="I949" s="1916"/>
      <c r="J949" s="1917"/>
      <c r="K949" s="1917"/>
      <c r="L949" s="1918"/>
      <c r="M949" s="177"/>
      <c r="N949" s="1916"/>
      <c r="O949" s="1917"/>
      <c r="P949" s="1917"/>
      <c r="Q949" s="1918"/>
      <c r="R949" s="177"/>
      <c r="S949" s="1916"/>
      <c r="T949" s="1917"/>
      <c r="U949" s="1917"/>
      <c r="V949" s="1918"/>
      <c r="W949" s="177"/>
      <c r="X949" s="1916"/>
      <c r="Y949" s="1917"/>
      <c r="Z949" s="1917"/>
      <c r="AA949" s="1918"/>
      <c r="AB949" s="177"/>
      <c r="AC949" s="1916"/>
      <c r="AD949" s="1917"/>
      <c r="AE949" s="1917"/>
      <c r="AF949" s="1918"/>
      <c r="AG949" s="177"/>
      <c r="AH949" s="1916"/>
      <c r="AI949" s="1917"/>
      <c r="AJ949" s="1917"/>
      <c r="AK949" s="1918"/>
      <c r="AL949" s="177"/>
    </row>
    <row r="950" spans="2:38" s="176" customFormat="1" x14ac:dyDescent="0.45">
      <c r="B950" s="1942"/>
      <c r="C950" s="1945"/>
      <c r="D950" s="1916"/>
      <c r="E950" s="1917"/>
      <c r="F950" s="1917"/>
      <c r="G950" s="1918"/>
      <c r="H950" s="177"/>
      <c r="I950" s="1916"/>
      <c r="J950" s="1917"/>
      <c r="K950" s="1917"/>
      <c r="L950" s="1918"/>
      <c r="M950" s="177"/>
      <c r="N950" s="1916"/>
      <c r="O950" s="1917"/>
      <c r="P950" s="1917"/>
      <c r="Q950" s="1918"/>
      <c r="R950" s="177"/>
      <c r="S950" s="1916"/>
      <c r="T950" s="1917"/>
      <c r="U950" s="1917"/>
      <c r="V950" s="1918"/>
      <c r="W950" s="177"/>
      <c r="X950" s="1916"/>
      <c r="Y950" s="1917"/>
      <c r="Z950" s="1917"/>
      <c r="AA950" s="1918"/>
      <c r="AB950" s="177"/>
      <c r="AC950" s="1916"/>
      <c r="AD950" s="1917"/>
      <c r="AE950" s="1917"/>
      <c r="AF950" s="1918"/>
      <c r="AG950" s="177"/>
      <c r="AH950" s="1916"/>
      <c r="AI950" s="1917"/>
      <c r="AJ950" s="1917"/>
      <c r="AK950" s="1918"/>
      <c r="AL950" s="177"/>
    </row>
    <row r="951" spans="2:38" s="176" customFormat="1" x14ac:dyDescent="0.45">
      <c r="B951" s="1942"/>
      <c r="C951" s="1945"/>
      <c r="D951" s="1916"/>
      <c r="E951" s="1917"/>
      <c r="F951" s="1917"/>
      <c r="G951" s="1918"/>
      <c r="H951" s="177"/>
      <c r="I951" s="1916"/>
      <c r="J951" s="1917"/>
      <c r="K951" s="1917"/>
      <c r="L951" s="1918"/>
      <c r="M951" s="177"/>
      <c r="N951" s="1916"/>
      <c r="O951" s="1917"/>
      <c r="P951" s="1917"/>
      <c r="Q951" s="1918"/>
      <c r="R951" s="177"/>
      <c r="S951" s="1916"/>
      <c r="T951" s="1917"/>
      <c r="U951" s="1917"/>
      <c r="V951" s="1918"/>
      <c r="W951" s="177"/>
      <c r="X951" s="1916"/>
      <c r="Y951" s="1917"/>
      <c r="Z951" s="1917"/>
      <c r="AA951" s="1918"/>
      <c r="AB951" s="177"/>
      <c r="AC951" s="1916"/>
      <c r="AD951" s="1917"/>
      <c r="AE951" s="1917"/>
      <c r="AF951" s="1918"/>
      <c r="AG951" s="177"/>
      <c r="AH951" s="1916"/>
      <c r="AI951" s="1917"/>
      <c r="AJ951" s="1917"/>
      <c r="AK951" s="1918"/>
      <c r="AL951" s="177"/>
    </row>
    <row r="952" spans="2:38" s="176" customFormat="1" x14ac:dyDescent="0.45">
      <c r="B952" s="1942"/>
      <c r="C952" s="1945"/>
      <c r="D952" s="1916"/>
      <c r="E952" s="1917"/>
      <c r="F952" s="1917"/>
      <c r="G952" s="1918"/>
      <c r="H952" s="177"/>
      <c r="I952" s="1916"/>
      <c r="J952" s="1917"/>
      <c r="K952" s="1917"/>
      <c r="L952" s="1918"/>
      <c r="N952" s="1916"/>
      <c r="O952" s="1917"/>
      <c r="P952" s="1917"/>
      <c r="Q952" s="1918"/>
      <c r="S952" s="1916"/>
      <c r="T952" s="1917"/>
      <c r="U952" s="1917"/>
      <c r="V952" s="1918"/>
      <c r="X952" s="1916"/>
      <c r="Y952" s="1917"/>
      <c r="Z952" s="1917"/>
      <c r="AA952" s="1918"/>
      <c r="AC952" s="1916"/>
      <c r="AD952" s="1917"/>
      <c r="AE952" s="1917"/>
      <c r="AF952" s="1918"/>
      <c r="AH952" s="1916"/>
      <c r="AI952" s="1917"/>
      <c r="AJ952" s="1917"/>
      <c r="AK952" s="1918"/>
    </row>
    <row r="953" spans="2:38" s="176" customFormat="1" ht="14.65" thickBot="1" x14ac:dyDescent="0.5">
      <c r="B953" s="1943"/>
      <c r="C953" s="1946"/>
      <c r="D953" s="1938"/>
      <c r="E953" s="1939"/>
      <c r="F953" s="1939"/>
      <c r="G953" s="1940"/>
      <c r="H953" s="177"/>
      <c r="I953" s="1938"/>
      <c r="J953" s="1939"/>
      <c r="K953" s="1939"/>
      <c r="L953" s="1940"/>
      <c r="N953" s="1938"/>
      <c r="O953" s="1939"/>
      <c r="P953" s="1939"/>
      <c r="Q953" s="1940"/>
      <c r="S953" s="1938"/>
      <c r="T953" s="1939"/>
      <c r="U953" s="1939"/>
      <c r="V953" s="1940"/>
      <c r="X953" s="1938"/>
      <c r="Y953" s="1939"/>
      <c r="Z953" s="1939"/>
      <c r="AA953" s="1940"/>
      <c r="AC953" s="1938"/>
      <c r="AD953" s="1939"/>
      <c r="AE953" s="1939"/>
      <c r="AF953" s="1940"/>
      <c r="AH953" s="1938"/>
      <c r="AI953" s="1939"/>
      <c r="AJ953" s="1939"/>
      <c r="AK953" s="1940"/>
    </row>
    <row r="954" spans="2:38" s="176" customFormat="1" ht="14.65" thickBot="1" x14ac:dyDescent="0.5">
      <c r="H954" s="177"/>
    </row>
    <row r="955" spans="2:38" s="176" customFormat="1" ht="15" customHeight="1" thickBot="1" x14ac:dyDescent="0.5">
      <c r="B955" s="1941">
        <v>18</v>
      </c>
      <c r="C955" s="1944" t="str">
        <f ca="1">IF(INDEX(display_strategy,1,B955)="","", CONCATENATE(INDEX(display_strategy,1,B955),": ",HLOOKUP(INDEX(display_strategy,1,B955),strategies,4,TRUE)))</f>
        <v>Maintain: Stress aerobic power and develop racing level speed.</v>
      </c>
      <c r="D955" s="1418" t="str">
        <f ca="1">CONCATENATE("Strategy: ",INDEX(display_strategy,$B955))</f>
        <v>Strategy: Maintain</v>
      </c>
      <c r="E955" s="1947">
        <f>plan_start_date + ($B955-1)*7 + (COLUMN(D$2)-2)/5</f>
        <v>43493.4</v>
      </c>
      <c r="F955" s="1947"/>
      <c r="G955" s="1417" t="str">
        <f>CONCATENATE("Slot: ", ((WEEKDAY(E$3,2)*2-1)+IF(E956="Morning",0,1)))</f>
        <v>Slot: 1</v>
      </c>
      <c r="H955" s="177"/>
      <c r="I955" s="1418" t="str">
        <f ca="1">CONCATENATE("Strategy: ",INDEX(display_strategy,$B955))</f>
        <v>Strategy: Maintain</v>
      </c>
      <c r="J955" s="1947">
        <f>plan_start_date + ($B955-1)*7 + (COLUMN(I$2)-2)/5</f>
        <v>43494.400000000001</v>
      </c>
      <c r="K955" s="1947"/>
      <c r="L955" s="1417" t="str">
        <f>CONCATENATE("Slot: ", ((WEEKDAY(J$3,2)*2-1)+IF(J956="Morning",0,1)))</f>
        <v>Slot: 3</v>
      </c>
      <c r="N955" s="1418" t="str">
        <f ca="1">CONCATENATE("Strategy: ",INDEX(display_strategy,$B955))</f>
        <v>Strategy: Maintain</v>
      </c>
      <c r="O955" s="1947">
        <f>plan_start_date + ($B955-1)*7 + (COLUMN(N$2)-2)/5</f>
        <v>43495.4</v>
      </c>
      <c r="P955" s="1947"/>
      <c r="Q955" s="1417" t="str">
        <f>CONCATENATE("Slot: ", ((WEEKDAY(O$3,2)*2-1)+IF(O956="Morning",0,1)))</f>
        <v>Slot: 5</v>
      </c>
      <c r="S955" s="1418" t="str">
        <f ca="1">CONCATENATE("Strategy: ",INDEX(display_strategy,$B955))</f>
        <v>Strategy: Maintain</v>
      </c>
      <c r="T955" s="1947">
        <f>plan_start_date + ($B955-1)*7 + (COLUMN(S$2)-2)/5</f>
        <v>43496.4</v>
      </c>
      <c r="U955" s="1947"/>
      <c r="V955" s="1417" t="str">
        <f>CONCATENATE("Slot: ", ((WEEKDAY(T$3,2)*2-1)+IF(T956="Morning",0,1)))</f>
        <v>Slot: 7</v>
      </c>
      <c r="X955" s="1418" t="str">
        <f ca="1">CONCATENATE("Strategy: ",INDEX(display_strategy,$B955))</f>
        <v>Strategy: Maintain</v>
      </c>
      <c r="Y955" s="1947">
        <f>plan_start_date + ($B955-1)*7 + (COLUMN(X$2)-2)/5</f>
        <v>43497.4</v>
      </c>
      <c r="Z955" s="1947"/>
      <c r="AA955" s="1417" t="str">
        <f>CONCATENATE("Slot: ", ((WEEKDAY(Y$3,2)*2-1)+IF(Y956="Morning",0,1)))</f>
        <v>Slot: 9</v>
      </c>
      <c r="AC955" s="1418" t="str">
        <f ca="1">CONCATENATE("Strategy: ",INDEX(display_strategy,$B955))</f>
        <v>Strategy: Maintain</v>
      </c>
      <c r="AD955" s="1947">
        <f>plan_start_date + ($B955-1)*7 + (COLUMN(AC$2)-2)/5</f>
        <v>43498.400000000001</v>
      </c>
      <c r="AE955" s="1947"/>
      <c r="AF955" s="1417" t="str">
        <f>CONCATENATE("Slot: ", ((WEEKDAY(AD$3,2)*2-1)+IF(AD956="Morning",0,1)))</f>
        <v>Slot: 11</v>
      </c>
      <c r="AH955" s="1418" t="str">
        <f ca="1">CONCATENATE("Strategy: ",INDEX(display_strategy,$B955))</f>
        <v>Strategy: Maintain</v>
      </c>
      <c r="AI955" s="1947">
        <f>plan_start_date + ($B955-1)*7 + (COLUMN(AH$2)-2)/5</f>
        <v>43499.4</v>
      </c>
      <c r="AJ955" s="1947"/>
      <c r="AK955" s="1417" t="str">
        <f>CONCATENATE("Slot: ", ((WEEKDAY(AI$3,2)*2-1)+IF(AI956="Morning",0,1)))</f>
        <v>Slot: 13</v>
      </c>
    </row>
    <row r="956" spans="2:38" s="176" customFormat="1" x14ac:dyDescent="0.45">
      <c r="B956" s="1942"/>
      <c r="C956" s="1945"/>
      <c r="D956" s="1413">
        <f>$B955</f>
        <v>18</v>
      </c>
      <c r="E956" s="1930" t="s">
        <v>351</v>
      </c>
      <c r="F956" s="1930"/>
      <c r="G956" s="1412">
        <f ca="1">INDEX(final_duration_session, ((WEEKDAY(E$3,2)*2-1)+IF(E956="Morning",0,1)), $D956)</f>
        <v>30</v>
      </c>
      <c r="H956" s="177"/>
      <c r="I956" s="1413">
        <f>$B955</f>
        <v>18</v>
      </c>
      <c r="J956" s="1930" t="s">
        <v>351</v>
      </c>
      <c r="K956" s="1930"/>
      <c r="L956" s="1412">
        <f ca="1">INDEX(final_duration_session, ((WEEKDAY(J$3,2)*2-1)+IF(J956="Morning",0,1)), $D956)</f>
        <v>0</v>
      </c>
      <c r="M956" s="177"/>
      <c r="N956" s="1413">
        <f>$B955</f>
        <v>18</v>
      </c>
      <c r="O956" s="1930" t="s">
        <v>351</v>
      </c>
      <c r="P956" s="1930"/>
      <c r="Q956" s="1412">
        <f ca="1">INDEX(final_duration_session, ((WEEKDAY(O$3,2)*2-1)+IF(O956="Morning",0,1)), $D956)</f>
        <v>0</v>
      </c>
      <c r="R956" s="177"/>
      <c r="S956" s="1413">
        <f>$B955</f>
        <v>18</v>
      </c>
      <c r="T956" s="1930" t="s">
        <v>351</v>
      </c>
      <c r="U956" s="1930"/>
      <c r="V956" s="1412">
        <f ca="1">INDEX(final_duration_session, ((WEEKDAY(T$3,2)*2-1)+IF(T956="Morning",0,1)), $D956)</f>
        <v>0</v>
      </c>
      <c r="W956" s="177"/>
      <c r="X956" s="1413">
        <f>$B955</f>
        <v>18</v>
      </c>
      <c r="Y956" s="1930" t="s">
        <v>351</v>
      </c>
      <c r="Z956" s="1930"/>
      <c r="AA956" s="1412">
        <f ca="1">INDEX(final_duration_session, ((WEEKDAY(Y$3,2)*2-1)+IF(Y956="Morning",0,1)), $D956)</f>
        <v>30</v>
      </c>
      <c r="AB956" s="177"/>
      <c r="AC956" s="1413">
        <f>$B955</f>
        <v>18</v>
      </c>
      <c r="AD956" s="1930" t="s">
        <v>351</v>
      </c>
      <c r="AE956" s="1930"/>
      <c r="AF956" s="1412">
        <f ca="1">INDEX(final_duration_session, ((WEEKDAY(AD$3,2)*2-1)+IF(AD956="Morning",0,1)), $D956)</f>
        <v>65</v>
      </c>
      <c r="AG956" s="177"/>
      <c r="AH956" s="1413">
        <f>$B955</f>
        <v>18</v>
      </c>
      <c r="AI956" s="1930" t="s">
        <v>351</v>
      </c>
      <c r="AJ956" s="1930"/>
      <c r="AK956" s="1412">
        <f ca="1">INDEX(final_duration_session, ((WEEKDAY(AI$3,2)*2-1)+IF(AI956="Morning",0,1)), $D956)</f>
        <v>105</v>
      </c>
      <c r="AL956" s="177"/>
    </row>
    <row r="957" spans="2:38" s="176" customFormat="1" ht="15" customHeight="1" x14ac:dyDescent="0.45">
      <c r="B957" s="1942"/>
      <c r="C957" s="1945"/>
      <c r="D957" s="1931" t="str">
        <f ca="1">IF(G956&gt;0,INDEX(sessions_name,INDEX(plan_session_allocation,((WEEKDAY(E$3,2)*2-1)+IF(E956="Morning",0,1)),D956)),"")</f>
        <v>Easy</v>
      </c>
      <c r="E957" s="1932"/>
      <c r="F957" s="1932"/>
      <c r="G957" s="1933"/>
      <c r="H957" s="177"/>
      <c r="I957" s="1931" t="str">
        <f ca="1">IF(L956&gt;0,INDEX(sessions_name,INDEX(plan_session_allocation,((WEEKDAY(J$3,2)*2-1)+IF(J956="Morning",0,1)),I956)),"")</f>
        <v/>
      </c>
      <c r="J957" s="1932"/>
      <c r="K957" s="1932"/>
      <c r="L957" s="1933"/>
      <c r="M957" s="177"/>
      <c r="N957" s="1931" t="str">
        <f ca="1">IF(Q956&gt;0,INDEX(sessions_name,INDEX(plan_session_allocation,((WEEKDAY(O$3,2)*2-1)+IF(O956="Morning",0,1)),N956)),"")</f>
        <v/>
      </c>
      <c r="O957" s="1932"/>
      <c r="P957" s="1932"/>
      <c r="Q957" s="1933"/>
      <c r="R957" s="177"/>
      <c r="S957" s="1931" t="str">
        <f ca="1">IF(V956&gt;0,INDEX(sessions_name,INDEX(plan_session_allocation,((WEEKDAY(T$3,2)*2-1)+IF(T956="Morning",0,1)),S956)),"")</f>
        <v/>
      </c>
      <c r="T957" s="1932"/>
      <c r="U957" s="1932"/>
      <c r="V957" s="1933"/>
      <c r="W957" s="177"/>
      <c r="X957" s="1931" t="str">
        <f ca="1">IF(AA956&gt;0,INDEX(sessions_name,INDEX(plan_session_allocation,((WEEKDAY(Y$3,2)*2-1)+IF(Y956="Morning",0,1)),X956)),"")</f>
        <v>Easy</v>
      </c>
      <c r="Y957" s="1932"/>
      <c r="Z957" s="1932"/>
      <c r="AA957" s="1933"/>
      <c r="AB957" s="177"/>
      <c r="AC957" s="1931" t="str">
        <f ca="1">IF(AF956&gt;0,INDEX(sessions_name,INDEX(plan_session_allocation,((WEEKDAY(AD$3,2)*2-1)+IF(AD956="Morning",0,1)),AC956)),"")</f>
        <v>Steady</v>
      </c>
      <c r="AD957" s="1932"/>
      <c r="AE957" s="1932"/>
      <c r="AF957" s="1933"/>
      <c r="AG957" s="177"/>
      <c r="AH957" s="1931" t="str">
        <f ca="1">IF(AK956&gt;0,INDEX(sessions_name,INDEX(plan_session_allocation,((WEEKDAY(AI$3,2)*2-1)+IF(AI956="Morning",0,1)),AH956)),"")</f>
        <v>Long</v>
      </c>
      <c r="AI957" s="1932"/>
      <c r="AJ957" s="1932"/>
      <c r="AK957" s="1933"/>
      <c r="AL957" s="177"/>
    </row>
    <row r="958" spans="2:38" s="176" customFormat="1" ht="15" customHeight="1" x14ac:dyDescent="0.45">
      <c r="B958" s="1942"/>
      <c r="C958" s="1945"/>
      <c r="D958" s="1934" t="str">
        <f ca="1">IF(G956&gt;0,CONCATENATE("Sport: ",INDEX(sessions_sport_primary,INDEX(plan_session_allocation,(WEEKDAY(E$3,2)*2-1)+IF(E956="Morning",0,1),D956))),"")</f>
        <v>Sport: Ride</v>
      </c>
      <c r="E958" s="1935"/>
      <c r="F958" s="1936">
        <f ca="1">IF(G956&gt;0,IFERROR(F959+F960+F961,""),"")</f>
        <v>30</v>
      </c>
      <c r="G958" s="1937"/>
      <c r="H958" s="177"/>
      <c r="I958" s="1934" t="str">
        <f ca="1">IF(L956&gt;0,CONCATENATE("Sport: ",INDEX(sessions_sport_primary,INDEX(plan_session_allocation,(WEEKDAY(J$3,2)*2-1)+IF(J956="Morning",0,1),I956))),"")</f>
        <v/>
      </c>
      <c r="J958" s="1935"/>
      <c r="K958" s="1936" t="str">
        <f ca="1">IF(L956&gt;0,IFERROR(K959+K960+K961,""),"")</f>
        <v/>
      </c>
      <c r="L958" s="1937"/>
      <c r="M958" s="177"/>
      <c r="N958" s="1934" t="str">
        <f ca="1">IF(Q956&gt;0,CONCATENATE("Sport: ",INDEX(sessions_sport_primary,INDEX(plan_session_allocation,(WEEKDAY(O$3,2)*2-1)+IF(O956="Morning",0,1),N956))),"")</f>
        <v/>
      </c>
      <c r="O958" s="1935"/>
      <c r="P958" s="1936" t="str">
        <f ca="1">IF(Q956&gt;0,IFERROR(P959+P960+P961,""),"")</f>
        <v/>
      </c>
      <c r="Q958" s="1937"/>
      <c r="R958" s="177"/>
      <c r="S958" s="1934" t="str">
        <f ca="1">IF(V956&gt;0,CONCATENATE("Sport: ",INDEX(sessions_sport_primary,INDEX(plan_session_allocation,(WEEKDAY(T$3,2)*2-1)+IF(T956="Morning",0,1),S956))),"")</f>
        <v/>
      </c>
      <c r="T958" s="1935"/>
      <c r="U958" s="1936" t="str">
        <f ca="1">IF(V956&gt;0,IFERROR(U959+U960+U961,""),"")</f>
        <v/>
      </c>
      <c r="V958" s="1937"/>
      <c r="W958" s="177"/>
      <c r="X958" s="1934" t="str">
        <f ca="1">IF(AA956&gt;0,CONCATENATE("Sport: ",INDEX(sessions_sport_primary,INDEX(plan_session_allocation,(WEEKDAY(Y$3,2)*2-1)+IF(Y956="Morning",0,1),X956))),"")</f>
        <v>Sport: Ride</v>
      </c>
      <c r="Y958" s="1935"/>
      <c r="Z958" s="1936">
        <f ca="1">IF(AA956&gt;0,IFERROR(Z959+Z960+Z961,""),"")</f>
        <v>30</v>
      </c>
      <c r="AA958" s="1937"/>
      <c r="AB958" s="177"/>
      <c r="AC958" s="1934" t="str">
        <f ca="1">IF(AF956&gt;0,CONCATENATE("Sport: ",INDEX(sessions_sport_primary,INDEX(plan_session_allocation,(WEEKDAY(AD$3,2)*2-1)+IF(AD956="Morning",0,1),AC956))),"")</f>
        <v>Sport: Hilly Trail Run</v>
      </c>
      <c r="AD958" s="1935"/>
      <c r="AE958" s="1936">
        <f ca="1">IF(AF956&gt;0,IFERROR(AE959+AE960+AE961,""),"")</f>
        <v>65</v>
      </c>
      <c r="AF958" s="1937"/>
      <c r="AG958" s="177"/>
      <c r="AH958" s="1934" t="str">
        <f ca="1">IF(AK956&gt;0,CONCATENATE("Sport: ",INDEX(sessions_sport_primary,INDEX(plan_session_allocation,(WEEKDAY(AI$3,2)*2-1)+IF(AI956="Morning",0,1),AH956))),"")</f>
        <v>Sport: Hilly Trail Run</v>
      </c>
      <c r="AI958" s="1935"/>
      <c r="AJ958" s="1936">
        <f ca="1">IF(AK956&gt;0,IFERROR(AJ959+AJ960+AJ961,""),"")</f>
        <v>105</v>
      </c>
      <c r="AK958" s="1937"/>
      <c r="AL958" s="177"/>
    </row>
    <row r="959" spans="2:38" s="176" customFormat="1" ht="15" customHeight="1" x14ac:dyDescent="0.45">
      <c r="B959" s="1942"/>
      <c r="C959" s="1945"/>
      <c r="D959" s="1922" t="str">
        <f ca="1">IF(G956&gt;0,CONCATENATE("HR Target: ",
INDEX(sessions_HR_primary,INDEX(plan_session_allocation,((WEEKDAY(E$3,2)*2-1)+IF(E956="Morning",0,1)),D956)),
IF(INDEX(sessions_HR_primary,INDEX(plan_session_allocation,((WEEKDAY(E$3,2)*2-1)+IF(E956="Morning",0,1)),D956))="N/A","",
" BPM")),"")</f>
        <v>HR Target: 138 BPM</v>
      </c>
      <c r="E959" s="1923"/>
      <c r="F959" s="1924">
        <f ca="1">IF(G956&gt;0,
INDEX(final_duration_effort,((WEEKDAY(E$3,2)*2-1)+IF(E956="Morning",0,1)),D956),"")</f>
        <v>30</v>
      </c>
      <c r="G959" s="1925"/>
      <c r="H959" s="177"/>
      <c r="I959" s="1922" t="str">
        <f ca="1">IF(L956&gt;0,CONCATENATE("HR Target: ",
INDEX(sessions_HR_primary,INDEX(plan_session_allocation,((WEEKDAY(J$3,2)*2-1)+IF(J956="Morning",0,1)),I956)),
IF(INDEX(sessions_HR_primary,INDEX(plan_session_allocation,((WEEKDAY(J$3,2)*2-1)+IF(J956="Morning",0,1)),I956))="N/A","",
" BPM")),"")</f>
        <v/>
      </c>
      <c r="J959" s="1923"/>
      <c r="K959" s="1924" t="str">
        <f ca="1">IF(L956&gt;0,
INDEX(final_duration_effort,((WEEKDAY(J$3,2)*2-1)+IF(J956="Morning",0,1)),I956),"")</f>
        <v/>
      </c>
      <c r="L959" s="1925"/>
      <c r="M959" s="177"/>
      <c r="N959" s="1922" t="str">
        <f ca="1">IF(Q956&gt;0,CONCATENATE("HR Target: ",
INDEX(sessions_HR_primary,INDEX(plan_session_allocation,((WEEKDAY(O$3,2)*2-1)+IF(O956="Morning",0,1)),N956)),
IF(INDEX(sessions_HR_primary,INDEX(plan_session_allocation,((WEEKDAY(O$3,2)*2-1)+IF(O956="Morning",0,1)),N956))="N/A","",
" BPM")),"")</f>
        <v/>
      </c>
      <c r="O959" s="1923"/>
      <c r="P959" s="1924" t="str">
        <f ca="1">IF(Q956&gt;0,
INDEX(final_duration_effort,((WEEKDAY(O$3,2)*2-1)+IF(O956="Morning",0,1)),N956),"")</f>
        <v/>
      </c>
      <c r="Q959" s="1925"/>
      <c r="R959" s="177"/>
      <c r="S959" s="1922" t="str">
        <f ca="1">IF(V956&gt;0,CONCATENATE("HR Target: ",
INDEX(sessions_HR_primary,INDEX(plan_session_allocation,((WEEKDAY(T$3,2)*2-1)+IF(T956="Morning",0,1)),S956)),
IF(INDEX(sessions_HR_primary,INDEX(plan_session_allocation,((WEEKDAY(T$3,2)*2-1)+IF(T956="Morning",0,1)),S956))="N/A","",
" BPM")),"")</f>
        <v/>
      </c>
      <c r="T959" s="1923"/>
      <c r="U959" s="1924" t="str">
        <f ca="1">IF(V956&gt;0,
INDEX(final_duration_effort,((WEEKDAY(T$3,2)*2-1)+IF(T956="Morning",0,1)),S956),"")</f>
        <v/>
      </c>
      <c r="V959" s="1925"/>
      <c r="W959" s="177"/>
      <c r="X959" s="1922" t="str">
        <f ca="1">IF(AA956&gt;0,CONCATENATE("HR Target: ",
INDEX(sessions_HR_primary,INDEX(plan_session_allocation,((WEEKDAY(Y$3,2)*2-1)+IF(Y956="Morning",0,1)),X956)),
IF(INDEX(sessions_HR_primary,INDEX(plan_session_allocation,((WEEKDAY(Y$3,2)*2-1)+IF(Y956="Morning",0,1)),X956))="N/A","",
" BPM")),"")</f>
        <v>HR Target: 138 BPM</v>
      </c>
      <c r="Y959" s="1923"/>
      <c r="Z959" s="1924">
        <f ca="1">IF(AA956&gt;0,
INDEX(final_duration_effort,((WEEKDAY(Y$3,2)*2-1)+IF(Y956="Morning",0,1)),X956),"")</f>
        <v>30</v>
      </c>
      <c r="AA959" s="1925"/>
      <c r="AB959" s="177"/>
      <c r="AC959" s="1922" t="str">
        <f ca="1">IF(AF956&gt;0,CONCATENATE("HR Target: ",
INDEX(sessions_HR_primary,INDEX(plan_session_allocation,((WEEKDAY(AD$3,2)*2-1)+IF(AD956="Morning",0,1)),AC956)),
IF(INDEX(sessions_HR_primary,INDEX(plan_session_allocation,((WEEKDAY(AD$3,2)*2-1)+IF(AD956="Morning",0,1)),AC956))="N/A","",
" BPM")),"")</f>
        <v>HR Target: 148 BPM</v>
      </c>
      <c r="AD959" s="1923"/>
      <c r="AE959" s="1924">
        <f ca="1">IF(AF956&gt;0,
INDEX(final_duration_effort,((WEEKDAY(AD$3,2)*2-1)+IF(AD956="Morning",0,1)),AC956),"")</f>
        <v>65</v>
      </c>
      <c r="AF959" s="1925"/>
      <c r="AG959" s="177"/>
      <c r="AH959" s="1922" t="str">
        <f ca="1">IF(AK956&gt;0,CONCATENATE("HR Target: ",
INDEX(sessions_HR_primary,INDEX(plan_session_allocation,((WEEKDAY(AI$3,2)*2-1)+IF(AI956="Morning",0,1)),AH956)),
IF(INDEX(sessions_HR_primary,INDEX(plan_session_allocation,((WEEKDAY(AI$3,2)*2-1)+IF(AI956="Morning",0,1)),AH956))="N/A","",
" BPM")),"")</f>
        <v>HR Target: 148 BPM</v>
      </c>
      <c r="AI959" s="1923"/>
      <c r="AJ959" s="1924">
        <f ca="1">IF(AK956&gt;0,
INDEX(final_duration_effort,((WEEKDAY(AI$3,2)*2-1)+IF(AI956="Morning",0,1)),AH956),"")</f>
        <v>105</v>
      </c>
      <c r="AK959" s="1925"/>
      <c r="AL959" s="177"/>
    </row>
    <row r="960" spans="2:38" s="179" customFormat="1" x14ac:dyDescent="0.45">
      <c r="B960" s="1942"/>
      <c r="C960" s="1945"/>
      <c r="D960" s="1926" t="str">
        <f ca="1">IF(G956&gt;0,CONCATENATE("HR Range: ",
INDEX(sessions_HR_range_primary,INDEX(plan_session_allocation,((WEEKDAY(E$3,2)*2-1)+IF(E956="Morning",0,1)),D956)),
IF(INDEX(sessions_HR_range_primary,INDEX(plan_session_allocation,((WEEKDAY(E$3,2)*2-1)+IF(E956="Morning",0,1)),D956))="N/A","",
" BPM")),"")</f>
        <v>HR Range: 129 - 148 BPM</v>
      </c>
      <c r="E960" s="1927"/>
      <c r="F960" s="1928">
        <f ca="1">IF(G956&gt;0,IF(
INDEX(sessions_recoveries,INDEX(plan_session_allocation,((WEEKDAY(E$3,2)*2-1)+IF(E956="Morning",0,1)),D956))="Yes",
VLOOKUP(INDEX(plan_duration_primary,((WEEKDAY(E$3,2)*2-1)+IF(E956="Morning",0,1)),D956),
INDIRECT(INDEX(sessions_intervals_code_primary,INDEX(plan_session_allocation,((WEEKDAY(E$3,2)*2-1)+IF(E956="Morning",0,1)),D956))),7,TRUE),0),"")</f>
        <v>0</v>
      </c>
      <c r="G960" s="1929"/>
      <c r="H960" s="178"/>
      <c r="I960" s="1926" t="str">
        <f ca="1">IF(L956&gt;0,CONCATENATE("HR Range: ",
INDEX(sessions_HR_range_primary,INDEX(plan_session_allocation,((WEEKDAY(J$3,2)*2-1)+IF(J956="Morning",0,1)),I956)),
IF(INDEX(sessions_HR_range_primary,INDEX(plan_session_allocation,((WEEKDAY(J$3,2)*2-1)+IF(J956="Morning",0,1)),I956))="N/A","",
" BPM")),"")</f>
        <v/>
      </c>
      <c r="J960" s="1927"/>
      <c r="K960" s="1928" t="str">
        <f ca="1">IF(L956&gt;0,IF(
INDEX(sessions_recoveries,INDEX(plan_session_allocation,((WEEKDAY(J$3,2)*2-1)+IF(J956="Morning",0,1)),I956))="Yes",
VLOOKUP(INDEX(plan_duration_primary,((WEEKDAY(J$3,2)*2-1)+IF(J956="Morning",0,1)),I956),
INDIRECT(INDEX(sessions_intervals_code_primary,INDEX(plan_session_allocation,((WEEKDAY(J$3,2)*2-1)+IF(J956="Morning",0,1)),I956))),7,TRUE),0),"")</f>
        <v/>
      </c>
      <c r="L960" s="1929"/>
      <c r="M960" s="178"/>
      <c r="N960" s="1926" t="str">
        <f ca="1">IF(Q956&gt;0,CONCATENATE("HR Range: ",
INDEX(sessions_HR_range_primary,INDEX(plan_session_allocation,((WEEKDAY(O$3,2)*2-1)+IF(O956="Morning",0,1)),N956)),
IF(INDEX(sessions_HR_range_primary,INDEX(plan_session_allocation,((WEEKDAY(O$3,2)*2-1)+IF(O956="Morning",0,1)),N956))="N/A","",
" BPM")),"")</f>
        <v/>
      </c>
      <c r="O960" s="1927"/>
      <c r="P960" s="1928" t="str">
        <f ca="1">IF(Q956&gt;0,IF(
INDEX(sessions_recoveries,INDEX(plan_session_allocation,((WEEKDAY(O$3,2)*2-1)+IF(O956="Morning",0,1)),N956))="Yes",
VLOOKUP(INDEX(plan_duration_primary,((WEEKDAY(O$3,2)*2-1)+IF(O956="Morning",0,1)),N956),
INDIRECT(INDEX(sessions_intervals_code_primary,INDEX(plan_session_allocation,((WEEKDAY(O$3,2)*2-1)+IF(O956="Morning",0,1)),N956))),7,TRUE),0),"")</f>
        <v/>
      </c>
      <c r="Q960" s="1929"/>
      <c r="R960" s="178"/>
      <c r="S960" s="1926" t="str">
        <f ca="1">IF(V956&gt;0,CONCATENATE("HR Range: ",
INDEX(sessions_HR_range_primary,INDEX(plan_session_allocation,((WEEKDAY(T$3,2)*2-1)+IF(T956="Morning",0,1)),S956)),
IF(INDEX(sessions_HR_range_primary,INDEX(plan_session_allocation,((WEEKDAY(T$3,2)*2-1)+IF(T956="Morning",0,1)),S956))="N/A","",
" BPM")),"")</f>
        <v/>
      </c>
      <c r="T960" s="1927"/>
      <c r="U960" s="1928" t="str">
        <f ca="1">IF(V956&gt;0,IF(
INDEX(sessions_recoveries,INDEX(plan_session_allocation,((WEEKDAY(T$3,2)*2-1)+IF(T956="Morning",0,1)),S956))="Yes",
VLOOKUP(INDEX(plan_duration_primary,((WEEKDAY(T$3,2)*2-1)+IF(T956="Morning",0,1)),S956),
INDIRECT(INDEX(sessions_intervals_code_primary,INDEX(plan_session_allocation,((WEEKDAY(T$3,2)*2-1)+IF(T956="Morning",0,1)),S956))),7,TRUE),0),"")</f>
        <v/>
      </c>
      <c r="V960" s="1929"/>
      <c r="W960" s="178"/>
      <c r="X960" s="1926" t="str">
        <f ca="1">IF(AA956&gt;0,CONCATENATE("HR Range: ",
INDEX(sessions_HR_range_primary,INDEX(plan_session_allocation,((WEEKDAY(Y$3,2)*2-1)+IF(Y956="Morning",0,1)),X956)),
IF(INDEX(sessions_HR_range_primary,INDEX(plan_session_allocation,((WEEKDAY(Y$3,2)*2-1)+IF(Y956="Morning",0,1)),X956))="N/A","",
" BPM")),"")</f>
        <v>HR Range: 129 - 148 BPM</v>
      </c>
      <c r="Y960" s="1927"/>
      <c r="Z960" s="1928">
        <f ca="1">IF(AA956&gt;0,IF(
INDEX(sessions_recoveries,INDEX(plan_session_allocation,((WEEKDAY(Y$3,2)*2-1)+IF(Y956="Morning",0,1)),X956))="Yes",
VLOOKUP(INDEX(plan_duration_primary,((WEEKDAY(Y$3,2)*2-1)+IF(Y956="Morning",0,1)),X956),
INDIRECT(INDEX(sessions_intervals_code_primary,INDEX(plan_session_allocation,((WEEKDAY(Y$3,2)*2-1)+IF(Y956="Morning",0,1)),X956))),7,TRUE),0),"")</f>
        <v>0</v>
      </c>
      <c r="AA960" s="1929"/>
      <c r="AB960" s="178"/>
      <c r="AC960" s="1926" t="str">
        <f ca="1">IF(AF956&gt;0,CONCATENATE("HR Range: ",
INDEX(sessions_HR_range_primary,INDEX(plan_session_allocation,((WEEKDAY(AD$3,2)*2-1)+IF(AD956="Morning",0,1)),AC956)),
IF(INDEX(sessions_HR_range_primary,INDEX(plan_session_allocation,((WEEKDAY(AD$3,2)*2-1)+IF(AD956="Morning",0,1)),AC956))="N/A","",
" BPM")),"")</f>
        <v>HR Range: 138 - 157 BPM</v>
      </c>
      <c r="AD960" s="1927"/>
      <c r="AE960" s="1928">
        <f ca="1">IF(AF956&gt;0,IF(
INDEX(sessions_recoveries,INDEX(plan_session_allocation,((WEEKDAY(AD$3,2)*2-1)+IF(AD956="Morning",0,1)),AC956))="Yes",
VLOOKUP(INDEX(plan_duration_primary,((WEEKDAY(AD$3,2)*2-1)+IF(AD956="Morning",0,1)),AC956),
INDIRECT(INDEX(sessions_intervals_code_primary,INDEX(plan_session_allocation,((WEEKDAY(AD$3,2)*2-1)+IF(AD956="Morning",0,1)),AC956))),7,TRUE),0),"")</f>
        <v>0</v>
      </c>
      <c r="AF960" s="1929"/>
      <c r="AG960" s="178"/>
      <c r="AH960" s="1926" t="str">
        <f ca="1">IF(AK956&gt;0,CONCATENATE("HR Range: ",
INDEX(sessions_HR_range_primary,INDEX(plan_session_allocation,((WEEKDAY(AI$3,2)*2-1)+IF(AI956="Morning",0,1)),AH956)),
IF(INDEX(sessions_HR_range_primary,INDEX(plan_session_allocation,((WEEKDAY(AI$3,2)*2-1)+IF(AI956="Morning",0,1)),AH956))="N/A","",
" BPM")),"")</f>
        <v>HR Range: 129 - 169 BPM</v>
      </c>
      <c r="AI960" s="1927"/>
      <c r="AJ960" s="1928">
        <f ca="1">IF(AK956&gt;0,IF(
INDEX(sessions_recoveries,INDEX(plan_session_allocation,((WEEKDAY(AI$3,2)*2-1)+IF(AI956="Morning",0,1)),AH956))="Yes",
VLOOKUP(INDEX(plan_duration_primary,((WEEKDAY(AI$3,2)*2-1)+IF(AI956="Morning",0,1)),AH956),
INDIRECT(INDEX(sessions_intervals_code_primary,INDEX(plan_session_allocation,((WEEKDAY(AI$3,2)*2-1)+IF(AI956="Morning",0,1)),AH956))),7,TRUE),0),"")</f>
        <v>0</v>
      </c>
      <c r="AK960" s="1929"/>
      <c r="AL960" s="178"/>
    </row>
    <row r="961" spans="2:38" s="179" customFormat="1" ht="15" customHeight="1" x14ac:dyDescent="0.45">
      <c r="B961" s="1942"/>
      <c r="C961" s="1945"/>
      <c r="D961" s="1909" t="str">
        <f ca="1">IF(G956&gt;0,CONCATENATE("Equivalent Pace: ",
TEXT(INDEX(sessions_pace_primary,INDEX(plan_session_allocation,(WEEKDAY(E$3,2)*2-1)+IF(E956="Morning",0,1),D956)),"m:ss"),
" min/km"
),"")</f>
        <v>Equivalent Pace: 4:39 min/km</v>
      </c>
      <c r="E961" s="1910"/>
      <c r="F961" s="1911">
        <f ca="1">IF(G956&gt;0, INDEX(final_duration_WU,((WEEKDAY(E$3,2)*2-1)+IF(E956="Morning",0,1)),D956)  + INDEX(final_duration_WD,((WEEKDAY(E$3,2)*2-1)+IF(E956="Morning",0,1)),D956), "")</f>
        <v>0</v>
      </c>
      <c r="G961" s="1912"/>
      <c r="H961" s="178"/>
      <c r="I961" s="1909" t="str">
        <f ca="1">IF(L956&gt;0,CONCATENATE("Equivalent Pace: ",
TEXT(INDEX(sessions_pace_primary,INDEX(plan_session_allocation,(WEEKDAY(J$3,2)*2-1)+IF(J956="Morning",0,1),I956)),"m:ss"),
" min/km"
),"")</f>
        <v/>
      </c>
      <c r="J961" s="1910"/>
      <c r="K961" s="1911" t="str">
        <f ca="1">IF(L956&gt;0, INDEX(final_duration_WU,((WEEKDAY(J$3,2)*2-1)+IF(J956="Morning",0,1)),I956)  + INDEX(final_duration_WD,((WEEKDAY(J$3,2)*2-1)+IF(J956="Morning",0,1)),I956), "")</f>
        <v/>
      </c>
      <c r="L961" s="1912"/>
      <c r="M961" s="178"/>
      <c r="N961" s="1909" t="str">
        <f ca="1">IF(Q956&gt;0,CONCATENATE("Equivalent Pace: ",
TEXT(INDEX(sessions_pace_primary,INDEX(plan_session_allocation,(WEEKDAY(O$3,2)*2-1)+IF(O956="Morning",0,1),N956)),"m:ss"),
" min/km"
),"")</f>
        <v/>
      </c>
      <c r="O961" s="1910"/>
      <c r="P961" s="1911" t="str">
        <f ca="1">IF(Q956&gt;0, INDEX(final_duration_WU,((WEEKDAY(O$3,2)*2-1)+IF(O956="Morning",0,1)),N956)  + INDEX(final_duration_WD,((WEEKDAY(O$3,2)*2-1)+IF(O956="Morning",0,1)),N956), "")</f>
        <v/>
      </c>
      <c r="Q961" s="1912"/>
      <c r="R961" s="178"/>
      <c r="S961" s="1909" t="str">
        <f ca="1">IF(V956&gt;0,CONCATENATE("Equivalent Pace: ",
TEXT(INDEX(sessions_pace_primary,INDEX(plan_session_allocation,(WEEKDAY(T$3,2)*2-1)+IF(T956="Morning",0,1),S956)),"m:ss"),
" min/km"
),"")</f>
        <v/>
      </c>
      <c r="T961" s="1910"/>
      <c r="U961" s="1911" t="str">
        <f ca="1">IF(V956&gt;0, INDEX(final_duration_WU,((WEEKDAY(T$3,2)*2-1)+IF(T956="Morning",0,1)),S956)  + INDEX(final_duration_WD,((WEEKDAY(T$3,2)*2-1)+IF(T956="Morning",0,1)),S956), "")</f>
        <v/>
      </c>
      <c r="V961" s="1912"/>
      <c r="W961" s="178"/>
      <c r="X961" s="1909" t="str">
        <f ca="1">IF(AA956&gt;0,CONCATENATE("Equivalent Pace: ",
TEXT(INDEX(sessions_pace_primary,INDEX(plan_session_allocation,(WEEKDAY(Y$3,2)*2-1)+IF(Y956="Morning",0,1),X956)),"m:ss"),
" min/km"
),"")</f>
        <v>Equivalent Pace: 4:39 min/km</v>
      </c>
      <c r="Y961" s="1910"/>
      <c r="Z961" s="1911">
        <f ca="1">IF(AA956&gt;0, INDEX(final_duration_WU,((WEEKDAY(Y$3,2)*2-1)+IF(Y956="Morning",0,1)),X956)  + INDEX(final_duration_WD,((WEEKDAY(Y$3,2)*2-1)+IF(Y956="Morning",0,1)),X956), "")</f>
        <v>0</v>
      </c>
      <c r="AA961" s="1912"/>
      <c r="AB961" s="178"/>
      <c r="AC961" s="1909" t="str">
        <f ca="1">IF(AF956&gt;0,CONCATENATE("Equivalent Pace: ",
TEXT(INDEX(sessions_pace_primary,INDEX(plan_session_allocation,(WEEKDAY(AD$3,2)*2-1)+IF(AD956="Morning",0,1),AC956)),"m:ss"),
" min/km"
),"")</f>
        <v>Equivalent Pace: 4:14 min/km</v>
      </c>
      <c r="AD961" s="1910"/>
      <c r="AE961" s="1911">
        <f ca="1">IF(AF956&gt;0, INDEX(final_duration_WU,((WEEKDAY(AD$3,2)*2-1)+IF(AD956="Morning",0,1)),AC956)  + INDEX(final_duration_WD,((WEEKDAY(AD$3,2)*2-1)+IF(AD956="Morning",0,1)),AC956), "")</f>
        <v>0</v>
      </c>
      <c r="AF961" s="1912"/>
      <c r="AG961" s="178"/>
      <c r="AH961" s="1909" t="str">
        <f ca="1">IF(AK956&gt;0,CONCATENATE("Equivalent Pace: ",
TEXT(INDEX(sessions_pace_primary,INDEX(plan_session_allocation,(WEEKDAY(AI$3,2)*2-1)+IF(AI956="Morning",0,1),AH956)),"m:ss"),
" min/km"
),"")</f>
        <v>Equivalent Pace: 4:14 min/km</v>
      </c>
      <c r="AI961" s="1910"/>
      <c r="AJ961" s="1911">
        <f ca="1">IF(AK956&gt;0, INDEX(final_duration_WU,((WEEKDAY(AI$3,2)*2-1)+IF(AI956="Morning",0,1)),AH956)  + INDEX(final_duration_WD,((WEEKDAY(AI$3,2)*2-1)+IF(AI956="Morning",0,1)),AH956), "")</f>
        <v>0</v>
      </c>
      <c r="AK961" s="1912"/>
      <c r="AL961" s="178"/>
    </row>
    <row r="962" spans="2:38" s="180" customFormat="1" ht="15" customHeight="1" x14ac:dyDescent="0.45">
      <c r="B962" s="1942"/>
      <c r="C962" s="1945"/>
      <c r="D962" s="1913" t="str">
        <f ca="1">IF(G956&gt;0,CONCATENATE(IFERROR(CONCATENATE(IF(INDEX(display_intervals_breakdown,((WEEKDAY(E$3,2)*2-1)+IF(E956="Morning",0,1)),D956)="","",CONCATENATE("Intervals/Reps Breakdown: 
",INDEX(display_intervals_breakdown,((WEEKDAY(E$3,2)*2-1)+IF(E956="Morning",0,1)),D956),"
")),"Session Description: 
",CONCATENATE(IF(INDEX(final_duration_secondary,((WEEKDAY(E$3,2)*2-1)+IF(E956="Morning",0,1)),D956)=0,"","1. "),
INDEX(sessions_description_primary,,INDEX(plan_session_allocation,((WEEKDAY(E$3,2)*2-1)+IF(E956="Morning",0,1)),D956)),IF(INDEX(final_duration_secondary,((WEEKDAY(E$3,2)*2-1)+IF(E956="Morning",0,1)),D956)=0,"","
2. "),
IF(INDEX(final_duration_secondary,((WEEKDAY(E$3,2)*2-1)+IF(E956="Morning",0,1)),D956)=0,"",INDEX(sessions_description_secondary,,INDEX(plan_session_allocation,((WEEKDAY(E$3,2)*2-1)+IF(E956="Morning",0,1)),D956))),IF(INDEX(final_duration_tertiary,((WEEKDAY(E$3,2)*2-1)+IF(E956="Morning",0,1)),D956)=0,"","
3. "),
IF(INDEX(final_duration_tertiary,((WEEKDAY(E$3,2)*2-1)+IF(E956="Morning",0,1)),D956)="","",INDEX(sessions_description_tertiary,,INDEX(plan_session_allocation,((WEEKDAY(E$3,2)*2-1)+IF(E956="Morning",0,1)),D956))),
IF(INDEX(display_nutrition_description,((WEEKDAY(E$3,2)*2-1)+IF(E956="Morning",0,1)),D956)="","",
CONCATENATE("
Meal Plan: ", INDEX(sessions_nutrition,,INDEX(plan_session_allocation,((WEEKDAY(E$3,2)*2-1)+IF(E956="Morning",0,1)),D956)), "
", INDEX(display_nutrition_description,((WEEKDAY(E$3,2)*2-1)+IF(E956="Morning",0,1)),D956)))
)),"")),"")</f>
        <v>Session Description: 
Stay at a comfortable and controlled intensity where you should be able to have a conversation without large pauses. Keep an even intensity and accept that your pace may change as the terrain changes.</v>
      </c>
      <c r="E962" s="1914"/>
      <c r="F962" s="1914"/>
      <c r="G962" s="1915"/>
      <c r="I962" s="1913" t="str">
        <f ca="1">IF(L956&gt;0,CONCATENATE(IFERROR(CONCATENATE(IF(INDEX(display_intervals_breakdown,((WEEKDAY(J$3,2)*2-1)+IF(J956="Morning",0,1)),I956)="","",CONCATENATE("Intervals/Reps Breakdown: 
",INDEX(display_intervals_breakdown,((WEEKDAY(J$3,2)*2-1)+IF(J956="Morning",0,1)),I956),"
")),"Session Description: 
",CONCATENATE(IF(INDEX(final_duration_secondary,((WEEKDAY(J$3,2)*2-1)+IF(J956="Morning",0,1)),I956)=0,"","1. "),
INDEX(sessions_description_primary,,INDEX(plan_session_allocation,((WEEKDAY(J$3,2)*2-1)+IF(J956="Morning",0,1)),I956)),IF(INDEX(final_duration_secondary,((WEEKDAY(J$3,2)*2-1)+IF(J956="Morning",0,1)),I956)=0,"","
2. "),
IF(INDEX(final_duration_secondary,((WEEKDAY(J$3,2)*2-1)+IF(J956="Morning",0,1)),I956)=0,"",INDEX(sessions_description_secondary,,INDEX(plan_session_allocation,((WEEKDAY(J$3,2)*2-1)+IF(J956="Morning",0,1)),I956))),IF(INDEX(final_duration_tertiary,((WEEKDAY(J$3,2)*2-1)+IF(J956="Morning",0,1)),I956)=0,"","
3. "),
IF(INDEX(final_duration_tertiary,((WEEKDAY(J$3,2)*2-1)+IF(J956="Morning",0,1)),I956)="","",INDEX(sessions_description_tertiary,,INDEX(plan_session_allocation,((WEEKDAY(J$3,2)*2-1)+IF(J956="Morning",0,1)),I956))),
IF(INDEX(display_nutrition_description,((WEEKDAY(J$3,2)*2-1)+IF(J956="Morning",0,1)),I956)="","",
CONCATENATE("
Meal Plan: ", INDEX(sessions_nutrition,,INDEX(plan_session_allocation,((WEEKDAY(J$3,2)*2-1)+IF(J956="Morning",0,1)),I956)), "
", INDEX(display_nutrition_description,((WEEKDAY(J$3,2)*2-1)+IF(J956="Morning",0,1)),I956)))
)),"")),"")</f>
        <v/>
      </c>
      <c r="J962" s="1914"/>
      <c r="K962" s="1914"/>
      <c r="L962" s="1915"/>
      <c r="N962" s="1913" t="str">
        <f ca="1">IF(Q956&gt;0,CONCATENATE(IFERROR(CONCATENATE(IF(INDEX(display_intervals_breakdown,((WEEKDAY(O$3,2)*2-1)+IF(O956="Morning",0,1)),N956)="","",CONCATENATE("Intervals/Reps Breakdown: 
",INDEX(display_intervals_breakdown,((WEEKDAY(O$3,2)*2-1)+IF(O956="Morning",0,1)),N956),"
")),"Session Description: 
",CONCATENATE(IF(INDEX(final_duration_secondary,((WEEKDAY(O$3,2)*2-1)+IF(O956="Morning",0,1)),N956)=0,"","1. "),
INDEX(sessions_description_primary,,INDEX(plan_session_allocation,((WEEKDAY(O$3,2)*2-1)+IF(O956="Morning",0,1)),N956)),IF(INDEX(final_duration_secondary,((WEEKDAY(O$3,2)*2-1)+IF(O956="Morning",0,1)),N956)=0,"","
2. "),
IF(INDEX(final_duration_secondary,((WEEKDAY(O$3,2)*2-1)+IF(O956="Morning",0,1)),N956)=0,"",INDEX(sessions_description_secondary,,INDEX(plan_session_allocation,((WEEKDAY(O$3,2)*2-1)+IF(O956="Morning",0,1)),N956))),IF(INDEX(final_duration_tertiary,((WEEKDAY(O$3,2)*2-1)+IF(O956="Morning",0,1)),N956)=0,"","
3. "),
IF(INDEX(final_duration_tertiary,((WEEKDAY(O$3,2)*2-1)+IF(O956="Morning",0,1)),N956)="","",INDEX(sessions_description_tertiary,,INDEX(plan_session_allocation,((WEEKDAY(O$3,2)*2-1)+IF(O956="Morning",0,1)),N956))),
IF(INDEX(display_nutrition_description,((WEEKDAY(O$3,2)*2-1)+IF(O956="Morning",0,1)),N956)="","",
CONCATENATE("
Meal Plan: ", INDEX(sessions_nutrition,,INDEX(plan_session_allocation,((WEEKDAY(O$3,2)*2-1)+IF(O956="Morning",0,1)),N956)), "
", INDEX(display_nutrition_description,((WEEKDAY(O$3,2)*2-1)+IF(O956="Morning",0,1)),N956)))
)),"")),"")</f>
        <v/>
      </c>
      <c r="O962" s="1914"/>
      <c r="P962" s="1914"/>
      <c r="Q962" s="1915"/>
      <c r="S962" s="1913" t="str">
        <f ca="1">IF(V956&gt;0,CONCATENATE(IFERROR(CONCATENATE(IF(INDEX(display_intervals_breakdown,((WEEKDAY(T$3,2)*2-1)+IF(T956="Morning",0,1)),S956)="","",CONCATENATE("Intervals/Reps Breakdown: 
",INDEX(display_intervals_breakdown,((WEEKDAY(T$3,2)*2-1)+IF(T956="Morning",0,1)),S956),"
")),"Session Description: 
",CONCATENATE(IF(INDEX(final_duration_secondary,((WEEKDAY(T$3,2)*2-1)+IF(T956="Morning",0,1)),S956)=0,"","1. "),
INDEX(sessions_description_primary,,INDEX(plan_session_allocation,((WEEKDAY(T$3,2)*2-1)+IF(T956="Morning",0,1)),S956)),IF(INDEX(final_duration_secondary,((WEEKDAY(T$3,2)*2-1)+IF(T956="Morning",0,1)),S956)=0,"","
2. "),
IF(INDEX(final_duration_secondary,((WEEKDAY(T$3,2)*2-1)+IF(T956="Morning",0,1)),S956)=0,"",INDEX(sessions_description_secondary,,INDEX(plan_session_allocation,((WEEKDAY(T$3,2)*2-1)+IF(T956="Morning",0,1)),S956))),IF(INDEX(final_duration_tertiary,((WEEKDAY(T$3,2)*2-1)+IF(T956="Morning",0,1)),S956)=0,"","
3. "),
IF(INDEX(final_duration_tertiary,((WEEKDAY(T$3,2)*2-1)+IF(T956="Morning",0,1)),S956)="","",INDEX(sessions_description_tertiary,,INDEX(plan_session_allocation,((WEEKDAY(T$3,2)*2-1)+IF(T956="Morning",0,1)),S956))),
IF(INDEX(display_nutrition_description,((WEEKDAY(T$3,2)*2-1)+IF(T956="Morning",0,1)),S956)="","",
CONCATENATE("
Meal Plan: ", INDEX(sessions_nutrition,,INDEX(plan_session_allocation,((WEEKDAY(T$3,2)*2-1)+IF(T956="Morning",0,1)),S956)), "
", INDEX(display_nutrition_description,((WEEKDAY(T$3,2)*2-1)+IF(T956="Morning",0,1)),S956)))
)),"")),"")</f>
        <v/>
      </c>
      <c r="T962" s="1914"/>
      <c r="U962" s="1914"/>
      <c r="V962" s="1915"/>
      <c r="X962" s="1913" t="str">
        <f ca="1">IF(AA956&gt;0,CONCATENATE(IFERROR(CONCATENATE(IF(INDEX(display_intervals_breakdown,((WEEKDAY(Y$3,2)*2-1)+IF(Y956="Morning",0,1)),X956)="","",CONCATENATE("Intervals/Reps Breakdown: 
",INDEX(display_intervals_breakdown,((WEEKDAY(Y$3,2)*2-1)+IF(Y956="Morning",0,1)),X956),"
")),"Session Description: 
",CONCATENATE(IF(INDEX(final_duration_secondary,((WEEKDAY(Y$3,2)*2-1)+IF(Y956="Morning",0,1)),X956)=0,"","1. "),
INDEX(sessions_description_primary,,INDEX(plan_session_allocation,((WEEKDAY(Y$3,2)*2-1)+IF(Y956="Morning",0,1)),X956)),IF(INDEX(final_duration_secondary,((WEEKDAY(Y$3,2)*2-1)+IF(Y956="Morning",0,1)),X956)=0,"","
2. "),
IF(INDEX(final_duration_secondary,((WEEKDAY(Y$3,2)*2-1)+IF(Y956="Morning",0,1)),X956)=0,"",INDEX(sessions_description_secondary,,INDEX(plan_session_allocation,((WEEKDAY(Y$3,2)*2-1)+IF(Y956="Morning",0,1)),X956))),IF(INDEX(final_duration_tertiary,((WEEKDAY(Y$3,2)*2-1)+IF(Y956="Morning",0,1)),X956)=0,"","
3. "),
IF(INDEX(final_duration_tertiary,((WEEKDAY(Y$3,2)*2-1)+IF(Y956="Morning",0,1)),X956)="","",INDEX(sessions_description_tertiary,,INDEX(plan_session_allocation,((WEEKDAY(Y$3,2)*2-1)+IF(Y956="Morning",0,1)),X956))),
IF(INDEX(display_nutrition_description,((WEEKDAY(Y$3,2)*2-1)+IF(Y956="Morning",0,1)),X956)="","",
CONCATENATE("
Meal Plan: ", INDEX(sessions_nutrition,,INDEX(plan_session_allocation,((WEEKDAY(Y$3,2)*2-1)+IF(Y956="Morning",0,1)),X956)), "
", INDEX(display_nutrition_description,((WEEKDAY(Y$3,2)*2-1)+IF(Y956="Morning",0,1)),X956)))
)),"")),"")</f>
        <v>Session Description: 
Stay at a comfortable and controlled intensity where you should be able to have a conversation without large pauses. Keep an even intensity and accept that your pace may change as the terrain changes.</v>
      </c>
      <c r="Y962" s="1914"/>
      <c r="Z962" s="1914"/>
      <c r="AA962" s="1915"/>
      <c r="AC962" s="1913" t="str">
        <f ca="1">IF(AF956&gt;0,CONCATENATE(IFERROR(CONCATENATE(IF(INDEX(display_intervals_breakdown,((WEEKDAY(AD$3,2)*2-1)+IF(AD956="Morning",0,1)),AC956)="","",CONCATENATE("Intervals/Reps Breakdown: 
",INDEX(display_intervals_breakdown,((WEEKDAY(AD$3,2)*2-1)+IF(AD956="Morning",0,1)),AC956),"
")),"Session Description: 
",CONCATENATE(IF(INDEX(final_duration_secondary,((WEEKDAY(AD$3,2)*2-1)+IF(AD956="Morning",0,1)),AC956)=0,"","1. "),
INDEX(sessions_description_primary,,INDEX(plan_session_allocation,((WEEKDAY(AD$3,2)*2-1)+IF(AD956="Morning",0,1)),AC956)),IF(INDEX(final_duration_secondary,((WEEKDAY(AD$3,2)*2-1)+IF(AD956="Morning",0,1)),AC956)=0,"","
2. "),
IF(INDEX(final_duration_secondary,((WEEKDAY(AD$3,2)*2-1)+IF(AD956="Morning",0,1)),AC956)=0,"",INDEX(sessions_description_secondary,,INDEX(plan_session_allocation,((WEEKDAY(AD$3,2)*2-1)+IF(AD956="Morning",0,1)),AC956))),IF(INDEX(final_duration_tertiary,((WEEKDAY(AD$3,2)*2-1)+IF(AD956="Morning",0,1)),AC956)=0,"","
3. "),
IF(INDEX(final_duration_tertiary,((WEEKDAY(AD$3,2)*2-1)+IF(AD956="Morning",0,1)),AC956)="","",INDEX(sessions_description_tertiary,,INDEX(plan_session_allocation,((WEEKDAY(AD$3,2)*2-1)+IF(AD956="Morning",0,1)),AC956))),
IF(INDEX(display_nutrition_description,((WEEKDAY(AD$3,2)*2-1)+IF(AD956="Morning",0,1)),AC956)="","",
CONCATENATE("
Meal Plan: ", INDEX(sessions_nutrition,,INDEX(plan_session_allocation,((WEEKDAY(AD$3,2)*2-1)+IF(AD956="Morning",0,1)),AC956)), "
", INDEX(display_nutrition_description,((WEEKDAY(AD$3,2)*2-1)+IF(AD956="Morning",0,1)),AC956)))
)),"")),"")</f>
        <v>Session Description: 
Stay at a comfortable and controlled intensity where you should be able to have a conversation without large pauses. Keep an even intensity and accept that your pace may change as the terrain changes.</v>
      </c>
      <c r="AD962" s="1914"/>
      <c r="AE962" s="1914"/>
      <c r="AF962" s="1915"/>
      <c r="AH962" s="1913" t="str">
        <f ca="1">IF(AK956&gt;0,CONCATENATE(IFERROR(CONCATENATE(IF(INDEX(display_intervals_breakdown,((WEEKDAY(AI$3,2)*2-1)+IF(AI956="Morning",0,1)),AH956)="","",CONCATENATE("Intervals/Reps Breakdown: 
",INDEX(display_intervals_breakdown,((WEEKDAY(AI$3,2)*2-1)+IF(AI956="Morning",0,1)),AH956),"
")),"Session Description: 
",CONCATENATE(IF(INDEX(final_duration_secondary,((WEEKDAY(AI$3,2)*2-1)+IF(AI956="Morning",0,1)),AH956)=0,"","1. "),
INDEX(sessions_description_primary,,INDEX(plan_session_allocation,((WEEKDAY(AI$3,2)*2-1)+IF(AI956="Morning",0,1)),AH956)),IF(INDEX(final_duration_secondary,((WEEKDAY(AI$3,2)*2-1)+IF(AI956="Morning",0,1)),AH956)=0,"","
2. "),
IF(INDEX(final_duration_secondary,((WEEKDAY(AI$3,2)*2-1)+IF(AI956="Morning",0,1)),AH956)=0,"",INDEX(sessions_description_secondary,,INDEX(plan_session_allocation,((WEEKDAY(AI$3,2)*2-1)+IF(AI956="Morning",0,1)),AH956))),IF(INDEX(final_duration_tertiary,((WEEKDAY(AI$3,2)*2-1)+IF(AI956="Morning",0,1)),AH956)=0,"","
3. "),
IF(INDEX(final_duration_tertiary,((WEEKDAY(AI$3,2)*2-1)+IF(AI956="Morning",0,1)),AH956)="","",INDEX(sessions_description_tertiary,,INDEX(plan_session_allocation,((WEEKDAY(AI$3,2)*2-1)+IF(AI956="Morning",0,1)),AH956))),
IF(INDEX(display_nutrition_description,((WEEKDAY(AI$3,2)*2-1)+IF(AI956="Morning",0,1)),AH956)="","",
CONCATENATE("
Meal Plan: ", INDEX(sessions_nutrition,,INDEX(plan_session_allocation,((WEEKDAY(AI$3,2)*2-1)+IF(AI956="Morning",0,1)),AH956)), "
", INDEX(display_nutrition_description,((WEEKDAY(AI$3,2)*2-1)+IF(AI956="Morning",0,1)),AH956)))
)),"")),"")</f>
        <v xml:space="preserve">Session Description: 
Fundamentally a steady, but you can be less strict at controlling your intensity as long as your average intensity is close to it's target by the end of the session </v>
      </c>
      <c r="AI962" s="1914"/>
      <c r="AJ962" s="1914"/>
      <c r="AK962" s="1915"/>
    </row>
    <row r="963" spans="2:38" s="180" customFormat="1" x14ac:dyDescent="0.45">
      <c r="B963" s="1942"/>
      <c r="C963" s="1945"/>
      <c r="D963" s="1916"/>
      <c r="E963" s="1917"/>
      <c r="F963" s="1917"/>
      <c r="G963" s="1918"/>
      <c r="I963" s="1916"/>
      <c r="J963" s="1917"/>
      <c r="K963" s="1917"/>
      <c r="L963" s="1918"/>
      <c r="N963" s="1916"/>
      <c r="O963" s="1917"/>
      <c r="P963" s="1917"/>
      <c r="Q963" s="1918"/>
      <c r="S963" s="1916"/>
      <c r="T963" s="1917"/>
      <c r="U963" s="1917"/>
      <c r="V963" s="1918"/>
      <c r="X963" s="1916"/>
      <c r="Y963" s="1917"/>
      <c r="Z963" s="1917"/>
      <c r="AA963" s="1918"/>
      <c r="AC963" s="1916"/>
      <c r="AD963" s="1917"/>
      <c r="AE963" s="1917"/>
      <c r="AF963" s="1918"/>
      <c r="AH963" s="1916"/>
      <c r="AI963" s="1917"/>
      <c r="AJ963" s="1917"/>
      <c r="AK963" s="1918"/>
    </row>
    <row r="964" spans="2:38" s="180" customFormat="1" x14ac:dyDescent="0.45">
      <c r="B964" s="1942"/>
      <c r="C964" s="1945"/>
      <c r="D964" s="1916"/>
      <c r="E964" s="1917"/>
      <c r="F964" s="1917"/>
      <c r="G964" s="1918"/>
      <c r="I964" s="1916"/>
      <c r="J964" s="1917"/>
      <c r="K964" s="1917"/>
      <c r="L964" s="1918"/>
      <c r="N964" s="1916"/>
      <c r="O964" s="1917"/>
      <c r="P964" s="1917"/>
      <c r="Q964" s="1918"/>
      <c r="S964" s="1916"/>
      <c r="T964" s="1917"/>
      <c r="U964" s="1917"/>
      <c r="V964" s="1918"/>
      <c r="X964" s="1916"/>
      <c r="Y964" s="1917"/>
      <c r="Z964" s="1917"/>
      <c r="AA964" s="1918"/>
      <c r="AC964" s="1916"/>
      <c r="AD964" s="1917"/>
      <c r="AE964" s="1917"/>
      <c r="AF964" s="1918"/>
      <c r="AH964" s="1916"/>
      <c r="AI964" s="1917"/>
      <c r="AJ964" s="1917"/>
      <c r="AK964" s="1918"/>
    </row>
    <row r="965" spans="2:38" s="180" customFormat="1" x14ac:dyDescent="0.45">
      <c r="B965" s="1942"/>
      <c r="C965" s="1945"/>
      <c r="D965" s="1916"/>
      <c r="E965" s="1917"/>
      <c r="F965" s="1917"/>
      <c r="G965" s="1918"/>
      <c r="I965" s="1916"/>
      <c r="J965" s="1917"/>
      <c r="K965" s="1917"/>
      <c r="L965" s="1918"/>
      <c r="N965" s="1916"/>
      <c r="O965" s="1917"/>
      <c r="P965" s="1917"/>
      <c r="Q965" s="1918"/>
      <c r="S965" s="1916"/>
      <c r="T965" s="1917"/>
      <c r="U965" s="1917"/>
      <c r="V965" s="1918"/>
      <c r="X965" s="1916"/>
      <c r="Y965" s="1917"/>
      <c r="Z965" s="1917"/>
      <c r="AA965" s="1918"/>
      <c r="AC965" s="1916"/>
      <c r="AD965" s="1917"/>
      <c r="AE965" s="1917"/>
      <c r="AF965" s="1918"/>
      <c r="AH965" s="1916"/>
      <c r="AI965" s="1917"/>
      <c r="AJ965" s="1917"/>
      <c r="AK965" s="1918"/>
    </row>
    <row r="966" spans="2:38" s="180" customFormat="1" x14ac:dyDescent="0.45">
      <c r="B966" s="1942"/>
      <c r="C966" s="1945"/>
      <c r="D966" s="1916"/>
      <c r="E966" s="1917"/>
      <c r="F966" s="1917"/>
      <c r="G966" s="1918"/>
      <c r="I966" s="1916"/>
      <c r="J966" s="1917"/>
      <c r="K966" s="1917"/>
      <c r="L966" s="1918"/>
      <c r="N966" s="1916"/>
      <c r="O966" s="1917"/>
      <c r="P966" s="1917"/>
      <c r="Q966" s="1918"/>
      <c r="S966" s="1916"/>
      <c r="T966" s="1917"/>
      <c r="U966" s="1917"/>
      <c r="V966" s="1918"/>
      <c r="X966" s="1916"/>
      <c r="Y966" s="1917"/>
      <c r="Z966" s="1917"/>
      <c r="AA966" s="1918"/>
      <c r="AC966" s="1916"/>
      <c r="AD966" s="1917"/>
      <c r="AE966" s="1917"/>
      <c r="AF966" s="1918"/>
      <c r="AH966" s="1916"/>
      <c r="AI966" s="1917"/>
      <c r="AJ966" s="1917"/>
      <c r="AK966" s="1918"/>
    </row>
    <row r="967" spans="2:38" s="180" customFormat="1" x14ac:dyDescent="0.45">
      <c r="B967" s="1942"/>
      <c r="C967" s="1945"/>
      <c r="D967" s="1916"/>
      <c r="E967" s="1917"/>
      <c r="F967" s="1917"/>
      <c r="G967" s="1918"/>
      <c r="I967" s="1916"/>
      <c r="J967" s="1917"/>
      <c r="K967" s="1917"/>
      <c r="L967" s="1918"/>
      <c r="N967" s="1916"/>
      <c r="O967" s="1917"/>
      <c r="P967" s="1917"/>
      <c r="Q967" s="1918"/>
      <c r="S967" s="1916"/>
      <c r="T967" s="1917"/>
      <c r="U967" s="1917"/>
      <c r="V967" s="1918"/>
      <c r="X967" s="1916"/>
      <c r="Y967" s="1917"/>
      <c r="Z967" s="1917"/>
      <c r="AA967" s="1918"/>
      <c r="AC967" s="1916"/>
      <c r="AD967" s="1917"/>
      <c r="AE967" s="1917"/>
      <c r="AF967" s="1918"/>
      <c r="AH967" s="1916"/>
      <c r="AI967" s="1917"/>
      <c r="AJ967" s="1917"/>
      <c r="AK967" s="1918"/>
    </row>
    <row r="968" spans="2:38" s="180" customFormat="1" x14ac:dyDescent="0.45">
      <c r="B968" s="1942"/>
      <c r="C968" s="1945"/>
      <c r="D968" s="1916"/>
      <c r="E968" s="1917"/>
      <c r="F968" s="1917"/>
      <c r="G968" s="1918"/>
      <c r="I968" s="1916"/>
      <c r="J968" s="1917"/>
      <c r="K968" s="1917"/>
      <c r="L968" s="1918"/>
      <c r="N968" s="1916"/>
      <c r="O968" s="1917"/>
      <c r="P968" s="1917"/>
      <c r="Q968" s="1918"/>
      <c r="S968" s="1916"/>
      <c r="T968" s="1917"/>
      <c r="U968" s="1917"/>
      <c r="V968" s="1918"/>
      <c r="X968" s="1916"/>
      <c r="Y968" s="1917"/>
      <c r="Z968" s="1917"/>
      <c r="AA968" s="1918"/>
      <c r="AC968" s="1916"/>
      <c r="AD968" s="1917"/>
      <c r="AE968" s="1917"/>
      <c r="AF968" s="1918"/>
      <c r="AH968" s="1916"/>
      <c r="AI968" s="1917"/>
      <c r="AJ968" s="1917"/>
      <c r="AK968" s="1918"/>
    </row>
    <row r="969" spans="2:38" s="180" customFormat="1" ht="15.75" customHeight="1" x14ac:dyDescent="0.45">
      <c r="B969" s="1942"/>
      <c r="C969" s="1945"/>
      <c r="D969" s="1916"/>
      <c r="E969" s="1917"/>
      <c r="F969" s="1917"/>
      <c r="G969" s="1918"/>
      <c r="I969" s="1916"/>
      <c r="J969" s="1917"/>
      <c r="K969" s="1917"/>
      <c r="L969" s="1918"/>
      <c r="N969" s="1916"/>
      <c r="O969" s="1917"/>
      <c r="P969" s="1917"/>
      <c r="Q969" s="1918"/>
      <c r="S969" s="1916"/>
      <c r="T969" s="1917"/>
      <c r="U969" s="1917"/>
      <c r="V969" s="1918"/>
      <c r="X969" s="1916"/>
      <c r="Y969" s="1917"/>
      <c r="Z969" s="1917"/>
      <c r="AA969" s="1918"/>
      <c r="AC969" s="1916"/>
      <c r="AD969" s="1917"/>
      <c r="AE969" s="1917"/>
      <c r="AF969" s="1918"/>
      <c r="AH969" s="1916"/>
      <c r="AI969" s="1917"/>
      <c r="AJ969" s="1917"/>
      <c r="AK969" s="1918"/>
    </row>
    <row r="970" spans="2:38" s="180" customFormat="1" x14ac:dyDescent="0.45">
      <c r="B970" s="1942"/>
      <c r="C970" s="1945"/>
      <c r="D970" s="1916"/>
      <c r="E970" s="1917"/>
      <c r="F970" s="1917"/>
      <c r="G970" s="1918"/>
      <c r="I970" s="1916"/>
      <c r="J970" s="1917"/>
      <c r="K970" s="1917"/>
      <c r="L970" s="1918"/>
      <c r="N970" s="1916"/>
      <c r="O970" s="1917"/>
      <c r="P970" s="1917"/>
      <c r="Q970" s="1918"/>
      <c r="S970" s="1916"/>
      <c r="T970" s="1917"/>
      <c r="U970" s="1917"/>
      <c r="V970" s="1918"/>
      <c r="X970" s="1916"/>
      <c r="Y970" s="1917"/>
      <c r="Z970" s="1917"/>
      <c r="AA970" s="1918"/>
      <c r="AC970" s="1916"/>
      <c r="AD970" s="1917"/>
      <c r="AE970" s="1917"/>
      <c r="AF970" s="1918"/>
      <c r="AH970" s="1916"/>
      <c r="AI970" s="1917"/>
      <c r="AJ970" s="1917"/>
      <c r="AK970" s="1918"/>
    </row>
    <row r="971" spans="2:38" s="180" customFormat="1" x14ac:dyDescent="0.45">
      <c r="B971" s="1942"/>
      <c r="C971" s="1945"/>
      <c r="D971" s="1916"/>
      <c r="E971" s="1917"/>
      <c r="F971" s="1917"/>
      <c r="G971" s="1918"/>
      <c r="I971" s="1916"/>
      <c r="J971" s="1917"/>
      <c r="K971" s="1917"/>
      <c r="L971" s="1918"/>
      <c r="N971" s="1916"/>
      <c r="O971" s="1917"/>
      <c r="P971" s="1917"/>
      <c r="Q971" s="1918"/>
      <c r="S971" s="1916"/>
      <c r="T971" s="1917"/>
      <c r="U971" s="1917"/>
      <c r="V971" s="1918"/>
      <c r="X971" s="1916"/>
      <c r="Y971" s="1917"/>
      <c r="Z971" s="1917"/>
      <c r="AA971" s="1918"/>
      <c r="AC971" s="1916"/>
      <c r="AD971" s="1917"/>
      <c r="AE971" s="1917"/>
      <c r="AF971" s="1918"/>
      <c r="AH971" s="1916"/>
      <c r="AI971" s="1917"/>
      <c r="AJ971" s="1917"/>
      <c r="AK971" s="1918"/>
    </row>
    <row r="972" spans="2:38" s="180" customFormat="1" x14ac:dyDescent="0.45">
      <c r="B972" s="1942"/>
      <c r="C972" s="1945"/>
      <c r="D972" s="1916"/>
      <c r="E972" s="1917"/>
      <c r="F972" s="1917"/>
      <c r="G972" s="1918"/>
      <c r="I972" s="1916"/>
      <c r="J972" s="1917"/>
      <c r="K972" s="1917"/>
      <c r="L972" s="1918"/>
      <c r="N972" s="1916"/>
      <c r="O972" s="1917"/>
      <c r="P972" s="1917"/>
      <c r="Q972" s="1918"/>
      <c r="S972" s="1916"/>
      <c r="T972" s="1917"/>
      <c r="U972" s="1917"/>
      <c r="V972" s="1918"/>
      <c r="X972" s="1916"/>
      <c r="Y972" s="1917"/>
      <c r="Z972" s="1917"/>
      <c r="AA972" s="1918"/>
      <c r="AC972" s="1916"/>
      <c r="AD972" s="1917"/>
      <c r="AE972" s="1917"/>
      <c r="AF972" s="1918"/>
      <c r="AH972" s="1916"/>
      <c r="AI972" s="1917"/>
      <c r="AJ972" s="1917"/>
      <c r="AK972" s="1918"/>
    </row>
    <row r="973" spans="2:38" s="180" customFormat="1" x14ac:dyDescent="0.45">
      <c r="B973" s="1942"/>
      <c r="C973" s="1945"/>
      <c r="D973" s="1916"/>
      <c r="E973" s="1917"/>
      <c r="F973" s="1917"/>
      <c r="G973" s="1918"/>
      <c r="I973" s="1916"/>
      <c r="J973" s="1917"/>
      <c r="K973" s="1917"/>
      <c r="L973" s="1918"/>
      <c r="N973" s="1916"/>
      <c r="O973" s="1917"/>
      <c r="P973" s="1917"/>
      <c r="Q973" s="1918"/>
      <c r="S973" s="1916"/>
      <c r="T973" s="1917"/>
      <c r="U973" s="1917"/>
      <c r="V973" s="1918"/>
      <c r="X973" s="1916"/>
      <c r="Y973" s="1917"/>
      <c r="Z973" s="1917"/>
      <c r="AA973" s="1918"/>
      <c r="AC973" s="1916"/>
      <c r="AD973" s="1917"/>
      <c r="AE973" s="1917"/>
      <c r="AF973" s="1918"/>
      <c r="AH973" s="1916"/>
      <c r="AI973" s="1917"/>
      <c r="AJ973" s="1917"/>
      <c r="AK973" s="1918"/>
    </row>
    <row r="974" spans="2:38" s="180" customFormat="1" x14ac:dyDescent="0.45">
      <c r="B974" s="1942"/>
      <c r="C974" s="1945"/>
      <c r="D974" s="1916"/>
      <c r="E974" s="1917"/>
      <c r="F974" s="1917"/>
      <c r="G974" s="1918"/>
      <c r="I974" s="1916"/>
      <c r="J974" s="1917"/>
      <c r="K974" s="1917"/>
      <c r="L974" s="1918"/>
      <c r="N974" s="1916"/>
      <c r="O974" s="1917"/>
      <c r="P974" s="1917"/>
      <c r="Q974" s="1918"/>
      <c r="S974" s="1916"/>
      <c r="T974" s="1917"/>
      <c r="U974" s="1917"/>
      <c r="V974" s="1918"/>
      <c r="X974" s="1916"/>
      <c r="Y974" s="1917"/>
      <c r="Z974" s="1917"/>
      <c r="AA974" s="1918"/>
      <c r="AC974" s="1916"/>
      <c r="AD974" s="1917"/>
      <c r="AE974" s="1917"/>
      <c r="AF974" s="1918"/>
      <c r="AH974" s="1916"/>
      <c r="AI974" s="1917"/>
      <c r="AJ974" s="1917"/>
      <c r="AK974" s="1918"/>
    </row>
    <row r="975" spans="2:38" s="180" customFormat="1" x14ac:dyDescent="0.45">
      <c r="B975" s="1942"/>
      <c r="C975" s="1945"/>
      <c r="D975" s="1919"/>
      <c r="E975" s="1920"/>
      <c r="F975" s="1920"/>
      <c r="G975" s="1921"/>
      <c r="I975" s="1919"/>
      <c r="J975" s="1920"/>
      <c r="K975" s="1920"/>
      <c r="L975" s="1921"/>
      <c r="N975" s="1919"/>
      <c r="O975" s="1920"/>
      <c r="P975" s="1920"/>
      <c r="Q975" s="1921"/>
      <c r="S975" s="1919"/>
      <c r="T975" s="1920"/>
      <c r="U975" s="1920"/>
      <c r="V975" s="1921"/>
      <c r="X975" s="1919"/>
      <c r="Y975" s="1920"/>
      <c r="Z975" s="1920"/>
      <c r="AA975" s="1921"/>
      <c r="AC975" s="1919"/>
      <c r="AD975" s="1920"/>
      <c r="AE975" s="1920"/>
      <c r="AF975" s="1921"/>
      <c r="AH975" s="1919"/>
      <c r="AI975" s="1920"/>
      <c r="AJ975" s="1920"/>
      <c r="AK975" s="1921"/>
    </row>
    <row r="976" spans="2:38" s="180" customFormat="1" ht="15" customHeight="1" x14ac:dyDescent="0.45">
      <c r="B976" s="1942"/>
      <c r="C976" s="1945"/>
      <c r="D976" s="1913" t="str">
        <f ca="1">IF(G956&gt;0,CONCATENATE("Session Aim: 
", CONCATENATE(IF(INDEX(final_duration_secondary,((WEEKDAY(E$3,2)*2-1)+IF(E956="Morning",0,1)),D956)=0, "", "1. "),
INDEX(sessions_aim_primary,, INDEX(plan_session_allocation,((WEEKDAY(E$3,2)*2-1)+IF(E956="Morning",0,1)),D956)), IF(INDEX(final_duration_secondary,((WEEKDAY(E$3,2)*2-1)+IF(E956="Morning",0,1)),D956)=0, "", "
2. "),
IF(INDEX(final_duration_secondary,((WEEKDAY(E$3,2)*2-1)+IF(E956="Morning",0,1)),D956)=0, "", INDEX(sessions_aim_secondary,, INDEX(plan_session_allocation,((WEEKDAY(E$3,2)*2-1)+IF(E956="Morning",0,1)),D956))), IF(INDEX(final_duration_tertiary,((WEEKDAY(E$3,2)*2-1)+IF(E956="Morning",0,1)),D956)=0, "", "
3. "),
IF(INDEX(final_duration_tertiary,((WEEKDAY(E$3,2)*2-1)+IF(E956="Morning",0,1)),D956)=0, "", INDEX(sessions_aim_tertiary,, INDEX(plan_session_allocation,((WEEKDAY(E$3,2)*2-1)+IF(E956="Morning",0,1)),D956))),
IF(INDEX(display_nutrition_description,((WEEKDAY(E$3,2)*2-1)+IF(E956="Morning",0,1)),D956)="","",
CONCATENATE("
Nutrition Aim:
", INDEX(sessions_aim_nutrition,,INDEX(plan_session_allocation,((WEEKDAY(E$3,2)*2-1)+IF(E956="Morning",0,1)),D956))
))
)),"")</f>
        <v xml:space="preserve">Session Aim: 
Improve aerobic fitness while minimising the chance of injury. </v>
      </c>
      <c r="E976" s="1914"/>
      <c r="F976" s="1914"/>
      <c r="G976" s="1915"/>
      <c r="I976" s="1913" t="str">
        <f ca="1">IF(L956&gt;0,CONCATENATE("Session Aim: 
", CONCATENATE(IF(INDEX(final_duration_secondary,((WEEKDAY(J$3,2)*2-1)+IF(J956="Morning",0,1)),I956)=0, "", "1. "),
INDEX(sessions_aim_primary,, INDEX(plan_session_allocation,((WEEKDAY(J$3,2)*2-1)+IF(J956="Morning",0,1)),I956)), IF(INDEX(final_duration_secondary,((WEEKDAY(J$3,2)*2-1)+IF(J956="Morning",0,1)),I956)=0, "", "
2. "),
IF(INDEX(final_duration_secondary,((WEEKDAY(J$3,2)*2-1)+IF(J956="Morning",0,1)),I956)=0, "", INDEX(sessions_aim_secondary,, INDEX(plan_session_allocation,((WEEKDAY(J$3,2)*2-1)+IF(J956="Morning",0,1)),I956))), IF(INDEX(final_duration_tertiary,((WEEKDAY(J$3,2)*2-1)+IF(J956="Morning",0,1)),I956)=0, "", "
3. "),
IF(INDEX(final_duration_tertiary,((WEEKDAY(J$3,2)*2-1)+IF(J956="Morning",0,1)),I956)=0, "", INDEX(sessions_aim_tertiary,, INDEX(plan_session_allocation,((WEEKDAY(J$3,2)*2-1)+IF(J956="Morning",0,1)),I956))),
IF(INDEX(display_nutrition_description,((WEEKDAY(J$3,2)*2-1)+IF(J956="Morning",0,1)),I956)="","",
CONCATENATE("
Nutrition Aim:
", INDEX(sessions_aim_nutrition,,INDEX(plan_session_allocation,((WEEKDAY(J$3,2)*2-1)+IF(J956="Morning",0,1)),I956))
))
)),"")</f>
        <v/>
      </c>
      <c r="J976" s="1914"/>
      <c r="K976" s="1914"/>
      <c r="L976" s="1915"/>
      <c r="N976" s="1913" t="str">
        <f ca="1">IF(Q956&gt;0,CONCATENATE("Session Aim: 
", CONCATENATE(IF(INDEX(final_duration_secondary,((WEEKDAY(O$3,2)*2-1)+IF(O956="Morning",0,1)),N956)=0, "", "1. "),
INDEX(sessions_aim_primary,, INDEX(plan_session_allocation,((WEEKDAY(O$3,2)*2-1)+IF(O956="Morning",0,1)),N956)), IF(INDEX(final_duration_secondary,((WEEKDAY(O$3,2)*2-1)+IF(O956="Morning",0,1)),N956)=0, "", "
2. "),
IF(INDEX(final_duration_secondary,((WEEKDAY(O$3,2)*2-1)+IF(O956="Morning",0,1)),N956)=0, "", INDEX(sessions_aim_secondary,, INDEX(plan_session_allocation,((WEEKDAY(O$3,2)*2-1)+IF(O956="Morning",0,1)),N956))), IF(INDEX(final_duration_tertiary,((WEEKDAY(O$3,2)*2-1)+IF(O956="Morning",0,1)),N956)=0, "", "
3. "),
IF(INDEX(final_duration_tertiary,((WEEKDAY(O$3,2)*2-1)+IF(O956="Morning",0,1)),N956)=0, "", INDEX(sessions_aim_tertiary,, INDEX(plan_session_allocation,((WEEKDAY(O$3,2)*2-1)+IF(O956="Morning",0,1)),N956))),
IF(INDEX(display_nutrition_description,((WEEKDAY(O$3,2)*2-1)+IF(O956="Morning",0,1)),N956)="","",
CONCATENATE("
Nutrition Aim:
", INDEX(sessions_aim_nutrition,,INDEX(plan_session_allocation,((WEEKDAY(O$3,2)*2-1)+IF(O956="Morning",0,1)),N956))
))
)),"")</f>
        <v/>
      </c>
      <c r="O976" s="1914"/>
      <c r="P976" s="1914"/>
      <c r="Q976" s="1915"/>
      <c r="S976" s="1913" t="str">
        <f ca="1">IF(V956&gt;0,CONCATENATE("Session Aim: 
", CONCATENATE(IF(INDEX(final_duration_secondary,((WEEKDAY(T$3,2)*2-1)+IF(T956="Morning",0,1)),S956)=0, "", "1. "),
INDEX(sessions_aim_primary,, INDEX(plan_session_allocation,((WEEKDAY(T$3,2)*2-1)+IF(T956="Morning",0,1)),S956)), IF(INDEX(final_duration_secondary,((WEEKDAY(T$3,2)*2-1)+IF(T956="Morning",0,1)),S956)=0, "", "
2. "),
IF(INDEX(final_duration_secondary,((WEEKDAY(T$3,2)*2-1)+IF(T956="Morning",0,1)),S956)=0, "", INDEX(sessions_aim_secondary,, INDEX(plan_session_allocation,((WEEKDAY(T$3,2)*2-1)+IF(T956="Morning",0,1)),S956))), IF(INDEX(final_duration_tertiary,((WEEKDAY(T$3,2)*2-1)+IF(T956="Morning",0,1)),S956)=0, "", "
3. "),
IF(INDEX(final_duration_tertiary,((WEEKDAY(T$3,2)*2-1)+IF(T956="Morning",0,1)),S956)=0, "", INDEX(sessions_aim_tertiary,, INDEX(plan_session_allocation,((WEEKDAY(T$3,2)*2-1)+IF(T956="Morning",0,1)),S956))),
IF(INDEX(display_nutrition_description,((WEEKDAY(T$3,2)*2-1)+IF(T956="Morning",0,1)),S956)="","",
CONCATENATE("
Nutrition Aim:
", INDEX(sessions_aim_nutrition,,INDEX(plan_session_allocation,((WEEKDAY(T$3,2)*2-1)+IF(T956="Morning",0,1)),S956))
))
)),"")</f>
        <v/>
      </c>
      <c r="T976" s="1914"/>
      <c r="U976" s="1914"/>
      <c r="V976" s="1915"/>
      <c r="X976" s="1913" t="str">
        <f ca="1">IF(AA956&gt;0,CONCATENATE("Session Aim: 
", CONCATENATE(IF(INDEX(final_duration_secondary,((WEEKDAY(Y$3,2)*2-1)+IF(Y956="Morning",0,1)),X956)=0, "", "1. "),
INDEX(sessions_aim_primary,, INDEX(plan_session_allocation,((WEEKDAY(Y$3,2)*2-1)+IF(Y956="Morning",0,1)),X956)), IF(INDEX(final_duration_secondary,((WEEKDAY(Y$3,2)*2-1)+IF(Y956="Morning",0,1)),X956)=0, "", "
2. "),
IF(INDEX(final_duration_secondary,((WEEKDAY(Y$3,2)*2-1)+IF(Y956="Morning",0,1)),X956)=0, "", INDEX(sessions_aim_secondary,, INDEX(plan_session_allocation,((WEEKDAY(Y$3,2)*2-1)+IF(Y956="Morning",0,1)),X956))), IF(INDEX(final_duration_tertiary,((WEEKDAY(Y$3,2)*2-1)+IF(Y956="Morning",0,1)),X956)=0, "", "
3. "),
IF(INDEX(final_duration_tertiary,((WEEKDAY(Y$3,2)*2-1)+IF(Y956="Morning",0,1)),X956)=0, "", INDEX(sessions_aim_tertiary,, INDEX(plan_session_allocation,((WEEKDAY(Y$3,2)*2-1)+IF(Y956="Morning",0,1)),X956))),
IF(INDEX(display_nutrition_description,((WEEKDAY(Y$3,2)*2-1)+IF(Y956="Morning",0,1)),X956)="","",
CONCATENATE("
Nutrition Aim:
", INDEX(sessions_aim_nutrition,,INDEX(plan_session_allocation,((WEEKDAY(Y$3,2)*2-1)+IF(Y956="Morning",0,1)),X956))
))
)),"")</f>
        <v xml:space="preserve">Session Aim: 
Improve aerobic fitness while minimising the chance of injury. </v>
      </c>
      <c r="Y976" s="1914"/>
      <c r="Z976" s="1914"/>
      <c r="AA976" s="1915"/>
      <c r="AC976" s="1913" t="str">
        <f ca="1">IF(AF956&gt;0,CONCATENATE("Session Aim: 
", CONCATENATE(IF(INDEX(final_duration_secondary,((WEEKDAY(AD$3,2)*2-1)+IF(AD956="Morning",0,1)),AC956)=0, "", "1. "),
INDEX(sessions_aim_primary,, INDEX(plan_session_allocation,((WEEKDAY(AD$3,2)*2-1)+IF(AD956="Morning",0,1)),AC956)), IF(INDEX(final_duration_secondary,((WEEKDAY(AD$3,2)*2-1)+IF(AD956="Morning",0,1)),AC956)=0, "", "
2. "),
IF(INDEX(final_duration_secondary,((WEEKDAY(AD$3,2)*2-1)+IF(AD956="Morning",0,1)),AC956)=0, "", INDEX(sessions_aim_secondary,, INDEX(plan_session_allocation,((WEEKDAY(AD$3,2)*2-1)+IF(AD956="Morning",0,1)),AC956))), IF(INDEX(final_duration_tertiary,((WEEKDAY(AD$3,2)*2-1)+IF(AD956="Morning",0,1)),AC956)=0, "", "
3. "),
IF(INDEX(final_duration_tertiary,((WEEKDAY(AD$3,2)*2-1)+IF(AD956="Morning",0,1)),AC956)=0, "", INDEX(sessions_aim_tertiary,, INDEX(plan_session_allocation,((WEEKDAY(AD$3,2)*2-1)+IF(AD956="Morning",0,1)),AC956))),
IF(INDEX(display_nutrition_description,((WEEKDAY(AD$3,2)*2-1)+IF(AD956="Morning",0,1)),AC956)="","",
CONCATENATE("
Nutrition Aim:
", INDEX(sessions_aim_nutrition,,INDEX(plan_session_allocation,((WEEKDAY(AD$3,2)*2-1)+IF(AD956="Morning",0,1)),AC956))
))
)),"")</f>
        <v>Session Aim: 
Improve aerobic fitness at an optimal rate.</v>
      </c>
      <c r="AD976" s="1914"/>
      <c r="AE976" s="1914"/>
      <c r="AF976" s="1915"/>
      <c r="AH976" s="1913" t="str">
        <f ca="1">IF(AK956&gt;0,CONCATENATE("Session Aim: 
", CONCATENATE(IF(INDEX(final_duration_secondary,((WEEKDAY(AI$3,2)*2-1)+IF(AI956="Morning",0,1)),AH956)=0, "", "1. "),
INDEX(sessions_aim_primary,, INDEX(plan_session_allocation,((WEEKDAY(AI$3,2)*2-1)+IF(AI956="Morning",0,1)),AH956)), IF(INDEX(final_duration_secondary,((WEEKDAY(AI$3,2)*2-1)+IF(AI956="Morning",0,1)),AH956)=0, "", "
2. "),
IF(INDEX(final_duration_secondary,((WEEKDAY(AI$3,2)*2-1)+IF(AI956="Morning",0,1)),AH956)=0, "", INDEX(sessions_aim_secondary,, INDEX(plan_session_allocation,((WEEKDAY(AI$3,2)*2-1)+IF(AI956="Morning",0,1)),AH956))), IF(INDEX(final_duration_tertiary,((WEEKDAY(AI$3,2)*2-1)+IF(AI956="Morning",0,1)),AH956)=0, "", "
3. "),
IF(INDEX(final_duration_tertiary,((WEEKDAY(AI$3,2)*2-1)+IF(AI956="Morning",0,1)),AH956)=0, "", INDEX(sessions_aim_tertiary,, INDEX(plan_session_allocation,((WEEKDAY(AI$3,2)*2-1)+IF(AI956="Morning",0,1)),AH956))),
IF(INDEX(display_nutrition_description,((WEEKDAY(AI$3,2)*2-1)+IF(AI956="Morning",0,1)),AH956)="","",
CONCATENATE("
Nutrition Aim:
", INDEX(sessions_aim_nutrition,,INDEX(plan_session_allocation,((WEEKDAY(AI$3,2)*2-1)+IF(AI956="Morning",0,1)),AH956))
))
)),"")</f>
        <v xml:space="preserve">Session Aim: 
Improve aerobic fitness and energy utilisation. </v>
      </c>
      <c r="AI976" s="1914"/>
      <c r="AJ976" s="1914"/>
      <c r="AK976" s="1915"/>
    </row>
    <row r="977" spans="2:38" s="180" customFormat="1" x14ac:dyDescent="0.45">
      <c r="B977" s="1942"/>
      <c r="C977" s="1945"/>
      <c r="D977" s="1916"/>
      <c r="E977" s="1917"/>
      <c r="F977" s="1917"/>
      <c r="G977" s="1918"/>
      <c r="I977" s="1916"/>
      <c r="J977" s="1917"/>
      <c r="K977" s="1917"/>
      <c r="L977" s="1918"/>
      <c r="N977" s="1916"/>
      <c r="O977" s="1917"/>
      <c r="P977" s="1917"/>
      <c r="Q977" s="1918"/>
      <c r="S977" s="1916"/>
      <c r="T977" s="1917"/>
      <c r="U977" s="1917"/>
      <c r="V977" s="1918"/>
      <c r="X977" s="1916"/>
      <c r="Y977" s="1917"/>
      <c r="Z977" s="1917"/>
      <c r="AA977" s="1918"/>
      <c r="AC977" s="1916"/>
      <c r="AD977" s="1917"/>
      <c r="AE977" s="1917"/>
      <c r="AF977" s="1918"/>
      <c r="AH977" s="1916"/>
      <c r="AI977" s="1917"/>
      <c r="AJ977" s="1917"/>
      <c r="AK977" s="1918"/>
    </row>
    <row r="978" spans="2:38" s="180" customFormat="1" x14ac:dyDescent="0.45">
      <c r="B978" s="1942"/>
      <c r="C978" s="1945"/>
      <c r="D978" s="1916"/>
      <c r="E978" s="1917"/>
      <c r="F978" s="1917"/>
      <c r="G978" s="1918"/>
      <c r="I978" s="1916"/>
      <c r="J978" s="1917"/>
      <c r="K978" s="1917"/>
      <c r="L978" s="1918"/>
      <c r="N978" s="1916"/>
      <c r="O978" s="1917"/>
      <c r="P978" s="1917"/>
      <c r="Q978" s="1918"/>
      <c r="S978" s="1916"/>
      <c r="T978" s="1917"/>
      <c r="U978" s="1917"/>
      <c r="V978" s="1918"/>
      <c r="X978" s="1916"/>
      <c r="Y978" s="1917"/>
      <c r="Z978" s="1917"/>
      <c r="AA978" s="1918"/>
      <c r="AC978" s="1916"/>
      <c r="AD978" s="1917"/>
      <c r="AE978" s="1917"/>
      <c r="AF978" s="1918"/>
      <c r="AH978" s="1916"/>
      <c r="AI978" s="1917"/>
      <c r="AJ978" s="1917"/>
      <c r="AK978" s="1918"/>
    </row>
    <row r="979" spans="2:38" s="180" customFormat="1" x14ac:dyDescent="0.45">
      <c r="B979" s="1942"/>
      <c r="C979" s="1945"/>
      <c r="D979" s="1916"/>
      <c r="E979" s="1917"/>
      <c r="F979" s="1917"/>
      <c r="G979" s="1918"/>
      <c r="I979" s="1916"/>
      <c r="J979" s="1917"/>
      <c r="K979" s="1917"/>
      <c r="L979" s="1918"/>
      <c r="N979" s="1916"/>
      <c r="O979" s="1917"/>
      <c r="P979" s="1917"/>
      <c r="Q979" s="1918"/>
      <c r="S979" s="1916"/>
      <c r="T979" s="1917"/>
      <c r="U979" s="1917"/>
      <c r="V979" s="1918"/>
      <c r="X979" s="1916"/>
      <c r="Y979" s="1917"/>
      <c r="Z979" s="1917"/>
      <c r="AA979" s="1918"/>
      <c r="AC979" s="1916"/>
      <c r="AD979" s="1917"/>
      <c r="AE979" s="1917"/>
      <c r="AF979" s="1918"/>
      <c r="AH979" s="1916"/>
      <c r="AI979" s="1917"/>
      <c r="AJ979" s="1917"/>
      <c r="AK979" s="1918"/>
    </row>
    <row r="980" spans="2:38" s="180" customFormat="1" x14ac:dyDescent="0.45">
      <c r="B980" s="1942"/>
      <c r="C980" s="1945"/>
      <c r="D980" s="1916"/>
      <c r="E980" s="1917"/>
      <c r="F980" s="1917"/>
      <c r="G980" s="1918"/>
      <c r="I980" s="1916"/>
      <c r="J980" s="1917"/>
      <c r="K980" s="1917"/>
      <c r="L980" s="1918"/>
      <c r="N980" s="1916"/>
      <c r="O980" s="1917"/>
      <c r="P980" s="1917"/>
      <c r="Q980" s="1918"/>
      <c r="S980" s="1916"/>
      <c r="T980" s="1917"/>
      <c r="U980" s="1917"/>
      <c r="V980" s="1918"/>
      <c r="X980" s="1916"/>
      <c r="Y980" s="1917"/>
      <c r="Z980" s="1917"/>
      <c r="AA980" s="1918"/>
      <c r="AC980" s="1916"/>
      <c r="AD980" s="1917"/>
      <c r="AE980" s="1917"/>
      <c r="AF980" s="1918"/>
      <c r="AH980" s="1916"/>
      <c r="AI980" s="1917"/>
      <c r="AJ980" s="1917"/>
      <c r="AK980" s="1918"/>
    </row>
    <row r="981" spans="2:38" s="180" customFormat="1" x14ac:dyDescent="0.45">
      <c r="B981" s="1942"/>
      <c r="C981" s="1945"/>
      <c r="D981" s="1916"/>
      <c r="E981" s="1917"/>
      <c r="F981" s="1917"/>
      <c r="G981" s="1918"/>
      <c r="I981" s="1916"/>
      <c r="J981" s="1917"/>
      <c r="K981" s="1917"/>
      <c r="L981" s="1918"/>
      <c r="N981" s="1916"/>
      <c r="O981" s="1917"/>
      <c r="P981" s="1917"/>
      <c r="Q981" s="1918"/>
      <c r="S981" s="1916"/>
      <c r="T981" s="1917"/>
      <c r="U981" s="1917"/>
      <c r="V981" s="1918"/>
      <c r="X981" s="1916"/>
      <c r="Y981" s="1917"/>
      <c r="Z981" s="1917"/>
      <c r="AA981" s="1918"/>
      <c r="AC981" s="1916"/>
      <c r="AD981" s="1917"/>
      <c r="AE981" s="1917"/>
      <c r="AF981" s="1918"/>
      <c r="AH981" s="1916"/>
      <c r="AI981" s="1917"/>
      <c r="AJ981" s="1917"/>
      <c r="AK981" s="1918"/>
    </row>
    <row r="982" spans="2:38" s="180" customFormat="1" ht="14.65" thickBot="1" x14ac:dyDescent="0.5">
      <c r="B982" s="1942"/>
      <c r="C982" s="1945"/>
      <c r="D982" s="1938"/>
      <c r="E982" s="1939"/>
      <c r="F982" s="1939"/>
      <c r="G982" s="1940"/>
      <c r="I982" s="1938"/>
      <c r="J982" s="1939"/>
      <c r="K982" s="1939"/>
      <c r="L982" s="1940"/>
      <c r="N982" s="1938"/>
      <c r="O982" s="1939"/>
      <c r="P982" s="1939"/>
      <c r="Q982" s="1940"/>
      <c r="S982" s="1938"/>
      <c r="T982" s="1939"/>
      <c r="U982" s="1939"/>
      <c r="V982" s="1940"/>
      <c r="X982" s="1938"/>
      <c r="Y982" s="1939"/>
      <c r="Z982" s="1939"/>
      <c r="AA982" s="1940"/>
      <c r="AC982" s="1938"/>
      <c r="AD982" s="1939"/>
      <c r="AE982" s="1939"/>
      <c r="AF982" s="1940"/>
      <c r="AH982" s="1938"/>
      <c r="AI982" s="1939"/>
      <c r="AJ982" s="1939"/>
      <c r="AK982" s="1940"/>
    </row>
    <row r="983" spans="2:38" s="176" customFormat="1" ht="15.75" customHeight="1" x14ac:dyDescent="0.45">
      <c r="B983" s="1942"/>
      <c r="C983" s="1945"/>
      <c r="D983" s="1415">
        <f>$B955</f>
        <v>18</v>
      </c>
      <c r="E983" s="1930" t="s">
        <v>352</v>
      </c>
      <c r="F983" s="1930"/>
      <c r="G983" s="1414">
        <f ca="1">INDEX(final_duration_session,((WEEKDAY(E$3,2)*2-1)+IF(E983="Morning",0,1)),$D983)</f>
        <v>60</v>
      </c>
      <c r="H983" s="177"/>
      <c r="I983" s="1415">
        <f>$B955</f>
        <v>18</v>
      </c>
      <c r="J983" s="1930" t="s">
        <v>352</v>
      </c>
      <c r="K983" s="1930"/>
      <c r="L983" s="1414">
        <f ca="1">INDEX(final_duration_session,((WEEKDAY(J$3,2)*2-1)+IF(J983="Morning",0,1)),$D983)</f>
        <v>55</v>
      </c>
      <c r="M983" s="177"/>
      <c r="N983" s="1415">
        <f>$B955</f>
        <v>18</v>
      </c>
      <c r="O983" s="1930" t="s">
        <v>352</v>
      </c>
      <c r="P983" s="1930"/>
      <c r="Q983" s="1414">
        <f ca="1">INDEX(final_duration_session,((WEEKDAY(O$3,2)*2-1)+IF(O983="Morning",0,1)),$D983)</f>
        <v>105</v>
      </c>
      <c r="R983" s="177"/>
      <c r="S983" s="1415">
        <f>$B955</f>
        <v>18</v>
      </c>
      <c r="T983" s="1930" t="s">
        <v>352</v>
      </c>
      <c r="U983" s="1930"/>
      <c r="V983" s="1414">
        <f ca="1">INDEX(final_duration_session,((WEEKDAY(T$3,2)*2-1)+IF(T983="Morning",0,1)),$D983)</f>
        <v>49.5</v>
      </c>
      <c r="W983" s="177"/>
      <c r="X983" s="1415">
        <f>$B955</f>
        <v>18</v>
      </c>
      <c r="Y983" s="1930" t="s">
        <v>352</v>
      </c>
      <c r="Z983" s="1930"/>
      <c r="AA983" s="1414">
        <f ca="1">INDEX(final_duration_session,((WEEKDAY(Y$3,2)*2-1)+IF(Y983="Morning",0,1)),$D983)</f>
        <v>60</v>
      </c>
      <c r="AB983" s="177"/>
      <c r="AC983" s="1415">
        <f>$B955</f>
        <v>18</v>
      </c>
      <c r="AD983" s="1930" t="s">
        <v>352</v>
      </c>
      <c r="AE983" s="1930"/>
      <c r="AF983" s="1414">
        <f ca="1">INDEX(final_duration_session,((WEEKDAY(AD$3,2)*2-1)+IF(AD983="Morning",0,1)),$D983)</f>
        <v>0</v>
      </c>
      <c r="AG983" s="177"/>
      <c r="AH983" s="1415">
        <f>$B955</f>
        <v>18</v>
      </c>
      <c r="AI983" s="1930" t="s">
        <v>352</v>
      </c>
      <c r="AJ983" s="1930"/>
      <c r="AK983" s="1414">
        <f ca="1">INDEX(final_duration_session,((WEEKDAY(AI$3,2)*2-1)+IF(AI983="Morning",0,1)),$D983)</f>
        <v>0</v>
      </c>
      <c r="AL983" s="177"/>
    </row>
    <row r="984" spans="2:38" s="176" customFormat="1" ht="15" customHeight="1" x14ac:dyDescent="0.45">
      <c r="B984" s="1942"/>
      <c r="C984" s="1945"/>
      <c r="D984" s="1931" t="str">
        <f ca="1">IF(G983&gt;0,INDEX(sessions_name,INDEX(plan_session_allocation,((WEEKDAY(E$3,2)*2-1)+IF(E983="Morning",0,1)),D983)),"")</f>
        <v>Strength and Maintenance</v>
      </c>
      <c r="E984" s="1932"/>
      <c r="F984" s="1932"/>
      <c r="G984" s="1933"/>
      <c r="H984" s="177"/>
      <c r="I984" s="1931" t="str">
        <f ca="1">IF(L983&gt;0,INDEX(sessions_name,INDEX(plan_session_allocation,((WEEKDAY(J$3,2)*2-1)+IF(J983="Morning",0,1)),I983)),"")</f>
        <v>Hill Tempo</v>
      </c>
      <c r="J984" s="1932"/>
      <c r="K984" s="1932"/>
      <c r="L984" s="1933"/>
      <c r="M984" s="177"/>
      <c r="N984" s="1931" t="str">
        <f ca="1">IF(Q983&gt;0,INDEX(sessions_name,INDEX(plan_session_allocation,((WEEKDAY(O$3,2)*2-1)+IF(O983="Morning",0,1)),N983)),"")</f>
        <v xml:space="preserve">Easy </v>
      </c>
      <c r="O984" s="1932"/>
      <c r="P984" s="1932"/>
      <c r="Q984" s="1933"/>
      <c r="R984" s="177"/>
      <c r="S984" s="1931" t="str">
        <f ca="1">IF(V983&gt;0,INDEX(sessions_name,INDEX(plan_session_allocation,((WEEKDAY(T$3,2)*2-1)+IF(T983="Morning",0,1)),S983)),"")</f>
        <v>Intervals: 1km w/ 1min</v>
      </c>
      <c r="T984" s="1932"/>
      <c r="U984" s="1932"/>
      <c r="V984" s="1933"/>
      <c r="W984" s="177"/>
      <c r="X984" s="1931" t="str">
        <f ca="1">IF(AA983&gt;0,INDEX(sessions_name,INDEX(plan_session_allocation,((WEEKDAY(Y$3,2)*2-1)+IF(Y983="Morning",0,1)),X983)),"")</f>
        <v>Strength and Maintenance</v>
      </c>
      <c r="Y984" s="1932"/>
      <c r="Z984" s="1932"/>
      <c r="AA984" s="1933"/>
      <c r="AB984" s="177"/>
      <c r="AC984" s="1931" t="str">
        <f ca="1">IF(AF983&gt;0,INDEX(sessions_name,INDEX(plan_session_allocation,((WEEKDAY(AD$3,2)*2-1)+IF(AD983="Morning",0,1)),AC983)),"")</f>
        <v/>
      </c>
      <c r="AD984" s="1932"/>
      <c r="AE984" s="1932"/>
      <c r="AF984" s="1933"/>
      <c r="AG984" s="177"/>
      <c r="AH984" s="1931" t="str">
        <f ca="1">IF(AK983&gt;0,INDEX(sessions_name,INDEX(plan_session_allocation,((WEEKDAY(AI$3,2)*2-1)+IF(AI983="Morning",0,1)),AH983)),"")</f>
        <v/>
      </c>
      <c r="AI984" s="1932"/>
      <c r="AJ984" s="1932"/>
      <c r="AK984" s="1933"/>
      <c r="AL984" s="177"/>
    </row>
    <row r="985" spans="2:38" s="176" customFormat="1" ht="15" customHeight="1" x14ac:dyDescent="0.45">
      <c r="B985" s="1942"/>
      <c r="C985" s="1945"/>
      <c r="D985" s="1934" t="str">
        <f ca="1">IF(G983&gt;0,CONCATENATE("Sport: ",INDEX(sessions_sport_primary,INDEX(plan_session_allocation,(WEEKDAY(E$3,2)*2-1)+IF(E983="Morning",0,1),D983))),"")</f>
        <v>Sport: Indoor</v>
      </c>
      <c r="E985" s="1935"/>
      <c r="F985" s="1936">
        <f ca="1">IF(G983&gt;0,IFERROR(F986+F987+F988,""),"")</f>
        <v>60</v>
      </c>
      <c r="G985" s="1937"/>
      <c r="H985" s="177"/>
      <c r="I985" s="1934" t="str">
        <f ca="1">IF(L983&gt;0,CONCATENATE("Sport: ",INDEX(sessions_sport_primary,INDEX(plan_session_allocation,(WEEKDAY(J$3,2)*2-1)+IF(J983="Morning",0,1),I983))),"")</f>
        <v>Sport: Hilly Trail Run</v>
      </c>
      <c r="J985" s="1935"/>
      <c r="K985" s="1936">
        <f ca="1">IF(L983&gt;0,IFERROR(K986+K987+K988,""),"")</f>
        <v>55</v>
      </c>
      <c r="L985" s="1937"/>
      <c r="M985" s="177"/>
      <c r="N985" s="1934" t="str">
        <f ca="1">IF(Q983&gt;0,CONCATENATE("Sport: ",INDEX(sessions_sport_primary,INDEX(plan_session_allocation,(WEEKDAY(O$3,2)*2-1)+IF(O983="Morning",0,1),N983))),"")</f>
        <v>Sport: Road Ride</v>
      </c>
      <c r="O985" s="1935"/>
      <c r="P985" s="1936">
        <f ca="1">IF(Q983&gt;0,IFERROR(P986+P987+P988,""),"")</f>
        <v>105</v>
      </c>
      <c r="Q985" s="1937"/>
      <c r="R985" s="177"/>
      <c r="S985" s="1934" t="str">
        <f ca="1">IF(V983&gt;0,CONCATENATE("Sport: ",INDEX(sessions_sport_primary,INDEX(plan_session_allocation,(WEEKDAY(T$3,2)*2-1)+IF(T983="Morning",0,1),S983))),"")</f>
        <v>Sport: Road Run</v>
      </c>
      <c r="T985" s="1935"/>
      <c r="U985" s="1936">
        <f ca="1">IF(V983&gt;0,IFERROR(U986+U987+U988,""),"")</f>
        <v>48.5</v>
      </c>
      <c r="V985" s="1937"/>
      <c r="W985" s="177"/>
      <c r="X985" s="1934" t="str">
        <f ca="1">IF(AA983&gt;0,CONCATENATE("Sport: ",INDEX(sessions_sport_primary,INDEX(plan_session_allocation,(WEEKDAY(Y$3,2)*2-1)+IF(Y983="Morning",0,1),X983))),"")</f>
        <v>Sport: Indoor</v>
      </c>
      <c r="Y985" s="1935"/>
      <c r="Z985" s="1936">
        <f ca="1">IF(AA983&gt;0,IFERROR(Z986+Z987+Z988,""),"")</f>
        <v>60</v>
      </c>
      <c r="AA985" s="1937"/>
      <c r="AB985" s="177"/>
      <c r="AC985" s="1934" t="str">
        <f ca="1">IF(AF983&gt;0,CONCATENATE("Sport: ",INDEX(sessions_sport_primary,INDEX(plan_session_allocation,(WEEKDAY(AD$3,2)*2-1)+IF(AD983="Morning",0,1),AC983))),"")</f>
        <v/>
      </c>
      <c r="AD985" s="1935"/>
      <c r="AE985" s="1936" t="str">
        <f ca="1">IF(AF983&gt;0,IFERROR(AE986+AE987+AE988,""),"")</f>
        <v/>
      </c>
      <c r="AF985" s="1937"/>
      <c r="AG985" s="177"/>
      <c r="AH985" s="1934" t="str">
        <f ca="1">IF(AK983&gt;0,CONCATENATE("Sport: ",INDEX(sessions_sport_primary,INDEX(plan_session_allocation,(WEEKDAY(AI$3,2)*2-1)+IF(AI983="Morning",0,1),AH983))),"")</f>
        <v/>
      </c>
      <c r="AI985" s="1935"/>
      <c r="AJ985" s="1936" t="str">
        <f ca="1">IF(AK983&gt;0,IFERROR(AJ986+AJ987+AJ988,""),"")</f>
        <v/>
      </c>
      <c r="AK985" s="1937"/>
      <c r="AL985" s="177"/>
    </row>
    <row r="986" spans="2:38" s="177" customFormat="1" ht="15" customHeight="1" x14ac:dyDescent="0.45">
      <c r="B986" s="1942"/>
      <c r="C986" s="1945"/>
      <c r="D986" s="1922" t="str">
        <f ca="1">IF(G983&gt;0,CONCATENATE("HR Target: ",
INDEX(sessions_HR_primary,INDEX(plan_session_allocation,((WEEKDAY(E$3,2)*2-1)+IF(E983="Morning",0,1)),D983)),
IF(INDEX(sessions_HR_primary,INDEX(plan_session_allocation,((WEEKDAY(E$3,2)*2-1)+IF(E983="Morning",0,1)),D983))="N/A","",
" BPM")),"")</f>
        <v>HR Target: N/A</v>
      </c>
      <c r="E986" s="1923"/>
      <c r="F986" s="1924">
        <f ca="1">IF(G983&gt;0,
INDEX(final_duration_effort,((WEEKDAY(E$3,2)*2-1)+IF(E983="Morning",0,1)),D983),"")</f>
        <v>60</v>
      </c>
      <c r="G986" s="1925"/>
      <c r="I986" s="1922" t="str">
        <f ca="1">IF(L983&gt;0,CONCATENATE("HR Target: ",
INDEX(sessions_HR_primary,INDEX(plan_session_allocation,((WEEKDAY(J$3,2)*2-1)+IF(J983="Morning",0,1)),I983)),
IF(INDEX(sessions_HR_primary,INDEX(plan_session_allocation,((WEEKDAY(J$3,2)*2-1)+IF(J983="Morning",0,1)),I983))="N/A","",
" BPM")),"")</f>
        <v>HR Target: 177 BPM</v>
      </c>
      <c r="J986" s="1923"/>
      <c r="K986" s="1924">
        <f ca="1">IF(L983&gt;0,
INDEX(final_duration_effort,((WEEKDAY(J$3,2)*2-1)+IF(J983="Morning",0,1)),I983),"")</f>
        <v>25</v>
      </c>
      <c r="L986" s="1925"/>
      <c r="N986" s="1922" t="str">
        <f ca="1">IF(Q983&gt;0,CONCATENATE("HR Target: ",
INDEX(sessions_HR_primary,INDEX(plan_session_allocation,((WEEKDAY(O$3,2)*2-1)+IF(O983="Morning",0,1)),N983)),
IF(INDEX(sessions_HR_primary,INDEX(plan_session_allocation,((WEEKDAY(O$3,2)*2-1)+IF(O983="Morning",0,1)),N983))="N/A","",
" BPM")),"")</f>
        <v>HR Target: 138 BPM</v>
      </c>
      <c r="O986" s="1923"/>
      <c r="P986" s="1924">
        <f ca="1">IF(Q983&gt;0,
INDEX(final_duration_effort,((WEEKDAY(O$3,2)*2-1)+IF(O983="Morning",0,1)),N983),"")</f>
        <v>105</v>
      </c>
      <c r="Q986" s="1925"/>
      <c r="S986" s="1922" t="str">
        <f ca="1">IF(V983&gt;0,CONCATENATE("HR Target: ",
INDEX(sessions_HR_primary,INDEX(plan_session_allocation,((WEEKDAY(T$3,2)*2-1)+IF(T983="Morning",0,1)),S983)),
IF(INDEX(sessions_HR_primary,INDEX(plan_session_allocation,((WEEKDAY(T$3,2)*2-1)+IF(T983="Morning",0,1)),S983))="N/A","",
" BPM")),"")</f>
        <v>HR Target: 188 BPM</v>
      </c>
      <c r="T986" s="1923"/>
      <c r="U986" s="1924">
        <f ca="1">IF(V983&gt;0,
INDEX(final_duration_effort,((WEEKDAY(T$3,2)*2-1)+IF(T983="Morning",0,1)),S983),"")</f>
        <v>15.5</v>
      </c>
      <c r="V986" s="1925"/>
      <c r="X986" s="1922" t="str">
        <f ca="1">IF(AA983&gt;0,CONCATENATE("HR Target: ",
INDEX(sessions_HR_primary,INDEX(plan_session_allocation,((WEEKDAY(Y$3,2)*2-1)+IF(Y983="Morning",0,1)),X983)),
IF(INDEX(sessions_HR_primary,INDEX(plan_session_allocation,((WEEKDAY(Y$3,2)*2-1)+IF(Y983="Morning",0,1)),X983))="N/A","",
" BPM")),"")</f>
        <v>HR Target: N/A</v>
      </c>
      <c r="Y986" s="1923"/>
      <c r="Z986" s="1924">
        <f ca="1">IF(AA983&gt;0,
INDEX(final_duration_effort,((WEEKDAY(Y$3,2)*2-1)+IF(Y983="Morning",0,1)),X983),"")</f>
        <v>60</v>
      </c>
      <c r="AA986" s="1925"/>
      <c r="AC986" s="1922" t="str">
        <f ca="1">IF(AF983&gt;0,CONCATENATE("HR Target: ",
INDEX(sessions_HR_primary,INDEX(plan_session_allocation,((WEEKDAY(AD$3,2)*2-1)+IF(AD983="Morning",0,1)),AC983)),
IF(INDEX(sessions_HR_primary,INDEX(plan_session_allocation,((WEEKDAY(AD$3,2)*2-1)+IF(AD983="Morning",0,1)),AC983))="N/A","",
" BPM")),"")</f>
        <v/>
      </c>
      <c r="AD986" s="1923"/>
      <c r="AE986" s="1924" t="str">
        <f ca="1">IF(AF983&gt;0,
INDEX(final_duration_effort,((WEEKDAY(AD$3,2)*2-1)+IF(AD983="Morning",0,1)),AC983),"")</f>
        <v/>
      </c>
      <c r="AF986" s="1925"/>
      <c r="AH986" s="1922" t="str">
        <f ca="1">IF(AK983&gt;0,CONCATENATE("HR Target: ",
INDEX(sessions_HR_primary,INDEX(plan_session_allocation,((WEEKDAY(AI$3,2)*2-1)+IF(AI983="Morning",0,1)),AH983)),
IF(INDEX(sessions_HR_primary,INDEX(plan_session_allocation,((WEEKDAY(AI$3,2)*2-1)+IF(AI983="Morning",0,1)),AH983))="N/A","",
" BPM")),"")</f>
        <v/>
      </c>
      <c r="AI986" s="1923"/>
      <c r="AJ986" s="1924" t="str">
        <f ca="1">IF(AK983&gt;0,
INDEX(final_duration_effort,((WEEKDAY(AI$3,2)*2-1)+IF(AI983="Morning",0,1)),AH983),"")</f>
        <v/>
      </c>
      <c r="AK986" s="1925"/>
    </row>
    <row r="987" spans="2:38" s="177" customFormat="1" ht="15" customHeight="1" x14ac:dyDescent="0.45">
      <c r="B987" s="1942"/>
      <c r="C987" s="1945"/>
      <c r="D987" s="1926" t="str">
        <f ca="1">IF(G983&gt;0,CONCATENATE("HR Range: ",
INDEX(sessions_HR_range_primary,INDEX(plan_session_allocation,((WEEKDAY(E$3,2)*2-1)+IF(E983="Morning",0,1)),D983)),
IF(INDEX(sessions_HR_range_primary,INDEX(plan_session_allocation,((WEEKDAY(E$3,2)*2-1)+IF(E983="Morning",0,1)),D983))="N/A","",
" BPM")),"")</f>
        <v>HR Range: N/A</v>
      </c>
      <c r="E987" s="1927"/>
      <c r="F987" s="1928">
        <f ca="1">IF(G983&gt;0,IF(
INDEX(sessions_recoveries,INDEX(plan_session_allocation,((WEEKDAY(E$3,2)*2-1)+IF(E983="Morning",0,1)),D983))="Yes",
VLOOKUP(INDEX(plan_duration_primary,((WEEKDAY(E$3,2)*2-1)+IF(E983="Morning",0,1)),D983),
INDIRECT(INDEX(sessions_intervals_code_primary,INDEX(plan_session_allocation,((WEEKDAY(E$3,2)*2-1)+IF(E983="Morning",0,1)),D983))),7,TRUE),0),"")</f>
        <v>0</v>
      </c>
      <c r="G987" s="1929"/>
      <c r="I987" s="1926" t="str">
        <f ca="1">IF(L983&gt;0,CONCATENATE("HR Range: ",
INDEX(sessions_HR_range_primary,INDEX(plan_session_allocation,((WEEKDAY(J$3,2)*2-1)+IF(J983="Morning",0,1)),I983)),
IF(INDEX(sessions_HR_range_primary,INDEX(plan_session_allocation,((WEEKDAY(J$3,2)*2-1)+IF(J983="Morning",0,1)),I983))="N/A","",
" BPM")),"")</f>
        <v>HR Range: 173 - 180 BPM</v>
      </c>
      <c r="J987" s="1927"/>
      <c r="K987" s="1928">
        <f ca="1">IF(L983&gt;0,IF(
INDEX(sessions_recoveries,INDEX(plan_session_allocation,((WEEKDAY(J$3,2)*2-1)+IF(J983="Morning",0,1)),I983))="Yes",
VLOOKUP(INDEX(plan_duration_primary,((WEEKDAY(J$3,2)*2-1)+IF(J983="Morning",0,1)),I983),
INDIRECT(INDEX(sessions_intervals_code_primary,INDEX(plan_session_allocation,((WEEKDAY(J$3,2)*2-1)+IF(J983="Morning",0,1)),I983))),7,TRUE),0),"")</f>
        <v>0</v>
      </c>
      <c r="L987" s="1929"/>
      <c r="N987" s="1926" t="str">
        <f ca="1">IF(Q983&gt;0,CONCATENATE("HR Range: ",
INDEX(sessions_HR_range_primary,INDEX(plan_session_allocation,((WEEKDAY(O$3,2)*2-1)+IF(O983="Morning",0,1)),N983)),
IF(INDEX(sessions_HR_range_primary,INDEX(plan_session_allocation,((WEEKDAY(O$3,2)*2-1)+IF(O983="Morning",0,1)),N983))="N/A","",
" BPM")),"")</f>
        <v>HR Range: 129 - 148 BPM</v>
      </c>
      <c r="O987" s="1927"/>
      <c r="P987" s="1928">
        <f ca="1">IF(Q983&gt;0,IF(
INDEX(sessions_recoveries,INDEX(plan_session_allocation,((WEEKDAY(O$3,2)*2-1)+IF(O983="Morning",0,1)),N983))="Yes",
VLOOKUP(INDEX(plan_duration_primary,((WEEKDAY(O$3,2)*2-1)+IF(O983="Morning",0,1)),N983),
INDIRECT(INDEX(sessions_intervals_code_primary,INDEX(plan_session_allocation,((WEEKDAY(O$3,2)*2-1)+IF(O983="Morning",0,1)),N983))),7,TRUE),0),"")</f>
        <v>0</v>
      </c>
      <c r="Q987" s="1929"/>
      <c r="S987" s="1926" t="str">
        <f ca="1">IF(V983&gt;0,CONCATENATE("HR Range: ",
INDEX(sessions_HR_range_primary,INDEX(plan_session_allocation,((WEEKDAY(T$3,2)*2-1)+IF(T983="Morning",0,1)),S983)),
IF(INDEX(sessions_HR_range_primary,INDEX(plan_session_allocation,((WEEKDAY(T$3,2)*2-1)+IF(T983="Morning",0,1)),S983))="N/A","",
" BPM")),"")</f>
        <v>HR Range: 184 - 192 BPM</v>
      </c>
      <c r="T987" s="1927"/>
      <c r="U987" s="1928">
        <f ca="1">IF(V983&gt;0,IF(
INDEX(sessions_recoveries,INDEX(plan_session_allocation,((WEEKDAY(T$3,2)*2-1)+IF(T983="Morning",0,1)),S983))="Yes",
VLOOKUP(INDEX(plan_duration_primary,((WEEKDAY(T$3,2)*2-1)+IF(T983="Morning",0,1)),S983),
INDIRECT(INDEX(sessions_intervals_code_primary,INDEX(plan_session_allocation,((WEEKDAY(T$3,2)*2-1)+IF(T983="Morning",0,1)),S983))),7,TRUE),0),"")</f>
        <v>3</v>
      </c>
      <c r="V987" s="1929"/>
      <c r="X987" s="1926" t="str">
        <f ca="1">IF(AA983&gt;0,CONCATENATE("HR Range: ",
INDEX(sessions_HR_range_primary,INDEX(plan_session_allocation,((WEEKDAY(Y$3,2)*2-1)+IF(Y983="Morning",0,1)),X983)),
IF(INDEX(sessions_HR_range_primary,INDEX(plan_session_allocation,((WEEKDAY(Y$3,2)*2-1)+IF(Y983="Morning",0,1)),X983))="N/A","",
" BPM")),"")</f>
        <v>HR Range: N/A</v>
      </c>
      <c r="Y987" s="1927"/>
      <c r="Z987" s="1928">
        <f ca="1">IF(AA983&gt;0,IF(
INDEX(sessions_recoveries,INDEX(plan_session_allocation,((WEEKDAY(Y$3,2)*2-1)+IF(Y983="Morning",0,1)),X983))="Yes",
VLOOKUP(INDEX(plan_duration_primary,((WEEKDAY(Y$3,2)*2-1)+IF(Y983="Morning",0,1)),X983),
INDIRECT(INDEX(sessions_intervals_code_primary,INDEX(plan_session_allocation,((WEEKDAY(Y$3,2)*2-1)+IF(Y983="Morning",0,1)),X983))),7,TRUE),0),"")</f>
        <v>0</v>
      </c>
      <c r="AA987" s="1929"/>
      <c r="AC987" s="1926" t="str">
        <f ca="1">IF(AF983&gt;0,CONCATENATE("HR Range: ",
INDEX(sessions_HR_range_primary,INDEX(plan_session_allocation,((WEEKDAY(AD$3,2)*2-1)+IF(AD983="Morning",0,1)),AC983)),
IF(INDEX(sessions_HR_range_primary,INDEX(plan_session_allocation,((WEEKDAY(AD$3,2)*2-1)+IF(AD983="Morning",0,1)),AC983))="N/A","",
" BPM")),"")</f>
        <v/>
      </c>
      <c r="AD987" s="1927"/>
      <c r="AE987" s="1928" t="str">
        <f ca="1">IF(AF983&gt;0,IF(
INDEX(sessions_recoveries,INDEX(plan_session_allocation,((WEEKDAY(AD$3,2)*2-1)+IF(AD983="Morning",0,1)),AC983))="Yes",
VLOOKUP(INDEX(plan_duration_primary,((WEEKDAY(AD$3,2)*2-1)+IF(AD983="Morning",0,1)),AC983),
INDIRECT(INDEX(sessions_intervals_code_primary,INDEX(plan_session_allocation,((WEEKDAY(AD$3,2)*2-1)+IF(AD983="Morning",0,1)),AC983))),7,TRUE),0),"")</f>
        <v/>
      </c>
      <c r="AF987" s="1929"/>
      <c r="AH987" s="1926" t="str">
        <f ca="1">IF(AK983&gt;0,CONCATENATE("HR Range: ",
INDEX(sessions_HR_range_primary,INDEX(plan_session_allocation,((WEEKDAY(AI$3,2)*2-1)+IF(AI983="Morning",0,1)),AH983)),
IF(INDEX(sessions_HR_range_primary,INDEX(plan_session_allocation,((WEEKDAY(AI$3,2)*2-1)+IF(AI983="Morning",0,1)),AH983))="N/A","",
" BPM")),"")</f>
        <v/>
      </c>
      <c r="AI987" s="1927"/>
      <c r="AJ987" s="1928" t="str">
        <f ca="1">IF(AK983&gt;0,IF(
INDEX(sessions_recoveries,INDEX(plan_session_allocation,((WEEKDAY(AI$3,2)*2-1)+IF(AI983="Morning",0,1)),AH983))="Yes",
VLOOKUP(INDEX(plan_duration_primary,((WEEKDAY(AI$3,2)*2-1)+IF(AI983="Morning",0,1)),AH983),
INDIRECT(INDEX(sessions_intervals_code_primary,INDEX(plan_session_allocation,((WEEKDAY(AI$3,2)*2-1)+IF(AI983="Morning",0,1)),AH983))),7,TRUE),0),"")</f>
        <v/>
      </c>
      <c r="AK987" s="1929"/>
    </row>
    <row r="988" spans="2:38" s="177" customFormat="1" ht="15" customHeight="1" x14ac:dyDescent="0.45">
      <c r="B988" s="1942"/>
      <c r="C988" s="1945"/>
      <c r="D988" s="1909" t="str">
        <f ca="1">IF(G983&gt;0,CONCATENATE("Equivalent Pace: ",
TEXT(INDEX(sessions_pace_primary,INDEX(plan_session_allocation,(WEEKDAY(E$3,2)*2-1)+IF(E983="Morning",0,1),D983)),"m:ss"),
" min/km"
),"")</f>
        <v>Equivalent Pace:  min/km</v>
      </c>
      <c r="E988" s="1910"/>
      <c r="F988" s="1911">
        <f ca="1">IF(G983&gt;0, INDEX(final_duration_WU,((WEEKDAY(E$3,2)*2-1)+IF(E983="Morning",0,1)),D983)  + INDEX(final_duration_WD,((WEEKDAY(E$3,2)*2-1)+IF(E983="Morning",0,1)),D983), "")</f>
        <v>0</v>
      </c>
      <c r="G988" s="1912"/>
      <c r="I988" s="1909" t="str">
        <f ca="1">IF(L983&gt;0,CONCATENATE("Equivalent Pace: ",
TEXT(INDEX(sessions_pace_primary,INDEX(plan_session_allocation,(WEEKDAY(J$3,2)*2-1)+IF(J983="Morning",0,1),I983)),"m:ss"),
" min/km"
),"")</f>
        <v>Equivalent Pace: 3:21 min/km</v>
      </c>
      <c r="J988" s="1910"/>
      <c r="K988" s="1911">
        <f ca="1">IF(L983&gt;0, INDEX(final_duration_WU,((WEEKDAY(J$3,2)*2-1)+IF(J983="Morning",0,1)),I983)  + INDEX(final_duration_WD,((WEEKDAY(J$3,2)*2-1)+IF(J983="Morning",0,1)),I983), "")</f>
        <v>30</v>
      </c>
      <c r="L988" s="1912"/>
      <c r="N988" s="1909" t="str">
        <f ca="1">IF(Q983&gt;0,CONCATENATE("Equivalent Pace: ",
TEXT(INDEX(sessions_pace_primary,INDEX(plan_session_allocation,(WEEKDAY(O$3,2)*2-1)+IF(O983="Morning",0,1),N983)),"m:ss"),
" min/km"
),"")</f>
        <v>Equivalent Pace: 4:39 min/km</v>
      </c>
      <c r="O988" s="1910"/>
      <c r="P988" s="1911">
        <f ca="1">IF(Q983&gt;0, INDEX(final_duration_WU,((WEEKDAY(O$3,2)*2-1)+IF(O983="Morning",0,1)),N983)  + INDEX(final_duration_WD,((WEEKDAY(O$3,2)*2-1)+IF(O983="Morning",0,1)),N983), "")</f>
        <v>0</v>
      </c>
      <c r="Q988" s="1912"/>
      <c r="S988" s="1909" t="str">
        <f ca="1">IF(V983&gt;0,CONCATENATE("Equivalent Pace: ",
TEXT(INDEX(sessions_pace_primary,INDEX(plan_session_allocation,(WEEKDAY(T$3,2)*2-1)+IF(T983="Morning",0,1),S983)),"m:ss"),
" min/km"
),"")</f>
        <v>Equivalent Pace: 3:06 min/km</v>
      </c>
      <c r="T988" s="1910"/>
      <c r="U988" s="1911">
        <f ca="1">IF(V983&gt;0, INDEX(final_duration_WU,((WEEKDAY(T$3,2)*2-1)+IF(T983="Morning",0,1)),S983)  + INDEX(final_duration_WD,((WEEKDAY(T$3,2)*2-1)+IF(T983="Morning",0,1)),S983), "")</f>
        <v>30</v>
      </c>
      <c r="V988" s="1912"/>
      <c r="X988" s="1909" t="str">
        <f ca="1">IF(AA983&gt;0,CONCATENATE("Equivalent Pace: ",
TEXT(INDEX(sessions_pace_primary,INDEX(plan_session_allocation,(WEEKDAY(Y$3,2)*2-1)+IF(Y983="Morning",0,1),X983)),"m:ss"),
" min/km"
),"")</f>
        <v>Equivalent Pace:  min/km</v>
      </c>
      <c r="Y988" s="1910"/>
      <c r="Z988" s="1911">
        <f ca="1">IF(AA983&gt;0, INDEX(final_duration_WU,((WEEKDAY(Y$3,2)*2-1)+IF(Y983="Morning",0,1)),X983)  + INDEX(final_duration_WD,((WEEKDAY(Y$3,2)*2-1)+IF(Y983="Morning",0,1)),X983), "")</f>
        <v>0</v>
      </c>
      <c r="AA988" s="1912"/>
      <c r="AC988" s="1909" t="str">
        <f ca="1">IF(AF983&gt;0,CONCATENATE("Equivalent Pace: ",
TEXT(INDEX(sessions_pace_primary,INDEX(plan_session_allocation,(WEEKDAY(AD$3,2)*2-1)+IF(AD983="Morning",0,1),AC983)),"m:ss"),
" min/km"
),"")</f>
        <v/>
      </c>
      <c r="AD988" s="1910"/>
      <c r="AE988" s="1911" t="str">
        <f ca="1">IF(AF983&gt;0, INDEX(final_duration_WU,((WEEKDAY(AD$3,2)*2-1)+IF(AD983="Morning",0,1)),AC983)  + INDEX(final_duration_WD,((WEEKDAY(AD$3,2)*2-1)+IF(AD983="Morning",0,1)),AC983), "")</f>
        <v/>
      </c>
      <c r="AF988" s="1912"/>
      <c r="AH988" s="1909" t="str">
        <f ca="1">IF(AK983&gt;0,CONCATENATE("Equivalent Pace: ",
TEXT(INDEX(sessions_pace_primary,INDEX(plan_session_allocation,(WEEKDAY(AI$3,2)*2-1)+IF(AI983="Morning",0,1),AH983)),"m:ss"),
" min/km"
),"")</f>
        <v/>
      </c>
      <c r="AI988" s="1910"/>
      <c r="AJ988" s="1911" t="str">
        <f ca="1">IF(AK983&gt;0, INDEX(final_duration_WU,((WEEKDAY(AI$3,2)*2-1)+IF(AI983="Morning",0,1)),AH983)  + INDEX(final_duration_WD,((WEEKDAY(AI$3,2)*2-1)+IF(AI983="Morning",0,1)),AH983), "")</f>
        <v/>
      </c>
      <c r="AK988" s="1912"/>
    </row>
    <row r="989" spans="2:38" s="176" customFormat="1" ht="15" customHeight="1" x14ac:dyDescent="0.45">
      <c r="B989" s="1942"/>
      <c r="C989" s="1945"/>
      <c r="D989" s="1913" t="str">
        <f ca="1">IF(G983&gt;0,CONCATENATE(IFERROR(CONCATENATE(IF(INDEX(display_intervals_breakdown,((WEEKDAY(E$3,2)*2-1)+IF(E983="Morning",0,1)),D983)="","",CONCATENATE("Intervals/Reps Breakdown: 
",INDEX(display_intervals_breakdown,((WEEKDAY(E$3,2)*2-1)+IF(E983="Morning",0,1)),D983),"
")),"Session Description: 
",CONCATENATE(IF(INDEX(final_duration_secondary,((WEEKDAY(E$3,2)*2-1)+IF(E983="Morning",0,1)),D983)=0,"","1. "),
INDEX(sessions_description_primary,,INDEX(plan_session_allocation,((WEEKDAY(E$3,2)*2-1)+IF(E983="Morning",0,1)),D983)),IF(INDEX(final_duration_secondary,((WEEKDAY(E$3,2)*2-1)+IF(E983="Morning",0,1)),D983)=0,"","
2. "),
IF(INDEX(final_duration_secondary,((WEEKDAY(E$3,2)*2-1)+IF(E983="Morning",0,1)),D983)=0,"",INDEX(sessions_description_secondary,,INDEX(plan_session_allocation,((WEEKDAY(E$3,2)*2-1)+IF(E983="Morning",0,1)),D983))),IF(INDEX(final_duration_tertiary,((WEEKDAY(E$3,2)*2-1)+IF(E983="Morning",0,1)),D983)=0,"","
3. "),
IF(INDEX(final_duration_tertiary,((WEEKDAY(E$3,2)*2-1)+IF(E983="Morning",0,1)),D983)="","",INDEX(sessions_description_tertiary,,INDEX(plan_session_allocation,((WEEKDAY(E$3,2)*2-1)+IF(E983="Morning",0,1)),D983))),
IF(INDEX(display_nutrition_description,((WEEKDAY(E$3,2)*2-1)+IF(E983="Morning",0,1)),D983)="","",
CONCATENATE("
Meal Plan: ", INDEX(sessions_nutrition,,INDEX(plan_session_allocation,((WEEKDAY(E$3,2)*2-1)+IF(E983="Morning",0,1)),D983)), "
", INDEX(display_nutrition_description,((WEEKDAY(E$3,2)*2-1)+IF(E983="Morning",0,1)),D983)))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E989" s="1914"/>
      <c r="F989" s="1914"/>
      <c r="G989" s="1915"/>
      <c r="H989" s="177"/>
      <c r="I989" s="1913" t="str">
        <f ca="1">IF(L983&gt;0,CONCATENATE(IFERROR(CONCATENATE(IF(INDEX(display_intervals_breakdown,((WEEKDAY(J$3,2)*2-1)+IF(J983="Morning",0,1)),I983)="","",CONCATENATE("Intervals/Reps Breakdown: 
",INDEX(display_intervals_breakdown,((WEEKDAY(J$3,2)*2-1)+IF(J983="Morning",0,1)),I983),"
")),"Session Description: 
",CONCATENATE(IF(INDEX(final_duration_secondary,((WEEKDAY(J$3,2)*2-1)+IF(J983="Morning",0,1)),I983)=0,"","1. "),
INDEX(sessions_description_primary,,INDEX(plan_session_allocation,((WEEKDAY(J$3,2)*2-1)+IF(J983="Morning",0,1)),I983)),IF(INDEX(final_duration_secondary,((WEEKDAY(J$3,2)*2-1)+IF(J983="Morning",0,1)),I983)=0,"","
2. "),
IF(INDEX(final_duration_secondary,((WEEKDAY(J$3,2)*2-1)+IF(J983="Morning",0,1)),I983)=0,"",INDEX(sessions_description_secondary,,INDEX(plan_session_allocation,((WEEKDAY(J$3,2)*2-1)+IF(J983="Morning",0,1)),I983))),IF(INDEX(final_duration_tertiary,((WEEKDAY(J$3,2)*2-1)+IF(J983="Morning",0,1)),I983)=0,"","
3. "),
IF(INDEX(final_duration_tertiary,((WEEKDAY(J$3,2)*2-1)+IF(J983="Morning",0,1)),I983)="","",INDEX(sessions_description_tertiary,,INDEX(plan_session_allocation,((WEEKDAY(J$3,2)*2-1)+IF(J983="Morning",0,1)),I983))),
IF(INDEX(display_nutrition_description,((WEEKDAY(J$3,2)*2-1)+IF(J983="Morning",0,1)),I983)="","",
CONCATENATE("
Meal Plan: ", INDEX(sessions_nutrition,,INDEX(plan_session_allocation,((WEEKDAY(J$3,2)*2-1)+IF(J983="Morning",0,1)),I983)), "
", INDEX(display_nutrition_description,((WEEKDAY(J$3,2)*2-1)+IF(J983="Morning",0,1)),I983)))
)),"")),"")</f>
        <v>Session Description: 
Accelerate to a fast pace which you should be able to hold for 50 minutes in a race situation. This will take concentration, but it's important to keep the intensity even, so do not start too hard. Warm up and warm down for 10 minutes each.</v>
      </c>
      <c r="J989" s="1914"/>
      <c r="K989" s="1914"/>
      <c r="L989" s="1915"/>
      <c r="M989" s="177"/>
      <c r="N989" s="1913" t="str">
        <f ca="1">IF(Q983&gt;0,CONCATENATE(IFERROR(CONCATENATE(IF(INDEX(display_intervals_breakdown,((WEEKDAY(O$3,2)*2-1)+IF(O983="Morning",0,1)),N983)="","",CONCATENATE("Intervals/Reps Breakdown: 
",INDEX(display_intervals_breakdown,((WEEKDAY(O$3,2)*2-1)+IF(O983="Morning",0,1)),N983),"
")),"Session Description: 
",CONCATENATE(IF(INDEX(final_duration_secondary,((WEEKDAY(O$3,2)*2-1)+IF(O983="Morning",0,1)),N983)=0,"","1. "),
INDEX(sessions_description_primary,,INDEX(plan_session_allocation,((WEEKDAY(O$3,2)*2-1)+IF(O983="Morning",0,1)),N983)),IF(INDEX(final_duration_secondary,((WEEKDAY(O$3,2)*2-1)+IF(O983="Morning",0,1)),N983)=0,"","
2. "),
IF(INDEX(final_duration_secondary,((WEEKDAY(O$3,2)*2-1)+IF(O983="Morning",0,1)),N983)=0,"",INDEX(sessions_description_secondary,,INDEX(plan_session_allocation,((WEEKDAY(O$3,2)*2-1)+IF(O983="Morning",0,1)),N983))),IF(INDEX(final_duration_tertiary,((WEEKDAY(O$3,2)*2-1)+IF(O983="Morning",0,1)),N983)=0,"","
3. "),
IF(INDEX(final_duration_tertiary,((WEEKDAY(O$3,2)*2-1)+IF(O983="Morning",0,1)),N983)="","",INDEX(sessions_description_tertiary,,INDEX(plan_session_allocation,((WEEKDAY(O$3,2)*2-1)+IF(O983="Morning",0,1)),N983))),
IF(INDEX(display_nutrition_description,((WEEKDAY(O$3,2)*2-1)+IF(O983="Morning",0,1)),N983)="","",
CONCATENATE("
Meal Plan: ", INDEX(sessions_nutrition,,INDEX(plan_session_allocation,((WEEKDAY(O$3,2)*2-1)+IF(O983="Morning",0,1)),N983)), "
", INDEX(display_nutrition_description,((WEEKDAY(O$3,2)*2-1)+IF(O983="Morning",0,1)),N983)))
)),"")),"")</f>
        <v>Session Description: 
Stay at a comfortable and controlled intensity where you should be able to have a conversation without large pauses. Keep an even intensity and accept that your pace may change as the terrain changes.</v>
      </c>
      <c r="O989" s="1914"/>
      <c r="P989" s="1914"/>
      <c r="Q989" s="1915"/>
      <c r="R989" s="177"/>
      <c r="S989" s="1913" t="str">
        <f ca="1">IF(V983&gt;0,CONCATENATE(IFERROR(CONCATENATE(IF(INDEX(display_intervals_breakdown,((WEEKDAY(T$3,2)*2-1)+IF(T983="Morning",0,1)),S983)="","",CONCATENATE("Intervals/Reps Breakdown: 
",INDEX(display_intervals_breakdown,((WEEKDAY(T$3,2)*2-1)+IF(T983="Morning",0,1)),S983),"
")),"Session Description: 
",CONCATENATE(IF(INDEX(final_duration_secondary,((WEEKDAY(T$3,2)*2-1)+IF(T983="Morning",0,1)),S983)=0,"","1. "),
INDEX(sessions_description_primary,,INDEX(plan_session_allocation,((WEEKDAY(T$3,2)*2-1)+IF(T983="Morning",0,1)),S983)),IF(INDEX(final_duration_secondary,((WEEKDAY(T$3,2)*2-1)+IF(T983="Morning",0,1)),S983)=0,"","
2. "),
IF(INDEX(final_duration_secondary,((WEEKDAY(T$3,2)*2-1)+IF(T983="Morning",0,1)),S983)=0,"",INDEX(sessions_description_secondary,,INDEX(plan_session_allocation,((WEEKDAY(T$3,2)*2-1)+IF(T983="Morning",0,1)),S983))),IF(INDEX(final_duration_tertiary,((WEEKDAY(T$3,2)*2-1)+IF(T983="Morning",0,1)),S983)=0,"","
3. "),
IF(INDEX(final_duration_tertiary,((WEEKDAY(T$3,2)*2-1)+IF(T983="Morning",0,1)),S983)="","",INDEX(sessions_description_tertiary,,INDEX(plan_session_allocation,((WEEKDAY(T$3,2)*2-1)+IF(T983="Morning",0,1)),S983))),
IF(INDEX(display_nutrition_description,((WEEKDAY(T$3,2)*2-1)+IF(T983="Morning",0,1)),S983)="","",
CONCATENATE("
Meal Plan: ", INDEX(sessions_nutrition,,INDEX(plan_session_allocation,((WEEKDAY(T$3,2)*2-1)+IF(T983="Morning",0,1)),S983)), "
", INDEX(display_nutrition_description,((WEEKDAY(T$3,2)*2-1)+IF(T983="Morning",0,1)),S983)))
)),"")),"")</f>
        <v>Intervals/Reps Breakdown: 
Efforts of: 1km x5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T989" s="1914"/>
      <c r="U989" s="1914"/>
      <c r="V989" s="1915"/>
      <c r="W989" s="177"/>
      <c r="X989" s="1913" t="str">
        <f ca="1">IF(AA983&gt;0,CONCATENATE(IFERROR(CONCATENATE(IF(INDEX(display_intervals_breakdown,((WEEKDAY(Y$3,2)*2-1)+IF(Y983="Morning",0,1)),X983)="","",CONCATENATE("Intervals/Reps Breakdown: 
",INDEX(display_intervals_breakdown,((WEEKDAY(Y$3,2)*2-1)+IF(Y983="Morning",0,1)),X983),"
")),"Session Description: 
",CONCATENATE(IF(INDEX(final_duration_secondary,((WEEKDAY(Y$3,2)*2-1)+IF(Y983="Morning",0,1)),X983)=0,"","1. "),
INDEX(sessions_description_primary,,INDEX(plan_session_allocation,((WEEKDAY(Y$3,2)*2-1)+IF(Y983="Morning",0,1)),X983)),IF(INDEX(final_duration_secondary,((WEEKDAY(Y$3,2)*2-1)+IF(Y983="Morning",0,1)),X983)=0,"","
2. "),
IF(INDEX(final_duration_secondary,((WEEKDAY(Y$3,2)*2-1)+IF(Y983="Morning",0,1)),X983)=0,"",INDEX(sessions_description_secondary,,INDEX(plan_session_allocation,((WEEKDAY(Y$3,2)*2-1)+IF(Y983="Morning",0,1)),X983))),IF(INDEX(final_duration_tertiary,((WEEKDAY(Y$3,2)*2-1)+IF(Y983="Morning",0,1)),X983)=0,"","
3. "),
IF(INDEX(final_duration_tertiary,((WEEKDAY(Y$3,2)*2-1)+IF(Y983="Morning",0,1)),X983)="","",INDEX(sessions_description_tertiary,,INDEX(plan_session_allocation,((WEEKDAY(Y$3,2)*2-1)+IF(Y983="Morning",0,1)),X983))),
IF(INDEX(display_nutrition_description,((WEEKDAY(Y$3,2)*2-1)+IF(Y983="Morning",0,1)),X983)="","",
CONCATENATE("
Meal Plan: ", INDEX(sessions_nutrition,,INDEX(plan_session_allocation,((WEEKDAY(Y$3,2)*2-1)+IF(Y983="Morning",0,1)),X983)), "
", INDEX(display_nutrition_description,((WEEKDAY(Y$3,2)*2-1)+IF(Y983="Morning",0,1)),X983)))
)),"")),"")</f>
        <v>Session Description: 
1. Perform a variety of specialised exercises to engage specific muscles. These sessions must be learned with a coach first but are relatively easy to continue with on your own. Demonstrate control and focus on posture and muscle activation.
2. Use a hands, rollers, or balls on all major muscle groups with extra time on more sensitive or problematic areas or as guided by a coach or physio. Finish with 20 minutes of lower-limb stretching.</v>
      </c>
      <c r="Y989" s="1914"/>
      <c r="Z989" s="1914"/>
      <c r="AA989" s="1915"/>
      <c r="AB989" s="177"/>
      <c r="AC989" s="1913" t="str">
        <f ca="1">IF(AF983&gt;0,CONCATENATE(IFERROR(CONCATENATE(IF(INDEX(display_intervals_breakdown,((WEEKDAY(AD$3,2)*2-1)+IF(AD983="Morning",0,1)),AC983)="","",CONCATENATE("Intervals/Reps Breakdown: 
",INDEX(display_intervals_breakdown,((WEEKDAY(AD$3,2)*2-1)+IF(AD983="Morning",0,1)),AC983),"
")),"Session Description: 
",CONCATENATE(IF(INDEX(final_duration_secondary,((WEEKDAY(AD$3,2)*2-1)+IF(AD983="Morning",0,1)),AC983)=0,"","1. "),
INDEX(sessions_description_primary,,INDEX(plan_session_allocation,((WEEKDAY(AD$3,2)*2-1)+IF(AD983="Morning",0,1)),AC983)),IF(INDEX(final_duration_secondary,((WEEKDAY(AD$3,2)*2-1)+IF(AD983="Morning",0,1)),AC983)=0,"","
2. "),
IF(INDEX(final_duration_secondary,((WEEKDAY(AD$3,2)*2-1)+IF(AD983="Morning",0,1)),AC983)=0,"",INDEX(sessions_description_secondary,,INDEX(plan_session_allocation,((WEEKDAY(AD$3,2)*2-1)+IF(AD983="Morning",0,1)),AC983))),IF(INDEX(final_duration_tertiary,((WEEKDAY(AD$3,2)*2-1)+IF(AD983="Morning",0,1)),AC983)=0,"","
3. "),
IF(INDEX(final_duration_tertiary,((WEEKDAY(AD$3,2)*2-1)+IF(AD983="Morning",0,1)),AC983)="","",INDEX(sessions_description_tertiary,,INDEX(plan_session_allocation,((WEEKDAY(AD$3,2)*2-1)+IF(AD983="Morning",0,1)),AC983))),
IF(INDEX(display_nutrition_description,((WEEKDAY(AD$3,2)*2-1)+IF(AD983="Morning",0,1)),AC983)="","",
CONCATENATE("
Meal Plan: ", INDEX(sessions_nutrition,,INDEX(plan_session_allocation,((WEEKDAY(AD$3,2)*2-1)+IF(AD983="Morning",0,1)),AC983)), "
", INDEX(display_nutrition_description,((WEEKDAY(AD$3,2)*2-1)+IF(AD983="Morning",0,1)),AC983)))
)),"")),"")</f>
        <v/>
      </c>
      <c r="AD989" s="1914"/>
      <c r="AE989" s="1914"/>
      <c r="AF989" s="1915"/>
      <c r="AG989" s="177"/>
      <c r="AH989" s="1913" t="str">
        <f ca="1">IF(AK983&gt;0,CONCATENATE(IFERROR(CONCATENATE(IF(INDEX(display_intervals_breakdown,((WEEKDAY(AI$3,2)*2-1)+IF(AI983="Morning",0,1)),AH983)="","",CONCATENATE("Intervals/Reps Breakdown: 
",INDEX(display_intervals_breakdown,((WEEKDAY(AI$3,2)*2-1)+IF(AI983="Morning",0,1)),AH983),"
")),"Session Description: 
",CONCATENATE(IF(INDEX(final_duration_secondary,((WEEKDAY(AI$3,2)*2-1)+IF(AI983="Morning",0,1)),AH983)=0,"","1. "),
INDEX(sessions_description_primary,,INDEX(plan_session_allocation,((WEEKDAY(AI$3,2)*2-1)+IF(AI983="Morning",0,1)),AH983)),IF(INDEX(final_duration_secondary,((WEEKDAY(AI$3,2)*2-1)+IF(AI983="Morning",0,1)),AH983)=0,"","
2. "),
IF(INDEX(final_duration_secondary,((WEEKDAY(AI$3,2)*2-1)+IF(AI983="Morning",0,1)),AH983)=0,"",INDEX(sessions_description_secondary,,INDEX(plan_session_allocation,((WEEKDAY(AI$3,2)*2-1)+IF(AI983="Morning",0,1)),AH983))),IF(INDEX(final_duration_tertiary,((WEEKDAY(AI$3,2)*2-1)+IF(AI983="Morning",0,1)),AH983)=0,"","
3. "),
IF(INDEX(final_duration_tertiary,((WEEKDAY(AI$3,2)*2-1)+IF(AI983="Morning",0,1)),AH983)="","",INDEX(sessions_description_tertiary,,INDEX(plan_session_allocation,((WEEKDAY(AI$3,2)*2-1)+IF(AI983="Morning",0,1)),AH983))),
IF(INDEX(display_nutrition_description,((WEEKDAY(AI$3,2)*2-1)+IF(AI983="Morning",0,1)),AH983)="","",
CONCATENATE("
Meal Plan: ", INDEX(sessions_nutrition,,INDEX(plan_session_allocation,((WEEKDAY(AI$3,2)*2-1)+IF(AI983="Morning",0,1)),AH983)), "
", INDEX(display_nutrition_description,((WEEKDAY(AI$3,2)*2-1)+IF(AI983="Morning",0,1)),AH983)))
)),"")),"")</f>
        <v/>
      </c>
      <c r="AI989" s="1914"/>
      <c r="AJ989" s="1914"/>
      <c r="AK989" s="1915"/>
      <c r="AL989" s="177"/>
    </row>
    <row r="990" spans="2:38" s="176" customFormat="1" ht="15" customHeight="1" x14ac:dyDescent="0.45">
      <c r="B990" s="1942"/>
      <c r="C990" s="1945"/>
      <c r="D990" s="1916"/>
      <c r="E990" s="1917"/>
      <c r="F990" s="1917"/>
      <c r="G990" s="1918"/>
      <c r="H990" s="177"/>
      <c r="I990" s="1916"/>
      <c r="J990" s="1917"/>
      <c r="K990" s="1917"/>
      <c r="L990" s="1918"/>
      <c r="M990" s="177"/>
      <c r="N990" s="1916"/>
      <c r="O990" s="1917"/>
      <c r="P990" s="1917"/>
      <c r="Q990" s="1918"/>
      <c r="R990" s="177"/>
      <c r="S990" s="1916"/>
      <c r="T990" s="1917"/>
      <c r="U990" s="1917"/>
      <c r="V990" s="1918"/>
      <c r="W990" s="177"/>
      <c r="X990" s="1916"/>
      <c r="Y990" s="1917"/>
      <c r="Z990" s="1917"/>
      <c r="AA990" s="1918"/>
      <c r="AB990" s="177"/>
      <c r="AC990" s="1916"/>
      <c r="AD990" s="1917"/>
      <c r="AE990" s="1917"/>
      <c r="AF990" s="1918"/>
      <c r="AG990" s="177"/>
      <c r="AH990" s="1916"/>
      <c r="AI990" s="1917"/>
      <c r="AJ990" s="1917"/>
      <c r="AK990" s="1918"/>
      <c r="AL990" s="177"/>
    </row>
    <row r="991" spans="2:38" s="176" customFormat="1" ht="15" customHeight="1" x14ac:dyDescent="0.45">
      <c r="B991" s="1942"/>
      <c r="C991" s="1945"/>
      <c r="D991" s="1916"/>
      <c r="E991" s="1917"/>
      <c r="F991" s="1917"/>
      <c r="G991" s="1918"/>
      <c r="H991" s="177"/>
      <c r="I991" s="1916"/>
      <c r="J991" s="1917"/>
      <c r="K991" s="1917"/>
      <c r="L991" s="1918"/>
      <c r="M991" s="177"/>
      <c r="N991" s="1916"/>
      <c r="O991" s="1917"/>
      <c r="P991" s="1917"/>
      <c r="Q991" s="1918"/>
      <c r="R991" s="177"/>
      <c r="S991" s="1916"/>
      <c r="T991" s="1917"/>
      <c r="U991" s="1917"/>
      <c r="V991" s="1918"/>
      <c r="W991" s="177"/>
      <c r="X991" s="1916"/>
      <c r="Y991" s="1917"/>
      <c r="Z991" s="1917"/>
      <c r="AA991" s="1918"/>
      <c r="AB991" s="177"/>
      <c r="AC991" s="1916"/>
      <c r="AD991" s="1917"/>
      <c r="AE991" s="1917"/>
      <c r="AF991" s="1918"/>
      <c r="AG991" s="177"/>
      <c r="AH991" s="1916"/>
      <c r="AI991" s="1917"/>
      <c r="AJ991" s="1917"/>
      <c r="AK991" s="1918"/>
      <c r="AL991" s="177"/>
    </row>
    <row r="992" spans="2:38" s="176" customFormat="1" x14ac:dyDescent="0.45">
      <c r="B992" s="1942"/>
      <c r="C992" s="1945"/>
      <c r="D992" s="1916"/>
      <c r="E992" s="1917"/>
      <c r="F992" s="1917"/>
      <c r="G992" s="1918"/>
      <c r="H992" s="177"/>
      <c r="I992" s="1916"/>
      <c r="J992" s="1917"/>
      <c r="K992" s="1917"/>
      <c r="L992" s="1918"/>
      <c r="M992" s="177"/>
      <c r="N992" s="1916"/>
      <c r="O992" s="1917"/>
      <c r="P992" s="1917"/>
      <c r="Q992" s="1918"/>
      <c r="R992" s="177"/>
      <c r="S992" s="1916"/>
      <c r="T992" s="1917"/>
      <c r="U992" s="1917"/>
      <c r="V992" s="1918"/>
      <c r="W992" s="177"/>
      <c r="X992" s="1916"/>
      <c r="Y992" s="1917"/>
      <c r="Z992" s="1917"/>
      <c r="AA992" s="1918"/>
      <c r="AB992" s="177"/>
      <c r="AC992" s="1916"/>
      <c r="AD992" s="1917"/>
      <c r="AE992" s="1917"/>
      <c r="AF992" s="1918"/>
      <c r="AG992" s="177"/>
      <c r="AH992" s="1916"/>
      <c r="AI992" s="1917"/>
      <c r="AJ992" s="1917"/>
      <c r="AK992" s="1918"/>
      <c r="AL992" s="177"/>
    </row>
    <row r="993" spans="2:38" s="176" customFormat="1" x14ac:dyDescent="0.45">
      <c r="B993" s="1942"/>
      <c r="C993" s="1945"/>
      <c r="D993" s="1916"/>
      <c r="E993" s="1917"/>
      <c r="F993" s="1917"/>
      <c r="G993" s="1918"/>
      <c r="H993" s="177"/>
      <c r="I993" s="1916"/>
      <c r="J993" s="1917"/>
      <c r="K993" s="1917"/>
      <c r="L993" s="1918"/>
      <c r="M993" s="177"/>
      <c r="N993" s="1916"/>
      <c r="O993" s="1917"/>
      <c r="P993" s="1917"/>
      <c r="Q993" s="1918"/>
      <c r="R993" s="177"/>
      <c r="S993" s="1916"/>
      <c r="T993" s="1917"/>
      <c r="U993" s="1917"/>
      <c r="V993" s="1918"/>
      <c r="W993" s="177"/>
      <c r="X993" s="1916"/>
      <c r="Y993" s="1917"/>
      <c r="Z993" s="1917"/>
      <c r="AA993" s="1918"/>
      <c r="AB993" s="177"/>
      <c r="AC993" s="1916"/>
      <c r="AD993" s="1917"/>
      <c r="AE993" s="1917"/>
      <c r="AF993" s="1918"/>
      <c r="AG993" s="177"/>
      <c r="AH993" s="1916"/>
      <c r="AI993" s="1917"/>
      <c r="AJ993" s="1917"/>
      <c r="AK993" s="1918"/>
      <c r="AL993" s="177"/>
    </row>
    <row r="994" spans="2:38" s="176" customFormat="1" x14ac:dyDescent="0.45">
      <c r="B994" s="1942"/>
      <c r="C994" s="1945"/>
      <c r="D994" s="1916"/>
      <c r="E994" s="1917"/>
      <c r="F994" s="1917"/>
      <c r="G994" s="1918"/>
      <c r="H994" s="177"/>
      <c r="I994" s="1916"/>
      <c r="J994" s="1917"/>
      <c r="K994" s="1917"/>
      <c r="L994" s="1918"/>
      <c r="M994" s="177"/>
      <c r="N994" s="1916"/>
      <c r="O994" s="1917"/>
      <c r="P994" s="1917"/>
      <c r="Q994" s="1918"/>
      <c r="R994" s="177"/>
      <c r="S994" s="1916"/>
      <c r="T994" s="1917"/>
      <c r="U994" s="1917"/>
      <c r="V994" s="1918"/>
      <c r="W994" s="177"/>
      <c r="X994" s="1916"/>
      <c r="Y994" s="1917"/>
      <c r="Z994" s="1917"/>
      <c r="AA994" s="1918"/>
      <c r="AB994" s="177"/>
      <c r="AC994" s="1916"/>
      <c r="AD994" s="1917"/>
      <c r="AE994" s="1917"/>
      <c r="AF994" s="1918"/>
      <c r="AG994" s="177"/>
      <c r="AH994" s="1916"/>
      <c r="AI994" s="1917"/>
      <c r="AJ994" s="1917"/>
      <c r="AK994" s="1918"/>
      <c r="AL994" s="177"/>
    </row>
    <row r="995" spans="2:38" s="176" customFormat="1" ht="15" customHeight="1" x14ac:dyDescent="0.45">
      <c r="B995" s="1942"/>
      <c r="C995" s="1945"/>
      <c r="D995" s="1916"/>
      <c r="E995" s="1917"/>
      <c r="F995" s="1917"/>
      <c r="G995" s="1918"/>
      <c r="H995" s="177"/>
      <c r="I995" s="1916"/>
      <c r="J995" s="1917"/>
      <c r="K995" s="1917"/>
      <c r="L995" s="1918"/>
      <c r="M995" s="177"/>
      <c r="N995" s="1916"/>
      <c r="O995" s="1917"/>
      <c r="P995" s="1917"/>
      <c r="Q995" s="1918"/>
      <c r="R995" s="177"/>
      <c r="S995" s="1916"/>
      <c r="T995" s="1917"/>
      <c r="U995" s="1917"/>
      <c r="V995" s="1918"/>
      <c r="W995" s="177"/>
      <c r="X995" s="1916"/>
      <c r="Y995" s="1917"/>
      <c r="Z995" s="1917"/>
      <c r="AA995" s="1918"/>
      <c r="AB995" s="177"/>
      <c r="AC995" s="1916"/>
      <c r="AD995" s="1917"/>
      <c r="AE995" s="1917"/>
      <c r="AF995" s="1918"/>
      <c r="AG995" s="177"/>
      <c r="AH995" s="1916"/>
      <c r="AI995" s="1917"/>
      <c r="AJ995" s="1917"/>
      <c r="AK995" s="1918"/>
      <c r="AL995" s="177"/>
    </row>
    <row r="996" spans="2:38" s="176" customFormat="1" ht="15" customHeight="1" x14ac:dyDescent="0.45">
      <c r="B996" s="1942"/>
      <c r="C996" s="1945"/>
      <c r="D996" s="1916"/>
      <c r="E996" s="1917"/>
      <c r="F996" s="1917"/>
      <c r="G996" s="1918"/>
      <c r="H996" s="177"/>
      <c r="I996" s="1916"/>
      <c r="J996" s="1917"/>
      <c r="K996" s="1917"/>
      <c r="L996" s="1918"/>
      <c r="M996" s="177"/>
      <c r="N996" s="1916"/>
      <c r="O996" s="1917"/>
      <c r="P996" s="1917"/>
      <c r="Q996" s="1918"/>
      <c r="R996" s="177"/>
      <c r="S996" s="1916"/>
      <c r="T996" s="1917"/>
      <c r="U996" s="1917"/>
      <c r="V996" s="1918"/>
      <c r="W996" s="177"/>
      <c r="X996" s="1916"/>
      <c r="Y996" s="1917"/>
      <c r="Z996" s="1917"/>
      <c r="AA996" s="1918"/>
      <c r="AB996" s="177"/>
      <c r="AC996" s="1916"/>
      <c r="AD996" s="1917"/>
      <c r="AE996" s="1917"/>
      <c r="AF996" s="1918"/>
      <c r="AG996" s="177"/>
      <c r="AH996" s="1916"/>
      <c r="AI996" s="1917"/>
      <c r="AJ996" s="1917"/>
      <c r="AK996" s="1918"/>
      <c r="AL996" s="177"/>
    </row>
    <row r="997" spans="2:38" s="176" customFormat="1" x14ac:dyDescent="0.45">
      <c r="B997" s="1942"/>
      <c r="C997" s="1945"/>
      <c r="D997" s="1916"/>
      <c r="E997" s="1917"/>
      <c r="F997" s="1917"/>
      <c r="G997" s="1918"/>
      <c r="H997" s="177"/>
      <c r="I997" s="1916"/>
      <c r="J997" s="1917"/>
      <c r="K997" s="1917"/>
      <c r="L997" s="1918"/>
      <c r="M997" s="177"/>
      <c r="N997" s="1916"/>
      <c r="O997" s="1917"/>
      <c r="P997" s="1917"/>
      <c r="Q997" s="1918"/>
      <c r="R997" s="177"/>
      <c r="S997" s="1916"/>
      <c r="T997" s="1917"/>
      <c r="U997" s="1917"/>
      <c r="V997" s="1918"/>
      <c r="W997" s="177"/>
      <c r="X997" s="1916"/>
      <c r="Y997" s="1917"/>
      <c r="Z997" s="1917"/>
      <c r="AA997" s="1918"/>
      <c r="AB997" s="177"/>
      <c r="AC997" s="1916"/>
      <c r="AD997" s="1917"/>
      <c r="AE997" s="1917"/>
      <c r="AF997" s="1918"/>
      <c r="AG997" s="177"/>
      <c r="AH997" s="1916"/>
      <c r="AI997" s="1917"/>
      <c r="AJ997" s="1917"/>
      <c r="AK997" s="1918"/>
      <c r="AL997" s="177"/>
    </row>
    <row r="998" spans="2:38" s="176" customFormat="1" x14ac:dyDescent="0.45">
      <c r="B998" s="1942"/>
      <c r="C998" s="1945"/>
      <c r="D998" s="1916"/>
      <c r="E998" s="1917"/>
      <c r="F998" s="1917"/>
      <c r="G998" s="1918"/>
      <c r="H998" s="177"/>
      <c r="I998" s="1916"/>
      <c r="J998" s="1917"/>
      <c r="K998" s="1917"/>
      <c r="L998" s="1918"/>
      <c r="M998" s="177"/>
      <c r="N998" s="1916"/>
      <c r="O998" s="1917"/>
      <c r="P998" s="1917"/>
      <c r="Q998" s="1918"/>
      <c r="R998" s="177"/>
      <c r="S998" s="1916"/>
      <c r="T998" s="1917"/>
      <c r="U998" s="1917"/>
      <c r="V998" s="1918"/>
      <c r="W998" s="177"/>
      <c r="X998" s="1916"/>
      <c r="Y998" s="1917"/>
      <c r="Z998" s="1917"/>
      <c r="AA998" s="1918"/>
      <c r="AB998" s="177"/>
      <c r="AC998" s="1916"/>
      <c r="AD998" s="1917"/>
      <c r="AE998" s="1917"/>
      <c r="AF998" s="1918"/>
      <c r="AG998" s="177"/>
      <c r="AH998" s="1916"/>
      <c r="AI998" s="1917"/>
      <c r="AJ998" s="1917"/>
      <c r="AK998" s="1918"/>
      <c r="AL998" s="177"/>
    </row>
    <row r="999" spans="2:38" s="176" customFormat="1" x14ac:dyDescent="0.45">
      <c r="B999" s="1942"/>
      <c r="C999" s="1945"/>
      <c r="D999" s="1916"/>
      <c r="E999" s="1917"/>
      <c r="F999" s="1917"/>
      <c r="G999" s="1918"/>
      <c r="H999" s="177"/>
      <c r="I999" s="1916"/>
      <c r="J999" s="1917"/>
      <c r="K999" s="1917"/>
      <c r="L999" s="1918"/>
      <c r="M999" s="177"/>
      <c r="N999" s="1916"/>
      <c r="O999" s="1917"/>
      <c r="P999" s="1917"/>
      <c r="Q999" s="1918"/>
      <c r="R999" s="177"/>
      <c r="S999" s="1916"/>
      <c r="T999" s="1917"/>
      <c r="U999" s="1917"/>
      <c r="V999" s="1918"/>
      <c r="W999" s="177"/>
      <c r="X999" s="1916"/>
      <c r="Y999" s="1917"/>
      <c r="Z999" s="1917"/>
      <c r="AA999" s="1918"/>
      <c r="AB999" s="177"/>
      <c r="AC999" s="1916"/>
      <c r="AD999" s="1917"/>
      <c r="AE999" s="1917"/>
      <c r="AF999" s="1918"/>
      <c r="AG999" s="177"/>
      <c r="AH999" s="1916"/>
      <c r="AI999" s="1917"/>
      <c r="AJ999" s="1917"/>
      <c r="AK999" s="1918"/>
      <c r="AL999" s="177"/>
    </row>
    <row r="1000" spans="2:38" s="176" customFormat="1" x14ac:dyDescent="0.45">
      <c r="B1000" s="1942"/>
      <c r="C1000" s="1945"/>
      <c r="D1000" s="1916"/>
      <c r="E1000" s="1917"/>
      <c r="F1000" s="1917"/>
      <c r="G1000" s="1918"/>
      <c r="H1000" s="177"/>
      <c r="I1000" s="1916"/>
      <c r="J1000" s="1917"/>
      <c r="K1000" s="1917"/>
      <c r="L1000" s="1918"/>
      <c r="M1000" s="177"/>
      <c r="N1000" s="1916"/>
      <c r="O1000" s="1917"/>
      <c r="P1000" s="1917"/>
      <c r="Q1000" s="1918"/>
      <c r="R1000" s="177"/>
      <c r="S1000" s="1916"/>
      <c r="T1000" s="1917"/>
      <c r="U1000" s="1917"/>
      <c r="V1000" s="1918"/>
      <c r="W1000" s="177"/>
      <c r="X1000" s="1916"/>
      <c r="Y1000" s="1917"/>
      <c r="Z1000" s="1917"/>
      <c r="AA1000" s="1918"/>
      <c r="AB1000" s="177"/>
      <c r="AC1000" s="1916"/>
      <c r="AD1000" s="1917"/>
      <c r="AE1000" s="1917"/>
      <c r="AF1000" s="1918"/>
      <c r="AG1000" s="177"/>
      <c r="AH1000" s="1916"/>
      <c r="AI1000" s="1917"/>
      <c r="AJ1000" s="1917"/>
      <c r="AK1000" s="1918"/>
      <c r="AL1000" s="177"/>
    </row>
    <row r="1001" spans="2:38" s="176" customFormat="1" x14ac:dyDescent="0.45">
      <c r="B1001" s="1942"/>
      <c r="C1001" s="1945"/>
      <c r="D1001" s="1916"/>
      <c r="E1001" s="1917"/>
      <c r="F1001" s="1917"/>
      <c r="G1001" s="1918"/>
      <c r="H1001" s="177"/>
      <c r="I1001" s="1916"/>
      <c r="J1001" s="1917"/>
      <c r="K1001" s="1917"/>
      <c r="L1001" s="1918"/>
      <c r="M1001" s="177"/>
      <c r="N1001" s="1916"/>
      <c r="O1001" s="1917"/>
      <c r="P1001" s="1917"/>
      <c r="Q1001" s="1918"/>
      <c r="R1001" s="177"/>
      <c r="S1001" s="1916"/>
      <c r="T1001" s="1917"/>
      <c r="U1001" s="1917"/>
      <c r="V1001" s="1918"/>
      <c r="W1001" s="177"/>
      <c r="X1001" s="1916"/>
      <c r="Y1001" s="1917"/>
      <c r="Z1001" s="1917"/>
      <c r="AA1001" s="1918"/>
      <c r="AB1001" s="177"/>
      <c r="AC1001" s="1916"/>
      <c r="AD1001" s="1917"/>
      <c r="AE1001" s="1917"/>
      <c r="AF1001" s="1918"/>
      <c r="AG1001" s="177"/>
      <c r="AH1001" s="1916"/>
      <c r="AI1001" s="1917"/>
      <c r="AJ1001" s="1917"/>
      <c r="AK1001" s="1918"/>
      <c r="AL1001" s="177"/>
    </row>
    <row r="1002" spans="2:38" s="176" customFormat="1" ht="15" customHeight="1" x14ac:dyDescent="0.45">
      <c r="B1002" s="1942"/>
      <c r="C1002" s="1945"/>
      <c r="D1002" s="1919"/>
      <c r="E1002" s="1920"/>
      <c r="F1002" s="1920"/>
      <c r="G1002" s="1921"/>
      <c r="H1002" s="177"/>
      <c r="I1002" s="1919"/>
      <c r="J1002" s="1920"/>
      <c r="K1002" s="1920"/>
      <c r="L1002" s="1921"/>
      <c r="M1002" s="177"/>
      <c r="N1002" s="1919"/>
      <c r="O1002" s="1920"/>
      <c r="P1002" s="1920"/>
      <c r="Q1002" s="1921"/>
      <c r="R1002" s="177"/>
      <c r="S1002" s="1919"/>
      <c r="T1002" s="1920"/>
      <c r="U1002" s="1920"/>
      <c r="V1002" s="1921"/>
      <c r="W1002" s="177"/>
      <c r="X1002" s="1919"/>
      <c r="Y1002" s="1920"/>
      <c r="Z1002" s="1920"/>
      <c r="AA1002" s="1921"/>
      <c r="AB1002" s="177"/>
      <c r="AC1002" s="1919"/>
      <c r="AD1002" s="1920"/>
      <c r="AE1002" s="1920"/>
      <c r="AF1002" s="1921"/>
      <c r="AG1002" s="177"/>
      <c r="AH1002" s="1919"/>
      <c r="AI1002" s="1920"/>
      <c r="AJ1002" s="1920"/>
      <c r="AK1002" s="1921"/>
      <c r="AL1002" s="177"/>
    </row>
    <row r="1003" spans="2:38" s="176" customFormat="1" ht="15" customHeight="1" x14ac:dyDescent="0.45">
      <c r="B1003" s="1942"/>
      <c r="C1003" s="1945"/>
      <c r="D1003" s="1913" t="str">
        <f ca="1">IF(G983&gt;0,CONCATENATE("Session Aim: 
", CONCATENATE(IF(INDEX(final_duration_secondary,((WEEKDAY(E$3,2)*2-1)+IF(E983="Morning",0,1)),D983)=0, "", "1. "),
INDEX(sessions_aim_primary,, INDEX(plan_session_allocation,((WEEKDAY(E$3,2)*2-1)+IF(E983="Morning",0,1)),D983)), IF(INDEX(final_duration_secondary,((WEEKDAY(E$3,2)*2-1)+IF(E983="Morning",0,1)),D983)=0, "", "
2. "),
IF(INDEX(final_duration_secondary,((WEEKDAY(E$3,2)*2-1)+IF(E983="Morning",0,1)),D983)=0, "", INDEX(sessions_aim_secondary,, INDEX(plan_session_allocation,((WEEKDAY(E$3,2)*2-1)+IF(E983="Morning",0,1)),D983))), IF(INDEX(final_duration_tertiary,((WEEKDAY(E$3,2)*2-1)+IF(E983="Morning",0,1)),D983)=0, "", "
3. "),
IF(INDEX(final_duration_tertiary,((WEEKDAY(E$3,2)*2-1)+IF(E983="Morning",0,1)),D983)=0, "", INDEX(sessions_aim_tertiary,, INDEX(plan_session_allocation,((WEEKDAY(E$3,2)*2-1)+IF(E983="Morning",0,1)),D983))),
IF(INDEX(display_nutrition_description,((WEEKDAY(E$3,2)*2-1)+IF(E983="Morning",0,1)),D983)="","",
CONCATENATE("
Nutrition Aim:
", INDEX(sessions_aim_nutrition,,INDEX(plan_session_allocation,((WEEKDAY(E$3,2)*2-1)+IF(E983="Morning",0,1)),D983))
))
)),"")</f>
        <v xml:space="preserve">Session Aim: 
1. Increase strength of specific muscle groups, running economy and injury resistance. 
2. Release tension that develops in soft tissue from training and non-training stresses. </v>
      </c>
      <c r="E1003" s="1914"/>
      <c r="F1003" s="1914"/>
      <c r="G1003" s="1915"/>
      <c r="H1003" s="177"/>
      <c r="I1003" s="1913" t="str">
        <f ca="1">IF(L983&gt;0,CONCATENATE("Session Aim: 
", CONCATENATE(IF(INDEX(final_duration_secondary,((WEEKDAY(J$3,2)*2-1)+IF(J983="Morning",0,1)),I983)=0, "", "1. "),
INDEX(sessions_aim_primary,, INDEX(plan_session_allocation,((WEEKDAY(J$3,2)*2-1)+IF(J983="Morning",0,1)),I983)), IF(INDEX(final_duration_secondary,((WEEKDAY(J$3,2)*2-1)+IF(J983="Morning",0,1)),I983)=0, "", "
2. "),
IF(INDEX(final_duration_secondary,((WEEKDAY(J$3,2)*2-1)+IF(J983="Morning",0,1)),I983)=0, "", INDEX(sessions_aim_secondary,, INDEX(plan_session_allocation,((WEEKDAY(J$3,2)*2-1)+IF(J983="Morning",0,1)),I983))), IF(INDEX(final_duration_tertiary,((WEEKDAY(J$3,2)*2-1)+IF(J983="Morning",0,1)),I983)=0, "", "
3. "),
IF(INDEX(final_duration_tertiary,((WEEKDAY(J$3,2)*2-1)+IF(J983="Morning",0,1)),I983)=0, "", INDEX(sessions_aim_tertiary,, INDEX(plan_session_allocation,((WEEKDAY(J$3,2)*2-1)+IF(J983="Morning",0,1)),I983))),
IF(INDEX(display_nutrition_description,((WEEKDAY(J$3,2)*2-1)+IF(J983="Morning",0,1)),I983)="","",
CONCATENATE("
Nutrition Aim:
", INDEX(sessions_aim_nutrition,,INDEX(plan_session_allocation,((WEEKDAY(J$3,2)*2-1)+IF(J983="Morning",0,1)),I983))
))
)),"")</f>
        <v xml:space="preserve">Session Aim: 
Improve endurance by increasing lactate threshold and developing mental toughness. </v>
      </c>
      <c r="J1003" s="1914"/>
      <c r="K1003" s="1914"/>
      <c r="L1003" s="1915"/>
      <c r="M1003" s="177"/>
      <c r="N1003" s="1913" t="str">
        <f ca="1">IF(Q983&gt;0,CONCATENATE("Session Aim: 
", CONCATENATE(IF(INDEX(final_duration_secondary,((WEEKDAY(O$3,2)*2-1)+IF(O983="Morning",0,1)),N983)=0, "", "1. "),
INDEX(sessions_aim_primary,, INDEX(plan_session_allocation,((WEEKDAY(O$3,2)*2-1)+IF(O983="Morning",0,1)),N983)), IF(INDEX(final_duration_secondary,((WEEKDAY(O$3,2)*2-1)+IF(O983="Morning",0,1)),N983)=0, "", "
2. "),
IF(INDEX(final_duration_secondary,((WEEKDAY(O$3,2)*2-1)+IF(O983="Morning",0,1)),N983)=0, "", INDEX(sessions_aim_secondary,, INDEX(plan_session_allocation,((WEEKDAY(O$3,2)*2-1)+IF(O983="Morning",0,1)),N983))), IF(INDEX(final_duration_tertiary,((WEEKDAY(O$3,2)*2-1)+IF(O983="Morning",0,1)),N983)=0, "", "
3. "),
IF(INDEX(final_duration_tertiary,((WEEKDAY(O$3,2)*2-1)+IF(O983="Morning",0,1)),N983)=0, "", INDEX(sessions_aim_tertiary,, INDEX(plan_session_allocation,((WEEKDAY(O$3,2)*2-1)+IF(O983="Morning",0,1)),N983))),
IF(INDEX(display_nutrition_description,((WEEKDAY(O$3,2)*2-1)+IF(O983="Morning",0,1)),N983)="","",
CONCATENATE("
Nutrition Aim:
", INDEX(sessions_aim_nutrition,,INDEX(plan_session_allocation,((WEEKDAY(O$3,2)*2-1)+IF(O983="Morning",0,1)),N983))
))
)),"")</f>
        <v xml:space="preserve">Session Aim: 
Improve aerobic fitness while minimising the chance of injury. </v>
      </c>
      <c r="O1003" s="1914"/>
      <c r="P1003" s="1914"/>
      <c r="Q1003" s="1915"/>
      <c r="R1003" s="177"/>
      <c r="S1003" s="1913" t="str">
        <f ca="1">IF(V983&gt;0,CONCATENATE("Session Aim: 
", CONCATENATE(IF(INDEX(final_duration_secondary,((WEEKDAY(T$3,2)*2-1)+IF(T983="Morning",0,1)),S983)=0, "", "1. "),
INDEX(sessions_aim_primary,, INDEX(plan_session_allocation,((WEEKDAY(T$3,2)*2-1)+IF(T983="Morning",0,1)),S983)), IF(INDEX(final_duration_secondary,((WEEKDAY(T$3,2)*2-1)+IF(T983="Morning",0,1)),S983)=0, "", "
2. "),
IF(INDEX(final_duration_secondary,((WEEKDAY(T$3,2)*2-1)+IF(T983="Morning",0,1)),S983)=0, "", INDEX(sessions_aim_secondary,, INDEX(plan_session_allocation,((WEEKDAY(T$3,2)*2-1)+IF(T983="Morning",0,1)),S983))), IF(INDEX(final_duration_tertiary,((WEEKDAY(T$3,2)*2-1)+IF(T983="Morning",0,1)),S983)=0, "", "
3. "),
IF(INDEX(final_duration_tertiary,((WEEKDAY(T$3,2)*2-1)+IF(T983="Morning",0,1)),S983)=0, "", INDEX(sessions_aim_tertiary,, INDEX(plan_session_allocation,((WEEKDAY(T$3,2)*2-1)+IF(T983="Morning",0,1)),S983))),
IF(INDEX(display_nutrition_description,((WEEKDAY(T$3,2)*2-1)+IF(T983="Morning",0,1)),S983)="","",
CONCATENATE("
Nutrition Aim:
", INDEX(sessions_aim_nutrition,,INDEX(plan_session_allocation,((WEEKDAY(T$3,2)*2-1)+IF(T983="Morning",0,1)),S983))
))
)),"")</f>
        <v xml:space="preserve">Session Aim: 
Improve VO2 max and develop metal toughness. </v>
      </c>
      <c r="T1003" s="1914"/>
      <c r="U1003" s="1914"/>
      <c r="V1003" s="1915"/>
      <c r="W1003" s="177"/>
      <c r="X1003" s="1913" t="str">
        <f ca="1">IF(AA983&gt;0,CONCATENATE("Session Aim: 
", CONCATENATE(IF(INDEX(final_duration_secondary,((WEEKDAY(Y$3,2)*2-1)+IF(Y983="Morning",0,1)),X983)=0, "", "1. "),
INDEX(sessions_aim_primary,, INDEX(plan_session_allocation,((WEEKDAY(Y$3,2)*2-1)+IF(Y983="Morning",0,1)),X983)), IF(INDEX(final_duration_secondary,((WEEKDAY(Y$3,2)*2-1)+IF(Y983="Morning",0,1)),X983)=0, "", "
2. "),
IF(INDEX(final_duration_secondary,((WEEKDAY(Y$3,2)*2-1)+IF(Y983="Morning",0,1)),X983)=0, "", INDEX(sessions_aim_secondary,, INDEX(plan_session_allocation,((WEEKDAY(Y$3,2)*2-1)+IF(Y983="Morning",0,1)),X983))), IF(INDEX(final_duration_tertiary,((WEEKDAY(Y$3,2)*2-1)+IF(Y983="Morning",0,1)),X983)=0, "", "
3. "),
IF(INDEX(final_duration_tertiary,((WEEKDAY(Y$3,2)*2-1)+IF(Y983="Morning",0,1)),X983)=0, "", INDEX(sessions_aim_tertiary,, INDEX(plan_session_allocation,((WEEKDAY(Y$3,2)*2-1)+IF(Y983="Morning",0,1)),X983))),
IF(INDEX(display_nutrition_description,((WEEKDAY(Y$3,2)*2-1)+IF(Y983="Morning",0,1)),X983)="","",
CONCATENATE("
Nutrition Aim:
", INDEX(sessions_aim_nutrition,,INDEX(plan_session_allocation,((WEEKDAY(Y$3,2)*2-1)+IF(Y983="Morning",0,1)),X983))
))
)),"")</f>
        <v xml:space="preserve">Session Aim: 
1. Increase strength of specific muscle groups, running economy and injury resistance. 
2. Release tension that develops in soft tissue from training and non-training stresses. </v>
      </c>
      <c r="Y1003" s="1914"/>
      <c r="Z1003" s="1914"/>
      <c r="AA1003" s="1915"/>
      <c r="AB1003" s="177"/>
      <c r="AC1003" s="1913" t="str">
        <f ca="1">IF(AF983&gt;0,CONCATENATE("Session Aim: 
", CONCATENATE(IF(INDEX(final_duration_secondary,((WEEKDAY(AD$3,2)*2-1)+IF(AD983="Morning",0,1)),AC983)=0, "", "1. "),
INDEX(sessions_aim_primary,, INDEX(plan_session_allocation,((WEEKDAY(AD$3,2)*2-1)+IF(AD983="Morning",0,1)),AC983)), IF(INDEX(final_duration_secondary,((WEEKDAY(AD$3,2)*2-1)+IF(AD983="Morning",0,1)),AC983)=0, "", "
2. "),
IF(INDEX(final_duration_secondary,((WEEKDAY(AD$3,2)*2-1)+IF(AD983="Morning",0,1)),AC983)=0, "", INDEX(sessions_aim_secondary,, INDEX(plan_session_allocation,((WEEKDAY(AD$3,2)*2-1)+IF(AD983="Morning",0,1)),AC983))), IF(INDEX(final_duration_tertiary,((WEEKDAY(AD$3,2)*2-1)+IF(AD983="Morning",0,1)),AC983)=0, "", "
3. "),
IF(INDEX(final_duration_tertiary,((WEEKDAY(AD$3,2)*2-1)+IF(AD983="Morning",0,1)),AC983)=0, "", INDEX(sessions_aim_tertiary,, INDEX(plan_session_allocation,((WEEKDAY(AD$3,2)*2-1)+IF(AD983="Morning",0,1)),AC983))),
IF(INDEX(display_nutrition_description,((WEEKDAY(AD$3,2)*2-1)+IF(AD983="Morning",0,1)),AC983)="","",
CONCATENATE("
Nutrition Aim:
", INDEX(sessions_aim_nutrition,,INDEX(plan_session_allocation,((WEEKDAY(AD$3,2)*2-1)+IF(AD983="Morning",0,1)),AC983))
))
)),"")</f>
        <v/>
      </c>
      <c r="AD1003" s="1914"/>
      <c r="AE1003" s="1914"/>
      <c r="AF1003" s="1915"/>
      <c r="AG1003" s="177"/>
      <c r="AH1003" s="1913" t="str">
        <f ca="1">IF(AK983&gt;0,CONCATENATE("Session Aim: 
", CONCATENATE(IF(INDEX(final_duration_secondary,((WEEKDAY(AI$3,2)*2-1)+IF(AI983="Morning",0,1)),AH983)=0, "", "1. "),
INDEX(sessions_aim_primary,, INDEX(plan_session_allocation,((WEEKDAY(AI$3,2)*2-1)+IF(AI983="Morning",0,1)),AH983)), IF(INDEX(final_duration_secondary,((WEEKDAY(AI$3,2)*2-1)+IF(AI983="Morning",0,1)),AH983)=0, "", "
2. "),
IF(INDEX(final_duration_secondary,((WEEKDAY(AI$3,2)*2-1)+IF(AI983="Morning",0,1)),AH983)=0, "", INDEX(sessions_aim_secondary,, INDEX(plan_session_allocation,((WEEKDAY(AI$3,2)*2-1)+IF(AI983="Morning",0,1)),AH983))), IF(INDEX(final_duration_tertiary,((WEEKDAY(AI$3,2)*2-1)+IF(AI983="Morning",0,1)),AH983)=0, "", "
3. "),
IF(INDEX(final_duration_tertiary,((WEEKDAY(AI$3,2)*2-1)+IF(AI983="Morning",0,1)),AH983)=0, "", INDEX(sessions_aim_tertiary,, INDEX(plan_session_allocation,((WEEKDAY(AI$3,2)*2-1)+IF(AI983="Morning",0,1)),AH983))),
IF(INDEX(display_nutrition_description,((WEEKDAY(AI$3,2)*2-1)+IF(AI983="Morning",0,1)),AH983)="","",
CONCATENATE("
Nutrition Aim:
", INDEX(sessions_aim_nutrition,,INDEX(plan_session_allocation,((WEEKDAY(AI$3,2)*2-1)+IF(AI983="Morning",0,1)),AH983))
))
)),"")</f>
        <v/>
      </c>
      <c r="AI1003" s="1914"/>
      <c r="AJ1003" s="1914"/>
      <c r="AK1003" s="1915"/>
      <c r="AL1003" s="177"/>
    </row>
    <row r="1004" spans="2:38" s="176" customFormat="1" x14ac:dyDescent="0.45">
      <c r="B1004" s="1942"/>
      <c r="C1004" s="1945"/>
      <c r="D1004" s="1916"/>
      <c r="E1004" s="1917"/>
      <c r="F1004" s="1917"/>
      <c r="G1004" s="1918"/>
      <c r="H1004" s="177"/>
      <c r="I1004" s="1916"/>
      <c r="J1004" s="1917"/>
      <c r="K1004" s="1917"/>
      <c r="L1004" s="1918"/>
      <c r="M1004" s="177"/>
      <c r="N1004" s="1916"/>
      <c r="O1004" s="1917"/>
      <c r="P1004" s="1917"/>
      <c r="Q1004" s="1918"/>
      <c r="R1004" s="177"/>
      <c r="S1004" s="1916"/>
      <c r="T1004" s="1917"/>
      <c r="U1004" s="1917"/>
      <c r="V1004" s="1918"/>
      <c r="W1004" s="177"/>
      <c r="X1004" s="1916"/>
      <c r="Y1004" s="1917"/>
      <c r="Z1004" s="1917"/>
      <c r="AA1004" s="1918"/>
      <c r="AB1004" s="177"/>
      <c r="AC1004" s="1916"/>
      <c r="AD1004" s="1917"/>
      <c r="AE1004" s="1917"/>
      <c r="AF1004" s="1918"/>
      <c r="AG1004" s="177"/>
      <c r="AH1004" s="1916"/>
      <c r="AI1004" s="1917"/>
      <c r="AJ1004" s="1917"/>
      <c r="AK1004" s="1918"/>
      <c r="AL1004" s="177"/>
    </row>
    <row r="1005" spans="2:38" s="176" customFormat="1" x14ac:dyDescent="0.45">
      <c r="B1005" s="1942"/>
      <c r="C1005" s="1945"/>
      <c r="D1005" s="1916"/>
      <c r="E1005" s="1917"/>
      <c r="F1005" s="1917"/>
      <c r="G1005" s="1918"/>
      <c r="H1005" s="177"/>
      <c r="I1005" s="1916"/>
      <c r="J1005" s="1917"/>
      <c r="K1005" s="1917"/>
      <c r="L1005" s="1918"/>
      <c r="M1005" s="177"/>
      <c r="N1005" s="1916"/>
      <c r="O1005" s="1917"/>
      <c r="P1005" s="1917"/>
      <c r="Q1005" s="1918"/>
      <c r="R1005" s="177"/>
      <c r="S1005" s="1916"/>
      <c r="T1005" s="1917"/>
      <c r="U1005" s="1917"/>
      <c r="V1005" s="1918"/>
      <c r="W1005" s="177"/>
      <c r="X1005" s="1916"/>
      <c r="Y1005" s="1917"/>
      <c r="Z1005" s="1917"/>
      <c r="AA1005" s="1918"/>
      <c r="AB1005" s="177"/>
      <c r="AC1005" s="1916"/>
      <c r="AD1005" s="1917"/>
      <c r="AE1005" s="1917"/>
      <c r="AF1005" s="1918"/>
      <c r="AG1005" s="177"/>
      <c r="AH1005" s="1916"/>
      <c r="AI1005" s="1917"/>
      <c r="AJ1005" s="1917"/>
      <c r="AK1005" s="1918"/>
      <c r="AL1005" s="177"/>
    </row>
    <row r="1006" spans="2:38" s="176" customFormat="1" x14ac:dyDescent="0.45">
      <c r="B1006" s="1942"/>
      <c r="C1006" s="1945"/>
      <c r="D1006" s="1916"/>
      <c r="E1006" s="1917"/>
      <c r="F1006" s="1917"/>
      <c r="G1006" s="1918"/>
      <c r="H1006" s="177"/>
      <c r="I1006" s="1916"/>
      <c r="J1006" s="1917"/>
      <c r="K1006" s="1917"/>
      <c r="L1006" s="1918"/>
      <c r="M1006" s="177"/>
      <c r="N1006" s="1916"/>
      <c r="O1006" s="1917"/>
      <c r="P1006" s="1917"/>
      <c r="Q1006" s="1918"/>
      <c r="R1006" s="177"/>
      <c r="S1006" s="1916"/>
      <c r="T1006" s="1917"/>
      <c r="U1006" s="1917"/>
      <c r="V1006" s="1918"/>
      <c r="W1006" s="177"/>
      <c r="X1006" s="1916"/>
      <c r="Y1006" s="1917"/>
      <c r="Z1006" s="1917"/>
      <c r="AA1006" s="1918"/>
      <c r="AB1006" s="177"/>
      <c r="AC1006" s="1916"/>
      <c r="AD1006" s="1917"/>
      <c r="AE1006" s="1917"/>
      <c r="AF1006" s="1918"/>
      <c r="AG1006" s="177"/>
      <c r="AH1006" s="1916"/>
      <c r="AI1006" s="1917"/>
      <c r="AJ1006" s="1917"/>
      <c r="AK1006" s="1918"/>
      <c r="AL1006" s="177"/>
    </row>
    <row r="1007" spans="2:38" s="176" customFormat="1" x14ac:dyDescent="0.45">
      <c r="B1007" s="1942"/>
      <c r="C1007" s="1945"/>
      <c r="D1007" s="1916"/>
      <c r="E1007" s="1917"/>
      <c r="F1007" s="1917"/>
      <c r="G1007" s="1918"/>
      <c r="H1007" s="177"/>
      <c r="I1007" s="1916"/>
      <c r="J1007" s="1917"/>
      <c r="K1007" s="1917"/>
      <c r="L1007" s="1918"/>
      <c r="M1007" s="177"/>
      <c r="N1007" s="1916"/>
      <c r="O1007" s="1917"/>
      <c r="P1007" s="1917"/>
      <c r="Q1007" s="1918"/>
      <c r="R1007" s="177"/>
      <c r="S1007" s="1916"/>
      <c r="T1007" s="1917"/>
      <c r="U1007" s="1917"/>
      <c r="V1007" s="1918"/>
      <c r="W1007" s="177"/>
      <c r="X1007" s="1916"/>
      <c r="Y1007" s="1917"/>
      <c r="Z1007" s="1917"/>
      <c r="AA1007" s="1918"/>
      <c r="AB1007" s="177"/>
      <c r="AC1007" s="1916"/>
      <c r="AD1007" s="1917"/>
      <c r="AE1007" s="1917"/>
      <c r="AF1007" s="1918"/>
      <c r="AG1007" s="177"/>
      <c r="AH1007" s="1916"/>
      <c r="AI1007" s="1917"/>
      <c r="AJ1007" s="1917"/>
      <c r="AK1007" s="1918"/>
      <c r="AL1007" s="177"/>
    </row>
    <row r="1008" spans="2:38" s="176" customFormat="1" x14ac:dyDescent="0.45">
      <c r="B1008" s="1942"/>
      <c r="C1008" s="1945"/>
      <c r="D1008" s="1916"/>
      <c r="E1008" s="1917"/>
      <c r="F1008" s="1917"/>
      <c r="G1008" s="1918"/>
      <c r="H1008" s="177"/>
      <c r="I1008" s="1916"/>
      <c r="J1008" s="1917"/>
      <c r="K1008" s="1917"/>
      <c r="L1008" s="1918"/>
      <c r="N1008" s="1916"/>
      <c r="O1008" s="1917"/>
      <c r="P1008" s="1917"/>
      <c r="Q1008" s="1918"/>
      <c r="S1008" s="1916"/>
      <c r="T1008" s="1917"/>
      <c r="U1008" s="1917"/>
      <c r="V1008" s="1918"/>
      <c r="X1008" s="1916"/>
      <c r="Y1008" s="1917"/>
      <c r="Z1008" s="1917"/>
      <c r="AA1008" s="1918"/>
      <c r="AC1008" s="1916"/>
      <c r="AD1008" s="1917"/>
      <c r="AE1008" s="1917"/>
      <c r="AF1008" s="1918"/>
      <c r="AH1008" s="1916"/>
      <c r="AI1008" s="1917"/>
      <c r="AJ1008" s="1917"/>
      <c r="AK1008" s="1918"/>
    </row>
    <row r="1009" spans="2:38" s="176" customFormat="1" ht="14.65" thickBot="1" x14ac:dyDescent="0.5">
      <c r="B1009" s="1943"/>
      <c r="C1009" s="1946"/>
      <c r="D1009" s="1938"/>
      <c r="E1009" s="1939"/>
      <c r="F1009" s="1939"/>
      <c r="G1009" s="1940"/>
      <c r="H1009" s="177"/>
      <c r="I1009" s="1938"/>
      <c r="J1009" s="1939"/>
      <c r="K1009" s="1939"/>
      <c r="L1009" s="1940"/>
      <c r="N1009" s="1938"/>
      <c r="O1009" s="1939"/>
      <c r="P1009" s="1939"/>
      <c r="Q1009" s="1940"/>
      <c r="S1009" s="1938"/>
      <c r="T1009" s="1939"/>
      <c r="U1009" s="1939"/>
      <c r="V1009" s="1940"/>
      <c r="X1009" s="1938"/>
      <c r="Y1009" s="1939"/>
      <c r="Z1009" s="1939"/>
      <c r="AA1009" s="1940"/>
      <c r="AC1009" s="1938"/>
      <c r="AD1009" s="1939"/>
      <c r="AE1009" s="1939"/>
      <c r="AF1009" s="1940"/>
      <c r="AH1009" s="1938"/>
      <c r="AI1009" s="1939"/>
      <c r="AJ1009" s="1939"/>
      <c r="AK1009" s="1940"/>
    </row>
    <row r="1010" spans="2:38" s="176" customFormat="1" ht="14.65" thickBot="1" x14ac:dyDescent="0.5">
      <c r="H1010" s="177"/>
    </row>
    <row r="1011" spans="2:38" s="176" customFormat="1" ht="15" customHeight="1" thickBot="1" x14ac:dyDescent="0.5">
      <c r="B1011" s="1941">
        <v>19</v>
      </c>
      <c r="C1011" s="1944" t="str">
        <f ca="1">IF(INDEX(display_strategy,1,B1011)="","", CONCATENATE(INDEX(display_strategy,1,B1011),": ",HLOOKUP(INDEX(display_strategy,1,B1011),strategies,4,TRUE)))</f>
        <v>Race: A maximal week, should be fascilitated by maximal recovery and nutrition.</v>
      </c>
      <c r="D1011" s="1418" t="str">
        <f ca="1">CONCATENATE("Strategy: ",INDEX(display_strategy,$B1011))</f>
        <v>Strategy: Race</v>
      </c>
      <c r="E1011" s="1947">
        <f>plan_start_date + ($B1011-1)*7 + (COLUMN(D$2)-2)/5</f>
        <v>43500.4</v>
      </c>
      <c r="F1011" s="1947"/>
      <c r="G1011" s="1417" t="str">
        <f>CONCATENATE("Slot: ", ((WEEKDAY(E$3,2)*2-1)+IF(E1012="Morning",0,1)))</f>
        <v>Slot: 1</v>
      </c>
      <c r="H1011" s="177"/>
      <c r="I1011" s="1418" t="str">
        <f ca="1">CONCATENATE("Strategy: ",INDEX(display_strategy,$B1011))</f>
        <v>Strategy: Race</v>
      </c>
      <c r="J1011" s="1947">
        <f>plan_start_date + ($B1011-1)*7 + (COLUMN(I$2)-2)/5</f>
        <v>43501.4</v>
      </c>
      <c r="K1011" s="1947"/>
      <c r="L1011" s="1417" t="str">
        <f>CONCATENATE("Slot: ", ((WEEKDAY(J$3,2)*2-1)+IF(J1012="Morning",0,1)))</f>
        <v>Slot: 3</v>
      </c>
      <c r="N1011" s="1418" t="str">
        <f ca="1">CONCATENATE("Strategy: ",INDEX(display_strategy,$B1011))</f>
        <v>Strategy: Race</v>
      </c>
      <c r="O1011" s="1947">
        <f>plan_start_date + ($B1011-1)*7 + (COLUMN(N$2)-2)/5</f>
        <v>43502.400000000001</v>
      </c>
      <c r="P1011" s="1947"/>
      <c r="Q1011" s="1417" t="str">
        <f>CONCATENATE("Slot: ", ((WEEKDAY(O$3,2)*2-1)+IF(O1012="Morning",0,1)))</f>
        <v>Slot: 5</v>
      </c>
      <c r="S1011" s="1418" t="str">
        <f ca="1">CONCATENATE("Strategy: ",INDEX(display_strategy,$B1011))</f>
        <v>Strategy: Race</v>
      </c>
      <c r="T1011" s="1947">
        <f>plan_start_date + ($B1011-1)*7 + (COLUMN(S$2)-2)/5</f>
        <v>43503.4</v>
      </c>
      <c r="U1011" s="1947"/>
      <c r="V1011" s="1417" t="str">
        <f>CONCATENATE("Slot: ", ((WEEKDAY(T$3,2)*2-1)+IF(T1012="Morning",0,1)))</f>
        <v>Slot: 7</v>
      </c>
      <c r="X1011" s="1418" t="str">
        <f ca="1">CONCATENATE("Strategy: ",INDEX(display_strategy,$B1011))</f>
        <v>Strategy: Race</v>
      </c>
      <c r="Y1011" s="1947">
        <f>plan_start_date + ($B1011-1)*7 + (COLUMN(X$2)-2)/5</f>
        <v>43504.4</v>
      </c>
      <c r="Z1011" s="1947"/>
      <c r="AA1011" s="1417" t="str">
        <f>CONCATENATE("Slot: ", ((WEEKDAY(Y$3,2)*2-1)+IF(Y1012="Morning",0,1)))</f>
        <v>Slot: 9</v>
      </c>
      <c r="AC1011" s="1418" t="str">
        <f ca="1">CONCATENATE("Strategy: ",INDEX(display_strategy,$B1011))</f>
        <v>Strategy: Race</v>
      </c>
      <c r="AD1011" s="1947">
        <f>plan_start_date + ($B1011-1)*7 + (COLUMN(AC$2)-2)/5</f>
        <v>43505.4</v>
      </c>
      <c r="AE1011" s="1947"/>
      <c r="AF1011" s="1417" t="str">
        <f>CONCATENATE("Slot: ", ((WEEKDAY(AD$3,2)*2-1)+IF(AD1012="Morning",0,1)))</f>
        <v>Slot: 11</v>
      </c>
      <c r="AH1011" s="1418" t="str">
        <f ca="1">CONCATENATE("Strategy: ",INDEX(display_strategy,$B1011))</f>
        <v>Strategy: Race</v>
      </c>
      <c r="AI1011" s="1947">
        <f>plan_start_date + ($B1011-1)*7 + (COLUMN(AH$2)-2)/5</f>
        <v>43506.400000000001</v>
      </c>
      <c r="AJ1011" s="1947"/>
      <c r="AK1011" s="1417" t="str">
        <f>CONCATENATE("Slot: ", ((WEEKDAY(AI$3,2)*2-1)+IF(AI1012="Morning",0,1)))</f>
        <v>Slot: 13</v>
      </c>
    </row>
    <row r="1012" spans="2:38" s="176" customFormat="1" x14ac:dyDescent="0.45">
      <c r="B1012" s="1942"/>
      <c r="C1012" s="1945"/>
      <c r="D1012" s="1413">
        <f>$B1011</f>
        <v>19</v>
      </c>
      <c r="E1012" s="1930" t="s">
        <v>351</v>
      </c>
      <c r="F1012" s="1930"/>
      <c r="G1012" s="1412">
        <f ca="1">INDEX(final_duration_session, ((WEEKDAY(E$3,2)*2-1)+IF(E1012="Morning",0,1)), $D1012)</f>
        <v>0</v>
      </c>
      <c r="H1012" s="177"/>
      <c r="I1012" s="1413">
        <f>$B1011</f>
        <v>19</v>
      </c>
      <c r="J1012" s="1930" t="s">
        <v>351</v>
      </c>
      <c r="K1012" s="1930"/>
      <c r="L1012" s="1412">
        <f ca="1">INDEX(final_duration_session, ((WEEKDAY(J$3,2)*2-1)+IF(J1012="Morning",0,1)), $D1012)</f>
        <v>0</v>
      </c>
      <c r="M1012" s="177"/>
      <c r="N1012" s="1413">
        <f>$B1011</f>
        <v>19</v>
      </c>
      <c r="O1012" s="1930" t="s">
        <v>351</v>
      </c>
      <c r="P1012" s="1930"/>
      <c r="Q1012" s="1412">
        <f ca="1">INDEX(final_duration_session, ((WEEKDAY(O$3,2)*2-1)+IF(O1012="Morning",0,1)), $D1012)</f>
        <v>0</v>
      </c>
      <c r="R1012" s="177"/>
      <c r="S1012" s="1413">
        <f>$B1011</f>
        <v>19</v>
      </c>
      <c r="T1012" s="1930" t="s">
        <v>351</v>
      </c>
      <c r="U1012" s="1930"/>
      <c r="V1012" s="1412">
        <f ca="1">INDEX(final_duration_session, ((WEEKDAY(T$3,2)*2-1)+IF(T1012="Morning",0,1)), $D1012)</f>
        <v>20</v>
      </c>
      <c r="W1012" s="177"/>
      <c r="X1012" s="1413">
        <f>$B1011</f>
        <v>19</v>
      </c>
      <c r="Y1012" s="1930" t="s">
        <v>351</v>
      </c>
      <c r="Z1012" s="1930"/>
      <c r="AA1012" s="1412">
        <f ca="1">INDEX(final_duration_session, ((WEEKDAY(Y$3,2)*2-1)+IF(Y1012="Morning",0,1)), $D1012)</f>
        <v>30</v>
      </c>
      <c r="AB1012" s="177"/>
      <c r="AC1012" s="1413">
        <f>$B1011</f>
        <v>19</v>
      </c>
      <c r="AD1012" s="1930" t="s">
        <v>351</v>
      </c>
      <c r="AE1012" s="1930"/>
      <c r="AF1012" s="1412">
        <f ca="1">INDEX(final_duration_session, ((WEEKDAY(AD$3,2)*2-1)+IF(AD1012="Morning",0,1)), $D1012)</f>
        <v>210</v>
      </c>
      <c r="AG1012" s="177"/>
      <c r="AH1012" s="1413">
        <f>$B1011</f>
        <v>19</v>
      </c>
      <c r="AI1012" s="1930" t="s">
        <v>351</v>
      </c>
      <c r="AJ1012" s="1930"/>
      <c r="AK1012" s="1412">
        <f ca="1">INDEX(final_duration_session, ((WEEKDAY(AI$3,2)*2-1)+IF(AI1012="Morning",0,1)), $D1012)</f>
        <v>0</v>
      </c>
      <c r="AL1012" s="177"/>
    </row>
    <row r="1013" spans="2:38" s="176" customFormat="1" ht="15" customHeight="1" x14ac:dyDescent="0.45">
      <c r="B1013" s="1942"/>
      <c r="C1013" s="1945"/>
      <c r="D1013" s="1931" t="str">
        <f ca="1">IF(G1012&gt;0,INDEX(sessions_name,INDEX(plan_session_allocation,((WEEKDAY(E$3,2)*2-1)+IF(E1012="Morning",0,1)),D1012)),"")</f>
        <v/>
      </c>
      <c r="E1013" s="1932"/>
      <c r="F1013" s="1932"/>
      <c r="G1013" s="1933"/>
      <c r="H1013" s="177"/>
      <c r="I1013" s="1931" t="str">
        <f ca="1">IF(L1012&gt;0,INDEX(sessions_name,INDEX(plan_session_allocation,((WEEKDAY(J$3,2)*2-1)+IF(J1012="Morning",0,1)),I1012)),"")</f>
        <v/>
      </c>
      <c r="J1013" s="1932"/>
      <c r="K1013" s="1932"/>
      <c r="L1013" s="1933"/>
      <c r="M1013" s="177"/>
      <c r="N1013" s="1931" t="str">
        <f ca="1">IF(Q1012&gt;0,INDEX(sessions_name,INDEX(plan_session_allocation,((WEEKDAY(O$3,2)*2-1)+IF(O1012="Morning",0,1)),N1012)),"")</f>
        <v/>
      </c>
      <c r="O1013" s="1932"/>
      <c r="P1013" s="1932"/>
      <c r="Q1013" s="1933"/>
      <c r="R1013" s="177"/>
      <c r="S1013" s="1931" t="str">
        <f ca="1">IF(V1012&gt;0,INDEX(sessions_name,INDEX(plan_session_allocation,((WEEKDAY(T$3,2)*2-1)+IF(T1012="Morning",0,1)),S1012)),"")</f>
        <v>Easy</v>
      </c>
      <c r="T1013" s="1932"/>
      <c r="U1013" s="1932"/>
      <c r="V1013" s="1933"/>
      <c r="W1013" s="177"/>
      <c r="X1013" s="1931" t="str">
        <f ca="1">IF(AA1012&gt;0,INDEX(sessions_name,INDEX(plan_session_allocation,((WEEKDAY(Y$3,2)*2-1)+IF(Y1012="Morning",0,1)),X1012)),"")</f>
        <v>Easy</v>
      </c>
      <c r="Y1013" s="1932"/>
      <c r="Z1013" s="1932"/>
      <c r="AA1013" s="1933"/>
      <c r="AB1013" s="177"/>
      <c r="AC1013" s="1931" t="str">
        <f ca="1">IF(AF1012&gt;0,INDEX(sessions_name,INDEX(plan_session_allocation,((WEEKDAY(AD$3,2)*2-1)+IF(AD1012="Morning",0,1)),AC1012)),"")</f>
        <v>Race: 3 hours</v>
      </c>
      <c r="AD1013" s="1932"/>
      <c r="AE1013" s="1932"/>
      <c r="AF1013" s="1933"/>
      <c r="AG1013" s="177"/>
      <c r="AH1013" s="1931" t="str">
        <f ca="1">IF(AK1012&gt;0,INDEX(sessions_name,INDEX(plan_session_allocation,((WEEKDAY(AI$3,2)*2-1)+IF(AI1012="Morning",0,1)),AH1012)),"")</f>
        <v/>
      </c>
      <c r="AI1013" s="1932"/>
      <c r="AJ1013" s="1932"/>
      <c r="AK1013" s="1933"/>
      <c r="AL1013" s="177"/>
    </row>
    <row r="1014" spans="2:38" s="176" customFormat="1" ht="15" customHeight="1" x14ac:dyDescent="0.45">
      <c r="B1014" s="1942"/>
      <c r="C1014" s="1945"/>
      <c r="D1014" s="1934" t="str">
        <f ca="1">IF(G1012&gt;0,CONCATENATE("Sport: ",INDEX(sessions_sport_primary,INDEX(plan_session_allocation,(WEEKDAY(E$3,2)*2-1)+IF(E1012="Morning",0,1),D1012))),"")</f>
        <v/>
      </c>
      <c r="E1014" s="1935"/>
      <c r="F1014" s="1936" t="str">
        <f ca="1">IF(G1012&gt;0,IFERROR(F1015+F1016+F1017,""),"")</f>
        <v/>
      </c>
      <c r="G1014" s="1937"/>
      <c r="H1014" s="177"/>
      <c r="I1014" s="1934" t="str">
        <f ca="1">IF(L1012&gt;0,CONCATENATE("Sport: ",INDEX(sessions_sport_primary,INDEX(plan_session_allocation,(WEEKDAY(J$3,2)*2-1)+IF(J1012="Morning",0,1),I1012))),"")</f>
        <v/>
      </c>
      <c r="J1014" s="1935"/>
      <c r="K1014" s="1936" t="str">
        <f ca="1">IF(L1012&gt;0,IFERROR(K1015+K1016+K1017,""),"")</f>
        <v/>
      </c>
      <c r="L1014" s="1937"/>
      <c r="M1014" s="177"/>
      <c r="N1014" s="1934" t="str">
        <f ca="1">IF(Q1012&gt;0,CONCATENATE("Sport: ",INDEX(sessions_sport_primary,INDEX(plan_session_allocation,(WEEKDAY(O$3,2)*2-1)+IF(O1012="Morning",0,1),N1012))),"")</f>
        <v/>
      </c>
      <c r="O1014" s="1935"/>
      <c r="P1014" s="1936" t="str">
        <f ca="1">IF(Q1012&gt;0,IFERROR(P1015+P1016+P1017,""),"")</f>
        <v/>
      </c>
      <c r="Q1014" s="1937"/>
      <c r="R1014" s="177"/>
      <c r="S1014" s="1934" t="str">
        <f ca="1">IF(V1012&gt;0,CONCATENATE("Sport: ",INDEX(sessions_sport_primary,INDEX(plan_session_allocation,(WEEKDAY(T$3,2)*2-1)+IF(T1012="Morning",0,1),S1012))),"")</f>
        <v>Sport: Road Run</v>
      </c>
      <c r="T1014" s="1935"/>
      <c r="U1014" s="1936">
        <f ca="1">IF(V1012&gt;0,IFERROR(U1015+U1016+U1017,""),"")</f>
        <v>20</v>
      </c>
      <c r="V1014" s="1937"/>
      <c r="W1014" s="177"/>
      <c r="X1014" s="1934" t="str">
        <f ca="1">IF(AA1012&gt;0,CONCATENATE("Sport: ",INDEX(sessions_sport_primary,INDEX(plan_session_allocation,(WEEKDAY(Y$3,2)*2-1)+IF(Y1012="Morning",0,1),X1012))),"")</f>
        <v>Sport: Road Run</v>
      </c>
      <c r="Y1014" s="1935"/>
      <c r="Z1014" s="1936">
        <f ca="1">IF(AA1012&gt;0,IFERROR(Z1015+Z1016+Z1017,""),"")</f>
        <v>30</v>
      </c>
      <c r="AA1014" s="1937"/>
      <c r="AB1014" s="177"/>
      <c r="AC1014" s="1934" t="str">
        <f ca="1">IF(AF1012&gt;0,CONCATENATE("Sport: ",INDEX(sessions_sport_primary,INDEX(plan_session_allocation,(WEEKDAY(AD$3,2)*2-1)+IF(AD1012="Morning",0,1),AC1012))),"")</f>
        <v>Sport: Hilly Trail Run</v>
      </c>
      <c r="AD1014" s="1935"/>
      <c r="AE1014" s="1936">
        <f ca="1">IF(AF1012&gt;0,IFERROR(AE1015+AE1016+AE1017,""),"")</f>
        <v>210</v>
      </c>
      <c r="AF1014" s="1937"/>
      <c r="AG1014" s="177"/>
      <c r="AH1014" s="1934" t="str">
        <f ca="1">IF(AK1012&gt;0,CONCATENATE("Sport: ",INDEX(sessions_sport_primary,INDEX(plan_session_allocation,(WEEKDAY(AI$3,2)*2-1)+IF(AI1012="Morning",0,1),AH1012))),"")</f>
        <v/>
      </c>
      <c r="AI1014" s="1935"/>
      <c r="AJ1014" s="1936" t="str">
        <f ca="1">IF(AK1012&gt;0,IFERROR(AJ1015+AJ1016+AJ1017,""),"")</f>
        <v/>
      </c>
      <c r="AK1014" s="1937"/>
      <c r="AL1014" s="177"/>
    </row>
    <row r="1015" spans="2:38" s="176" customFormat="1" ht="15" customHeight="1" x14ac:dyDescent="0.45">
      <c r="B1015" s="1942"/>
      <c r="C1015" s="1945"/>
      <c r="D1015" s="1922" t="str">
        <f ca="1">IF(G1012&gt;0,CONCATENATE("HR Target: ",
INDEX(sessions_HR_primary,INDEX(plan_session_allocation,((WEEKDAY(E$3,2)*2-1)+IF(E1012="Morning",0,1)),D1012)),
IF(INDEX(sessions_HR_primary,INDEX(plan_session_allocation,((WEEKDAY(E$3,2)*2-1)+IF(E1012="Morning",0,1)),D1012))="N/A","",
" BPM")),"")</f>
        <v/>
      </c>
      <c r="E1015" s="1923"/>
      <c r="F1015" s="1924" t="str">
        <f ca="1">IF(G1012&gt;0,
INDEX(final_duration_effort,((WEEKDAY(E$3,2)*2-1)+IF(E1012="Morning",0,1)),D1012),"")</f>
        <v/>
      </c>
      <c r="G1015" s="1925"/>
      <c r="H1015" s="177"/>
      <c r="I1015" s="1922" t="str">
        <f ca="1">IF(L1012&gt;0,CONCATENATE("HR Target: ",
INDEX(sessions_HR_primary,INDEX(plan_session_allocation,((WEEKDAY(J$3,2)*2-1)+IF(J1012="Morning",0,1)),I1012)),
IF(INDEX(sessions_HR_primary,INDEX(plan_session_allocation,((WEEKDAY(J$3,2)*2-1)+IF(J1012="Morning",0,1)),I1012))="N/A","",
" BPM")),"")</f>
        <v/>
      </c>
      <c r="J1015" s="1923"/>
      <c r="K1015" s="1924" t="str">
        <f ca="1">IF(L1012&gt;0,
INDEX(final_duration_effort,((WEEKDAY(J$3,2)*2-1)+IF(J1012="Morning",0,1)),I1012),"")</f>
        <v/>
      </c>
      <c r="L1015" s="1925"/>
      <c r="M1015" s="177"/>
      <c r="N1015" s="1922" t="str">
        <f ca="1">IF(Q1012&gt;0,CONCATENATE("HR Target: ",
INDEX(sessions_HR_primary,INDEX(plan_session_allocation,((WEEKDAY(O$3,2)*2-1)+IF(O1012="Morning",0,1)),N1012)),
IF(INDEX(sessions_HR_primary,INDEX(plan_session_allocation,((WEEKDAY(O$3,2)*2-1)+IF(O1012="Morning",0,1)),N1012))="N/A","",
" BPM")),"")</f>
        <v/>
      </c>
      <c r="O1015" s="1923"/>
      <c r="P1015" s="1924" t="str">
        <f ca="1">IF(Q1012&gt;0,
INDEX(final_duration_effort,((WEEKDAY(O$3,2)*2-1)+IF(O1012="Morning",0,1)),N1012),"")</f>
        <v/>
      </c>
      <c r="Q1015" s="1925"/>
      <c r="R1015" s="177"/>
      <c r="S1015" s="1922" t="str">
        <f ca="1">IF(V1012&gt;0,CONCATENATE("HR Target: ",
INDEX(sessions_HR_primary,INDEX(plan_session_allocation,((WEEKDAY(T$3,2)*2-1)+IF(T1012="Morning",0,1)),S1012)),
IF(INDEX(sessions_HR_primary,INDEX(plan_session_allocation,((WEEKDAY(T$3,2)*2-1)+IF(T1012="Morning",0,1)),S1012))="N/A","",
" BPM")),"")</f>
        <v>HR Target: 138 BPM</v>
      </c>
      <c r="T1015" s="1923"/>
      <c r="U1015" s="1924">
        <f ca="1">IF(V1012&gt;0,
INDEX(final_duration_effort,((WEEKDAY(T$3,2)*2-1)+IF(T1012="Morning",0,1)),S1012),"")</f>
        <v>20</v>
      </c>
      <c r="V1015" s="1925"/>
      <c r="W1015" s="177"/>
      <c r="X1015" s="1922" t="str">
        <f ca="1">IF(AA1012&gt;0,CONCATENATE("HR Target: ",
INDEX(sessions_HR_primary,INDEX(plan_session_allocation,((WEEKDAY(Y$3,2)*2-1)+IF(Y1012="Morning",0,1)),X1012)),
IF(INDEX(sessions_HR_primary,INDEX(plan_session_allocation,((WEEKDAY(Y$3,2)*2-1)+IF(Y1012="Morning",0,1)),X1012))="N/A","",
" BPM")),"")</f>
        <v>HR Target: 138 BPM</v>
      </c>
      <c r="Y1015" s="1923"/>
      <c r="Z1015" s="1924">
        <f ca="1">IF(AA1012&gt;0,
INDEX(final_duration_effort,((WEEKDAY(Y$3,2)*2-1)+IF(Y1012="Morning",0,1)),X1012),"")</f>
        <v>30</v>
      </c>
      <c r="AA1015" s="1925"/>
      <c r="AB1015" s="177"/>
      <c r="AC1015" s="1922" t="str">
        <f ca="1">IF(AF1012&gt;0,CONCATENATE("HR Target: ",
INDEX(sessions_HR_primary,INDEX(plan_session_allocation,((WEEKDAY(AD$3,2)*2-1)+IF(AD1012="Morning",0,1)),AC1012)),
IF(INDEX(sessions_HR_primary,INDEX(plan_session_allocation,((WEEKDAY(AD$3,2)*2-1)+IF(AD1012="Morning",0,1)),AC1012))="N/A","",
" BPM")),"")</f>
        <v>HR Target: 168 BPM</v>
      </c>
      <c r="AD1015" s="1923"/>
      <c r="AE1015" s="1924">
        <f ca="1">IF(AF1012&gt;0,
INDEX(final_duration_effort,((WEEKDAY(AD$3,2)*2-1)+IF(AD1012="Morning",0,1)),AC1012),"")</f>
        <v>180</v>
      </c>
      <c r="AF1015" s="1925"/>
      <c r="AG1015" s="177"/>
      <c r="AH1015" s="1922" t="str">
        <f ca="1">IF(AK1012&gt;0,CONCATENATE("HR Target: ",
INDEX(sessions_HR_primary,INDEX(plan_session_allocation,((WEEKDAY(AI$3,2)*2-1)+IF(AI1012="Morning",0,1)),AH1012)),
IF(INDEX(sessions_HR_primary,INDEX(plan_session_allocation,((WEEKDAY(AI$3,2)*2-1)+IF(AI1012="Morning",0,1)),AH1012))="N/A","",
" BPM")),"")</f>
        <v/>
      </c>
      <c r="AI1015" s="1923"/>
      <c r="AJ1015" s="1924" t="str">
        <f ca="1">IF(AK1012&gt;0,
INDEX(final_duration_effort,((WEEKDAY(AI$3,2)*2-1)+IF(AI1012="Morning",0,1)),AH1012),"")</f>
        <v/>
      </c>
      <c r="AK1015" s="1925"/>
      <c r="AL1015" s="177"/>
    </row>
    <row r="1016" spans="2:38" s="179" customFormat="1" x14ac:dyDescent="0.45">
      <c r="B1016" s="1942"/>
      <c r="C1016" s="1945"/>
      <c r="D1016" s="1926" t="str">
        <f ca="1">IF(G1012&gt;0,CONCATENATE("HR Range: ",
INDEX(sessions_HR_range_primary,INDEX(plan_session_allocation,((WEEKDAY(E$3,2)*2-1)+IF(E1012="Morning",0,1)),D1012)),
IF(INDEX(sessions_HR_range_primary,INDEX(plan_session_allocation,((WEEKDAY(E$3,2)*2-1)+IF(E1012="Morning",0,1)),D1012))="N/A","",
" BPM")),"")</f>
        <v/>
      </c>
      <c r="E1016" s="1927"/>
      <c r="F1016" s="1928" t="str">
        <f ca="1">IF(G1012&gt;0,IF(
INDEX(sessions_recoveries,INDEX(plan_session_allocation,((WEEKDAY(E$3,2)*2-1)+IF(E1012="Morning",0,1)),D1012))="Yes",
VLOOKUP(INDEX(plan_duration_primary,((WEEKDAY(E$3,2)*2-1)+IF(E1012="Morning",0,1)),D1012),
INDIRECT(INDEX(sessions_intervals_code_primary,INDEX(plan_session_allocation,((WEEKDAY(E$3,2)*2-1)+IF(E1012="Morning",0,1)),D1012))),7,TRUE),0),"")</f>
        <v/>
      </c>
      <c r="G1016" s="1929"/>
      <c r="H1016" s="178"/>
      <c r="I1016" s="1926" t="str">
        <f ca="1">IF(L1012&gt;0,CONCATENATE("HR Range: ",
INDEX(sessions_HR_range_primary,INDEX(plan_session_allocation,((WEEKDAY(J$3,2)*2-1)+IF(J1012="Morning",0,1)),I1012)),
IF(INDEX(sessions_HR_range_primary,INDEX(plan_session_allocation,((WEEKDAY(J$3,2)*2-1)+IF(J1012="Morning",0,1)),I1012))="N/A","",
" BPM")),"")</f>
        <v/>
      </c>
      <c r="J1016" s="1927"/>
      <c r="K1016" s="1928" t="str">
        <f ca="1">IF(L1012&gt;0,IF(
INDEX(sessions_recoveries,INDEX(plan_session_allocation,((WEEKDAY(J$3,2)*2-1)+IF(J1012="Morning",0,1)),I1012))="Yes",
VLOOKUP(INDEX(plan_duration_primary,((WEEKDAY(J$3,2)*2-1)+IF(J1012="Morning",0,1)),I1012),
INDIRECT(INDEX(sessions_intervals_code_primary,INDEX(plan_session_allocation,((WEEKDAY(J$3,2)*2-1)+IF(J1012="Morning",0,1)),I1012))),7,TRUE),0),"")</f>
        <v/>
      </c>
      <c r="L1016" s="1929"/>
      <c r="M1016" s="178"/>
      <c r="N1016" s="1926" t="str">
        <f ca="1">IF(Q1012&gt;0,CONCATENATE("HR Range: ",
INDEX(sessions_HR_range_primary,INDEX(plan_session_allocation,((WEEKDAY(O$3,2)*2-1)+IF(O1012="Morning",0,1)),N1012)),
IF(INDEX(sessions_HR_range_primary,INDEX(plan_session_allocation,((WEEKDAY(O$3,2)*2-1)+IF(O1012="Morning",0,1)),N1012))="N/A","",
" BPM")),"")</f>
        <v/>
      </c>
      <c r="O1016" s="1927"/>
      <c r="P1016" s="1928" t="str">
        <f ca="1">IF(Q1012&gt;0,IF(
INDEX(sessions_recoveries,INDEX(plan_session_allocation,((WEEKDAY(O$3,2)*2-1)+IF(O1012="Morning",0,1)),N1012))="Yes",
VLOOKUP(INDEX(plan_duration_primary,((WEEKDAY(O$3,2)*2-1)+IF(O1012="Morning",0,1)),N1012),
INDIRECT(INDEX(sessions_intervals_code_primary,INDEX(plan_session_allocation,((WEEKDAY(O$3,2)*2-1)+IF(O1012="Morning",0,1)),N1012))),7,TRUE),0),"")</f>
        <v/>
      </c>
      <c r="Q1016" s="1929"/>
      <c r="R1016" s="178"/>
      <c r="S1016" s="1926" t="str">
        <f ca="1">IF(V1012&gt;0,CONCATENATE("HR Range: ",
INDEX(sessions_HR_range_primary,INDEX(plan_session_allocation,((WEEKDAY(T$3,2)*2-1)+IF(T1012="Morning",0,1)),S1012)),
IF(INDEX(sessions_HR_range_primary,INDEX(plan_session_allocation,((WEEKDAY(T$3,2)*2-1)+IF(T1012="Morning",0,1)),S1012))="N/A","",
" BPM")),"")</f>
        <v>HR Range: 129 - 148 BPM</v>
      </c>
      <c r="T1016" s="1927"/>
      <c r="U1016" s="1928">
        <f ca="1">IF(V1012&gt;0,IF(
INDEX(sessions_recoveries,INDEX(plan_session_allocation,((WEEKDAY(T$3,2)*2-1)+IF(T1012="Morning",0,1)),S1012))="Yes",
VLOOKUP(INDEX(plan_duration_primary,((WEEKDAY(T$3,2)*2-1)+IF(T1012="Morning",0,1)),S1012),
INDIRECT(INDEX(sessions_intervals_code_primary,INDEX(plan_session_allocation,((WEEKDAY(T$3,2)*2-1)+IF(T1012="Morning",0,1)),S1012))),7,TRUE),0),"")</f>
        <v>0</v>
      </c>
      <c r="V1016" s="1929"/>
      <c r="W1016" s="178"/>
      <c r="X1016" s="1926" t="str">
        <f ca="1">IF(AA1012&gt;0,CONCATENATE("HR Range: ",
INDEX(sessions_HR_range_primary,INDEX(plan_session_allocation,((WEEKDAY(Y$3,2)*2-1)+IF(Y1012="Morning",0,1)),X1012)),
IF(INDEX(sessions_HR_range_primary,INDEX(plan_session_allocation,((WEEKDAY(Y$3,2)*2-1)+IF(Y1012="Morning",0,1)),X1012))="N/A","",
" BPM")),"")</f>
        <v>HR Range: 129 - 148 BPM</v>
      </c>
      <c r="Y1016" s="1927"/>
      <c r="Z1016" s="1928">
        <f ca="1">IF(AA1012&gt;0,IF(
INDEX(sessions_recoveries,INDEX(plan_session_allocation,((WEEKDAY(Y$3,2)*2-1)+IF(Y1012="Morning",0,1)),X1012))="Yes",
VLOOKUP(INDEX(plan_duration_primary,((WEEKDAY(Y$3,2)*2-1)+IF(Y1012="Morning",0,1)),X1012),
INDIRECT(INDEX(sessions_intervals_code_primary,INDEX(plan_session_allocation,((WEEKDAY(Y$3,2)*2-1)+IF(Y1012="Morning",0,1)),X1012))),7,TRUE),0),"")</f>
        <v>0</v>
      </c>
      <c r="AA1016" s="1929"/>
      <c r="AB1016" s="178"/>
      <c r="AC1016" s="1926" t="str">
        <f ca="1">IF(AF1012&gt;0,CONCATENATE("HR Range: ",
INDEX(sessions_HR_range_primary,INDEX(plan_session_allocation,((WEEKDAY(AD$3,2)*2-1)+IF(AD1012="Morning",0,1)),AC1012)),
IF(INDEX(sessions_HR_range_primary,INDEX(plan_session_allocation,((WEEKDAY(AD$3,2)*2-1)+IF(AD1012="Morning",0,1)),AC1012))="N/A","",
" BPM")),"")</f>
        <v>HR Range: N/A</v>
      </c>
      <c r="AD1016" s="1927"/>
      <c r="AE1016" s="1928">
        <f ca="1">IF(AF1012&gt;0,IF(
INDEX(sessions_recoveries,INDEX(plan_session_allocation,((WEEKDAY(AD$3,2)*2-1)+IF(AD1012="Morning",0,1)),AC1012))="Yes",
VLOOKUP(INDEX(plan_duration_primary,((WEEKDAY(AD$3,2)*2-1)+IF(AD1012="Morning",0,1)),AC1012),
INDIRECT(INDEX(sessions_intervals_code_primary,INDEX(plan_session_allocation,((WEEKDAY(AD$3,2)*2-1)+IF(AD1012="Morning",0,1)),AC1012))),7,TRUE),0),"")</f>
        <v>0</v>
      </c>
      <c r="AF1016" s="1929"/>
      <c r="AG1016" s="178"/>
      <c r="AH1016" s="1926" t="str">
        <f ca="1">IF(AK1012&gt;0,CONCATENATE("HR Range: ",
INDEX(sessions_HR_range_primary,INDEX(plan_session_allocation,((WEEKDAY(AI$3,2)*2-1)+IF(AI1012="Morning",0,1)),AH1012)),
IF(INDEX(sessions_HR_range_primary,INDEX(plan_session_allocation,((WEEKDAY(AI$3,2)*2-1)+IF(AI1012="Morning",0,1)),AH1012))="N/A","",
" BPM")),"")</f>
        <v/>
      </c>
      <c r="AI1016" s="1927"/>
      <c r="AJ1016" s="1928" t="str">
        <f ca="1">IF(AK1012&gt;0,IF(
INDEX(sessions_recoveries,INDEX(plan_session_allocation,((WEEKDAY(AI$3,2)*2-1)+IF(AI1012="Morning",0,1)),AH1012))="Yes",
VLOOKUP(INDEX(plan_duration_primary,((WEEKDAY(AI$3,2)*2-1)+IF(AI1012="Morning",0,1)),AH1012),
INDIRECT(INDEX(sessions_intervals_code_primary,INDEX(plan_session_allocation,((WEEKDAY(AI$3,2)*2-1)+IF(AI1012="Morning",0,1)),AH1012))),7,TRUE),0),"")</f>
        <v/>
      </c>
      <c r="AK1016" s="1929"/>
      <c r="AL1016" s="178"/>
    </row>
    <row r="1017" spans="2:38" s="179" customFormat="1" ht="15" customHeight="1" x14ac:dyDescent="0.45">
      <c r="B1017" s="1942"/>
      <c r="C1017" s="1945"/>
      <c r="D1017" s="1909" t="str">
        <f ca="1">IF(G1012&gt;0,CONCATENATE("Equivalent Pace: ",
TEXT(INDEX(sessions_pace_primary,INDEX(plan_session_allocation,(WEEKDAY(E$3,2)*2-1)+IF(E1012="Morning",0,1),D1012)),"m:ss"),
" min/km"
),"")</f>
        <v/>
      </c>
      <c r="E1017" s="1910"/>
      <c r="F1017" s="1911" t="str">
        <f ca="1">IF(G1012&gt;0, INDEX(final_duration_WU,((WEEKDAY(E$3,2)*2-1)+IF(E1012="Morning",0,1)),D1012)  + INDEX(final_duration_WD,((WEEKDAY(E$3,2)*2-1)+IF(E1012="Morning",0,1)),D1012), "")</f>
        <v/>
      </c>
      <c r="G1017" s="1912"/>
      <c r="H1017" s="178"/>
      <c r="I1017" s="1909" t="str">
        <f ca="1">IF(L1012&gt;0,CONCATENATE("Equivalent Pace: ",
TEXT(INDEX(sessions_pace_primary,INDEX(plan_session_allocation,(WEEKDAY(J$3,2)*2-1)+IF(J1012="Morning",0,1),I1012)),"m:ss"),
" min/km"
),"")</f>
        <v/>
      </c>
      <c r="J1017" s="1910"/>
      <c r="K1017" s="1911" t="str">
        <f ca="1">IF(L1012&gt;0, INDEX(final_duration_WU,((WEEKDAY(J$3,2)*2-1)+IF(J1012="Morning",0,1)),I1012)  + INDEX(final_duration_WD,((WEEKDAY(J$3,2)*2-1)+IF(J1012="Morning",0,1)),I1012), "")</f>
        <v/>
      </c>
      <c r="L1017" s="1912"/>
      <c r="M1017" s="178"/>
      <c r="N1017" s="1909" t="str">
        <f ca="1">IF(Q1012&gt;0,CONCATENATE("Equivalent Pace: ",
TEXT(INDEX(sessions_pace_primary,INDEX(plan_session_allocation,(WEEKDAY(O$3,2)*2-1)+IF(O1012="Morning",0,1),N1012)),"m:ss"),
" min/km"
),"")</f>
        <v/>
      </c>
      <c r="O1017" s="1910"/>
      <c r="P1017" s="1911" t="str">
        <f ca="1">IF(Q1012&gt;0, INDEX(final_duration_WU,((WEEKDAY(O$3,2)*2-1)+IF(O1012="Morning",0,1)),N1012)  + INDEX(final_duration_WD,((WEEKDAY(O$3,2)*2-1)+IF(O1012="Morning",0,1)),N1012), "")</f>
        <v/>
      </c>
      <c r="Q1017" s="1912"/>
      <c r="R1017" s="178"/>
      <c r="S1017" s="1909" t="str">
        <f ca="1">IF(V1012&gt;0,CONCATENATE("Equivalent Pace: ",
TEXT(INDEX(sessions_pace_primary,INDEX(plan_session_allocation,(WEEKDAY(T$3,2)*2-1)+IF(T1012="Morning",0,1),S1012)),"m:ss"),
" min/km"
),"")</f>
        <v>Equivalent Pace: 4:39 min/km</v>
      </c>
      <c r="T1017" s="1910"/>
      <c r="U1017" s="1911">
        <f ca="1">IF(V1012&gt;0, INDEX(final_duration_WU,((WEEKDAY(T$3,2)*2-1)+IF(T1012="Morning",0,1)),S1012)  + INDEX(final_duration_WD,((WEEKDAY(T$3,2)*2-1)+IF(T1012="Morning",0,1)),S1012), "")</f>
        <v>0</v>
      </c>
      <c r="V1017" s="1912"/>
      <c r="W1017" s="178"/>
      <c r="X1017" s="1909" t="str">
        <f ca="1">IF(AA1012&gt;0,CONCATENATE("Equivalent Pace: ",
TEXT(INDEX(sessions_pace_primary,INDEX(plan_session_allocation,(WEEKDAY(Y$3,2)*2-1)+IF(Y1012="Morning",0,1),X1012)),"m:ss"),
" min/km"
),"")</f>
        <v>Equivalent Pace: 4:39 min/km</v>
      </c>
      <c r="Y1017" s="1910"/>
      <c r="Z1017" s="1911">
        <f ca="1">IF(AA1012&gt;0, INDEX(final_duration_WU,((WEEKDAY(Y$3,2)*2-1)+IF(Y1012="Morning",0,1)),X1012)  + INDEX(final_duration_WD,((WEEKDAY(Y$3,2)*2-1)+IF(Y1012="Morning",0,1)),X1012), "")</f>
        <v>0</v>
      </c>
      <c r="AA1017" s="1912"/>
      <c r="AB1017" s="178"/>
      <c r="AC1017" s="1909" t="str">
        <f ca="1">IF(AF1012&gt;0,CONCATENATE("Equivalent Pace: ",
TEXT(INDEX(sessions_pace_primary,INDEX(plan_session_allocation,(WEEKDAY(AD$3,2)*2-1)+IF(AD1012="Morning",0,1),AC1012)),"m:ss"),
" min/km"
),"")</f>
        <v>Equivalent Pace: 3:34 min/km</v>
      </c>
      <c r="AD1017" s="1910"/>
      <c r="AE1017" s="1911">
        <f ca="1">IF(AF1012&gt;0, INDEX(final_duration_WU,((WEEKDAY(AD$3,2)*2-1)+IF(AD1012="Morning",0,1)),AC1012)  + INDEX(final_duration_WD,((WEEKDAY(AD$3,2)*2-1)+IF(AD1012="Morning",0,1)),AC1012), "")</f>
        <v>30</v>
      </c>
      <c r="AF1017" s="1912"/>
      <c r="AG1017" s="178"/>
      <c r="AH1017" s="1909" t="str">
        <f ca="1">IF(AK1012&gt;0,CONCATENATE("Equivalent Pace: ",
TEXT(INDEX(sessions_pace_primary,INDEX(plan_session_allocation,(WEEKDAY(AI$3,2)*2-1)+IF(AI1012="Morning",0,1),AH1012)),"m:ss"),
" min/km"
),"")</f>
        <v/>
      </c>
      <c r="AI1017" s="1910"/>
      <c r="AJ1017" s="1911" t="str">
        <f ca="1">IF(AK1012&gt;0, INDEX(final_duration_WU,((WEEKDAY(AI$3,2)*2-1)+IF(AI1012="Morning",0,1)),AH1012)  + INDEX(final_duration_WD,((WEEKDAY(AI$3,2)*2-1)+IF(AI1012="Morning",0,1)),AH1012), "")</f>
        <v/>
      </c>
      <c r="AK1017" s="1912"/>
      <c r="AL1017" s="178"/>
    </row>
    <row r="1018" spans="2:38" s="180" customFormat="1" ht="15" customHeight="1" x14ac:dyDescent="0.45">
      <c r="B1018" s="1942"/>
      <c r="C1018" s="1945"/>
      <c r="D1018" s="1913" t="str">
        <f ca="1">IF(G1012&gt;0,CONCATENATE(IFERROR(CONCATENATE(IF(INDEX(display_intervals_breakdown,((WEEKDAY(E$3,2)*2-1)+IF(E1012="Morning",0,1)),D1012)="","",CONCATENATE("Intervals/Reps Breakdown: 
",INDEX(display_intervals_breakdown,((WEEKDAY(E$3,2)*2-1)+IF(E1012="Morning",0,1)),D1012),"
")),"Session Description: 
",CONCATENATE(IF(INDEX(final_duration_secondary,((WEEKDAY(E$3,2)*2-1)+IF(E1012="Morning",0,1)),D1012)=0,"","1. "),
INDEX(sessions_description_primary,,INDEX(plan_session_allocation,((WEEKDAY(E$3,2)*2-1)+IF(E1012="Morning",0,1)),D1012)),IF(INDEX(final_duration_secondary,((WEEKDAY(E$3,2)*2-1)+IF(E1012="Morning",0,1)),D1012)=0,"","
2. "),
IF(INDEX(final_duration_secondary,((WEEKDAY(E$3,2)*2-1)+IF(E1012="Morning",0,1)),D1012)=0,"",INDEX(sessions_description_secondary,,INDEX(plan_session_allocation,((WEEKDAY(E$3,2)*2-1)+IF(E1012="Morning",0,1)),D1012))),IF(INDEX(final_duration_tertiary,((WEEKDAY(E$3,2)*2-1)+IF(E1012="Morning",0,1)),D1012)=0,"","
3. "),
IF(INDEX(final_duration_tertiary,((WEEKDAY(E$3,2)*2-1)+IF(E1012="Morning",0,1)),D1012)="","",INDEX(sessions_description_tertiary,,INDEX(plan_session_allocation,((WEEKDAY(E$3,2)*2-1)+IF(E1012="Morning",0,1)),D1012))),
IF(INDEX(display_nutrition_description,((WEEKDAY(E$3,2)*2-1)+IF(E1012="Morning",0,1)),D1012)="","",
CONCATENATE("
Meal Plan: ", INDEX(sessions_nutrition,,INDEX(plan_session_allocation,((WEEKDAY(E$3,2)*2-1)+IF(E1012="Morning",0,1)),D1012)), "
", INDEX(display_nutrition_description,((WEEKDAY(E$3,2)*2-1)+IF(E1012="Morning",0,1)),D1012)))
)),"")),"")</f>
        <v/>
      </c>
      <c r="E1018" s="1914"/>
      <c r="F1018" s="1914"/>
      <c r="G1018" s="1915"/>
      <c r="I1018" s="1913" t="str">
        <f ca="1">IF(L1012&gt;0,CONCATENATE(IFERROR(CONCATENATE(IF(INDEX(display_intervals_breakdown,((WEEKDAY(J$3,2)*2-1)+IF(J1012="Morning",0,1)),I1012)="","",CONCATENATE("Intervals/Reps Breakdown: 
",INDEX(display_intervals_breakdown,((WEEKDAY(J$3,2)*2-1)+IF(J1012="Morning",0,1)),I1012),"
")),"Session Description: 
",CONCATENATE(IF(INDEX(final_duration_secondary,((WEEKDAY(J$3,2)*2-1)+IF(J1012="Morning",0,1)),I1012)=0,"","1. "),
INDEX(sessions_description_primary,,INDEX(plan_session_allocation,((WEEKDAY(J$3,2)*2-1)+IF(J1012="Morning",0,1)),I1012)),IF(INDEX(final_duration_secondary,((WEEKDAY(J$3,2)*2-1)+IF(J1012="Morning",0,1)),I1012)=0,"","
2. "),
IF(INDEX(final_duration_secondary,((WEEKDAY(J$3,2)*2-1)+IF(J1012="Morning",0,1)),I1012)=0,"",INDEX(sessions_description_secondary,,INDEX(plan_session_allocation,((WEEKDAY(J$3,2)*2-1)+IF(J1012="Morning",0,1)),I1012))),IF(INDEX(final_duration_tertiary,((WEEKDAY(J$3,2)*2-1)+IF(J1012="Morning",0,1)),I1012)=0,"","
3. "),
IF(INDEX(final_duration_tertiary,((WEEKDAY(J$3,2)*2-1)+IF(J1012="Morning",0,1)),I1012)="","",INDEX(sessions_description_tertiary,,INDEX(plan_session_allocation,((WEEKDAY(J$3,2)*2-1)+IF(J1012="Morning",0,1)),I1012))),
IF(INDEX(display_nutrition_description,((WEEKDAY(J$3,2)*2-1)+IF(J1012="Morning",0,1)),I1012)="","",
CONCATENATE("
Meal Plan: ", INDEX(sessions_nutrition,,INDEX(plan_session_allocation,((WEEKDAY(J$3,2)*2-1)+IF(J1012="Morning",0,1)),I1012)), "
", INDEX(display_nutrition_description,((WEEKDAY(J$3,2)*2-1)+IF(J1012="Morning",0,1)),I1012)))
)),"")),"")</f>
        <v/>
      </c>
      <c r="J1018" s="1914"/>
      <c r="K1018" s="1914"/>
      <c r="L1018" s="1915"/>
      <c r="N1018" s="1913" t="str">
        <f ca="1">IF(Q1012&gt;0,CONCATENATE(IFERROR(CONCATENATE(IF(INDEX(display_intervals_breakdown,((WEEKDAY(O$3,2)*2-1)+IF(O1012="Morning",0,1)),N1012)="","",CONCATENATE("Intervals/Reps Breakdown: 
",INDEX(display_intervals_breakdown,((WEEKDAY(O$3,2)*2-1)+IF(O1012="Morning",0,1)),N1012),"
")),"Session Description: 
",CONCATENATE(IF(INDEX(final_duration_secondary,((WEEKDAY(O$3,2)*2-1)+IF(O1012="Morning",0,1)),N1012)=0,"","1. "),
INDEX(sessions_description_primary,,INDEX(plan_session_allocation,((WEEKDAY(O$3,2)*2-1)+IF(O1012="Morning",0,1)),N1012)),IF(INDEX(final_duration_secondary,((WEEKDAY(O$3,2)*2-1)+IF(O1012="Morning",0,1)),N1012)=0,"","
2. "),
IF(INDEX(final_duration_secondary,((WEEKDAY(O$3,2)*2-1)+IF(O1012="Morning",0,1)),N1012)=0,"",INDEX(sessions_description_secondary,,INDEX(plan_session_allocation,((WEEKDAY(O$3,2)*2-1)+IF(O1012="Morning",0,1)),N1012))),IF(INDEX(final_duration_tertiary,((WEEKDAY(O$3,2)*2-1)+IF(O1012="Morning",0,1)),N1012)=0,"","
3. "),
IF(INDEX(final_duration_tertiary,((WEEKDAY(O$3,2)*2-1)+IF(O1012="Morning",0,1)),N1012)="","",INDEX(sessions_description_tertiary,,INDEX(plan_session_allocation,((WEEKDAY(O$3,2)*2-1)+IF(O1012="Morning",0,1)),N1012))),
IF(INDEX(display_nutrition_description,((WEEKDAY(O$3,2)*2-1)+IF(O1012="Morning",0,1)),N1012)="","",
CONCATENATE("
Meal Plan: ", INDEX(sessions_nutrition,,INDEX(plan_session_allocation,((WEEKDAY(O$3,2)*2-1)+IF(O1012="Morning",0,1)),N1012)), "
", INDEX(display_nutrition_description,((WEEKDAY(O$3,2)*2-1)+IF(O1012="Morning",0,1)),N1012)))
)),"")),"")</f>
        <v/>
      </c>
      <c r="O1018" s="1914"/>
      <c r="P1018" s="1914"/>
      <c r="Q1018" s="1915"/>
      <c r="S1018" s="1913" t="str">
        <f ca="1">IF(V1012&gt;0,CONCATENATE(IFERROR(CONCATENATE(IF(INDEX(display_intervals_breakdown,((WEEKDAY(T$3,2)*2-1)+IF(T1012="Morning",0,1)),S1012)="","",CONCATENATE("Intervals/Reps Breakdown: 
",INDEX(display_intervals_breakdown,((WEEKDAY(T$3,2)*2-1)+IF(T1012="Morning",0,1)),S1012),"
")),"Session Description: 
",CONCATENATE(IF(INDEX(final_duration_secondary,((WEEKDAY(T$3,2)*2-1)+IF(T1012="Morning",0,1)),S1012)=0,"","1. "),
INDEX(sessions_description_primary,,INDEX(plan_session_allocation,((WEEKDAY(T$3,2)*2-1)+IF(T1012="Morning",0,1)),S1012)),IF(INDEX(final_duration_secondary,((WEEKDAY(T$3,2)*2-1)+IF(T1012="Morning",0,1)),S1012)=0,"","
2. "),
IF(INDEX(final_duration_secondary,((WEEKDAY(T$3,2)*2-1)+IF(T1012="Morning",0,1)),S1012)=0,"",INDEX(sessions_description_secondary,,INDEX(plan_session_allocation,((WEEKDAY(T$3,2)*2-1)+IF(T1012="Morning",0,1)),S1012))),IF(INDEX(final_duration_tertiary,((WEEKDAY(T$3,2)*2-1)+IF(T1012="Morning",0,1)),S1012)=0,"","
3. "),
IF(INDEX(final_duration_tertiary,((WEEKDAY(T$3,2)*2-1)+IF(T1012="Morning",0,1)),S1012)="","",INDEX(sessions_description_tertiary,,INDEX(plan_session_allocation,((WEEKDAY(T$3,2)*2-1)+IF(T1012="Morning",0,1)),S1012))),
IF(INDEX(display_nutrition_description,((WEEKDAY(T$3,2)*2-1)+IF(T1012="Morning",0,1)),S1012)="","",
CONCATENATE("
Meal Plan: ", INDEX(sessions_nutrition,,INDEX(plan_session_allocation,((WEEKDAY(T$3,2)*2-1)+IF(T1012="Morning",0,1)),S1012)), "
", INDEX(display_nutrition_description,((WEEKDAY(T$3,2)*2-1)+IF(T1012="Morning",0,1)),S1012)))
)),"")),"")</f>
        <v>Session Description: 
Stay at a comfortable and controlled intensity where you should be able to have a conversation without large pauses. Keep an even intensity and accept that your pace may change as the terrain changes.</v>
      </c>
      <c r="T1018" s="1914"/>
      <c r="U1018" s="1914"/>
      <c r="V1018" s="1915"/>
      <c r="X1018" s="1913" t="str">
        <f ca="1">IF(AA1012&gt;0,CONCATENATE(IFERROR(CONCATENATE(IF(INDEX(display_intervals_breakdown,((WEEKDAY(Y$3,2)*2-1)+IF(Y1012="Morning",0,1)),X1012)="","",CONCATENATE("Intervals/Reps Breakdown: 
",INDEX(display_intervals_breakdown,((WEEKDAY(Y$3,2)*2-1)+IF(Y1012="Morning",0,1)),X1012),"
")),"Session Description: 
",CONCATENATE(IF(INDEX(final_duration_secondary,((WEEKDAY(Y$3,2)*2-1)+IF(Y1012="Morning",0,1)),X1012)=0,"","1. "),
INDEX(sessions_description_primary,,INDEX(plan_session_allocation,((WEEKDAY(Y$3,2)*2-1)+IF(Y1012="Morning",0,1)),X1012)),IF(INDEX(final_duration_secondary,((WEEKDAY(Y$3,2)*2-1)+IF(Y1012="Morning",0,1)),X1012)=0,"","
2. "),
IF(INDEX(final_duration_secondary,((WEEKDAY(Y$3,2)*2-1)+IF(Y1012="Morning",0,1)),X1012)=0,"",INDEX(sessions_description_secondary,,INDEX(plan_session_allocation,((WEEKDAY(Y$3,2)*2-1)+IF(Y1012="Morning",0,1)),X1012))),IF(INDEX(final_duration_tertiary,((WEEKDAY(Y$3,2)*2-1)+IF(Y1012="Morning",0,1)),X1012)=0,"","
3. "),
IF(INDEX(final_duration_tertiary,((WEEKDAY(Y$3,2)*2-1)+IF(Y1012="Morning",0,1)),X1012)="","",INDEX(sessions_description_tertiary,,INDEX(plan_session_allocation,((WEEKDAY(Y$3,2)*2-1)+IF(Y1012="Morning",0,1)),X1012))),
IF(INDEX(display_nutrition_description,((WEEKDAY(Y$3,2)*2-1)+IF(Y1012="Morning",0,1)),X1012)="","",
CONCATENATE("
Meal Plan: ", INDEX(sessions_nutrition,,INDEX(plan_session_allocation,((WEEKDAY(Y$3,2)*2-1)+IF(Y1012="Morning",0,1)),X1012)), "
", INDEX(display_nutrition_description,((WEEKDAY(Y$3,2)*2-1)+IF(Y1012="Morning",0,1)),X1012)))
)),"")),"")</f>
        <v>Session Description: 
Stay at a comfortable and controlled intensity where you should be able to have a conversation without large pauses. Keep an even intensity and accept that your pace may change as the terrain changes.</v>
      </c>
      <c r="Y1018" s="1914"/>
      <c r="Z1018" s="1914"/>
      <c r="AA1018" s="1915"/>
      <c r="AC1018" s="1913" t="str">
        <f ca="1">IF(AF1012&gt;0,CONCATENATE(IFERROR(CONCATENATE(IF(INDEX(display_intervals_breakdown,((WEEKDAY(AD$3,2)*2-1)+IF(AD1012="Morning",0,1)),AC1012)="","",CONCATENATE("Intervals/Reps Breakdown: 
",INDEX(display_intervals_breakdown,((WEEKDAY(AD$3,2)*2-1)+IF(AD1012="Morning",0,1)),AC1012),"
")),"Session Description: 
",CONCATENATE(IF(INDEX(final_duration_secondary,((WEEKDAY(AD$3,2)*2-1)+IF(AD1012="Morning",0,1)),AC1012)=0,"","1. "),
INDEX(sessions_description_primary,,INDEX(plan_session_allocation,((WEEKDAY(AD$3,2)*2-1)+IF(AD1012="Morning",0,1)),AC1012)),IF(INDEX(final_duration_secondary,((WEEKDAY(AD$3,2)*2-1)+IF(AD1012="Morning",0,1)),AC1012)=0,"","
2. "),
IF(INDEX(final_duration_secondary,((WEEKDAY(AD$3,2)*2-1)+IF(AD1012="Morning",0,1)),AC1012)=0,"",INDEX(sessions_description_secondary,,INDEX(plan_session_allocation,((WEEKDAY(AD$3,2)*2-1)+IF(AD1012="Morning",0,1)),AC1012))),IF(INDEX(final_duration_tertiary,((WEEKDAY(AD$3,2)*2-1)+IF(AD1012="Morning",0,1)),AC1012)=0,"","
3. "),
IF(INDEX(final_duration_tertiary,((WEEKDAY(AD$3,2)*2-1)+IF(AD1012="Morning",0,1)),AC1012)="","",INDEX(sessions_description_tertiary,,INDEX(plan_session_allocation,((WEEKDAY(AD$3,2)*2-1)+IF(AD1012="Morning",0,1)),AC1012))),
IF(INDEX(display_nutrition_description,((WEEKDAY(AD$3,2)*2-1)+IF(AD1012="Morning",0,1)),AC1012)="","",
CONCATENATE("
Meal Plan: ", INDEX(sessions_nutrition,,INDEX(plan_session_allocation,((WEEKDAY(AD$3,2)*2-1)+IF(AD1012="Morning",0,1)),AC1012)), "
", INDEX(display_nutrition_description,((WEEKDAY(AD$3,2)*2-1)+IF(AD1012="Morning",0,1)),AC1012)))
)),"")),"")</f>
        <v>Session Description: 
The exact intensity will change depending on the length of the race. This optimum intensity can be found though a mix of natural urgency and reasoning with what your body is telling you.</v>
      </c>
      <c r="AD1018" s="1914"/>
      <c r="AE1018" s="1914"/>
      <c r="AF1018" s="1915"/>
      <c r="AH1018" s="1913" t="str">
        <f ca="1">IF(AK1012&gt;0,CONCATENATE(IFERROR(CONCATENATE(IF(INDEX(display_intervals_breakdown,((WEEKDAY(AI$3,2)*2-1)+IF(AI1012="Morning",0,1)),AH1012)="","",CONCATENATE("Intervals/Reps Breakdown: 
",INDEX(display_intervals_breakdown,((WEEKDAY(AI$3,2)*2-1)+IF(AI1012="Morning",0,1)),AH1012),"
")),"Session Description: 
",CONCATENATE(IF(INDEX(final_duration_secondary,((WEEKDAY(AI$3,2)*2-1)+IF(AI1012="Morning",0,1)),AH1012)=0,"","1. "),
INDEX(sessions_description_primary,,INDEX(plan_session_allocation,((WEEKDAY(AI$3,2)*2-1)+IF(AI1012="Morning",0,1)),AH1012)),IF(INDEX(final_duration_secondary,((WEEKDAY(AI$3,2)*2-1)+IF(AI1012="Morning",0,1)),AH1012)=0,"","
2. "),
IF(INDEX(final_duration_secondary,((WEEKDAY(AI$3,2)*2-1)+IF(AI1012="Morning",0,1)),AH1012)=0,"",INDEX(sessions_description_secondary,,INDEX(plan_session_allocation,((WEEKDAY(AI$3,2)*2-1)+IF(AI1012="Morning",0,1)),AH1012))),IF(INDEX(final_duration_tertiary,((WEEKDAY(AI$3,2)*2-1)+IF(AI1012="Morning",0,1)),AH1012)=0,"","
3. "),
IF(INDEX(final_duration_tertiary,((WEEKDAY(AI$3,2)*2-1)+IF(AI1012="Morning",0,1)),AH1012)="","",INDEX(sessions_description_tertiary,,INDEX(plan_session_allocation,((WEEKDAY(AI$3,2)*2-1)+IF(AI1012="Morning",0,1)),AH1012))),
IF(INDEX(display_nutrition_description,((WEEKDAY(AI$3,2)*2-1)+IF(AI1012="Morning",0,1)),AH1012)="","",
CONCATENATE("
Meal Plan: ", INDEX(sessions_nutrition,,INDEX(plan_session_allocation,((WEEKDAY(AI$3,2)*2-1)+IF(AI1012="Morning",0,1)),AH1012)), "
", INDEX(display_nutrition_description,((WEEKDAY(AI$3,2)*2-1)+IF(AI1012="Morning",0,1)),AH1012)))
)),"")),"")</f>
        <v/>
      </c>
      <c r="AI1018" s="1914"/>
      <c r="AJ1018" s="1914"/>
      <c r="AK1018" s="1915"/>
    </row>
    <row r="1019" spans="2:38" s="180" customFormat="1" x14ac:dyDescent="0.45">
      <c r="B1019" s="1942"/>
      <c r="C1019" s="1945"/>
      <c r="D1019" s="1916"/>
      <c r="E1019" s="1917"/>
      <c r="F1019" s="1917"/>
      <c r="G1019" s="1918"/>
      <c r="I1019" s="1916"/>
      <c r="J1019" s="1917"/>
      <c r="K1019" s="1917"/>
      <c r="L1019" s="1918"/>
      <c r="N1019" s="1916"/>
      <c r="O1019" s="1917"/>
      <c r="P1019" s="1917"/>
      <c r="Q1019" s="1918"/>
      <c r="S1019" s="1916"/>
      <c r="T1019" s="1917"/>
      <c r="U1019" s="1917"/>
      <c r="V1019" s="1918"/>
      <c r="X1019" s="1916"/>
      <c r="Y1019" s="1917"/>
      <c r="Z1019" s="1917"/>
      <c r="AA1019" s="1918"/>
      <c r="AC1019" s="1916"/>
      <c r="AD1019" s="1917"/>
      <c r="AE1019" s="1917"/>
      <c r="AF1019" s="1918"/>
      <c r="AH1019" s="1916"/>
      <c r="AI1019" s="1917"/>
      <c r="AJ1019" s="1917"/>
      <c r="AK1019" s="1918"/>
    </row>
    <row r="1020" spans="2:38" s="180" customFormat="1" x14ac:dyDescent="0.45">
      <c r="B1020" s="1942"/>
      <c r="C1020" s="1945"/>
      <c r="D1020" s="1916"/>
      <c r="E1020" s="1917"/>
      <c r="F1020" s="1917"/>
      <c r="G1020" s="1918"/>
      <c r="I1020" s="1916"/>
      <c r="J1020" s="1917"/>
      <c r="K1020" s="1917"/>
      <c r="L1020" s="1918"/>
      <c r="N1020" s="1916"/>
      <c r="O1020" s="1917"/>
      <c r="P1020" s="1917"/>
      <c r="Q1020" s="1918"/>
      <c r="S1020" s="1916"/>
      <c r="T1020" s="1917"/>
      <c r="U1020" s="1917"/>
      <c r="V1020" s="1918"/>
      <c r="X1020" s="1916"/>
      <c r="Y1020" s="1917"/>
      <c r="Z1020" s="1917"/>
      <c r="AA1020" s="1918"/>
      <c r="AC1020" s="1916"/>
      <c r="AD1020" s="1917"/>
      <c r="AE1020" s="1917"/>
      <c r="AF1020" s="1918"/>
      <c r="AH1020" s="1916"/>
      <c r="AI1020" s="1917"/>
      <c r="AJ1020" s="1917"/>
      <c r="AK1020" s="1918"/>
    </row>
    <row r="1021" spans="2:38" s="180" customFormat="1" x14ac:dyDescent="0.45">
      <c r="B1021" s="1942"/>
      <c r="C1021" s="1945"/>
      <c r="D1021" s="1916"/>
      <c r="E1021" s="1917"/>
      <c r="F1021" s="1917"/>
      <c r="G1021" s="1918"/>
      <c r="I1021" s="1916"/>
      <c r="J1021" s="1917"/>
      <c r="K1021" s="1917"/>
      <c r="L1021" s="1918"/>
      <c r="N1021" s="1916"/>
      <c r="O1021" s="1917"/>
      <c r="P1021" s="1917"/>
      <c r="Q1021" s="1918"/>
      <c r="S1021" s="1916"/>
      <c r="T1021" s="1917"/>
      <c r="U1021" s="1917"/>
      <c r="V1021" s="1918"/>
      <c r="X1021" s="1916"/>
      <c r="Y1021" s="1917"/>
      <c r="Z1021" s="1917"/>
      <c r="AA1021" s="1918"/>
      <c r="AC1021" s="1916"/>
      <c r="AD1021" s="1917"/>
      <c r="AE1021" s="1917"/>
      <c r="AF1021" s="1918"/>
      <c r="AH1021" s="1916"/>
      <c r="AI1021" s="1917"/>
      <c r="AJ1021" s="1917"/>
      <c r="AK1021" s="1918"/>
    </row>
    <row r="1022" spans="2:38" s="180" customFormat="1" x14ac:dyDescent="0.45">
      <c r="B1022" s="1942"/>
      <c r="C1022" s="1945"/>
      <c r="D1022" s="1916"/>
      <c r="E1022" s="1917"/>
      <c r="F1022" s="1917"/>
      <c r="G1022" s="1918"/>
      <c r="I1022" s="1916"/>
      <c r="J1022" s="1917"/>
      <c r="K1022" s="1917"/>
      <c r="L1022" s="1918"/>
      <c r="N1022" s="1916"/>
      <c r="O1022" s="1917"/>
      <c r="P1022" s="1917"/>
      <c r="Q1022" s="1918"/>
      <c r="S1022" s="1916"/>
      <c r="T1022" s="1917"/>
      <c r="U1022" s="1917"/>
      <c r="V1022" s="1918"/>
      <c r="X1022" s="1916"/>
      <c r="Y1022" s="1917"/>
      <c r="Z1022" s="1917"/>
      <c r="AA1022" s="1918"/>
      <c r="AC1022" s="1916"/>
      <c r="AD1022" s="1917"/>
      <c r="AE1022" s="1917"/>
      <c r="AF1022" s="1918"/>
      <c r="AH1022" s="1916"/>
      <c r="AI1022" s="1917"/>
      <c r="AJ1022" s="1917"/>
      <c r="AK1022" s="1918"/>
    </row>
    <row r="1023" spans="2:38" s="180" customFormat="1" x14ac:dyDescent="0.45">
      <c r="B1023" s="1942"/>
      <c r="C1023" s="1945"/>
      <c r="D1023" s="1916"/>
      <c r="E1023" s="1917"/>
      <c r="F1023" s="1917"/>
      <c r="G1023" s="1918"/>
      <c r="I1023" s="1916"/>
      <c r="J1023" s="1917"/>
      <c r="K1023" s="1917"/>
      <c r="L1023" s="1918"/>
      <c r="N1023" s="1916"/>
      <c r="O1023" s="1917"/>
      <c r="P1023" s="1917"/>
      <c r="Q1023" s="1918"/>
      <c r="S1023" s="1916"/>
      <c r="T1023" s="1917"/>
      <c r="U1023" s="1917"/>
      <c r="V1023" s="1918"/>
      <c r="X1023" s="1916"/>
      <c r="Y1023" s="1917"/>
      <c r="Z1023" s="1917"/>
      <c r="AA1023" s="1918"/>
      <c r="AC1023" s="1916"/>
      <c r="AD1023" s="1917"/>
      <c r="AE1023" s="1917"/>
      <c r="AF1023" s="1918"/>
      <c r="AH1023" s="1916"/>
      <c r="AI1023" s="1917"/>
      <c r="AJ1023" s="1917"/>
      <c r="AK1023" s="1918"/>
    </row>
    <row r="1024" spans="2:38" s="180" customFormat="1" x14ac:dyDescent="0.45">
      <c r="B1024" s="1942"/>
      <c r="C1024" s="1945"/>
      <c r="D1024" s="1916"/>
      <c r="E1024" s="1917"/>
      <c r="F1024" s="1917"/>
      <c r="G1024" s="1918"/>
      <c r="I1024" s="1916"/>
      <c r="J1024" s="1917"/>
      <c r="K1024" s="1917"/>
      <c r="L1024" s="1918"/>
      <c r="N1024" s="1916"/>
      <c r="O1024" s="1917"/>
      <c r="P1024" s="1917"/>
      <c r="Q1024" s="1918"/>
      <c r="S1024" s="1916"/>
      <c r="T1024" s="1917"/>
      <c r="U1024" s="1917"/>
      <c r="V1024" s="1918"/>
      <c r="X1024" s="1916"/>
      <c r="Y1024" s="1917"/>
      <c r="Z1024" s="1917"/>
      <c r="AA1024" s="1918"/>
      <c r="AC1024" s="1916"/>
      <c r="AD1024" s="1917"/>
      <c r="AE1024" s="1917"/>
      <c r="AF1024" s="1918"/>
      <c r="AH1024" s="1916"/>
      <c r="AI1024" s="1917"/>
      <c r="AJ1024" s="1917"/>
      <c r="AK1024" s="1918"/>
    </row>
    <row r="1025" spans="2:38" s="180" customFormat="1" ht="15.75" customHeight="1" x14ac:dyDescent="0.45">
      <c r="B1025" s="1942"/>
      <c r="C1025" s="1945"/>
      <c r="D1025" s="1916"/>
      <c r="E1025" s="1917"/>
      <c r="F1025" s="1917"/>
      <c r="G1025" s="1918"/>
      <c r="I1025" s="1916"/>
      <c r="J1025" s="1917"/>
      <c r="K1025" s="1917"/>
      <c r="L1025" s="1918"/>
      <c r="N1025" s="1916"/>
      <c r="O1025" s="1917"/>
      <c r="P1025" s="1917"/>
      <c r="Q1025" s="1918"/>
      <c r="S1025" s="1916"/>
      <c r="T1025" s="1917"/>
      <c r="U1025" s="1917"/>
      <c r="V1025" s="1918"/>
      <c r="X1025" s="1916"/>
      <c r="Y1025" s="1917"/>
      <c r="Z1025" s="1917"/>
      <c r="AA1025" s="1918"/>
      <c r="AC1025" s="1916"/>
      <c r="AD1025" s="1917"/>
      <c r="AE1025" s="1917"/>
      <c r="AF1025" s="1918"/>
      <c r="AH1025" s="1916"/>
      <c r="AI1025" s="1917"/>
      <c r="AJ1025" s="1917"/>
      <c r="AK1025" s="1918"/>
    </row>
    <row r="1026" spans="2:38" s="180" customFormat="1" x14ac:dyDescent="0.45">
      <c r="B1026" s="1942"/>
      <c r="C1026" s="1945"/>
      <c r="D1026" s="1916"/>
      <c r="E1026" s="1917"/>
      <c r="F1026" s="1917"/>
      <c r="G1026" s="1918"/>
      <c r="I1026" s="1916"/>
      <c r="J1026" s="1917"/>
      <c r="K1026" s="1917"/>
      <c r="L1026" s="1918"/>
      <c r="N1026" s="1916"/>
      <c r="O1026" s="1917"/>
      <c r="P1026" s="1917"/>
      <c r="Q1026" s="1918"/>
      <c r="S1026" s="1916"/>
      <c r="T1026" s="1917"/>
      <c r="U1026" s="1917"/>
      <c r="V1026" s="1918"/>
      <c r="X1026" s="1916"/>
      <c r="Y1026" s="1917"/>
      <c r="Z1026" s="1917"/>
      <c r="AA1026" s="1918"/>
      <c r="AC1026" s="1916"/>
      <c r="AD1026" s="1917"/>
      <c r="AE1026" s="1917"/>
      <c r="AF1026" s="1918"/>
      <c r="AH1026" s="1916"/>
      <c r="AI1026" s="1917"/>
      <c r="AJ1026" s="1917"/>
      <c r="AK1026" s="1918"/>
    </row>
    <row r="1027" spans="2:38" s="180" customFormat="1" x14ac:dyDescent="0.45">
      <c r="B1027" s="1942"/>
      <c r="C1027" s="1945"/>
      <c r="D1027" s="1916"/>
      <c r="E1027" s="1917"/>
      <c r="F1027" s="1917"/>
      <c r="G1027" s="1918"/>
      <c r="I1027" s="1916"/>
      <c r="J1027" s="1917"/>
      <c r="K1027" s="1917"/>
      <c r="L1027" s="1918"/>
      <c r="N1027" s="1916"/>
      <c r="O1027" s="1917"/>
      <c r="P1027" s="1917"/>
      <c r="Q1027" s="1918"/>
      <c r="S1027" s="1916"/>
      <c r="T1027" s="1917"/>
      <c r="U1027" s="1917"/>
      <c r="V1027" s="1918"/>
      <c r="X1027" s="1916"/>
      <c r="Y1027" s="1917"/>
      <c r="Z1027" s="1917"/>
      <c r="AA1027" s="1918"/>
      <c r="AC1027" s="1916"/>
      <c r="AD1027" s="1917"/>
      <c r="AE1027" s="1917"/>
      <c r="AF1027" s="1918"/>
      <c r="AH1027" s="1916"/>
      <c r="AI1027" s="1917"/>
      <c r="AJ1027" s="1917"/>
      <c r="AK1027" s="1918"/>
    </row>
    <row r="1028" spans="2:38" s="180" customFormat="1" x14ac:dyDescent="0.45">
      <c r="B1028" s="1942"/>
      <c r="C1028" s="1945"/>
      <c r="D1028" s="1916"/>
      <c r="E1028" s="1917"/>
      <c r="F1028" s="1917"/>
      <c r="G1028" s="1918"/>
      <c r="I1028" s="1916"/>
      <c r="J1028" s="1917"/>
      <c r="K1028" s="1917"/>
      <c r="L1028" s="1918"/>
      <c r="N1028" s="1916"/>
      <c r="O1028" s="1917"/>
      <c r="P1028" s="1917"/>
      <c r="Q1028" s="1918"/>
      <c r="S1028" s="1916"/>
      <c r="T1028" s="1917"/>
      <c r="U1028" s="1917"/>
      <c r="V1028" s="1918"/>
      <c r="X1028" s="1916"/>
      <c r="Y1028" s="1917"/>
      <c r="Z1028" s="1917"/>
      <c r="AA1028" s="1918"/>
      <c r="AC1028" s="1916"/>
      <c r="AD1028" s="1917"/>
      <c r="AE1028" s="1917"/>
      <c r="AF1028" s="1918"/>
      <c r="AH1028" s="1916"/>
      <c r="AI1028" s="1917"/>
      <c r="AJ1028" s="1917"/>
      <c r="AK1028" s="1918"/>
    </row>
    <row r="1029" spans="2:38" s="180" customFormat="1" x14ac:dyDescent="0.45">
      <c r="B1029" s="1942"/>
      <c r="C1029" s="1945"/>
      <c r="D1029" s="1916"/>
      <c r="E1029" s="1917"/>
      <c r="F1029" s="1917"/>
      <c r="G1029" s="1918"/>
      <c r="I1029" s="1916"/>
      <c r="J1029" s="1917"/>
      <c r="K1029" s="1917"/>
      <c r="L1029" s="1918"/>
      <c r="N1029" s="1916"/>
      <c r="O1029" s="1917"/>
      <c r="P1029" s="1917"/>
      <c r="Q1029" s="1918"/>
      <c r="S1029" s="1916"/>
      <c r="T1029" s="1917"/>
      <c r="U1029" s="1917"/>
      <c r="V1029" s="1918"/>
      <c r="X1029" s="1916"/>
      <c r="Y1029" s="1917"/>
      <c r="Z1029" s="1917"/>
      <c r="AA1029" s="1918"/>
      <c r="AC1029" s="1916"/>
      <c r="AD1029" s="1917"/>
      <c r="AE1029" s="1917"/>
      <c r="AF1029" s="1918"/>
      <c r="AH1029" s="1916"/>
      <c r="AI1029" s="1917"/>
      <c r="AJ1029" s="1917"/>
      <c r="AK1029" s="1918"/>
    </row>
    <row r="1030" spans="2:38" s="180" customFormat="1" x14ac:dyDescent="0.45">
      <c r="B1030" s="1942"/>
      <c r="C1030" s="1945"/>
      <c r="D1030" s="1916"/>
      <c r="E1030" s="1917"/>
      <c r="F1030" s="1917"/>
      <c r="G1030" s="1918"/>
      <c r="I1030" s="1916"/>
      <c r="J1030" s="1917"/>
      <c r="K1030" s="1917"/>
      <c r="L1030" s="1918"/>
      <c r="N1030" s="1916"/>
      <c r="O1030" s="1917"/>
      <c r="P1030" s="1917"/>
      <c r="Q1030" s="1918"/>
      <c r="S1030" s="1916"/>
      <c r="T1030" s="1917"/>
      <c r="U1030" s="1917"/>
      <c r="V1030" s="1918"/>
      <c r="X1030" s="1916"/>
      <c r="Y1030" s="1917"/>
      <c r="Z1030" s="1917"/>
      <c r="AA1030" s="1918"/>
      <c r="AC1030" s="1916"/>
      <c r="AD1030" s="1917"/>
      <c r="AE1030" s="1917"/>
      <c r="AF1030" s="1918"/>
      <c r="AH1030" s="1916"/>
      <c r="AI1030" s="1917"/>
      <c r="AJ1030" s="1917"/>
      <c r="AK1030" s="1918"/>
    </row>
    <row r="1031" spans="2:38" s="180" customFormat="1" x14ac:dyDescent="0.45">
      <c r="B1031" s="1942"/>
      <c r="C1031" s="1945"/>
      <c r="D1031" s="1919"/>
      <c r="E1031" s="1920"/>
      <c r="F1031" s="1920"/>
      <c r="G1031" s="1921"/>
      <c r="I1031" s="1919"/>
      <c r="J1031" s="1920"/>
      <c r="K1031" s="1920"/>
      <c r="L1031" s="1921"/>
      <c r="N1031" s="1919"/>
      <c r="O1031" s="1920"/>
      <c r="P1031" s="1920"/>
      <c r="Q1031" s="1921"/>
      <c r="S1031" s="1919"/>
      <c r="T1031" s="1920"/>
      <c r="U1031" s="1920"/>
      <c r="V1031" s="1921"/>
      <c r="X1031" s="1919"/>
      <c r="Y1031" s="1920"/>
      <c r="Z1031" s="1920"/>
      <c r="AA1031" s="1921"/>
      <c r="AC1031" s="1919"/>
      <c r="AD1031" s="1920"/>
      <c r="AE1031" s="1920"/>
      <c r="AF1031" s="1921"/>
      <c r="AH1031" s="1919"/>
      <c r="AI1031" s="1920"/>
      <c r="AJ1031" s="1920"/>
      <c r="AK1031" s="1921"/>
    </row>
    <row r="1032" spans="2:38" s="180" customFormat="1" ht="15" customHeight="1" x14ac:dyDescent="0.45">
      <c r="B1032" s="1942"/>
      <c r="C1032" s="1945"/>
      <c r="D1032" s="1913" t="str">
        <f ca="1">IF(G1012&gt;0,CONCATENATE("Session Aim: 
", CONCATENATE(IF(INDEX(final_duration_secondary,((WEEKDAY(E$3,2)*2-1)+IF(E1012="Morning",0,1)),D1012)=0, "", "1. "),
INDEX(sessions_aim_primary,, INDEX(plan_session_allocation,((WEEKDAY(E$3,2)*2-1)+IF(E1012="Morning",0,1)),D1012)), IF(INDEX(final_duration_secondary,((WEEKDAY(E$3,2)*2-1)+IF(E1012="Morning",0,1)),D1012)=0, "", "
2. "),
IF(INDEX(final_duration_secondary,((WEEKDAY(E$3,2)*2-1)+IF(E1012="Morning",0,1)),D1012)=0, "", INDEX(sessions_aim_secondary,, INDEX(plan_session_allocation,((WEEKDAY(E$3,2)*2-1)+IF(E1012="Morning",0,1)),D1012))), IF(INDEX(final_duration_tertiary,((WEEKDAY(E$3,2)*2-1)+IF(E1012="Morning",0,1)),D1012)=0, "", "
3. "),
IF(INDEX(final_duration_tertiary,((WEEKDAY(E$3,2)*2-1)+IF(E1012="Morning",0,1)),D1012)=0, "", INDEX(sessions_aim_tertiary,, INDEX(plan_session_allocation,((WEEKDAY(E$3,2)*2-1)+IF(E1012="Morning",0,1)),D1012))),
IF(INDEX(display_nutrition_description,((WEEKDAY(E$3,2)*2-1)+IF(E1012="Morning",0,1)),D1012)="","",
CONCATENATE("
Nutrition Aim:
", INDEX(sessions_aim_nutrition,,INDEX(plan_session_allocation,((WEEKDAY(E$3,2)*2-1)+IF(E1012="Morning",0,1)),D1012))
))
)),"")</f>
        <v/>
      </c>
      <c r="E1032" s="1914"/>
      <c r="F1032" s="1914"/>
      <c r="G1032" s="1915"/>
      <c r="I1032" s="1913" t="str">
        <f ca="1">IF(L1012&gt;0,CONCATENATE("Session Aim: 
", CONCATENATE(IF(INDEX(final_duration_secondary,((WEEKDAY(J$3,2)*2-1)+IF(J1012="Morning",0,1)),I1012)=0, "", "1. "),
INDEX(sessions_aim_primary,, INDEX(plan_session_allocation,((WEEKDAY(J$3,2)*2-1)+IF(J1012="Morning",0,1)),I1012)), IF(INDEX(final_duration_secondary,((WEEKDAY(J$3,2)*2-1)+IF(J1012="Morning",0,1)),I1012)=0, "", "
2. "),
IF(INDEX(final_duration_secondary,((WEEKDAY(J$3,2)*2-1)+IF(J1012="Morning",0,1)),I1012)=0, "", INDEX(sessions_aim_secondary,, INDEX(plan_session_allocation,((WEEKDAY(J$3,2)*2-1)+IF(J1012="Morning",0,1)),I1012))), IF(INDEX(final_duration_tertiary,((WEEKDAY(J$3,2)*2-1)+IF(J1012="Morning",0,1)),I1012)=0, "", "
3. "),
IF(INDEX(final_duration_tertiary,((WEEKDAY(J$3,2)*2-1)+IF(J1012="Morning",0,1)),I1012)=0, "", INDEX(sessions_aim_tertiary,, INDEX(plan_session_allocation,((WEEKDAY(J$3,2)*2-1)+IF(J1012="Morning",0,1)),I1012))),
IF(INDEX(display_nutrition_description,((WEEKDAY(J$3,2)*2-1)+IF(J1012="Morning",0,1)),I1012)="","",
CONCATENATE("
Nutrition Aim:
", INDEX(sessions_aim_nutrition,,INDEX(plan_session_allocation,((WEEKDAY(J$3,2)*2-1)+IF(J1012="Morning",0,1)),I1012))
))
)),"")</f>
        <v/>
      </c>
      <c r="J1032" s="1914"/>
      <c r="K1032" s="1914"/>
      <c r="L1032" s="1915"/>
      <c r="N1032" s="1913" t="str">
        <f ca="1">IF(Q1012&gt;0,CONCATENATE("Session Aim: 
", CONCATENATE(IF(INDEX(final_duration_secondary,((WEEKDAY(O$3,2)*2-1)+IF(O1012="Morning",0,1)),N1012)=0, "", "1. "),
INDEX(sessions_aim_primary,, INDEX(plan_session_allocation,((WEEKDAY(O$3,2)*2-1)+IF(O1012="Morning",0,1)),N1012)), IF(INDEX(final_duration_secondary,((WEEKDAY(O$3,2)*2-1)+IF(O1012="Morning",0,1)),N1012)=0, "", "
2. "),
IF(INDEX(final_duration_secondary,((WEEKDAY(O$3,2)*2-1)+IF(O1012="Morning",0,1)),N1012)=0, "", INDEX(sessions_aim_secondary,, INDEX(plan_session_allocation,((WEEKDAY(O$3,2)*2-1)+IF(O1012="Morning",0,1)),N1012))), IF(INDEX(final_duration_tertiary,((WEEKDAY(O$3,2)*2-1)+IF(O1012="Morning",0,1)),N1012)=0, "", "
3. "),
IF(INDEX(final_duration_tertiary,((WEEKDAY(O$3,2)*2-1)+IF(O1012="Morning",0,1)),N1012)=0, "", INDEX(sessions_aim_tertiary,, INDEX(plan_session_allocation,((WEEKDAY(O$3,2)*2-1)+IF(O1012="Morning",0,1)),N1012))),
IF(INDEX(display_nutrition_description,((WEEKDAY(O$3,2)*2-1)+IF(O1012="Morning",0,1)),N1012)="","",
CONCATENATE("
Nutrition Aim:
", INDEX(sessions_aim_nutrition,,INDEX(plan_session_allocation,((WEEKDAY(O$3,2)*2-1)+IF(O1012="Morning",0,1)),N1012))
))
)),"")</f>
        <v/>
      </c>
      <c r="O1032" s="1914"/>
      <c r="P1032" s="1914"/>
      <c r="Q1032" s="1915"/>
      <c r="S1032" s="1913" t="str">
        <f ca="1">IF(V1012&gt;0,CONCATENATE("Session Aim: 
", CONCATENATE(IF(INDEX(final_duration_secondary,((WEEKDAY(T$3,2)*2-1)+IF(T1012="Morning",0,1)),S1012)=0, "", "1. "),
INDEX(sessions_aim_primary,, INDEX(plan_session_allocation,((WEEKDAY(T$3,2)*2-1)+IF(T1012="Morning",0,1)),S1012)), IF(INDEX(final_duration_secondary,((WEEKDAY(T$3,2)*2-1)+IF(T1012="Morning",0,1)),S1012)=0, "", "
2. "),
IF(INDEX(final_duration_secondary,((WEEKDAY(T$3,2)*2-1)+IF(T1012="Morning",0,1)),S1012)=0, "", INDEX(sessions_aim_secondary,, INDEX(plan_session_allocation,((WEEKDAY(T$3,2)*2-1)+IF(T1012="Morning",0,1)),S1012))), IF(INDEX(final_duration_tertiary,((WEEKDAY(T$3,2)*2-1)+IF(T1012="Morning",0,1)),S1012)=0, "", "
3. "),
IF(INDEX(final_duration_tertiary,((WEEKDAY(T$3,2)*2-1)+IF(T1012="Morning",0,1)),S1012)=0, "", INDEX(sessions_aim_tertiary,, INDEX(plan_session_allocation,((WEEKDAY(T$3,2)*2-1)+IF(T1012="Morning",0,1)),S1012))),
IF(INDEX(display_nutrition_description,((WEEKDAY(T$3,2)*2-1)+IF(T1012="Morning",0,1)),S1012)="","",
CONCATENATE("
Nutrition Aim:
", INDEX(sessions_aim_nutrition,,INDEX(plan_session_allocation,((WEEKDAY(T$3,2)*2-1)+IF(T1012="Morning",0,1)),S1012))
))
)),"")</f>
        <v xml:space="preserve">Session Aim: 
Improve aerobic fitness while minimising the chance of injury. </v>
      </c>
      <c r="T1032" s="1914"/>
      <c r="U1032" s="1914"/>
      <c r="V1032" s="1915"/>
      <c r="X1032" s="1913" t="str">
        <f ca="1">IF(AA1012&gt;0,CONCATENATE("Session Aim: 
", CONCATENATE(IF(INDEX(final_duration_secondary,((WEEKDAY(Y$3,2)*2-1)+IF(Y1012="Morning",0,1)),X1012)=0, "", "1. "),
INDEX(sessions_aim_primary,, INDEX(plan_session_allocation,((WEEKDAY(Y$3,2)*2-1)+IF(Y1012="Morning",0,1)),X1012)), IF(INDEX(final_duration_secondary,((WEEKDAY(Y$3,2)*2-1)+IF(Y1012="Morning",0,1)),X1012)=0, "", "
2. "),
IF(INDEX(final_duration_secondary,((WEEKDAY(Y$3,2)*2-1)+IF(Y1012="Morning",0,1)),X1012)=0, "", INDEX(sessions_aim_secondary,, INDEX(plan_session_allocation,((WEEKDAY(Y$3,2)*2-1)+IF(Y1012="Morning",0,1)),X1012))), IF(INDEX(final_duration_tertiary,((WEEKDAY(Y$3,2)*2-1)+IF(Y1012="Morning",0,1)),X1012)=0, "", "
3. "),
IF(INDEX(final_duration_tertiary,((WEEKDAY(Y$3,2)*2-1)+IF(Y1012="Morning",0,1)),X1012)=0, "", INDEX(sessions_aim_tertiary,, INDEX(plan_session_allocation,((WEEKDAY(Y$3,2)*2-1)+IF(Y1012="Morning",0,1)),X1012))),
IF(INDEX(display_nutrition_description,((WEEKDAY(Y$3,2)*2-1)+IF(Y1012="Morning",0,1)),X1012)="","",
CONCATENATE("
Nutrition Aim:
", INDEX(sessions_aim_nutrition,,INDEX(plan_session_allocation,((WEEKDAY(Y$3,2)*2-1)+IF(Y1012="Morning",0,1)),X1012))
))
)),"")</f>
        <v xml:space="preserve">Session Aim: 
Improve aerobic fitness while minimising the chance of injury. </v>
      </c>
      <c r="Y1032" s="1914"/>
      <c r="Z1032" s="1914"/>
      <c r="AA1032" s="1915"/>
      <c r="AC1032" s="1913" t="str">
        <f ca="1">IF(AF1012&gt;0,CONCATENATE("Session Aim: 
", CONCATENATE(IF(INDEX(final_duration_secondary,((WEEKDAY(AD$3,2)*2-1)+IF(AD1012="Morning",0,1)),AC1012)=0, "", "1. "),
INDEX(sessions_aim_primary,, INDEX(plan_session_allocation,((WEEKDAY(AD$3,2)*2-1)+IF(AD1012="Morning",0,1)),AC1012)), IF(INDEX(final_duration_secondary,((WEEKDAY(AD$3,2)*2-1)+IF(AD1012="Morning",0,1)),AC1012)=0, "", "
2. "),
IF(INDEX(final_duration_secondary,((WEEKDAY(AD$3,2)*2-1)+IF(AD1012="Morning",0,1)),AC1012)=0, "", INDEX(sessions_aim_secondary,, INDEX(plan_session_allocation,((WEEKDAY(AD$3,2)*2-1)+IF(AD1012="Morning",0,1)),AC1012))), IF(INDEX(final_duration_tertiary,((WEEKDAY(AD$3,2)*2-1)+IF(AD1012="Morning",0,1)),AC1012)=0, "", "
3. "),
IF(INDEX(final_duration_tertiary,((WEEKDAY(AD$3,2)*2-1)+IF(AD1012="Morning",0,1)),AC1012)=0, "", INDEX(sessions_aim_tertiary,, INDEX(plan_session_allocation,((WEEKDAY(AD$3,2)*2-1)+IF(AD1012="Morning",0,1)),AC1012))),
IF(INDEX(display_nutrition_description,((WEEKDAY(AD$3,2)*2-1)+IF(AD1012="Morning",0,1)),AC1012)="","",
CONCATENATE("
Nutrition Aim:
", INDEX(sessions_aim_nutrition,,INDEX(plan_session_allocation,((WEEKDAY(AD$3,2)*2-1)+IF(AD1012="Morning",0,1)),AC1012))
))
)),"")</f>
        <v>Session Aim: 
Push your physical and mental limits and put tactics and techniques to the test.</v>
      </c>
      <c r="AD1032" s="1914"/>
      <c r="AE1032" s="1914"/>
      <c r="AF1032" s="1915"/>
      <c r="AH1032" s="1913" t="str">
        <f ca="1">IF(AK1012&gt;0,CONCATENATE("Session Aim: 
", CONCATENATE(IF(INDEX(final_duration_secondary,((WEEKDAY(AI$3,2)*2-1)+IF(AI1012="Morning",0,1)),AH1012)=0, "", "1. "),
INDEX(sessions_aim_primary,, INDEX(plan_session_allocation,((WEEKDAY(AI$3,2)*2-1)+IF(AI1012="Morning",0,1)),AH1012)), IF(INDEX(final_duration_secondary,((WEEKDAY(AI$3,2)*2-1)+IF(AI1012="Morning",0,1)),AH1012)=0, "", "
2. "),
IF(INDEX(final_duration_secondary,((WEEKDAY(AI$3,2)*2-1)+IF(AI1012="Morning",0,1)),AH1012)=0, "", INDEX(sessions_aim_secondary,, INDEX(plan_session_allocation,((WEEKDAY(AI$3,2)*2-1)+IF(AI1012="Morning",0,1)),AH1012))), IF(INDEX(final_duration_tertiary,((WEEKDAY(AI$3,2)*2-1)+IF(AI1012="Morning",0,1)),AH1012)=0, "", "
3. "),
IF(INDEX(final_duration_tertiary,((WEEKDAY(AI$3,2)*2-1)+IF(AI1012="Morning",0,1)),AH1012)=0, "", INDEX(sessions_aim_tertiary,, INDEX(plan_session_allocation,((WEEKDAY(AI$3,2)*2-1)+IF(AI1012="Morning",0,1)),AH1012))),
IF(INDEX(display_nutrition_description,((WEEKDAY(AI$3,2)*2-1)+IF(AI1012="Morning",0,1)),AH1012)="","",
CONCATENATE("
Nutrition Aim:
", INDEX(sessions_aim_nutrition,,INDEX(plan_session_allocation,((WEEKDAY(AI$3,2)*2-1)+IF(AI1012="Morning",0,1)),AH1012))
))
)),"")</f>
        <v/>
      </c>
      <c r="AI1032" s="1914"/>
      <c r="AJ1032" s="1914"/>
      <c r="AK1032" s="1915"/>
    </row>
    <row r="1033" spans="2:38" s="180" customFormat="1" x14ac:dyDescent="0.45">
      <c r="B1033" s="1942"/>
      <c r="C1033" s="1945"/>
      <c r="D1033" s="1916"/>
      <c r="E1033" s="1917"/>
      <c r="F1033" s="1917"/>
      <c r="G1033" s="1918"/>
      <c r="I1033" s="1916"/>
      <c r="J1033" s="1917"/>
      <c r="K1033" s="1917"/>
      <c r="L1033" s="1918"/>
      <c r="N1033" s="1916"/>
      <c r="O1033" s="1917"/>
      <c r="P1033" s="1917"/>
      <c r="Q1033" s="1918"/>
      <c r="S1033" s="1916"/>
      <c r="T1033" s="1917"/>
      <c r="U1033" s="1917"/>
      <c r="V1033" s="1918"/>
      <c r="X1033" s="1916"/>
      <c r="Y1033" s="1917"/>
      <c r="Z1033" s="1917"/>
      <c r="AA1033" s="1918"/>
      <c r="AC1033" s="1916"/>
      <c r="AD1033" s="1917"/>
      <c r="AE1033" s="1917"/>
      <c r="AF1033" s="1918"/>
      <c r="AH1033" s="1916"/>
      <c r="AI1033" s="1917"/>
      <c r="AJ1033" s="1917"/>
      <c r="AK1033" s="1918"/>
    </row>
    <row r="1034" spans="2:38" s="180" customFormat="1" x14ac:dyDescent="0.45">
      <c r="B1034" s="1942"/>
      <c r="C1034" s="1945"/>
      <c r="D1034" s="1916"/>
      <c r="E1034" s="1917"/>
      <c r="F1034" s="1917"/>
      <c r="G1034" s="1918"/>
      <c r="I1034" s="1916"/>
      <c r="J1034" s="1917"/>
      <c r="K1034" s="1917"/>
      <c r="L1034" s="1918"/>
      <c r="N1034" s="1916"/>
      <c r="O1034" s="1917"/>
      <c r="P1034" s="1917"/>
      <c r="Q1034" s="1918"/>
      <c r="S1034" s="1916"/>
      <c r="T1034" s="1917"/>
      <c r="U1034" s="1917"/>
      <c r="V1034" s="1918"/>
      <c r="X1034" s="1916"/>
      <c r="Y1034" s="1917"/>
      <c r="Z1034" s="1917"/>
      <c r="AA1034" s="1918"/>
      <c r="AC1034" s="1916"/>
      <c r="AD1034" s="1917"/>
      <c r="AE1034" s="1917"/>
      <c r="AF1034" s="1918"/>
      <c r="AH1034" s="1916"/>
      <c r="AI1034" s="1917"/>
      <c r="AJ1034" s="1917"/>
      <c r="AK1034" s="1918"/>
    </row>
    <row r="1035" spans="2:38" s="180" customFormat="1" x14ac:dyDescent="0.45">
      <c r="B1035" s="1942"/>
      <c r="C1035" s="1945"/>
      <c r="D1035" s="1916"/>
      <c r="E1035" s="1917"/>
      <c r="F1035" s="1917"/>
      <c r="G1035" s="1918"/>
      <c r="I1035" s="1916"/>
      <c r="J1035" s="1917"/>
      <c r="K1035" s="1917"/>
      <c r="L1035" s="1918"/>
      <c r="N1035" s="1916"/>
      <c r="O1035" s="1917"/>
      <c r="P1035" s="1917"/>
      <c r="Q1035" s="1918"/>
      <c r="S1035" s="1916"/>
      <c r="T1035" s="1917"/>
      <c r="U1035" s="1917"/>
      <c r="V1035" s="1918"/>
      <c r="X1035" s="1916"/>
      <c r="Y1035" s="1917"/>
      <c r="Z1035" s="1917"/>
      <c r="AA1035" s="1918"/>
      <c r="AC1035" s="1916"/>
      <c r="AD1035" s="1917"/>
      <c r="AE1035" s="1917"/>
      <c r="AF1035" s="1918"/>
      <c r="AH1035" s="1916"/>
      <c r="AI1035" s="1917"/>
      <c r="AJ1035" s="1917"/>
      <c r="AK1035" s="1918"/>
    </row>
    <row r="1036" spans="2:38" s="180" customFormat="1" x14ac:dyDescent="0.45">
      <c r="B1036" s="1942"/>
      <c r="C1036" s="1945"/>
      <c r="D1036" s="1916"/>
      <c r="E1036" s="1917"/>
      <c r="F1036" s="1917"/>
      <c r="G1036" s="1918"/>
      <c r="I1036" s="1916"/>
      <c r="J1036" s="1917"/>
      <c r="K1036" s="1917"/>
      <c r="L1036" s="1918"/>
      <c r="N1036" s="1916"/>
      <c r="O1036" s="1917"/>
      <c r="P1036" s="1917"/>
      <c r="Q1036" s="1918"/>
      <c r="S1036" s="1916"/>
      <c r="T1036" s="1917"/>
      <c r="U1036" s="1917"/>
      <c r="V1036" s="1918"/>
      <c r="X1036" s="1916"/>
      <c r="Y1036" s="1917"/>
      <c r="Z1036" s="1917"/>
      <c r="AA1036" s="1918"/>
      <c r="AC1036" s="1916"/>
      <c r="AD1036" s="1917"/>
      <c r="AE1036" s="1917"/>
      <c r="AF1036" s="1918"/>
      <c r="AH1036" s="1916"/>
      <c r="AI1036" s="1917"/>
      <c r="AJ1036" s="1917"/>
      <c r="AK1036" s="1918"/>
    </row>
    <row r="1037" spans="2:38" s="180" customFormat="1" x14ac:dyDescent="0.45">
      <c r="B1037" s="1942"/>
      <c r="C1037" s="1945"/>
      <c r="D1037" s="1916"/>
      <c r="E1037" s="1917"/>
      <c r="F1037" s="1917"/>
      <c r="G1037" s="1918"/>
      <c r="I1037" s="1916"/>
      <c r="J1037" s="1917"/>
      <c r="K1037" s="1917"/>
      <c r="L1037" s="1918"/>
      <c r="N1037" s="1916"/>
      <c r="O1037" s="1917"/>
      <c r="P1037" s="1917"/>
      <c r="Q1037" s="1918"/>
      <c r="S1037" s="1916"/>
      <c r="T1037" s="1917"/>
      <c r="U1037" s="1917"/>
      <c r="V1037" s="1918"/>
      <c r="X1037" s="1916"/>
      <c r="Y1037" s="1917"/>
      <c r="Z1037" s="1917"/>
      <c r="AA1037" s="1918"/>
      <c r="AC1037" s="1916"/>
      <c r="AD1037" s="1917"/>
      <c r="AE1037" s="1917"/>
      <c r="AF1037" s="1918"/>
      <c r="AH1037" s="1916"/>
      <c r="AI1037" s="1917"/>
      <c r="AJ1037" s="1917"/>
      <c r="AK1037" s="1918"/>
    </row>
    <row r="1038" spans="2:38" s="180" customFormat="1" ht="14.65" thickBot="1" x14ac:dyDescent="0.5">
      <c r="B1038" s="1942"/>
      <c r="C1038" s="1945"/>
      <c r="D1038" s="1938"/>
      <c r="E1038" s="1939"/>
      <c r="F1038" s="1939"/>
      <c r="G1038" s="1940"/>
      <c r="I1038" s="1938"/>
      <c r="J1038" s="1939"/>
      <c r="K1038" s="1939"/>
      <c r="L1038" s="1940"/>
      <c r="N1038" s="1938"/>
      <c r="O1038" s="1939"/>
      <c r="P1038" s="1939"/>
      <c r="Q1038" s="1940"/>
      <c r="S1038" s="1938"/>
      <c r="T1038" s="1939"/>
      <c r="U1038" s="1939"/>
      <c r="V1038" s="1940"/>
      <c r="X1038" s="1938"/>
      <c r="Y1038" s="1939"/>
      <c r="Z1038" s="1939"/>
      <c r="AA1038" s="1940"/>
      <c r="AC1038" s="1938"/>
      <c r="AD1038" s="1939"/>
      <c r="AE1038" s="1939"/>
      <c r="AF1038" s="1940"/>
      <c r="AH1038" s="1938"/>
      <c r="AI1038" s="1939"/>
      <c r="AJ1038" s="1939"/>
      <c r="AK1038" s="1940"/>
    </row>
    <row r="1039" spans="2:38" s="176" customFormat="1" ht="15.75" customHeight="1" x14ac:dyDescent="0.45">
      <c r="B1039" s="1942"/>
      <c r="C1039" s="1945"/>
      <c r="D1039" s="1415">
        <f>$B1011</f>
        <v>19</v>
      </c>
      <c r="E1039" s="1930" t="s">
        <v>352</v>
      </c>
      <c r="F1039" s="1930"/>
      <c r="G1039" s="1414">
        <f ca="1">INDEX(final_duration_session,((WEEKDAY(E$3,2)*2-1)+IF(E1039="Morning",0,1)),$D1039)</f>
        <v>0</v>
      </c>
      <c r="H1039" s="177"/>
      <c r="I1039" s="1415">
        <f>$B1011</f>
        <v>19</v>
      </c>
      <c r="J1039" s="1930" t="s">
        <v>352</v>
      </c>
      <c r="K1039" s="1930"/>
      <c r="L1039" s="1414">
        <f ca="1">INDEX(final_duration_session,((WEEKDAY(J$3,2)*2-1)+IF(J1039="Morning",0,1)),$D1039)</f>
        <v>49.5</v>
      </c>
      <c r="M1039" s="177"/>
      <c r="N1039" s="1415">
        <f>$B1011</f>
        <v>19</v>
      </c>
      <c r="O1039" s="1930" t="s">
        <v>352</v>
      </c>
      <c r="P1039" s="1930"/>
      <c r="Q1039" s="1414">
        <f ca="1">INDEX(final_duration_session,((WEEKDAY(O$3,2)*2-1)+IF(O1039="Morning",0,1)),$D1039)</f>
        <v>100</v>
      </c>
      <c r="R1039" s="177"/>
      <c r="S1039" s="1415">
        <f>$B1011</f>
        <v>19</v>
      </c>
      <c r="T1039" s="1930" t="s">
        <v>352</v>
      </c>
      <c r="U1039" s="1930"/>
      <c r="V1039" s="1414">
        <f ca="1">INDEX(final_duration_session,((WEEKDAY(T$3,2)*2-1)+IF(T1039="Morning",0,1)),$D1039)</f>
        <v>0</v>
      </c>
      <c r="W1039" s="177"/>
      <c r="X1039" s="1415">
        <f>$B1011</f>
        <v>19</v>
      </c>
      <c r="Y1039" s="1930" t="s">
        <v>352</v>
      </c>
      <c r="Z1039" s="1930"/>
      <c r="AA1039" s="1414">
        <f ca="1">INDEX(final_duration_session,((WEEKDAY(Y$3,2)*2-1)+IF(Y1039="Morning",0,1)),$D1039)</f>
        <v>0</v>
      </c>
      <c r="AB1039" s="177"/>
      <c r="AC1039" s="1415">
        <f>$B1011</f>
        <v>19</v>
      </c>
      <c r="AD1039" s="1930" t="s">
        <v>352</v>
      </c>
      <c r="AE1039" s="1930"/>
      <c r="AF1039" s="1414">
        <f ca="1">INDEX(final_duration_session,((WEEKDAY(AD$3,2)*2-1)+IF(AD1039="Morning",0,1)),$D1039)</f>
        <v>0</v>
      </c>
      <c r="AG1039" s="177"/>
      <c r="AH1039" s="1415">
        <f>$B1011</f>
        <v>19</v>
      </c>
      <c r="AI1039" s="1930" t="s">
        <v>352</v>
      </c>
      <c r="AJ1039" s="1930"/>
      <c r="AK1039" s="1414">
        <f ca="1">INDEX(final_duration_session,((WEEKDAY(AI$3,2)*2-1)+IF(AI1039="Morning",0,1)),$D1039)</f>
        <v>0</v>
      </c>
      <c r="AL1039" s="177"/>
    </row>
    <row r="1040" spans="2:38" s="176" customFormat="1" ht="15" customHeight="1" x14ac:dyDescent="0.45">
      <c r="B1040" s="1942"/>
      <c r="C1040" s="1945"/>
      <c r="D1040" s="1931" t="str">
        <f ca="1">IF(G1039&gt;0,INDEX(sessions_name,INDEX(plan_session_allocation,((WEEKDAY(E$3,2)*2-1)+IF(E1039="Morning",0,1)),D1039)),"")</f>
        <v/>
      </c>
      <c r="E1040" s="1932"/>
      <c r="F1040" s="1932"/>
      <c r="G1040" s="1933"/>
      <c r="H1040" s="177"/>
      <c r="I1040" s="1931" t="str">
        <f ca="1">IF(L1039&gt;0,INDEX(sessions_name,INDEX(plan_session_allocation,((WEEKDAY(J$3,2)*2-1)+IF(J1039="Morning",0,1)),I1039)),"")</f>
        <v>Intervals: 1km w/ 1min</v>
      </c>
      <c r="J1040" s="1932"/>
      <c r="K1040" s="1932"/>
      <c r="L1040" s="1933"/>
      <c r="M1040" s="177"/>
      <c r="N1040" s="1931" t="str">
        <f ca="1">IF(Q1039&gt;0,INDEX(sessions_name,INDEX(plan_session_allocation,((WEEKDAY(O$3,2)*2-1)+IF(O1039="Morning",0,1)),N1039)),"")</f>
        <v>Easy</v>
      </c>
      <c r="O1040" s="1932"/>
      <c r="P1040" s="1932"/>
      <c r="Q1040" s="1933"/>
      <c r="R1040" s="177"/>
      <c r="S1040" s="1931" t="str">
        <f ca="1">IF(V1039&gt;0,INDEX(sessions_name,INDEX(plan_session_allocation,((WEEKDAY(T$3,2)*2-1)+IF(T1039="Morning",0,1)),S1039)),"")</f>
        <v/>
      </c>
      <c r="T1040" s="1932"/>
      <c r="U1040" s="1932"/>
      <c r="V1040" s="1933"/>
      <c r="W1040" s="177"/>
      <c r="X1040" s="1931" t="str">
        <f ca="1">IF(AA1039&gt;0,INDEX(sessions_name,INDEX(plan_session_allocation,((WEEKDAY(Y$3,2)*2-1)+IF(Y1039="Morning",0,1)),X1039)),"")</f>
        <v/>
      </c>
      <c r="Y1040" s="1932"/>
      <c r="Z1040" s="1932"/>
      <c r="AA1040" s="1933"/>
      <c r="AB1040" s="177"/>
      <c r="AC1040" s="1931" t="str">
        <f ca="1">IF(AF1039&gt;0,INDEX(sessions_name,INDEX(plan_session_allocation,((WEEKDAY(AD$3,2)*2-1)+IF(AD1039="Morning",0,1)),AC1039)),"")</f>
        <v/>
      </c>
      <c r="AD1040" s="1932"/>
      <c r="AE1040" s="1932"/>
      <c r="AF1040" s="1933"/>
      <c r="AG1040" s="177"/>
      <c r="AH1040" s="1931" t="str">
        <f ca="1">IF(AK1039&gt;0,INDEX(sessions_name,INDEX(plan_session_allocation,((WEEKDAY(AI$3,2)*2-1)+IF(AI1039="Morning",0,1)),AH1039)),"")</f>
        <v/>
      </c>
      <c r="AI1040" s="1932"/>
      <c r="AJ1040" s="1932"/>
      <c r="AK1040" s="1933"/>
      <c r="AL1040" s="177"/>
    </row>
    <row r="1041" spans="2:38" s="176" customFormat="1" ht="15" customHeight="1" x14ac:dyDescent="0.45">
      <c r="B1041" s="1942"/>
      <c r="C1041" s="1945"/>
      <c r="D1041" s="1934" t="str">
        <f ca="1">IF(G1039&gt;0,CONCATENATE("Sport: ",INDEX(sessions_sport_primary,INDEX(plan_session_allocation,(WEEKDAY(E$3,2)*2-1)+IF(E1039="Morning",0,1),D1039))),"")</f>
        <v/>
      </c>
      <c r="E1041" s="1935"/>
      <c r="F1041" s="1936" t="str">
        <f ca="1">IF(G1039&gt;0,IFERROR(F1042+F1043+F1044,""),"")</f>
        <v/>
      </c>
      <c r="G1041" s="1937"/>
      <c r="H1041" s="177"/>
      <c r="I1041" s="1934" t="str">
        <f ca="1">IF(L1039&gt;0,CONCATENATE("Sport: ",INDEX(sessions_sport_primary,INDEX(plan_session_allocation,(WEEKDAY(J$3,2)*2-1)+IF(J1039="Morning",0,1),I1039))),"")</f>
        <v>Sport: Road Run</v>
      </c>
      <c r="J1041" s="1935"/>
      <c r="K1041" s="1936">
        <f ca="1">IF(L1039&gt;0,IFERROR(K1042+K1043+K1044,""),"")</f>
        <v>48.5</v>
      </c>
      <c r="L1041" s="1937"/>
      <c r="M1041" s="177"/>
      <c r="N1041" s="1934" t="str">
        <f ca="1">IF(Q1039&gt;0,CONCATENATE("Sport: ",INDEX(sessions_sport_primary,INDEX(plan_session_allocation,(WEEKDAY(O$3,2)*2-1)+IF(O1039="Morning",0,1),N1039))),"")</f>
        <v>Sport: Road Run</v>
      </c>
      <c r="O1041" s="1935"/>
      <c r="P1041" s="1936">
        <f ca="1">IF(Q1039&gt;0,IFERROR(P1042+P1043+P1044,""),"")</f>
        <v>100</v>
      </c>
      <c r="Q1041" s="1937"/>
      <c r="R1041" s="177"/>
      <c r="S1041" s="1934" t="str">
        <f ca="1">IF(V1039&gt;0,CONCATENATE("Sport: ",INDEX(sessions_sport_primary,INDEX(plan_session_allocation,(WEEKDAY(T$3,2)*2-1)+IF(T1039="Morning",0,1),S1039))),"")</f>
        <v/>
      </c>
      <c r="T1041" s="1935"/>
      <c r="U1041" s="1936" t="str">
        <f ca="1">IF(V1039&gt;0,IFERROR(U1042+U1043+U1044,""),"")</f>
        <v/>
      </c>
      <c r="V1041" s="1937"/>
      <c r="W1041" s="177"/>
      <c r="X1041" s="1934" t="str">
        <f ca="1">IF(AA1039&gt;0,CONCATENATE("Sport: ",INDEX(sessions_sport_primary,INDEX(plan_session_allocation,(WEEKDAY(Y$3,2)*2-1)+IF(Y1039="Morning",0,1),X1039))),"")</f>
        <v/>
      </c>
      <c r="Y1041" s="1935"/>
      <c r="Z1041" s="1936" t="str">
        <f ca="1">IF(AA1039&gt;0,IFERROR(Z1042+Z1043+Z1044,""),"")</f>
        <v/>
      </c>
      <c r="AA1041" s="1937"/>
      <c r="AB1041" s="177"/>
      <c r="AC1041" s="1934" t="str">
        <f ca="1">IF(AF1039&gt;0,CONCATENATE("Sport: ",INDEX(sessions_sport_primary,INDEX(plan_session_allocation,(WEEKDAY(AD$3,2)*2-1)+IF(AD1039="Morning",0,1),AC1039))),"")</f>
        <v/>
      </c>
      <c r="AD1041" s="1935"/>
      <c r="AE1041" s="1936" t="str">
        <f ca="1">IF(AF1039&gt;0,IFERROR(AE1042+AE1043+AE1044,""),"")</f>
        <v/>
      </c>
      <c r="AF1041" s="1937"/>
      <c r="AG1041" s="177"/>
      <c r="AH1041" s="1934" t="str">
        <f ca="1">IF(AK1039&gt;0,CONCATENATE("Sport: ",INDEX(sessions_sport_primary,INDEX(plan_session_allocation,(WEEKDAY(AI$3,2)*2-1)+IF(AI1039="Morning",0,1),AH1039))),"")</f>
        <v/>
      </c>
      <c r="AI1041" s="1935"/>
      <c r="AJ1041" s="1936" t="str">
        <f ca="1">IF(AK1039&gt;0,IFERROR(AJ1042+AJ1043+AJ1044,""),"")</f>
        <v/>
      </c>
      <c r="AK1041" s="1937"/>
      <c r="AL1041" s="177"/>
    </row>
    <row r="1042" spans="2:38" s="177" customFormat="1" ht="15" customHeight="1" x14ac:dyDescent="0.45">
      <c r="B1042" s="1942"/>
      <c r="C1042" s="1945"/>
      <c r="D1042" s="1922" t="str">
        <f ca="1">IF(G1039&gt;0,CONCATENATE("HR Target: ",
INDEX(sessions_HR_primary,INDEX(plan_session_allocation,((WEEKDAY(E$3,2)*2-1)+IF(E1039="Morning",0,1)),D1039)),
IF(INDEX(sessions_HR_primary,INDEX(plan_session_allocation,((WEEKDAY(E$3,2)*2-1)+IF(E1039="Morning",0,1)),D1039))="N/A","",
" BPM")),"")</f>
        <v/>
      </c>
      <c r="E1042" s="1923"/>
      <c r="F1042" s="1924" t="str">
        <f ca="1">IF(G1039&gt;0,
INDEX(final_duration_effort,((WEEKDAY(E$3,2)*2-1)+IF(E1039="Morning",0,1)),D1039),"")</f>
        <v/>
      </c>
      <c r="G1042" s="1925"/>
      <c r="I1042" s="1922" t="str">
        <f ca="1">IF(L1039&gt;0,CONCATENATE("HR Target: ",
INDEX(sessions_HR_primary,INDEX(plan_session_allocation,((WEEKDAY(J$3,2)*2-1)+IF(J1039="Morning",0,1)),I1039)),
IF(INDEX(sessions_HR_primary,INDEX(plan_session_allocation,((WEEKDAY(J$3,2)*2-1)+IF(J1039="Morning",0,1)),I1039))="N/A","",
" BPM")),"")</f>
        <v>HR Target: 188 BPM</v>
      </c>
      <c r="J1042" s="1923"/>
      <c r="K1042" s="1924">
        <f ca="1">IF(L1039&gt;0,
INDEX(final_duration_effort,((WEEKDAY(J$3,2)*2-1)+IF(J1039="Morning",0,1)),I1039),"")</f>
        <v>15.5</v>
      </c>
      <c r="L1042" s="1925"/>
      <c r="N1042" s="1922" t="str">
        <f ca="1">IF(Q1039&gt;0,CONCATENATE("HR Target: ",
INDEX(sessions_HR_primary,INDEX(plan_session_allocation,((WEEKDAY(O$3,2)*2-1)+IF(O1039="Morning",0,1)),N1039)),
IF(INDEX(sessions_HR_primary,INDEX(plan_session_allocation,((WEEKDAY(O$3,2)*2-1)+IF(O1039="Morning",0,1)),N1039))="N/A","",
" BPM")),"")</f>
        <v>HR Target: 138 BPM</v>
      </c>
      <c r="O1042" s="1923"/>
      <c r="P1042" s="1924">
        <f ca="1">IF(Q1039&gt;0,
INDEX(final_duration_effort,((WEEKDAY(O$3,2)*2-1)+IF(O1039="Morning",0,1)),N1039),"")</f>
        <v>85</v>
      </c>
      <c r="Q1042" s="1925"/>
      <c r="S1042" s="1922" t="str">
        <f ca="1">IF(V1039&gt;0,CONCATENATE("HR Target: ",
INDEX(sessions_HR_primary,INDEX(plan_session_allocation,((WEEKDAY(T$3,2)*2-1)+IF(T1039="Morning",0,1)),S1039)),
IF(INDEX(sessions_HR_primary,INDEX(plan_session_allocation,((WEEKDAY(T$3,2)*2-1)+IF(T1039="Morning",0,1)),S1039))="N/A","",
" BPM")),"")</f>
        <v/>
      </c>
      <c r="T1042" s="1923"/>
      <c r="U1042" s="1924" t="str">
        <f ca="1">IF(V1039&gt;0,
INDEX(final_duration_effort,((WEEKDAY(T$3,2)*2-1)+IF(T1039="Morning",0,1)),S1039),"")</f>
        <v/>
      </c>
      <c r="V1042" s="1925"/>
      <c r="X1042" s="1922" t="str">
        <f ca="1">IF(AA1039&gt;0,CONCATENATE("HR Target: ",
INDEX(sessions_HR_primary,INDEX(plan_session_allocation,((WEEKDAY(Y$3,2)*2-1)+IF(Y1039="Morning",0,1)),X1039)),
IF(INDEX(sessions_HR_primary,INDEX(plan_session_allocation,((WEEKDAY(Y$3,2)*2-1)+IF(Y1039="Morning",0,1)),X1039))="N/A","",
" BPM")),"")</f>
        <v/>
      </c>
      <c r="Y1042" s="1923"/>
      <c r="Z1042" s="1924" t="str">
        <f ca="1">IF(AA1039&gt;0,
INDEX(final_duration_effort,((WEEKDAY(Y$3,2)*2-1)+IF(Y1039="Morning",0,1)),X1039),"")</f>
        <v/>
      </c>
      <c r="AA1042" s="1925"/>
      <c r="AC1042" s="1922" t="str">
        <f ca="1">IF(AF1039&gt;0,CONCATENATE("HR Target: ",
INDEX(sessions_HR_primary,INDEX(plan_session_allocation,((WEEKDAY(AD$3,2)*2-1)+IF(AD1039="Morning",0,1)),AC1039)),
IF(INDEX(sessions_HR_primary,INDEX(plan_session_allocation,((WEEKDAY(AD$3,2)*2-1)+IF(AD1039="Morning",0,1)),AC1039))="N/A","",
" BPM")),"")</f>
        <v/>
      </c>
      <c r="AD1042" s="1923"/>
      <c r="AE1042" s="1924" t="str">
        <f ca="1">IF(AF1039&gt;0,
INDEX(final_duration_effort,((WEEKDAY(AD$3,2)*2-1)+IF(AD1039="Morning",0,1)),AC1039),"")</f>
        <v/>
      </c>
      <c r="AF1042" s="1925"/>
      <c r="AH1042" s="1922" t="str">
        <f ca="1">IF(AK1039&gt;0,CONCATENATE("HR Target: ",
INDEX(sessions_HR_primary,INDEX(plan_session_allocation,((WEEKDAY(AI$3,2)*2-1)+IF(AI1039="Morning",0,1)),AH1039)),
IF(INDEX(sessions_HR_primary,INDEX(plan_session_allocation,((WEEKDAY(AI$3,2)*2-1)+IF(AI1039="Morning",0,1)),AH1039))="N/A","",
" BPM")),"")</f>
        <v/>
      </c>
      <c r="AI1042" s="1923"/>
      <c r="AJ1042" s="1924" t="str">
        <f ca="1">IF(AK1039&gt;0,
INDEX(final_duration_effort,((WEEKDAY(AI$3,2)*2-1)+IF(AI1039="Morning",0,1)),AH1039),"")</f>
        <v/>
      </c>
      <c r="AK1042" s="1925"/>
    </row>
    <row r="1043" spans="2:38" s="177" customFormat="1" ht="15" customHeight="1" x14ac:dyDescent="0.45">
      <c r="B1043" s="1942"/>
      <c r="C1043" s="1945"/>
      <c r="D1043" s="1926" t="str">
        <f ca="1">IF(G1039&gt;0,CONCATENATE("HR Range: ",
INDEX(sessions_HR_range_primary,INDEX(plan_session_allocation,((WEEKDAY(E$3,2)*2-1)+IF(E1039="Morning",0,1)),D1039)),
IF(INDEX(sessions_HR_range_primary,INDEX(plan_session_allocation,((WEEKDAY(E$3,2)*2-1)+IF(E1039="Morning",0,1)),D1039))="N/A","",
" BPM")),"")</f>
        <v/>
      </c>
      <c r="E1043" s="1927"/>
      <c r="F1043" s="1928" t="str">
        <f ca="1">IF(G1039&gt;0,IF(
INDEX(sessions_recoveries,INDEX(plan_session_allocation,((WEEKDAY(E$3,2)*2-1)+IF(E1039="Morning",0,1)),D1039))="Yes",
VLOOKUP(INDEX(plan_duration_primary,((WEEKDAY(E$3,2)*2-1)+IF(E1039="Morning",0,1)),D1039),
INDIRECT(INDEX(sessions_intervals_code_primary,INDEX(plan_session_allocation,((WEEKDAY(E$3,2)*2-1)+IF(E1039="Morning",0,1)),D1039))),7,TRUE),0),"")</f>
        <v/>
      </c>
      <c r="G1043" s="1929"/>
      <c r="I1043" s="1926" t="str">
        <f ca="1">IF(L1039&gt;0,CONCATENATE("HR Range: ",
INDEX(sessions_HR_range_primary,INDEX(plan_session_allocation,((WEEKDAY(J$3,2)*2-1)+IF(J1039="Morning",0,1)),I1039)),
IF(INDEX(sessions_HR_range_primary,INDEX(plan_session_allocation,((WEEKDAY(J$3,2)*2-1)+IF(J1039="Morning",0,1)),I1039))="N/A","",
" BPM")),"")</f>
        <v>HR Range: 184 - 192 BPM</v>
      </c>
      <c r="J1043" s="1927"/>
      <c r="K1043" s="1928">
        <f ca="1">IF(L1039&gt;0,IF(
INDEX(sessions_recoveries,INDEX(plan_session_allocation,((WEEKDAY(J$3,2)*2-1)+IF(J1039="Morning",0,1)),I1039))="Yes",
VLOOKUP(INDEX(plan_duration_primary,((WEEKDAY(J$3,2)*2-1)+IF(J1039="Morning",0,1)),I1039),
INDIRECT(INDEX(sessions_intervals_code_primary,INDEX(plan_session_allocation,((WEEKDAY(J$3,2)*2-1)+IF(J1039="Morning",0,1)),I1039))),7,TRUE),0),"")</f>
        <v>3</v>
      </c>
      <c r="L1043" s="1929"/>
      <c r="N1043" s="1926" t="str">
        <f ca="1">IF(Q1039&gt;0,CONCATENATE("HR Range: ",
INDEX(sessions_HR_range_primary,INDEX(plan_session_allocation,((WEEKDAY(O$3,2)*2-1)+IF(O1039="Morning",0,1)),N1039)),
IF(INDEX(sessions_HR_range_primary,INDEX(plan_session_allocation,((WEEKDAY(O$3,2)*2-1)+IF(O1039="Morning",0,1)),N1039))="N/A","",
" BPM")),"")</f>
        <v>HR Range: 129 - 148 BPM</v>
      </c>
      <c r="O1043" s="1927"/>
      <c r="P1043" s="1928">
        <f ca="1">IF(Q1039&gt;0,IF(
INDEX(sessions_recoveries,INDEX(plan_session_allocation,((WEEKDAY(O$3,2)*2-1)+IF(O1039="Morning",0,1)),N1039))="Yes",
VLOOKUP(INDEX(plan_duration_primary,((WEEKDAY(O$3,2)*2-1)+IF(O1039="Morning",0,1)),N1039),
INDIRECT(INDEX(sessions_intervals_code_primary,INDEX(plan_session_allocation,((WEEKDAY(O$3,2)*2-1)+IF(O1039="Morning",0,1)),N1039))),7,TRUE),0),"")</f>
        <v>0</v>
      </c>
      <c r="Q1043" s="1929"/>
      <c r="S1043" s="1926" t="str">
        <f ca="1">IF(V1039&gt;0,CONCATENATE("HR Range: ",
INDEX(sessions_HR_range_primary,INDEX(plan_session_allocation,((WEEKDAY(T$3,2)*2-1)+IF(T1039="Morning",0,1)),S1039)),
IF(INDEX(sessions_HR_range_primary,INDEX(plan_session_allocation,((WEEKDAY(T$3,2)*2-1)+IF(T1039="Morning",0,1)),S1039))="N/A","",
" BPM")),"")</f>
        <v/>
      </c>
      <c r="T1043" s="1927"/>
      <c r="U1043" s="1928" t="str">
        <f ca="1">IF(V1039&gt;0,IF(
INDEX(sessions_recoveries,INDEX(plan_session_allocation,((WEEKDAY(T$3,2)*2-1)+IF(T1039="Morning",0,1)),S1039))="Yes",
VLOOKUP(INDEX(plan_duration_primary,((WEEKDAY(T$3,2)*2-1)+IF(T1039="Morning",0,1)),S1039),
INDIRECT(INDEX(sessions_intervals_code_primary,INDEX(plan_session_allocation,((WEEKDAY(T$3,2)*2-1)+IF(T1039="Morning",0,1)),S1039))),7,TRUE),0),"")</f>
        <v/>
      </c>
      <c r="V1043" s="1929"/>
      <c r="X1043" s="1926" t="str">
        <f ca="1">IF(AA1039&gt;0,CONCATENATE("HR Range: ",
INDEX(sessions_HR_range_primary,INDEX(plan_session_allocation,((WEEKDAY(Y$3,2)*2-1)+IF(Y1039="Morning",0,1)),X1039)),
IF(INDEX(sessions_HR_range_primary,INDEX(plan_session_allocation,((WEEKDAY(Y$3,2)*2-1)+IF(Y1039="Morning",0,1)),X1039))="N/A","",
" BPM")),"")</f>
        <v/>
      </c>
      <c r="Y1043" s="1927"/>
      <c r="Z1043" s="1928" t="str">
        <f ca="1">IF(AA1039&gt;0,IF(
INDEX(sessions_recoveries,INDEX(plan_session_allocation,((WEEKDAY(Y$3,2)*2-1)+IF(Y1039="Morning",0,1)),X1039))="Yes",
VLOOKUP(INDEX(plan_duration_primary,((WEEKDAY(Y$3,2)*2-1)+IF(Y1039="Morning",0,1)),X1039),
INDIRECT(INDEX(sessions_intervals_code_primary,INDEX(plan_session_allocation,((WEEKDAY(Y$3,2)*2-1)+IF(Y1039="Morning",0,1)),X1039))),7,TRUE),0),"")</f>
        <v/>
      </c>
      <c r="AA1043" s="1929"/>
      <c r="AC1043" s="1926" t="str">
        <f ca="1">IF(AF1039&gt;0,CONCATENATE("HR Range: ",
INDEX(sessions_HR_range_primary,INDEX(plan_session_allocation,((WEEKDAY(AD$3,2)*2-1)+IF(AD1039="Morning",0,1)),AC1039)),
IF(INDEX(sessions_HR_range_primary,INDEX(plan_session_allocation,((WEEKDAY(AD$3,2)*2-1)+IF(AD1039="Morning",0,1)),AC1039))="N/A","",
" BPM")),"")</f>
        <v/>
      </c>
      <c r="AD1043" s="1927"/>
      <c r="AE1043" s="1928" t="str">
        <f ca="1">IF(AF1039&gt;0,IF(
INDEX(sessions_recoveries,INDEX(plan_session_allocation,((WEEKDAY(AD$3,2)*2-1)+IF(AD1039="Morning",0,1)),AC1039))="Yes",
VLOOKUP(INDEX(plan_duration_primary,((WEEKDAY(AD$3,2)*2-1)+IF(AD1039="Morning",0,1)),AC1039),
INDIRECT(INDEX(sessions_intervals_code_primary,INDEX(plan_session_allocation,((WEEKDAY(AD$3,2)*2-1)+IF(AD1039="Morning",0,1)),AC1039))),7,TRUE),0),"")</f>
        <v/>
      </c>
      <c r="AF1043" s="1929"/>
      <c r="AH1043" s="1926" t="str">
        <f ca="1">IF(AK1039&gt;0,CONCATENATE("HR Range: ",
INDEX(sessions_HR_range_primary,INDEX(plan_session_allocation,((WEEKDAY(AI$3,2)*2-1)+IF(AI1039="Morning",0,1)),AH1039)),
IF(INDEX(sessions_HR_range_primary,INDEX(plan_session_allocation,((WEEKDAY(AI$3,2)*2-1)+IF(AI1039="Morning",0,1)),AH1039))="N/A","",
" BPM")),"")</f>
        <v/>
      </c>
      <c r="AI1043" s="1927"/>
      <c r="AJ1043" s="1928" t="str">
        <f ca="1">IF(AK1039&gt;0,IF(
INDEX(sessions_recoveries,INDEX(plan_session_allocation,((WEEKDAY(AI$3,2)*2-1)+IF(AI1039="Morning",0,1)),AH1039))="Yes",
VLOOKUP(INDEX(plan_duration_primary,((WEEKDAY(AI$3,2)*2-1)+IF(AI1039="Morning",0,1)),AH1039),
INDIRECT(INDEX(sessions_intervals_code_primary,INDEX(plan_session_allocation,((WEEKDAY(AI$3,2)*2-1)+IF(AI1039="Morning",0,1)),AH1039))),7,TRUE),0),"")</f>
        <v/>
      </c>
      <c r="AK1043" s="1929"/>
    </row>
    <row r="1044" spans="2:38" s="177" customFormat="1" ht="15" customHeight="1" x14ac:dyDescent="0.45">
      <c r="B1044" s="1942"/>
      <c r="C1044" s="1945"/>
      <c r="D1044" s="1909" t="str">
        <f ca="1">IF(G1039&gt;0,CONCATENATE("Equivalent Pace: ",
TEXT(INDEX(sessions_pace_primary,INDEX(plan_session_allocation,(WEEKDAY(E$3,2)*2-1)+IF(E1039="Morning",0,1),D1039)),"m:ss"),
" min/km"
),"")</f>
        <v/>
      </c>
      <c r="E1044" s="1910"/>
      <c r="F1044" s="1911" t="str">
        <f ca="1">IF(G1039&gt;0, INDEX(final_duration_WU,((WEEKDAY(E$3,2)*2-1)+IF(E1039="Morning",0,1)),D1039)  + INDEX(final_duration_WD,((WEEKDAY(E$3,2)*2-1)+IF(E1039="Morning",0,1)),D1039), "")</f>
        <v/>
      </c>
      <c r="G1044" s="1912"/>
      <c r="I1044" s="1909" t="str">
        <f ca="1">IF(L1039&gt;0,CONCATENATE("Equivalent Pace: ",
TEXT(INDEX(sessions_pace_primary,INDEX(plan_session_allocation,(WEEKDAY(J$3,2)*2-1)+IF(J1039="Morning",0,1),I1039)),"m:ss"),
" min/km"
),"")</f>
        <v>Equivalent Pace: 3:06 min/km</v>
      </c>
      <c r="J1044" s="1910"/>
      <c r="K1044" s="1911">
        <f ca="1">IF(L1039&gt;0, INDEX(final_duration_WU,((WEEKDAY(J$3,2)*2-1)+IF(J1039="Morning",0,1)),I1039)  + INDEX(final_duration_WD,((WEEKDAY(J$3,2)*2-1)+IF(J1039="Morning",0,1)),I1039), "")</f>
        <v>30</v>
      </c>
      <c r="L1044" s="1912"/>
      <c r="N1044" s="1909" t="str">
        <f ca="1">IF(Q1039&gt;0,CONCATENATE("Equivalent Pace: ",
TEXT(INDEX(sessions_pace_primary,INDEX(plan_session_allocation,(WEEKDAY(O$3,2)*2-1)+IF(O1039="Morning",0,1),N1039)),"m:ss"),
" min/km"
),"")</f>
        <v>Equivalent Pace: 4:39 min/km</v>
      </c>
      <c r="O1044" s="1910"/>
      <c r="P1044" s="1911">
        <f ca="1">IF(Q1039&gt;0, INDEX(final_duration_WU,((WEEKDAY(O$3,2)*2-1)+IF(O1039="Morning",0,1)),N1039)  + INDEX(final_duration_WD,((WEEKDAY(O$3,2)*2-1)+IF(O1039="Morning",0,1)),N1039), "")</f>
        <v>15</v>
      </c>
      <c r="Q1044" s="1912"/>
      <c r="S1044" s="1909" t="str">
        <f ca="1">IF(V1039&gt;0,CONCATENATE("Equivalent Pace: ",
TEXT(INDEX(sessions_pace_primary,INDEX(plan_session_allocation,(WEEKDAY(T$3,2)*2-1)+IF(T1039="Morning",0,1),S1039)),"m:ss"),
" min/km"
),"")</f>
        <v/>
      </c>
      <c r="T1044" s="1910"/>
      <c r="U1044" s="1911" t="str">
        <f ca="1">IF(V1039&gt;0, INDEX(final_duration_WU,((WEEKDAY(T$3,2)*2-1)+IF(T1039="Morning",0,1)),S1039)  + INDEX(final_duration_WD,((WEEKDAY(T$3,2)*2-1)+IF(T1039="Morning",0,1)),S1039), "")</f>
        <v/>
      </c>
      <c r="V1044" s="1912"/>
      <c r="X1044" s="1909" t="str">
        <f ca="1">IF(AA1039&gt;0,CONCATENATE("Equivalent Pace: ",
TEXT(INDEX(sessions_pace_primary,INDEX(plan_session_allocation,(WEEKDAY(Y$3,2)*2-1)+IF(Y1039="Morning",0,1),X1039)),"m:ss"),
" min/km"
),"")</f>
        <v/>
      </c>
      <c r="Y1044" s="1910"/>
      <c r="Z1044" s="1911" t="str">
        <f ca="1">IF(AA1039&gt;0, INDEX(final_duration_WU,((WEEKDAY(Y$3,2)*2-1)+IF(Y1039="Morning",0,1)),X1039)  + INDEX(final_duration_WD,((WEEKDAY(Y$3,2)*2-1)+IF(Y1039="Morning",0,1)),X1039), "")</f>
        <v/>
      </c>
      <c r="AA1044" s="1912"/>
      <c r="AC1044" s="1909" t="str">
        <f ca="1">IF(AF1039&gt;0,CONCATENATE("Equivalent Pace: ",
TEXT(INDEX(sessions_pace_primary,INDEX(plan_session_allocation,(WEEKDAY(AD$3,2)*2-1)+IF(AD1039="Morning",0,1),AC1039)),"m:ss"),
" min/km"
),"")</f>
        <v/>
      </c>
      <c r="AD1044" s="1910"/>
      <c r="AE1044" s="1911" t="str">
        <f ca="1">IF(AF1039&gt;0, INDEX(final_duration_WU,((WEEKDAY(AD$3,2)*2-1)+IF(AD1039="Morning",0,1)),AC1039)  + INDEX(final_duration_WD,((WEEKDAY(AD$3,2)*2-1)+IF(AD1039="Morning",0,1)),AC1039), "")</f>
        <v/>
      </c>
      <c r="AF1044" s="1912"/>
      <c r="AH1044" s="1909" t="str">
        <f ca="1">IF(AK1039&gt;0,CONCATENATE("Equivalent Pace: ",
TEXT(INDEX(sessions_pace_primary,INDEX(plan_session_allocation,(WEEKDAY(AI$3,2)*2-1)+IF(AI1039="Morning",0,1),AH1039)),"m:ss"),
" min/km"
),"")</f>
        <v/>
      </c>
      <c r="AI1044" s="1910"/>
      <c r="AJ1044" s="1911" t="str">
        <f ca="1">IF(AK1039&gt;0, INDEX(final_duration_WU,((WEEKDAY(AI$3,2)*2-1)+IF(AI1039="Morning",0,1)),AH1039)  + INDEX(final_duration_WD,((WEEKDAY(AI$3,2)*2-1)+IF(AI1039="Morning",0,1)),AH1039), "")</f>
        <v/>
      </c>
      <c r="AK1044" s="1912"/>
    </row>
    <row r="1045" spans="2:38" s="176" customFormat="1" ht="15" customHeight="1" x14ac:dyDescent="0.45">
      <c r="B1045" s="1942"/>
      <c r="C1045" s="1945"/>
      <c r="D1045" s="1913" t="str">
        <f ca="1">IF(G1039&gt;0,CONCATENATE(IFERROR(CONCATENATE(IF(INDEX(display_intervals_breakdown,((WEEKDAY(E$3,2)*2-1)+IF(E1039="Morning",0,1)),D1039)="","",CONCATENATE("Intervals/Reps Breakdown: 
",INDEX(display_intervals_breakdown,((WEEKDAY(E$3,2)*2-1)+IF(E1039="Morning",0,1)),D1039),"
")),"Session Description: 
",CONCATENATE(IF(INDEX(final_duration_secondary,((WEEKDAY(E$3,2)*2-1)+IF(E1039="Morning",0,1)),D1039)=0,"","1. "),
INDEX(sessions_description_primary,,INDEX(plan_session_allocation,((WEEKDAY(E$3,2)*2-1)+IF(E1039="Morning",0,1)),D1039)),IF(INDEX(final_duration_secondary,((WEEKDAY(E$3,2)*2-1)+IF(E1039="Morning",0,1)),D1039)=0,"","
2. "),
IF(INDEX(final_duration_secondary,((WEEKDAY(E$3,2)*2-1)+IF(E1039="Morning",0,1)),D1039)=0,"",INDEX(sessions_description_secondary,,INDEX(plan_session_allocation,((WEEKDAY(E$3,2)*2-1)+IF(E1039="Morning",0,1)),D1039))),IF(INDEX(final_duration_tertiary,((WEEKDAY(E$3,2)*2-1)+IF(E1039="Morning",0,1)),D1039)=0,"","
3. "),
IF(INDEX(final_duration_tertiary,((WEEKDAY(E$3,2)*2-1)+IF(E1039="Morning",0,1)),D1039)="","",INDEX(sessions_description_tertiary,,INDEX(plan_session_allocation,((WEEKDAY(E$3,2)*2-1)+IF(E1039="Morning",0,1)),D1039))),
IF(INDEX(display_nutrition_description,((WEEKDAY(E$3,2)*2-1)+IF(E1039="Morning",0,1)),D1039)="","",
CONCATENATE("
Meal Plan: ", INDEX(sessions_nutrition,,INDEX(plan_session_allocation,((WEEKDAY(E$3,2)*2-1)+IF(E1039="Morning",0,1)),D1039)), "
", INDEX(display_nutrition_description,((WEEKDAY(E$3,2)*2-1)+IF(E1039="Morning",0,1)),D1039)))
)),"")),"")</f>
        <v/>
      </c>
      <c r="E1045" s="1914"/>
      <c r="F1045" s="1914"/>
      <c r="G1045" s="1915"/>
      <c r="H1045" s="177"/>
      <c r="I1045" s="1913" t="str">
        <f ca="1">IF(L1039&gt;0,CONCATENATE(IFERROR(CONCATENATE(IF(INDEX(display_intervals_breakdown,((WEEKDAY(J$3,2)*2-1)+IF(J1039="Morning",0,1)),I1039)="","",CONCATENATE("Intervals/Reps Breakdown: 
",INDEX(display_intervals_breakdown,((WEEKDAY(J$3,2)*2-1)+IF(J1039="Morning",0,1)),I1039),"
")),"Session Description: 
",CONCATENATE(IF(INDEX(final_duration_secondary,((WEEKDAY(J$3,2)*2-1)+IF(J1039="Morning",0,1)),I1039)=0,"","1. "),
INDEX(sessions_description_primary,,INDEX(plan_session_allocation,((WEEKDAY(J$3,2)*2-1)+IF(J1039="Morning",0,1)),I1039)),IF(INDEX(final_duration_secondary,((WEEKDAY(J$3,2)*2-1)+IF(J1039="Morning",0,1)),I1039)=0,"","
2. "),
IF(INDEX(final_duration_secondary,((WEEKDAY(J$3,2)*2-1)+IF(J1039="Morning",0,1)),I1039)=0,"",INDEX(sessions_description_secondary,,INDEX(plan_session_allocation,((WEEKDAY(J$3,2)*2-1)+IF(J1039="Morning",0,1)),I1039))),IF(INDEX(final_duration_tertiary,((WEEKDAY(J$3,2)*2-1)+IF(J1039="Morning",0,1)),I1039)=0,"","
3. "),
IF(INDEX(final_duration_tertiary,((WEEKDAY(J$3,2)*2-1)+IF(J1039="Morning",0,1)),I1039)="","",INDEX(sessions_description_tertiary,,INDEX(plan_session_allocation,((WEEKDAY(J$3,2)*2-1)+IF(J1039="Morning",0,1)),I1039))),
IF(INDEX(display_nutrition_description,((WEEKDAY(J$3,2)*2-1)+IF(J1039="Morning",0,1)),I1039)="","",
CONCATENATE("
Meal Plan: ", INDEX(sessions_nutrition,,INDEX(plan_session_allocation,((WEEKDAY(J$3,2)*2-1)+IF(J1039="Morning",0,1)),I1039)), "
", INDEX(display_nutrition_description,((WEEKDAY(J$3,2)*2-1)+IF(J1039="Morning",0,1)),I1039)))
)),"")),"")</f>
        <v>Intervals/Reps Breakdown: 
Efforts of: 1km x5
And recoveries of: 1 minutes
Session Description: 
Intervals are hard, but don't start so hard that you can't run the same pace for all intervals in the session. Forget about HR, and focus on feeling your intensity. Do the recoveries at an easy intensity. Warm up and warm down for 10 minutes each.</v>
      </c>
      <c r="J1045" s="1914"/>
      <c r="K1045" s="1914"/>
      <c r="L1045" s="1915"/>
      <c r="M1045" s="177"/>
      <c r="N1045" s="1913" t="str">
        <f ca="1">IF(Q1039&gt;0,CONCATENATE(IFERROR(CONCATENATE(IF(INDEX(display_intervals_breakdown,((WEEKDAY(O$3,2)*2-1)+IF(O1039="Morning",0,1)),N1039)="","",CONCATENATE("Intervals/Reps Breakdown: 
",INDEX(display_intervals_breakdown,((WEEKDAY(O$3,2)*2-1)+IF(O1039="Morning",0,1)),N1039),"
")),"Session Description: 
",CONCATENATE(IF(INDEX(final_duration_secondary,((WEEKDAY(O$3,2)*2-1)+IF(O1039="Morning",0,1)),N1039)=0,"","1. "),
INDEX(sessions_description_primary,,INDEX(plan_session_allocation,((WEEKDAY(O$3,2)*2-1)+IF(O1039="Morning",0,1)),N1039)),IF(INDEX(final_duration_secondary,((WEEKDAY(O$3,2)*2-1)+IF(O1039="Morning",0,1)),N1039)=0,"","
2. "),
IF(INDEX(final_duration_secondary,((WEEKDAY(O$3,2)*2-1)+IF(O1039="Morning",0,1)),N1039)=0,"",INDEX(sessions_description_secondary,,INDEX(plan_session_allocation,((WEEKDAY(O$3,2)*2-1)+IF(O1039="Morning",0,1)),N1039))),IF(INDEX(final_duration_tertiary,((WEEKDAY(O$3,2)*2-1)+IF(O1039="Morning",0,1)),N1039)=0,"","
3. "),
IF(INDEX(final_duration_tertiary,((WEEKDAY(O$3,2)*2-1)+IF(O1039="Morning",0,1)),N1039)="","",INDEX(sessions_description_tertiary,,INDEX(plan_session_allocation,((WEEKDAY(O$3,2)*2-1)+IF(O1039="Morning",0,1)),N1039))),
IF(INDEX(display_nutrition_description,((WEEKDAY(O$3,2)*2-1)+IF(O1039="Morning",0,1)),N1039)="","",
CONCATENATE("
Meal Plan: ", INDEX(sessions_nutrition,,INDEX(plan_session_allocation,((WEEKDAY(O$3,2)*2-1)+IF(O1039="Morning",0,1)),N1039)), "
", INDEX(display_nutrition_description,((WEEKDAY(O$3,2)*2-1)+IF(O1039="Morning",0,1)),N1039)))
)),"")),"")</f>
        <v>Session Description: 
1. Stay at a comfortable and controlled intensity where you should be able to have a conversation without large pauses. Keep an even intensity and accept that your pace may change as the terrain changes.
2. Do these either in the middlle or at the end of the session. Accelerate to just below sprint speed for 50 - 100 meters and use form focuses to enhance your technique. Walk back to the start before starting the next stride out.</v>
      </c>
      <c r="O1045" s="1914"/>
      <c r="P1045" s="1914"/>
      <c r="Q1045" s="1915"/>
      <c r="R1045" s="177"/>
      <c r="S1045" s="1913" t="str">
        <f ca="1">IF(V1039&gt;0,CONCATENATE(IFERROR(CONCATENATE(IF(INDEX(display_intervals_breakdown,((WEEKDAY(T$3,2)*2-1)+IF(T1039="Morning",0,1)),S1039)="","",CONCATENATE("Intervals/Reps Breakdown: 
",INDEX(display_intervals_breakdown,((WEEKDAY(T$3,2)*2-1)+IF(T1039="Morning",0,1)),S1039),"
")),"Session Description: 
",CONCATENATE(IF(INDEX(final_duration_secondary,((WEEKDAY(T$3,2)*2-1)+IF(T1039="Morning",0,1)),S1039)=0,"","1. "),
INDEX(sessions_description_primary,,INDEX(plan_session_allocation,((WEEKDAY(T$3,2)*2-1)+IF(T1039="Morning",0,1)),S1039)),IF(INDEX(final_duration_secondary,((WEEKDAY(T$3,2)*2-1)+IF(T1039="Morning",0,1)),S1039)=0,"","
2. "),
IF(INDEX(final_duration_secondary,((WEEKDAY(T$3,2)*2-1)+IF(T1039="Morning",0,1)),S1039)=0,"",INDEX(sessions_description_secondary,,INDEX(plan_session_allocation,((WEEKDAY(T$3,2)*2-1)+IF(T1039="Morning",0,1)),S1039))),IF(INDEX(final_duration_tertiary,((WEEKDAY(T$3,2)*2-1)+IF(T1039="Morning",0,1)),S1039)=0,"","
3. "),
IF(INDEX(final_duration_tertiary,((WEEKDAY(T$3,2)*2-1)+IF(T1039="Morning",0,1)),S1039)="","",INDEX(sessions_description_tertiary,,INDEX(plan_session_allocation,((WEEKDAY(T$3,2)*2-1)+IF(T1039="Morning",0,1)),S1039))),
IF(INDEX(display_nutrition_description,((WEEKDAY(T$3,2)*2-1)+IF(T1039="Morning",0,1)),S1039)="","",
CONCATENATE("
Meal Plan: ", INDEX(sessions_nutrition,,INDEX(plan_session_allocation,((WEEKDAY(T$3,2)*2-1)+IF(T1039="Morning",0,1)),S1039)), "
", INDEX(display_nutrition_description,((WEEKDAY(T$3,2)*2-1)+IF(T1039="Morning",0,1)),S1039)))
)),"")),"")</f>
        <v/>
      </c>
      <c r="T1045" s="1914"/>
      <c r="U1045" s="1914"/>
      <c r="V1045" s="1915"/>
      <c r="W1045" s="177"/>
      <c r="X1045" s="1913" t="str">
        <f ca="1">IF(AA1039&gt;0,CONCATENATE(IFERROR(CONCATENATE(IF(INDEX(display_intervals_breakdown,((WEEKDAY(Y$3,2)*2-1)+IF(Y1039="Morning",0,1)),X1039)="","",CONCATENATE("Intervals/Reps Breakdown: 
",INDEX(display_intervals_breakdown,((WEEKDAY(Y$3,2)*2-1)+IF(Y1039="Morning",0,1)),X1039),"
")),"Session Description: 
",CONCATENATE(IF(INDEX(final_duration_secondary,((WEEKDAY(Y$3,2)*2-1)+IF(Y1039="Morning",0,1)),X1039)=0,"","1. "),
INDEX(sessions_description_primary,,INDEX(plan_session_allocation,((WEEKDAY(Y$3,2)*2-1)+IF(Y1039="Morning",0,1)),X1039)),IF(INDEX(final_duration_secondary,((WEEKDAY(Y$3,2)*2-1)+IF(Y1039="Morning",0,1)),X1039)=0,"","
2. "),
IF(INDEX(final_duration_secondary,((WEEKDAY(Y$3,2)*2-1)+IF(Y1039="Morning",0,1)),X1039)=0,"",INDEX(sessions_description_secondary,,INDEX(plan_session_allocation,((WEEKDAY(Y$3,2)*2-1)+IF(Y1039="Morning",0,1)),X1039))),IF(INDEX(final_duration_tertiary,((WEEKDAY(Y$3,2)*2-1)+IF(Y1039="Morning",0,1)),X1039)=0,"","
3. "),
IF(INDEX(final_duration_tertiary,((WEEKDAY(Y$3,2)*2-1)+IF(Y1039="Morning",0,1)),X1039)="","",INDEX(sessions_description_tertiary,,INDEX(plan_session_allocation,((WEEKDAY(Y$3,2)*2-1)+IF(Y1039="Morning",0,1)),X1039))),
IF(INDEX(display_nutrition_description,((WEEKDAY(Y$3,2)*2-1)+IF(Y1039="Morning",0,1)),X1039)="","",
CONCATENATE("
Meal Plan: ", INDEX(sessions_nutrition,,INDEX(plan_session_allocation,((WEEKDAY(Y$3,2)*2-1)+IF(Y1039="Morning",0,1)),X1039)), "
", INDEX(display_nutrition_description,((WEEKDAY(Y$3,2)*2-1)+IF(Y1039="Morning",0,1)),X1039)))
)),"")),"")</f>
        <v/>
      </c>
      <c r="Y1045" s="1914"/>
      <c r="Z1045" s="1914"/>
      <c r="AA1045" s="1915"/>
      <c r="AB1045" s="177"/>
      <c r="AC1045" s="1913" t="str">
        <f ca="1">IF(AF1039&gt;0,CONCATENATE(IFERROR(CONCATENATE(IF(INDEX(display_intervals_breakdown,((WEEKDAY(AD$3,2)*2-1)+IF(AD1039="Morning",0,1)),AC1039)="","",CONCATENATE("Intervals/Reps Breakdown: 
",INDEX(display_intervals_breakdown,((WEEKDAY(AD$3,2)*2-1)+IF(AD1039="Morning",0,1)),AC1039),"
")),"Session Description: 
",CONCATENATE(IF(INDEX(final_duration_secondary,((WEEKDAY(AD$3,2)*2-1)+IF(AD1039="Morning",0,1)),AC1039)=0,"","1. "),
INDEX(sessions_description_primary,,INDEX(plan_session_allocation,((WEEKDAY(AD$3,2)*2-1)+IF(AD1039="Morning",0,1)),AC1039)),IF(INDEX(final_duration_secondary,((WEEKDAY(AD$3,2)*2-1)+IF(AD1039="Morning",0,1)),AC1039)=0,"","
2. "),
IF(INDEX(final_duration_secondary,((WEEKDAY(AD$3,2)*2-1)+IF(AD1039="Morning",0,1)),AC1039)=0,"",INDEX(sessions_description_secondary,,INDEX(plan_session_allocation,((WEEKDAY(AD$3,2)*2-1)+IF(AD1039="Morning",0,1)),AC1039))),IF(INDEX(final_duration_tertiary,((WEEKDAY(AD$3,2)*2-1)+IF(AD1039="Morning",0,1)),AC1039)=0,"","
3. "),
IF(INDEX(final_duration_tertiary,((WEEKDAY(AD$3,2)*2-1)+IF(AD1039="Morning",0,1)),AC1039)="","",INDEX(sessions_description_tertiary,,INDEX(plan_session_allocation,((WEEKDAY(AD$3,2)*2-1)+IF(AD1039="Morning",0,1)),AC1039))),
IF(INDEX(display_nutrition_description,((WEEKDAY(AD$3,2)*2-1)+IF(AD1039="Morning",0,1)),AC1039)="","",
CONCATENATE("
Meal Plan: ", INDEX(sessions_nutrition,,INDEX(plan_session_allocation,((WEEKDAY(AD$3,2)*2-1)+IF(AD1039="Morning",0,1)),AC1039)), "
", INDEX(display_nutrition_description,((WEEKDAY(AD$3,2)*2-1)+IF(AD1039="Morning",0,1)),AC1039)))
)),"")),"")</f>
        <v/>
      </c>
      <c r="AD1045" s="1914"/>
      <c r="AE1045" s="1914"/>
      <c r="AF1045" s="1915"/>
      <c r="AG1045" s="177"/>
      <c r="AH1045" s="1913" t="str">
        <f ca="1">IF(AK1039&gt;0,CONCATENATE(IFERROR(CONCATENATE(IF(INDEX(display_intervals_breakdown,((WEEKDAY(AI$3,2)*2-1)+IF(AI1039="Morning",0,1)),AH1039)="","",CONCATENATE("Intervals/Reps Breakdown: 
",INDEX(display_intervals_breakdown,((WEEKDAY(AI$3,2)*2-1)+IF(AI1039="Morning",0,1)),AH1039),"
")),"Session Description: 
",CONCATENATE(IF(INDEX(final_duration_secondary,((WEEKDAY(AI$3,2)*2-1)+IF(AI1039="Morning",0,1)),AH1039)=0,"","1. "),
INDEX(sessions_description_primary,,INDEX(plan_session_allocation,((WEEKDAY(AI$3,2)*2-1)+IF(AI1039="Morning",0,1)),AH1039)),IF(INDEX(final_duration_secondary,((WEEKDAY(AI$3,2)*2-1)+IF(AI1039="Morning",0,1)),AH1039)=0,"","
2. "),
IF(INDEX(final_duration_secondary,((WEEKDAY(AI$3,2)*2-1)+IF(AI1039="Morning",0,1)),AH1039)=0,"",INDEX(sessions_description_secondary,,INDEX(plan_session_allocation,((WEEKDAY(AI$3,2)*2-1)+IF(AI1039="Morning",0,1)),AH1039))),IF(INDEX(final_duration_tertiary,((WEEKDAY(AI$3,2)*2-1)+IF(AI1039="Morning",0,1)),AH1039)=0,"","
3. "),
IF(INDEX(final_duration_tertiary,((WEEKDAY(AI$3,2)*2-1)+IF(AI1039="Morning",0,1)),AH1039)="","",INDEX(sessions_description_tertiary,,INDEX(plan_session_allocation,((WEEKDAY(AI$3,2)*2-1)+IF(AI1039="Morning",0,1)),AH1039))),
IF(INDEX(display_nutrition_description,((WEEKDAY(AI$3,2)*2-1)+IF(AI1039="Morning",0,1)),AH1039)="","",
CONCATENATE("
Meal Plan: ", INDEX(sessions_nutrition,,INDEX(plan_session_allocation,((WEEKDAY(AI$3,2)*2-1)+IF(AI1039="Morning",0,1)),AH1039)), "
", INDEX(display_nutrition_description,((WEEKDAY(AI$3,2)*2-1)+IF(AI1039="Morning",0,1)),AH1039)))
)),"")),"")</f>
        <v/>
      </c>
      <c r="AI1045" s="1914"/>
      <c r="AJ1045" s="1914"/>
      <c r="AK1045" s="1915"/>
      <c r="AL1045" s="177"/>
    </row>
    <row r="1046" spans="2:38" s="176" customFormat="1" ht="15" customHeight="1" x14ac:dyDescent="0.45">
      <c r="B1046" s="1942"/>
      <c r="C1046" s="1945"/>
      <c r="D1046" s="1916"/>
      <c r="E1046" s="1917"/>
      <c r="F1046" s="1917"/>
      <c r="G1046" s="1918"/>
      <c r="H1046" s="177"/>
      <c r="I1046" s="1916"/>
      <c r="J1046" s="1917"/>
      <c r="K1046" s="1917"/>
      <c r="L1046" s="1918"/>
      <c r="M1046" s="177"/>
      <c r="N1046" s="1916"/>
      <c r="O1046" s="1917"/>
      <c r="P1046" s="1917"/>
      <c r="Q1046" s="1918"/>
      <c r="R1046" s="177"/>
      <c r="S1046" s="1916"/>
      <c r="T1046" s="1917"/>
      <c r="U1046" s="1917"/>
      <c r="V1046" s="1918"/>
      <c r="W1046" s="177"/>
      <c r="X1046" s="1916"/>
      <c r="Y1046" s="1917"/>
      <c r="Z1046" s="1917"/>
      <c r="AA1046" s="1918"/>
      <c r="AB1046" s="177"/>
      <c r="AC1046" s="1916"/>
      <c r="AD1046" s="1917"/>
      <c r="AE1046" s="1917"/>
      <c r="AF1046" s="1918"/>
      <c r="AG1046" s="177"/>
      <c r="AH1046" s="1916"/>
      <c r="AI1046" s="1917"/>
      <c r="AJ1046" s="1917"/>
      <c r="AK1046" s="1918"/>
      <c r="AL1046" s="177"/>
    </row>
    <row r="1047" spans="2:38" s="176" customFormat="1" ht="15" customHeight="1" x14ac:dyDescent="0.45">
      <c r="B1047" s="1942"/>
      <c r="C1047" s="1945"/>
      <c r="D1047" s="1916"/>
      <c r="E1047" s="1917"/>
      <c r="F1047" s="1917"/>
      <c r="G1047" s="1918"/>
      <c r="H1047" s="177"/>
      <c r="I1047" s="1916"/>
      <c r="J1047" s="1917"/>
      <c r="K1047" s="1917"/>
      <c r="L1047" s="1918"/>
      <c r="M1047" s="177"/>
      <c r="N1047" s="1916"/>
      <c r="O1047" s="1917"/>
      <c r="P1047" s="1917"/>
      <c r="Q1047" s="1918"/>
      <c r="R1047" s="177"/>
      <c r="S1047" s="1916"/>
      <c r="T1047" s="1917"/>
      <c r="U1047" s="1917"/>
      <c r="V1047" s="1918"/>
      <c r="W1047" s="177"/>
      <c r="X1047" s="1916"/>
      <c r="Y1047" s="1917"/>
      <c r="Z1047" s="1917"/>
      <c r="AA1047" s="1918"/>
      <c r="AB1047" s="177"/>
      <c r="AC1047" s="1916"/>
      <c r="AD1047" s="1917"/>
      <c r="AE1047" s="1917"/>
      <c r="AF1047" s="1918"/>
      <c r="AG1047" s="177"/>
      <c r="AH1047" s="1916"/>
      <c r="AI1047" s="1917"/>
      <c r="AJ1047" s="1917"/>
      <c r="AK1047" s="1918"/>
      <c r="AL1047" s="177"/>
    </row>
    <row r="1048" spans="2:38" s="176" customFormat="1" x14ac:dyDescent="0.45">
      <c r="B1048" s="1942"/>
      <c r="C1048" s="1945"/>
      <c r="D1048" s="1916"/>
      <c r="E1048" s="1917"/>
      <c r="F1048" s="1917"/>
      <c r="G1048" s="1918"/>
      <c r="H1048" s="177"/>
      <c r="I1048" s="1916"/>
      <c r="J1048" s="1917"/>
      <c r="K1048" s="1917"/>
      <c r="L1048" s="1918"/>
      <c r="M1048" s="177"/>
      <c r="N1048" s="1916"/>
      <c r="O1048" s="1917"/>
      <c r="P1048" s="1917"/>
      <c r="Q1048" s="1918"/>
      <c r="R1048" s="177"/>
      <c r="S1048" s="1916"/>
      <c r="T1048" s="1917"/>
      <c r="U1048" s="1917"/>
      <c r="V1048" s="1918"/>
      <c r="W1048" s="177"/>
      <c r="X1048" s="1916"/>
      <c r="Y1048" s="1917"/>
      <c r="Z1048" s="1917"/>
      <c r="AA1048" s="1918"/>
      <c r="AB1048" s="177"/>
      <c r="AC1048" s="1916"/>
      <c r="AD1048" s="1917"/>
      <c r="AE1048" s="1917"/>
      <c r="AF1048" s="1918"/>
      <c r="AG1048" s="177"/>
      <c r="AH1048" s="1916"/>
      <c r="AI1048" s="1917"/>
      <c r="AJ1048" s="1917"/>
      <c r="AK1048" s="1918"/>
      <c r="AL1048" s="177"/>
    </row>
    <row r="1049" spans="2:38" s="176" customFormat="1" x14ac:dyDescent="0.45">
      <c r="B1049" s="1942"/>
      <c r="C1049" s="1945"/>
      <c r="D1049" s="1916"/>
      <c r="E1049" s="1917"/>
      <c r="F1049" s="1917"/>
      <c r="G1049" s="1918"/>
      <c r="H1049" s="177"/>
      <c r="I1049" s="1916"/>
      <c r="J1049" s="1917"/>
      <c r="K1049" s="1917"/>
      <c r="L1049" s="1918"/>
      <c r="M1049" s="177"/>
      <c r="N1049" s="1916"/>
      <c r="O1049" s="1917"/>
      <c r="P1049" s="1917"/>
      <c r="Q1049" s="1918"/>
      <c r="R1049" s="177"/>
      <c r="S1049" s="1916"/>
      <c r="T1049" s="1917"/>
      <c r="U1049" s="1917"/>
      <c r="V1049" s="1918"/>
      <c r="W1049" s="177"/>
      <c r="X1049" s="1916"/>
      <c r="Y1049" s="1917"/>
      <c r="Z1049" s="1917"/>
      <c r="AA1049" s="1918"/>
      <c r="AB1049" s="177"/>
      <c r="AC1049" s="1916"/>
      <c r="AD1049" s="1917"/>
      <c r="AE1049" s="1917"/>
      <c r="AF1049" s="1918"/>
      <c r="AG1049" s="177"/>
      <c r="AH1049" s="1916"/>
      <c r="AI1049" s="1917"/>
      <c r="AJ1049" s="1917"/>
      <c r="AK1049" s="1918"/>
      <c r="AL1049" s="177"/>
    </row>
    <row r="1050" spans="2:38" s="176" customFormat="1" x14ac:dyDescent="0.45">
      <c r="B1050" s="1942"/>
      <c r="C1050" s="1945"/>
      <c r="D1050" s="1916"/>
      <c r="E1050" s="1917"/>
      <c r="F1050" s="1917"/>
      <c r="G1050" s="1918"/>
      <c r="H1050" s="177"/>
      <c r="I1050" s="1916"/>
      <c r="J1050" s="1917"/>
      <c r="K1050" s="1917"/>
      <c r="L1050" s="1918"/>
      <c r="M1050" s="177"/>
      <c r="N1050" s="1916"/>
      <c r="O1050" s="1917"/>
      <c r="P1050" s="1917"/>
      <c r="Q1050" s="1918"/>
      <c r="R1050" s="177"/>
      <c r="S1050" s="1916"/>
      <c r="T1050" s="1917"/>
      <c r="U1050" s="1917"/>
      <c r="V1050" s="1918"/>
      <c r="W1050" s="177"/>
      <c r="X1050" s="1916"/>
      <c r="Y1050" s="1917"/>
      <c r="Z1050" s="1917"/>
      <c r="AA1050" s="1918"/>
      <c r="AB1050" s="177"/>
      <c r="AC1050" s="1916"/>
      <c r="AD1050" s="1917"/>
      <c r="AE1050" s="1917"/>
      <c r="AF1050" s="1918"/>
      <c r="AG1050" s="177"/>
      <c r="AH1050" s="1916"/>
      <c r="AI1050" s="1917"/>
      <c r="AJ1050" s="1917"/>
      <c r="AK1050" s="1918"/>
      <c r="AL1050" s="177"/>
    </row>
    <row r="1051" spans="2:38" s="176" customFormat="1" ht="15" customHeight="1" x14ac:dyDescent="0.45">
      <c r="B1051" s="1942"/>
      <c r="C1051" s="1945"/>
      <c r="D1051" s="1916"/>
      <c r="E1051" s="1917"/>
      <c r="F1051" s="1917"/>
      <c r="G1051" s="1918"/>
      <c r="H1051" s="177"/>
      <c r="I1051" s="1916"/>
      <c r="J1051" s="1917"/>
      <c r="K1051" s="1917"/>
      <c r="L1051" s="1918"/>
      <c r="M1051" s="177"/>
      <c r="N1051" s="1916"/>
      <c r="O1051" s="1917"/>
      <c r="P1051" s="1917"/>
      <c r="Q1051" s="1918"/>
      <c r="R1051" s="177"/>
      <c r="S1051" s="1916"/>
      <c r="T1051" s="1917"/>
      <c r="U1051" s="1917"/>
      <c r="V1051" s="1918"/>
      <c r="W1051" s="177"/>
      <c r="X1051" s="1916"/>
      <c r="Y1051" s="1917"/>
      <c r="Z1051" s="1917"/>
      <c r="AA1051" s="1918"/>
      <c r="AB1051" s="177"/>
      <c r="AC1051" s="1916"/>
      <c r="AD1051" s="1917"/>
      <c r="AE1051" s="1917"/>
      <c r="AF1051" s="1918"/>
      <c r="AG1051" s="177"/>
      <c r="AH1051" s="1916"/>
      <c r="AI1051" s="1917"/>
      <c r="AJ1051" s="1917"/>
      <c r="AK1051" s="1918"/>
      <c r="AL1051" s="177"/>
    </row>
    <row r="1052" spans="2:38" s="176" customFormat="1" ht="15" customHeight="1" x14ac:dyDescent="0.45">
      <c r="B1052" s="1942"/>
      <c r="C1052" s="1945"/>
      <c r="D1052" s="1916"/>
      <c r="E1052" s="1917"/>
      <c r="F1052" s="1917"/>
      <c r="G1052" s="1918"/>
      <c r="H1052" s="177"/>
      <c r="I1052" s="1916"/>
      <c r="J1052" s="1917"/>
      <c r="K1052" s="1917"/>
      <c r="L1052" s="1918"/>
      <c r="M1052" s="177"/>
      <c r="N1052" s="1916"/>
      <c r="O1052" s="1917"/>
      <c r="P1052" s="1917"/>
      <c r="Q1052" s="1918"/>
      <c r="R1052" s="177"/>
      <c r="S1052" s="1916"/>
      <c r="T1052" s="1917"/>
      <c r="U1052" s="1917"/>
      <c r="V1052" s="1918"/>
      <c r="W1052" s="177"/>
      <c r="X1052" s="1916"/>
      <c r="Y1052" s="1917"/>
      <c r="Z1052" s="1917"/>
      <c r="AA1052" s="1918"/>
      <c r="AB1052" s="177"/>
      <c r="AC1052" s="1916"/>
      <c r="AD1052" s="1917"/>
      <c r="AE1052" s="1917"/>
      <c r="AF1052" s="1918"/>
      <c r="AG1052" s="177"/>
      <c r="AH1052" s="1916"/>
      <c r="AI1052" s="1917"/>
      <c r="AJ1052" s="1917"/>
      <c r="AK1052" s="1918"/>
      <c r="AL1052" s="177"/>
    </row>
    <row r="1053" spans="2:38" s="176" customFormat="1" x14ac:dyDescent="0.45">
      <c r="B1053" s="1942"/>
      <c r="C1053" s="1945"/>
      <c r="D1053" s="1916"/>
      <c r="E1053" s="1917"/>
      <c r="F1053" s="1917"/>
      <c r="G1053" s="1918"/>
      <c r="H1053" s="177"/>
      <c r="I1053" s="1916"/>
      <c r="J1053" s="1917"/>
      <c r="K1053" s="1917"/>
      <c r="L1053" s="1918"/>
      <c r="M1053" s="177"/>
      <c r="N1053" s="1916"/>
      <c r="O1053" s="1917"/>
      <c r="P1053" s="1917"/>
      <c r="Q1053" s="1918"/>
      <c r="R1053" s="177"/>
      <c r="S1053" s="1916"/>
      <c r="T1053" s="1917"/>
      <c r="U1053" s="1917"/>
      <c r="V1053" s="1918"/>
      <c r="W1053" s="177"/>
      <c r="X1053" s="1916"/>
      <c r="Y1053" s="1917"/>
      <c r="Z1053" s="1917"/>
      <c r="AA1053" s="1918"/>
      <c r="AB1053" s="177"/>
      <c r="AC1053" s="1916"/>
      <c r="AD1053" s="1917"/>
      <c r="AE1053" s="1917"/>
      <c r="AF1053" s="1918"/>
      <c r="AG1053" s="177"/>
      <c r="AH1053" s="1916"/>
      <c r="AI1053" s="1917"/>
      <c r="AJ1053" s="1917"/>
      <c r="AK1053" s="1918"/>
      <c r="AL1053" s="177"/>
    </row>
    <row r="1054" spans="2:38" s="176" customFormat="1" x14ac:dyDescent="0.45">
      <c r="B1054" s="1942"/>
      <c r="C1054" s="1945"/>
      <c r="D1054" s="1916"/>
      <c r="E1054" s="1917"/>
      <c r="F1054" s="1917"/>
      <c r="G1054" s="1918"/>
      <c r="H1054" s="177"/>
      <c r="I1054" s="1916"/>
      <c r="J1054" s="1917"/>
      <c r="K1054" s="1917"/>
      <c r="L1054" s="1918"/>
      <c r="M1054" s="177"/>
      <c r="N1054" s="1916"/>
      <c r="O1054" s="1917"/>
      <c r="P1054" s="1917"/>
      <c r="Q1054" s="1918"/>
      <c r="R1054" s="177"/>
      <c r="S1054" s="1916"/>
      <c r="T1054" s="1917"/>
      <c r="U1054" s="1917"/>
      <c r="V1054" s="1918"/>
      <c r="W1054" s="177"/>
      <c r="X1054" s="1916"/>
      <c r="Y1054" s="1917"/>
      <c r="Z1054" s="1917"/>
      <c r="AA1054" s="1918"/>
      <c r="AB1054" s="177"/>
      <c r="AC1054" s="1916"/>
      <c r="AD1054" s="1917"/>
      <c r="AE1054" s="1917"/>
      <c r="AF1054" s="1918"/>
      <c r="AG1054" s="177"/>
      <c r="AH1054" s="1916"/>
      <c r="AI1054" s="1917"/>
      <c r="AJ1054" s="1917"/>
      <c r="AK1054" s="1918"/>
      <c r="AL1054" s="177"/>
    </row>
    <row r="1055" spans="2:38" s="176" customFormat="1" x14ac:dyDescent="0.45">
      <c r="B1055" s="1942"/>
      <c r="C1055" s="1945"/>
      <c r="D1055" s="1916"/>
      <c r="E1055" s="1917"/>
      <c r="F1055" s="1917"/>
      <c r="G1055" s="1918"/>
      <c r="H1055" s="177"/>
      <c r="I1055" s="1916"/>
      <c r="J1055" s="1917"/>
      <c r="K1055" s="1917"/>
      <c r="L1055" s="1918"/>
      <c r="M1055" s="177"/>
      <c r="N1055" s="1916"/>
      <c r="O1055" s="1917"/>
      <c r="P1055" s="1917"/>
      <c r="Q1055" s="1918"/>
      <c r="R1055" s="177"/>
      <c r="S1055" s="1916"/>
      <c r="T1055" s="1917"/>
      <c r="U1055" s="1917"/>
      <c r="V1055" s="1918"/>
      <c r="W1055" s="177"/>
      <c r="X1055" s="1916"/>
      <c r="Y1055" s="1917"/>
      <c r="Z1055" s="1917"/>
      <c r="AA1055" s="1918"/>
      <c r="AB1055" s="177"/>
      <c r="AC1055" s="1916"/>
      <c r="AD1055" s="1917"/>
      <c r="AE1055" s="1917"/>
      <c r="AF1055" s="1918"/>
      <c r="AG1055" s="177"/>
      <c r="AH1055" s="1916"/>
      <c r="AI1055" s="1917"/>
      <c r="AJ1055" s="1917"/>
      <c r="AK1055" s="1918"/>
      <c r="AL1055" s="177"/>
    </row>
    <row r="1056" spans="2:38" s="176" customFormat="1" x14ac:dyDescent="0.45">
      <c r="B1056" s="1942"/>
      <c r="C1056" s="1945"/>
      <c r="D1056" s="1916"/>
      <c r="E1056" s="1917"/>
      <c r="F1056" s="1917"/>
      <c r="G1056" s="1918"/>
      <c r="H1056" s="177"/>
      <c r="I1056" s="1916"/>
      <c r="J1056" s="1917"/>
      <c r="K1056" s="1917"/>
      <c r="L1056" s="1918"/>
      <c r="M1056" s="177"/>
      <c r="N1056" s="1916"/>
      <c r="O1056" s="1917"/>
      <c r="P1056" s="1917"/>
      <c r="Q1056" s="1918"/>
      <c r="R1056" s="177"/>
      <c r="S1056" s="1916"/>
      <c r="T1056" s="1917"/>
      <c r="U1056" s="1917"/>
      <c r="V1056" s="1918"/>
      <c r="W1056" s="177"/>
      <c r="X1056" s="1916"/>
      <c r="Y1056" s="1917"/>
      <c r="Z1056" s="1917"/>
      <c r="AA1056" s="1918"/>
      <c r="AB1056" s="177"/>
      <c r="AC1056" s="1916"/>
      <c r="AD1056" s="1917"/>
      <c r="AE1056" s="1917"/>
      <c r="AF1056" s="1918"/>
      <c r="AG1056" s="177"/>
      <c r="AH1056" s="1916"/>
      <c r="AI1056" s="1917"/>
      <c r="AJ1056" s="1917"/>
      <c r="AK1056" s="1918"/>
      <c r="AL1056" s="177"/>
    </row>
    <row r="1057" spans="2:38" s="176" customFormat="1" x14ac:dyDescent="0.45">
      <c r="B1057" s="1942"/>
      <c r="C1057" s="1945"/>
      <c r="D1057" s="1916"/>
      <c r="E1057" s="1917"/>
      <c r="F1057" s="1917"/>
      <c r="G1057" s="1918"/>
      <c r="H1057" s="177"/>
      <c r="I1057" s="1916"/>
      <c r="J1057" s="1917"/>
      <c r="K1057" s="1917"/>
      <c r="L1057" s="1918"/>
      <c r="M1057" s="177"/>
      <c r="N1057" s="1916"/>
      <c r="O1057" s="1917"/>
      <c r="P1057" s="1917"/>
      <c r="Q1057" s="1918"/>
      <c r="R1057" s="177"/>
      <c r="S1057" s="1916"/>
      <c r="T1057" s="1917"/>
      <c r="U1057" s="1917"/>
      <c r="V1057" s="1918"/>
      <c r="W1057" s="177"/>
      <c r="X1057" s="1916"/>
      <c r="Y1057" s="1917"/>
      <c r="Z1057" s="1917"/>
      <c r="AA1057" s="1918"/>
      <c r="AB1057" s="177"/>
      <c r="AC1057" s="1916"/>
      <c r="AD1057" s="1917"/>
      <c r="AE1057" s="1917"/>
      <c r="AF1057" s="1918"/>
      <c r="AG1057" s="177"/>
      <c r="AH1057" s="1916"/>
      <c r="AI1057" s="1917"/>
      <c r="AJ1057" s="1917"/>
      <c r="AK1057" s="1918"/>
      <c r="AL1057" s="177"/>
    </row>
    <row r="1058" spans="2:38" s="176" customFormat="1" ht="15" customHeight="1" x14ac:dyDescent="0.45">
      <c r="B1058" s="1942"/>
      <c r="C1058" s="1945"/>
      <c r="D1058" s="1919"/>
      <c r="E1058" s="1920"/>
      <c r="F1058" s="1920"/>
      <c r="G1058" s="1921"/>
      <c r="H1058" s="177"/>
      <c r="I1058" s="1919"/>
      <c r="J1058" s="1920"/>
      <c r="K1058" s="1920"/>
      <c r="L1058" s="1921"/>
      <c r="M1058" s="177"/>
      <c r="N1058" s="1919"/>
      <c r="O1058" s="1920"/>
      <c r="P1058" s="1920"/>
      <c r="Q1058" s="1921"/>
      <c r="R1058" s="177"/>
      <c r="S1058" s="1919"/>
      <c r="T1058" s="1920"/>
      <c r="U1058" s="1920"/>
      <c r="V1058" s="1921"/>
      <c r="W1058" s="177"/>
      <c r="X1058" s="1919"/>
      <c r="Y1058" s="1920"/>
      <c r="Z1058" s="1920"/>
      <c r="AA1058" s="1921"/>
      <c r="AB1058" s="177"/>
      <c r="AC1058" s="1919"/>
      <c r="AD1058" s="1920"/>
      <c r="AE1058" s="1920"/>
      <c r="AF1058" s="1921"/>
      <c r="AG1058" s="177"/>
      <c r="AH1058" s="1919"/>
      <c r="AI1058" s="1920"/>
      <c r="AJ1058" s="1920"/>
      <c r="AK1058" s="1921"/>
      <c r="AL1058" s="177"/>
    </row>
    <row r="1059" spans="2:38" s="176" customFormat="1" ht="15" customHeight="1" x14ac:dyDescent="0.45">
      <c r="B1059" s="1942"/>
      <c r="C1059" s="1945"/>
      <c r="D1059" s="1913" t="str">
        <f ca="1">IF(G1039&gt;0,CONCATENATE("Session Aim: 
", CONCATENATE(IF(INDEX(final_duration_secondary,((WEEKDAY(E$3,2)*2-1)+IF(E1039="Morning",0,1)),D1039)=0, "", "1. "),
INDEX(sessions_aim_primary,, INDEX(plan_session_allocation,((WEEKDAY(E$3,2)*2-1)+IF(E1039="Morning",0,1)),D1039)), IF(INDEX(final_duration_secondary,((WEEKDAY(E$3,2)*2-1)+IF(E1039="Morning",0,1)),D1039)=0, "", "
2. "),
IF(INDEX(final_duration_secondary,((WEEKDAY(E$3,2)*2-1)+IF(E1039="Morning",0,1)),D1039)=0, "", INDEX(sessions_aim_secondary,, INDEX(plan_session_allocation,((WEEKDAY(E$3,2)*2-1)+IF(E1039="Morning",0,1)),D1039))), IF(INDEX(final_duration_tertiary,((WEEKDAY(E$3,2)*2-1)+IF(E1039="Morning",0,1)),D1039)=0, "", "
3. "),
IF(INDEX(final_duration_tertiary,((WEEKDAY(E$3,2)*2-1)+IF(E1039="Morning",0,1)),D1039)=0, "", INDEX(sessions_aim_tertiary,, INDEX(plan_session_allocation,((WEEKDAY(E$3,2)*2-1)+IF(E1039="Morning",0,1)),D1039))),
IF(INDEX(display_nutrition_description,((WEEKDAY(E$3,2)*2-1)+IF(E1039="Morning",0,1)),D1039)="","",
CONCATENATE("
Nutrition Aim:
", INDEX(sessions_aim_nutrition,,INDEX(plan_session_allocation,((WEEKDAY(E$3,2)*2-1)+IF(E1039="Morning",0,1)),D1039))
))
)),"")</f>
        <v/>
      </c>
      <c r="E1059" s="1914"/>
      <c r="F1059" s="1914"/>
      <c r="G1059" s="1915"/>
      <c r="H1059" s="177"/>
      <c r="I1059" s="1913" t="str">
        <f ca="1">IF(L1039&gt;0,CONCATENATE("Session Aim: 
", CONCATENATE(IF(INDEX(final_duration_secondary,((WEEKDAY(J$3,2)*2-1)+IF(J1039="Morning",0,1)),I1039)=0, "", "1. "),
INDEX(sessions_aim_primary,, INDEX(plan_session_allocation,((WEEKDAY(J$3,2)*2-1)+IF(J1039="Morning",0,1)),I1039)), IF(INDEX(final_duration_secondary,((WEEKDAY(J$3,2)*2-1)+IF(J1039="Morning",0,1)),I1039)=0, "", "
2. "),
IF(INDEX(final_duration_secondary,((WEEKDAY(J$3,2)*2-1)+IF(J1039="Morning",0,1)),I1039)=0, "", INDEX(sessions_aim_secondary,, INDEX(plan_session_allocation,((WEEKDAY(J$3,2)*2-1)+IF(J1039="Morning",0,1)),I1039))), IF(INDEX(final_duration_tertiary,((WEEKDAY(J$3,2)*2-1)+IF(J1039="Morning",0,1)),I1039)=0, "", "
3. "),
IF(INDEX(final_duration_tertiary,((WEEKDAY(J$3,2)*2-1)+IF(J1039="Morning",0,1)),I1039)=0, "", INDEX(sessions_aim_tertiary,, INDEX(plan_session_allocation,((WEEKDAY(J$3,2)*2-1)+IF(J1039="Morning",0,1)),I1039))),
IF(INDEX(display_nutrition_description,((WEEKDAY(J$3,2)*2-1)+IF(J1039="Morning",0,1)),I1039)="","",
CONCATENATE("
Nutrition Aim:
", INDEX(sessions_aim_nutrition,,INDEX(plan_session_allocation,((WEEKDAY(J$3,2)*2-1)+IF(J1039="Morning",0,1)),I1039))
))
)),"")</f>
        <v xml:space="preserve">Session Aim: 
Improve VO2 max and develop metal toughness. </v>
      </c>
      <c r="J1059" s="1914"/>
      <c r="K1059" s="1914"/>
      <c r="L1059" s="1915"/>
      <c r="M1059" s="177"/>
      <c r="N1059" s="1913" t="str">
        <f ca="1">IF(Q1039&gt;0,CONCATENATE("Session Aim: 
", CONCATENATE(IF(INDEX(final_duration_secondary,((WEEKDAY(O$3,2)*2-1)+IF(O1039="Morning",0,1)),N1039)=0, "", "1. "),
INDEX(sessions_aim_primary,, INDEX(plan_session_allocation,((WEEKDAY(O$3,2)*2-1)+IF(O1039="Morning",0,1)),N1039)), IF(INDEX(final_duration_secondary,((WEEKDAY(O$3,2)*2-1)+IF(O1039="Morning",0,1)),N1039)=0, "", "
2. "),
IF(INDEX(final_duration_secondary,((WEEKDAY(O$3,2)*2-1)+IF(O1039="Morning",0,1)),N1039)=0, "", INDEX(sessions_aim_secondary,, INDEX(plan_session_allocation,((WEEKDAY(O$3,2)*2-1)+IF(O1039="Morning",0,1)),N1039))), IF(INDEX(final_duration_tertiary,((WEEKDAY(O$3,2)*2-1)+IF(O1039="Morning",0,1)),N1039)=0, "", "
3. "),
IF(INDEX(final_duration_tertiary,((WEEKDAY(O$3,2)*2-1)+IF(O1039="Morning",0,1)),N1039)=0, "", INDEX(sessions_aim_tertiary,, INDEX(plan_session_allocation,((WEEKDAY(O$3,2)*2-1)+IF(O1039="Morning",0,1)),N1039))),
IF(INDEX(display_nutrition_description,((WEEKDAY(O$3,2)*2-1)+IF(O1039="Morning",0,1)),N1039)="","",
CONCATENATE("
Nutrition Aim:
", INDEX(sessions_aim_nutrition,,INDEX(plan_session_allocation,((WEEKDAY(O$3,2)*2-1)+IF(O1039="Morning",0,1)),N1039))
))
)),"")</f>
        <v>Session Aim: 
1. Improve aerobic fitness while minimising the chance of injury. 
2. Improve running mechanics.</v>
      </c>
      <c r="O1059" s="1914"/>
      <c r="P1059" s="1914"/>
      <c r="Q1059" s="1915"/>
      <c r="R1059" s="177"/>
      <c r="S1059" s="1913" t="str">
        <f ca="1">IF(V1039&gt;0,CONCATENATE("Session Aim: 
", CONCATENATE(IF(INDEX(final_duration_secondary,((WEEKDAY(T$3,2)*2-1)+IF(T1039="Morning",0,1)),S1039)=0, "", "1. "),
INDEX(sessions_aim_primary,, INDEX(plan_session_allocation,((WEEKDAY(T$3,2)*2-1)+IF(T1039="Morning",0,1)),S1039)), IF(INDEX(final_duration_secondary,((WEEKDAY(T$3,2)*2-1)+IF(T1039="Morning",0,1)),S1039)=0, "", "
2. "),
IF(INDEX(final_duration_secondary,((WEEKDAY(T$3,2)*2-1)+IF(T1039="Morning",0,1)),S1039)=0, "", INDEX(sessions_aim_secondary,, INDEX(plan_session_allocation,((WEEKDAY(T$3,2)*2-1)+IF(T1039="Morning",0,1)),S1039))), IF(INDEX(final_duration_tertiary,((WEEKDAY(T$3,2)*2-1)+IF(T1039="Morning",0,1)),S1039)=0, "", "
3. "),
IF(INDEX(final_duration_tertiary,((WEEKDAY(T$3,2)*2-1)+IF(T1039="Morning",0,1)),S1039)=0, "", INDEX(sessions_aim_tertiary,, INDEX(plan_session_allocation,((WEEKDAY(T$3,2)*2-1)+IF(T1039="Morning",0,1)),S1039))),
IF(INDEX(display_nutrition_description,((WEEKDAY(T$3,2)*2-1)+IF(T1039="Morning",0,1)),S1039)="","",
CONCATENATE("
Nutrition Aim:
", INDEX(sessions_aim_nutrition,,INDEX(plan_session_allocation,((WEEKDAY(T$3,2)*2-1)+IF(T1039="Morning",0,1)),S1039))
))
)),"")</f>
        <v/>
      </c>
      <c r="T1059" s="1914"/>
      <c r="U1059" s="1914"/>
      <c r="V1059" s="1915"/>
      <c r="W1059" s="177"/>
      <c r="X1059" s="1913" t="str">
        <f ca="1">IF(AA1039&gt;0,CONCATENATE("Session Aim: 
", CONCATENATE(IF(INDEX(final_duration_secondary,((WEEKDAY(Y$3,2)*2-1)+IF(Y1039="Morning",0,1)),X1039)=0, "", "1. "),
INDEX(sessions_aim_primary,, INDEX(plan_session_allocation,((WEEKDAY(Y$3,2)*2-1)+IF(Y1039="Morning",0,1)),X1039)), IF(INDEX(final_duration_secondary,((WEEKDAY(Y$3,2)*2-1)+IF(Y1039="Morning",0,1)),X1039)=0, "", "
2. "),
IF(INDEX(final_duration_secondary,((WEEKDAY(Y$3,2)*2-1)+IF(Y1039="Morning",0,1)),X1039)=0, "", INDEX(sessions_aim_secondary,, INDEX(plan_session_allocation,((WEEKDAY(Y$3,2)*2-1)+IF(Y1039="Morning",0,1)),X1039))), IF(INDEX(final_duration_tertiary,((WEEKDAY(Y$3,2)*2-1)+IF(Y1039="Morning",0,1)),X1039)=0, "", "
3. "),
IF(INDEX(final_duration_tertiary,((WEEKDAY(Y$3,2)*2-1)+IF(Y1039="Morning",0,1)),X1039)=0, "", INDEX(sessions_aim_tertiary,, INDEX(plan_session_allocation,((WEEKDAY(Y$3,2)*2-1)+IF(Y1039="Morning",0,1)),X1039))),
IF(INDEX(display_nutrition_description,((WEEKDAY(Y$3,2)*2-1)+IF(Y1039="Morning",0,1)),X1039)="","",
CONCATENATE("
Nutrition Aim:
", INDEX(sessions_aim_nutrition,,INDEX(plan_session_allocation,((WEEKDAY(Y$3,2)*2-1)+IF(Y1039="Morning",0,1)),X1039))
))
)),"")</f>
        <v/>
      </c>
      <c r="Y1059" s="1914"/>
      <c r="Z1059" s="1914"/>
      <c r="AA1059" s="1915"/>
      <c r="AB1059" s="177"/>
      <c r="AC1059" s="1913" t="str">
        <f ca="1">IF(AF1039&gt;0,CONCATENATE("Session Aim: 
", CONCATENATE(IF(INDEX(final_duration_secondary,((WEEKDAY(AD$3,2)*2-1)+IF(AD1039="Morning",0,1)),AC1039)=0, "", "1. "),
INDEX(sessions_aim_primary,, INDEX(plan_session_allocation,((WEEKDAY(AD$3,2)*2-1)+IF(AD1039="Morning",0,1)),AC1039)), IF(INDEX(final_duration_secondary,((WEEKDAY(AD$3,2)*2-1)+IF(AD1039="Morning",0,1)),AC1039)=0, "", "
2. "),
IF(INDEX(final_duration_secondary,((WEEKDAY(AD$3,2)*2-1)+IF(AD1039="Morning",0,1)),AC1039)=0, "", INDEX(sessions_aim_secondary,, INDEX(plan_session_allocation,((WEEKDAY(AD$3,2)*2-1)+IF(AD1039="Morning",0,1)),AC1039))), IF(INDEX(final_duration_tertiary,((WEEKDAY(AD$3,2)*2-1)+IF(AD1039="Morning",0,1)),AC1039)=0, "", "
3. "),
IF(INDEX(final_duration_tertiary,((WEEKDAY(AD$3,2)*2-1)+IF(AD1039="Morning",0,1)),AC1039)=0, "", INDEX(sessions_aim_tertiary,, INDEX(plan_session_allocation,((WEEKDAY(AD$3,2)*2-1)+IF(AD1039="Morning",0,1)),AC1039))),
IF(INDEX(display_nutrition_description,((WEEKDAY(AD$3,2)*2-1)+IF(AD1039="Morning",0,1)),AC1039)="","",
CONCATENATE("
Nutrition Aim:
", INDEX(sessions_aim_nutrition,,INDEX(plan_session_allocation,((WEEKDAY(AD$3,2)*2-1)+IF(AD1039="Morning",0,1)),AC1039))
))
)),"")</f>
        <v/>
      </c>
      <c r="AD1059" s="1914"/>
      <c r="AE1059" s="1914"/>
      <c r="AF1059" s="1915"/>
      <c r="AG1059" s="177"/>
      <c r="AH1059" s="1913" t="str">
        <f ca="1">IF(AK1039&gt;0,CONCATENATE("Session Aim: 
", CONCATENATE(IF(INDEX(final_duration_secondary,((WEEKDAY(AI$3,2)*2-1)+IF(AI1039="Morning",0,1)),AH1039)=0, "", "1. "),
INDEX(sessions_aim_primary,, INDEX(plan_session_allocation,((WEEKDAY(AI$3,2)*2-1)+IF(AI1039="Morning",0,1)),AH1039)), IF(INDEX(final_duration_secondary,((WEEKDAY(AI$3,2)*2-1)+IF(AI1039="Morning",0,1)),AH1039)=0, "", "
2. "),
IF(INDEX(final_duration_secondary,((WEEKDAY(AI$3,2)*2-1)+IF(AI1039="Morning",0,1)),AH1039)=0, "", INDEX(sessions_aim_secondary,, INDEX(plan_session_allocation,((WEEKDAY(AI$3,2)*2-1)+IF(AI1039="Morning",0,1)),AH1039))), IF(INDEX(final_duration_tertiary,((WEEKDAY(AI$3,2)*2-1)+IF(AI1039="Morning",0,1)),AH1039)=0, "", "
3. "),
IF(INDEX(final_duration_tertiary,((WEEKDAY(AI$3,2)*2-1)+IF(AI1039="Morning",0,1)),AH1039)=0, "", INDEX(sessions_aim_tertiary,, INDEX(plan_session_allocation,((WEEKDAY(AI$3,2)*2-1)+IF(AI1039="Morning",0,1)),AH1039))),
IF(INDEX(display_nutrition_description,((WEEKDAY(AI$3,2)*2-1)+IF(AI1039="Morning",0,1)),AH1039)="","",
CONCATENATE("
Nutrition Aim:
", INDEX(sessions_aim_nutrition,,INDEX(plan_session_allocation,((WEEKDAY(AI$3,2)*2-1)+IF(AI1039="Morning",0,1)),AH1039))
))
)),"")</f>
        <v/>
      </c>
      <c r="AI1059" s="1914"/>
      <c r="AJ1059" s="1914"/>
      <c r="AK1059" s="1915"/>
      <c r="AL1059" s="177"/>
    </row>
    <row r="1060" spans="2:38" s="176" customFormat="1" x14ac:dyDescent="0.45">
      <c r="B1060" s="1942"/>
      <c r="C1060" s="1945"/>
      <c r="D1060" s="1916"/>
      <c r="E1060" s="1917"/>
      <c r="F1060" s="1917"/>
      <c r="G1060" s="1918"/>
      <c r="H1060" s="177"/>
      <c r="I1060" s="1916"/>
      <c r="J1060" s="1917"/>
      <c r="K1060" s="1917"/>
      <c r="L1060" s="1918"/>
      <c r="M1060" s="177"/>
      <c r="N1060" s="1916"/>
      <c r="O1060" s="1917"/>
      <c r="P1060" s="1917"/>
      <c r="Q1060" s="1918"/>
      <c r="R1060" s="177"/>
      <c r="S1060" s="1916"/>
      <c r="T1060" s="1917"/>
      <c r="U1060" s="1917"/>
      <c r="V1060" s="1918"/>
      <c r="W1060" s="177"/>
      <c r="X1060" s="1916"/>
      <c r="Y1060" s="1917"/>
      <c r="Z1060" s="1917"/>
      <c r="AA1060" s="1918"/>
      <c r="AB1060" s="177"/>
      <c r="AC1060" s="1916"/>
      <c r="AD1060" s="1917"/>
      <c r="AE1060" s="1917"/>
      <c r="AF1060" s="1918"/>
      <c r="AG1060" s="177"/>
      <c r="AH1060" s="1916"/>
      <c r="AI1060" s="1917"/>
      <c r="AJ1060" s="1917"/>
      <c r="AK1060" s="1918"/>
      <c r="AL1060" s="177"/>
    </row>
    <row r="1061" spans="2:38" s="176" customFormat="1" x14ac:dyDescent="0.45">
      <c r="B1061" s="1942"/>
      <c r="C1061" s="1945"/>
      <c r="D1061" s="1916"/>
      <c r="E1061" s="1917"/>
      <c r="F1061" s="1917"/>
      <c r="G1061" s="1918"/>
      <c r="H1061" s="177"/>
      <c r="I1061" s="1916"/>
      <c r="J1061" s="1917"/>
      <c r="K1061" s="1917"/>
      <c r="L1061" s="1918"/>
      <c r="M1061" s="177"/>
      <c r="N1061" s="1916"/>
      <c r="O1061" s="1917"/>
      <c r="P1061" s="1917"/>
      <c r="Q1061" s="1918"/>
      <c r="R1061" s="177"/>
      <c r="S1061" s="1916"/>
      <c r="T1061" s="1917"/>
      <c r="U1061" s="1917"/>
      <c r="V1061" s="1918"/>
      <c r="W1061" s="177"/>
      <c r="X1061" s="1916"/>
      <c r="Y1061" s="1917"/>
      <c r="Z1061" s="1917"/>
      <c r="AA1061" s="1918"/>
      <c r="AB1061" s="177"/>
      <c r="AC1061" s="1916"/>
      <c r="AD1061" s="1917"/>
      <c r="AE1061" s="1917"/>
      <c r="AF1061" s="1918"/>
      <c r="AG1061" s="177"/>
      <c r="AH1061" s="1916"/>
      <c r="AI1061" s="1917"/>
      <c r="AJ1061" s="1917"/>
      <c r="AK1061" s="1918"/>
      <c r="AL1061" s="177"/>
    </row>
    <row r="1062" spans="2:38" s="176" customFormat="1" x14ac:dyDescent="0.45">
      <c r="B1062" s="1942"/>
      <c r="C1062" s="1945"/>
      <c r="D1062" s="1916"/>
      <c r="E1062" s="1917"/>
      <c r="F1062" s="1917"/>
      <c r="G1062" s="1918"/>
      <c r="H1062" s="177"/>
      <c r="I1062" s="1916"/>
      <c r="J1062" s="1917"/>
      <c r="K1062" s="1917"/>
      <c r="L1062" s="1918"/>
      <c r="M1062" s="177"/>
      <c r="N1062" s="1916"/>
      <c r="O1062" s="1917"/>
      <c r="P1062" s="1917"/>
      <c r="Q1062" s="1918"/>
      <c r="R1062" s="177"/>
      <c r="S1062" s="1916"/>
      <c r="T1062" s="1917"/>
      <c r="U1062" s="1917"/>
      <c r="V1062" s="1918"/>
      <c r="W1062" s="177"/>
      <c r="X1062" s="1916"/>
      <c r="Y1062" s="1917"/>
      <c r="Z1062" s="1917"/>
      <c r="AA1062" s="1918"/>
      <c r="AB1062" s="177"/>
      <c r="AC1062" s="1916"/>
      <c r="AD1062" s="1917"/>
      <c r="AE1062" s="1917"/>
      <c r="AF1062" s="1918"/>
      <c r="AG1062" s="177"/>
      <c r="AH1062" s="1916"/>
      <c r="AI1062" s="1917"/>
      <c r="AJ1062" s="1917"/>
      <c r="AK1062" s="1918"/>
      <c r="AL1062" s="177"/>
    </row>
    <row r="1063" spans="2:38" s="176" customFormat="1" x14ac:dyDescent="0.45">
      <c r="B1063" s="1942"/>
      <c r="C1063" s="1945"/>
      <c r="D1063" s="1916"/>
      <c r="E1063" s="1917"/>
      <c r="F1063" s="1917"/>
      <c r="G1063" s="1918"/>
      <c r="H1063" s="177"/>
      <c r="I1063" s="1916"/>
      <c r="J1063" s="1917"/>
      <c r="K1063" s="1917"/>
      <c r="L1063" s="1918"/>
      <c r="M1063" s="177"/>
      <c r="N1063" s="1916"/>
      <c r="O1063" s="1917"/>
      <c r="P1063" s="1917"/>
      <c r="Q1063" s="1918"/>
      <c r="R1063" s="177"/>
      <c r="S1063" s="1916"/>
      <c r="T1063" s="1917"/>
      <c r="U1063" s="1917"/>
      <c r="V1063" s="1918"/>
      <c r="W1063" s="177"/>
      <c r="X1063" s="1916"/>
      <c r="Y1063" s="1917"/>
      <c r="Z1063" s="1917"/>
      <c r="AA1063" s="1918"/>
      <c r="AB1063" s="177"/>
      <c r="AC1063" s="1916"/>
      <c r="AD1063" s="1917"/>
      <c r="AE1063" s="1917"/>
      <c r="AF1063" s="1918"/>
      <c r="AG1063" s="177"/>
      <c r="AH1063" s="1916"/>
      <c r="AI1063" s="1917"/>
      <c r="AJ1063" s="1917"/>
      <c r="AK1063" s="1918"/>
      <c r="AL1063" s="177"/>
    </row>
    <row r="1064" spans="2:38" s="176" customFormat="1" x14ac:dyDescent="0.45">
      <c r="B1064" s="1942"/>
      <c r="C1064" s="1945"/>
      <c r="D1064" s="1916"/>
      <c r="E1064" s="1917"/>
      <c r="F1064" s="1917"/>
      <c r="G1064" s="1918"/>
      <c r="H1064" s="177"/>
      <c r="I1064" s="1916"/>
      <c r="J1064" s="1917"/>
      <c r="K1064" s="1917"/>
      <c r="L1064" s="1918"/>
      <c r="N1064" s="1916"/>
      <c r="O1064" s="1917"/>
      <c r="P1064" s="1917"/>
      <c r="Q1064" s="1918"/>
      <c r="S1064" s="1916"/>
      <c r="T1064" s="1917"/>
      <c r="U1064" s="1917"/>
      <c r="V1064" s="1918"/>
      <c r="X1064" s="1916"/>
      <c r="Y1064" s="1917"/>
      <c r="Z1064" s="1917"/>
      <c r="AA1064" s="1918"/>
      <c r="AC1064" s="1916"/>
      <c r="AD1064" s="1917"/>
      <c r="AE1064" s="1917"/>
      <c r="AF1064" s="1918"/>
      <c r="AH1064" s="1916"/>
      <c r="AI1064" s="1917"/>
      <c r="AJ1064" s="1917"/>
      <c r="AK1064" s="1918"/>
    </row>
    <row r="1065" spans="2:38" s="176" customFormat="1" ht="14.65" thickBot="1" x14ac:dyDescent="0.5">
      <c r="B1065" s="1943"/>
      <c r="C1065" s="1946"/>
      <c r="D1065" s="1938"/>
      <c r="E1065" s="1939"/>
      <c r="F1065" s="1939"/>
      <c r="G1065" s="1940"/>
      <c r="H1065" s="177"/>
      <c r="I1065" s="1938"/>
      <c r="J1065" s="1939"/>
      <c r="K1065" s="1939"/>
      <c r="L1065" s="1940"/>
      <c r="N1065" s="1938"/>
      <c r="O1065" s="1939"/>
      <c r="P1065" s="1939"/>
      <c r="Q1065" s="1940"/>
      <c r="S1065" s="1938"/>
      <c r="T1065" s="1939"/>
      <c r="U1065" s="1939"/>
      <c r="V1065" s="1940"/>
      <c r="X1065" s="1938"/>
      <c r="Y1065" s="1939"/>
      <c r="Z1065" s="1939"/>
      <c r="AA1065" s="1940"/>
      <c r="AC1065" s="1938"/>
      <c r="AD1065" s="1939"/>
      <c r="AE1065" s="1939"/>
      <c r="AF1065" s="1940"/>
      <c r="AH1065" s="1938"/>
      <c r="AI1065" s="1939"/>
      <c r="AJ1065" s="1939"/>
      <c r="AK1065" s="1940"/>
    </row>
    <row r="1066" spans="2:38" s="176" customFormat="1" ht="14.65" thickBot="1" x14ac:dyDescent="0.5">
      <c r="H1066" s="177"/>
    </row>
    <row r="1067" spans="2:38" s="176" customFormat="1" ht="15" customHeight="1" thickBot="1" x14ac:dyDescent="0.5">
      <c r="B1067" s="1941">
        <v>20</v>
      </c>
      <c r="C1067" s="1944" t="str">
        <f ca="1">IF(INDEX(display_strategy,1,B1067)="","", CONCATENATE(INDEX(display_strategy,1,B1067),": ",HLOOKUP(INDEX(display_strategy,1,B1067),strategies,4,TRUE)))</f>
        <v/>
      </c>
      <c r="D1067" s="1418" t="str">
        <f ca="1">CONCATENATE("Strategy: ",INDEX(display_strategy,$B1067))</f>
        <v xml:space="preserve">Strategy: </v>
      </c>
      <c r="E1067" s="1947">
        <f>plan_start_date + ($B1067-1)*7 + (COLUMN(D$2)-2)/5</f>
        <v>43507.4</v>
      </c>
      <c r="F1067" s="1947"/>
      <c r="G1067" s="1417" t="str">
        <f>CONCATENATE("Slot: ", ((WEEKDAY(E$3,2)*2-1)+IF(E1068="Morning",0,1)))</f>
        <v>Slot: 1</v>
      </c>
      <c r="H1067" s="177"/>
      <c r="I1067" s="1418" t="str">
        <f ca="1">CONCATENATE("Strategy: ",INDEX(display_strategy,$B1067))</f>
        <v xml:space="preserve">Strategy: </v>
      </c>
      <c r="J1067" s="1947">
        <f>plan_start_date + ($B1067-1)*7 + (COLUMN(I$2)-2)/5</f>
        <v>43508.4</v>
      </c>
      <c r="K1067" s="1947"/>
      <c r="L1067" s="1417" t="str">
        <f>CONCATENATE("Slot: ", ((WEEKDAY(J$3,2)*2-1)+IF(J1068="Morning",0,1)))</f>
        <v>Slot: 3</v>
      </c>
      <c r="N1067" s="1418" t="str">
        <f ca="1">CONCATENATE("Strategy: ",INDEX(display_strategy,$B1067))</f>
        <v xml:space="preserve">Strategy: </v>
      </c>
      <c r="O1067" s="1947">
        <f>plan_start_date + ($B1067-1)*7 + (COLUMN(N$2)-2)/5</f>
        <v>43509.4</v>
      </c>
      <c r="P1067" s="1947"/>
      <c r="Q1067" s="1417" t="str">
        <f>CONCATENATE("Slot: ", ((WEEKDAY(O$3,2)*2-1)+IF(O1068="Morning",0,1)))</f>
        <v>Slot: 5</v>
      </c>
      <c r="S1067" s="1418" t="str">
        <f ca="1">CONCATENATE("Strategy: ",INDEX(display_strategy,$B1067))</f>
        <v xml:space="preserve">Strategy: </v>
      </c>
      <c r="T1067" s="1947">
        <f>plan_start_date + ($B1067-1)*7 + (COLUMN(S$2)-2)/5</f>
        <v>43510.400000000001</v>
      </c>
      <c r="U1067" s="1947"/>
      <c r="V1067" s="1417" t="str">
        <f>CONCATENATE("Slot: ", ((WEEKDAY(T$3,2)*2-1)+IF(T1068="Morning",0,1)))</f>
        <v>Slot: 7</v>
      </c>
      <c r="X1067" s="1418" t="str">
        <f ca="1">CONCATENATE("Strategy: ",INDEX(display_strategy,$B1067))</f>
        <v xml:space="preserve">Strategy: </v>
      </c>
      <c r="Y1067" s="1947">
        <f>plan_start_date + ($B1067-1)*7 + (COLUMN(X$2)-2)/5</f>
        <v>43511.4</v>
      </c>
      <c r="Z1067" s="1947"/>
      <c r="AA1067" s="1417" t="str">
        <f>CONCATENATE("Slot: ", ((WEEKDAY(Y$3,2)*2-1)+IF(Y1068="Morning",0,1)))</f>
        <v>Slot: 9</v>
      </c>
      <c r="AC1067" s="1418" t="str">
        <f ca="1">CONCATENATE("Strategy: ",INDEX(display_strategy,$B1067))</f>
        <v xml:space="preserve">Strategy: </v>
      </c>
      <c r="AD1067" s="1947">
        <f>plan_start_date + ($B1067-1)*7 + (COLUMN(AC$2)-2)/5</f>
        <v>43512.4</v>
      </c>
      <c r="AE1067" s="1947"/>
      <c r="AF1067" s="1417" t="str">
        <f>CONCATENATE("Slot: ", ((WEEKDAY(AD$3,2)*2-1)+IF(AD1068="Morning",0,1)))</f>
        <v>Slot: 11</v>
      </c>
      <c r="AH1067" s="1418" t="str">
        <f ca="1">CONCATENATE("Strategy: ",INDEX(display_strategy,$B1067))</f>
        <v xml:space="preserve">Strategy: </v>
      </c>
      <c r="AI1067" s="1947">
        <f>plan_start_date + ($B1067-1)*7 + (COLUMN(AH$2)-2)/5</f>
        <v>43513.4</v>
      </c>
      <c r="AJ1067" s="1947"/>
      <c r="AK1067" s="1417" t="str">
        <f>CONCATENATE("Slot: ", ((WEEKDAY(AI$3,2)*2-1)+IF(AI1068="Morning",0,1)))</f>
        <v>Slot: 13</v>
      </c>
    </row>
    <row r="1068" spans="2:38" s="176" customFormat="1" x14ac:dyDescent="0.45">
      <c r="B1068" s="1942"/>
      <c r="C1068" s="1945"/>
      <c r="D1068" s="1413">
        <f>$B1067</f>
        <v>20</v>
      </c>
      <c r="E1068" s="1930" t="s">
        <v>351</v>
      </c>
      <c r="F1068" s="1930"/>
      <c r="G1068" s="1412">
        <f ca="1">INDEX(final_duration_session, ((WEEKDAY(E$3,2)*2-1)+IF(E1068="Morning",0,1)), $D1068)</f>
        <v>0</v>
      </c>
      <c r="H1068" s="177"/>
      <c r="I1068" s="1413">
        <f>$B1067</f>
        <v>20</v>
      </c>
      <c r="J1068" s="1930" t="s">
        <v>351</v>
      </c>
      <c r="K1068" s="1930"/>
      <c r="L1068" s="1412">
        <f ca="1">INDEX(final_duration_session, ((WEEKDAY(J$3,2)*2-1)+IF(J1068="Morning",0,1)), $D1068)</f>
        <v>0</v>
      </c>
      <c r="M1068" s="177"/>
      <c r="N1068" s="1413">
        <f>$B1067</f>
        <v>20</v>
      </c>
      <c r="O1068" s="1930" t="s">
        <v>351</v>
      </c>
      <c r="P1068" s="1930"/>
      <c r="Q1068" s="1412">
        <f ca="1">INDEX(final_duration_session, ((WEEKDAY(O$3,2)*2-1)+IF(O1068="Morning",0,1)), $D1068)</f>
        <v>0</v>
      </c>
      <c r="R1068" s="177"/>
      <c r="S1068" s="1413">
        <f>$B1067</f>
        <v>20</v>
      </c>
      <c r="T1068" s="1930" t="s">
        <v>351</v>
      </c>
      <c r="U1068" s="1930"/>
      <c r="V1068" s="1412">
        <f ca="1">INDEX(final_duration_session, ((WEEKDAY(T$3,2)*2-1)+IF(T1068="Morning",0,1)), $D1068)</f>
        <v>0</v>
      </c>
      <c r="W1068" s="177"/>
      <c r="X1068" s="1413">
        <f>$B1067</f>
        <v>20</v>
      </c>
      <c r="Y1068" s="1930" t="s">
        <v>351</v>
      </c>
      <c r="Z1068" s="1930"/>
      <c r="AA1068" s="1412">
        <f ca="1">INDEX(final_duration_session, ((WEEKDAY(Y$3,2)*2-1)+IF(Y1068="Morning",0,1)), $D1068)</f>
        <v>0</v>
      </c>
      <c r="AB1068" s="177"/>
      <c r="AC1068" s="1413">
        <f>$B1067</f>
        <v>20</v>
      </c>
      <c r="AD1068" s="1930" t="s">
        <v>351</v>
      </c>
      <c r="AE1068" s="1930"/>
      <c r="AF1068" s="1412">
        <f ca="1">INDEX(final_duration_session, ((WEEKDAY(AD$3,2)*2-1)+IF(AD1068="Morning",0,1)), $D1068)</f>
        <v>0</v>
      </c>
      <c r="AG1068" s="177"/>
      <c r="AH1068" s="1413">
        <f>$B1067</f>
        <v>20</v>
      </c>
      <c r="AI1068" s="1930" t="s">
        <v>351</v>
      </c>
      <c r="AJ1068" s="1930"/>
      <c r="AK1068" s="1412">
        <f ca="1">INDEX(final_duration_session, ((WEEKDAY(AI$3,2)*2-1)+IF(AI1068="Morning",0,1)), $D1068)</f>
        <v>0</v>
      </c>
      <c r="AL1068" s="177"/>
    </row>
    <row r="1069" spans="2:38" s="176" customFormat="1" ht="15" customHeight="1" x14ac:dyDescent="0.45">
      <c r="B1069" s="1942"/>
      <c r="C1069" s="1945"/>
      <c r="D1069" s="1931" t="str">
        <f ca="1">IF(G1068&gt;0,INDEX(sessions_name,INDEX(plan_session_allocation,((WEEKDAY(E$3,2)*2-1)+IF(E1068="Morning",0,1)),D1068)),"")</f>
        <v/>
      </c>
      <c r="E1069" s="1932"/>
      <c r="F1069" s="1932"/>
      <c r="G1069" s="1933"/>
      <c r="H1069" s="177"/>
      <c r="I1069" s="1931" t="str">
        <f ca="1">IF(L1068&gt;0,INDEX(sessions_name,INDEX(plan_session_allocation,((WEEKDAY(J$3,2)*2-1)+IF(J1068="Morning",0,1)),I1068)),"")</f>
        <v/>
      </c>
      <c r="J1069" s="1932"/>
      <c r="K1069" s="1932"/>
      <c r="L1069" s="1933"/>
      <c r="M1069" s="177"/>
      <c r="N1069" s="1931" t="str">
        <f ca="1">IF(Q1068&gt;0,INDEX(sessions_name,INDEX(plan_session_allocation,((WEEKDAY(O$3,2)*2-1)+IF(O1068="Morning",0,1)),N1068)),"")</f>
        <v/>
      </c>
      <c r="O1069" s="1932"/>
      <c r="P1069" s="1932"/>
      <c r="Q1069" s="1933"/>
      <c r="R1069" s="177"/>
      <c r="S1069" s="1931" t="str">
        <f ca="1">IF(V1068&gt;0,INDEX(sessions_name,INDEX(plan_session_allocation,((WEEKDAY(T$3,2)*2-1)+IF(T1068="Morning",0,1)),S1068)),"")</f>
        <v/>
      </c>
      <c r="T1069" s="1932"/>
      <c r="U1069" s="1932"/>
      <c r="V1069" s="1933"/>
      <c r="W1069" s="177"/>
      <c r="X1069" s="1931" t="str">
        <f ca="1">IF(AA1068&gt;0,INDEX(sessions_name,INDEX(plan_session_allocation,((WEEKDAY(Y$3,2)*2-1)+IF(Y1068="Morning",0,1)),X1068)),"")</f>
        <v/>
      </c>
      <c r="Y1069" s="1932"/>
      <c r="Z1069" s="1932"/>
      <c r="AA1069" s="1933"/>
      <c r="AB1069" s="177"/>
      <c r="AC1069" s="1931" t="str">
        <f ca="1">IF(AF1068&gt;0,INDEX(sessions_name,INDEX(plan_session_allocation,((WEEKDAY(AD$3,2)*2-1)+IF(AD1068="Morning",0,1)),AC1068)),"")</f>
        <v/>
      </c>
      <c r="AD1069" s="1932"/>
      <c r="AE1069" s="1932"/>
      <c r="AF1069" s="1933"/>
      <c r="AG1069" s="177"/>
      <c r="AH1069" s="1931" t="str">
        <f ca="1">IF(AK1068&gt;0,INDEX(sessions_name,INDEX(plan_session_allocation,((WEEKDAY(AI$3,2)*2-1)+IF(AI1068="Morning",0,1)),AH1068)),"")</f>
        <v/>
      </c>
      <c r="AI1069" s="1932"/>
      <c r="AJ1069" s="1932"/>
      <c r="AK1069" s="1933"/>
      <c r="AL1069" s="177"/>
    </row>
    <row r="1070" spans="2:38" s="176" customFormat="1" ht="15" customHeight="1" x14ac:dyDescent="0.45">
      <c r="B1070" s="1942"/>
      <c r="C1070" s="1945"/>
      <c r="D1070" s="1934" t="str">
        <f ca="1">IF(G1068&gt;0,CONCATENATE("Sport: ",INDEX(sessions_sport_primary,INDEX(plan_session_allocation,(WEEKDAY(E$3,2)*2-1)+IF(E1068="Morning",0,1),D1068))),"")</f>
        <v/>
      </c>
      <c r="E1070" s="1935"/>
      <c r="F1070" s="1936" t="str">
        <f ca="1">IF(G1068&gt;0,IFERROR(F1071+F1072+F1073,""),"")</f>
        <v/>
      </c>
      <c r="G1070" s="1937"/>
      <c r="H1070" s="177"/>
      <c r="I1070" s="1934" t="str">
        <f ca="1">IF(L1068&gt;0,CONCATENATE("Sport: ",INDEX(sessions_sport_primary,INDEX(plan_session_allocation,(WEEKDAY(J$3,2)*2-1)+IF(J1068="Morning",0,1),I1068))),"")</f>
        <v/>
      </c>
      <c r="J1070" s="1935"/>
      <c r="K1070" s="1936" t="str">
        <f ca="1">IF(L1068&gt;0,IFERROR(K1071+K1072+K1073,""),"")</f>
        <v/>
      </c>
      <c r="L1070" s="1937"/>
      <c r="M1070" s="177"/>
      <c r="N1070" s="1934" t="str">
        <f ca="1">IF(Q1068&gt;0,CONCATENATE("Sport: ",INDEX(sessions_sport_primary,INDEX(plan_session_allocation,(WEEKDAY(O$3,2)*2-1)+IF(O1068="Morning",0,1),N1068))),"")</f>
        <v/>
      </c>
      <c r="O1070" s="1935"/>
      <c r="P1070" s="1936" t="str">
        <f ca="1">IF(Q1068&gt;0,IFERROR(P1071+P1072+P1073,""),"")</f>
        <v/>
      </c>
      <c r="Q1070" s="1937"/>
      <c r="R1070" s="177"/>
      <c r="S1070" s="1934" t="str">
        <f ca="1">IF(V1068&gt;0,CONCATENATE("Sport: ",INDEX(sessions_sport_primary,INDEX(plan_session_allocation,(WEEKDAY(T$3,2)*2-1)+IF(T1068="Morning",0,1),S1068))),"")</f>
        <v/>
      </c>
      <c r="T1070" s="1935"/>
      <c r="U1070" s="1936" t="str">
        <f ca="1">IF(V1068&gt;0,IFERROR(U1071+U1072+U1073,""),"")</f>
        <v/>
      </c>
      <c r="V1070" s="1937"/>
      <c r="W1070" s="177"/>
      <c r="X1070" s="1934" t="str">
        <f ca="1">IF(AA1068&gt;0,CONCATENATE("Sport: ",INDEX(sessions_sport_primary,INDEX(plan_session_allocation,(WEEKDAY(Y$3,2)*2-1)+IF(Y1068="Morning",0,1),X1068))),"")</f>
        <v/>
      </c>
      <c r="Y1070" s="1935"/>
      <c r="Z1070" s="1936" t="str">
        <f ca="1">IF(AA1068&gt;0,IFERROR(Z1071+Z1072+Z1073,""),"")</f>
        <v/>
      </c>
      <c r="AA1070" s="1937"/>
      <c r="AB1070" s="177"/>
      <c r="AC1070" s="1934" t="str">
        <f ca="1">IF(AF1068&gt;0,CONCATENATE("Sport: ",INDEX(sessions_sport_primary,INDEX(plan_session_allocation,(WEEKDAY(AD$3,2)*2-1)+IF(AD1068="Morning",0,1),AC1068))),"")</f>
        <v/>
      </c>
      <c r="AD1070" s="1935"/>
      <c r="AE1070" s="1936" t="str">
        <f ca="1">IF(AF1068&gt;0,IFERROR(AE1071+AE1072+AE1073,""),"")</f>
        <v/>
      </c>
      <c r="AF1070" s="1937"/>
      <c r="AG1070" s="177"/>
      <c r="AH1070" s="1934" t="str">
        <f ca="1">IF(AK1068&gt;0,CONCATENATE("Sport: ",INDEX(sessions_sport_primary,INDEX(plan_session_allocation,(WEEKDAY(AI$3,2)*2-1)+IF(AI1068="Morning",0,1),AH1068))),"")</f>
        <v/>
      </c>
      <c r="AI1070" s="1935"/>
      <c r="AJ1070" s="1936" t="str">
        <f ca="1">IF(AK1068&gt;0,IFERROR(AJ1071+AJ1072+AJ1073,""),"")</f>
        <v/>
      </c>
      <c r="AK1070" s="1937"/>
      <c r="AL1070" s="177"/>
    </row>
    <row r="1071" spans="2:38" s="176" customFormat="1" ht="15" customHeight="1" x14ac:dyDescent="0.45">
      <c r="B1071" s="1942"/>
      <c r="C1071" s="1945"/>
      <c r="D1071" s="1922" t="str">
        <f ca="1">IF(G1068&gt;0,CONCATENATE("HR Target: ",
INDEX(sessions_HR_primary,INDEX(plan_session_allocation,((WEEKDAY(E$3,2)*2-1)+IF(E1068="Morning",0,1)),D1068)),
IF(INDEX(sessions_HR_primary,INDEX(plan_session_allocation,((WEEKDAY(E$3,2)*2-1)+IF(E1068="Morning",0,1)),D1068))="N/A","",
" BPM")),"")</f>
        <v/>
      </c>
      <c r="E1071" s="1923"/>
      <c r="F1071" s="1924" t="str">
        <f ca="1">IF(G1068&gt;0,
INDEX(final_duration_effort,((WEEKDAY(E$3,2)*2-1)+IF(E1068="Morning",0,1)),D1068),"")</f>
        <v/>
      </c>
      <c r="G1071" s="1925"/>
      <c r="H1071" s="177"/>
      <c r="I1071" s="1922" t="str">
        <f ca="1">IF(L1068&gt;0,CONCATENATE("HR Target: ",
INDEX(sessions_HR_primary,INDEX(plan_session_allocation,((WEEKDAY(J$3,2)*2-1)+IF(J1068="Morning",0,1)),I1068)),
IF(INDEX(sessions_HR_primary,INDEX(plan_session_allocation,((WEEKDAY(J$3,2)*2-1)+IF(J1068="Morning",0,1)),I1068))="N/A","",
" BPM")),"")</f>
        <v/>
      </c>
      <c r="J1071" s="1923"/>
      <c r="K1071" s="1924" t="str">
        <f ca="1">IF(L1068&gt;0,
INDEX(final_duration_effort,((WEEKDAY(J$3,2)*2-1)+IF(J1068="Morning",0,1)),I1068),"")</f>
        <v/>
      </c>
      <c r="L1071" s="1925"/>
      <c r="M1071" s="177"/>
      <c r="N1071" s="1922" t="str">
        <f ca="1">IF(Q1068&gt;0,CONCATENATE("HR Target: ",
INDEX(sessions_HR_primary,INDEX(plan_session_allocation,((WEEKDAY(O$3,2)*2-1)+IF(O1068="Morning",0,1)),N1068)),
IF(INDEX(sessions_HR_primary,INDEX(plan_session_allocation,((WEEKDAY(O$3,2)*2-1)+IF(O1068="Morning",0,1)),N1068))="N/A","",
" BPM")),"")</f>
        <v/>
      </c>
      <c r="O1071" s="1923"/>
      <c r="P1071" s="1924" t="str">
        <f ca="1">IF(Q1068&gt;0,
INDEX(final_duration_effort,((WEEKDAY(O$3,2)*2-1)+IF(O1068="Morning",0,1)),N1068),"")</f>
        <v/>
      </c>
      <c r="Q1071" s="1925"/>
      <c r="R1071" s="177"/>
      <c r="S1071" s="1922" t="str">
        <f ca="1">IF(V1068&gt;0,CONCATENATE("HR Target: ",
INDEX(sessions_HR_primary,INDEX(plan_session_allocation,((WEEKDAY(T$3,2)*2-1)+IF(T1068="Morning",0,1)),S1068)),
IF(INDEX(sessions_HR_primary,INDEX(plan_session_allocation,((WEEKDAY(T$3,2)*2-1)+IF(T1068="Morning",0,1)),S1068))="N/A","",
" BPM")),"")</f>
        <v/>
      </c>
      <c r="T1071" s="1923"/>
      <c r="U1071" s="1924" t="str">
        <f ca="1">IF(V1068&gt;0,
INDEX(final_duration_effort,((WEEKDAY(T$3,2)*2-1)+IF(T1068="Morning",0,1)),S1068),"")</f>
        <v/>
      </c>
      <c r="V1071" s="1925"/>
      <c r="W1071" s="177"/>
      <c r="X1071" s="1922" t="str">
        <f ca="1">IF(AA1068&gt;0,CONCATENATE("HR Target: ",
INDEX(sessions_HR_primary,INDEX(plan_session_allocation,((WEEKDAY(Y$3,2)*2-1)+IF(Y1068="Morning",0,1)),X1068)),
IF(INDEX(sessions_HR_primary,INDEX(plan_session_allocation,((WEEKDAY(Y$3,2)*2-1)+IF(Y1068="Morning",0,1)),X1068))="N/A","",
" BPM")),"")</f>
        <v/>
      </c>
      <c r="Y1071" s="1923"/>
      <c r="Z1071" s="1924" t="str">
        <f ca="1">IF(AA1068&gt;0,
INDEX(final_duration_effort,((WEEKDAY(Y$3,2)*2-1)+IF(Y1068="Morning",0,1)),X1068),"")</f>
        <v/>
      </c>
      <c r="AA1071" s="1925"/>
      <c r="AB1071" s="177"/>
      <c r="AC1071" s="1922" t="str">
        <f ca="1">IF(AF1068&gt;0,CONCATENATE("HR Target: ",
INDEX(sessions_HR_primary,INDEX(plan_session_allocation,((WEEKDAY(AD$3,2)*2-1)+IF(AD1068="Morning",0,1)),AC1068)),
IF(INDEX(sessions_HR_primary,INDEX(plan_session_allocation,((WEEKDAY(AD$3,2)*2-1)+IF(AD1068="Morning",0,1)),AC1068))="N/A","",
" BPM")),"")</f>
        <v/>
      </c>
      <c r="AD1071" s="1923"/>
      <c r="AE1071" s="1924" t="str">
        <f ca="1">IF(AF1068&gt;0,
INDEX(final_duration_effort,((WEEKDAY(AD$3,2)*2-1)+IF(AD1068="Morning",0,1)),AC1068),"")</f>
        <v/>
      </c>
      <c r="AF1071" s="1925"/>
      <c r="AG1071" s="177"/>
      <c r="AH1071" s="1922" t="str">
        <f ca="1">IF(AK1068&gt;0,CONCATENATE("HR Target: ",
INDEX(sessions_HR_primary,INDEX(plan_session_allocation,((WEEKDAY(AI$3,2)*2-1)+IF(AI1068="Morning",0,1)),AH1068)),
IF(INDEX(sessions_HR_primary,INDEX(plan_session_allocation,((WEEKDAY(AI$3,2)*2-1)+IF(AI1068="Morning",0,1)),AH1068))="N/A","",
" BPM")),"")</f>
        <v/>
      </c>
      <c r="AI1071" s="1923"/>
      <c r="AJ1071" s="1924" t="str">
        <f ca="1">IF(AK1068&gt;0,
INDEX(final_duration_effort,((WEEKDAY(AI$3,2)*2-1)+IF(AI1068="Morning",0,1)),AH1068),"")</f>
        <v/>
      </c>
      <c r="AK1071" s="1925"/>
      <c r="AL1071" s="177"/>
    </row>
    <row r="1072" spans="2:38" s="179" customFormat="1" x14ac:dyDescent="0.45">
      <c r="B1072" s="1942"/>
      <c r="C1072" s="1945"/>
      <c r="D1072" s="1926" t="str">
        <f ca="1">IF(G1068&gt;0,CONCATENATE("HR Range: ",
INDEX(sessions_HR_range_primary,INDEX(plan_session_allocation,((WEEKDAY(E$3,2)*2-1)+IF(E1068="Morning",0,1)),D1068)),
IF(INDEX(sessions_HR_range_primary,INDEX(plan_session_allocation,((WEEKDAY(E$3,2)*2-1)+IF(E1068="Morning",0,1)),D1068))="N/A","",
" BPM")),"")</f>
        <v/>
      </c>
      <c r="E1072" s="1927"/>
      <c r="F1072" s="1928" t="str">
        <f ca="1">IF(G1068&gt;0,IF(
INDEX(sessions_recoveries,INDEX(plan_session_allocation,((WEEKDAY(E$3,2)*2-1)+IF(E1068="Morning",0,1)),D1068))="Yes",
VLOOKUP(INDEX(plan_duration_primary,((WEEKDAY(E$3,2)*2-1)+IF(E1068="Morning",0,1)),D1068),
INDIRECT(INDEX(sessions_intervals_code_primary,INDEX(plan_session_allocation,((WEEKDAY(E$3,2)*2-1)+IF(E1068="Morning",0,1)),D1068))),7,TRUE),0),"")</f>
        <v/>
      </c>
      <c r="G1072" s="1929"/>
      <c r="H1072" s="178"/>
      <c r="I1072" s="1926" t="str">
        <f ca="1">IF(L1068&gt;0,CONCATENATE("HR Range: ",
INDEX(sessions_HR_range_primary,INDEX(plan_session_allocation,((WEEKDAY(J$3,2)*2-1)+IF(J1068="Morning",0,1)),I1068)),
IF(INDEX(sessions_HR_range_primary,INDEX(plan_session_allocation,((WEEKDAY(J$3,2)*2-1)+IF(J1068="Morning",0,1)),I1068))="N/A","",
" BPM")),"")</f>
        <v/>
      </c>
      <c r="J1072" s="1927"/>
      <c r="K1072" s="1928" t="str">
        <f ca="1">IF(L1068&gt;0,IF(
INDEX(sessions_recoveries,INDEX(plan_session_allocation,((WEEKDAY(J$3,2)*2-1)+IF(J1068="Morning",0,1)),I1068))="Yes",
VLOOKUP(INDEX(plan_duration_primary,((WEEKDAY(J$3,2)*2-1)+IF(J1068="Morning",0,1)),I1068),
INDIRECT(INDEX(sessions_intervals_code_primary,INDEX(plan_session_allocation,((WEEKDAY(J$3,2)*2-1)+IF(J1068="Morning",0,1)),I1068))),7,TRUE),0),"")</f>
        <v/>
      </c>
      <c r="L1072" s="1929"/>
      <c r="M1072" s="178"/>
      <c r="N1072" s="1926" t="str">
        <f ca="1">IF(Q1068&gt;0,CONCATENATE("HR Range: ",
INDEX(sessions_HR_range_primary,INDEX(plan_session_allocation,((WEEKDAY(O$3,2)*2-1)+IF(O1068="Morning",0,1)),N1068)),
IF(INDEX(sessions_HR_range_primary,INDEX(plan_session_allocation,((WEEKDAY(O$3,2)*2-1)+IF(O1068="Morning",0,1)),N1068))="N/A","",
" BPM")),"")</f>
        <v/>
      </c>
      <c r="O1072" s="1927"/>
      <c r="P1072" s="1928" t="str">
        <f ca="1">IF(Q1068&gt;0,IF(
INDEX(sessions_recoveries,INDEX(plan_session_allocation,((WEEKDAY(O$3,2)*2-1)+IF(O1068="Morning",0,1)),N1068))="Yes",
VLOOKUP(INDEX(plan_duration_primary,((WEEKDAY(O$3,2)*2-1)+IF(O1068="Morning",0,1)),N1068),
INDIRECT(INDEX(sessions_intervals_code_primary,INDEX(plan_session_allocation,((WEEKDAY(O$3,2)*2-1)+IF(O1068="Morning",0,1)),N1068))),7,TRUE),0),"")</f>
        <v/>
      </c>
      <c r="Q1072" s="1929"/>
      <c r="R1072" s="178"/>
      <c r="S1072" s="1926" t="str">
        <f ca="1">IF(V1068&gt;0,CONCATENATE("HR Range: ",
INDEX(sessions_HR_range_primary,INDEX(plan_session_allocation,((WEEKDAY(T$3,2)*2-1)+IF(T1068="Morning",0,1)),S1068)),
IF(INDEX(sessions_HR_range_primary,INDEX(plan_session_allocation,((WEEKDAY(T$3,2)*2-1)+IF(T1068="Morning",0,1)),S1068))="N/A","",
" BPM")),"")</f>
        <v/>
      </c>
      <c r="T1072" s="1927"/>
      <c r="U1072" s="1928" t="str">
        <f ca="1">IF(V1068&gt;0,IF(
INDEX(sessions_recoveries,INDEX(plan_session_allocation,((WEEKDAY(T$3,2)*2-1)+IF(T1068="Morning",0,1)),S1068))="Yes",
VLOOKUP(INDEX(plan_duration_primary,((WEEKDAY(T$3,2)*2-1)+IF(T1068="Morning",0,1)),S1068),
INDIRECT(INDEX(sessions_intervals_code_primary,INDEX(plan_session_allocation,((WEEKDAY(T$3,2)*2-1)+IF(T1068="Morning",0,1)),S1068))),7,TRUE),0),"")</f>
        <v/>
      </c>
      <c r="V1072" s="1929"/>
      <c r="W1072" s="178"/>
      <c r="X1072" s="1926" t="str">
        <f ca="1">IF(AA1068&gt;0,CONCATENATE("HR Range: ",
INDEX(sessions_HR_range_primary,INDEX(plan_session_allocation,((WEEKDAY(Y$3,2)*2-1)+IF(Y1068="Morning",0,1)),X1068)),
IF(INDEX(sessions_HR_range_primary,INDEX(plan_session_allocation,((WEEKDAY(Y$3,2)*2-1)+IF(Y1068="Morning",0,1)),X1068))="N/A","",
" BPM")),"")</f>
        <v/>
      </c>
      <c r="Y1072" s="1927"/>
      <c r="Z1072" s="1928" t="str">
        <f ca="1">IF(AA1068&gt;0,IF(
INDEX(sessions_recoveries,INDEX(plan_session_allocation,((WEEKDAY(Y$3,2)*2-1)+IF(Y1068="Morning",0,1)),X1068))="Yes",
VLOOKUP(INDEX(plan_duration_primary,((WEEKDAY(Y$3,2)*2-1)+IF(Y1068="Morning",0,1)),X1068),
INDIRECT(INDEX(sessions_intervals_code_primary,INDEX(plan_session_allocation,((WEEKDAY(Y$3,2)*2-1)+IF(Y1068="Morning",0,1)),X1068))),7,TRUE),0),"")</f>
        <v/>
      </c>
      <c r="AA1072" s="1929"/>
      <c r="AB1072" s="178"/>
      <c r="AC1072" s="1926" t="str">
        <f ca="1">IF(AF1068&gt;0,CONCATENATE("HR Range: ",
INDEX(sessions_HR_range_primary,INDEX(plan_session_allocation,((WEEKDAY(AD$3,2)*2-1)+IF(AD1068="Morning",0,1)),AC1068)),
IF(INDEX(sessions_HR_range_primary,INDEX(plan_session_allocation,((WEEKDAY(AD$3,2)*2-1)+IF(AD1068="Morning",0,1)),AC1068))="N/A","",
" BPM")),"")</f>
        <v/>
      </c>
      <c r="AD1072" s="1927"/>
      <c r="AE1072" s="1928" t="str">
        <f ca="1">IF(AF1068&gt;0,IF(
INDEX(sessions_recoveries,INDEX(plan_session_allocation,((WEEKDAY(AD$3,2)*2-1)+IF(AD1068="Morning",0,1)),AC1068))="Yes",
VLOOKUP(INDEX(plan_duration_primary,((WEEKDAY(AD$3,2)*2-1)+IF(AD1068="Morning",0,1)),AC1068),
INDIRECT(INDEX(sessions_intervals_code_primary,INDEX(plan_session_allocation,((WEEKDAY(AD$3,2)*2-1)+IF(AD1068="Morning",0,1)),AC1068))),7,TRUE),0),"")</f>
        <v/>
      </c>
      <c r="AF1072" s="1929"/>
      <c r="AG1072" s="178"/>
      <c r="AH1072" s="1926" t="str">
        <f ca="1">IF(AK1068&gt;0,CONCATENATE("HR Range: ",
INDEX(sessions_HR_range_primary,INDEX(plan_session_allocation,((WEEKDAY(AI$3,2)*2-1)+IF(AI1068="Morning",0,1)),AH1068)),
IF(INDEX(sessions_HR_range_primary,INDEX(plan_session_allocation,((WEEKDAY(AI$3,2)*2-1)+IF(AI1068="Morning",0,1)),AH1068))="N/A","",
" BPM")),"")</f>
        <v/>
      </c>
      <c r="AI1072" s="1927"/>
      <c r="AJ1072" s="1928" t="str">
        <f ca="1">IF(AK1068&gt;0,IF(
INDEX(sessions_recoveries,INDEX(plan_session_allocation,((WEEKDAY(AI$3,2)*2-1)+IF(AI1068="Morning",0,1)),AH1068))="Yes",
VLOOKUP(INDEX(plan_duration_primary,((WEEKDAY(AI$3,2)*2-1)+IF(AI1068="Morning",0,1)),AH1068),
INDIRECT(INDEX(sessions_intervals_code_primary,INDEX(plan_session_allocation,((WEEKDAY(AI$3,2)*2-1)+IF(AI1068="Morning",0,1)),AH1068))),7,TRUE),0),"")</f>
        <v/>
      </c>
      <c r="AK1072" s="1929"/>
      <c r="AL1072" s="178"/>
    </row>
    <row r="1073" spans="2:38" s="179" customFormat="1" ht="15" customHeight="1" x14ac:dyDescent="0.45">
      <c r="B1073" s="1942"/>
      <c r="C1073" s="1945"/>
      <c r="D1073" s="1909" t="str">
        <f ca="1">IF(G1068&gt;0,CONCATENATE("Equivalent Pace: ",
TEXT(INDEX(sessions_pace_primary,INDEX(plan_session_allocation,(WEEKDAY(E$3,2)*2-1)+IF(E1068="Morning",0,1),D1068)),"m:ss"),
" min/km"
),"")</f>
        <v/>
      </c>
      <c r="E1073" s="1910"/>
      <c r="F1073" s="1911" t="str">
        <f ca="1">IF(G1068&gt;0, INDEX(final_duration_WU,((WEEKDAY(E$3,2)*2-1)+IF(E1068="Morning",0,1)),D1068)  + INDEX(final_duration_WD,((WEEKDAY(E$3,2)*2-1)+IF(E1068="Morning",0,1)),D1068), "")</f>
        <v/>
      </c>
      <c r="G1073" s="1912"/>
      <c r="H1073" s="178"/>
      <c r="I1073" s="1909" t="str">
        <f ca="1">IF(L1068&gt;0,CONCATENATE("Equivalent Pace: ",
TEXT(INDEX(sessions_pace_primary,INDEX(plan_session_allocation,(WEEKDAY(J$3,2)*2-1)+IF(J1068="Morning",0,1),I1068)),"m:ss"),
" min/km"
),"")</f>
        <v/>
      </c>
      <c r="J1073" s="1910"/>
      <c r="K1073" s="1911" t="str">
        <f ca="1">IF(L1068&gt;0, INDEX(final_duration_WU,((WEEKDAY(J$3,2)*2-1)+IF(J1068="Morning",0,1)),I1068)  + INDEX(final_duration_WD,((WEEKDAY(J$3,2)*2-1)+IF(J1068="Morning",0,1)),I1068), "")</f>
        <v/>
      </c>
      <c r="L1073" s="1912"/>
      <c r="M1073" s="178"/>
      <c r="N1073" s="1909" t="str">
        <f ca="1">IF(Q1068&gt;0,CONCATENATE("Equivalent Pace: ",
TEXT(INDEX(sessions_pace_primary,INDEX(plan_session_allocation,(WEEKDAY(O$3,2)*2-1)+IF(O1068="Morning",0,1),N1068)),"m:ss"),
" min/km"
),"")</f>
        <v/>
      </c>
      <c r="O1073" s="1910"/>
      <c r="P1073" s="1911" t="str">
        <f ca="1">IF(Q1068&gt;0, INDEX(final_duration_WU,((WEEKDAY(O$3,2)*2-1)+IF(O1068="Morning",0,1)),N1068)  + INDEX(final_duration_WD,((WEEKDAY(O$3,2)*2-1)+IF(O1068="Morning",0,1)),N1068), "")</f>
        <v/>
      </c>
      <c r="Q1073" s="1912"/>
      <c r="R1073" s="178"/>
      <c r="S1073" s="1909" t="str">
        <f ca="1">IF(V1068&gt;0,CONCATENATE("Equivalent Pace: ",
TEXT(INDEX(sessions_pace_primary,INDEX(plan_session_allocation,(WEEKDAY(T$3,2)*2-1)+IF(T1068="Morning",0,1),S1068)),"m:ss"),
" min/km"
),"")</f>
        <v/>
      </c>
      <c r="T1073" s="1910"/>
      <c r="U1073" s="1911" t="str">
        <f ca="1">IF(V1068&gt;0, INDEX(final_duration_WU,((WEEKDAY(T$3,2)*2-1)+IF(T1068="Morning",0,1)),S1068)  + INDEX(final_duration_WD,((WEEKDAY(T$3,2)*2-1)+IF(T1068="Morning",0,1)),S1068), "")</f>
        <v/>
      </c>
      <c r="V1073" s="1912"/>
      <c r="W1073" s="178"/>
      <c r="X1073" s="1909" t="str">
        <f ca="1">IF(AA1068&gt;0,CONCATENATE("Equivalent Pace: ",
TEXT(INDEX(sessions_pace_primary,INDEX(plan_session_allocation,(WEEKDAY(Y$3,2)*2-1)+IF(Y1068="Morning",0,1),X1068)),"m:ss"),
" min/km"
),"")</f>
        <v/>
      </c>
      <c r="Y1073" s="1910"/>
      <c r="Z1073" s="1911" t="str">
        <f ca="1">IF(AA1068&gt;0, INDEX(final_duration_WU,((WEEKDAY(Y$3,2)*2-1)+IF(Y1068="Morning",0,1)),X1068)  + INDEX(final_duration_WD,((WEEKDAY(Y$3,2)*2-1)+IF(Y1068="Morning",0,1)),X1068), "")</f>
        <v/>
      </c>
      <c r="AA1073" s="1912"/>
      <c r="AB1073" s="178"/>
      <c r="AC1073" s="1909" t="str">
        <f ca="1">IF(AF1068&gt;0,CONCATENATE("Equivalent Pace: ",
TEXT(INDEX(sessions_pace_primary,INDEX(plan_session_allocation,(WEEKDAY(AD$3,2)*2-1)+IF(AD1068="Morning",0,1),AC1068)),"m:ss"),
" min/km"
),"")</f>
        <v/>
      </c>
      <c r="AD1073" s="1910"/>
      <c r="AE1073" s="1911" t="str">
        <f ca="1">IF(AF1068&gt;0, INDEX(final_duration_WU,((WEEKDAY(AD$3,2)*2-1)+IF(AD1068="Morning",0,1)),AC1068)  + INDEX(final_duration_WD,((WEEKDAY(AD$3,2)*2-1)+IF(AD1068="Morning",0,1)),AC1068), "")</f>
        <v/>
      </c>
      <c r="AF1073" s="1912"/>
      <c r="AG1073" s="178"/>
      <c r="AH1073" s="1909" t="str">
        <f ca="1">IF(AK1068&gt;0,CONCATENATE("Equivalent Pace: ",
TEXT(INDEX(sessions_pace_primary,INDEX(plan_session_allocation,(WEEKDAY(AI$3,2)*2-1)+IF(AI1068="Morning",0,1),AH1068)),"m:ss"),
" min/km"
),"")</f>
        <v/>
      </c>
      <c r="AI1073" s="1910"/>
      <c r="AJ1073" s="1911" t="str">
        <f ca="1">IF(AK1068&gt;0, INDEX(final_duration_WU,((WEEKDAY(AI$3,2)*2-1)+IF(AI1068="Morning",0,1)),AH1068)  + INDEX(final_duration_WD,((WEEKDAY(AI$3,2)*2-1)+IF(AI1068="Morning",0,1)),AH1068), "")</f>
        <v/>
      </c>
      <c r="AK1073" s="1912"/>
      <c r="AL1073" s="178"/>
    </row>
    <row r="1074" spans="2:38" s="180" customFormat="1" ht="15" customHeight="1" x14ac:dyDescent="0.45">
      <c r="B1074" s="1942"/>
      <c r="C1074" s="1945"/>
      <c r="D1074" s="1913" t="str">
        <f ca="1">IF(G1068&gt;0,CONCATENATE(IFERROR(CONCATENATE(IF(INDEX(display_intervals_breakdown,((WEEKDAY(E$3,2)*2-1)+IF(E1068="Morning",0,1)),D1068)="","",CONCATENATE("Intervals/Reps Breakdown: 
",INDEX(display_intervals_breakdown,((WEEKDAY(E$3,2)*2-1)+IF(E1068="Morning",0,1)),D1068),"
")),"Session Description: 
",CONCATENATE(IF(INDEX(final_duration_secondary,((WEEKDAY(E$3,2)*2-1)+IF(E1068="Morning",0,1)),D1068)=0,"","1. "),
INDEX(sessions_description_primary,,INDEX(plan_session_allocation,((WEEKDAY(E$3,2)*2-1)+IF(E1068="Morning",0,1)),D1068)),IF(INDEX(final_duration_secondary,((WEEKDAY(E$3,2)*2-1)+IF(E1068="Morning",0,1)),D1068)=0,"","
2. "),
IF(INDEX(final_duration_secondary,((WEEKDAY(E$3,2)*2-1)+IF(E1068="Morning",0,1)),D1068)=0,"",INDEX(sessions_description_secondary,,INDEX(plan_session_allocation,((WEEKDAY(E$3,2)*2-1)+IF(E1068="Morning",0,1)),D1068))),IF(INDEX(final_duration_tertiary,((WEEKDAY(E$3,2)*2-1)+IF(E1068="Morning",0,1)),D1068)=0,"","
3. "),
IF(INDEX(final_duration_tertiary,((WEEKDAY(E$3,2)*2-1)+IF(E1068="Morning",0,1)),D1068)="","",INDEX(sessions_description_tertiary,,INDEX(plan_session_allocation,((WEEKDAY(E$3,2)*2-1)+IF(E1068="Morning",0,1)),D1068))),
IF(INDEX(display_nutrition_description,((WEEKDAY(E$3,2)*2-1)+IF(E1068="Morning",0,1)),D1068)="","",
CONCATENATE("
Meal Plan: ", INDEX(sessions_nutrition,,INDEX(plan_session_allocation,((WEEKDAY(E$3,2)*2-1)+IF(E1068="Morning",0,1)),D1068)), "
", INDEX(display_nutrition_description,((WEEKDAY(E$3,2)*2-1)+IF(E1068="Morning",0,1)),D1068)))
)),"")),"")</f>
        <v/>
      </c>
      <c r="E1074" s="1914"/>
      <c r="F1074" s="1914"/>
      <c r="G1074" s="1915"/>
      <c r="I1074" s="1913" t="str">
        <f ca="1">IF(L1068&gt;0,CONCATENATE(IFERROR(CONCATENATE(IF(INDEX(display_intervals_breakdown,((WEEKDAY(J$3,2)*2-1)+IF(J1068="Morning",0,1)),I1068)="","",CONCATENATE("Intervals/Reps Breakdown: 
",INDEX(display_intervals_breakdown,((WEEKDAY(J$3,2)*2-1)+IF(J1068="Morning",0,1)),I1068),"
")),"Session Description: 
",CONCATENATE(IF(INDEX(final_duration_secondary,((WEEKDAY(J$3,2)*2-1)+IF(J1068="Morning",0,1)),I1068)=0,"","1. "),
INDEX(sessions_description_primary,,INDEX(plan_session_allocation,((WEEKDAY(J$3,2)*2-1)+IF(J1068="Morning",0,1)),I1068)),IF(INDEX(final_duration_secondary,((WEEKDAY(J$3,2)*2-1)+IF(J1068="Morning",0,1)),I1068)=0,"","
2. "),
IF(INDEX(final_duration_secondary,((WEEKDAY(J$3,2)*2-1)+IF(J1068="Morning",0,1)),I1068)=0,"",INDEX(sessions_description_secondary,,INDEX(plan_session_allocation,((WEEKDAY(J$3,2)*2-1)+IF(J1068="Morning",0,1)),I1068))),IF(INDEX(final_duration_tertiary,((WEEKDAY(J$3,2)*2-1)+IF(J1068="Morning",0,1)),I1068)=0,"","
3. "),
IF(INDEX(final_duration_tertiary,((WEEKDAY(J$3,2)*2-1)+IF(J1068="Morning",0,1)),I1068)="","",INDEX(sessions_description_tertiary,,INDEX(plan_session_allocation,((WEEKDAY(J$3,2)*2-1)+IF(J1068="Morning",0,1)),I1068))),
IF(INDEX(display_nutrition_description,((WEEKDAY(J$3,2)*2-1)+IF(J1068="Morning",0,1)),I1068)="","",
CONCATENATE("
Meal Plan: ", INDEX(sessions_nutrition,,INDEX(plan_session_allocation,((WEEKDAY(J$3,2)*2-1)+IF(J1068="Morning",0,1)),I1068)), "
", INDEX(display_nutrition_description,((WEEKDAY(J$3,2)*2-1)+IF(J1068="Morning",0,1)),I1068)))
)),"")),"")</f>
        <v/>
      </c>
      <c r="J1074" s="1914"/>
      <c r="K1074" s="1914"/>
      <c r="L1074" s="1915"/>
      <c r="N1074" s="1913" t="str">
        <f ca="1">IF(Q1068&gt;0,CONCATENATE(IFERROR(CONCATENATE(IF(INDEX(display_intervals_breakdown,((WEEKDAY(O$3,2)*2-1)+IF(O1068="Morning",0,1)),N1068)="","",CONCATENATE("Intervals/Reps Breakdown: 
",INDEX(display_intervals_breakdown,((WEEKDAY(O$3,2)*2-1)+IF(O1068="Morning",0,1)),N1068),"
")),"Session Description: 
",CONCATENATE(IF(INDEX(final_duration_secondary,((WEEKDAY(O$3,2)*2-1)+IF(O1068="Morning",0,1)),N1068)=0,"","1. "),
INDEX(sessions_description_primary,,INDEX(plan_session_allocation,((WEEKDAY(O$3,2)*2-1)+IF(O1068="Morning",0,1)),N1068)),IF(INDEX(final_duration_secondary,((WEEKDAY(O$3,2)*2-1)+IF(O1068="Morning",0,1)),N1068)=0,"","
2. "),
IF(INDEX(final_duration_secondary,((WEEKDAY(O$3,2)*2-1)+IF(O1068="Morning",0,1)),N1068)=0,"",INDEX(sessions_description_secondary,,INDEX(plan_session_allocation,((WEEKDAY(O$3,2)*2-1)+IF(O1068="Morning",0,1)),N1068))),IF(INDEX(final_duration_tertiary,((WEEKDAY(O$3,2)*2-1)+IF(O1068="Morning",0,1)),N1068)=0,"","
3. "),
IF(INDEX(final_duration_tertiary,((WEEKDAY(O$3,2)*2-1)+IF(O1068="Morning",0,1)),N1068)="","",INDEX(sessions_description_tertiary,,INDEX(plan_session_allocation,((WEEKDAY(O$3,2)*2-1)+IF(O1068="Morning",0,1)),N1068))),
IF(INDEX(display_nutrition_description,((WEEKDAY(O$3,2)*2-1)+IF(O1068="Morning",0,1)),N1068)="","",
CONCATENATE("
Meal Plan: ", INDEX(sessions_nutrition,,INDEX(plan_session_allocation,((WEEKDAY(O$3,2)*2-1)+IF(O1068="Morning",0,1)),N1068)), "
", INDEX(display_nutrition_description,((WEEKDAY(O$3,2)*2-1)+IF(O1068="Morning",0,1)),N1068)))
)),"")),"")</f>
        <v/>
      </c>
      <c r="O1074" s="1914"/>
      <c r="P1074" s="1914"/>
      <c r="Q1074" s="1915"/>
      <c r="S1074" s="1913" t="str">
        <f ca="1">IF(V1068&gt;0,CONCATENATE(IFERROR(CONCATENATE(IF(INDEX(display_intervals_breakdown,((WEEKDAY(T$3,2)*2-1)+IF(T1068="Morning",0,1)),S1068)="","",CONCATENATE("Intervals/Reps Breakdown: 
",INDEX(display_intervals_breakdown,((WEEKDAY(T$3,2)*2-1)+IF(T1068="Morning",0,1)),S1068),"
")),"Session Description: 
",CONCATENATE(IF(INDEX(final_duration_secondary,((WEEKDAY(T$3,2)*2-1)+IF(T1068="Morning",0,1)),S1068)=0,"","1. "),
INDEX(sessions_description_primary,,INDEX(plan_session_allocation,((WEEKDAY(T$3,2)*2-1)+IF(T1068="Morning",0,1)),S1068)),IF(INDEX(final_duration_secondary,((WEEKDAY(T$3,2)*2-1)+IF(T1068="Morning",0,1)),S1068)=0,"","
2. "),
IF(INDEX(final_duration_secondary,((WEEKDAY(T$3,2)*2-1)+IF(T1068="Morning",0,1)),S1068)=0,"",INDEX(sessions_description_secondary,,INDEX(plan_session_allocation,((WEEKDAY(T$3,2)*2-1)+IF(T1068="Morning",0,1)),S1068))),IF(INDEX(final_duration_tertiary,((WEEKDAY(T$3,2)*2-1)+IF(T1068="Morning",0,1)),S1068)=0,"","
3. "),
IF(INDEX(final_duration_tertiary,((WEEKDAY(T$3,2)*2-1)+IF(T1068="Morning",0,1)),S1068)="","",INDEX(sessions_description_tertiary,,INDEX(plan_session_allocation,((WEEKDAY(T$3,2)*2-1)+IF(T1068="Morning",0,1)),S1068))),
IF(INDEX(display_nutrition_description,((WEEKDAY(T$3,2)*2-1)+IF(T1068="Morning",0,1)),S1068)="","",
CONCATENATE("
Meal Plan: ", INDEX(sessions_nutrition,,INDEX(plan_session_allocation,((WEEKDAY(T$3,2)*2-1)+IF(T1068="Morning",0,1)),S1068)), "
", INDEX(display_nutrition_description,((WEEKDAY(T$3,2)*2-1)+IF(T1068="Morning",0,1)),S1068)))
)),"")),"")</f>
        <v/>
      </c>
      <c r="T1074" s="1914"/>
      <c r="U1074" s="1914"/>
      <c r="V1074" s="1915"/>
      <c r="X1074" s="1913" t="str">
        <f ca="1">IF(AA1068&gt;0,CONCATENATE(IFERROR(CONCATENATE(IF(INDEX(display_intervals_breakdown,((WEEKDAY(Y$3,2)*2-1)+IF(Y1068="Morning",0,1)),X1068)="","",CONCATENATE("Intervals/Reps Breakdown: 
",INDEX(display_intervals_breakdown,((WEEKDAY(Y$3,2)*2-1)+IF(Y1068="Morning",0,1)),X1068),"
")),"Session Description: 
",CONCATENATE(IF(INDEX(final_duration_secondary,((WEEKDAY(Y$3,2)*2-1)+IF(Y1068="Morning",0,1)),X1068)=0,"","1. "),
INDEX(sessions_description_primary,,INDEX(plan_session_allocation,((WEEKDAY(Y$3,2)*2-1)+IF(Y1068="Morning",0,1)),X1068)),IF(INDEX(final_duration_secondary,((WEEKDAY(Y$3,2)*2-1)+IF(Y1068="Morning",0,1)),X1068)=0,"","
2. "),
IF(INDEX(final_duration_secondary,((WEEKDAY(Y$3,2)*2-1)+IF(Y1068="Morning",0,1)),X1068)=0,"",INDEX(sessions_description_secondary,,INDEX(plan_session_allocation,((WEEKDAY(Y$3,2)*2-1)+IF(Y1068="Morning",0,1)),X1068))),IF(INDEX(final_duration_tertiary,((WEEKDAY(Y$3,2)*2-1)+IF(Y1068="Morning",0,1)),X1068)=0,"","
3. "),
IF(INDEX(final_duration_tertiary,((WEEKDAY(Y$3,2)*2-1)+IF(Y1068="Morning",0,1)),X1068)="","",INDEX(sessions_description_tertiary,,INDEX(plan_session_allocation,((WEEKDAY(Y$3,2)*2-1)+IF(Y1068="Morning",0,1)),X1068))),
IF(INDEX(display_nutrition_description,((WEEKDAY(Y$3,2)*2-1)+IF(Y1068="Morning",0,1)),X1068)="","",
CONCATENATE("
Meal Plan: ", INDEX(sessions_nutrition,,INDEX(plan_session_allocation,((WEEKDAY(Y$3,2)*2-1)+IF(Y1068="Morning",0,1)),X1068)), "
", INDEX(display_nutrition_description,((WEEKDAY(Y$3,2)*2-1)+IF(Y1068="Morning",0,1)),X1068)))
)),"")),"")</f>
        <v/>
      </c>
      <c r="Y1074" s="1914"/>
      <c r="Z1074" s="1914"/>
      <c r="AA1074" s="1915"/>
      <c r="AC1074" s="1913" t="str">
        <f ca="1">IF(AF1068&gt;0,CONCATENATE(IFERROR(CONCATENATE(IF(INDEX(display_intervals_breakdown,((WEEKDAY(AD$3,2)*2-1)+IF(AD1068="Morning",0,1)),AC1068)="","",CONCATENATE("Intervals/Reps Breakdown: 
",INDEX(display_intervals_breakdown,((WEEKDAY(AD$3,2)*2-1)+IF(AD1068="Morning",0,1)),AC1068),"
")),"Session Description: 
",CONCATENATE(IF(INDEX(final_duration_secondary,((WEEKDAY(AD$3,2)*2-1)+IF(AD1068="Morning",0,1)),AC1068)=0,"","1. "),
INDEX(sessions_description_primary,,INDEX(plan_session_allocation,((WEEKDAY(AD$3,2)*2-1)+IF(AD1068="Morning",0,1)),AC1068)),IF(INDEX(final_duration_secondary,((WEEKDAY(AD$3,2)*2-1)+IF(AD1068="Morning",0,1)),AC1068)=0,"","
2. "),
IF(INDEX(final_duration_secondary,((WEEKDAY(AD$3,2)*2-1)+IF(AD1068="Morning",0,1)),AC1068)=0,"",INDEX(sessions_description_secondary,,INDEX(plan_session_allocation,((WEEKDAY(AD$3,2)*2-1)+IF(AD1068="Morning",0,1)),AC1068))),IF(INDEX(final_duration_tertiary,((WEEKDAY(AD$3,2)*2-1)+IF(AD1068="Morning",0,1)),AC1068)=0,"","
3. "),
IF(INDEX(final_duration_tertiary,((WEEKDAY(AD$3,2)*2-1)+IF(AD1068="Morning",0,1)),AC1068)="","",INDEX(sessions_description_tertiary,,INDEX(plan_session_allocation,((WEEKDAY(AD$3,2)*2-1)+IF(AD1068="Morning",0,1)),AC1068))),
IF(INDEX(display_nutrition_description,((WEEKDAY(AD$3,2)*2-1)+IF(AD1068="Morning",0,1)),AC1068)="","",
CONCATENATE("
Meal Plan: ", INDEX(sessions_nutrition,,INDEX(plan_session_allocation,((WEEKDAY(AD$3,2)*2-1)+IF(AD1068="Morning",0,1)),AC1068)), "
", INDEX(display_nutrition_description,((WEEKDAY(AD$3,2)*2-1)+IF(AD1068="Morning",0,1)),AC1068)))
)),"")),"")</f>
        <v/>
      </c>
      <c r="AD1074" s="1914"/>
      <c r="AE1074" s="1914"/>
      <c r="AF1074" s="1915"/>
      <c r="AH1074" s="1913" t="str">
        <f ca="1">IF(AK1068&gt;0,CONCATENATE(IFERROR(CONCATENATE(IF(INDEX(display_intervals_breakdown,((WEEKDAY(AI$3,2)*2-1)+IF(AI1068="Morning",0,1)),AH1068)="","",CONCATENATE("Intervals/Reps Breakdown: 
",INDEX(display_intervals_breakdown,((WEEKDAY(AI$3,2)*2-1)+IF(AI1068="Morning",0,1)),AH1068),"
")),"Session Description: 
",CONCATENATE(IF(INDEX(final_duration_secondary,((WEEKDAY(AI$3,2)*2-1)+IF(AI1068="Morning",0,1)),AH1068)=0,"","1. "),
INDEX(sessions_description_primary,,INDEX(plan_session_allocation,((WEEKDAY(AI$3,2)*2-1)+IF(AI1068="Morning",0,1)),AH1068)),IF(INDEX(final_duration_secondary,((WEEKDAY(AI$3,2)*2-1)+IF(AI1068="Morning",0,1)),AH1068)=0,"","
2. "),
IF(INDEX(final_duration_secondary,((WEEKDAY(AI$3,2)*2-1)+IF(AI1068="Morning",0,1)),AH1068)=0,"",INDEX(sessions_description_secondary,,INDEX(plan_session_allocation,((WEEKDAY(AI$3,2)*2-1)+IF(AI1068="Morning",0,1)),AH1068))),IF(INDEX(final_duration_tertiary,((WEEKDAY(AI$3,2)*2-1)+IF(AI1068="Morning",0,1)),AH1068)=0,"","
3. "),
IF(INDEX(final_duration_tertiary,((WEEKDAY(AI$3,2)*2-1)+IF(AI1068="Morning",0,1)),AH1068)="","",INDEX(sessions_description_tertiary,,INDEX(plan_session_allocation,((WEEKDAY(AI$3,2)*2-1)+IF(AI1068="Morning",0,1)),AH1068))),
IF(INDEX(display_nutrition_description,((WEEKDAY(AI$3,2)*2-1)+IF(AI1068="Morning",0,1)),AH1068)="","",
CONCATENATE("
Meal Plan: ", INDEX(sessions_nutrition,,INDEX(plan_session_allocation,((WEEKDAY(AI$3,2)*2-1)+IF(AI1068="Morning",0,1)),AH1068)), "
", INDEX(display_nutrition_description,((WEEKDAY(AI$3,2)*2-1)+IF(AI1068="Morning",0,1)),AH1068)))
)),"")),"")</f>
        <v/>
      </c>
      <c r="AI1074" s="1914"/>
      <c r="AJ1074" s="1914"/>
      <c r="AK1074" s="1915"/>
    </row>
    <row r="1075" spans="2:38" s="180" customFormat="1" x14ac:dyDescent="0.45">
      <c r="B1075" s="1942"/>
      <c r="C1075" s="1945"/>
      <c r="D1075" s="1916"/>
      <c r="E1075" s="1917"/>
      <c r="F1075" s="1917"/>
      <c r="G1075" s="1918"/>
      <c r="I1075" s="1916"/>
      <c r="J1075" s="1917"/>
      <c r="K1075" s="1917"/>
      <c r="L1075" s="1918"/>
      <c r="N1075" s="1916"/>
      <c r="O1075" s="1917"/>
      <c r="P1075" s="1917"/>
      <c r="Q1075" s="1918"/>
      <c r="S1075" s="1916"/>
      <c r="T1075" s="1917"/>
      <c r="U1075" s="1917"/>
      <c r="V1075" s="1918"/>
      <c r="X1075" s="1916"/>
      <c r="Y1075" s="1917"/>
      <c r="Z1075" s="1917"/>
      <c r="AA1075" s="1918"/>
      <c r="AC1075" s="1916"/>
      <c r="AD1075" s="1917"/>
      <c r="AE1075" s="1917"/>
      <c r="AF1075" s="1918"/>
      <c r="AH1075" s="1916"/>
      <c r="AI1075" s="1917"/>
      <c r="AJ1075" s="1917"/>
      <c r="AK1075" s="1918"/>
    </row>
    <row r="1076" spans="2:38" s="180" customFormat="1" x14ac:dyDescent="0.45">
      <c r="B1076" s="1942"/>
      <c r="C1076" s="1945"/>
      <c r="D1076" s="1916"/>
      <c r="E1076" s="1917"/>
      <c r="F1076" s="1917"/>
      <c r="G1076" s="1918"/>
      <c r="I1076" s="1916"/>
      <c r="J1076" s="1917"/>
      <c r="K1076" s="1917"/>
      <c r="L1076" s="1918"/>
      <c r="N1076" s="1916"/>
      <c r="O1076" s="1917"/>
      <c r="P1076" s="1917"/>
      <c r="Q1076" s="1918"/>
      <c r="S1076" s="1916"/>
      <c r="T1076" s="1917"/>
      <c r="U1076" s="1917"/>
      <c r="V1076" s="1918"/>
      <c r="X1076" s="1916"/>
      <c r="Y1076" s="1917"/>
      <c r="Z1076" s="1917"/>
      <c r="AA1076" s="1918"/>
      <c r="AC1076" s="1916"/>
      <c r="AD1076" s="1917"/>
      <c r="AE1076" s="1917"/>
      <c r="AF1076" s="1918"/>
      <c r="AH1076" s="1916"/>
      <c r="AI1076" s="1917"/>
      <c r="AJ1076" s="1917"/>
      <c r="AK1076" s="1918"/>
    </row>
    <row r="1077" spans="2:38" s="180" customFormat="1" x14ac:dyDescent="0.45">
      <c r="B1077" s="1942"/>
      <c r="C1077" s="1945"/>
      <c r="D1077" s="1916"/>
      <c r="E1077" s="1917"/>
      <c r="F1077" s="1917"/>
      <c r="G1077" s="1918"/>
      <c r="I1077" s="1916"/>
      <c r="J1077" s="1917"/>
      <c r="K1077" s="1917"/>
      <c r="L1077" s="1918"/>
      <c r="N1077" s="1916"/>
      <c r="O1077" s="1917"/>
      <c r="P1077" s="1917"/>
      <c r="Q1077" s="1918"/>
      <c r="S1077" s="1916"/>
      <c r="T1077" s="1917"/>
      <c r="U1077" s="1917"/>
      <c r="V1077" s="1918"/>
      <c r="X1077" s="1916"/>
      <c r="Y1077" s="1917"/>
      <c r="Z1077" s="1917"/>
      <c r="AA1077" s="1918"/>
      <c r="AC1077" s="1916"/>
      <c r="AD1077" s="1917"/>
      <c r="AE1077" s="1917"/>
      <c r="AF1077" s="1918"/>
      <c r="AH1077" s="1916"/>
      <c r="AI1077" s="1917"/>
      <c r="AJ1077" s="1917"/>
      <c r="AK1077" s="1918"/>
    </row>
    <row r="1078" spans="2:38" s="180" customFormat="1" x14ac:dyDescent="0.45">
      <c r="B1078" s="1942"/>
      <c r="C1078" s="1945"/>
      <c r="D1078" s="1916"/>
      <c r="E1078" s="1917"/>
      <c r="F1078" s="1917"/>
      <c r="G1078" s="1918"/>
      <c r="I1078" s="1916"/>
      <c r="J1078" s="1917"/>
      <c r="K1078" s="1917"/>
      <c r="L1078" s="1918"/>
      <c r="N1078" s="1916"/>
      <c r="O1078" s="1917"/>
      <c r="P1078" s="1917"/>
      <c r="Q1078" s="1918"/>
      <c r="S1078" s="1916"/>
      <c r="T1078" s="1917"/>
      <c r="U1078" s="1917"/>
      <c r="V1078" s="1918"/>
      <c r="X1078" s="1916"/>
      <c r="Y1078" s="1917"/>
      <c r="Z1078" s="1917"/>
      <c r="AA1078" s="1918"/>
      <c r="AC1078" s="1916"/>
      <c r="AD1078" s="1917"/>
      <c r="AE1078" s="1917"/>
      <c r="AF1078" s="1918"/>
      <c r="AH1078" s="1916"/>
      <c r="AI1078" s="1917"/>
      <c r="AJ1078" s="1917"/>
      <c r="AK1078" s="1918"/>
    </row>
    <row r="1079" spans="2:38" s="180" customFormat="1" x14ac:dyDescent="0.45">
      <c r="B1079" s="1942"/>
      <c r="C1079" s="1945"/>
      <c r="D1079" s="1916"/>
      <c r="E1079" s="1917"/>
      <c r="F1079" s="1917"/>
      <c r="G1079" s="1918"/>
      <c r="I1079" s="1916"/>
      <c r="J1079" s="1917"/>
      <c r="K1079" s="1917"/>
      <c r="L1079" s="1918"/>
      <c r="N1079" s="1916"/>
      <c r="O1079" s="1917"/>
      <c r="P1079" s="1917"/>
      <c r="Q1079" s="1918"/>
      <c r="S1079" s="1916"/>
      <c r="T1079" s="1917"/>
      <c r="U1079" s="1917"/>
      <c r="V1079" s="1918"/>
      <c r="X1079" s="1916"/>
      <c r="Y1079" s="1917"/>
      <c r="Z1079" s="1917"/>
      <c r="AA1079" s="1918"/>
      <c r="AC1079" s="1916"/>
      <c r="AD1079" s="1917"/>
      <c r="AE1079" s="1917"/>
      <c r="AF1079" s="1918"/>
      <c r="AH1079" s="1916"/>
      <c r="AI1079" s="1917"/>
      <c r="AJ1079" s="1917"/>
      <c r="AK1079" s="1918"/>
    </row>
    <row r="1080" spans="2:38" s="180" customFormat="1" x14ac:dyDescent="0.45">
      <c r="B1080" s="1942"/>
      <c r="C1080" s="1945"/>
      <c r="D1080" s="1916"/>
      <c r="E1080" s="1917"/>
      <c r="F1080" s="1917"/>
      <c r="G1080" s="1918"/>
      <c r="I1080" s="1916"/>
      <c r="J1080" s="1917"/>
      <c r="K1080" s="1917"/>
      <c r="L1080" s="1918"/>
      <c r="N1080" s="1916"/>
      <c r="O1080" s="1917"/>
      <c r="P1080" s="1917"/>
      <c r="Q1080" s="1918"/>
      <c r="S1080" s="1916"/>
      <c r="T1080" s="1917"/>
      <c r="U1080" s="1917"/>
      <c r="V1080" s="1918"/>
      <c r="X1080" s="1916"/>
      <c r="Y1080" s="1917"/>
      <c r="Z1080" s="1917"/>
      <c r="AA1080" s="1918"/>
      <c r="AC1080" s="1916"/>
      <c r="AD1080" s="1917"/>
      <c r="AE1080" s="1917"/>
      <c r="AF1080" s="1918"/>
      <c r="AH1080" s="1916"/>
      <c r="AI1080" s="1917"/>
      <c r="AJ1080" s="1917"/>
      <c r="AK1080" s="1918"/>
    </row>
    <row r="1081" spans="2:38" s="180" customFormat="1" ht="15.75" customHeight="1" x14ac:dyDescent="0.45">
      <c r="B1081" s="1942"/>
      <c r="C1081" s="1945"/>
      <c r="D1081" s="1916"/>
      <c r="E1081" s="1917"/>
      <c r="F1081" s="1917"/>
      <c r="G1081" s="1918"/>
      <c r="I1081" s="1916"/>
      <c r="J1081" s="1917"/>
      <c r="K1081" s="1917"/>
      <c r="L1081" s="1918"/>
      <c r="N1081" s="1916"/>
      <c r="O1081" s="1917"/>
      <c r="P1081" s="1917"/>
      <c r="Q1081" s="1918"/>
      <c r="S1081" s="1916"/>
      <c r="T1081" s="1917"/>
      <c r="U1081" s="1917"/>
      <c r="V1081" s="1918"/>
      <c r="X1081" s="1916"/>
      <c r="Y1081" s="1917"/>
      <c r="Z1081" s="1917"/>
      <c r="AA1081" s="1918"/>
      <c r="AC1081" s="1916"/>
      <c r="AD1081" s="1917"/>
      <c r="AE1081" s="1917"/>
      <c r="AF1081" s="1918"/>
      <c r="AH1081" s="1916"/>
      <c r="AI1081" s="1917"/>
      <c r="AJ1081" s="1917"/>
      <c r="AK1081" s="1918"/>
    </row>
    <row r="1082" spans="2:38" s="180" customFormat="1" x14ac:dyDescent="0.45">
      <c r="B1082" s="1942"/>
      <c r="C1082" s="1945"/>
      <c r="D1082" s="1916"/>
      <c r="E1082" s="1917"/>
      <c r="F1082" s="1917"/>
      <c r="G1082" s="1918"/>
      <c r="I1082" s="1916"/>
      <c r="J1082" s="1917"/>
      <c r="K1082" s="1917"/>
      <c r="L1082" s="1918"/>
      <c r="N1082" s="1916"/>
      <c r="O1082" s="1917"/>
      <c r="P1082" s="1917"/>
      <c r="Q1082" s="1918"/>
      <c r="S1082" s="1916"/>
      <c r="T1082" s="1917"/>
      <c r="U1082" s="1917"/>
      <c r="V1082" s="1918"/>
      <c r="X1082" s="1916"/>
      <c r="Y1082" s="1917"/>
      <c r="Z1082" s="1917"/>
      <c r="AA1082" s="1918"/>
      <c r="AC1082" s="1916"/>
      <c r="AD1082" s="1917"/>
      <c r="AE1082" s="1917"/>
      <c r="AF1082" s="1918"/>
      <c r="AH1082" s="1916"/>
      <c r="AI1082" s="1917"/>
      <c r="AJ1082" s="1917"/>
      <c r="AK1082" s="1918"/>
    </row>
    <row r="1083" spans="2:38" s="180" customFormat="1" x14ac:dyDescent="0.45">
      <c r="B1083" s="1942"/>
      <c r="C1083" s="1945"/>
      <c r="D1083" s="1916"/>
      <c r="E1083" s="1917"/>
      <c r="F1083" s="1917"/>
      <c r="G1083" s="1918"/>
      <c r="I1083" s="1916"/>
      <c r="J1083" s="1917"/>
      <c r="K1083" s="1917"/>
      <c r="L1083" s="1918"/>
      <c r="N1083" s="1916"/>
      <c r="O1083" s="1917"/>
      <c r="P1083" s="1917"/>
      <c r="Q1083" s="1918"/>
      <c r="S1083" s="1916"/>
      <c r="T1083" s="1917"/>
      <c r="U1083" s="1917"/>
      <c r="V1083" s="1918"/>
      <c r="X1083" s="1916"/>
      <c r="Y1083" s="1917"/>
      <c r="Z1083" s="1917"/>
      <c r="AA1083" s="1918"/>
      <c r="AC1083" s="1916"/>
      <c r="AD1083" s="1917"/>
      <c r="AE1083" s="1917"/>
      <c r="AF1083" s="1918"/>
      <c r="AH1083" s="1916"/>
      <c r="AI1083" s="1917"/>
      <c r="AJ1083" s="1917"/>
      <c r="AK1083" s="1918"/>
    </row>
    <row r="1084" spans="2:38" s="180" customFormat="1" x14ac:dyDescent="0.45">
      <c r="B1084" s="1942"/>
      <c r="C1084" s="1945"/>
      <c r="D1084" s="1916"/>
      <c r="E1084" s="1917"/>
      <c r="F1084" s="1917"/>
      <c r="G1084" s="1918"/>
      <c r="I1084" s="1916"/>
      <c r="J1084" s="1917"/>
      <c r="K1084" s="1917"/>
      <c r="L1084" s="1918"/>
      <c r="N1084" s="1916"/>
      <c r="O1084" s="1917"/>
      <c r="P1084" s="1917"/>
      <c r="Q1084" s="1918"/>
      <c r="S1084" s="1916"/>
      <c r="T1084" s="1917"/>
      <c r="U1084" s="1917"/>
      <c r="V1084" s="1918"/>
      <c r="X1084" s="1916"/>
      <c r="Y1084" s="1917"/>
      <c r="Z1084" s="1917"/>
      <c r="AA1084" s="1918"/>
      <c r="AC1084" s="1916"/>
      <c r="AD1084" s="1917"/>
      <c r="AE1084" s="1917"/>
      <c r="AF1084" s="1918"/>
      <c r="AH1084" s="1916"/>
      <c r="AI1084" s="1917"/>
      <c r="AJ1084" s="1917"/>
      <c r="AK1084" s="1918"/>
    </row>
    <row r="1085" spans="2:38" s="180" customFormat="1" x14ac:dyDescent="0.45">
      <c r="B1085" s="1942"/>
      <c r="C1085" s="1945"/>
      <c r="D1085" s="1916"/>
      <c r="E1085" s="1917"/>
      <c r="F1085" s="1917"/>
      <c r="G1085" s="1918"/>
      <c r="I1085" s="1916"/>
      <c r="J1085" s="1917"/>
      <c r="K1085" s="1917"/>
      <c r="L1085" s="1918"/>
      <c r="N1085" s="1916"/>
      <c r="O1085" s="1917"/>
      <c r="P1085" s="1917"/>
      <c r="Q1085" s="1918"/>
      <c r="S1085" s="1916"/>
      <c r="T1085" s="1917"/>
      <c r="U1085" s="1917"/>
      <c r="V1085" s="1918"/>
      <c r="X1085" s="1916"/>
      <c r="Y1085" s="1917"/>
      <c r="Z1085" s="1917"/>
      <c r="AA1085" s="1918"/>
      <c r="AC1085" s="1916"/>
      <c r="AD1085" s="1917"/>
      <c r="AE1085" s="1917"/>
      <c r="AF1085" s="1918"/>
      <c r="AH1085" s="1916"/>
      <c r="AI1085" s="1917"/>
      <c r="AJ1085" s="1917"/>
      <c r="AK1085" s="1918"/>
    </row>
    <row r="1086" spans="2:38" s="180" customFormat="1" x14ac:dyDescent="0.45">
      <c r="B1086" s="1942"/>
      <c r="C1086" s="1945"/>
      <c r="D1086" s="1916"/>
      <c r="E1086" s="1917"/>
      <c r="F1086" s="1917"/>
      <c r="G1086" s="1918"/>
      <c r="I1086" s="1916"/>
      <c r="J1086" s="1917"/>
      <c r="K1086" s="1917"/>
      <c r="L1086" s="1918"/>
      <c r="N1086" s="1916"/>
      <c r="O1086" s="1917"/>
      <c r="P1086" s="1917"/>
      <c r="Q1086" s="1918"/>
      <c r="S1086" s="1916"/>
      <c r="T1086" s="1917"/>
      <c r="U1086" s="1917"/>
      <c r="V1086" s="1918"/>
      <c r="X1086" s="1916"/>
      <c r="Y1086" s="1917"/>
      <c r="Z1086" s="1917"/>
      <c r="AA1086" s="1918"/>
      <c r="AC1086" s="1916"/>
      <c r="AD1086" s="1917"/>
      <c r="AE1086" s="1917"/>
      <c r="AF1086" s="1918"/>
      <c r="AH1086" s="1916"/>
      <c r="AI1086" s="1917"/>
      <c r="AJ1086" s="1917"/>
      <c r="AK1086" s="1918"/>
    </row>
    <row r="1087" spans="2:38" s="180" customFormat="1" x14ac:dyDescent="0.45">
      <c r="B1087" s="1942"/>
      <c r="C1087" s="1945"/>
      <c r="D1087" s="1919"/>
      <c r="E1087" s="1920"/>
      <c r="F1087" s="1920"/>
      <c r="G1087" s="1921"/>
      <c r="I1087" s="1919"/>
      <c r="J1087" s="1920"/>
      <c r="K1087" s="1920"/>
      <c r="L1087" s="1921"/>
      <c r="N1087" s="1919"/>
      <c r="O1087" s="1920"/>
      <c r="P1087" s="1920"/>
      <c r="Q1087" s="1921"/>
      <c r="S1087" s="1919"/>
      <c r="T1087" s="1920"/>
      <c r="U1087" s="1920"/>
      <c r="V1087" s="1921"/>
      <c r="X1087" s="1919"/>
      <c r="Y1087" s="1920"/>
      <c r="Z1087" s="1920"/>
      <c r="AA1087" s="1921"/>
      <c r="AC1087" s="1919"/>
      <c r="AD1087" s="1920"/>
      <c r="AE1087" s="1920"/>
      <c r="AF1087" s="1921"/>
      <c r="AH1087" s="1919"/>
      <c r="AI1087" s="1920"/>
      <c r="AJ1087" s="1920"/>
      <c r="AK1087" s="1921"/>
    </row>
    <row r="1088" spans="2:38" s="180" customFormat="1" ht="15" customHeight="1" x14ac:dyDescent="0.45">
      <c r="B1088" s="1942"/>
      <c r="C1088" s="1945"/>
      <c r="D1088" s="1913" t="str">
        <f ca="1">IF(G1068&gt;0,CONCATENATE("Session Aim: 
", CONCATENATE(IF(INDEX(final_duration_secondary,((WEEKDAY(E$3,2)*2-1)+IF(E1068="Morning",0,1)),D1068)=0, "", "1. "),
INDEX(sessions_aim_primary,, INDEX(plan_session_allocation,((WEEKDAY(E$3,2)*2-1)+IF(E1068="Morning",0,1)),D1068)), IF(INDEX(final_duration_secondary,((WEEKDAY(E$3,2)*2-1)+IF(E1068="Morning",0,1)),D1068)=0, "", "
2. "),
IF(INDEX(final_duration_secondary,((WEEKDAY(E$3,2)*2-1)+IF(E1068="Morning",0,1)),D1068)=0, "", INDEX(sessions_aim_secondary,, INDEX(plan_session_allocation,((WEEKDAY(E$3,2)*2-1)+IF(E1068="Morning",0,1)),D1068))), IF(INDEX(final_duration_tertiary,((WEEKDAY(E$3,2)*2-1)+IF(E1068="Morning",0,1)),D1068)=0, "", "
3. "),
IF(INDEX(final_duration_tertiary,((WEEKDAY(E$3,2)*2-1)+IF(E1068="Morning",0,1)),D1068)=0, "", INDEX(sessions_aim_tertiary,, INDEX(plan_session_allocation,((WEEKDAY(E$3,2)*2-1)+IF(E1068="Morning",0,1)),D1068))),
IF(INDEX(display_nutrition_description,((WEEKDAY(E$3,2)*2-1)+IF(E1068="Morning",0,1)),D1068)="","",
CONCATENATE("
Nutrition Aim:
", INDEX(sessions_aim_nutrition,,INDEX(plan_session_allocation,((WEEKDAY(E$3,2)*2-1)+IF(E1068="Morning",0,1)),D1068))
))
)),"")</f>
        <v/>
      </c>
      <c r="E1088" s="1914"/>
      <c r="F1088" s="1914"/>
      <c r="G1088" s="1915"/>
      <c r="I1088" s="1913" t="str">
        <f ca="1">IF(L1068&gt;0,CONCATENATE("Session Aim: 
", CONCATENATE(IF(INDEX(final_duration_secondary,((WEEKDAY(J$3,2)*2-1)+IF(J1068="Morning",0,1)),I1068)=0, "", "1. "),
INDEX(sessions_aim_primary,, INDEX(plan_session_allocation,((WEEKDAY(J$3,2)*2-1)+IF(J1068="Morning",0,1)),I1068)), IF(INDEX(final_duration_secondary,((WEEKDAY(J$3,2)*2-1)+IF(J1068="Morning",0,1)),I1068)=0, "", "
2. "),
IF(INDEX(final_duration_secondary,((WEEKDAY(J$3,2)*2-1)+IF(J1068="Morning",0,1)),I1068)=0, "", INDEX(sessions_aim_secondary,, INDEX(plan_session_allocation,((WEEKDAY(J$3,2)*2-1)+IF(J1068="Morning",0,1)),I1068))), IF(INDEX(final_duration_tertiary,((WEEKDAY(J$3,2)*2-1)+IF(J1068="Morning",0,1)),I1068)=0, "", "
3. "),
IF(INDEX(final_duration_tertiary,((WEEKDAY(J$3,2)*2-1)+IF(J1068="Morning",0,1)),I1068)=0, "", INDEX(sessions_aim_tertiary,, INDEX(plan_session_allocation,((WEEKDAY(J$3,2)*2-1)+IF(J1068="Morning",0,1)),I1068))),
IF(INDEX(display_nutrition_description,((WEEKDAY(J$3,2)*2-1)+IF(J1068="Morning",0,1)),I1068)="","",
CONCATENATE("
Nutrition Aim:
", INDEX(sessions_aim_nutrition,,INDEX(plan_session_allocation,((WEEKDAY(J$3,2)*2-1)+IF(J1068="Morning",0,1)),I1068))
))
)),"")</f>
        <v/>
      </c>
      <c r="J1088" s="1914"/>
      <c r="K1088" s="1914"/>
      <c r="L1088" s="1915"/>
      <c r="N1088" s="1913" t="str">
        <f ca="1">IF(Q1068&gt;0,CONCATENATE("Session Aim: 
", CONCATENATE(IF(INDEX(final_duration_secondary,((WEEKDAY(O$3,2)*2-1)+IF(O1068="Morning",0,1)),N1068)=0, "", "1. "),
INDEX(sessions_aim_primary,, INDEX(plan_session_allocation,((WEEKDAY(O$3,2)*2-1)+IF(O1068="Morning",0,1)),N1068)), IF(INDEX(final_duration_secondary,((WEEKDAY(O$3,2)*2-1)+IF(O1068="Morning",0,1)),N1068)=0, "", "
2. "),
IF(INDEX(final_duration_secondary,((WEEKDAY(O$3,2)*2-1)+IF(O1068="Morning",0,1)),N1068)=0, "", INDEX(sessions_aim_secondary,, INDEX(plan_session_allocation,((WEEKDAY(O$3,2)*2-1)+IF(O1068="Morning",0,1)),N1068))), IF(INDEX(final_duration_tertiary,((WEEKDAY(O$3,2)*2-1)+IF(O1068="Morning",0,1)),N1068)=0, "", "
3. "),
IF(INDEX(final_duration_tertiary,((WEEKDAY(O$3,2)*2-1)+IF(O1068="Morning",0,1)),N1068)=0, "", INDEX(sessions_aim_tertiary,, INDEX(plan_session_allocation,((WEEKDAY(O$3,2)*2-1)+IF(O1068="Morning",0,1)),N1068))),
IF(INDEX(display_nutrition_description,((WEEKDAY(O$3,2)*2-1)+IF(O1068="Morning",0,1)),N1068)="","",
CONCATENATE("
Nutrition Aim:
", INDEX(sessions_aim_nutrition,,INDEX(plan_session_allocation,((WEEKDAY(O$3,2)*2-1)+IF(O1068="Morning",0,1)),N1068))
))
)),"")</f>
        <v/>
      </c>
      <c r="O1088" s="1914"/>
      <c r="P1088" s="1914"/>
      <c r="Q1088" s="1915"/>
      <c r="S1088" s="1913" t="str">
        <f ca="1">IF(V1068&gt;0,CONCATENATE("Session Aim: 
", CONCATENATE(IF(INDEX(final_duration_secondary,((WEEKDAY(T$3,2)*2-1)+IF(T1068="Morning",0,1)),S1068)=0, "", "1. "),
INDEX(sessions_aim_primary,, INDEX(plan_session_allocation,((WEEKDAY(T$3,2)*2-1)+IF(T1068="Morning",0,1)),S1068)), IF(INDEX(final_duration_secondary,((WEEKDAY(T$3,2)*2-1)+IF(T1068="Morning",0,1)),S1068)=0, "", "
2. "),
IF(INDEX(final_duration_secondary,((WEEKDAY(T$3,2)*2-1)+IF(T1068="Morning",0,1)),S1068)=0, "", INDEX(sessions_aim_secondary,, INDEX(plan_session_allocation,((WEEKDAY(T$3,2)*2-1)+IF(T1068="Morning",0,1)),S1068))), IF(INDEX(final_duration_tertiary,((WEEKDAY(T$3,2)*2-1)+IF(T1068="Morning",0,1)),S1068)=0, "", "
3. "),
IF(INDEX(final_duration_tertiary,((WEEKDAY(T$3,2)*2-1)+IF(T1068="Morning",0,1)),S1068)=0, "", INDEX(sessions_aim_tertiary,, INDEX(plan_session_allocation,((WEEKDAY(T$3,2)*2-1)+IF(T1068="Morning",0,1)),S1068))),
IF(INDEX(display_nutrition_description,((WEEKDAY(T$3,2)*2-1)+IF(T1068="Morning",0,1)),S1068)="","",
CONCATENATE("
Nutrition Aim:
", INDEX(sessions_aim_nutrition,,INDEX(plan_session_allocation,((WEEKDAY(T$3,2)*2-1)+IF(T1068="Morning",0,1)),S1068))
))
)),"")</f>
        <v/>
      </c>
      <c r="T1088" s="1914"/>
      <c r="U1088" s="1914"/>
      <c r="V1088" s="1915"/>
      <c r="X1088" s="1913" t="str">
        <f ca="1">IF(AA1068&gt;0,CONCATENATE("Session Aim: 
", CONCATENATE(IF(INDEX(final_duration_secondary,((WEEKDAY(Y$3,2)*2-1)+IF(Y1068="Morning",0,1)),X1068)=0, "", "1. "),
INDEX(sessions_aim_primary,, INDEX(plan_session_allocation,((WEEKDAY(Y$3,2)*2-1)+IF(Y1068="Morning",0,1)),X1068)), IF(INDEX(final_duration_secondary,((WEEKDAY(Y$3,2)*2-1)+IF(Y1068="Morning",0,1)),X1068)=0, "", "
2. "),
IF(INDEX(final_duration_secondary,((WEEKDAY(Y$3,2)*2-1)+IF(Y1068="Morning",0,1)),X1068)=0, "", INDEX(sessions_aim_secondary,, INDEX(plan_session_allocation,((WEEKDAY(Y$3,2)*2-1)+IF(Y1068="Morning",0,1)),X1068))), IF(INDEX(final_duration_tertiary,((WEEKDAY(Y$3,2)*2-1)+IF(Y1068="Morning",0,1)),X1068)=0, "", "
3. "),
IF(INDEX(final_duration_tertiary,((WEEKDAY(Y$3,2)*2-1)+IF(Y1068="Morning",0,1)),X1068)=0, "", INDEX(sessions_aim_tertiary,, INDEX(plan_session_allocation,((WEEKDAY(Y$3,2)*2-1)+IF(Y1068="Morning",0,1)),X1068))),
IF(INDEX(display_nutrition_description,((WEEKDAY(Y$3,2)*2-1)+IF(Y1068="Morning",0,1)),X1068)="","",
CONCATENATE("
Nutrition Aim:
", INDEX(sessions_aim_nutrition,,INDEX(plan_session_allocation,((WEEKDAY(Y$3,2)*2-1)+IF(Y1068="Morning",0,1)),X1068))
))
)),"")</f>
        <v/>
      </c>
      <c r="Y1088" s="1914"/>
      <c r="Z1088" s="1914"/>
      <c r="AA1088" s="1915"/>
      <c r="AC1088" s="1913" t="str">
        <f ca="1">IF(AF1068&gt;0,CONCATENATE("Session Aim: 
", CONCATENATE(IF(INDEX(final_duration_secondary,((WEEKDAY(AD$3,2)*2-1)+IF(AD1068="Morning",0,1)),AC1068)=0, "", "1. "),
INDEX(sessions_aim_primary,, INDEX(plan_session_allocation,((WEEKDAY(AD$3,2)*2-1)+IF(AD1068="Morning",0,1)),AC1068)), IF(INDEX(final_duration_secondary,((WEEKDAY(AD$3,2)*2-1)+IF(AD1068="Morning",0,1)),AC1068)=0, "", "
2. "),
IF(INDEX(final_duration_secondary,((WEEKDAY(AD$3,2)*2-1)+IF(AD1068="Morning",0,1)),AC1068)=0, "", INDEX(sessions_aim_secondary,, INDEX(plan_session_allocation,((WEEKDAY(AD$3,2)*2-1)+IF(AD1068="Morning",0,1)),AC1068))), IF(INDEX(final_duration_tertiary,((WEEKDAY(AD$3,2)*2-1)+IF(AD1068="Morning",0,1)),AC1068)=0, "", "
3. "),
IF(INDEX(final_duration_tertiary,((WEEKDAY(AD$3,2)*2-1)+IF(AD1068="Morning",0,1)),AC1068)=0, "", INDEX(sessions_aim_tertiary,, INDEX(plan_session_allocation,((WEEKDAY(AD$3,2)*2-1)+IF(AD1068="Morning",0,1)),AC1068))),
IF(INDEX(display_nutrition_description,((WEEKDAY(AD$3,2)*2-1)+IF(AD1068="Morning",0,1)),AC1068)="","",
CONCATENATE("
Nutrition Aim:
", INDEX(sessions_aim_nutrition,,INDEX(plan_session_allocation,((WEEKDAY(AD$3,2)*2-1)+IF(AD1068="Morning",0,1)),AC1068))
))
)),"")</f>
        <v/>
      </c>
      <c r="AD1088" s="1914"/>
      <c r="AE1088" s="1914"/>
      <c r="AF1088" s="1915"/>
      <c r="AH1088" s="1913" t="str">
        <f ca="1">IF(AK1068&gt;0,CONCATENATE("Session Aim: 
", CONCATENATE(IF(INDEX(final_duration_secondary,((WEEKDAY(AI$3,2)*2-1)+IF(AI1068="Morning",0,1)),AH1068)=0, "", "1. "),
INDEX(sessions_aim_primary,, INDEX(plan_session_allocation,((WEEKDAY(AI$3,2)*2-1)+IF(AI1068="Morning",0,1)),AH1068)), IF(INDEX(final_duration_secondary,((WEEKDAY(AI$3,2)*2-1)+IF(AI1068="Morning",0,1)),AH1068)=0, "", "
2. "),
IF(INDEX(final_duration_secondary,((WEEKDAY(AI$3,2)*2-1)+IF(AI1068="Morning",0,1)),AH1068)=0, "", INDEX(sessions_aim_secondary,, INDEX(plan_session_allocation,((WEEKDAY(AI$3,2)*2-1)+IF(AI1068="Morning",0,1)),AH1068))), IF(INDEX(final_duration_tertiary,((WEEKDAY(AI$3,2)*2-1)+IF(AI1068="Morning",0,1)),AH1068)=0, "", "
3. "),
IF(INDEX(final_duration_tertiary,((WEEKDAY(AI$3,2)*2-1)+IF(AI1068="Morning",0,1)),AH1068)=0, "", INDEX(sessions_aim_tertiary,, INDEX(plan_session_allocation,((WEEKDAY(AI$3,2)*2-1)+IF(AI1068="Morning",0,1)),AH1068))),
IF(INDEX(display_nutrition_description,((WEEKDAY(AI$3,2)*2-1)+IF(AI1068="Morning",0,1)),AH1068)="","",
CONCATENATE("
Nutrition Aim:
", INDEX(sessions_aim_nutrition,,INDEX(plan_session_allocation,((WEEKDAY(AI$3,2)*2-1)+IF(AI1068="Morning",0,1)),AH1068))
))
)),"")</f>
        <v/>
      </c>
      <c r="AI1088" s="1914"/>
      <c r="AJ1088" s="1914"/>
      <c r="AK1088" s="1915"/>
    </row>
    <row r="1089" spans="2:38" s="180" customFormat="1" x14ac:dyDescent="0.45">
      <c r="B1089" s="1942"/>
      <c r="C1089" s="1945"/>
      <c r="D1089" s="1916"/>
      <c r="E1089" s="1917"/>
      <c r="F1089" s="1917"/>
      <c r="G1089" s="1918"/>
      <c r="I1089" s="1916"/>
      <c r="J1089" s="1917"/>
      <c r="K1089" s="1917"/>
      <c r="L1089" s="1918"/>
      <c r="N1089" s="1916"/>
      <c r="O1089" s="1917"/>
      <c r="P1089" s="1917"/>
      <c r="Q1089" s="1918"/>
      <c r="S1089" s="1916"/>
      <c r="T1089" s="1917"/>
      <c r="U1089" s="1917"/>
      <c r="V1089" s="1918"/>
      <c r="X1089" s="1916"/>
      <c r="Y1089" s="1917"/>
      <c r="Z1089" s="1917"/>
      <c r="AA1089" s="1918"/>
      <c r="AC1089" s="1916"/>
      <c r="AD1089" s="1917"/>
      <c r="AE1089" s="1917"/>
      <c r="AF1089" s="1918"/>
      <c r="AH1089" s="1916"/>
      <c r="AI1089" s="1917"/>
      <c r="AJ1089" s="1917"/>
      <c r="AK1089" s="1918"/>
    </row>
    <row r="1090" spans="2:38" s="180" customFormat="1" x14ac:dyDescent="0.45">
      <c r="B1090" s="1942"/>
      <c r="C1090" s="1945"/>
      <c r="D1090" s="1916"/>
      <c r="E1090" s="1917"/>
      <c r="F1090" s="1917"/>
      <c r="G1090" s="1918"/>
      <c r="I1090" s="1916"/>
      <c r="J1090" s="1917"/>
      <c r="K1090" s="1917"/>
      <c r="L1090" s="1918"/>
      <c r="N1090" s="1916"/>
      <c r="O1090" s="1917"/>
      <c r="P1090" s="1917"/>
      <c r="Q1090" s="1918"/>
      <c r="S1090" s="1916"/>
      <c r="T1090" s="1917"/>
      <c r="U1090" s="1917"/>
      <c r="V1090" s="1918"/>
      <c r="X1090" s="1916"/>
      <c r="Y1090" s="1917"/>
      <c r="Z1090" s="1917"/>
      <c r="AA1090" s="1918"/>
      <c r="AC1090" s="1916"/>
      <c r="AD1090" s="1917"/>
      <c r="AE1090" s="1917"/>
      <c r="AF1090" s="1918"/>
      <c r="AH1090" s="1916"/>
      <c r="AI1090" s="1917"/>
      <c r="AJ1090" s="1917"/>
      <c r="AK1090" s="1918"/>
    </row>
    <row r="1091" spans="2:38" s="180" customFormat="1" x14ac:dyDescent="0.45">
      <c r="B1091" s="1942"/>
      <c r="C1091" s="1945"/>
      <c r="D1091" s="1916"/>
      <c r="E1091" s="1917"/>
      <c r="F1091" s="1917"/>
      <c r="G1091" s="1918"/>
      <c r="I1091" s="1916"/>
      <c r="J1091" s="1917"/>
      <c r="K1091" s="1917"/>
      <c r="L1091" s="1918"/>
      <c r="N1091" s="1916"/>
      <c r="O1091" s="1917"/>
      <c r="P1091" s="1917"/>
      <c r="Q1091" s="1918"/>
      <c r="S1091" s="1916"/>
      <c r="T1091" s="1917"/>
      <c r="U1091" s="1917"/>
      <c r="V1091" s="1918"/>
      <c r="X1091" s="1916"/>
      <c r="Y1091" s="1917"/>
      <c r="Z1091" s="1917"/>
      <c r="AA1091" s="1918"/>
      <c r="AC1091" s="1916"/>
      <c r="AD1091" s="1917"/>
      <c r="AE1091" s="1917"/>
      <c r="AF1091" s="1918"/>
      <c r="AH1091" s="1916"/>
      <c r="AI1091" s="1917"/>
      <c r="AJ1091" s="1917"/>
      <c r="AK1091" s="1918"/>
    </row>
    <row r="1092" spans="2:38" s="180" customFormat="1" x14ac:dyDescent="0.45">
      <c r="B1092" s="1942"/>
      <c r="C1092" s="1945"/>
      <c r="D1092" s="1916"/>
      <c r="E1092" s="1917"/>
      <c r="F1092" s="1917"/>
      <c r="G1092" s="1918"/>
      <c r="I1092" s="1916"/>
      <c r="J1092" s="1917"/>
      <c r="K1092" s="1917"/>
      <c r="L1092" s="1918"/>
      <c r="N1092" s="1916"/>
      <c r="O1092" s="1917"/>
      <c r="P1092" s="1917"/>
      <c r="Q1092" s="1918"/>
      <c r="S1092" s="1916"/>
      <c r="T1092" s="1917"/>
      <c r="U1092" s="1917"/>
      <c r="V1092" s="1918"/>
      <c r="X1092" s="1916"/>
      <c r="Y1092" s="1917"/>
      <c r="Z1092" s="1917"/>
      <c r="AA1092" s="1918"/>
      <c r="AC1092" s="1916"/>
      <c r="AD1092" s="1917"/>
      <c r="AE1092" s="1917"/>
      <c r="AF1092" s="1918"/>
      <c r="AH1092" s="1916"/>
      <c r="AI1092" s="1917"/>
      <c r="AJ1092" s="1917"/>
      <c r="AK1092" s="1918"/>
    </row>
    <row r="1093" spans="2:38" s="180" customFormat="1" x14ac:dyDescent="0.45">
      <c r="B1093" s="1942"/>
      <c r="C1093" s="1945"/>
      <c r="D1093" s="1916"/>
      <c r="E1093" s="1917"/>
      <c r="F1093" s="1917"/>
      <c r="G1093" s="1918"/>
      <c r="I1093" s="1916"/>
      <c r="J1093" s="1917"/>
      <c r="K1093" s="1917"/>
      <c r="L1093" s="1918"/>
      <c r="N1093" s="1916"/>
      <c r="O1093" s="1917"/>
      <c r="P1093" s="1917"/>
      <c r="Q1093" s="1918"/>
      <c r="S1093" s="1916"/>
      <c r="T1093" s="1917"/>
      <c r="U1093" s="1917"/>
      <c r="V1093" s="1918"/>
      <c r="X1093" s="1916"/>
      <c r="Y1093" s="1917"/>
      <c r="Z1093" s="1917"/>
      <c r="AA1093" s="1918"/>
      <c r="AC1093" s="1916"/>
      <c r="AD1093" s="1917"/>
      <c r="AE1093" s="1917"/>
      <c r="AF1093" s="1918"/>
      <c r="AH1093" s="1916"/>
      <c r="AI1093" s="1917"/>
      <c r="AJ1093" s="1917"/>
      <c r="AK1093" s="1918"/>
    </row>
    <row r="1094" spans="2:38" s="180" customFormat="1" ht="14.65" thickBot="1" x14ac:dyDescent="0.5">
      <c r="B1094" s="1942"/>
      <c r="C1094" s="1945"/>
      <c r="D1094" s="1938"/>
      <c r="E1094" s="1939"/>
      <c r="F1094" s="1939"/>
      <c r="G1094" s="1940"/>
      <c r="I1094" s="1938"/>
      <c r="J1094" s="1939"/>
      <c r="K1094" s="1939"/>
      <c r="L1094" s="1940"/>
      <c r="N1094" s="1938"/>
      <c r="O1094" s="1939"/>
      <c r="P1094" s="1939"/>
      <c r="Q1094" s="1940"/>
      <c r="S1094" s="1938"/>
      <c r="T1094" s="1939"/>
      <c r="U1094" s="1939"/>
      <c r="V1094" s="1940"/>
      <c r="X1094" s="1938"/>
      <c r="Y1094" s="1939"/>
      <c r="Z1094" s="1939"/>
      <c r="AA1094" s="1940"/>
      <c r="AC1094" s="1938"/>
      <c r="AD1094" s="1939"/>
      <c r="AE1094" s="1939"/>
      <c r="AF1094" s="1940"/>
      <c r="AH1094" s="1938"/>
      <c r="AI1094" s="1939"/>
      <c r="AJ1094" s="1939"/>
      <c r="AK1094" s="1940"/>
    </row>
    <row r="1095" spans="2:38" s="176" customFormat="1" ht="15.75" customHeight="1" x14ac:dyDescent="0.45">
      <c r="B1095" s="1942"/>
      <c r="C1095" s="1945"/>
      <c r="D1095" s="1415">
        <f>$B1067</f>
        <v>20</v>
      </c>
      <c r="E1095" s="1930" t="s">
        <v>352</v>
      </c>
      <c r="F1095" s="1930"/>
      <c r="G1095" s="1414">
        <f ca="1">INDEX(final_duration_session,((WEEKDAY(E$3,2)*2-1)+IF(E1095="Morning",0,1)),$D1095)</f>
        <v>0</v>
      </c>
      <c r="H1095" s="177"/>
      <c r="I1095" s="1415">
        <f>$B1067</f>
        <v>20</v>
      </c>
      <c r="J1095" s="1930" t="s">
        <v>352</v>
      </c>
      <c r="K1095" s="1930"/>
      <c r="L1095" s="1414">
        <f ca="1">INDEX(final_duration_session,((WEEKDAY(J$3,2)*2-1)+IF(J1095="Morning",0,1)),$D1095)</f>
        <v>0</v>
      </c>
      <c r="M1095" s="177"/>
      <c r="N1095" s="1415">
        <f>$B1067</f>
        <v>20</v>
      </c>
      <c r="O1095" s="1930" t="s">
        <v>352</v>
      </c>
      <c r="P1095" s="1930"/>
      <c r="Q1095" s="1414">
        <f ca="1">INDEX(final_duration_session,((WEEKDAY(O$3,2)*2-1)+IF(O1095="Morning",0,1)),$D1095)</f>
        <v>0</v>
      </c>
      <c r="R1095" s="177"/>
      <c r="S1095" s="1415">
        <f>$B1067</f>
        <v>20</v>
      </c>
      <c r="T1095" s="1930" t="s">
        <v>352</v>
      </c>
      <c r="U1095" s="1930"/>
      <c r="V1095" s="1414">
        <f ca="1">INDEX(final_duration_session,((WEEKDAY(T$3,2)*2-1)+IF(T1095="Morning",0,1)),$D1095)</f>
        <v>0</v>
      </c>
      <c r="W1095" s="177"/>
      <c r="X1095" s="1415">
        <f>$B1067</f>
        <v>20</v>
      </c>
      <c r="Y1095" s="1930" t="s">
        <v>352</v>
      </c>
      <c r="Z1095" s="1930"/>
      <c r="AA1095" s="1414">
        <f ca="1">INDEX(final_duration_session,((WEEKDAY(Y$3,2)*2-1)+IF(Y1095="Morning",0,1)),$D1095)</f>
        <v>0</v>
      </c>
      <c r="AB1095" s="177"/>
      <c r="AC1095" s="1415">
        <f>$B1067</f>
        <v>20</v>
      </c>
      <c r="AD1095" s="1930" t="s">
        <v>352</v>
      </c>
      <c r="AE1095" s="1930"/>
      <c r="AF1095" s="1414">
        <f ca="1">INDEX(final_duration_session,((WEEKDAY(AD$3,2)*2-1)+IF(AD1095="Morning",0,1)),$D1095)</f>
        <v>0</v>
      </c>
      <c r="AG1095" s="177"/>
      <c r="AH1095" s="1415">
        <f>$B1067</f>
        <v>20</v>
      </c>
      <c r="AI1095" s="1930" t="s">
        <v>352</v>
      </c>
      <c r="AJ1095" s="1930"/>
      <c r="AK1095" s="1414">
        <f ca="1">INDEX(final_duration_session,((WEEKDAY(AI$3,2)*2-1)+IF(AI1095="Morning",0,1)),$D1095)</f>
        <v>0</v>
      </c>
      <c r="AL1095" s="177"/>
    </row>
    <row r="1096" spans="2:38" s="176" customFormat="1" ht="15" customHeight="1" x14ac:dyDescent="0.45">
      <c r="B1096" s="1942"/>
      <c r="C1096" s="1945"/>
      <c r="D1096" s="1931" t="str">
        <f ca="1">IF(G1095&gt;0,INDEX(sessions_name,INDEX(plan_session_allocation,((WEEKDAY(E$3,2)*2-1)+IF(E1095="Morning",0,1)),D1095)),"")</f>
        <v/>
      </c>
      <c r="E1096" s="1932"/>
      <c r="F1096" s="1932"/>
      <c r="G1096" s="1933"/>
      <c r="H1096" s="177"/>
      <c r="I1096" s="1931" t="str">
        <f ca="1">IF(L1095&gt;0,INDEX(sessions_name,INDEX(plan_session_allocation,((WEEKDAY(J$3,2)*2-1)+IF(J1095="Morning",0,1)),I1095)),"")</f>
        <v/>
      </c>
      <c r="J1096" s="1932"/>
      <c r="K1096" s="1932"/>
      <c r="L1096" s="1933"/>
      <c r="M1096" s="177"/>
      <c r="N1096" s="1931" t="str">
        <f ca="1">IF(Q1095&gt;0,INDEX(sessions_name,INDEX(plan_session_allocation,((WEEKDAY(O$3,2)*2-1)+IF(O1095="Morning",0,1)),N1095)),"")</f>
        <v/>
      </c>
      <c r="O1096" s="1932"/>
      <c r="P1096" s="1932"/>
      <c r="Q1096" s="1933"/>
      <c r="R1096" s="177"/>
      <c r="S1096" s="1931" t="str">
        <f ca="1">IF(V1095&gt;0,INDEX(sessions_name,INDEX(plan_session_allocation,((WEEKDAY(T$3,2)*2-1)+IF(T1095="Morning",0,1)),S1095)),"")</f>
        <v/>
      </c>
      <c r="T1096" s="1932"/>
      <c r="U1096" s="1932"/>
      <c r="V1096" s="1933"/>
      <c r="W1096" s="177"/>
      <c r="X1096" s="1931" t="str">
        <f ca="1">IF(AA1095&gt;0,INDEX(sessions_name,INDEX(plan_session_allocation,((WEEKDAY(Y$3,2)*2-1)+IF(Y1095="Morning",0,1)),X1095)),"")</f>
        <v/>
      </c>
      <c r="Y1096" s="1932"/>
      <c r="Z1096" s="1932"/>
      <c r="AA1096" s="1933"/>
      <c r="AB1096" s="177"/>
      <c r="AC1096" s="1931" t="str">
        <f ca="1">IF(AF1095&gt;0,INDEX(sessions_name,INDEX(plan_session_allocation,((WEEKDAY(AD$3,2)*2-1)+IF(AD1095="Morning",0,1)),AC1095)),"")</f>
        <v/>
      </c>
      <c r="AD1096" s="1932"/>
      <c r="AE1096" s="1932"/>
      <c r="AF1096" s="1933"/>
      <c r="AG1096" s="177"/>
      <c r="AH1096" s="1931" t="str">
        <f ca="1">IF(AK1095&gt;0,INDEX(sessions_name,INDEX(plan_session_allocation,((WEEKDAY(AI$3,2)*2-1)+IF(AI1095="Morning",0,1)),AH1095)),"")</f>
        <v/>
      </c>
      <c r="AI1096" s="1932"/>
      <c r="AJ1096" s="1932"/>
      <c r="AK1096" s="1933"/>
      <c r="AL1096" s="177"/>
    </row>
    <row r="1097" spans="2:38" s="176" customFormat="1" ht="15" customHeight="1" x14ac:dyDescent="0.45">
      <c r="B1097" s="1942"/>
      <c r="C1097" s="1945"/>
      <c r="D1097" s="1934" t="str">
        <f ca="1">IF(G1095&gt;0,CONCATENATE("Sport: ",INDEX(sessions_sport_primary,INDEX(plan_session_allocation,(WEEKDAY(E$3,2)*2-1)+IF(E1095="Morning",0,1),D1095))),"")</f>
        <v/>
      </c>
      <c r="E1097" s="1935"/>
      <c r="F1097" s="1936" t="str">
        <f ca="1">IF(G1095&gt;0,IFERROR(F1098+F1099+F1100,""),"")</f>
        <v/>
      </c>
      <c r="G1097" s="1937"/>
      <c r="H1097" s="177"/>
      <c r="I1097" s="1934" t="str">
        <f ca="1">IF(L1095&gt;0,CONCATENATE("Sport: ",INDEX(sessions_sport_primary,INDEX(plan_session_allocation,(WEEKDAY(J$3,2)*2-1)+IF(J1095="Morning",0,1),I1095))),"")</f>
        <v/>
      </c>
      <c r="J1097" s="1935"/>
      <c r="K1097" s="1936" t="str">
        <f ca="1">IF(L1095&gt;0,IFERROR(K1098+K1099+K1100,""),"")</f>
        <v/>
      </c>
      <c r="L1097" s="1937"/>
      <c r="M1097" s="177"/>
      <c r="N1097" s="1934" t="str">
        <f ca="1">IF(Q1095&gt;0,CONCATENATE("Sport: ",INDEX(sessions_sport_primary,INDEX(plan_session_allocation,(WEEKDAY(O$3,2)*2-1)+IF(O1095="Morning",0,1),N1095))),"")</f>
        <v/>
      </c>
      <c r="O1097" s="1935"/>
      <c r="P1097" s="1936" t="str">
        <f ca="1">IF(Q1095&gt;0,IFERROR(P1098+P1099+P1100,""),"")</f>
        <v/>
      </c>
      <c r="Q1097" s="1937"/>
      <c r="R1097" s="177"/>
      <c r="S1097" s="1934" t="str">
        <f ca="1">IF(V1095&gt;0,CONCATENATE("Sport: ",INDEX(sessions_sport_primary,INDEX(plan_session_allocation,(WEEKDAY(T$3,2)*2-1)+IF(T1095="Morning",0,1),S1095))),"")</f>
        <v/>
      </c>
      <c r="T1097" s="1935"/>
      <c r="U1097" s="1936" t="str">
        <f ca="1">IF(V1095&gt;0,IFERROR(U1098+U1099+U1100,""),"")</f>
        <v/>
      </c>
      <c r="V1097" s="1937"/>
      <c r="W1097" s="177"/>
      <c r="X1097" s="1934" t="str">
        <f ca="1">IF(AA1095&gt;0,CONCATENATE("Sport: ",INDEX(sessions_sport_primary,INDEX(plan_session_allocation,(WEEKDAY(Y$3,2)*2-1)+IF(Y1095="Morning",0,1),X1095))),"")</f>
        <v/>
      </c>
      <c r="Y1097" s="1935"/>
      <c r="Z1097" s="1936" t="str">
        <f ca="1">IF(AA1095&gt;0,IFERROR(Z1098+Z1099+Z1100,""),"")</f>
        <v/>
      </c>
      <c r="AA1097" s="1937"/>
      <c r="AB1097" s="177"/>
      <c r="AC1097" s="1934" t="str">
        <f ca="1">IF(AF1095&gt;0,CONCATENATE("Sport: ",INDEX(sessions_sport_primary,INDEX(plan_session_allocation,(WEEKDAY(AD$3,2)*2-1)+IF(AD1095="Morning",0,1),AC1095))),"")</f>
        <v/>
      </c>
      <c r="AD1097" s="1935"/>
      <c r="AE1097" s="1936" t="str">
        <f ca="1">IF(AF1095&gt;0,IFERROR(AE1098+AE1099+AE1100,""),"")</f>
        <v/>
      </c>
      <c r="AF1097" s="1937"/>
      <c r="AG1097" s="177"/>
      <c r="AH1097" s="1934" t="str">
        <f ca="1">IF(AK1095&gt;0,CONCATENATE("Sport: ",INDEX(sessions_sport_primary,INDEX(plan_session_allocation,(WEEKDAY(AI$3,2)*2-1)+IF(AI1095="Morning",0,1),AH1095))),"")</f>
        <v/>
      </c>
      <c r="AI1097" s="1935"/>
      <c r="AJ1097" s="1936" t="str">
        <f ca="1">IF(AK1095&gt;0,IFERROR(AJ1098+AJ1099+AJ1100,""),"")</f>
        <v/>
      </c>
      <c r="AK1097" s="1937"/>
      <c r="AL1097" s="177"/>
    </row>
    <row r="1098" spans="2:38" s="177" customFormat="1" ht="15" customHeight="1" x14ac:dyDescent="0.45">
      <c r="B1098" s="1942"/>
      <c r="C1098" s="1945"/>
      <c r="D1098" s="1922" t="str">
        <f ca="1">IF(G1095&gt;0,CONCATENATE("HR Target: ",
INDEX(sessions_HR_primary,INDEX(plan_session_allocation,((WEEKDAY(E$3,2)*2-1)+IF(E1095="Morning",0,1)),D1095)),
IF(INDEX(sessions_HR_primary,INDEX(plan_session_allocation,((WEEKDAY(E$3,2)*2-1)+IF(E1095="Morning",0,1)),D1095))="N/A","",
" BPM")),"")</f>
        <v/>
      </c>
      <c r="E1098" s="1923"/>
      <c r="F1098" s="1924" t="str">
        <f ca="1">IF(G1095&gt;0,
INDEX(final_duration_effort,((WEEKDAY(E$3,2)*2-1)+IF(E1095="Morning",0,1)),D1095),"")</f>
        <v/>
      </c>
      <c r="G1098" s="1925"/>
      <c r="I1098" s="1922" t="str">
        <f ca="1">IF(L1095&gt;0,CONCATENATE("HR Target: ",
INDEX(sessions_HR_primary,INDEX(plan_session_allocation,((WEEKDAY(J$3,2)*2-1)+IF(J1095="Morning",0,1)),I1095)),
IF(INDEX(sessions_HR_primary,INDEX(plan_session_allocation,((WEEKDAY(J$3,2)*2-1)+IF(J1095="Morning",0,1)),I1095))="N/A","",
" BPM")),"")</f>
        <v/>
      </c>
      <c r="J1098" s="1923"/>
      <c r="K1098" s="1924" t="str">
        <f ca="1">IF(L1095&gt;0,
INDEX(final_duration_effort,((WEEKDAY(J$3,2)*2-1)+IF(J1095="Morning",0,1)),I1095),"")</f>
        <v/>
      </c>
      <c r="L1098" s="1925"/>
      <c r="N1098" s="1922" t="str">
        <f ca="1">IF(Q1095&gt;0,CONCATENATE("HR Target: ",
INDEX(sessions_HR_primary,INDEX(plan_session_allocation,((WEEKDAY(O$3,2)*2-1)+IF(O1095="Morning",0,1)),N1095)),
IF(INDEX(sessions_HR_primary,INDEX(plan_session_allocation,((WEEKDAY(O$3,2)*2-1)+IF(O1095="Morning",0,1)),N1095))="N/A","",
" BPM")),"")</f>
        <v/>
      </c>
      <c r="O1098" s="1923"/>
      <c r="P1098" s="1924" t="str">
        <f ca="1">IF(Q1095&gt;0,
INDEX(final_duration_effort,((WEEKDAY(O$3,2)*2-1)+IF(O1095="Morning",0,1)),N1095),"")</f>
        <v/>
      </c>
      <c r="Q1098" s="1925"/>
      <c r="S1098" s="1922" t="str">
        <f ca="1">IF(V1095&gt;0,CONCATENATE("HR Target: ",
INDEX(sessions_HR_primary,INDEX(plan_session_allocation,((WEEKDAY(T$3,2)*2-1)+IF(T1095="Morning",0,1)),S1095)),
IF(INDEX(sessions_HR_primary,INDEX(plan_session_allocation,((WEEKDAY(T$3,2)*2-1)+IF(T1095="Morning",0,1)),S1095))="N/A","",
" BPM")),"")</f>
        <v/>
      </c>
      <c r="T1098" s="1923"/>
      <c r="U1098" s="1924" t="str">
        <f ca="1">IF(V1095&gt;0,
INDEX(final_duration_effort,((WEEKDAY(T$3,2)*2-1)+IF(T1095="Morning",0,1)),S1095),"")</f>
        <v/>
      </c>
      <c r="V1098" s="1925"/>
      <c r="X1098" s="1922" t="str">
        <f ca="1">IF(AA1095&gt;0,CONCATENATE("HR Target: ",
INDEX(sessions_HR_primary,INDEX(plan_session_allocation,((WEEKDAY(Y$3,2)*2-1)+IF(Y1095="Morning",0,1)),X1095)),
IF(INDEX(sessions_HR_primary,INDEX(plan_session_allocation,((WEEKDAY(Y$3,2)*2-1)+IF(Y1095="Morning",0,1)),X1095))="N/A","",
" BPM")),"")</f>
        <v/>
      </c>
      <c r="Y1098" s="1923"/>
      <c r="Z1098" s="1924" t="str">
        <f ca="1">IF(AA1095&gt;0,
INDEX(final_duration_effort,((WEEKDAY(Y$3,2)*2-1)+IF(Y1095="Morning",0,1)),X1095),"")</f>
        <v/>
      </c>
      <c r="AA1098" s="1925"/>
      <c r="AC1098" s="1922" t="str">
        <f ca="1">IF(AF1095&gt;0,CONCATENATE("HR Target: ",
INDEX(sessions_HR_primary,INDEX(plan_session_allocation,((WEEKDAY(AD$3,2)*2-1)+IF(AD1095="Morning",0,1)),AC1095)),
IF(INDEX(sessions_HR_primary,INDEX(plan_session_allocation,((WEEKDAY(AD$3,2)*2-1)+IF(AD1095="Morning",0,1)),AC1095))="N/A","",
" BPM")),"")</f>
        <v/>
      </c>
      <c r="AD1098" s="1923"/>
      <c r="AE1098" s="1924" t="str">
        <f ca="1">IF(AF1095&gt;0,
INDEX(final_duration_effort,((WEEKDAY(AD$3,2)*2-1)+IF(AD1095="Morning",0,1)),AC1095),"")</f>
        <v/>
      </c>
      <c r="AF1098" s="1925"/>
      <c r="AH1098" s="1922" t="str">
        <f ca="1">IF(AK1095&gt;0,CONCATENATE("HR Target: ",
INDEX(sessions_HR_primary,INDEX(plan_session_allocation,((WEEKDAY(AI$3,2)*2-1)+IF(AI1095="Morning",0,1)),AH1095)),
IF(INDEX(sessions_HR_primary,INDEX(plan_session_allocation,((WEEKDAY(AI$3,2)*2-1)+IF(AI1095="Morning",0,1)),AH1095))="N/A","",
" BPM")),"")</f>
        <v/>
      </c>
      <c r="AI1098" s="1923"/>
      <c r="AJ1098" s="1924" t="str">
        <f ca="1">IF(AK1095&gt;0,
INDEX(final_duration_effort,((WEEKDAY(AI$3,2)*2-1)+IF(AI1095="Morning",0,1)),AH1095),"")</f>
        <v/>
      </c>
      <c r="AK1098" s="1925"/>
    </row>
    <row r="1099" spans="2:38" s="177" customFormat="1" ht="15" customHeight="1" x14ac:dyDescent="0.45">
      <c r="B1099" s="1942"/>
      <c r="C1099" s="1945"/>
      <c r="D1099" s="1926" t="str">
        <f ca="1">IF(G1095&gt;0,CONCATENATE("HR Range: ",
INDEX(sessions_HR_range_primary,INDEX(plan_session_allocation,((WEEKDAY(E$3,2)*2-1)+IF(E1095="Morning",0,1)),D1095)),
IF(INDEX(sessions_HR_range_primary,INDEX(plan_session_allocation,((WEEKDAY(E$3,2)*2-1)+IF(E1095="Morning",0,1)),D1095))="N/A","",
" BPM")),"")</f>
        <v/>
      </c>
      <c r="E1099" s="1927"/>
      <c r="F1099" s="1928" t="str">
        <f ca="1">IF(G1095&gt;0,IF(
INDEX(sessions_recoveries,INDEX(plan_session_allocation,((WEEKDAY(E$3,2)*2-1)+IF(E1095="Morning",0,1)),D1095))="Yes",
VLOOKUP(INDEX(plan_duration_primary,((WEEKDAY(E$3,2)*2-1)+IF(E1095="Morning",0,1)),D1095),
INDIRECT(INDEX(sessions_intervals_code_primary,INDEX(plan_session_allocation,((WEEKDAY(E$3,2)*2-1)+IF(E1095="Morning",0,1)),D1095))),7,TRUE),0),"")</f>
        <v/>
      </c>
      <c r="G1099" s="1929"/>
      <c r="I1099" s="1926" t="str">
        <f ca="1">IF(L1095&gt;0,CONCATENATE("HR Range: ",
INDEX(sessions_HR_range_primary,INDEX(plan_session_allocation,((WEEKDAY(J$3,2)*2-1)+IF(J1095="Morning",0,1)),I1095)),
IF(INDEX(sessions_HR_range_primary,INDEX(plan_session_allocation,((WEEKDAY(J$3,2)*2-1)+IF(J1095="Morning",0,1)),I1095))="N/A","",
" BPM")),"")</f>
        <v/>
      </c>
      <c r="J1099" s="1927"/>
      <c r="K1099" s="1928" t="str">
        <f ca="1">IF(L1095&gt;0,IF(
INDEX(sessions_recoveries,INDEX(plan_session_allocation,((WEEKDAY(J$3,2)*2-1)+IF(J1095="Morning",0,1)),I1095))="Yes",
VLOOKUP(INDEX(plan_duration_primary,((WEEKDAY(J$3,2)*2-1)+IF(J1095="Morning",0,1)),I1095),
INDIRECT(INDEX(sessions_intervals_code_primary,INDEX(plan_session_allocation,((WEEKDAY(J$3,2)*2-1)+IF(J1095="Morning",0,1)),I1095))),7,TRUE),0),"")</f>
        <v/>
      </c>
      <c r="L1099" s="1929"/>
      <c r="N1099" s="1926" t="str">
        <f ca="1">IF(Q1095&gt;0,CONCATENATE("HR Range: ",
INDEX(sessions_HR_range_primary,INDEX(plan_session_allocation,((WEEKDAY(O$3,2)*2-1)+IF(O1095="Morning",0,1)),N1095)),
IF(INDEX(sessions_HR_range_primary,INDEX(plan_session_allocation,((WEEKDAY(O$3,2)*2-1)+IF(O1095="Morning",0,1)),N1095))="N/A","",
" BPM")),"")</f>
        <v/>
      </c>
      <c r="O1099" s="1927"/>
      <c r="P1099" s="1928" t="str">
        <f ca="1">IF(Q1095&gt;0,IF(
INDEX(sessions_recoveries,INDEX(plan_session_allocation,((WEEKDAY(O$3,2)*2-1)+IF(O1095="Morning",0,1)),N1095))="Yes",
VLOOKUP(INDEX(plan_duration_primary,((WEEKDAY(O$3,2)*2-1)+IF(O1095="Morning",0,1)),N1095),
INDIRECT(INDEX(sessions_intervals_code_primary,INDEX(plan_session_allocation,((WEEKDAY(O$3,2)*2-1)+IF(O1095="Morning",0,1)),N1095))),7,TRUE),0),"")</f>
        <v/>
      </c>
      <c r="Q1099" s="1929"/>
      <c r="S1099" s="1926" t="str">
        <f ca="1">IF(V1095&gt;0,CONCATENATE("HR Range: ",
INDEX(sessions_HR_range_primary,INDEX(plan_session_allocation,((WEEKDAY(T$3,2)*2-1)+IF(T1095="Morning",0,1)),S1095)),
IF(INDEX(sessions_HR_range_primary,INDEX(plan_session_allocation,((WEEKDAY(T$3,2)*2-1)+IF(T1095="Morning",0,1)),S1095))="N/A","",
" BPM")),"")</f>
        <v/>
      </c>
      <c r="T1099" s="1927"/>
      <c r="U1099" s="1928" t="str">
        <f ca="1">IF(V1095&gt;0,IF(
INDEX(sessions_recoveries,INDEX(plan_session_allocation,((WEEKDAY(T$3,2)*2-1)+IF(T1095="Morning",0,1)),S1095))="Yes",
VLOOKUP(INDEX(plan_duration_primary,((WEEKDAY(T$3,2)*2-1)+IF(T1095="Morning",0,1)),S1095),
INDIRECT(INDEX(sessions_intervals_code_primary,INDEX(plan_session_allocation,((WEEKDAY(T$3,2)*2-1)+IF(T1095="Morning",0,1)),S1095))),7,TRUE),0),"")</f>
        <v/>
      </c>
      <c r="V1099" s="1929"/>
      <c r="X1099" s="1926" t="str">
        <f ca="1">IF(AA1095&gt;0,CONCATENATE("HR Range: ",
INDEX(sessions_HR_range_primary,INDEX(plan_session_allocation,((WEEKDAY(Y$3,2)*2-1)+IF(Y1095="Morning",0,1)),X1095)),
IF(INDEX(sessions_HR_range_primary,INDEX(plan_session_allocation,((WEEKDAY(Y$3,2)*2-1)+IF(Y1095="Morning",0,1)),X1095))="N/A","",
" BPM")),"")</f>
        <v/>
      </c>
      <c r="Y1099" s="1927"/>
      <c r="Z1099" s="1928" t="str">
        <f ca="1">IF(AA1095&gt;0,IF(
INDEX(sessions_recoveries,INDEX(plan_session_allocation,((WEEKDAY(Y$3,2)*2-1)+IF(Y1095="Morning",0,1)),X1095))="Yes",
VLOOKUP(INDEX(plan_duration_primary,((WEEKDAY(Y$3,2)*2-1)+IF(Y1095="Morning",0,1)),X1095),
INDIRECT(INDEX(sessions_intervals_code_primary,INDEX(plan_session_allocation,((WEEKDAY(Y$3,2)*2-1)+IF(Y1095="Morning",0,1)),X1095))),7,TRUE),0),"")</f>
        <v/>
      </c>
      <c r="AA1099" s="1929"/>
      <c r="AC1099" s="1926" t="str">
        <f ca="1">IF(AF1095&gt;0,CONCATENATE("HR Range: ",
INDEX(sessions_HR_range_primary,INDEX(plan_session_allocation,((WEEKDAY(AD$3,2)*2-1)+IF(AD1095="Morning",0,1)),AC1095)),
IF(INDEX(sessions_HR_range_primary,INDEX(plan_session_allocation,((WEEKDAY(AD$3,2)*2-1)+IF(AD1095="Morning",0,1)),AC1095))="N/A","",
" BPM")),"")</f>
        <v/>
      </c>
      <c r="AD1099" s="1927"/>
      <c r="AE1099" s="1928" t="str">
        <f ca="1">IF(AF1095&gt;0,IF(
INDEX(sessions_recoveries,INDEX(plan_session_allocation,((WEEKDAY(AD$3,2)*2-1)+IF(AD1095="Morning",0,1)),AC1095))="Yes",
VLOOKUP(INDEX(plan_duration_primary,((WEEKDAY(AD$3,2)*2-1)+IF(AD1095="Morning",0,1)),AC1095),
INDIRECT(INDEX(sessions_intervals_code_primary,INDEX(plan_session_allocation,((WEEKDAY(AD$3,2)*2-1)+IF(AD1095="Morning",0,1)),AC1095))),7,TRUE),0),"")</f>
        <v/>
      </c>
      <c r="AF1099" s="1929"/>
      <c r="AH1099" s="1926" t="str">
        <f ca="1">IF(AK1095&gt;0,CONCATENATE("HR Range: ",
INDEX(sessions_HR_range_primary,INDEX(plan_session_allocation,((WEEKDAY(AI$3,2)*2-1)+IF(AI1095="Morning",0,1)),AH1095)),
IF(INDEX(sessions_HR_range_primary,INDEX(plan_session_allocation,((WEEKDAY(AI$3,2)*2-1)+IF(AI1095="Morning",0,1)),AH1095))="N/A","",
" BPM")),"")</f>
        <v/>
      </c>
      <c r="AI1099" s="1927"/>
      <c r="AJ1099" s="1928" t="str">
        <f ca="1">IF(AK1095&gt;0,IF(
INDEX(sessions_recoveries,INDEX(plan_session_allocation,((WEEKDAY(AI$3,2)*2-1)+IF(AI1095="Morning",0,1)),AH1095))="Yes",
VLOOKUP(INDEX(plan_duration_primary,((WEEKDAY(AI$3,2)*2-1)+IF(AI1095="Morning",0,1)),AH1095),
INDIRECT(INDEX(sessions_intervals_code_primary,INDEX(plan_session_allocation,((WEEKDAY(AI$3,2)*2-1)+IF(AI1095="Morning",0,1)),AH1095))),7,TRUE),0),"")</f>
        <v/>
      </c>
      <c r="AK1099" s="1929"/>
    </row>
    <row r="1100" spans="2:38" s="177" customFormat="1" ht="15" customHeight="1" x14ac:dyDescent="0.45">
      <c r="B1100" s="1942"/>
      <c r="C1100" s="1945"/>
      <c r="D1100" s="1909" t="str">
        <f ca="1">IF(G1095&gt;0,CONCATENATE("Equivalent Pace: ",
TEXT(INDEX(sessions_pace_primary,INDEX(plan_session_allocation,(WEEKDAY(E$3,2)*2-1)+IF(E1095="Morning",0,1),D1095)),"m:ss"),
" min/km"
),"")</f>
        <v/>
      </c>
      <c r="E1100" s="1910"/>
      <c r="F1100" s="1911" t="str">
        <f ca="1">IF(G1095&gt;0, INDEX(final_duration_WU,((WEEKDAY(E$3,2)*2-1)+IF(E1095="Morning",0,1)),D1095)  + INDEX(final_duration_WD,((WEEKDAY(E$3,2)*2-1)+IF(E1095="Morning",0,1)),D1095), "")</f>
        <v/>
      </c>
      <c r="G1100" s="1912"/>
      <c r="I1100" s="1909" t="str">
        <f ca="1">IF(L1095&gt;0,CONCATENATE("Equivalent Pace: ",
TEXT(INDEX(sessions_pace_primary,INDEX(plan_session_allocation,(WEEKDAY(J$3,2)*2-1)+IF(J1095="Morning",0,1),I1095)),"m:ss"),
" min/km"
),"")</f>
        <v/>
      </c>
      <c r="J1100" s="1910"/>
      <c r="K1100" s="1911" t="str">
        <f ca="1">IF(L1095&gt;0, INDEX(final_duration_WU,((WEEKDAY(J$3,2)*2-1)+IF(J1095="Morning",0,1)),I1095)  + INDEX(final_duration_WD,((WEEKDAY(J$3,2)*2-1)+IF(J1095="Morning",0,1)),I1095), "")</f>
        <v/>
      </c>
      <c r="L1100" s="1912"/>
      <c r="N1100" s="1909" t="str">
        <f ca="1">IF(Q1095&gt;0,CONCATENATE("Equivalent Pace: ",
TEXT(INDEX(sessions_pace_primary,INDEX(plan_session_allocation,(WEEKDAY(O$3,2)*2-1)+IF(O1095="Morning",0,1),N1095)),"m:ss"),
" min/km"
),"")</f>
        <v/>
      </c>
      <c r="O1100" s="1910"/>
      <c r="P1100" s="1911" t="str">
        <f ca="1">IF(Q1095&gt;0, INDEX(final_duration_WU,((WEEKDAY(O$3,2)*2-1)+IF(O1095="Morning",0,1)),N1095)  + INDEX(final_duration_WD,((WEEKDAY(O$3,2)*2-1)+IF(O1095="Morning",0,1)),N1095), "")</f>
        <v/>
      </c>
      <c r="Q1100" s="1912"/>
      <c r="S1100" s="1909" t="str">
        <f ca="1">IF(V1095&gt;0,CONCATENATE("Equivalent Pace: ",
TEXT(INDEX(sessions_pace_primary,INDEX(plan_session_allocation,(WEEKDAY(T$3,2)*2-1)+IF(T1095="Morning",0,1),S1095)),"m:ss"),
" min/km"
),"")</f>
        <v/>
      </c>
      <c r="T1100" s="1910"/>
      <c r="U1100" s="1911" t="str">
        <f ca="1">IF(V1095&gt;0, INDEX(final_duration_WU,((WEEKDAY(T$3,2)*2-1)+IF(T1095="Morning",0,1)),S1095)  + INDEX(final_duration_WD,((WEEKDAY(T$3,2)*2-1)+IF(T1095="Morning",0,1)),S1095), "")</f>
        <v/>
      </c>
      <c r="V1100" s="1912"/>
      <c r="X1100" s="1909" t="str">
        <f ca="1">IF(AA1095&gt;0,CONCATENATE("Equivalent Pace: ",
TEXT(INDEX(sessions_pace_primary,INDEX(plan_session_allocation,(WEEKDAY(Y$3,2)*2-1)+IF(Y1095="Morning",0,1),X1095)),"m:ss"),
" min/km"
),"")</f>
        <v/>
      </c>
      <c r="Y1100" s="1910"/>
      <c r="Z1100" s="1911" t="str">
        <f ca="1">IF(AA1095&gt;0, INDEX(final_duration_WU,((WEEKDAY(Y$3,2)*2-1)+IF(Y1095="Morning",0,1)),X1095)  + INDEX(final_duration_WD,((WEEKDAY(Y$3,2)*2-1)+IF(Y1095="Morning",0,1)),X1095), "")</f>
        <v/>
      </c>
      <c r="AA1100" s="1912"/>
      <c r="AC1100" s="1909" t="str">
        <f ca="1">IF(AF1095&gt;0,CONCATENATE("Equivalent Pace: ",
TEXT(INDEX(sessions_pace_primary,INDEX(plan_session_allocation,(WEEKDAY(AD$3,2)*2-1)+IF(AD1095="Morning",0,1),AC1095)),"m:ss"),
" min/km"
),"")</f>
        <v/>
      </c>
      <c r="AD1100" s="1910"/>
      <c r="AE1100" s="1911" t="str">
        <f ca="1">IF(AF1095&gt;0, INDEX(final_duration_WU,((WEEKDAY(AD$3,2)*2-1)+IF(AD1095="Morning",0,1)),AC1095)  + INDEX(final_duration_WD,((WEEKDAY(AD$3,2)*2-1)+IF(AD1095="Morning",0,1)),AC1095), "")</f>
        <v/>
      </c>
      <c r="AF1100" s="1912"/>
      <c r="AH1100" s="1909" t="str">
        <f ca="1">IF(AK1095&gt;0,CONCATENATE("Equivalent Pace: ",
TEXT(INDEX(sessions_pace_primary,INDEX(plan_session_allocation,(WEEKDAY(AI$3,2)*2-1)+IF(AI1095="Morning",0,1),AH1095)),"m:ss"),
" min/km"
),"")</f>
        <v/>
      </c>
      <c r="AI1100" s="1910"/>
      <c r="AJ1100" s="1911" t="str">
        <f ca="1">IF(AK1095&gt;0, INDEX(final_duration_WU,((WEEKDAY(AI$3,2)*2-1)+IF(AI1095="Morning",0,1)),AH1095)  + INDEX(final_duration_WD,((WEEKDAY(AI$3,2)*2-1)+IF(AI1095="Morning",0,1)),AH1095), "")</f>
        <v/>
      </c>
      <c r="AK1100" s="1912"/>
    </row>
    <row r="1101" spans="2:38" s="176" customFormat="1" ht="15" customHeight="1" x14ac:dyDescent="0.45">
      <c r="B1101" s="1942"/>
      <c r="C1101" s="1945"/>
      <c r="D1101" s="1913" t="str">
        <f ca="1">IF(G1095&gt;0,CONCATENATE(IFERROR(CONCATENATE(IF(INDEX(display_intervals_breakdown,((WEEKDAY(E$3,2)*2-1)+IF(E1095="Morning",0,1)),D1095)="","",CONCATENATE("Intervals/Reps Breakdown: 
",INDEX(display_intervals_breakdown,((WEEKDAY(E$3,2)*2-1)+IF(E1095="Morning",0,1)),D1095),"
")),"Session Description: 
",CONCATENATE(IF(INDEX(final_duration_secondary,((WEEKDAY(E$3,2)*2-1)+IF(E1095="Morning",0,1)),D1095)=0,"","1. "),
INDEX(sessions_description_primary,,INDEX(plan_session_allocation,((WEEKDAY(E$3,2)*2-1)+IF(E1095="Morning",0,1)),D1095)),IF(INDEX(final_duration_secondary,((WEEKDAY(E$3,2)*2-1)+IF(E1095="Morning",0,1)),D1095)=0,"","
2. "),
IF(INDEX(final_duration_secondary,((WEEKDAY(E$3,2)*2-1)+IF(E1095="Morning",0,1)),D1095)=0,"",INDEX(sessions_description_secondary,,INDEX(plan_session_allocation,((WEEKDAY(E$3,2)*2-1)+IF(E1095="Morning",0,1)),D1095))),IF(INDEX(final_duration_tertiary,((WEEKDAY(E$3,2)*2-1)+IF(E1095="Morning",0,1)),D1095)=0,"","
3. "),
IF(INDEX(final_duration_tertiary,((WEEKDAY(E$3,2)*2-1)+IF(E1095="Morning",0,1)),D1095)="","",INDEX(sessions_description_tertiary,,INDEX(plan_session_allocation,((WEEKDAY(E$3,2)*2-1)+IF(E1095="Morning",0,1)),D1095))),
IF(INDEX(display_nutrition_description,((WEEKDAY(E$3,2)*2-1)+IF(E1095="Morning",0,1)),D1095)="","",
CONCATENATE("
Meal Plan: ", INDEX(sessions_nutrition,,INDEX(plan_session_allocation,((WEEKDAY(E$3,2)*2-1)+IF(E1095="Morning",0,1)),D1095)), "
", INDEX(display_nutrition_description,((WEEKDAY(E$3,2)*2-1)+IF(E1095="Morning",0,1)),D1095)))
)),"")),"")</f>
        <v/>
      </c>
      <c r="E1101" s="1914"/>
      <c r="F1101" s="1914"/>
      <c r="G1101" s="1915"/>
      <c r="H1101" s="177"/>
      <c r="I1101" s="1913" t="str">
        <f ca="1">IF(L1095&gt;0,CONCATENATE(IFERROR(CONCATENATE(IF(INDEX(display_intervals_breakdown,((WEEKDAY(J$3,2)*2-1)+IF(J1095="Morning",0,1)),I1095)="","",CONCATENATE("Intervals/Reps Breakdown: 
",INDEX(display_intervals_breakdown,((WEEKDAY(J$3,2)*2-1)+IF(J1095="Morning",0,1)),I1095),"
")),"Session Description: 
",CONCATENATE(IF(INDEX(final_duration_secondary,((WEEKDAY(J$3,2)*2-1)+IF(J1095="Morning",0,1)),I1095)=0,"","1. "),
INDEX(sessions_description_primary,,INDEX(plan_session_allocation,((WEEKDAY(J$3,2)*2-1)+IF(J1095="Morning",0,1)),I1095)),IF(INDEX(final_duration_secondary,((WEEKDAY(J$3,2)*2-1)+IF(J1095="Morning",0,1)),I1095)=0,"","
2. "),
IF(INDEX(final_duration_secondary,((WEEKDAY(J$3,2)*2-1)+IF(J1095="Morning",0,1)),I1095)=0,"",INDEX(sessions_description_secondary,,INDEX(plan_session_allocation,((WEEKDAY(J$3,2)*2-1)+IF(J1095="Morning",0,1)),I1095))),IF(INDEX(final_duration_tertiary,((WEEKDAY(J$3,2)*2-1)+IF(J1095="Morning",0,1)),I1095)=0,"","
3. "),
IF(INDEX(final_duration_tertiary,((WEEKDAY(J$3,2)*2-1)+IF(J1095="Morning",0,1)),I1095)="","",INDEX(sessions_description_tertiary,,INDEX(plan_session_allocation,((WEEKDAY(J$3,2)*2-1)+IF(J1095="Morning",0,1)),I1095))),
IF(INDEX(display_nutrition_description,((WEEKDAY(J$3,2)*2-1)+IF(J1095="Morning",0,1)),I1095)="","",
CONCATENATE("
Meal Plan: ", INDEX(sessions_nutrition,,INDEX(plan_session_allocation,((WEEKDAY(J$3,2)*2-1)+IF(J1095="Morning",0,1)),I1095)), "
", INDEX(display_nutrition_description,((WEEKDAY(J$3,2)*2-1)+IF(J1095="Morning",0,1)),I1095)))
)),"")),"")</f>
        <v/>
      </c>
      <c r="J1101" s="1914"/>
      <c r="K1101" s="1914"/>
      <c r="L1101" s="1915"/>
      <c r="M1101" s="177"/>
      <c r="N1101" s="1913" t="str">
        <f ca="1">IF(Q1095&gt;0,CONCATENATE(IFERROR(CONCATENATE(IF(INDEX(display_intervals_breakdown,((WEEKDAY(O$3,2)*2-1)+IF(O1095="Morning",0,1)),N1095)="","",CONCATENATE("Intervals/Reps Breakdown: 
",INDEX(display_intervals_breakdown,((WEEKDAY(O$3,2)*2-1)+IF(O1095="Morning",0,1)),N1095),"
")),"Session Description: 
",CONCATENATE(IF(INDEX(final_duration_secondary,((WEEKDAY(O$3,2)*2-1)+IF(O1095="Morning",0,1)),N1095)=0,"","1. "),
INDEX(sessions_description_primary,,INDEX(plan_session_allocation,((WEEKDAY(O$3,2)*2-1)+IF(O1095="Morning",0,1)),N1095)),IF(INDEX(final_duration_secondary,((WEEKDAY(O$3,2)*2-1)+IF(O1095="Morning",0,1)),N1095)=0,"","
2. "),
IF(INDEX(final_duration_secondary,((WEEKDAY(O$3,2)*2-1)+IF(O1095="Morning",0,1)),N1095)=0,"",INDEX(sessions_description_secondary,,INDEX(plan_session_allocation,((WEEKDAY(O$3,2)*2-1)+IF(O1095="Morning",0,1)),N1095))),IF(INDEX(final_duration_tertiary,((WEEKDAY(O$3,2)*2-1)+IF(O1095="Morning",0,1)),N1095)=0,"","
3. "),
IF(INDEX(final_duration_tertiary,((WEEKDAY(O$3,2)*2-1)+IF(O1095="Morning",0,1)),N1095)="","",INDEX(sessions_description_tertiary,,INDEX(plan_session_allocation,((WEEKDAY(O$3,2)*2-1)+IF(O1095="Morning",0,1)),N1095))),
IF(INDEX(display_nutrition_description,((WEEKDAY(O$3,2)*2-1)+IF(O1095="Morning",0,1)),N1095)="","",
CONCATENATE("
Meal Plan: ", INDEX(sessions_nutrition,,INDEX(plan_session_allocation,((WEEKDAY(O$3,2)*2-1)+IF(O1095="Morning",0,1)),N1095)), "
", INDEX(display_nutrition_description,((WEEKDAY(O$3,2)*2-1)+IF(O1095="Morning",0,1)),N1095)))
)),"")),"")</f>
        <v/>
      </c>
      <c r="O1101" s="1914"/>
      <c r="P1101" s="1914"/>
      <c r="Q1101" s="1915"/>
      <c r="R1101" s="177"/>
      <c r="S1101" s="1913" t="str">
        <f ca="1">IF(V1095&gt;0,CONCATENATE(IFERROR(CONCATENATE(IF(INDEX(display_intervals_breakdown,((WEEKDAY(T$3,2)*2-1)+IF(T1095="Morning",0,1)),S1095)="","",CONCATENATE("Intervals/Reps Breakdown: 
",INDEX(display_intervals_breakdown,((WEEKDAY(T$3,2)*2-1)+IF(T1095="Morning",0,1)),S1095),"
")),"Session Description: 
",CONCATENATE(IF(INDEX(final_duration_secondary,((WEEKDAY(T$3,2)*2-1)+IF(T1095="Morning",0,1)),S1095)=0,"","1. "),
INDEX(sessions_description_primary,,INDEX(plan_session_allocation,((WEEKDAY(T$3,2)*2-1)+IF(T1095="Morning",0,1)),S1095)),IF(INDEX(final_duration_secondary,((WEEKDAY(T$3,2)*2-1)+IF(T1095="Morning",0,1)),S1095)=0,"","
2. "),
IF(INDEX(final_duration_secondary,((WEEKDAY(T$3,2)*2-1)+IF(T1095="Morning",0,1)),S1095)=0,"",INDEX(sessions_description_secondary,,INDEX(plan_session_allocation,((WEEKDAY(T$3,2)*2-1)+IF(T1095="Morning",0,1)),S1095))),IF(INDEX(final_duration_tertiary,((WEEKDAY(T$3,2)*2-1)+IF(T1095="Morning",0,1)),S1095)=0,"","
3. "),
IF(INDEX(final_duration_tertiary,((WEEKDAY(T$3,2)*2-1)+IF(T1095="Morning",0,1)),S1095)="","",INDEX(sessions_description_tertiary,,INDEX(plan_session_allocation,((WEEKDAY(T$3,2)*2-1)+IF(T1095="Morning",0,1)),S1095))),
IF(INDEX(display_nutrition_description,((WEEKDAY(T$3,2)*2-1)+IF(T1095="Morning",0,1)),S1095)="","",
CONCATENATE("
Meal Plan: ", INDEX(sessions_nutrition,,INDEX(plan_session_allocation,((WEEKDAY(T$3,2)*2-1)+IF(T1095="Morning",0,1)),S1095)), "
", INDEX(display_nutrition_description,((WEEKDAY(T$3,2)*2-1)+IF(T1095="Morning",0,1)),S1095)))
)),"")),"")</f>
        <v/>
      </c>
      <c r="T1101" s="1914"/>
      <c r="U1101" s="1914"/>
      <c r="V1101" s="1915"/>
      <c r="W1101" s="177"/>
      <c r="X1101" s="1913" t="str">
        <f ca="1">IF(AA1095&gt;0,CONCATENATE(IFERROR(CONCATENATE(IF(INDEX(display_intervals_breakdown,((WEEKDAY(Y$3,2)*2-1)+IF(Y1095="Morning",0,1)),X1095)="","",CONCATENATE("Intervals/Reps Breakdown: 
",INDEX(display_intervals_breakdown,((WEEKDAY(Y$3,2)*2-1)+IF(Y1095="Morning",0,1)),X1095),"
")),"Session Description: 
",CONCATENATE(IF(INDEX(final_duration_secondary,((WEEKDAY(Y$3,2)*2-1)+IF(Y1095="Morning",0,1)),X1095)=0,"","1. "),
INDEX(sessions_description_primary,,INDEX(plan_session_allocation,((WEEKDAY(Y$3,2)*2-1)+IF(Y1095="Morning",0,1)),X1095)),IF(INDEX(final_duration_secondary,((WEEKDAY(Y$3,2)*2-1)+IF(Y1095="Morning",0,1)),X1095)=0,"","
2. "),
IF(INDEX(final_duration_secondary,((WEEKDAY(Y$3,2)*2-1)+IF(Y1095="Morning",0,1)),X1095)=0,"",INDEX(sessions_description_secondary,,INDEX(plan_session_allocation,((WEEKDAY(Y$3,2)*2-1)+IF(Y1095="Morning",0,1)),X1095))),IF(INDEX(final_duration_tertiary,((WEEKDAY(Y$3,2)*2-1)+IF(Y1095="Morning",0,1)),X1095)=0,"","
3. "),
IF(INDEX(final_duration_tertiary,((WEEKDAY(Y$3,2)*2-1)+IF(Y1095="Morning",0,1)),X1095)="","",INDEX(sessions_description_tertiary,,INDEX(plan_session_allocation,((WEEKDAY(Y$3,2)*2-1)+IF(Y1095="Morning",0,1)),X1095))),
IF(INDEX(display_nutrition_description,((WEEKDAY(Y$3,2)*2-1)+IF(Y1095="Morning",0,1)),X1095)="","",
CONCATENATE("
Meal Plan: ", INDEX(sessions_nutrition,,INDEX(plan_session_allocation,((WEEKDAY(Y$3,2)*2-1)+IF(Y1095="Morning",0,1)),X1095)), "
", INDEX(display_nutrition_description,((WEEKDAY(Y$3,2)*2-1)+IF(Y1095="Morning",0,1)),X1095)))
)),"")),"")</f>
        <v/>
      </c>
      <c r="Y1101" s="1914"/>
      <c r="Z1101" s="1914"/>
      <c r="AA1101" s="1915"/>
      <c r="AB1101" s="177"/>
      <c r="AC1101" s="1913" t="str">
        <f ca="1">IF(AF1095&gt;0,CONCATENATE(IFERROR(CONCATENATE(IF(INDEX(display_intervals_breakdown,((WEEKDAY(AD$3,2)*2-1)+IF(AD1095="Morning",0,1)),AC1095)="","",CONCATENATE("Intervals/Reps Breakdown: 
",INDEX(display_intervals_breakdown,((WEEKDAY(AD$3,2)*2-1)+IF(AD1095="Morning",0,1)),AC1095),"
")),"Session Description: 
",CONCATENATE(IF(INDEX(final_duration_secondary,((WEEKDAY(AD$3,2)*2-1)+IF(AD1095="Morning",0,1)),AC1095)=0,"","1. "),
INDEX(sessions_description_primary,,INDEX(plan_session_allocation,((WEEKDAY(AD$3,2)*2-1)+IF(AD1095="Morning",0,1)),AC1095)),IF(INDEX(final_duration_secondary,((WEEKDAY(AD$3,2)*2-1)+IF(AD1095="Morning",0,1)),AC1095)=0,"","
2. "),
IF(INDEX(final_duration_secondary,((WEEKDAY(AD$3,2)*2-1)+IF(AD1095="Morning",0,1)),AC1095)=0,"",INDEX(sessions_description_secondary,,INDEX(plan_session_allocation,((WEEKDAY(AD$3,2)*2-1)+IF(AD1095="Morning",0,1)),AC1095))),IF(INDEX(final_duration_tertiary,((WEEKDAY(AD$3,2)*2-1)+IF(AD1095="Morning",0,1)),AC1095)=0,"","
3. "),
IF(INDEX(final_duration_tertiary,((WEEKDAY(AD$3,2)*2-1)+IF(AD1095="Morning",0,1)),AC1095)="","",INDEX(sessions_description_tertiary,,INDEX(plan_session_allocation,((WEEKDAY(AD$3,2)*2-1)+IF(AD1095="Morning",0,1)),AC1095))),
IF(INDEX(display_nutrition_description,((WEEKDAY(AD$3,2)*2-1)+IF(AD1095="Morning",0,1)),AC1095)="","",
CONCATENATE("
Meal Plan: ", INDEX(sessions_nutrition,,INDEX(plan_session_allocation,((WEEKDAY(AD$3,2)*2-1)+IF(AD1095="Morning",0,1)),AC1095)), "
", INDEX(display_nutrition_description,((WEEKDAY(AD$3,2)*2-1)+IF(AD1095="Morning",0,1)),AC1095)))
)),"")),"")</f>
        <v/>
      </c>
      <c r="AD1101" s="1914"/>
      <c r="AE1101" s="1914"/>
      <c r="AF1101" s="1915"/>
      <c r="AG1101" s="177"/>
      <c r="AH1101" s="1913" t="str">
        <f ca="1">IF(AK1095&gt;0,CONCATENATE(IFERROR(CONCATENATE(IF(INDEX(display_intervals_breakdown,((WEEKDAY(AI$3,2)*2-1)+IF(AI1095="Morning",0,1)),AH1095)="","",CONCATENATE("Intervals/Reps Breakdown: 
",INDEX(display_intervals_breakdown,((WEEKDAY(AI$3,2)*2-1)+IF(AI1095="Morning",0,1)),AH1095),"
")),"Session Description: 
",CONCATENATE(IF(INDEX(final_duration_secondary,((WEEKDAY(AI$3,2)*2-1)+IF(AI1095="Morning",0,1)),AH1095)=0,"","1. "),
INDEX(sessions_description_primary,,INDEX(plan_session_allocation,((WEEKDAY(AI$3,2)*2-1)+IF(AI1095="Morning",0,1)),AH1095)),IF(INDEX(final_duration_secondary,((WEEKDAY(AI$3,2)*2-1)+IF(AI1095="Morning",0,1)),AH1095)=0,"","
2. "),
IF(INDEX(final_duration_secondary,((WEEKDAY(AI$3,2)*2-1)+IF(AI1095="Morning",0,1)),AH1095)=0,"",INDEX(sessions_description_secondary,,INDEX(plan_session_allocation,((WEEKDAY(AI$3,2)*2-1)+IF(AI1095="Morning",0,1)),AH1095))),IF(INDEX(final_duration_tertiary,((WEEKDAY(AI$3,2)*2-1)+IF(AI1095="Morning",0,1)),AH1095)=0,"","
3. "),
IF(INDEX(final_duration_tertiary,((WEEKDAY(AI$3,2)*2-1)+IF(AI1095="Morning",0,1)),AH1095)="","",INDEX(sessions_description_tertiary,,INDEX(plan_session_allocation,((WEEKDAY(AI$3,2)*2-1)+IF(AI1095="Morning",0,1)),AH1095))),
IF(INDEX(display_nutrition_description,((WEEKDAY(AI$3,2)*2-1)+IF(AI1095="Morning",0,1)),AH1095)="","",
CONCATENATE("
Meal Plan: ", INDEX(sessions_nutrition,,INDEX(plan_session_allocation,((WEEKDAY(AI$3,2)*2-1)+IF(AI1095="Morning",0,1)),AH1095)), "
", INDEX(display_nutrition_description,((WEEKDAY(AI$3,2)*2-1)+IF(AI1095="Morning",0,1)),AH1095)))
)),"")),"")</f>
        <v/>
      </c>
      <c r="AI1101" s="1914"/>
      <c r="AJ1101" s="1914"/>
      <c r="AK1101" s="1915"/>
      <c r="AL1101" s="177"/>
    </row>
    <row r="1102" spans="2:38" s="176" customFormat="1" ht="15" customHeight="1" x14ac:dyDescent="0.45">
      <c r="B1102" s="1942"/>
      <c r="C1102" s="1945"/>
      <c r="D1102" s="1916"/>
      <c r="E1102" s="1917"/>
      <c r="F1102" s="1917"/>
      <c r="G1102" s="1918"/>
      <c r="H1102" s="177"/>
      <c r="I1102" s="1916"/>
      <c r="J1102" s="1917"/>
      <c r="K1102" s="1917"/>
      <c r="L1102" s="1918"/>
      <c r="M1102" s="177"/>
      <c r="N1102" s="1916"/>
      <c r="O1102" s="1917"/>
      <c r="P1102" s="1917"/>
      <c r="Q1102" s="1918"/>
      <c r="R1102" s="177"/>
      <c r="S1102" s="1916"/>
      <c r="T1102" s="1917"/>
      <c r="U1102" s="1917"/>
      <c r="V1102" s="1918"/>
      <c r="W1102" s="177"/>
      <c r="X1102" s="1916"/>
      <c r="Y1102" s="1917"/>
      <c r="Z1102" s="1917"/>
      <c r="AA1102" s="1918"/>
      <c r="AB1102" s="177"/>
      <c r="AC1102" s="1916"/>
      <c r="AD1102" s="1917"/>
      <c r="AE1102" s="1917"/>
      <c r="AF1102" s="1918"/>
      <c r="AG1102" s="177"/>
      <c r="AH1102" s="1916"/>
      <c r="AI1102" s="1917"/>
      <c r="AJ1102" s="1917"/>
      <c r="AK1102" s="1918"/>
      <c r="AL1102" s="177"/>
    </row>
    <row r="1103" spans="2:38" s="176" customFormat="1" ht="15" customHeight="1" x14ac:dyDescent="0.45">
      <c r="B1103" s="1942"/>
      <c r="C1103" s="1945"/>
      <c r="D1103" s="1916"/>
      <c r="E1103" s="1917"/>
      <c r="F1103" s="1917"/>
      <c r="G1103" s="1918"/>
      <c r="H1103" s="177"/>
      <c r="I1103" s="1916"/>
      <c r="J1103" s="1917"/>
      <c r="K1103" s="1917"/>
      <c r="L1103" s="1918"/>
      <c r="M1103" s="177"/>
      <c r="N1103" s="1916"/>
      <c r="O1103" s="1917"/>
      <c r="P1103" s="1917"/>
      <c r="Q1103" s="1918"/>
      <c r="R1103" s="177"/>
      <c r="S1103" s="1916"/>
      <c r="T1103" s="1917"/>
      <c r="U1103" s="1917"/>
      <c r="V1103" s="1918"/>
      <c r="W1103" s="177"/>
      <c r="X1103" s="1916"/>
      <c r="Y1103" s="1917"/>
      <c r="Z1103" s="1917"/>
      <c r="AA1103" s="1918"/>
      <c r="AB1103" s="177"/>
      <c r="AC1103" s="1916"/>
      <c r="AD1103" s="1917"/>
      <c r="AE1103" s="1917"/>
      <c r="AF1103" s="1918"/>
      <c r="AG1103" s="177"/>
      <c r="AH1103" s="1916"/>
      <c r="AI1103" s="1917"/>
      <c r="AJ1103" s="1917"/>
      <c r="AK1103" s="1918"/>
      <c r="AL1103" s="177"/>
    </row>
    <row r="1104" spans="2:38" s="176" customFormat="1" x14ac:dyDescent="0.45">
      <c r="B1104" s="1942"/>
      <c r="C1104" s="1945"/>
      <c r="D1104" s="1916"/>
      <c r="E1104" s="1917"/>
      <c r="F1104" s="1917"/>
      <c r="G1104" s="1918"/>
      <c r="H1104" s="177"/>
      <c r="I1104" s="1916"/>
      <c r="J1104" s="1917"/>
      <c r="K1104" s="1917"/>
      <c r="L1104" s="1918"/>
      <c r="M1104" s="177"/>
      <c r="N1104" s="1916"/>
      <c r="O1104" s="1917"/>
      <c r="P1104" s="1917"/>
      <c r="Q1104" s="1918"/>
      <c r="R1104" s="177"/>
      <c r="S1104" s="1916"/>
      <c r="T1104" s="1917"/>
      <c r="U1104" s="1917"/>
      <c r="V1104" s="1918"/>
      <c r="W1104" s="177"/>
      <c r="X1104" s="1916"/>
      <c r="Y1104" s="1917"/>
      <c r="Z1104" s="1917"/>
      <c r="AA1104" s="1918"/>
      <c r="AB1104" s="177"/>
      <c r="AC1104" s="1916"/>
      <c r="AD1104" s="1917"/>
      <c r="AE1104" s="1917"/>
      <c r="AF1104" s="1918"/>
      <c r="AG1104" s="177"/>
      <c r="AH1104" s="1916"/>
      <c r="AI1104" s="1917"/>
      <c r="AJ1104" s="1917"/>
      <c r="AK1104" s="1918"/>
      <c r="AL1104" s="177"/>
    </row>
    <row r="1105" spans="2:38" s="176" customFormat="1" x14ac:dyDescent="0.45">
      <c r="B1105" s="1942"/>
      <c r="C1105" s="1945"/>
      <c r="D1105" s="1916"/>
      <c r="E1105" s="1917"/>
      <c r="F1105" s="1917"/>
      <c r="G1105" s="1918"/>
      <c r="H1105" s="177"/>
      <c r="I1105" s="1916"/>
      <c r="J1105" s="1917"/>
      <c r="K1105" s="1917"/>
      <c r="L1105" s="1918"/>
      <c r="M1105" s="177"/>
      <c r="N1105" s="1916"/>
      <c r="O1105" s="1917"/>
      <c r="P1105" s="1917"/>
      <c r="Q1105" s="1918"/>
      <c r="R1105" s="177"/>
      <c r="S1105" s="1916"/>
      <c r="T1105" s="1917"/>
      <c r="U1105" s="1917"/>
      <c r="V1105" s="1918"/>
      <c r="W1105" s="177"/>
      <c r="X1105" s="1916"/>
      <c r="Y1105" s="1917"/>
      <c r="Z1105" s="1917"/>
      <c r="AA1105" s="1918"/>
      <c r="AB1105" s="177"/>
      <c r="AC1105" s="1916"/>
      <c r="AD1105" s="1917"/>
      <c r="AE1105" s="1917"/>
      <c r="AF1105" s="1918"/>
      <c r="AG1105" s="177"/>
      <c r="AH1105" s="1916"/>
      <c r="AI1105" s="1917"/>
      <c r="AJ1105" s="1917"/>
      <c r="AK1105" s="1918"/>
      <c r="AL1105" s="177"/>
    </row>
    <row r="1106" spans="2:38" s="176" customFormat="1" x14ac:dyDescent="0.45">
      <c r="B1106" s="1942"/>
      <c r="C1106" s="1945"/>
      <c r="D1106" s="1916"/>
      <c r="E1106" s="1917"/>
      <c r="F1106" s="1917"/>
      <c r="G1106" s="1918"/>
      <c r="H1106" s="177"/>
      <c r="I1106" s="1916"/>
      <c r="J1106" s="1917"/>
      <c r="K1106" s="1917"/>
      <c r="L1106" s="1918"/>
      <c r="M1106" s="177"/>
      <c r="N1106" s="1916"/>
      <c r="O1106" s="1917"/>
      <c r="P1106" s="1917"/>
      <c r="Q1106" s="1918"/>
      <c r="R1106" s="177"/>
      <c r="S1106" s="1916"/>
      <c r="T1106" s="1917"/>
      <c r="U1106" s="1917"/>
      <c r="V1106" s="1918"/>
      <c r="W1106" s="177"/>
      <c r="X1106" s="1916"/>
      <c r="Y1106" s="1917"/>
      <c r="Z1106" s="1917"/>
      <c r="AA1106" s="1918"/>
      <c r="AB1106" s="177"/>
      <c r="AC1106" s="1916"/>
      <c r="AD1106" s="1917"/>
      <c r="AE1106" s="1917"/>
      <c r="AF1106" s="1918"/>
      <c r="AG1106" s="177"/>
      <c r="AH1106" s="1916"/>
      <c r="AI1106" s="1917"/>
      <c r="AJ1106" s="1917"/>
      <c r="AK1106" s="1918"/>
      <c r="AL1106" s="177"/>
    </row>
    <row r="1107" spans="2:38" s="176" customFormat="1" ht="15" customHeight="1" x14ac:dyDescent="0.45">
      <c r="B1107" s="1942"/>
      <c r="C1107" s="1945"/>
      <c r="D1107" s="1916"/>
      <c r="E1107" s="1917"/>
      <c r="F1107" s="1917"/>
      <c r="G1107" s="1918"/>
      <c r="H1107" s="177"/>
      <c r="I1107" s="1916"/>
      <c r="J1107" s="1917"/>
      <c r="K1107" s="1917"/>
      <c r="L1107" s="1918"/>
      <c r="M1107" s="177"/>
      <c r="N1107" s="1916"/>
      <c r="O1107" s="1917"/>
      <c r="P1107" s="1917"/>
      <c r="Q1107" s="1918"/>
      <c r="R1107" s="177"/>
      <c r="S1107" s="1916"/>
      <c r="T1107" s="1917"/>
      <c r="U1107" s="1917"/>
      <c r="V1107" s="1918"/>
      <c r="W1107" s="177"/>
      <c r="X1107" s="1916"/>
      <c r="Y1107" s="1917"/>
      <c r="Z1107" s="1917"/>
      <c r="AA1107" s="1918"/>
      <c r="AB1107" s="177"/>
      <c r="AC1107" s="1916"/>
      <c r="AD1107" s="1917"/>
      <c r="AE1107" s="1917"/>
      <c r="AF1107" s="1918"/>
      <c r="AG1107" s="177"/>
      <c r="AH1107" s="1916"/>
      <c r="AI1107" s="1917"/>
      <c r="AJ1107" s="1917"/>
      <c r="AK1107" s="1918"/>
      <c r="AL1107" s="177"/>
    </row>
    <row r="1108" spans="2:38" s="176" customFormat="1" ht="15" customHeight="1" x14ac:dyDescent="0.45">
      <c r="B1108" s="1942"/>
      <c r="C1108" s="1945"/>
      <c r="D1108" s="1916"/>
      <c r="E1108" s="1917"/>
      <c r="F1108" s="1917"/>
      <c r="G1108" s="1918"/>
      <c r="H1108" s="177"/>
      <c r="I1108" s="1916"/>
      <c r="J1108" s="1917"/>
      <c r="K1108" s="1917"/>
      <c r="L1108" s="1918"/>
      <c r="M1108" s="177"/>
      <c r="N1108" s="1916"/>
      <c r="O1108" s="1917"/>
      <c r="P1108" s="1917"/>
      <c r="Q1108" s="1918"/>
      <c r="R1108" s="177"/>
      <c r="S1108" s="1916"/>
      <c r="T1108" s="1917"/>
      <c r="U1108" s="1917"/>
      <c r="V1108" s="1918"/>
      <c r="W1108" s="177"/>
      <c r="X1108" s="1916"/>
      <c r="Y1108" s="1917"/>
      <c r="Z1108" s="1917"/>
      <c r="AA1108" s="1918"/>
      <c r="AB1108" s="177"/>
      <c r="AC1108" s="1916"/>
      <c r="AD1108" s="1917"/>
      <c r="AE1108" s="1917"/>
      <c r="AF1108" s="1918"/>
      <c r="AG1108" s="177"/>
      <c r="AH1108" s="1916"/>
      <c r="AI1108" s="1917"/>
      <c r="AJ1108" s="1917"/>
      <c r="AK1108" s="1918"/>
      <c r="AL1108" s="177"/>
    </row>
    <row r="1109" spans="2:38" s="176" customFormat="1" x14ac:dyDescent="0.45">
      <c r="B1109" s="1942"/>
      <c r="C1109" s="1945"/>
      <c r="D1109" s="1916"/>
      <c r="E1109" s="1917"/>
      <c r="F1109" s="1917"/>
      <c r="G1109" s="1918"/>
      <c r="H1109" s="177"/>
      <c r="I1109" s="1916"/>
      <c r="J1109" s="1917"/>
      <c r="K1109" s="1917"/>
      <c r="L1109" s="1918"/>
      <c r="M1109" s="177"/>
      <c r="N1109" s="1916"/>
      <c r="O1109" s="1917"/>
      <c r="P1109" s="1917"/>
      <c r="Q1109" s="1918"/>
      <c r="R1109" s="177"/>
      <c r="S1109" s="1916"/>
      <c r="T1109" s="1917"/>
      <c r="U1109" s="1917"/>
      <c r="V1109" s="1918"/>
      <c r="W1109" s="177"/>
      <c r="X1109" s="1916"/>
      <c r="Y1109" s="1917"/>
      <c r="Z1109" s="1917"/>
      <c r="AA1109" s="1918"/>
      <c r="AB1109" s="177"/>
      <c r="AC1109" s="1916"/>
      <c r="AD1109" s="1917"/>
      <c r="AE1109" s="1917"/>
      <c r="AF1109" s="1918"/>
      <c r="AG1109" s="177"/>
      <c r="AH1109" s="1916"/>
      <c r="AI1109" s="1917"/>
      <c r="AJ1109" s="1917"/>
      <c r="AK1109" s="1918"/>
      <c r="AL1109" s="177"/>
    </row>
    <row r="1110" spans="2:38" s="176" customFormat="1" x14ac:dyDescent="0.45">
      <c r="B1110" s="1942"/>
      <c r="C1110" s="1945"/>
      <c r="D1110" s="1916"/>
      <c r="E1110" s="1917"/>
      <c r="F1110" s="1917"/>
      <c r="G1110" s="1918"/>
      <c r="H1110" s="177"/>
      <c r="I1110" s="1916"/>
      <c r="J1110" s="1917"/>
      <c r="K1110" s="1917"/>
      <c r="L1110" s="1918"/>
      <c r="M1110" s="177"/>
      <c r="N1110" s="1916"/>
      <c r="O1110" s="1917"/>
      <c r="P1110" s="1917"/>
      <c r="Q1110" s="1918"/>
      <c r="R1110" s="177"/>
      <c r="S1110" s="1916"/>
      <c r="T1110" s="1917"/>
      <c r="U1110" s="1917"/>
      <c r="V1110" s="1918"/>
      <c r="W1110" s="177"/>
      <c r="X1110" s="1916"/>
      <c r="Y1110" s="1917"/>
      <c r="Z1110" s="1917"/>
      <c r="AA1110" s="1918"/>
      <c r="AB1110" s="177"/>
      <c r="AC1110" s="1916"/>
      <c r="AD1110" s="1917"/>
      <c r="AE1110" s="1917"/>
      <c r="AF1110" s="1918"/>
      <c r="AG1110" s="177"/>
      <c r="AH1110" s="1916"/>
      <c r="AI1110" s="1917"/>
      <c r="AJ1110" s="1917"/>
      <c r="AK1110" s="1918"/>
      <c r="AL1110" s="177"/>
    </row>
    <row r="1111" spans="2:38" s="176" customFormat="1" x14ac:dyDescent="0.45">
      <c r="B1111" s="1942"/>
      <c r="C1111" s="1945"/>
      <c r="D1111" s="1916"/>
      <c r="E1111" s="1917"/>
      <c r="F1111" s="1917"/>
      <c r="G1111" s="1918"/>
      <c r="H1111" s="177"/>
      <c r="I1111" s="1916"/>
      <c r="J1111" s="1917"/>
      <c r="K1111" s="1917"/>
      <c r="L1111" s="1918"/>
      <c r="M1111" s="177"/>
      <c r="N1111" s="1916"/>
      <c r="O1111" s="1917"/>
      <c r="P1111" s="1917"/>
      <c r="Q1111" s="1918"/>
      <c r="R1111" s="177"/>
      <c r="S1111" s="1916"/>
      <c r="T1111" s="1917"/>
      <c r="U1111" s="1917"/>
      <c r="V1111" s="1918"/>
      <c r="W1111" s="177"/>
      <c r="X1111" s="1916"/>
      <c r="Y1111" s="1917"/>
      <c r="Z1111" s="1917"/>
      <c r="AA1111" s="1918"/>
      <c r="AB1111" s="177"/>
      <c r="AC1111" s="1916"/>
      <c r="AD1111" s="1917"/>
      <c r="AE1111" s="1917"/>
      <c r="AF1111" s="1918"/>
      <c r="AG1111" s="177"/>
      <c r="AH1111" s="1916"/>
      <c r="AI1111" s="1917"/>
      <c r="AJ1111" s="1917"/>
      <c r="AK1111" s="1918"/>
      <c r="AL1111" s="177"/>
    </row>
    <row r="1112" spans="2:38" s="176" customFormat="1" x14ac:dyDescent="0.45">
      <c r="B1112" s="1942"/>
      <c r="C1112" s="1945"/>
      <c r="D1112" s="1916"/>
      <c r="E1112" s="1917"/>
      <c r="F1112" s="1917"/>
      <c r="G1112" s="1918"/>
      <c r="H1112" s="177"/>
      <c r="I1112" s="1916"/>
      <c r="J1112" s="1917"/>
      <c r="K1112" s="1917"/>
      <c r="L1112" s="1918"/>
      <c r="M1112" s="177"/>
      <c r="N1112" s="1916"/>
      <c r="O1112" s="1917"/>
      <c r="P1112" s="1917"/>
      <c r="Q1112" s="1918"/>
      <c r="R1112" s="177"/>
      <c r="S1112" s="1916"/>
      <c r="T1112" s="1917"/>
      <c r="U1112" s="1917"/>
      <c r="V1112" s="1918"/>
      <c r="W1112" s="177"/>
      <c r="X1112" s="1916"/>
      <c r="Y1112" s="1917"/>
      <c r="Z1112" s="1917"/>
      <c r="AA1112" s="1918"/>
      <c r="AB1112" s="177"/>
      <c r="AC1112" s="1916"/>
      <c r="AD1112" s="1917"/>
      <c r="AE1112" s="1917"/>
      <c r="AF1112" s="1918"/>
      <c r="AG1112" s="177"/>
      <c r="AH1112" s="1916"/>
      <c r="AI1112" s="1917"/>
      <c r="AJ1112" s="1917"/>
      <c r="AK1112" s="1918"/>
      <c r="AL1112" s="177"/>
    </row>
    <row r="1113" spans="2:38" s="176" customFormat="1" x14ac:dyDescent="0.45">
      <c r="B1113" s="1942"/>
      <c r="C1113" s="1945"/>
      <c r="D1113" s="1916"/>
      <c r="E1113" s="1917"/>
      <c r="F1113" s="1917"/>
      <c r="G1113" s="1918"/>
      <c r="H1113" s="177"/>
      <c r="I1113" s="1916"/>
      <c r="J1113" s="1917"/>
      <c r="K1113" s="1917"/>
      <c r="L1113" s="1918"/>
      <c r="M1113" s="177"/>
      <c r="N1113" s="1916"/>
      <c r="O1113" s="1917"/>
      <c r="P1113" s="1917"/>
      <c r="Q1113" s="1918"/>
      <c r="R1113" s="177"/>
      <c r="S1113" s="1916"/>
      <c r="T1113" s="1917"/>
      <c r="U1113" s="1917"/>
      <c r="V1113" s="1918"/>
      <c r="W1113" s="177"/>
      <c r="X1113" s="1916"/>
      <c r="Y1113" s="1917"/>
      <c r="Z1113" s="1917"/>
      <c r="AA1113" s="1918"/>
      <c r="AB1113" s="177"/>
      <c r="AC1113" s="1916"/>
      <c r="AD1113" s="1917"/>
      <c r="AE1113" s="1917"/>
      <c r="AF1113" s="1918"/>
      <c r="AG1113" s="177"/>
      <c r="AH1113" s="1916"/>
      <c r="AI1113" s="1917"/>
      <c r="AJ1113" s="1917"/>
      <c r="AK1113" s="1918"/>
      <c r="AL1113" s="177"/>
    </row>
    <row r="1114" spans="2:38" s="176" customFormat="1" ht="15" customHeight="1" x14ac:dyDescent="0.45">
      <c r="B1114" s="1942"/>
      <c r="C1114" s="1945"/>
      <c r="D1114" s="1919"/>
      <c r="E1114" s="1920"/>
      <c r="F1114" s="1920"/>
      <c r="G1114" s="1921"/>
      <c r="H1114" s="177"/>
      <c r="I1114" s="1919"/>
      <c r="J1114" s="1920"/>
      <c r="K1114" s="1920"/>
      <c r="L1114" s="1921"/>
      <c r="M1114" s="177"/>
      <c r="N1114" s="1919"/>
      <c r="O1114" s="1920"/>
      <c r="P1114" s="1920"/>
      <c r="Q1114" s="1921"/>
      <c r="R1114" s="177"/>
      <c r="S1114" s="1919"/>
      <c r="T1114" s="1920"/>
      <c r="U1114" s="1920"/>
      <c r="V1114" s="1921"/>
      <c r="W1114" s="177"/>
      <c r="X1114" s="1919"/>
      <c r="Y1114" s="1920"/>
      <c r="Z1114" s="1920"/>
      <c r="AA1114" s="1921"/>
      <c r="AB1114" s="177"/>
      <c r="AC1114" s="1919"/>
      <c r="AD1114" s="1920"/>
      <c r="AE1114" s="1920"/>
      <c r="AF1114" s="1921"/>
      <c r="AG1114" s="177"/>
      <c r="AH1114" s="1919"/>
      <c r="AI1114" s="1920"/>
      <c r="AJ1114" s="1920"/>
      <c r="AK1114" s="1921"/>
      <c r="AL1114" s="177"/>
    </row>
    <row r="1115" spans="2:38" s="176" customFormat="1" ht="15" customHeight="1" x14ac:dyDescent="0.45">
      <c r="B1115" s="1942"/>
      <c r="C1115" s="1945"/>
      <c r="D1115" s="1913" t="str">
        <f ca="1">IF(G1095&gt;0,CONCATENATE("Session Aim: 
", CONCATENATE(IF(INDEX(final_duration_secondary,((WEEKDAY(E$3,2)*2-1)+IF(E1095="Morning",0,1)),D1095)=0, "", "1. "),
INDEX(sessions_aim_primary,, INDEX(plan_session_allocation,((WEEKDAY(E$3,2)*2-1)+IF(E1095="Morning",0,1)),D1095)), IF(INDEX(final_duration_secondary,((WEEKDAY(E$3,2)*2-1)+IF(E1095="Morning",0,1)),D1095)=0, "", "
2. "),
IF(INDEX(final_duration_secondary,((WEEKDAY(E$3,2)*2-1)+IF(E1095="Morning",0,1)),D1095)=0, "", INDEX(sessions_aim_secondary,, INDEX(plan_session_allocation,((WEEKDAY(E$3,2)*2-1)+IF(E1095="Morning",0,1)),D1095))), IF(INDEX(final_duration_tertiary,((WEEKDAY(E$3,2)*2-1)+IF(E1095="Morning",0,1)),D1095)=0, "", "
3. "),
IF(INDEX(final_duration_tertiary,((WEEKDAY(E$3,2)*2-1)+IF(E1095="Morning",0,1)),D1095)=0, "", INDEX(sessions_aim_tertiary,, INDEX(plan_session_allocation,((WEEKDAY(E$3,2)*2-1)+IF(E1095="Morning",0,1)),D1095))),
IF(INDEX(display_nutrition_description,((WEEKDAY(E$3,2)*2-1)+IF(E1095="Morning",0,1)),D1095)="","",
CONCATENATE("
Nutrition Aim:
", INDEX(sessions_aim_nutrition,,INDEX(plan_session_allocation,((WEEKDAY(E$3,2)*2-1)+IF(E1095="Morning",0,1)),D1095))
))
)),"")</f>
        <v/>
      </c>
      <c r="E1115" s="1914"/>
      <c r="F1115" s="1914"/>
      <c r="G1115" s="1915"/>
      <c r="H1115" s="177"/>
      <c r="I1115" s="1913" t="str">
        <f ca="1">IF(L1095&gt;0,CONCATENATE("Session Aim: 
", CONCATENATE(IF(INDEX(final_duration_secondary,((WEEKDAY(J$3,2)*2-1)+IF(J1095="Morning",0,1)),I1095)=0, "", "1. "),
INDEX(sessions_aim_primary,, INDEX(plan_session_allocation,((WEEKDAY(J$3,2)*2-1)+IF(J1095="Morning",0,1)),I1095)), IF(INDEX(final_duration_secondary,((WEEKDAY(J$3,2)*2-1)+IF(J1095="Morning",0,1)),I1095)=0, "", "
2. "),
IF(INDEX(final_duration_secondary,((WEEKDAY(J$3,2)*2-1)+IF(J1095="Morning",0,1)),I1095)=0, "", INDEX(sessions_aim_secondary,, INDEX(plan_session_allocation,((WEEKDAY(J$3,2)*2-1)+IF(J1095="Morning",0,1)),I1095))), IF(INDEX(final_duration_tertiary,((WEEKDAY(J$3,2)*2-1)+IF(J1095="Morning",0,1)),I1095)=0, "", "
3. "),
IF(INDEX(final_duration_tertiary,((WEEKDAY(J$3,2)*2-1)+IF(J1095="Morning",0,1)),I1095)=0, "", INDEX(sessions_aim_tertiary,, INDEX(plan_session_allocation,((WEEKDAY(J$3,2)*2-1)+IF(J1095="Morning",0,1)),I1095))),
IF(INDEX(display_nutrition_description,((WEEKDAY(J$3,2)*2-1)+IF(J1095="Morning",0,1)),I1095)="","",
CONCATENATE("
Nutrition Aim:
", INDEX(sessions_aim_nutrition,,INDEX(plan_session_allocation,((WEEKDAY(J$3,2)*2-1)+IF(J1095="Morning",0,1)),I1095))
))
)),"")</f>
        <v/>
      </c>
      <c r="J1115" s="1914"/>
      <c r="K1115" s="1914"/>
      <c r="L1115" s="1915"/>
      <c r="M1115" s="177"/>
      <c r="N1115" s="1913" t="str">
        <f ca="1">IF(Q1095&gt;0,CONCATENATE("Session Aim: 
", CONCATENATE(IF(INDEX(final_duration_secondary,((WEEKDAY(O$3,2)*2-1)+IF(O1095="Morning",0,1)),N1095)=0, "", "1. "),
INDEX(sessions_aim_primary,, INDEX(plan_session_allocation,((WEEKDAY(O$3,2)*2-1)+IF(O1095="Morning",0,1)),N1095)), IF(INDEX(final_duration_secondary,((WEEKDAY(O$3,2)*2-1)+IF(O1095="Morning",0,1)),N1095)=0, "", "
2. "),
IF(INDEX(final_duration_secondary,((WEEKDAY(O$3,2)*2-1)+IF(O1095="Morning",0,1)),N1095)=0, "", INDEX(sessions_aim_secondary,, INDEX(plan_session_allocation,((WEEKDAY(O$3,2)*2-1)+IF(O1095="Morning",0,1)),N1095))), IF(INDEX(final_duration_tertiary,((WEEKDAY(O$3,2)*2-1)+IF(O1095="Morning",0,1)),N1095)=0, "", "
3. "),
IF(INDEX(final_duration_tertiary,((WEEKDAY(O$3,2)*2-1)+IF(O1095="Morning",0,1)),N1095)=0, "", INDEX(sessions_aim_tertiary,, INDEX(plan_session_allocation,((WEEKDAY(O$3,2)*2-1)+IF(O1095="Morning",0,1)),N1095))),
IF(INDEX(display_nutrition_description,((WEEKDAY(O$3,2)*2-1)+IF(O1095="Morning",0,1)),N1095)="","",
CONCATENATE("
Nutrition Aim:
", INDEX(sessions_aim_nutrition,,INDEX(plan_session_allocation,((WEEKDAY(O$3,2)*2-1)+IF(O1095="Morning",0,1)),N1095))
))
)),"")</f>
        <v/>
      </c>
      <c r="O1115" s="1914"/>
      <c r="P1115" s="1914"/>
      <c r="Q1115" s="1915"/>
      <c r="R1115" s="177"/>
      <c r="S1115" s="1913" t="str">
        <f ca="1">IF(V1095&gt;0,CONCATENATE("Session Aim: 
", CONCATENATE(IF(INDEX(final_duration_secondary,((WEEKDAY(T$3,2)*2-1)+IF(T1095="Morning",0,1)),S1095)=0, "", "1. "),
INDEX(sessions_aim_primary,, INDEX(plan_session_allocation,((WEEKDAY(T$3,2)*2-1)+IF(T1095="Morning",0,1)),S1095)), IF(INDEX(final_duration_secondary,((WEEKDAY(T$3,2)*2-1)+IF(T1095="Morning",0,1)),S1095)=0, "", "
2. "),
IF(INDEX(final_duration_secondary,((WEEKDAY(T$3,2)*2-1)+IF(T1095="Morning",0,1)),S1095)=0, "", INDEX(sessions_aim_secondary,, INDEX(plan_session_allocation,((WEEKDAY(T$3,2)*2-1)+IF(T1095="Morning",0,1)),S1095))), IF(INDEX(final_duration_tertiary,((WEEKDAY(T$3,2)*2-1)+IF(T1095="Morning",0,1)),S1095)=0, "", "
3. "),
IF(INDEX(final_duration_tertiary,((WEEKDAY(T$3,2)*2-1)+IF(T1095="Morning",0,1)),S1095)=0, "", INDEX(sessions_aim_tertiary,, INDEX(plan_session_allocation,((WEEKDAY(T$3,2)*2-1)+IF(T1095="Morning",0,1)),S1095))),
IF(INDEX(display_nutrition_description,((WEEKDAY(T$3,2)*2-1)+IF(T1095="Morning",0,1)),S1095)="","",
CONCATENATE("
Nutrition Aim:
", INDEX(sessions_aim_nutrition,,INDEX(plan_session_allocation,((WEEKDAY(T$3,2)*2-1)+IF(T1095="Morning",0,1)),S1095))
))
)),"")</f>
        <v/>
      </c>
      <c r="T1115" s="1914"/>
      <c r="U1115" s="1914"/>
      <c r="V1115" s="1915"/>
      <c r="W1115" s="177"/>
      <c r="X1115" s="1913" t="str">
        <f ca="1">IF(AA1095&gt;0,CONCATENATE("Session Aim: 
", CONCATENATE(IF(INDEX(final_duration_secondary,((WEEKDAY(Y$3,2)*2-1)+IF(Y1095="Morning",0,1)),X1095)=0, "", "1. "),
INDEX(sessions_aim_primary,, INDEX(plan_session_allocation,((WEEKDAY(Y$3,2)*2-1)+IF(Y1095="Morning",0,1)),X1095)), IF(INDEX(final_duration_secondary,((WEEKDAY(Y$3,2)*2-1)+IF(Y1095="Morning",0,1)),X1095)=0, "", "
2. "),
IF(INDEX(final_duration_secondary,((WEEKDAY(Y$3,2)*2-1)+IF(Y1095="Morning",0,1)),X1095)=0, "", INDEX(sessions_aim_secondary,, INDEX(plan_session_allocation,((WEEKDAY(Y$3,2)*2-1)+IF(Y1095="Morning",0,1)),X1095))), IF(INDEX(final_duration_tertiary,((WEEKDAY(Y$3,2)*2-1)+IF(Y1095="Morning",0,1)),X1095)=0, "", "
3. "),
IF(INDEX(final_duration_tertiary,((WEEKDAY(Y$3,2)*2-1)+IF(Y1095="Morning",0,1)),X1095)=0, "", INDEX(sessions_aim_tertiary,, INDEX(plan_session_allocation,((WEEKDAY(Y$3,2)*2-1)+IF(Y1095="Morning",0,1)),X1095))),
IF(INDEX(display_nutrition_description,((WEEKDAY(Y$3,2)*2-1)+IF(Y1095="Morning",0,1)),X1095)="","",
CONCATENATE("
Nutrition Aim:
", INDEX(sessions_aim_nutrition,,INDEX(plan_session_allocation,((WEEKDAY(Y$3,2)*2-1)+IF(Y1095="Morning",0,1)),X1095))
))
)),"")</f>
        <v/>
      </c>
      <c r="Y1115" s="1914"/>
      <c r="Z1115" s="1914"/>
      <c r="AA1115" s="1915"/>
      <c r="AB1115" s="177"/>
      <c r="AC1115" s="1913" t="str">
        <f ca="1">IF(AF1095&gt;0,CONCATENATE("Session Aim: 
", CONCATENATE(IF(INDEX(final_duration_secondary,((WEEKDAY(AD$3,2)*2-1)+IF(AD1095="Morning",0,1)),AC1095)=0, "", "1. "),
INDEX(sessions_aim_primary,, INDEX(plan_session_allocation,((WEEKDAY(AD$3,2)*2-1)+IF(AD1095="Morning",0,1)),AC1095)), IF(INDEX(final_duration_secondary,((WEEKDAY(AD$3,2)*2-1)+IF(AD1095="Morning",0,1)),AC1095)=0, "", "
2. "),
IF(INDEX(final_duration_secondary,((WEEKDAY(AD$3,2)*2-1)+IF(AD1095="Morning",0,1)),AC1095)=0, "", INDEX(sessions_aim_secondary,, INDEX(plan_session_allocation,((WEEKDAY(AD$3,2)*2-1)+IF(AD1095="Morning",0,1)),AC1095))), IF(INDEX(final_duration_tertiary,((WEEKDAY(AD$3,2)*2-1)+IF(AD1095="Morning",0,1)),AC1095)=0, "", "
3. "),
IF(INDEX(final_duration_tertiary,((WEEKDAY(AD$3,2)*2-1)+IF(AD1095="Morning",0,1)),AC1095)=0, "", INDEX(sessions_aim_tertiary,, INDEX(plan_session_allocation,((WEEKDAY(AD$3,2)*2-1)+IF(AD1095="Morning",0,1)),AC1095))),
IF(INDEX(display_nutrition_description,((WEEKDAY(AD$3,2)*2-1)+IF(AD1095="Morning",0,1)),AC1095)="","",
CONCATENATE("
Nutrition Aim:
", INDEX(sessions_aim_nutrition,,INDEX(plan_session_allocation,((WEEKDAY(AD$3,2)*2-1)+IF(AD1095="Morning",0,1)),AC1095))
))
)),"")</f>
        <v/>
      </c>
      <c r="AD1115" s="1914"/>
      <c r="AE1115" s="1914"/>
      <c r="AF1115" s="1915"/>
      <c r="AG1115" s="177"/>
      <c r="AH1115" s="1913" t="str">
        <f ca="1">IF(AK1095&gt;0,CONCATENATE("Session Aim: 
", CONCATENATE(IF(INDEX(final_duration_secondary,((WEEKDAY(AI$3,2)*2-1)+IF(AI1095="Morning",0,1)),AH1095)=0, "", "1. "),
INDEX(sessions_aim_primary,, INDEX(plan_session_allocation,((WEEKDAY(AI$3,2)*2-1)+IF(AI1095="Morning",0,1)),AH1095)), IF(INDEX(final_duration_secondary,((WEEKDAY(AI$3,2)*2-1)+IF(AI1095="Morning",0,1)),AH1095)=0, "", "
2. "),
IF(INDEX(final_duration_secondary,((WEEKDAY(AI$3,2)*2-1)+IF(AI1095="Morning",0,1)),AH1095)=0, "", INDEX(sessions_aim_secondary,, INDEX(plan_session_allocation,((WEEKDAY(AI$3,2)*2-1)+IF(AI1095="Morning",0,1)),AH1095))), IF(INDEX(final_duration_tertiary,((WEEKDAY(AI$3,2)*2-1)+IF(AI1095="Morning",0,1)),AH1095)=0, "", "
3. "),
IF(INDEX(final_duration_tertiary,((WEEKDAY(AI$3,2)*2-1)+IF(AI1095="Morning",0,1)),AH1095)=0, "", INDEX(sessions_aim_tertiary,, INDEX(plan_session_allocation,((WEEKDAY(AI$3,2)*2-1)+IF(AI1095="Morning",0,1)),AH1095))),
IF(INDEX(display_nutrition_description,((WEEKDAY(AI$3,2)*2-1)+IF(AI1095="Morning",0,1)),AH1095)="","",
CONCATENATE("
Nutrition Aim:
", INDEX(sessions_aim_nutrition,,INDEX(plan_session_allocation,((WEEKDAY(AI$3,2)*2-1)+IF(AI1095="Morning",0,1)),AH1095))
))
)),"")</f>
        <v/>
      </c>
      <c r="AI1115" s="1914"/>
      <c r="AJ1115" s="1914"/>
      <c r="AK1115" s="1915"/>
      <c r="AL1115" s="177"/>
    </row>
    <row r="1116" spans="2:38" s="176" customFormat="1" x14ac:dyDescent="0.45">
      <c r="B1116" s="1942"/>
      <c r="C1116" s="1945"/>
      <c r="D1116" s="1916"/>
      <c r="E1116" s="1917"/>
      <c r="F1116" s="1917"/>
      <c r="G1116" s="1918"/>
      <c r="H1116" s="177"/>
      <c r="I1116" s="1916"/>
      <c r="J1116" s="1917"/>
      <c r="K1116" s="1917"/>
      <c r="L1116" s="1918"/>
      <c r="M1116" s="177"/>
      <c r="N1116" s="1916"/>
      <c r="O1116" s="1917"/>
      <c r="P1116" s="1917"/>
      <c r="Q1116" s="1918"/>
      <c r="R1116" s="177"/>
      <c r="S1116" s="1916"/>
      <c r="T1116" s="1917"/>
      <c r="U1116" s="1917"/>
      <c r="V1116" s="1918"/>
      <c r="W1116" s="177"/>
      <c r="X1116" s="1916"/>
      <c r="Y1116" s="1917"/>
      <c r="Z1116" s="1917"/>
      <c r="AA1116" s="1918"/>
      <c r="AB1116" s="177"/>
      <c r="AC1116" s="1916"/>
      <c r="AD1116" s="1917"/>
      <c r="AE1116" s="1917"/>
      <c r="AF1116" s="1918"/>
      <c r="AG1116" s="177"/>
      <c r="AH1116" s="1916"/>
      <c r="AI1116" s="1917"/>
      <c r="AJ1116" s="1917"/>
      <c r="AK1116" s="1918"/>
      <c r="AL1116" s="177"/>
    </row>
    <row r="1117" spans="2:38" s="176" customFormat="1" x14ac:dyDescent="0.45">
      <c r="B1117" s="1942"/>
      <c r="C1117" s="1945"/>
      <c r="D1117" s="1916"/>
      <c r="E1117" s="1917"/>
      <c r="F1117" s="1917"/>
      <c r="G1117" s="1918"/>
      <c r="H1117" s="177"/>
      <c r="I1117" s="1916"/>
      <c r="J1117" s="1917"/>
      <c r="K1117" s="1917"/>
      <c r="L1117" s="1918"/>
      <c r="M1117" s="177"/>
      <c r="N1117" s="1916"/>
      <c r="O1117" s="1917"/>
      <c r="P1117" s="1917"/>
      <c r="Q1117" s="1918"/>
      <c r="R1117" s="177"/>
      <c r="S1117" s="1916"/>
      <c r="T1117" s="1917"/>
      <c r="U1117" s="1917"/>
      <c r="V1117" s="1918"/>
      <c r="W1117" s="177"/>
      <c r="X1117" s="1916"/>
      <c r="Y1117" s="1917"/>
      <c r="Z1117" s="1917"/>
      <c r="AA1117" s="1918"/>
      <c r="AB1117" s="177"/>
      <c r="AC1117" s="1916"/>
      <c r="AD1117" s="1917"/>
      <c r="AE1117" s="1917"/>
      <c r="AF1117" s="1918"/>
      <c r="AG1117" s="177"/>
      <c r="AH1117" s="1916"/>
      <c r="AI1117" s="1917"/>
      <c r="AJ1117" s="1917"/>
      <c r="AK1117" s="1918"/>
      <c r="AL1117" s="177"/>
    </row>
    <row r="1118" spans="2:38" s="176" customFormat="1" x14ac:dyDescent="0.45">
      <c r="B1118" s="1942"/>
      <c r="C1118" s="1945"/>
      <c r="D1118" s="1916"/>
      <c r="E1118" s="1917"/>
      <c r="F1118" s="1917"/>
      <c r="G1118" s="1918"/>
      <c r="H1118" s="177"/>
      <c r="I1118" s="1916"/>
      <c r="J1118" s="1917"/>
      <c r="K1118" s="1917"/>
      <c r="L1118" s="1918"/>
      <c r="M1118" s="177"/>
      <c r="N1118" s="1916"/>
      <c r="O1118" s="1917"/>
      <c r="P1118" s="1917"/>
      <c r="Q1118" s="1918"/>
      <c r="R1118" s="177"/>
      <c r="S1118" s="1916"/>
      <c r="T1118" s="1917"/>
      <c r="U1118" s="1917"/>
      <c r="V1118" s="1918"/>
      <c r="W1118" s="177"/>
      <c r="X1118" s="1916"/>
      <c r="Y1118" s="1917"/>
      <c r="Z1118" s="1917"/>
      <c r="AA1118" s="1918"/>
      <c r="AB1118" s="177"/>
      <c r="AC1118" s="1916"/>
      <c r="AD1118" s="1917"/>
      <c r="AE1118" s="1917"/>
      <c r="AF1118" s="1918"/>
      <c r="AG1118" s="177"/>
      <c r="AH1118" s="1916"/>
      <c r="AI1118" s="1917"/>
      <c r="AJ1118" s="1917"/>
      <c r="AK1118" s="1918"/>
      <c r="AL1118" s="177"/>
    </row>
    <row r="1119" spans="2:38" s="176" customFormat="1" x14ac:dyDescent="0.45">
      <c r="B1119" s="1942"/>
      <c r="C1119" s="1945"/>
      <c r="D1119" s="1916"/>
      <c r="E1119" s="1917"/>
      <c r="F1119" s="1917"/>
      <c r="G1119" s="1918"/>
      <c r="H1119" s="177"/>
      <c r="I1119" s="1916"/>
      <c r="J1119" s="1917"/>
      <c r="K1119" s="1917"/>
      <c r="L1119" s="1918"/>
      <c r="M1119" s="177"/>
      <c r="N1119" s="1916"/>
      <c r="O1119" s="1917"/>
      <c r="P1119" s="1917"/>
      <c r="Q1119" s="1918"/>
      <c r="R1119" s="177"/>
      <c r="S1119" s="1916"/>
      <c r="T1119" s="1917"/>
      <c r="U1119" s="1917"/>
      <c r="V1119" s="1918"/>
      <c r="W1119" s="177"/>
      <c r="X1119" s="1916"/>
      <c r="Y1119" s="1917"/>
      <c r="Z1119" s="1917"/>
      <c r="AA1119" s="1918"/>
      <c r="AB1119" s="177"/>
      <c r="AC1119" s="1916"/>
      <c r="AD1119" s="1917"/>
      <c r="AE1119" s="1917"/>
      <c r="AF1119" s="1918"/>
      <c r="AG1119" s="177"/>
      <c r="AH1119" s="1916"/>
      <c r="AI1119" s="1917"/>
      <c r="AJ1119" s="1917"/>
      <c r="AK1119" s="1918"/>
      <c r="AL1119" s="177"/>
    </row>
    <row r="1120" spans="2:38" s="176" customFormat="1" x14ac:dyDescent="0.45">
      <c r="B1120" s="1942"/>
      <c r="C1120" s="1945"/>
      <c r="D1120" s="1916"/>
      <c r="E1120" s="1917"/>
      <c r="F1120" s="1917"/>
      <c r="G1120" s="1918"/>
      <c r="H1120" s="177"/>
      <c r="I1120" s="1916"/>
      <c r="J1120" s="1917"/>
      <c r="K1120" s="1917"/>
      <c r="L1120" s="1918"/>
      <c r="N1120" s="1916"/>
      <c r="O1120" s="1917"/>
      <c r="P1120" s="1917"/>
      <c r="Q1120" s="1918"/>
      <c r="S1120" s="1916"/>
      <c r="T1120" s="1917"/>
      <c r="U1120" s="1917"/>
      <c r="V1120" s="1918"/>
      <c r="X1120" s="1916"/>
      <c r="Y1120" s="1917"/>
      <c r="Z1120" s="1917"/>
      <c r="AA1120" s="1918"/>
      <c r="AC1120" s="1916"/>
      <c r="AD1120" s="1917"/>
      <c r="AE1120" s="1917"/>
      <c r="AF1120" s="1918"/>
      <c r="AH1120" s="1916"/>
      <c r="AI1120" s="1917"/>
      <c r="AJ1120" s="1917"/>
      <c r="AK1120" s="1918"/>
    </row>
    <row r="1121" spans="2:38" s="176" customFormat="1" ht="14.65" thickBot="1" x14ac:dyDescent="0.5">
      <c r="B1121" s="1943"/>
      <c r="C1121" s="1946"/>
      <c r="D1121" s="1938"/>
      <c r="E1121" s="1939"/>
      <c r="F1121" s="1939"/>
      <c r="G1121" s="1940"/>
      <c r="H1121" s="177"/>
      <c r="I1121" s="1938"/>
      <c r="J1121" s="1939"/>
      <c r="K1121" s="1939"/>
      <c r="L1121" s="1940"/>
      <c r="N1121" s="1938"/>
      <c r="O1121" s="1939"/>
      <c r="P1121" s="1939"/>
      <c r="Q1121" s="1940"/>
      <c r="S1121" s="1938"/>
      <c r="T1121" s="1939"/>
      <c r="U1121" s="1939"/>
      <c r="V1121" s="1940"/>
      <c r="X1121" s="1938"/>
      <c r="Y1121" s="1939"/>
      <c r="Z1121" s="1939"/>
      <c r="AA1121" s="1940"/>
      <c r="AC1121" s="1938"/>
      <c r="AD1121" s="1939"/>
      <c r="AE1121" s="1939"/>
      <c r="AF1121" s="1940"/>
      <c r="AH1121" s="1938"/>
      <c r="AI1121" s="1939"/>
      <c r="AJ1121" s="1939"/>
      <c r="AK1121" s="1940"/>
    </row>
    <row r="1122" spans="2:38" s="176" customFormat="1" ht="14.65" thickBot="1" x14ac:dyDescent="0.5">
      <c r="H1122" s="177"/>
    </row>
    <row r="1123" spans="2:38" s="176" customFormat="1" ht="15" customHeight="1" thickBot="1" x14ac:dyDescent="0.5">
      <c r="B1123" s="1941">
        <v>21</v>
      </c>
      <c r="C1123" s="1944" t="str">
        <f ca="1">IF(INDEX(display_strategy,1,B1123)="","", CONCATENATE(INDEX(display_strategy,1,B1123),": ",HLOOKUP(INDEX(display_strategy,1,B1123),strategies,4,TRUE)))</f>
        <v/>
      </c>
      <c r="D1123" s="1418" t="str">
        <f ca="1">CONCATENATE("Strategy: ",INDEX(display_strategy,$B1123))</f>
        <v xml:space="preserve">Strategy: </v>
      </c>
      <c r="E1123" s="1947">
        <f>plan_start_date + ($B1123-1)*7 + (COLUMN(D$2)-2)/5</f>
        <v>43514.400000000001</v>
      </c>
      <c r="F1123" s="1947"/>
      <c r="G1123" s="1417" t="str">
        <f>CONCATENATE("Slot: ", ((WEEKDAY(E$3,2)*2-1)+IF(E1124="Morning",0,1)))</f>
        <v>Slot: 1</v>
      </c>
      <c r="H1123" s="177"/>
      <c r="I1123" s="1418" t="str">
        <f ca="1">CONCATENATE("Strategy: ",INDEX(display_strategy,$B1123))</f>
        <v xml:space="preserve">Strategy: </v>
      </c>
      <c r="J1123" s="1947">
        <f>plan_start_date + ($B1123-1)*7 + (COLUMN(I$2)-2)/5</f>
        <v>43515.4</v>
      </c>
      <c r="K1123" s="1947"/>
      <c r="L1123" s="1417" t="str">
        <f>CONCATENATE("Slot: ", ((WEEKDAY(J$3,2)*2-1)+IF(J1124="Morning",0,1)))</f>
        <v>Slot: 3</v>
      </c>
      <c r="N1123" s="1418" t="str">
        <f ca="1">CONCATENATE("Strategy: ",INDEX(display_strategy,$B1123))</f>
        <v xml:space="preserve">Strategy: </v>
      </c>
      <c r="O1123" s="1947">
        <f>plan_start_date + ($B1123-1)*7 + (COLUMN(N$2)-2)/5</f>
        <v>43516.4</v>
      </c>
      <c r="P1123" s="1947"/>
      <c r="Q1123" s="1417" t="str">
        <f>CONCATENATE("Slot: ", ((WEEKDAY(O$3,2)*2-1)+IF(O1124="Morning",0,1)))</f>
        <v>Slot: 5</v>
      </c>
      <c r="S1123" s="1418" t="str">
        <f ca="1">CONCATENATE("Strategy: ",INDEX(display_strategy,$B1123))</f>
        <v xml:space="preserve">Strategy: </v>
      </c>
      <c r="T1123" s="1947">
        <f>plan_start_date + ($B1123-1)*7 + (COLUMN(S$2)-2)/5</f>
        <v>43517.4</v>
      </c>
      <c r="U1123" s="1947"/>
      <c r="V1123" s="1417" t="str">
        <f>CONCATENATE("Slot: ", ((WEEKDAY(T$3,2)*2-1)+IF(T1124="Morning",0,1)))</f>
        <v>Slot: 7</v>
      </c>
      <c r="X1123" s="1418" t="str">
        <f ca="1">CONCATENATE("Strategy: ",INDEX(display_strategy,$B1123))</f>
        <v xml:space="preserve">Strategy: </v>
      </c>
      <c r="Y1123" s="1947">
        <f>plan_start_date + ($B1123-1)*7 + (COLUMN(X$2)-2)/5</f>
        <v>43518.400000000001</v>
      </c>
      <c r="Z1123" s="1947"/>
      <c r="AA1123" s="1417" t="str">
        <f>CONCATENATE("Slot: ", ((WEEKDAY(Y$3,2)*2-1)+IF(Y1124="Morning",0,1)))</f>
        <v>Slot: 9</v>
      </c>
      <c r="AC1123" s="1418" t="str">
        <f ca="1">CONCATENATE("Strategy: ",INDEX(display_strategy,$B1123))</f>
        <v xml:space="preserve">Strategy: </v>
      </c>
      <c r="AD1123" s="1947">
        <f>plan_start_date + ($B1123-1)*7 + (COLUMN(AC$2)-2)/5</f>
        <v>43519.4</v>
      </c>
      <c r="AE1123" s="1947"/>
      <c r="AF1123" s="1417" t="str">
        <f>CONCATENATE("Slot: ", ((WEEKDAY(AD$3,2)*2-1)+IF(AD1124="Morning",0,1)))</f>
        <v>Slot: 11</v>
      </c>
      <c r="AH1123" s="1418" t="str">
        <f ca="1">CONCATENATE("Strategy: ",INDEX(display_strategy,$B1123))</f>
        <v xml:space="preserve">Strategy: </v>
      </c>
      <c r="AI1123" s="1947">
        <f>plan_start_date + ($B1123-1)*7 + (COLUMN(AH$2)-2)/5</f>
        <v>43520.4</v>
      </c>
      <c r="AJ1123" s="1947"/>
      <c r="AK1123" s="1417" t="str">
        <f>CONCATENATE("Slot: ", ((WEEKDAY(AI$3,2)*2-1)+IF(AI1124="Morning",0,1)))</f>
        <v>Slot: 13</v>
      </c>
    </row>
    <row r="1124" spans="2:38" s="176" customFormat="1" x14ac:dyDescent="0.45">
      <c r="B1124" s="1942"/>
      <c r="C1124" s="1945"/>
      <c r="D1124" s="1413">
        <f>$B1123</f>
        <v>21</v>
      </c>
      <c r="E1124" s="1930" t="s">
        <v>351</v>
      </c>
      <c r="F1124" s="1930"/>
      <c r="G1124" s="1412">
        <f ca="1">INDEX(final_duration_session, ((WEEKDAY(E$3,2)*2-1)+IF(E1124="Morning",0,1)), $D1124)</f>
        <v>0</v>
      </c>
      <c r="H1124" s="177"/>
      <c r="I1124" s="1413">
        <f>$B1123</f>
        <v>21</v>
      </c>
      <c r="J1124" s="1930" t="s">
        <v>351</v>
      </c>
      <c r="K1124" s="1930"/>
      <c r="L1124" s="1412">
        <f ca="1">INDEX(final_duration_session, ((WEEKDAY(J$3,2)*2-1)+IF(J1124="Morning",0,1)), $D1124)</f>
        <v>0</v>
      </c>
      <c r="M1124" s="177"/>
      <c r="N1124" s="1413">
        <f>$B1123</f>
        <v>21</v>
      </c>
      <c r="O1124" s="1930" t="s">
        <v>351</v>
      </c>
      <c r="P1124" s="1930"/>
      <c r="Q1124" s="1412">
        <f ca="1">INDEX(final_duration_session, ((WEEKDAY(O$3,2)*2-1)+IF(O1124="Morning",0,1)), $D1124)</f>
        <v>0</v>
      </c>
      <c r="R1124" s="177"/>
      <c r="S1124" s="1413">
        <f>$B1123</f>
        <v>21</v>
      </c>
      <c r="T1124" s="1930" t="s">
        <v>351</v>
      </c>
      <c r="U1124" s="1930"/>
      <c r="V1124" s="1412">
        <f ca="1">INDEX(final_duration_session, ((WEEKDAY(T$3,2)*2-1)+IF(T1124="Morning",0,1)), $D1124)</f>
        <v>0</v>
      </c>
      <c r="W1124" s="177"/>
      <c r="X1124" s="1413">
        <f>$B1123</f>
        <v>21</v>
      </c>
      <c r="Y1124" s="1930" t="s">
        <v>351</v>
      </c>
      <c r="Z1124" s="1930"/>
      <c r="AA1124" s="1412">
        <f ca="1">INDEX(final_duration_session, ((WEEKDAY(Y$3,2)*2-1)+IF(Y1124="Morning",0,1)), $D1124)</f>
        <v>0</v>
      </c>
      <c r="AB1124" s="177"/>
      <c r="AC1124" s="1413">
        <f>$B1123</f>
        <v>21</v>
      </c>
      <c r="AD1124" s="1930" t="s">
        <v>351</v>
      </c>
      <c r="AE1124" s="1930"/>
      <c r="AF1124" s="1412">
        <f ca="1">INDEX(final_duration_session, ((WEEKDAY(AD$3,2)*2-1)+IF(AD1124="Morning",0,1)), $D1124)</f>
        <v>0</v>
      </c>
      <c r="AG1124" s="177"/>
      <c r="AH1124" s="1413">
        <f>$B1123</f>
        <v>21</v>
      </c>
      <c r="AI1124" s="1930" t="s">
        <v>351</v>
      </c>
      <c r="AJ1124" s="1930"/>
      <c r="AK1124" s="1412">
        <f ca="1">INDEX(final_duration_session, ((WEEKDAY(AI$3,2)*2-1)+IF(AI1124="Morning",0,1)), $D1124)</f>
        <v>0</v>
      </c>
      <c r="AL1124" s="177"/>
    </row>
    <row r="1125" spans="2:38" s="176" customFormat="1" ht="15" customHeight="1" x14ac:dyDescent="0.45">
      <c r="B1125" s="1942"/>
      <c r="C1125" s="1945"/>
      <c r="D1125" s="1931" t="str">
        <f ca="1">IF(G1124&gt;0,INDEX(sessions_name,INDEX(plan_session_allocation,((WEEKDAY(E$3,2)*2-1)+IF(E1124="Morning",0,1)),D1124)),"")</f>
        <v/>
      </c>
      <c r="E1125" s="1932"/>
      <c r="F1125" s="1932"/>
      <c r="G1125" s="1933"/>
      <c r="H1125" s="177"/>
      <c r="I1125" s="1931" t="str">
        <f ca="1">IF(L1124&gt;0,INDEX(sessions_name,INDEX(plan_session_allocation,((WEEKDAY(J$3,2)*2-1)+IF(J1124="Morning",0,1)),I1124)),"")</f>
        <v/>
      </c>
      <c r="J1125" s="1932"/>
      <c r="K1125" s="1932"/>
      <c r="L1125" s="1933"/>
      <c r="M1125" s="177"/>
      <c r="N1125" s="1931" t="str">
        <f ca="1">IF(Q1124&gt;0,INDEX(sessions_name,INDEX(plan_session_allocation,((WEEKDAY(O$3,2)*2-1)+IF(O1124="Morning",0,1)),N1124)),"")</f>
        <v/>
      </c>
      <c r="O1125" s="1932"/>
      <c r="P1125" s="1932"/>
      <c r="Q1125" s="1933"/>
      <c r="R1125" s="177"/>
      <c r="S1125" s="1931" t="str">
        <f ca="1">IF(V1124&gt;0,INDEX(sessions_name,INDEX(plan_session_allocation,((WEEKDAY(T$3,2)*2-1)+IF(T1124="Morning",0,1)),S1124)),"")</f>
        <v/>
      </c>
      <c r="T1125" s="1932"/>
      <c r="U1125" s="1932"/>
      <c r="V1125" s="1933"/>
      <c r="W1125" s="177"/>
      <c r="X1125" s="1931" t="str">
        <f ca="1">IF(AA1124&gt;0,INDEX(sessions_name,INDEX(plan_session_allocation,((WEEKDAY(Y$3,2)*2-1)+IF(Y1124="Morning",0,1)),X1124)),"")</f>
        <v/>
      </c>
      <c r="Y1125" s="1932"/>
      <c r="Z1125" s="1932"/>
      <c r="AA1125" s="1933"/>
      <c r="AB1125" s="177"/>
      <c r="AC1125" s="1931" t="str">
        <f ca="1">IF(AF1124&gt;0,INDEX(sessions_name,INDEX(plan_session_allocation,((WEEKDAY(AD$3,2)*2-1)+IF(AD1124="Morning",0,1)),AC1124)),"")</f>
        <v/>
      </c>
      <c r="AD1125" s="1932"/>
      <c r="AE1125" s="1932"/>
      <c r="AF1125" s="1933"/>
      <c r="AG1125" s="177"/>
      <c r="AH1125" s="1931" t="str">
        <f ca="1">IF(AK1124&gt;0,INDEX(sessions_name,INDEX(plan_session_allocation,((WEEKDAY(AI$3,2)*2-1)+IF(AI1124="Morning",0,1)),AH1124)),"")</f>
        <v/>
      </c>
      <c r="AI1125" s="1932"/>
      <c r="AJ1125" s="1932"/>
      <c r="AK1125" s="1933"/>
      <c r="AL1125" s="177"/>
    </row>
    <row r="1126" spans="2:38" s="176" customFormat="1" ht="15" customHeight="1" x14ac:dyDescent="0.45">
      <c r="B1126" s="1942"/>
      <c r="C1126" s="1945"/>
      <c r="D1126" s="1934" t="str">
        <f ca="1">IF(G1124&gt;0,CONCATENATE("Sport: ",INDEX(sessions_sport_primary,INDEX(plan_session_allocation,(WEEKDAY(E$3,2)*2-1)+IF(E1124="Morning",0,1),D1124))),"")</f>
        <v/>
      </c>
      <c r="E1126" s="1935"/>
      <c r="F1126" s="1936" t="str">
        <f ca="1">IF(G1124&gt;0,IFERROR(F1127+F1128+F1129,""),"")</f>
        <v/>
      </c>
      <c r="G1126" s="1937"/>
      <c r="H1126" s="177"/>
      <c r="I1126" s="1934" t="str">
        <f ca="1">IF(L1124&gt;0,CONCATENATE("Sport: ",INDEX(sessions_sport_primary,INDEX(plan_session_allocation,(WEEKDAY(J$3,2)*2-1)+IF(J1124="Morning",0,1),I1124))),"")</f>
        <v/>
      </c>
      <c r="J1126" s="1935"/>
      <c r="K1126" s="1936" t="str">
        <f ca="1">IF(L1124&gt;0,IFERROR(K1127+K1128+K1129,""),"")</f>
        <v/>
      </c>
      <c r="L1126" s="1937"/>
      <c r="M1126" s="177"/>
      <c r="N1126" s="1934" t="str">
        <f ca="1">IF(Q1124&gt;0,CONCATENATE("Sport: ",INDEX(sessions_sport_primary,INDEX(plan_session_allocation,(WEEKDAY(O$3,2)*2-1)+IF(O1124="Morning",0,1),N1124))),"")</f>
        <v/>
      </c>
      <c r="O1126" s="1935"/>
      <c r="P1126" s="1936" t="str">
        <f ca="1">IF(Q1124&gt;0,IFERROR(P1127+P1128+P1129,""),"")</f>
        <v/>
      </c>
      <c r="Q1126" s="1937"/>
      <c r="R1126" s="177"/>
      <c r="S1126" s="1934" t="str">
        <f ca="1">IF(V1124&gt;0,CONCATENATE("Sport: ",INDEX(sessions_sport_primary,INDEX(plan_session_allocation,(WEEKDAY(T$3,2)*2-1)+IF(T1124="Morning",0,1),S1124))),"")</f>
        <v/>
      </c>
      <c r="T1126" s="1935"/>
      <c r="U1126" s="1936" t="str">
        <f ca="1">IF(V1124&gt;0,IFERROR(U1127+U1128+U1129,""),"")</f>
        <v/>
      </c>
      <c r="V1126" s="1937"/>
      <c r="W1126" s="177"/>
      <c r="X1126" s="1934" t="str">
        <f ca="1">IF(AA1124&gt;0,CONCATENATE("Sport: ",INDEX(sessions_sport_primary,INDEX(plan_session_allocation,(WEEKDAY(Y$3,2)*2-1)+IF(Y1124="Morning",0,1),X1124))),"")</f>
        <v/>
      </c>
      <c r="Y1126" s="1935"/>
      <c r="Z1126" s="1936" t="str">
        <f ca="1">IF(AA1124&gt;0,IFERROR(Z1127+Z1128+Z1129,""),"")</f>
        <v/>
      </c>
      <c r="AA1126" s="1937"/>
      <c r="AB1126" s="177"/>
      <c r="AC1126" s="1934" t="str">
        <f ca="1">IF(AF1124&gt;0,CONCATENATE("Sport: ",INDEX(sessions_sport_primary,INDEX(plan_session_allocation,(WEEKDAY(AD$3,2)*2-1)+IF(AD1124="Morning",0,1),AC1124))),"")</f>
        <v/>
      </c>
      <c r="AD1126" s="1935"/>
      <c r="AE1126" s="1936" t="str">
        <f ca="1">IF(AF1124&gt;0,IFERROR(AE1127+AE1128+AE1129,""),"")</f>
        <v/>
      </c>
      <c r="AF1126" s="1937"/>
      <c r="AG1126" s="177"/>
      <c r="AH1126" s="1934" t="str">
        <f ca="1">IF(AK1124&gt;0,CONCATENATE("Sport: ",INDEX(sessions_sport_primary,INDEX(plan_session_allocation,(WEEKDAY(AI$3,2)*2-1)+IF(AI1124="Morning",0,1),AH1124))),"")</f>
        <v/>
      </c>
      <c r="AI1126" s="1935"/>
      <c r="AJ1126" s="1936" t="str">
        <f ca="1">IF(AK1124&gt;0,IFERROR(AJ1127+AJ1128+AJ1129,""),"")</f>
        <v/>
      </c>
      <c r="AK1126" s="1937"/>
      <c r="AL1126" s="177"/>
    </row>
    <row r="1127" spans="2:38" s="176" customFormat="1" ht="15" customHeight="1" x14ac:dyDescent="0.45">
      <c r="B1127" s="1942"/>
      <c r="C1127" s="1945"/>
      <c r="D1127" s="1922" t="str">
        <f ca="1">IF(G1124&gt;0,CONCATENATE("HR Target: ",
INDEX(sessions_HR_primary,INDEX(plan_session_allocation,((WEEKDAY(E$3,2)*2-1)+IF(E1124="Morning",0,1)),D1124)),
IF(INDEX(sessions_HR_primary,INDEX(plan_session_allocation,((WEEKDAY(E$3,2)*2-1)+IF(E1124="Morning",0,1)),D1124))="N/A","",
" BPM")),"")</f>
        <v/>
      </c>
      <c r="E1127" s="1923"/>
      <c r="F1127" s="1924" t="str">
        <f ca="1">IF(G1124&gt;0,
INDEX(final_duration_effort,((WEEKDAY(E$3,2)*2-1)+IF(E1124="Morning",0,1)),D1124),"")</f>
        <v/>
      </c>
      <c r="G1127" s="1925"/>
      <c r="H1127" s="177"/>
      <c r="I1127" s="1922" t="str">
        <f ca="1">IF(L1124&gt;0,CONCATENATE("HR Target: ",
INDEX(sessions_HR_primary,INDEX(plan_session_allocation,((WEEKDAY(J$3,2)*2-1)+IF(J1124="Morning",0,1)),I1124)),
IF(INDEX(sessions_HR_primary,INDEX(plan_session_allocation,((WEEKDAY(J$3,2)*2-1)+IF(J1124="Morning",0,1)),I1124))="N/A","",
" BPM")),"")</f>
        <v/>
      </c>
      <c r="J1127" s="1923"/>
      <c r="K1127" s="1924" t="str">
        <f ca="1">IF(L1124&gt;0,
INDEX(final_duration_effort,((WEEKDAY(J$3,2)*2-1)+IF(J1124="Morning",0,1)),I1124),"")</f>
        <v/>
      </c>
      <c r="L1127" s="1925"/>
      <c r="M1127" s="177"/>
      <c r="N1127" s="1922" t="str">
        <f ca="1">IF(Q1124&gt;0,CONCATENATE("HR Target: ",
INDEX(sessions_HR_primary,INDEX(plan_session_allocation,((WEEKDAY(O$3,2)*2-1)+IF(O1124="Morning",0,1)),N1124)),
IF(INDEX(sessions_HR_primary,INDEX(plan_session_allocation,((WEEKDAY(O$3,2)*2-1)+IF(O1124="Morning",0,1)),N1124))="N/A","",
" BPM")),"")</f>
        <v/>
      </c>
      <c r="O1127" s="1923"/>
      <c r="P1127" s="1924" t="str">
        <f ca="1">IF(Q1124&gt;0,
INDEX(final_duration_effort,((WEEKDAY(O$3,2)*2-1)+IF(O1124="Morning",0,1)),N1124),"")</f>
        <v/>
      </c>
      <c r="Q1127" s="1925"/>
      <c r="R1127" s="177"/>
      <c r="S1127" s="1922" t="str">
        <f ca="1">IF(V1124&gt;0,CONCATENATE("HR Target: ",
INDEX(sessions_HR_primary,INDEX(plan_session_allocation,((WEEKDAY(T$3,2)*2-1)+IF(T1124="Morning",0,1)),S1124)),
IF(INDEX(sessions_HR_primary,INDEX(plan_session_allocation,((WEEKDAY(T$3,2)*2-1)+IF(T1124="Morning",0,1)),S1124))="N/A","",
" BPM")),"")</f>
        <v/>
      </c>
      <c r="T1127" s="1923"/>
      <c r="U1127" s="1924" t="str">
        <f ca="1">IF(V1124&gt;0,
INDEX(final_duration_effort,((WEEKDAY(T$3,2)*2-1)+IF(T1124="Morning",0,1)),S1124),"")</f>
        <v/>
      </c>
      <c r="V1127" s="1925"/>
      <c r="W1127" s="177"/>
      <c r="X1127" s="1922" t="str">
        <f ca="1">IF(AA1124&gt;0,CONCATENATE("HR Target: ",
INDEX(sessions_HR_primary,INDEX(plan_session_allocation,((WEEKDAY(Y$3,2)*2-1)+IF(Y1124="Morning",0,1)),X1124)),
IF(INDEX(sessions_HR_primary,INDEX(plan_session_allocation,((WEEKDAY(Y$3,2)*2-1)+IF(Y1124="Morning",0,1)),X1124))="N/A","",
" BPM")),"")</f>
        <v/>
      </c>
      <c r="Y1127" s="1923"/>
      <c r="Z1127" s="1924" t="str">
        <f ca="1">IF(AA1124&gt;0,
INDEX(final_duration_effort,((WEEKDAY(Y$3,2)*2-1)+IF(Y1124="Morning",0,1)),X1124),"")</f>
        <v/>
      </c>
      <c r="AA1127" s="1925"/>
      <c r="AB1127" s="177"/>
      <c r="AC1127" s="1922" t="str">
        <f ca="1">IF(AF1124&gt;0,CONCATENATE("HR Target: ",
INDEX(sessions_HR_primary,INDEX(plan_session_allocation,((WEEKDAY(AD$3,2)*2-1)+IF(AD1124="Morning",0,1)),AC1124)),
IF(INDEX(sessions_HR_primary,INDEX(plan_session_allocation,((WEEKDAY(AD$3,2)*2-1)+IF(AD1124="Morning",0,1)),AC1124))="N/A","",
" BPM")),"")</f>
        <v/>
      </c>
      <c r="AD1127" s="1923"/>
      <c r="AE1127" s="1924" t="str">
        <f ca="1">IF(AF1124&gt;0,
INDEX(final_duration_effort,((WEEKDAY(AD$3,2)*2-1)+IF(AD1124="Morning",0,1)),AC1124),"")</f>
        <v/>
      </c>
      <c r="AF1127" s="1925"/>
      <c r="AG1127" s="177"/>
      <c r="AH1127" s="1922" t="str">
        <f ca="1">IF(AK1124&gt;0,CONCATENATE("HR Target: ",
INDEX(sessions_HR_primary,INDEX(plan_session_allocation,((WEEKDAY(AI$3,2)*2-1)+IF(AI1124="Morning",0,1)),AH1124)),
IF(INDEX(sessions_HR_primary,INDEX(plan_session_allocation,((WEEKDAY(AI$3,2)*2-1)+IF(AI1124="Morning",0,1)),AH1124))="N/A","",
" BPM")),"")</f>
        <v/>
      </c>
      <c r="AI1127" s="1923"/>
      <c r="AJ1127" s="1924" t="str">
        <f ca="1">IF(AK1124&gt;0,
INDEX(final_duration_effort,((WEEKDAY(AI$3,2)*2-1)+IF(AI1124="Morning",0,1)),AH1124),"")</f>
        <v/>
      </c>
      <c r="AK1127" s="1925"/>
      <c r="AL1127" s="177"/>
    </row>
    <row r="1128" spans="2:38" s="179" customFormat="1" x14ac:dyDescent="0.45">
      <c r="B1128" s="1942"/>
      <c r="C1128" s="1945"/>
      <c r="D1128" s="1926" t="str">
        <f ca="1">IF(G1124&gt;0,CONCATENATE("HR Range: ",
INDEX(sessions_HR_range_primary,INDEX(plan_session_allocation,((WEEKDAY(E$3,2)*2-1)+IF(E1124="Morning",0,1)),D1124)),
IF(INDEX(sessions_HR_range_primary,INDEX(plan_session_allocation,((WEEKDAY(E$3,2)*2-1)+IF(E1124="Morning",0,1)),D1124))="N/A","",
" BPM")),"")</f>
        <v/>
      </c>
      <c r="E1128" s="1927"/>
      <c r="F1128" s="1928" t="str">
        <f ca="1">IF(G1124&gt;0,IF(
INDEX(sessions_recoveries,INDEX(plan_session_allocation,((WEEKDAY(E$3,2)*2-1)+IF(E1124="Morning",0,1)),D1124))="Yes",
VLOOKUP(INDEX(plan_duration_primary,((WEEKDAY(E$3,2)*2-1)+IF(E1124="Morning",0,1)),D1124),
INDIRECT(INDEX(sessions_intervals_code_primary,INDEX(plan_session_allocation,((WEEKDAY(E$3,2)*2-1)+IF(E1124="Morning",0,1)),D1124))),7,TRUE),0),"")</f>
        <v/>
      </c>
      <c r="G1128" s="1929"/>
      <c r="H1128" s="178"/>
      <c r="I1128" s="1926" t="str">
        <f ca="1">IF(L1124&gt;0,CONCATENATE("HR Range: ",
INDEX(sessions_HR_range_primary,INDEX(plan_session_allocation,((WEEKDAY(J$3,2)*2-1)+IF(J1124="Morning",0,1)),I1124)),
IF(INDEX(sessions_HR_range_primary,INDEX(plan_session_allocation,((WEEKDAY(J$3,2)*2-1)+IF(J1124="Morning",0,1)),I1124))="N/A","",
" BPM")),"")</f>
        <v/>
      </c>
      <c r="J1128" s="1927"/>
      <c r="K1128" s="1928" t="str">
        <f ca="1">IF(L1124&gt;0,IF(
INDEX(sessions_recoveries,INDEX(plan_session_allocation,((WEEKDAY(J$3,2)*2-1)+IF(J1124="Morning",0,1)),I1124))="Yes",
VLOOKUP(INDEX(plan_duration_primary,((WEEKDAY(J$3,2)*2-1)+IF(J1124="Morning",0,1)),I1124),
INDIRECT(INDEX(sessions_intervals_code_primary,INDEX(plan_session_allocation,((WEEKDAY(J$3,2)*2-1)+IF(J1124="Morning",0,1)),I1124))),7,TRUE),0),"")</f>
        <v/>
      </c>
      <c r="L1128" s="1929"/>
      <c r="M1128" s="178"/>
      <c r="N1128" s="1926" t="str">
        <f ca="1">IF(Q1124&gt;0,CONCATENATE("HR Range: ",
INDEX(sessions_HR_range_primary,INDEX(plan_session_allocation,((WEEKDAY(O$3,2)*2-1)+IF(O1124="Morning",0,1)),N1124)),
IF(INDEX(sessions_HR_range_primary,INDEX(plan_session_allocation,((WEEKDAY(O$3,2)*2-1)+IF(O1124="Morning",0,1)),N1124))="N/A","",
" BPM")),"")</f>
        <v/>
      </c>
      <c r="O1128" s="1927"/>
      <c r="P1128" s="1928" t="str">
        <f ca="1">IF(Q1124&gt;0,IF(
INDEX(sessions_recoveries,INDEX(plan_session_allocation,((WEEKDAY(O$3,2)*2-1)+IF(O1124="Morning",0,1)),N1124))="Yes",
VLOOKUP(INDEX(plan_duration_primary,((WEEKDAY(O$3,2)*2-1)+IF(O1124="Morning",0,1)),N1124),
INDIRECT(INDEX(sessions_intervals_code_primary,INDEX(plan_session_allocation,((WEEKDAY(O$3,2)*2-1)+IF(O1124="Morning",0,1)),N1124))),7,TRUE),0),"")</f>
        <v/>
      </c>
      <c r="Q1128" s="1929"/>
      <c r="R1128" s="178"/>
      <c r="S1128" s="1926" t="str">
        <f ca="1">IF(V1124&gt;0,CONCATENATE("HR Range: ",
INDEX(sessions_HR_range_primary,INDEX(plan_session_allocation,((WEEKDAY(T$3,2)*2-1)+IF(T1124="Morning",0,1)),S1124)),
IF(INDEX(sessions_HR_range_primary,INDEX(plan_session_allocation,((WEEKDAY(T$3,2)*2-1)+IF(T1124="Morning",0,1)),S1124))="N/A","",
" BPM")),"")</f>
        <v/>
      </c>
      <c r="T1128" s="1927"/>
      <c r="U1128" s="1928" t="str">
        <f ca="1">IF(V1124&gt;0,IF(
INDEX(sessions_recoveries,INDEX(plan_session_allocation,((WEEKDAY(T$3,2)*2-1)+IF(T1124="Morning",0,1)),S1124))="Yes",
VLOOKUP(INDEX(plan_duration_primary,((WEEKDAY(T$3,2)*2-1)+IF(T1124="Morning",0,1)),S1124),
INDIRECT(INDEX(sessions_intervals_code_primary,INDEX(plan_session_allocation,((WEEKDAY(T$3,2)*2-1)+IF(T1124="Morning",0,1)),S1124))),7,TRUE),0),"")</f>
        <v/>
      </c>
      <c r="V1128" s="1929"/>
      <c r="W1128" s="178"/>
      <c r="X1128" s="1926" t="str">
        <f ca="1">IF(AA1124&gt;0,CONCATENATE("HR Range: ",
INDEX(sessions_HR_range_primary,INDEX(plan_session_allocation,((WEEKDAY(Y$3,2)*2-1)+IF(Y1124="Morning",0,1)),X1124)),
IF(INDEX(sessions_HR_range_primary,INDEX(plan_session_allocation,((WEEKDAY(Y$3,2)*2-1)+IF(Y1124="Morning",0,1)),X1124))="N/A","",
" BPM")),"")</f>
        <v/>
      </c>
      <c r="Y1128" s="1927"/>
      <c r="Z1128" s="1928" t="str">
        <f ca="1">IF(AA1124&gt;0,IF(
INDEX(sessions_recoveries,INDEX(plan_session_allocation,((WEEKDAY(Y$3,2)*2-1)+IF(Y1124="Morning",0,1)),X1124))="Yes",
VLOOKUP(INDEX(plan_duration_primary,((WEEKDAY(Y$3,2)*2-1)+IF(Y1124="Morning",0,1)),X1124),
INDIRECT(INDEX(sessions_intervals_code_primary,INDEX(plan_session_allocation,((WEEKDAY(Y$3,2)*2-1)+IF(Y1124="Morning",0,1)),X1124))),7,TRUE),0),"")</f>
        <v/>
      </c>
      <c r="AA1128" s="1929"/>
      <c r="AB1128" s="178"/>
      <c r="AC1128" s="1926" t="str">
        <f ca="1">IF(AF1124&gt;0,CONCATENATE("HR Range: ",
INDEX(sessions_HR_range_primary,INDEX(plan_session_allocation,((WEEKDAY(AD$3,2)*2-1)+IF(AD1124="Morning",0,1)),AC1124)),
IF(INDEX(sessions_HR_range_primary,INDEX(plan_session_allocation,((WEEKDAY(AD$3,2)*2-1)+IF(AD1124="Morning",0,1)),AC1124))="N/A","",
" BPM")),"")</f>
        <v/>
      </c>
      <c r="AD1128" s="1927"/>
      <c r="AE1128" s="1928" t="str">
        <f ca="1">IF(AF1124&gt;0,IF(
INDEX(sessions_recoveries,INDEX(plan_session_allocation,((WEEKDAY(AD$3,2)*2-1)+IF(AD1124="Morning",0,1)),AC1124))="Yes",
VLOOKUP(INDEX(plan_duration_primary,((WEEKDAY(AD$3,2)*2-1)+IF(AD1124="Morning",0,1)),AC1124),
INDIRECT(INDEX(sessions_intervals_code_primary,INDEX(plan_session_allocation,((WEEKDAY(AD$3,2)*2-1)+IF(AD1124="Morning",0,1)),AC1124))),7,TRUE),0),"")</f>
        <v/>
      </c>
      <c r="AF1128" s="1929"/>
      <c r="AG1128" s="178"/>
      <c r="AH1128" s="1926" t="str">
        <f ca="1">IF(AK1124&gt;0,CONCATENATE("HR Range: ",
INDEX(sessions_HR_range_primary,INDEX(plan_session_allocation,((WEEKDAY(AI$3,2)*2-1)+IF(AI1124="Morning",0,1)),AH1124)),
IF(INDEX(sessions_HR_range_primary,INDEX(plan_session_allocation,((WEEKDAY(AI$3,2)*2-1)+IF(AI1124="Morning",0,1)),AH1124))="N/A","",
" BPM")),"")</f>
        <v/>
      </c>
      <c r="AI1128" s="1927"/>
      <c r="AJ1128" s="1928" t="str">
        <f ca="1">IF(AK1124&gt;0,IF(
INDEX(sessions_recoveries,INDEX(plan_session_allocation,((WEEKDAY(AI$3,2)*2-1)+IF(AI1124="Morning",0,1)),AH1124))="Yes",
VLOOKUP(INDEX(plan_duration_primary,((WEEKDAY(AI$3,2)*2-1)+IF(AI1124="Morning",0,1)),AH1124),
INDIRECT(INDEX(sessions_intervals_code_primary,INDEX(plan_session_allocation,((WEEKDAY(AI$3,2)*2-1)+IF(AI1124="Morning",0,1)),AH1124))),7,TRUE),0),"")</f>
        <v/>
      </c>
      <c r="AK1128" s="1929"/>
      <c r="AL1128" s="178"/>
    </row>
    <row r="1129" spans="2:38" s="179" customFormat="1" ht="15" customHeight="1" x14ac:dyDescent="0.45">
      <c r="B1129" s="1942"/>
      <c r="C1129" s="1945"/>
      <c r="D1129" s="1909" t="str">
        <f ca="1">IF(G1124&gt;0,CONCATENATE("Equivalent Pace: ",
TEXT(INDEX(sessions_pace_primary,INDEX(plan_session_allocation,(WEEKDAY(E$3,2)*2-1)+IF(E1124="Morning",0,1),D1124)),"m:ss"),
" min/km"
),"")</f>
        <v/>
      </c>
      <c r="E1129" s="1910"/>
      <c r="F1129" s="1911" t="str">
        <f ca="1">IF(G1124&gt;0, INDEX(final_duration_WU,((WEEKDAY(E$3,2)*2-1)+IF(E1124="Morning",0,1)),D1124)  + INDEX(final_duration_WD,((WEEKDAY(E$3,2)*2-1)+IF(E1124="Morning",0,1)),D1124), "")</f>
        <v/>
      </c>
      <c r="G1129" s="1912"/>
      <c r="H1129" s="178"/>
      <c r="I1129" s="1909" t="str">
        <f ca="1">IF(L1124&gt;0,CONCATENATE("Equivalent Pace: ",
TEXT(INDEX(sessions_pace_primary,INDEX(plan_session_allocation,(WEEKDAY(J$3,2)*2-1)+IF(J1124="Morning",0,1),I1124)),"m:ss"),
" min/km"
),"")</f>
        <v/>
      </c>
      <c r="J1129" s="1910"/>
      <c r="K1129" s="1911" t="str">
        <f ca="1">IF(L1124&gt;0, INDEX(final_duration_WU,((WEEKDAY(J$3,2)*2-1)+IF(J1124="Morning",0,1)),I1124)  + INDEX(final_duration_WD,((WEEKDAY(J$3,2)*2-1)+IF(J1124="Morning",0,1)),I1124), "")</f>
        <v/>
      </c>
      <c r="L1129" s="1912"/>
      <c r="M1129" s="178"/>
      <c r="N1129" s="1909" t="str">
        <f ca="1">IF(Q1124&gt;0,CONCATENATE("Equivalent Pace: ",
TEXT(INDEX(sessions_pace_primary,INDEX(plan_session_allocation,(WEEKDAY(O$3,2)*2-1)+IF(O1124="Morning",0,1),N1124)),"m:ss"),
" min/km"
),"")</f>
        <v/>
      </c>
      <c r="O1129" s="1910"/>
      <c r="P1129" s="1911" t="str">
        <f ca="1">IF(Q1124&gt;0, INDEX(final_duration_WU,((WEEKDAY(O$3,2)*2-1)+IF(O1124="Morning",0,1)),N1124)  + INDEX(final_duration_WD,((WEEKDAY(O$3,2)*2-1)+IF(O1124="Morning",0,1)),N1124), "")</f>
        <v/>
      </c>
      <c r="Q1129" s="1912"/>
      <c r="R1129" s="178"/>
      <c r="S1129" s="1909" t="str">
        <f ca="1">IF(V1124&gt;0,CONCATENATE("Equivalent Pace: ",
TEXT(INDEX(sessions_pace_primary,INDEX(plan_session_allocation,(WEEKDAY(T$3,2)*2-1)+IF(T1124="Morning",0,1),S1124)),"m:ss"),
" min/km"
),"")</f>
        <v/>
      </c>
      <c r="T1129" s="1910"/>
      <c r="U1129" s="1911" t="str">
        <f ca="1">IF(V1124&gt;0, INDEX(final_duration_WU,((WEEKDAY(T$3,2)*2-1)+IF(T1124="Morning",0,1)),S1124)  + INDEX(final_duration_WD,((WEEKDAY(T$3,2)*2-1)+IF(T1124="Morning",0,1)),S1124), "")</f>
        <v/>
      </c>
      <c r="V1129" s="1912"/>
      <c r="W1129" s="178"/>
      <c r="X1129" s="1909" t="str">
        <f ca="1">IF(AA1124&gt;0,CONCATENATE("Equivalent Pace: ",
TEXT(INDEX(sessions_pace_primary,INDEX(plan_session_allocation,(WEEKDAY(Y$3,2)*2-1)+IF(Y1124="Morning",0,1),X1124)),"m:ss"),
" min/km"
),"")</f>
        <v/>
      </c>
      <c r="Y1129" s="1910"/>
      <c r="Z1129" s="1911" t="str">
        <f ca="1">IF(AA1124&gt;0, INDEX(final_duration_WU,((WEEKDAY(Y$3,2)*2-1)+IF(Y1124="Morning",0,1)),X1124)  + INDEX(final_duration_WD,((WEEKDAY(Y$3,2)*2-1)+IF(Y1124="Morning",0,1)),X1124), "")</f>
        <v/>
      </c>
      <c r="AA1129" s="1912"/>
      <c r="AB1129" s="178"/>
      <c r="AC1129" s="1909" t="str">
        <f ca="1">IF(AF1124&gt;0,CONCATENATE("Equivalent Pace: ",
TEXT(INDEX(sessions_pace_primary,INDEX(plan_session_allocation,(WEEKDAY(AD$3,2)*2-1)+IF(AD1124="Morning",0,1),AC1124)),"m:ss"),
" min/km"
),"")</f>
        <v/>
      </c>
      <c r="AD1129" s="1910"/>
      <c r="AE1129" s="1911" t="str">
        <f ca="1">IF(AF1124&gt;0, INDEX(final_duration_WU,((WEEKDAY(AD$3,2)*2-1)+IF(AD1124="Morning",0,1)),AC1124)  + INDEX(final_duration_WD,((WEEKDAY(AD$3,2)*2-1)+IF(AD1124="Morning",0,1)),AC1124), "")</f>
        <v/>
      </c>
      <c r="AF1129" s="1912"/>
      <c r="AG1129" s="178"/>
      <c r="AH1129" s="1909" t="str">
        <f ca="1">IF(AK1124&gt;0,CONCATENATE("Equivalent Pace: ",
TEXT(INDEX(sessions_pace_primary,INDEX(plan_session_allocation,(WEEKDAY(AI$3,2)*2-1)+IF(AI1124="Morning",0,1),AH1124)),"m:ss"),
" min/km"
),"")</f>
        <v/>
      </c>
      <c r="AI1129" s="1910"/>
      <c r="AJ1129" s="1911" t="str">
        <f ca="1">IF(AK1124&gt;0, INDEX(final_duration_WU,((WEEKDAY(AI$3,2)*2-1)+IF(AI1124="Morning",0,1)),AH1124)  + INDEX(final_duration_WD,((WEEKDAY(AI$3,2)*2-1)+IF(AI1124="Morning",0,1)),AH1124), "")</f>
        <v/>
      </c>
      <c r="AK1129" s="1912"/>
      <c r="AL1129" s="178"/>
    </row>
    <row r="1130" spans="2:38" s="180" customFormat="1" ht="15" customHeight="1" x14ac:dyDescent="0.45">
      <c r="B1130" s="1942"/>
      <c r="C1130" s="1945"/>
      <c r="D1130" s="1913" t="str">
        <f ca="1">IF(G1124&gt;0,CONCATENATE(IFERROR(CONCATENATE(IF(INDEX(display_intervals_breakdown,((WEEKDAY(E$3,2)*2-1)+IF(E1124="Morning",0,1)),D1124)="","",CONCATENATE("Intervals/Reps Breakdown: 
",INDEX(display_intervals_breakdown,((WEEKDAY(E$3,2)*2-1)+IF(E1124="Morning",0,1)),D1124),"
")),"Session Description: 
",CONCATENATE(IF(INDEX(final_duration_secondary,((WEEKDAY(E$3,2)*2-1)+IF(E1124="Morning",0,1)),D1124)=0,"","1. "),
INDEX(sessions_description_primary,,INDEX(plan_session_allocation,((WEEKDAY(E$3,2)*2-1)+IF(E1124="Morning",0,1)),D1124)),IF(INDEX(final_duration_secondary,((WEEKDAY(E$3,2)*2-1)+IF(E1124="Morning",0,1)),D1124)=0,"","
2. "),
IF(INDEX(final_duration_secondary,((WEEKDAY(E$3,2)*2-1)+IF(E1124="Morning",0,1)),D1124)=0,"",INDEX(sessions_description_secondary,,INDEX(plan_session_allocation,((WEEKDAY(E$3,2)*2-1)+IF(E1124="Morning",0,1)),D1124))),IF(INDEX(final_duration_tertiary,((WEEKDAY(E$3,2)*2-1)+IF(E1124="Morning",0,1)),D1124)=0,"","
3. "),
IF(INDEX(final_duration_tertiary,((WEEKDAY(E$3,2)*2-1)+IF(E1124="Morning",0,1)),D1124)="","",INDEX(sessions_description_tertiary,,INDEX(plan_session_allocation,((WEEKDAY(E$3,2)*2-1)+IF(E1124="Morning",0,1)),D1124))),
IF(INDEX(display_nutrition_description,((WEEKDAY(E$3,2)*2-1)+IF(E1124="Morning",0,1)),D1124)="","",
CONCATENATE("
Meal Plan: ", INDEX(sessions_nutrition,,INDEX(plan_session_allocation,((WEEKDAY(E$3,2)*2-1)+IF(E1124="Morning",0,1)),D1124)), "
", INDEX(display_nutrition_description,((WEEKDAY(E$3,2)*2-1)+IF(E1124="Morning",0,1)),D1124)))
)),"")),"")</f>
        <v/>
      </c>
      <c r="E1130" s="1914"/>
      <c r="F1130" s="1914"/>
      <c r="G1130" s="1915"/>
      <c r="I1130" s="1913" t="str">
        <f ca="1">IF(L1124&gt;0,CONCATENATE(IFERROR(CONCATENATE(IF(INDEX(display_intervals_breakdown,((WEEKDAY(J$3,2)*2-1)+IF(J1124="Morning",0,1)),I1124)="","",CONCATENATE("Intervals/Reps Breakdown: 
",INDEX(display_intervals_breakdown,((WEEKDAY(J$3,2)*2-1)+IF(J1124="Morning",0,1)),I1124),"
")),"Session Description: 
",CONCATENATE(IF(INDEX(final_duration_secondary,((WEEKDAY(J$3,2)*2-1)+IF(J1124="Morning",0,1)),I1124)=0,"","1. "),
INDEX(sessions_description_primary,,INDEX(plan_session_allocation,((WEEKDAY(J$3,2)*2-1)+IF(J1124="Morning",0,1)),I1124)),IF(INDEX(final_duration_secondary,((WEEKDAY(J$3,2)*2-1)+IF(J1124="Morning",0,1)),I1124)=0,"","
2. "),
IF(INDEX(final_duration_secondary,((WEEKDAY(J$3,2)*2-1)+IF(J1124="Morning",0,1)),I1124)=0,"",INDEX(sessions_description_secondary,,INDEX(plan_session_allocation,((WEEKDAY(J$3,2)*2-1)+IF(J1124="Morning",0,1)),I1124))),IF(INDEX(final_duration_tertiary,((WEEKDAY(J$3,2)*2-1)+IF(J1124="Morning",0,1)),I1124)=0,"","
3. "),
IF(INDEX(final_duration_tertiary,((WEEKDAY(J$3,2)*2-1)+IF(J1124="Morning",0,1)),I1124)="","",INDEX(sessions_description_tertiary,,INDEX(plan_session_allocation,((WEEKDAY(J$3,2)*2-1)+IF(J1124="Morning",0,1)),I1124))),
IF(INDEX(display_nutrition_description,((WEEKDAY(J$3,2)*2-1)+IF(J1124="Morning",0,1)),I1124)="","",
CONCATENATE("
Meal Plan: ", INDEX(sessions_nutrition,,INDEX(plan_session_allocation,((WEEKDAY(J$3,2)*2-1)+IF(J1124="Morning",0,1)),I1124)), "
", INDEX(display_nutrition_description,((WEEKDAY(J$3,2)*2-1)+IF(J1124="Morning",0,1)),I1124)))
)),"")),"")</f>
        <v/>
      </c>
      <c r="J1130" s="1914"/>
      <c r="K1130" s="1914"/>
      <c r="L1130" s="1915"/>
      <c r="N1130" s="1913" t="str">
        <f ca="1">IF(Q1124&gt;0,CONCATENATE(IFERROR(CONCATENATE(IF(INDEX(display_intervals_breakdown,((WEEKDAY(O$3,2)*2-1)+IF(O1124="Morning",0,1)),N1124)="","",CONCATENATE("Intervals/Reps Breakdown: 
",INDEX(display_intervals_breakdown,((WEEKDAY(O$3,2)*2-1)+IF(O1124="Morning",0,1)),N1124),"
")),"Session Description: 
",CONCATENATE(IF(INDEX(final_duration_secondary,((WEEKDAY(O$3,2)*2-1)+IF(O1124="Morning",0,1)),N1124)=0,"","1. "),
INDEX(sessions_description_primary,,INDEX(plan_session_allocation,((WEEKDAY(O$3,2)*2-1)+IF(O1124="Morning",0,1)),N1124)),IF(INDEX(final_duration_secondary,((WEEKDAY(O$3,2)*2-1)+IF(O1124="Morning",0,1)),N1124)=0,"","
2. "),
IF(INDEX(final_duration_secondary,((WEEKDAY(O$3,2)*2-1)+IF(O1124="Morning",0,1)),N1124)=0,"",INDEX(sessions_description_secondary,,INDEX(plan_session_allocation,((WEEKDAY(O$3,2)*2-1)+IF(O1124="Morning",0,1)),N1124))),IF(INDEX(final_duration_tertiary,((WEEKDAY(O$3,2)*2-1)+IF(O1124="Morning",0,1)),N1124)=0,"","
3. "),
IF(INDEX(final_duration_tertiary,((WEEKDAY(O$3,2)*2-1)+IF(O1124="Morning",0,1)),N1124)="","",INDEX(sessions_description_tertiary,,INDEX(plan_session_allocation,((WEEKDAY(O$3,2)*2-1)+IF(O1124="Morning",0,1)),N1124))),
IF(INDEX(display_nutrition_description,((WEEKDAY(O$3,2)*2-1)+IF(O1124="Morning",0,1)),N1124)="","",
CONCATENATE("
Meal Plan: ", INDEX(sessions_nutrition,,INDEX(plan_session_allocation,((WEEKDAY(O$3,2)*2-1)+IF(O1124="Morning",0,1)),N1124)), "
", INDEX(display_nutrition_description,((WEEKDAY(O$3,2)*2-1)+IF(O1124="Morning",0,1)),N1124)))
)),"")),"")</f>
        <v/>
      </c>
      <c r="O1130" s="1914"/>
      <c r="P1130" s="1914"/>
      <c r="Q1130" s="1915"/>
      <c r="S1130" s="1913" t="str">
        <f ca="1">IF(V1124&gt;0,CONCATENATE(IFERROR(CONCATENATE(IF(INDEX(display_intervals_breakdown,((WEEKDAY(T$3,2)*2-1)+IF(T1124="Morning",0,1)),S1124)="","",CONCATENATE("Intervals/Reps Breakdown: 
",INDEX(display_intervals_breakdown,((WEEKDAY(T$3,2)*2-1)+IF(T1124="Morning",0,1)),S1124),"
")),"Session Description: 
",CONCATENATE(IF(INDEX(final_duration_secondary,((WEEKDAY(T$3,2)*2-1)+IF(T1124="Morning",0,1)),S1124)=0,"","1. "),
INDEX(sessions_description_primary,,INDEX(plan_session_allocation,((WEEKDAY(T$3,2)*2-1)+IF(T1124="Morning",0,1)),S1124)),IF(INDEX(final_duration_secondary,((WEEKDAY(T$3,2)*2-1)+IF(T1124="Morning",0,1)),S1124)=0,"","
2. "),
IF(INDEX(final_duration_secondary,((WEEKDAY(T$3,2)*2-1)+IF(T1124="Morning",0,1)),S1124)=0,"",INDEX(sessions_description_secondary,,INDEX(plan_session_allocation,((WEEKDAY(T$3,2)*2-1)+IF(T1124="Morning",0,1)),S1124))),IF(INDEX(final_duration_tertiary,((WEEKDAY(T$3,2)*2-1)+IF(T1124="Morning",0,1)),S1124)=0,"","
3. "),
IF(INDEX(final_duration_tertiary,((WEEKDAY(T$3,2)*2-1)+IF(T1124="Morning",0,1)),S1124)="","",INDEX(sessions_description_tertiary,,INDEX(plan_session_allocation,((WEEKDAY(T$3,2)*2-1)+IF(T1124="Morning",0,1)),S1124))),
IF(INDEX(display_nutrition_description,((WEEKDAY(T$3,2)*2-1)+IF(T1124="Morning",0,1)),S1124)="","",
CONCATENATE("
Meal Plan: ", INDEX(sessions_nutrition,,INDEX(plan_session_allocation,((WEEKDAY(T$3,2)*2-1)+IF(T1124="Morning",0,1)),S1124)), "
", INDEX(display_nutrition_description,((WEEKDAY(T$3,2)*2-1)+IF(T1124="Morning",0,1)),S1124)))
)),"")),"")</f>
        <v/>
      </c>
      <c r="T1130" s="1914"/>
      <c r="U1130" s="1914"/>
      <c r="V1130" s="1915"/>
      <c r="X1130" s="1913" t="str">
        <f ca="1">IF(AA1124&gt;0,CONCATENATE(IFERROR(CONCATENATE(IF(INDEX(display_intervals_breakdown,((WEEKDAY(Y$3,2)*2-1)+IF(Y1124="Morning",0,1)),X1124)="","",CONCATENATE("Intervals/Reps Breakdown: 
",INDEX(display_intervals_breakdown,((WEEKDAY(Y$3,2)*2-1)+IF(Y1124="Morning",0,1)),X1124),"
")),"Session Description: 
",CONCATENATE(IF(INDEX(final_duration_secondary,((WEEKDAY(Y$3,2)*2-1)+IF(Y1124="Morning",0,1)),X1124)=0,"","1. "),
INDEX(sessions_description_primary,,INDEX(plan_session_allocation,((WEEKDAY(Y$3,2)*2-1)+IF(Y1124="Morning",0,1)),X1124)),IF(INDEX(final_duration_secondary,((WEEKDAY(Y$3,2)*2-1)+IF(Y1124="Morning",0,1)),X1124)=0,"","
2. "),
IF(INDEX(final_duration_secondary,((WEEKDAY(Y$3,2)*2-1)+IF(Y1124="Morning",0,1)),X1124)=0,"",INDEX(sessions_description_secondary,,INDEX(plan_session_allocation,((WEEKDAY(Y$3,2)*2-1)+IF(Y1124="Morning",0,1)),X1124))),IF(INDEX(final_duration_tertiary,((WEEKDAY(Y$3,2)*2-1)+IF(Y1124="Morning",0,1)),X1124)=0,"","
3. "),
IF(INDEX(final_duration_tertiary,((WEEKDAY(Y$3,2)*2-1)+IF(Y1124="Morning",0,1)),X1124)="","",INDEX(sessions_description_tertiary,,INDEX(plan_session_allocation,((WEEKDAY(Y$3,2)*2-1)+IF(Y1124="Morning",0,1)),X1124))),
IF(INDEX(display_nutrition_description,((WEEKDAY(Y$3,2)*2-1)+IF(Y1124="Morning",0,1)),X1124)="","",
CONCATENATE("
Meal Plan: ", INDEX(sessions_nutrition,,INDEX(plan_session_allocation,((WEEKDAY(Y$3,2)*2-1)+IF(Y1124="Morning",0,1)),X1124)), "
", INDEX(display_nutrition_description,((WEEKDAY(Y$3,2)*2-1)+IF(Y1124="Morning",0,1)),X1124)))
)),"")),"")</f>
        <v/>
      </c>
      <c r="Y1130" s="1914"/>
      <c r="Z1130" s="1914"/>
      <c r="AA1130" s="1915"/>
      <c r="AC1130" s="1913" t="str">
        <f ca="1">IF(AF1124&gt;0,CONCATENATE(IFERROR(CONCATENATE(IF(INDEX(display_intervals_breakdown,((WEEKDAY(AD$3,2)*2-1)+IF(AD1124="Morning",0,1)),AC1124)="","",CONCATENATE("Intervals/Reps Breakdown: 
",INDEX(display_intervals_breakdown,((WEEKDAY(AD$3,2)*2-1)+IF(AD1124="Morning",0,1)),AC1124),"
")),"Session Description: 
",CONCATENATE(IF(INDEX(final_duration_secondary,((WEEKDAY(AD$3,2)*2-1)+IF(AD1124="Morning",0,1)),AC1124)=0,"","1. "),
INDEX(sessions_description_primary,,INDEX(plan_session_allocation,((WEEKDAY(AD$3,2)*2-1)+IF(AD1124="Morning",0,1)),AC1124)),IF(INDEX(final_duration_secondary,((WEEKDAY(AD$3,2)*2-1)+IF(AD1124="Morning",0,1)),AC1124)=0,"","
2. "),
IF(INDEX(final_duration_secondary,((WEEKDAY(AD$3,2)*2-1)+IF(AD1124="Morning",0,1)),AC1124)=0,"",INDEX(sessions_description_secondary,,INDEX(plan_session_allocation,((WEEKDAY(AD$3,2)*2-1)+IF(AD1124="Morning",0,1)),AC1124))),IF(INDEX(final_duration_tertiary,((WEEKDAY(AD$3,2)*2-1)+IF(AD1124="Morning",0,1)),AC1124)=0,"","
3. "),
IF(INDEX(final_duration_tertiary,((WEEKDAY(AD$3,2)*2-1)+IF(AD1124="Morning",0,1)),AC1124)="","",INDEX(sessions_description_tertiary,,INDEX(plan_session_allocation,((WEEKDAY(AD$3,2)*2-1)+IF(AD1124="Morning",0,1)),AC1124))),
IF(INDEX(display_nutrition_description,((WEEKDAY(AD$3,2)*2-1)+IF(AD1124="Morning",0,1)),AC1124)="","",
CONCATENATE("
Meal Plan: ", INDEX(sessions_nutrition,,INDEX(plan_session_allocation,((WEEKDAY(AD$3,2)*2-1)+IF(AD1124="Morning",0,1)),AC1124)), "
", INDEX(display_nutrition_description,((WEEKDAY(AD$3,2)*2-1)+IF(AD1124="Morning",0,1)),AC1124)))
)),"")),"")</f>
        <v/>
      </c>
      <c r="AD1130" s="1914"/>
      <c r="AE1130" s="1914"/>
      <c r="AF1130" s="1915"/>
      <c r="AH1130" s="1913" t="str">
        <f ca="1">IF(AK1124&gt;0,CONCATENATE(IFERROR(CONCATENATE(IF(INDEX(display_intervals_breakdown,((WEEKDAY(AI$3,2)*2-1)+IF(AI1124="Morning",0,1)),AH1124)="","",CONCATENATE("Intervals/Reps Breakdown: 
",INDEX(display_intervals_breakdown,((WEEKDAY(AI$3,2)*2-1)+IF(AI1124="Morning",0,1)),AH1124),"
")),"Session Description: 
",CONCATENATE(IF(INDEX(final_duration_secondary,((WEEKDAY(AI$3,2)*2-1)+IF(AI1124="Morning",0,1)),AH1124)=0,"","1. "),
INDEX(sessions_description_primary,,INDEX(plan_session_allocation,((WEEKDAY(AI$3,2)*2-1)+IF(AI1124="Morning",0,1)),AH1124)),IF(INDEX(final_duration_secondary,((WEEKDAY(AI$3,2)*2-1)+IF(AI1124="Morning",0,1)),AH1124)=0,"","
2. "),
IF(INDEX(final_duration_secondary,((WEEKDAY(AI$3,2)*2-1)+IF(AI1124="Morning",0,1)),AH1124)=0,"",INDEX(sessions_description_secondary,,INDEX(plan_session_allocation,((WEEKDAY(AI$3,2)*2-1)+IF(AI1124="Morning",0,1)),AH1124))),IF(INDEX(final_duration_tertiary,((WEEKDAY(AI$3,2)*2-1)+IF(AI1124="Morning",0,1)),AH1124)=0,"","
3. "),
IF(INDEX(final_duration_tertiary,((WEEKDAY(AI$3,2)*2-1)+IF(AI1124="Morning",0,1)),AH1124)="","",INDEX(sessions_description_tertiary,,INDEX(plan_session_allocation,((WEEKDAY(AI$3,2)*2-1)+IF(AI1124="Morning",0,1)),AH1124))),
IF(INDEX(display_nutrition_description,((WEEKDAY(AI$3,2)*2-1)+IF(AI1124="Morning",0,1)),AH1124)="","",
CONCATENATE("
Meal Plan: ", INDEX(sessions_nutrition,,INDEX(plan_session_allocation,((WEEKDAY(AI$3,2)*2-1)+IF(AI1124="Morning",0,1)),AH1124)), "
", INDEX(display_nutrition_description,((WEEKDAY(AI$3,2)*2-1)+IF(AI1124="Morning",0,1)),AH1124)))
)),"")),"")</f>
        <v/>
      </c>
      <c r="AI1130" s="1914"/>
      <c r="AJ1130" s="1914"/>
      <c r="AK1130" s="1915"/>
    </row>
    <row r="1131" spans="2:38" s="180" customFormat="1" x14ac:dyDescent="0.45">
      <c r="B1131" s="1942"/>
      <c r="C1131" s="1945"/>
      <c r="D1131" s="1916"/>
      <c r="E1131" s="1917"/>
      <c r="F1131" s="1917"/>
      <c r="G1131" s="1918"/>
      <c r="I1131" s="1916"/>
      <c r="J1131" s="1917"/>
      <c r="K1131" s="1917"/>
      <c r="L1131" s="1918"/>
      <c r="N1131" s="1916"/>
      <c r="O1131" s="1917"/>
      <c r="P1131" s="1917"/>
      <c r="Q1131" s="1918"/>
      <c r="S1131" s="1916"/>
      <c r="T1131" s="1917"/>
      <c r="U1131" s="1917"/>
      <c r="V1131" s="1918"/>
      <c r="X1131" s="1916"/>
      <c r="Y1131" s="1917"/>
      <c r="Z1131" s="1917"/>
      <c r="AA1131" s="1918"/>
      <c r="AC1131" s="1916"/>
      <c r="AD1131" s="1917"/>
      <c r="AE1131" s="1917"/>
      <c r="AF1131" s="1918"/>
      <c r="AH1131" s="1916"/>
      <c r="AI1131" s="1917"/>
      <c r="AJ1131" s="1917"/>
      <c r="AK1131" s="1918"/>
    </row>
    <row r="1132" spans="2:38" s="180" customFormat="1" x14ac:dyDescent="0.45">
      <c r="B1132" s="1942"/>
      <c r="C1132" s="1945"/>
      <c r="D1132" s="1916"/>
      <c r="E1132" s="1917"/>
      <c r="F1132" s="1917"/>
      <c r="G1132" s="1918"/>
      <c r="I1132" s="1916"/>
      <c r="J1132" s="1917"/>
      <c r="K1132" s="1917"/>
      <c r="L1132" s="1918"/>
      <c r="N1132" s="1916"/>
      <c r="O1132" s="1917"/>
      <c r="P1132" s="1917"/>
      <c r="Q1132" s="1918"/>
      <c r="S1132" s="1916"/>
      <c r="T1132" s="1917"/>
      <c r="U1132" s="1917"/>
      <c r="V1132" s="1918"/>
      <c r="X1132" s="1916"/>
      <c r="Y1132" s="1917"/>
      <c r="Z1132" s="1917"/>
      <c r="AA1132" s="1918"/>
      <c r="AC1132" s="1916"/>
      <c r="AD1132" s="1917"/>
      <c r="AE1132" s="1917"/>
      <c r="AF1132" s="1918"/>
      <c r="AH1132" s="1916"/>
      <c r="AI1132" s="1917"/>
      <c r="AJ1132" s="1917"/>
      <c r="AK1132" s="1918"/>
    </row>
    <row r="1133" spans="2:38" s="180" customFormat="1" x14ac:dyDescent="0.45">
      <c r="B1133" s="1942"/>
      <c r="C1133" s="1945"/>
      <c r="D1133" s="1916"/>
      <c r="E1133" s="1917"/>
      <c r="F1133" s="1917"/>
      <c r="G1133" s="1918"/>
      <c r="I1133" s="1916"/>
      <c r="J1133" s="1917"/>
      <c r="K1133" s="1917"/>
      <c r="L1133" s="1918"/>
      <c r="N1133" s="1916"/>
      <c r="O1133" s="1917"/>
      <c r="P1133" s="1917"/>
      <c r="Q1133" s="1918"/>
      <c r="S1133" s="1916"/>
      <c r="T1133" s="1917"/>
      <c r="U1133" s="1917"/>
      <c r="V1133" s="1918"/>
      <c r="X1133" s="1916"/>
      <c r="Y1133" s="1917"/>
      <c r="Z1133" s="1917"/>
      <c r="AA1133" s="1918"/>
      <c r="AC1133" s="1916"/>
      <c r="AD1133" s="1917"/>
      <c r="AE1133" s="1917"/>
      <c r="AF1133" s="1918"/>
      <c r="AH1133" s="1916"/>
      <c r="AI1133" s="1917"/>
      <c r="AJ1133" s="1917"/>
      <c r="AK1133" s="1918"/>
    </row>
    <row r="1134" spans="2:38" s="180" customFormat="1" x14ac:dyDescent="0.45">
      <c r="B1134" s="1942"/>
      <c r="C1134" s="1945"/>
      <c r="D1134" s="1916"/>
      <c r="E1134" s="1917"/>
      <c r="F1134" s="1917"/>
      <c r="G1134" s="1918"/>
      <c r="I1134" s="1916"/>
      <c r="J1134" s="1917"/>
      <c r="K1134" s="1917"/>
      <c r="L1134" s="1918"/>
      <c r="N1134" s="1916"/>
      <c r="O1134" s="1917"/>
      <c r="P1134" s="1917"/>
      <c r="Q1134" s="1918"/>
      <c r="S1134" s="1916"/>
      <c r="T1134" s="1917"/>
      <c r="U1134" s="1917"/>
      <c r="V1134" s="1918"/>
      <c r="X1134" s="1916"/>
      <c r="Y1134" s="1917"/>
      <c r="Z1134" s="1917"/>
      <c r="AA1134" s="1918"/>
      <c r="AC1134" s="1916"/>
      <c r="AD1134" s="1917"/>
      <c r="AE1134" s="1917"/>
      <c r="AF1134" s="1918"/>
      <c r="AH1134" s="1916"/>
      <c r="AI1134" s="1917"/>
      <c r="AJ1134" s="1917"/>
      <c r="AK1134" s="1918"/>
    </row>
    <row r="1135" spans="2:38" s="180" customFormat="1" x14ac:dyDescent="0.45">
      <c r="B1135" s="1942"/>
      <c r="C1135" s="1945"/>
      <c r="D1135" s="1916"/>
      <c r="E1135" s="1917"/>
      <c r="F1135" s="1917"/>
      <c r="G1135" s="1918"/>
      <c r="I1135" s="1916"/>
      <c r="J1135" s="1917"/>
      <c r="K1135" s="1917"/>
      <c r="L1135" s="1918"/>
      <c r="N1135" s="1916"/>
      <c r="O1135" s="1917"/>
      <c r="P1135" s="1917"/>
      <c r="Q1135" s="1918"/>
      <c r="S1135" s="1916"/>
      <c r="T1135" s="1917"/>
      <c r="U1135" s="1917"/>
      <c r="V1135" s="1918"/>
      <c r="X1135" s="1916"/>
      <c r="Y1135" s="1917"/>
      <c r="Z1135" s="1917"/>
      <c r="AA1135" s="1918"/>
      <c r="AC1135" s="1916"/>
      <c r="AD1135" s="1917"/>
      <c r="AE1135" s="1917"/>
      <c r="AF1135" s="1918"/>
      <c r="AH1135" s="1916"/>
      <c r="AI1135" s="1917"/>
      <c r="AJ1135" s="1917"/>
      <c r="AK1135" s="1918"/>
    </row>
    <row r="1136" spans="2:38" s="180" customFormat="1" x14ac:dyDescent="0.45">
      <c r="B1136" s="1942"/>
      <c r="C1136" s="1945"/>
      <c r="D1136" s="1916"/>
      <c r="E1136" s="1917"/>
      <c r="F1136" s="1917"/>
      <c r="G1136" s="1918"/>
      <c r="I1136" s="1916"/>
      <c r="J1136" s="1917"/>
      <c r="K1136" s="1917"/>
      <c r="L1136" s="1918"/>
      <c r="N1136" s="1916"/>
      <c r="O1136" s="1917"/>
      <c r="P1136" s="1917"/>
      <c r="Q1136" s="1918"/>
      <c r="S1136" s="1916"/>
      <c r="T1136" s="1917"/>
      <c r="U1136" s="1917"/>
      <c r="V1136" s="1918"/>
      <c r="X1136" s="1916"/>
      <c r="Y1136" s="1917"/>
      <c r="Z1136" s="1917"/>
      <c r="AA1136" s="1918"/>
      <c r="AC1136" s="1916"/>
      <c r="AD1136" s="1917"/>
      <c r="AE1136" s="1917"/>
      <c r="AF1136" s="1918"/>
      <c r="AH1136" s="1916"/>
      <c r="AI1136" s="1917"/>
      <c r="AJ1136" s="1917"/>
      <c r="AK1136" s="1918"/>
    </row>
    <row r="1137" spans="2:38" s="180" customFormat="1" ht="15.75" customHeight="1" x14ac:dyDescent="0.45">
      <c r="B1137" s="1942"/>
      <c r="C1137" s="1945"/>
      <c r="D1137" s="1916"/>
      <c r="E1137" s="1917"/>
      <c r="F1137" s="1917"/>
      <c r="G1137" s="1918"/>
      <c r="I1137" s="1916"/>
      <c r="J1137" s="1917"/>
      <c r="K1137" s="1917"/>
      <c r="L1137" s="1918"/>
      <c r="N1137" s="1916"/>
      <c r="O1137" s="1917"/>
      <c r="P1137" s="1917"/>
      <c r="Q1137" s="1918"/>
      <c r="S1137" s="1916"/>
      <c r="T1137" s="1917"/>
      <c r="U1137" s="1917"/>
      <c r="V1137" s="1918"/>
      <c r="X1137" s="1916"/>
      <c r="Y1137" s="1917"/>
      <c r="Z1137" s="1917"/>
      <c r="AA1137" s="1918"/>
      <c r="AC1137" s="1916"/>
      <c r="AD1137" s="1917"/>
      <c r="AE1137" s="1917"/>
      <c r="AF1137" s="1918"/>
      <c r="AH1137" s="1916"/>
      <c r="AI1137" s="1917"/>
      <c r="AJ1137" s="1917"/>
      <c r="AK1137" s="1918"/>
    </row>
    <row r="1138" spans="2:38" s="180" customFormat="1" x14ac:dyDescent="0.45">
      <c r="B1138" s="1942"/>
      <c r="C1138" s="1945"/>
      <c r="D1138" s="1916"/>
      <c r="E1138" s="1917"/>
      <c r="F1138" s="1917"/>
      <c r="G1138" s="1918"/>
      <c r="I1138" s="1916"/>
      <c r="J1138" s="1917"/>
      <c r="K1138" s="1917"/>
      <c r="L1138" s="1918"/>
      <c r="N1138" s="1916"/>
      <c r="O1138" s="1917"/>
      <c r="P1138" s="1917"/>
      <c r="Q1138" s="1918"/>
      <c r="S1138" s="1916"/>
      <c r="T1138" s="1917"/>
      <c r="U1138" s="1917"/>
      <c r="V1138" s="1918"/>
      <c r="X1138" s="1916"/>
      <c r="Y1138" s="1917"/>
      <c r="Z1138" s="1917"/>
      <c r="AA1138" s="1918"/>
      <c r="AC1138" s="1916"/>
      <c r="AD1138" s="1917"/>
      <c r="AE1138" s="1917"/>
      <c r="AF1138" s="1918"/>
      <c r="AH1138" s="1916"/>
      <c r="AI1138" s="1917"/>
      <c r="AJ1138" s="1917"/>
      <c r="AK1138" s="1918"/>
    </row>
    <row r="1139" spans="2:38" s="180" customFormat="1" x14ac:dyDescent="0.45">
      <c r="B1139" s="1942"/>
      <c r="C1139" s="1945"/>
      <c r="D1139" s="1916"/>
      <c r="E1139" s="1917"/>
      <c r="F1139" s="1917"/>
      <c r="G1139" s="1918"/>
      <c r="I1139" s="1916"/>
      <c r="J1139" s="1917"/>
      <c r="K1139" s="1917"/>
      <c r="L1139" s="1918"/>
      <c r="N1139" s="1916"/>
      <c r="O1139" s="1917"/>
      <c r="P1139" s="1917"/>
      <c r="Q1139" s="1918"/>
      <c r="S1139" s="1916"/>
      <c r="T1139" s="1917"/>
      <c r="U1139" s="1917"/>
      <c r="V1139" s="1918"/>
      <c r="X1139" s="1916"/>
      <c r="Y1139" s="1917"/>
      <c r="Z1139" s="1917"/>
      <c r="AA1139" s="1918"/>
      <c r="AC1139" s="1916"/>
      <c r="AD1139" s="1917"/>
      <c r="AE1139" s="1917"/>
      <c r="AF1139" s="1918"/>
      <c r="AH1139" s="1916"/>
      <c r="AI1139" s="1917"/>
      <c r="AJ1139" s="1917"/>
      <c r="AK1139" s="1918"/>
    </row>
    <row r="1140" spans="2:38" s="180" customFormat="1" x14ac:dyDescent="0.45">
      <c r="B1140" s="1942"/>
      <c r="C1140" s="1945"/>
      <c r="D1140" s="1916"/>
      <c r="E1140" s="1917"/>
      <c r="F1140" s="1917"/>
      <c r="G1140" s="1918"/>
      <c r="I1140" s="1916"/>
      <c r="J1140" s="1917"/>
      <c r="K1140" s="1917"/>
      <c r="L1140" s="1918"/>
      <c r="N1140" s="1916"/>
      <c r="O1140" s="1917"/>
      <c r="P1140" s="1917"/>
      <c r="Q1140" s="1918"/>
      <c r="S1140" s="1916"/>
      <c r="T1140" s="1917"/>
      <c r="U1140" s="1917"/>
      <c r="V1140" s="1918"/>
      <c r="X1140" s="1916"/>
      <c r="Y1140" s="1917"/>
      <c r="Z1140" s="1917"/>
      <c r="AA1140" s="1918"/>
      <c r="AC1140" s="1916"/>
      <c r="AD1140" s="1917"/>
      <c r="AE1140" s="1917"/>
      <c r="AF1140" s="1918"/>
      <c r="AH1140" s="1916"/>
      <c r="AI1140" s="1917"/>
      <c r="AJ1140" s="1917"/>
      <c r="AK1140" s="1918"/>
    </row>
    <row r="1141" spans="2:38" s="180" customFormat="1" x14ac:dyDescent="0.45">
      <c r="B1141" s="1942"/>
      <c r="C1141" s="1945"/>
      <c r="D1141" s="1916"/>
      <c r="E1141" s="1917"/>
      <c r="F1141" s="1917"/>
      <c r="G1141" s="1918"/>
      <c r="I1141" s="1916"/>
      <c r="J1141" s="1917"/>
      <c r="K1141" s="1917"/>
      <c r="L1141" s="1918"/>
      <c r="N1141" s="1916"/>
      <c r="O1141" s="1917"/>
      <c r="P1141" s="1917"/>
      <c r="Q1141" s="1918"/>
      <c r="S1141" s="1916"/>
      <c r="T1141" s="1917"/>
      <c r="U1141" s="1917"/>
      <c r="V1141" s="1918"/>
      <c r="X1141" s="1916"/>
      <c r="Y1141" s="1917"/>
      <c r="Z1141" s="1917"/>
      <c r="AA1141" s="1918"/>
      <c r="AC1141" s="1916"/>
      <c r="AD1141" s="1917"/>
      <c r="AE1141" s="1917"/>
      <c r="AF1141" s="1918"/>
      <c r="AH1141" s="1916"/>
      <c r="AI1141" s="1917"/>
      <c r="AJ1141" s="1917"/>
      <c r="AK1141" s="1918"/>
    </row>
    <row r="1142" spans="2:38" s="180" customFormat="1" x14ac:dyDescent="0.45">
      <c r="B1142" s="1942"/>
      <c r="C1142" s="1945"/>
      <c r="D1142" s="1916"/>
      <c r="E1142" s="1917"/>
      <c r="F1142" s="1917"/>
      <c r="G1142" s="1918"/>
      <c r="I1142" s="1916"/>
      <c r="J1142" s="1917"/>
      <c r="K1142" s="1917"/>
      <c r="L1142" s="1918"/>
      <c r="N1142" s="1916"/>
      <c r="O1142" s="1917"/>
      <c r="P1142" s="1917"/>
      <c r="Q1142" s="1918"/>
      <c r="S1142" s="1916"/>
      <c r="T1142" s="1917"/>
      <c r="U1142" s="1917"/>
      <c r="V1142" s="1918"/>
      <c r="X1142" s="1916"/>
      <c r="Y1142" s="1917"/>
      <c r="Z1142" s="1917"/>
      <c r="AA1142" s="1918"/>
      <c r="AC1142" s="1916"/>
      <c r="AD1142" s="1917"/>
      <c r="AE1142" s="1917"/>
      <c r="AF1142" s="1918"/>
      <c r="AH1142" s="1916"/>
      <c r="AI1142" s="1917"/>
      <c r="AJ1142" s="1917"/>
      <c r="AK1142" s="1918"/>
    </row>
    <row r="1143" spans="2:38" s="180" customFormat="1" x14ac:dyDescent="0.45">
      <c r="B1143" s="1942"/>
      <c r="C1143" s="1945"/>
      <c r="D1143" s="1919"/>
      <c r="E1143" s="1920"/>
      <c r="F1143" s="1920"/>
      <c r="G1143" s="1921"/>
      <c r="I1143" s="1919"/>
      <c r="J1143" s="1920"/>
      <c r="K1143" s="1920"/>
      <c r="L1143" s="1921"/>
      <c r="N1143" s="1919"/>
      <c r="O1143" s="1920"/>
      <c r="P1143" s="1920"/>
      <c r="Q1143" s="1921"/>
      <c r="S1143" s="1919"/>
      <c r="T1143" s="1920"/>
      <c r="U1143" s="1920"/>
      <c r="V1143" s="1921"/>
      <c r="X1143" s="1919"/>
      <c r="Y1143" s="1920"/>
      <c r="Z1143" s="1920"/>
      <c r="AA1143" s="1921"/>
      <c r="AC1143" s="1919"/>
      <c r="AD1143" s="1920"/>
      <c r="AE1143" s="1920"/>
      <c r="AF1143" s="1921"/>
      <c r="AH1143" s="1919"/>
      <c r="AI1143" s="1920"/>
      <c r="AJ1143" s="1920"/>
      <c r="AK1143" s="1921"/>
    </row>
    <row r="1144" spans="2:38" s="180" customFormat="1" ht="15" customHeight="1" x14ac:dyDescent="0.45">
      <c r="B1144" s="1942"/>
      <c r="C1144" s="1945"/>
      <c r="D1144" s="1913" t="str">
        <f ca="1">IF(G1124&gt;0,CONCATENATE("Session Aim: 
", CONCATENATE(IF(INDEX(final_duration_secondary,((WEEKDAY(E$3,2)*2-1)+IF(E1124="Morning",0,1)),D1124)=0, "", "1. "),
INDEX(sessions_aim_primary,, INDEX(plan_session_allocation,((WEEKDAY(E$3,2)*2-1)+IF(E1124="Morning",0,1)),D1124)), IF(INDEX(final_duration_secondary,((WEEKDAY(E$3,2)*2-1)+IF(E1124="Morning",0,1)),D1124)=0, "", "
2. "),
IF(INDEX(final_duration_secondary,((WEEKDAY(E$3,2)*2-1)+IF(E1124="Morning",0,1)),D1124)=0, "", INDEX(sessions_aim_secondary,, INDEX(plan_session_allocation,((WEEKDAY(E$3,2)*2-1)+IF(E1124="Morning",0,1)),D1124))), IF(INDEX(final_duration_tertiary,((WEEKDAY(E$3,2)*2-1)+IF(E1124="Morning",0,1)),D1124)=0, "", "
3. "),
IF(INDEX(final_duration_tertiary,((WEEKDAY(E$3,2)*2-1)+IF(E1124="Morning",0,1)),D1124)=0, "", INDEX(sessions_aim_tertiary,, INDEX(plan_session_allocation,((WEEKDAY(E$3,2)*2-1)+IF(E1124="Morning",0,1)),D1124))),
IF(INDEX(display_nutrition_description,((WEEKDAY(E$3,2)*2-1)+IF(E1124="Morning",0,1)),D1124)="","",
CONCATENATE("
Nutrition Aim:
", INDEX(sessions_aim_nutrition,,INDEX(plan_session_allocation,((WEEKDAY(E$3,2)*2-1)+IF(E1124="Morning",0,1)),D1124))
))
)),"")</f>
        <v/>
      </c>
      <c r="E1144" s="1914"/>
      <c r="F1144" s="1914"/>
      <c r="G1144" s="1915"/>
      <c r="I1144" s="1913" t="str">
        <f ca="1">IF(L1124&gt;0,CONCATENATE("Session Aim: 
", CONCATENATE(IF(INDEX(final_duration_secondary,((WEEKDAY(J$3,2)*2-1)+IF(J1124="Morning",0,1)),I1124)=0, "", "1. "),
INDEX(sessions_aim_primary,, INDEX(plan_session_allocation,((WEEKDAY(J$3,2)*2-1)+IF(J1124="Morning",0,1)),I1124)), IF(INDEX(final_duration_secondary,((WEEKDAY(J$3,2)*2-1)+IF(J1124="Morning",0,1)),I1124)=0, "", "
2. "),
IF(INDEX(final_duration_secondary,((WEEKDAY(J$3,2)*2-1)+IF(J1124="Morning",0,1)),I1124)=0, "", INDEX(sessions_aim_secondary,, INDEX(plan_session_allocation,((WEEKDAY(J$3,2)*2-1)+IF(J1124="Morning",0,1)),I1124))), IF(INDEX(final_duration_tertiary,((WEEKDAY(J$3,2)*2-1)+IF(J1124="Morning",0,1)),I1124)=0, "", "
3. "),
IF(INDEX(final_duration_tertiary,((WEEKDAY(J$3,2)*2-1)+IF(J1124="Morning",0,1)),I1124)=0, "", INDEX(sessions_aim_tertiary,, INDEX(plan_session_allocation,((WEEKDAY(J$3,2)*2-1)+IF(J1124="Morning",0,1)),I1124))),
IF(INDEX(display_nutrition_description,((WEEKDAY(J$3,2)*2-1)+IF(J1124="Morning",0,1)),I1124)="","",
CONCATENATE("
Nutrition Aim:
", INDEX(sessions_aim_nutrition,,INDEX(plan_session_allocation,((WEEKDAY(J$3,2)*2-1)+IF(J1124="Morning",0,1)),I1124))
))
)),"")</f>
        <v/>
      </c>
      <c r="J1144" s="1914"/>
      <c r="K1144" s="1914"/>
      <c r="L1144" s="1915"/>
      <c r="N1144" s="1913" t="str">
        <f ca="1">IF(Q1124&gt;0,CONCATENATE("Session Aim: 
", CONCATENATE(IF(INDEX(final_duration_secondary,((WEEKDAY(O$3,2)*2-1)+IF(O1124="Morning",0,1)),N1124)=0, "", "1. "),
INDEX(sessions_aim_primary,, INDEX(plan_session_allocation,((WEEKDAY(O$3,2)*2-1)+IF(O1124="Morning",0,1)),N1124)), IF(INDEX(final_duration_secondary,((WEEKDAY(O$3,2)*2-1)+IF(O1124="Morning",0,1)),N1124)=0, "", "
2. "),
IF(INDEX(final_duration_secondary,((WEEKDAY(O$3,2)*2-1)+IF(O1124="Morning",0,1)),N1124)=0, "", INDEX(sessions_aim_secondary,, INDEX(plan_session_allocation,((WEEKDAY(O$3,2)*2-1)+IF(O1124="Morning",0,1)),N1124))), IF(INDEX(final_duration_tertiary,((WEEKDAY(O$3,2)*2-1)+IF(O1124="Morning",0,1)),N1124)=0, "", "
3. "),
IF(INDEX(final_duration_tertiary,((WEEKDAY(O$3,2)*2-1)+IF(O1124="Morning",0,1)),N1124)=0, "", INDEX(sessions_aim_tertiary,, INDEX(plan_session_allocation,((WEEKDAY(O$3,2)*2-1)+IF(O1124="Morning",0,1)),N1124))),
IF(INDEX(display_nutrition_description,((WEEKDAY(O$3,2)*2-1)+IF(O1124="Morning",0,1)),N1124)="","",
CONCATENATE("
Nutrition Aim:
", INDEX(sessions_aim_nutrition,,INDEX(plan_session_allocation,((WEEKDAY(O$3,2)*2-1)+IF(O1124="Morning",0,1)),N1124))
))
)),"")</f>
        <v/>
      </c>
      <c r="O1144" s="1914"/>
      <c r="P1144" s="1914"/>
      <c r="Q1144" s="1915"/>
      <c r="S1144" s="1913" t="str">
        <f ca="1">IF(V1124&gt;0,CONCATENATE("Session Aim: 
", CONCATENATE(IF(INDEX(final_duration_secondary,((WEEKDAY(T$3,2)*2-1)+IF(T1124="Morning",0,1)),S1124)=0, "", "1. "),
INDEX(sessions_aim_primary,, INDEX(plan_session_allocation,((WEEKDAY(T$3,2)*2-1)+IF(T1124="Morning",0,1)),S1124)), IF(INDEX(final_duration_secondary,((WEEKDAY(T$3,2)*2-1)+IF(T1124="Morning",0,1)),S1124)=0, "", "
2. "),
IF(INDEX(final_duration_secondary,((WEEKDAY(T$3,2)*2-1)+IF(T1124="Morning",0,1)),S1124)=0, "", INDEX(sessions_aim_secondary,, INDEX(plan_session_allocation,((WEEKDAY(T$3,2)*2-1)+IF(T1124="Morning",0,1)),S1124))), IF(INDEX(final_duration_tertiary,((WEEKDAY(T$3,2)*2-1)+IF(T1124="Morning",0,1)),S1124)=0, "", "
3. "),
IF(INDEX(final_duration_tertiary,((WEEKDAY(T$3,2)*2-1)+IF(T1124="Morning",0,1)),S1124)=0, "", INDEX(sessions_aim_tertiary,, INDEX(plan_session_allocation,((WEEKDAY(T$3,2)*2-1)+IF(T1124="Morning",0,1)),S1124))),
IF(INDEX(display_nutrition_description,((WEEKDAY(T$3,2)*2-1)+IF(T1124="Morning",0,1)),S1124)="","",
CONCATENATE("
Nutrition Aim:
", INDEX(sessions_aim_nutrition,,INDEX(plan_session_allocation,((WEEKDAY(T$3,2)*2-1)+IF(T1124="Morning",0,1)),S1124))
))
)),"")</f>
        <v/>
      </c>
      <c r="T1144" s="1914"/>
      <c r="U1144" s="1914"/>
      <c r="V1144" s="1915"/>
      <c r="X1144" s="1913" t="str">
        <f ca="1">IF(AA1124&gt;0,CONCATENATE("Session Aim: 
", CONCATENATE(IF(INDEX(final_duration_secondary,((WEEKDAY(Y$3,2)*2-1)+IF(Y1124="Morning",0,1)),X1124)=0, "", "1. "),
INDEX(sessions_aim_primary,, INDEX(plan_session_allocation,((WEEKDAY(Y$3,2)*2-1)+IF(Y1124="Morning",0,1)),X1124)), IF(INDEX(final_duration_secondary,((WEEKDAY(Y$3,2)*2-1)+IF(Y1124="Morning",0,1)),X1124)=0, "", "
2. "),
IF(INDEX(final_duration_secondary,((WEEKDAY(Y$3,2)*2-1)+IF(Y1124="Morning",0,1)),X1124)=0, "", INDEX(sessions_aim_secondary,, INDEX(plan_session_allocation,((WEEKDAY(Y$3,2)*2-1)+IF(Y1124="Morning",0,1)),X1124))), IF(INDEX(final_duration_tertiary,((WEEKDAY(Y$3,2)*2-1)+IF(Y1124="Morning",0,1)),X1124)=0, "", "
3. "),
IF(INDEX(final_duration_tertiary,((WEEKDAY(Y$3,2)*2-1)+IF(Y1124="Morning",0,1)),X1124)=0, "", INDEX(sessions_aim_tertiary,, INDEX(plan_session_allocation,((WEEKDAY(Y$3,2)*2-1)+IF(Y1124="Morning",0,1)),X1124))),
IF(INDEX(display_nutrition_description,((WEEKDAY(Y$3,2)*2-1)+IF(Y1124="Morning",0,1)),X1124)="","",
CONCATENATE("
Nutrition Aim:
", INDEX(sessions_aim_nutrition,,INDEX(plan_session_allocation,((WEEKDAY(Y$3,2)*2-1)+IF(Y1124="Morning",0,1)),X1124))
))
)),"")</f>
        <v/>
      </c>
      <c r="Y1144" s="1914"/>
      <c r="Z1144" s="1914"/>
      <c r="AA1144" s="1915"/>
      <c r="AC1144" s="1913" t="str">
        <f ca="1">IF(AF1124&gt;0,CONCATENATE("Session Aim: 
", CONCATENATE(IF(INDEX(final_duration_secondary,((WEEKDAY(AD$3,2)*2-1)+IF(AD1124="Morning",0,1)),AC1124)=0, "", "1. "),
INDEX(sessions_aim_primary,, INDEX(plan_session_allocation,((WEEKDAY(AD$3,2)*2-1)+IF(AD1124="Morning",0,1)),AC1124)), IF(INDEX(final_duration_secondary,((WEEKDAY(AD$3,2)*2-1)+IF(AD1124="Morning",0,1)),AC1124)=0, "", "
2. "),
IF(INDEX(final_duration_secondary,((WEEKDAY(AD$3,2)*2-1)+IF(AD1124="Morning",0,1)),AC1124)=0, "", INDEX(sessions_aim_secondary,, INDEX(plan_session_allocation,((WEEKDAY(AD$3,2)*2-1)+IF(AD1124="Morning",0,1)),AC1124))), IF(INDEX(final_duration_tertiary,((WEEKDAY(AD$3,2)*2-1)+IF(AD1124="Morning",0,1)),AC1124)=0, "", "
3. "),
IF(INDEX(final_duration_tertiary,((WEEKDAY(AD$3,2)*2-1)+IF(AD1124="Morning",0,1)),AC1124)=0, "", INDEX(sessions_aim_tertiary,, INDEX(plan_session_allocation,((WEEKDAY(AD$3,2)*2-1)+IF(AD1124="Morning",0,1)),AC1124))),
IF(INDEX(display_nutrition_description,((WEEKDAY(AD$3,2)*2-1)+IF(AD1124="Morning",0,1)),AC1124)="","",
CONCATENATE("
Nutrition Aim:
", INDEX(sessions_aim_nutrition,,INDEX(plan_session_allocation,((WEEKDAY(AD$3,2)*2-1)+IF(AD1124="Morning",0,1)),AC1124))
))
)),"")</f>
        <v/>
      </c>
      <c r="AD1144" s="1914"/>
      <c r="AE1144" s="1914"/>
      <c r="AF1144" s="1915"/>
      <c r="AH1144" s="1913" t="str">
        <f ca="1">IF(AK1124&gt;0,CONCATENATE("Session Aim: 
", CONCATENATE(IF(INDEX(final_duration_secondary,((WEEKDAY(AI$3,2)*2-1)+IF(AI1124="Morning",0,1)),AH1124)=0, "", "1. "),
INDEX(sessions_aim_primary,, INDEX(plan_session_allocation,((WEEKDAY(AI$3,2)*2-1)+IF(AI1124="Morning",0,1)),AH1124)), IF(INDEX(final_duration_secondary,((WEEKDAY(AI$3,2)*2-1)+IF(AI1124="Morning",0,1)),AH1124)=0, "", "
2. "),
IF(INDEX(final_duration_secondary,((WEEKDAY(AI$3,2)*2-1)+IF(AI1124="Morning",0,1)),AH1124)=0, "", INDEX(sessions_aim_secondary,, INDEX(plan_session_allocation,((WEEKDAY(AI$3,2)*2-1)+IF(AI1124="Morning",0,1)),AH1124))), IF(INDEX(final_duration_tertiary,((WEEKDAY(AI$3,2)*2-1)+IF(AI1124="Morning",0,1)),AH1124)=0, "", "
3. "),
IF(INDEX(final_duration_tertiary,((WEEKDAY(AI$3,2)*2-1)+IF(AI1124="Morning",0,1)),AH1124)=0, "", INDEX(sessions_aim_tertiary,, INDEX(plan_session_allocation,((WEEKDAY(AI$3,2)*2-1)+IF(AI1124="Morning",0,1)),AH1124))),
IF(INDEX(display_nutrition_description,((WEEKDAY(AI$3,2)*2-1)+IF(AI1124="Morning",0,1)),AH1124)="","",
CONCATENATE("
Nutrition Aim:
", INDEX(sessions_aim_nutrition,,INDEX(plan_session_allocation,((WEEKDAY(AI$3,2)*2-1)+IF(AI1124="Morning",0,1)),AH1124))
))
)),"")</f>
        <v/>
      </c>
      <c r="AI1144" s="1914"/>
      <c r="AJ1144" s="1914"/>
      <c r="AK1144" s="1915"/>
    </row>
    <row r="1145" spans="2:38" s="180" customFormat="1" x14ac:dyDescent="0.45">
      <c r="B1145" s="1942"/>
      <c r="C1145" s="1945"/>
      <c r="D1145" s="1916"/>
      <c r="E1145" s="1917"/>
      <c r="F1145" s="1917"/>
      <c r="G1145" s="1918"/>
      <c r="I1145" s="1916"/>
      <c r="J1145" s="1917"/>
      <c r="K1145" s="1917"/>
      <c r="L1145" s="1918"/>
      <c r="N1145" s="1916"/>
      <c r="O1145" s="1917"/>
      <c r="P1145" s="1917"/>
      <c r="Q1145" s="1918"/>
      <c r="S1145" s="1916"/>
      <c r="T1145" s="1917"/>
      <c r="U1145" s="1917"/>
      <c r="V1145" s="1918"/>
      <c r="X1145" s="1916"/>
      <c r="Y1145" s="1917"/>
      <c r="Z1145" s="1917"/>
      <c r="AA1145" s="1918"/>
      <c r="AC1145" s="1916"/>
      <c r="AD1145" s="1917"/>
      <c r="AE1145" s="1917"/>
      <c r="AF1145" s="1918"/>
      <c r="AH1145" s="1916"/>
      <c r="AI1145" s="1917"/>
      <c r="AJ1145" s="1917"/>
      <c r="AK1145" s="1918"/>
    </row>
    <row r="1146" spans="2:38" s="180" customFormat="1" x14ac:dyDescent="0.45">
      <c r="B1146" s="1942"/>
      <c r="C1146" s="1945"/>
      <c r="D1146" s="1916"/>
      <c r="E1146" s="1917"/>
      <c r="F1146" s="1917"/>
      <c r="G1146" s="1918"/>
      <c r="I1146" s="1916"/>
      <c r="J1146" s="1917"/>
      <c r="K1146" s="1917"/>
      <c r="L1146" s="1918"/>
      <c r="N1146" s="1916"/>
      <c r="O1146" s="1917"/>
      <c r="P1146" s="1917"/>
      <c r="Q1146" s="1918"/>
      <c r="S1146" s="1916"/>
      <c r="T1146" s="1917"/>
      <c r="U1146" s="1917"/>
      <c r="V1146" s="1918"/>
      <c r="X1146" s="1916"/>
      <c r="Y1146" s="1917"/>
      <c r="Z1146" s="1917"/>
      <c r="AA1146" s="1918"/>
      <c r="AC1146" s="1916"/>
      <c r="AD1146" s="1917"/>
      <c r="AE1146" s="1917"/>
      <c r="AF1146" s="1918"/>
      <c r="AH1146" s="1916"/>
      <c r="AI1146" s="1917"/>
      <c r="AJ1146" s="1917"/>
      <c r="AK1146" s="1918"/>
    </row>
    <row r="1147" spans="2:38" s="180" customFormat="1" x14ac:dyDescent="0.45">
      <c r="B1147" s="1942"/>
      <c r="C1147" s="1945"/>
      <c r="D1147" s="1916"/>
      <c r="E1147" s="1917"/>
      <c r="F1147" s="1917"/>
      <c r="G1147" s="1918"/>
      <c r="I1147" s="1916"/>
      <c r="J1147" s="1917"/>
      <c r="K1147" s="1917"/>
      <c r="L1147" s="1918"/>
      <c r="N1147" s="1916"/>
      <c r="O1147" s="1917"/>
      <c r="P1147" s="1917"/>
      <c r="Q1147" s="1918"/>
      <c r="S1147" s="1916"/>
      <c r="T1147" s="1917"/>
      <c r="U1147" s="1917"/>
      <c r="V1147" s="1918"/>
      <c r="X1147" s="1916"/>
      <c r="Y1147" s="1917"/>
      <c r="Z1147" s="1917"/>
      <c r="AA1147" s="1918"/>
      <c r="AC1147" s="1916"/>
      <c r="AD1147" s="1917"/>
      <c r="AE1147" s="1917"/>
      <c r="AF1147" s="1918"/>
      <c r="AH1147" s="1916"/>
      <c r="AI1147" s="1917"/>
      <c r="AJ1147" s="1917"/>
      <c r="AK1147" s="1918"/>
    </row>
    <row r="1148" spans="2:38" s="180" customFormat="1" x14ac:dyDescent="0.45">
      <c r="B1148" s="1942"/>
      <c r="C1148" s="1945"/>
      <c r="D1148" s="1916"/>
      <c r="E1148" s="1917"/>
      <c r="F1148" s="1917"/>
      <c r="G1148" s="1918"/>
      <c r="I1148" s="1916"/>
      <c r="J1148" s="1917"/>
      <c r="K1148" s="1917"/>
      <c r="L1148" s="1918"/>
      <c r="N1148" s="1916"/>
      <c r="O1148" s="1917"/>
      <c r="P1148" s="1917"/>
      <c r="Q1148" s="1918"/>
      <c r="S1148" s="1916"/>
      <c r="T1148" s="1917"/>
      <c r="U1148" s="1917"/>
      <c r="V1148" s="1918"/>
      <c r="X1148" s="1916"/>
      <c r="Y1148" s="1917"/>
      <c r="Z1148" s="1917"/>
      <c r="AA1148" s="1918"/>
      <c r="AC1148" s="1916"/>
      <c r="AD1148" s="1917"/>
      <c r="AE1148" s="1917"/>
      <c r="AF1148" s="1918"/>
      <c r="AH1148" s="1916"/>
      <c r="AI1148" s="1917"/>
      <c r="AJ1148" s="1917"/>
      <c r="AK1148" s="1918"/>
    </row>
    <row r="1149" spans="2:38" s="180" customFormat="1" x14ac:dyDescent="0.45">
      <c r="B1149" s="1942"/>
      <c r="C1149" s="1945"/>
      <c r="D1149" s="1916"/>
      <c r="E1149" s="1917"/>
      <c r="F1149" s="1917"/>
      <c r="G1149" s="1918"/>
      <c r="I1149" s="1916"/>
      <c r="J1149" s="1917"/>
      <c r="K1149" s="1917"/>
      <c r="L1149" s="1918"/>
      <c r="N1149" s="1916"/>
      <c r="O1149" s="1917"/>
      <c r="P1149" s="1917"/>
      <c r="Q1149" s="1918"/>
      <c r="S1149" s="1916"/>
      <c r="T1149" s="1917"/>
      <c r="U1149" s="1917"/>
      <c r="V1149" s="1918"/>
      <c r="X1149" s="1916"/>
      <c r="Y1149" s="1917"/>
      <c r="Z1149" s="1917"/>
      <c r="AA1149" s="1918"/>
      <c r="AC1149" s="1916"/>
      <c r="AD1149" s="1917"/>
      <c r="AE1149" s="1917"/>
      <c r="AF1149" s="1918"/>
      <c r="AH1149" s="1916"/>
      <c r="AI1149" s="1917"/>
      <c r="AJ1149" s="1917"/>
      <c r="AK1149" s="1918"/>
    </row>
    <row r="1150" spans="2:38" s="180" customFormat="1" ht="14.65" thickBot="1" x14ac:dyDescent="0.5">
      <c r="B1150" s="1942"/>
      <c r="C1150" s="1945"/>
      <c r="D1150" s="1938"/>
      <c r="E1150" s="1939"/>
      <c r="F1150" s="1939"/>
      <c r="G1150" s="1940"/>
      <c r="I1150" s="1938"/>
      <c r="J1150" s="1939"/>
      <c r="K1150" s="1939"/>
      <c r="L1150" s="1940"/>
      <c r="N1150" s="1938"/>
      <c r="O1150" s="1939"/>
      <c r="P1150" s="1939"/>
      <c r="Q1150" s="1940"/>
      <c r="S1150" s="1938"/>
      <c r="T1150" s="1939"/>
      <c r="U1150" s="1939"/>
      <c r="V1150" s="1940"/>
      <c r="X1150" s="1938"/>
      <c r="Y1150" s="1939"/>
      <c r="Z1150" s="1939"/>
      <c r="AA1150" s="1940"/>
      <c r="AC1150" s="1938"/>
      <c r="AD1150" s="1939"/>
      <c r="AE1150" s="1939"/>
      <c r="AF1150" s="1940"/>
      <c r="AH1150" s="1938"/>
      <c r="AI1150" s="1939"/>
      <c r="AJ1150" s="1939"/>
      <c r="AK1150" s="1940"/>
    </row>
    <row r="1151" spans="2:38" s="176" customFormat="1" ht="15.75" customHeight="1" x14ac:dyDescent="0.45">
      <c r="B1151" s="1942"/>
      <c r="C1151" s="1945"/>
      <c r="D1151" s="1415">
        <f>$B1123</f>
        <v>21</v>
      </c>
      <c r="E1151" s="1930" t="s">
        <v>352</v>
      </c>
      <c r="F1151" s="1930"/>
      <c r="G1151" s="1414">
        <f ca="1">INDEX(final_duration_session,((WEEKDAY(E$3,2)*2-1)+IF(E1151="Morning",0,1)),$D1151)</f>
        <v>0</v>
      </c>
      <c r="H1151" s="177"/>
      <c r="I1151" s="1415">
        <f>$B1123</f>
        <v>21</v>
      </c>
      <c r="J1151" s="1930" t="s">
        <v>352</v>
      </c>
      <c r="K1151" s="1930"/>
      <c r="L1151" s="1414">
        <f ca="1">INDEX(final_duration_session,((WEEKDAY(J$3,2)*2-1)+IF(J1151="Morning",0,1)),$D1151)</f>
        <v>0</v>
      </c>
      <c r="M1151" s="177"/>
      <c r="N1151" s="1415">
        <f>$B1123</f>
        <v>21</v>
      </c>
      <c r="O1151" s="1930" t="s">
        <v>352</v>
      </c>
      <c r="P1151" s="1930"/>
      <c r="Q1151" s="1414">
        <f ca="1">INDEX(final_duration_session,((WEEKDAY(O$3,2)*2-1)+IF(O1151="Morning",0,1)),$D1151)</f>
        <v>0</v>
      </c>
      <c r="R1151" s="177"/>
      <c r="S1151" s="1415">
        <f>$B1123</f>
        <v>21</v>
      </c>
      <c r="T1151" s="1930" t="s">
        <v>352</v>
      </c>
      <c r="U1151" s="1930"/>
      <c r="V1151" s="1414">
        <f ca="1">INDEX(final_duration_session,((WEEKDAY(T$3,2)*2-1)+IF(T1151="Morning",0,1)),$D1151)</f>
        <v>0</v>
      </c>
      <c r="W1151" s="177"/>
      <c r="X1151" s="1415">
        <f>$B1123</f>
        <v>21</v>
      </c>
      <c r="Y1151" s="1930" t="s">
        <v>352</v>
      </c>
      <c r="Z1151" s="1930"/>
      <c r="AA1151" s="1414">
        <f ca="1">INDEX(final_duration_session,((WEEKDAY(Y$3,2)*2-1)+IF(Y1151="Morning",0,1)),$D1151)</f>
        <v>0</v>
      </c>
      <c r="AB1151" s="177"/>
      <c r="AC1151" s="1415">
        <f>$B1123</f>
        <v>21</v>
      </c>
      <c r="AD1151" s="1930" t="s">
        <v>352</v>
      </c>
      <c r="AE1151" s="1930"/>
      <c r="AF1151" s="1414">
        <f ca="1">INDEX(final_duration_session,((WEEKDAY(AD$3,2)*2-1)+IF(AD1151="Morning",0,1)),$D1151)</f>
        <v>0</v>
      </c>
      <c r="AG1151" s="177"/>
      <c r="AH1151" s="1415">
        <f>$B1123</f>
        <v>21</v>
      </c>
      <c r="AI1151" s="1930" t="s">
        <v>352</v>
      </c>
      <c r="AJ1151" s="1930"/>
      <c r="AK1151" s="1414">
        <f ca="1">INDEX(final_duration_session,((WEEKDAY(AI$3,2)*2-1)+IF(AI1151="Morning",0,1)),$D1151)</f>
        <v>0</v>
      </c>
      <c r="AL1151" s="177"/>
    </row>
    <row r="1152" spans="2:38" s="176" customFormat="1" ht="15" customHeight="1" x14ac:dyDescent="0.45">
      <c r="B1152" s="1942"/>
      <c r="C1152" s="1945"/>
      <c r="D1152" s="1931" t="str">
        <f ca="1">IF(G1151&gt;0,INDEX(sessions_name,INDEX(plan_session_allocation,((WEEKDAY(E$3,2)*2-1)+IF(E1151="Morning",0,1)),D1151)),"")</f>
        <v/>
      </c>
      <c r="E1152" s="1932"/>
      <c r="F1152" s="1932"/>
      <c r="G1152" s="1933"/>
      <c r="H1152" s="177"/>
      <c r="I1152" s="1931" t="str">
        <f ca="1">IF(L1151&gt;0,INDEX(sessions_name,INDEX(plan_session_allocation,((WEEKDAY(J$3,2)*2-1)+IF(J1151="Morning",0,1)),I1151)),"")</f>
        <v/>
      </c>
      <c r="J1152" s="1932"/>
      <c r="K1152" s="1932"/>
      <c r="L1152" s="1933"/>
      <c r="M1152" s="177"/>
      <c r="N1152" s="1931" t="str">
        <f ca="1">IF(Q1151&gt;0,INDEX(sessions_name,INDEX(plan_session_allocation,((WEEKDAY(O$3,2)*2-1)+IF(O1151="Morning",0,1)),N1151)),"")</f>
        <v/>
      </c>
      <c r="O1152" s="1932"/>
      <c r="P1152" s="1932"/>
      <c r="Q1152" s="1933"/>
      <c r="R1152" s="177"/>
      <c r="S1152" s="1931" t="str">
        <f ca="1">IF(V1151&gt;0,INDEX(sessions_name,INDEX(plan_session_allocation,((WEEKDAY(T$3,2)*2-1)+IF(T1151="Morning",0,1)),S1151)),"")</f>
        <v/>
      </c>
      <c r="T1152" s="1932"/>
      <c r="U1152" s="1932"/>
      <c r="V1152" s="1933"/>
      <c r="W1152" s="177"/>
      <c r="X1152" s="1931" t="str">
        <f ca="1">IF(AA1151&gt;0,INDEX(sessions_name,INDEX(plan_session_allocation,((WEEKDAY(Y$3,2)*2-1)+IF(Y1151="Morning",0,1)),X1151)),"")</f>
        <v/>
      </c>
      <c r="Y1152" s="1932"/>
      <c r="Z1152" s="1932"/>
      <c r="AA1152" s="1933"/>
      <c r="AB1152" s="177"/>
      <c r="AC1152" s="1931" t="str">
        <f ca="1">IF(AF1151&gt;0,INDEX(sessions_name,INDEX(plan_session_allocation,((WEEKDAY(AD$3,2)*2-1)+IF(AD1151="Morning",0,1)),AC1151)),"")</f>
        <v/>
      </c>
      <c r="AD1152" s="1932"/>
      <c r="AE1152" s="1932"/>
      <c r="AF1152" s="1933"/>
      <c r="AG1152" s="177"/>
      <c r="AH1152" s="1931" t="str">
        <f ca="1">IF(AK1151&gt;0,INDEX(sessions_name,INDEX(plan_session_allocation,((WEEKDAY(AI$3,2)*2-1)+IF(AI1151="Morning",0,1)),AH1151)),"")</f>
        <v/>
      </c>
      <c r="AI1152" s="1932"/>
      <c r="AJ1152" s="1932"/>
      <c r="AK1152" s="1933"/>
      <c r="AL1152" s="177"/>
    </row>
    <row r="1153" spans="2:38" s="176" customFormat="1" ht="15" customHeight="1" x14ac:dyDescent="0.45">
      <c r="B1153" s="1942"/>
      <c r="C1153" s="1945"/>
      <c r="D1153" s="1934" t="str">
        <f ca="1">IF(G1151&gt;0,CONCATENATE("Sport: ",INDEX(sessions_sport_primary,INDEX(plan_session_allocation,(WEEKDAY(E$3,2)*2-1)+IF(E1151="Morning",0,1),D1151))),"")</f>
        <v/>
      </c>
      <c r="E1153" s="1935"/>
      <c r="F1153" s="1936" t="str">
        <f ca="1">IF(G1151&gt;0,IFERROR(F1154+F1155+F1156,""),"")</f>
        <v/>
      </c>
      <c r="G1153" s="1937"/>
      <c r="H1153" s="177"/>
      <c r="I1153" s="1934" t="str">
        <f ca="1">IF(L1151&gt;0,CONCATENATE("Sport: ",INDEX(sessions_sport_primary,INDEX(plan_session_allocation,(WEEKDAY(J$3,2)*2-1)+IF(J1151="Morning",0,1),I1151))),"")</f>
        <v/>
      </c>
      <c r="J1153" s="1935"/>
      <c r="K1153" s="1936" t="str">
        <f ca="1">IF(L1151&gt;0,IFERROR(K1154+K1155+K1156,""),"")</f>
        <v/>
      </c>
      <c r="L1153" s="1937"/>
      <c r="M1153" s="177"/>
      <c r="N1153" s="1934" t="str">
        <f ca="1">IF(Q1151&gt;0,CONCATENATE("Sport: ",INDEX(sessions_sport_primary,INDEX(plan_session_allocation,(WEEKDAY(O$3,2)*2-1)+IF(O1151="Morning",0,1),N1151))),"")</f>
        <v/>
      </c>
      <c r="O1153" s="1935"/>
      <c r="P1153" s="1936" t="str">
        <f ca="1">IF(Q1151&gt;0,IFERROR(P1154+P1155+P1156,""),"")</f>
        <v/>
      </c>
      <c r="Q1153" s="1937"/>
      <c r="R1153" s="177"/>
      <c r="S1153" s="1934" t="str">
        <f ca="1">IF(V1151&gt;0,CONCATENATE("Sport: ",INDEX(sessions_sport_primary,INDEX(plan_session_allocation,(WEEKDAY(T$3,2)*2-1)+IF(T1151="Morning",0,1),S1151))),"")</f>
        <v/>
      </c>
      <c r="T1153" s="1935"/>
      <c r="U1153" s="1936" t="str">
        <f ca="1">IF(V1151&gt;0,IFERROR(U1154+U1155+U1156,""),"")</f>
        <v/>
      </c>
      <c r="V1153" s="1937"/>
      <c r="W1153" s="177"/>
      <c r="X1153" s="1934" t="str">
        <f ca="1">IF(AA1151&gt;0,CONCATENATE("Sport: ",INDEX(sessions_sport_primary,INDEX(plan_session_allocation,(WEEKDAY(Y$3,2)*2-1)+IF(Y1151="Morning",0,1),X1151))),"")</f>
        <v/>
      </c>
      <c r="Y1153" s="1935"/>
      <c r="Z1153" s="1936" t="str">
        <f ca="1">IF(AA1151&gt;0,IFERROR(Z1154+Z1155+Z1156,""),"")</f>
        <v/>
      </c>
      <c r="AA1153" s="1937"/>
      <c r="AB1153" s="177"/>
      <c r="AC1153" s="1934" t="str">
        <f ca="1">IF(AF1151&gt;0,CONCATENATE("Sport: ",INDEX(sessions_sport_primary,INDEX(plan_session_allocation,(WEEKDAY(AD$3,2)*2-1)+IF(AD1151="Morning",0,1),AC1151))),"")</f>
        <v/>
      </c>
      <c r="AD1153" s="1935"/>
      <c r="AE1153" s="1936" t="str">
        <f ca="1">IF(AF1151&gt;0,IFERROR(AE1154+AE1155+AE1156,""),"")</f>
        <v/>
      </c>
      <c r="AF1153" s="1937"/>
      <c r="AG1153" s="177"/>
      <c r="AH1153" s="1934" t="str">
        <f ca="1">IF(AK1151&gt;0,CONCATENATE("Sport: ",INDEX(sessions_sport_primary,INDEX(plan_session_allocation,(WEEKDAY(AI$3,2)*2-1)+IF(AI1151="Morning",0,1),AH1151))),"")</f>
        <v/>
      </c>
      <c r="AI1153" s="1935"/>
      <c r="AJ1153" s="1936" t="str">
        <f ca="1">IF(AK1151&gt;0,IFERROR(AJ1154+AJ1155+AJ1156,""),"")</f>
        <v/>
      </c>
      <c r="AK1153" s="1937"/>
      <c r="AL1153" s="177"/>
    </row>
    <row r="1154" spans="2:38" s="177" customFormat="1" ht="15" customHeight="1" x14ac:dyDescent="0.45">
      <c r="B1154" s="1942"/>
      <c r="C1154" s="1945"/>
      <c r="D1154" s="1922" t="str">
        <f ca="1">IF(G1151&gt;0,CONCATENATE("HR Target: ",
INDEX(sessions_HR_primary,INDEX(plan_session_allocation,((WEEKDAY(E$3,2)*2-1)+IF(E1151="Morning",0,1)),D1151)),
IF(INDEX(sessions_HR_primary,INDEX(plan_session_allocation,((WEEKDAY(E$3,2)*2-1)+IF(E1151="Morning",0,1)),D1151))="N/A","",
" BPM")),"")</f>
        <v/>
      </c>
      <c r="E1154" s="1923"/>
      <c r="F1154" s="1924" t="str">
        <f ca="1">IF(G1151&gt;0,
INDEX(final_duration_effort,((WEEKDAY(E$3,2)*2-1)+IF(E1151="Morning",0,1)),D1151),"")</f>
        <v/>
      </c>
      <c r="G1154" s="1925"/>
      <c r="I1154" s="1922" t="str">
        <f ca="1">IF(L1151&gt;0,CONCATENATE("HR Target: ",
INDEX(sessions_HR_primary,INDEX(plan_session_allocation,((WEEKDAY(J$3,2)*2-1)+IF(J1151="Morning",0,1)),I1151)),
IF(INDEX(sessions_HR_primary,INDEX(plan_session_allocation,((WEEKDAY(J$3,2)*2-1)+IF(J1151="Morning",0,1)),I1151))="N/A","",
" BPM")),"")</f>
        <v/>
      </c>
      <c r="J1154" s="1923"/>
      <c r="K1154" s="1924" t="str">
        <f ca="1">IF(L1151&gt;0,
INDEX(final_duration_effort,((WEEKDAY(J$3,2)*2-1)+IF(J1151="Morning",0,1)),I1151),"")</f>
        <v/>
      </c>
      <c r="L1154" s="1925"/>
      <c r="N1154" s="1922" t="str">
        <f ca="1">IF(Q1151&gt;0,CONCATENATE("HR Target: ",
INDEX(sessions_HR_primary,INDEX(plan_session_allocation,((WEEKDAY(O$3,2)*2-1)+IF(O1151="Morning",0,1)),N1151)),
IF(INDEX(sessions_HR_primary,INDEX(plan_session_allocation,((WEEKDAY(O$3,2)*2-1)+IF(O1151="Morning",0,1)),N1151))="N/A","",
" BPM")),"")</f>
        <v/>
      </c>
      <c r="O1154" s="1923"/>
      <c r="P1154" s="1924" t="str">
        <f ca="1">IF(Q1151&gt;0,
INDEX(final_duration_effort,((WEEKDAY(O$3,2)*2-1)+IF(O1151="Morning",0,1)),N1151),"")</f>
        <v/>
      </c>
      <c r="Q1154" s="1925"/>
      <c r="S1154" s="1922" t="str">
        <f ca="1">IF(V1151&gt;0,CONCATENATE("HR Target: ",
INDEX(sessions_HR_primary,INDEX(plan_session_allocation,((WEEKDAY(T$3,2)*2-1)+IF(T1151="Morning",0,1)),S1151)),
IF(INDEX(sessions_HR_primary,INDEX(plan_session_allocation,((WEEKDAY(T$3,2)*2-1)+IF(T1151="Morning",0,1)),S1151))="N/A","",
" BPM")),"")</f>
        <v/>
      </c>
      <c r="T1154" s="1923"/>
      <c r="U1154" s="1924" t="str">
        <f ca="1">IF(V1151&gt;0,
INDEX(final_duration_effort,((WEEKDAY(T$3,2)*2-1)+IF(T1151="Morning",0,1)),S1151),"")</f>
        <v/>
      </c>
      <c r="V1154" s="1925"/>
      <c r="X1154" s="1922" t="str">
        <f ca="1">IF(AA1151&gt;0,CONCATENATE("HR Target: ",
INDEX(sessions_HR_primary,INDEX(plan_session_allocation,((WEEKDAY(Y$3,2)*2-1)+IF(Y1151="Morning",0,1)),X1151)),
IF(INDEX(sessions_HR_primary,INDEX(plan_session_allocation,((WEEKDAY(Y$3,2)*2-1)+IF(Y1151="Morning",0,1)),X1151))="N/A","",
" BPM")),"")</f>
        <v/>
      </c>
      <c r="Y1154" s="1923"/>
      <c r="Z1154" s="1924" t="str">
        <f ca="1">IF(AA1151&gt;0,
INDEX(final_duration_effort,((WEEKDAY(Y$3,2)*2-1)+IF(Y1151="Morning",0,1)),X1151),"")</f>
        <v/>
      </c>
      <c r="AA1154" s="1925"/>
      <c r="AC1154" s="1922" t="str">
        <f ca="1">IF(AF1151&gt;0,CONCATENATE("HR Target: ",
INDEX(sessions_HR_primary,INDEX(plan_session_allocation,((WEEKDAY(AD$3,2)*2-1)+IF(AD1151="Morning",0,1)),AC1151)),
IF(INDEX(sessions_HR_primary,INDEX(plan_session_allocation,((WEEKDAY(AD$3,2)*2-1)+IF(AD1151="Morning",0,1)),AC1151))="N/A","",
" BPM")),"")</f>
        <v/>
      </c>
      <c r="AD1154" s="1923"/>
      <c r="AE1154" s="1924" t="str">
        <f ca="1">IF(AF1151&gt;0,
INDEX(final_duration_effort,((WEEKDAY(AD$3,2)*2-1)+IF(AD1151="Morning",0,1)),AC1151),"")</f>
        <v/>
      </c>
      <c r="AF1154" s="1925"/>
      <c r="AH1154" s="1922" t="str">
        <f ca="1">IF(AK1151&gt;0,CONCATENATE("HR Target: ",
INDEX(sessions_HR_primary,INDEX(plan_session_allocation,((WEEKDAY(AI$3,2)*2-1)+IF(AI1151="Morning",0,1)),AH1151)),
IF(INDEX(sessions_HR_primary,INDEX(plan_session_allocation,((WEEKDAY(AI$3,2)*2-1)+IF(AI1151="Morning",0,1)),AH1151))="N/A","",
" BPM")),"")</f>
        <v/>
      </c>
      <c r="AI1154" s="1923"/>
      <c r="AJ1154" s="1924" t="str">
        <f ca="1">IF(AK1151&gt;0,
INDEX(final_duration_effort,((WEEKDAY(AI$3,2)*2-1)+IF(AI1151="Morning",0,1)),AH1151),"")</f>
        <v/>
      </c>
      <c r="AK1154" s="1925"/>
    </row>
    <row r="1155" spans="2:38" s="177" customFormat="1" ht="15" customHeight="1" x14ac:dyDescent="0.45">
      <c r="B1155" s="1942"/>
      <c r="C1155" s="1945"/>
      <c r="D1155" s="1926" t="str">
        <f ca="1">IF(G1151&gt;0,CONCATENATE("HR Range: ",
INDEX(sessions_HR_range_primary,INDEX(plan_session_allocation,((WEEKDAY(E$3,2)*2-1)+IF(E1151="Morning",0,1)),D1151)),
IF(INDEX(sessions_HR_range_primary,INDEX(plan_session_allocation,((WEEKDAY(E$3,2)*2-1)+IF(E1151="Morning",0,1)),D1151))="N/A","",
" BPM")),"")</f>
        <v/>
      </c>
      <c r="E1155" s="1927"/>
      <c r="F1155" s="1928" t="str">
        <f ca="1">IF(G1151&gt;0,IF(
INDEX(sessions_recoveries,INDEX(plan_session_allocation,((WEEKDAY(E$3,2)*2-1)+IF(E1151="Morning",0,1)),D1151))="Yes",
VLOOKUP(INDEX(plan_duration_primary,((WEEKDAY(E$3,2)*2-1)+IF(E1151="Morning",0,1)),D1151),
INDIRECT(INDEX(sessions_intervals_code_primary,INDEX(plan_session_allocation,((WEEKDAY(E$3,2)*2-1)+IF(E1151="Morning",0,1)),D1151))),7,TRUE),0),"")</f>
        <v/>
      </c>
      <c r="G1155" s="1929"/>
      <c r="I1155" s="1926" t="str">
        <f ca="1">IF(L1151&gt;0,CONCATENATE("HR Range: ",
INDEX(sessions_HR_range_primary,INDEX(plan_session_allocation,((WEEKDAY(J$3,2)*2-1)+IF(J1151="Morning",0,1)),I1151)),
IF(INDEX(sessions_HR_range_primary,INDEX(plan_session_allocation,((WEEKDAY(J$3,2)*2-1)+IF(J1151="Morning",0,1)),I1151))="N/A","",
" BPM")),"")</f>
        <v/>
      </c>
      <c r="J1155" s="1927"/>
      <c r="K1155" s="1928" t="str">
        <f ca="1">IF(L1151&gt;0,IF(
INDEX(sessions_recoveries,INDEX(plan_session_allocation,((WEEKDAY(J$3,2)*2-1)+IF(J1151="Morning",0,1)),I1151))="Yes",
VLOOKUP(INDEX(plan_duration_primary,((WEEKDAY(J$3,2)*2-1)+IF(J1151="Morning",0,1)),I1151),
INDIRECT(INDEX(sessions_intervals_code_primary,INDEX(plan_session_allocation,((WEEKDAY(J$3,2)*2-1)+IF(J1151="Morning",0,1)),I1151))),7,TRUE),0),"")</f>
        <v/>
      </c>
      <c r="L1155" s="1929"/>
      <c r="N1155" s="1926" t="str">
        <f ca="1">IF(Q1151&gt;0,CONCATENATE("HR Range: ",
INDEX(sessions_HR_range_primary,INDEX(plan_session_allocation,((WEEKDAY(O$3,2)*2-1)+IF(O1151="Morning",0,1)),N1151)),
IF(INDEX(sessions_HR_range_primary,INDEX(plan_session_allocation,((WEEKDAY(O$3,2)*2-1)+IF(O1151="Morning",0,1)),N1151))="N/A","",
" BPM")),"")</f>
        <v/>
      </c>
      <c r="O1155" s="1927"/>
      <c r="P1155" s="1928" t="str">
        <f ca="1">IF(Q1151&gt;0,IF(
INDEX(sessions_recoveries,INDEX(plan_session_allocation,((WEEKDAY(O$3,2)*2-1)+IF(O1151="Morning",0,1)),N1151))="Yes",
VLOOKUP(INDEX(plan_duration_primary,((WEEKDAY(O$3,2)*2-1)+IF(O1151="Morning",0,1)),N1151),
INDIRECT(INDEX(sessions_intervals_code_primary,INDEX(plan_session_allocation,((WEEKDAY(O$3,2)*2-1)+IF(O1151="Morning",0,1)),N1151))),7,TRUE),0),"")</f>
        <v/>
      </c>
      <c r="Q1155" s="1929"/>
      <c r="S1155" s="1926" t="str">
        <f ca="1">IF(V1151&gt;0,CONCATENATE("HR Range: ",
INDEX(sessions_HR_range_primary,INDEX(plan_session_allocation,((WEEKDAY(T$3,2)*2-1)+IF(T1151="Morning",0,1)),S1151)),
IF(INDEX(sessions_HR_range_primary,INDEX(plan_session_allocation,((WEEKDAY(T$3,2)*2-1)+IF(T1151="Morning",0,1)),S1151))="N/A","",
" BPM")),"")</f>
        <v/>
      </c>
      <c r="T1155" s="1927"/>
      <c r="U1155" s="1928" t="str">
        <f ca="1">IF(V1151&gt;0,IF(
INDEX(sessions_recoveries,INDEX(plan_session_allocation,((WEEKDAY(T$3,2)*2-1)+IF(T1151="Morning",0,1)),S1151))="Yes",
VLOOKUP(INDEX(plan_duration_primary,((WEEKDAY(T$3,2)*2-1)+IF(T1151="Morning",0,1)),S1151),
INDIRECT(INDEX(sessions_intervals_code_primary,INDEX(plan_session_allocation,((WEEKDAY(T$3,2)*2-1)+IF(T1151="Morning",0,1)),S1151))),7,TRUE),0),"")</f>
        <v/>
      </c>
      <c r="V1155" s="1929"/>
      <c r="X1155" s="1926" t="str">
        <f ca="1">IF(AA1151&gt;0,CONCATENATE("HR Range: ",
INDEX(sessions_HR_range_primary,INDEX(plan_session_allocation,((WEEKDAY(Y$3,2)*2-1)+IF(Y1151="Morning",0,1)),X1151)),
IF(INDEX(sessions_HR_range_primary,INDEX(plan_session_allocation,((WEEKDAY(Y$3,2)*2-1)+IF(Y1151="Morning",0,1)),X1151))="N/A","",
" BPM")),"")</f>
        <v/>
      </c>
      <c r="Y1155" s="1927"/>
      <c r="Z1155" s="1928" t="str">
        <f ca="1">IF(AA1151&gt;0,IF(
INDEX(sessions_recoveries,INDEX(plan_session_allocation,((WEEKDAY(Y$3,2)*2-1)+IF(Y1151="Morning",0,1)),X1151))="Yes",
VLOOKUP(INDEX(plan_duration_primary,((WEEKDAY(Y$3,2)*2-1)+IF(Y1151="Morning",0,1)),X1151),
INDIRECT(INDEX(sessions_intervals_code_primary,INDEX(plan_session_allocation,((WEEKDAY(Y$3,2)*2-1)+IF(Y1151="Morning",0,1)),X1151))),7,TRUE),0),"")</f>
        <v/>
      </c>
      <c r="AA1155" s="1929"/>
      <c r="AC1155" s="1926" t="str">
        <f ca="1">IF(AF1151&gt;0,CONCATENATE("HR Range: ",
INDEX(sessions_HR_range_primary,INDEX(plan_session_allocation,((WEEKDAY(AD$3,2)*2-1)+IF(AD1151="Morning",0,1)),AC1151)),
IF(INDEX(sessions_HR_range_primary,INDEX(plan_session_allocation,((WEEKDAY(AD$3,2)*2-1)+IF(AD1151="Morning",0,1)),AC1151))="N/A","",
" BPM")),"")</f>
        <v/>
      </c>
      <c r="AD1155" s="1927"/>
      <c r="AE1155" s="1928" t="str">
        <f ca="1">IF(AF1151&gt;0,IF(
INDEX(sessions_recoveries,INDEX(plan_session_allocation,((WEEKDAY(AD$3,2)*2-1)+IF(AD1151="Morning",0,1)),AC1151))="Yes",
VLOOKUP(INDEX(plan_duration_primary,((WEEKDAY(AD$3,2)*2-1)+IF(AD1151="Morning",0,1)),AC1151),
INDIRECT(INDEX(sessions_intervals_code_primary,INDEX(plan_session_allocation,((WEEKDAY(AD$3,2)*2-1)+IF(AD1151="Morning",0,1)),AC1151))),7,TRUE),0),"")</f>
        <v/>
      </c>
      <c r="AF1155" s="1929"/>
      <c r="AH1155" s="1926" t="str">
        <f ca="1">IF(AK1151&gt;0,CONCATENATE("HR Range: ",
INDEX(sessions_HR_range_primary,INDEX(plan_session_allocation,((WEEKDAY(AI$3,2)*2-1)+IF(AI1151="Morning",0,1)),AH1151)),
IF(INDEX(sessions_HR_range_primary,INDEX(plan_session_allocation,((WEEKDAY(AI$3,2)*2-1)+IF(AI1151="Morning",0,1)),AH1151))="N/A","",
" BPM")),"")</f>
        <v/>
      </c>
      <c r="AI1155" s="1927"/>
      <c r="AJ1155" s="1928" t="str">
        <f ca="1">IF(AK1151&gt;0,IF(
INDEX(sessions_recoveries,INDEX(plan_session_allocation,((WEEKDAY(AI$3,2)*2-1)+IF(AI1151="Morning",0,1)),AH1151))="Yes",
VLOOKUP(INDEX(plan_duration_primary,((WEEKDAY(AI$3,2)*2-1)+IF(AI1151="Morning",0,1)),AH1151),
INDIRECT(INDEX(sessions_intervals_code_primary,INDEX(plan_session_allocation,((WEEKDAY(AI$3,2)*2-1)+IF(AI1151="Morning",0,1)),AH1151))),7,TRUE),0),"")</f>
        <v/>
      </c>
      <c r="AK1155" s="1929"/>
    </row>
    <row r="1156" spans="2:38" s="177" customFormat="1" ht="15" customHeight="1" x14ac:dyDescent="0.45">
      <c r="B1156" s="1942"/>
      <c r="C1156" s="1945"/>
      <c r="D1156" s="1909" t="str">
        <f ca="1">IF(G1151&gt;0,CONCATENATE("Equivalent Pace: ",
TEXT(INDEX(sessions_pace_primary,INDEX(plan_session_allocation,(WEEKDAY(E$3,2)*2-1)+IF(E1151="Morning",0,1),D1151)),"m:ss"),
" min/km"
),"")</f>
        <v/>
      </c>
      <c r="E1156" s="1910"/>
      <c r="F1156" s="1911" t="str">
        <f ca="1">IF(G1151&gt;0, INDEX(final_duration_WU,((WEEKDAY(E$3,2)*2-1)+IF(E1151="Morning",0,1)),D1151)  + INDEX(final_duration_WD,((WEEKDAY(E$3,2)*2-1)+IF(E1151="Morning",0,1)),D1151), "")</f>
        <v/>
      </c>
      <c r="G1156" s="1912"/>
      <c r="I1156" s="1909" t="str">
        <f ca="1">IF(L1151&gt;0,CONCATENATE("Equivalent Pace: ",
TEXT(INDEX(sessions_pace_primary,INDEX(plan_session_allocation,(WEEKDAY(J$3,2)*2-1)+IF(J1151="Morning",0,1),I1151)),"m:ss"),
" min/km"
),"")</f>
        <v/>
      </c>
      <c r="J1156" s="1910"/>
      <c r="K1156" s="1911" t="str">
        <f ca="1">IF(L1151&gt;0, INDEX(final_duration_WU,((WEEKDAY(J$3,2)*2-1)+IF(J1151="Morning",0,1)),I1151)  + INDEX(final_duration_WD,((WEEKDAY(J$3,2)*2-1)+IF(J1151="Morning",0,1)),I1151), "")</f>
        <v/>
      </c>
      <c r="L1156" s="1912"/>
      <c r="N1156" s="1909" t="str">
        <f ca="1">IF(Q1151&gt;0,CONCATENATE("Equivalent Pace: ",
TEXT(INDEX(sessions_pace_primary,INDEX(plan_session_allocation,(WEEKDAY(O$3,2)*2-1)+IF(O1151="Morning",0,1),N1151)),"m:ss"),
" min/km"
),"")</f>
        <v/>
      </c>
      <c r="O1156" s="1910"/>
      <c r="P1156" s="1911" t="str">
        <f ca="1">IF(Q1151&gt;0, INDEX(final_duration_WU,((WEEKDAY(O$3,2)*2-1)+IF(O1151="Morning",0,1)),N1151)  + INDEX(final_duration_WD,((WEEKDAY(O$3,2)*2-1)+IF(O1151="Morning",0,1)),N1151), "")</f>
        <v/>
      </c>
      <c r="Q1156" s="1912"/>
      <c r="S1156" s="1909" t="str">
        <f ca="1">IF(V1151&gt;0,CONCATENATE("Equivalent Pace: ",
TEXT(INDEX(sessions_pace_primary,INDEX(plan_session_allocation,(WEEKDAY(T$3,2)*2-1)+IF(T1151="Morning",0,1),S1151)),"m:ss"),
" min/km"
),"")</f>
        <v/>
      </c>
      <c r="T1156" s="1910"/>
      <c r="U1156" s="1911" t="str">
        <f ca="1">IF(V1151&gt;0, INDEX(final_duration_WU,((WEEKDAY(T$3,2)*2-1)+IF(T1151="Morning",0,1)),S1151)  + INDEX(final_duration_WD,((WEEKDAY(T$3,2)*2-1)+IF(T1151="Morning",0,1)),S1151), "")</f>
        <v/>
      </c>
      <c r="V1156" s="1912"/>
      <c r="X1156" s="1909" t="str">
        <f ca="1">IF(AA1151&gt;0,CONCATENATE("Equivalent Pace: ",
TEXT(INDEX(sessions_pace_primary,INDEX(plan_session_allocation,(WEEKDAY(Y$3,2)*2-1)+IF(Y1151="Morning",0,1),X1151)),"m:ss"),
" min/km"
),"")</f>
        <v/>
      </c>
      <c r="Y1156" s="1910"/>
      <c r="Z1156" s="1911" t="str">
        <f ca="1">IF(AA1151&gt;0, INDEX(final_duration_WU,((WEEKDAY(Y$3,2)*2-1)+IF(Y1151="Morning",0,1)),X1151)  + INDEX(final_duration_WD,((WEEKDAY(Y$3,2)*2-1)+IF(Y1151="Morning",0,1)),X1151), "")</f>
        <v/>
      </c>
      <c r="AA1156" s="1912"/>
      <c r="AC1156" s="1909" t="str">
        <f ca="1">IF(AF1151&gt;0,CONCATENATE("Equivalent Pace: ",
TEXT(INDEX(sessions_pace_primary,INDEX(plan_session_allocation,(WEEKDAY(AD$3,2)*2-1)+IF(AD1151="Morning",0,1),AC1151)),"m:ss"),
" min/km"
),"")</f>
        <v/>
      </c>
      <c r="AD1156" s="1910"/>
      <c r="AE1156" s="1911" t="str">
        <f ca="1">IF(AF1151&gt;0, INDEX(final_duration_WU,((WEEKDAY(AD$3,2)*2-1)+IF(AD1151="Morning",0,1)),AC1151)  + INDEX(final_duration_WD,((WEEKDAY(AD$3,2)*2-1)+IF(AD1151="Morning",0,1)),AC1151), "")</f>
        <v/>
      </c>
      <c r="AF1156" s="1912"/>
      <c r="AH1156" s="1909" t="str">
        <f ca="1">IF(AK1151&gt;0,CONCATENATE("Equivalent Pace: ",
TEXT(INDEX(sessions_pace_primary,INDEX(plan_session_allocation,(WEEKDAY(AI$3,2)*2-1)+IF(AI1151="Morning",0,1),AH1151)),"m:ss"),
" min/km"
),"")</f>
        <v/>
      </c>
      <c r="AI1156" s="1910"/>
      <c r="AJ1156" s="1911" t="str">
        <f ca="1">IF(AK1151&gt;0, INDEX(final_duration_WU,((WEEKDAY(AI$3,2)*2-1)+IF(AI1151="Morning",0,1)),AH1151)  + INDEX(final_duration_WD,((WEEKDAY(AI$3,2)*2-1)+IF(AI1151="Morning",0,1)),AH1151), "")</f>
        <v/>
      </c>
      <c r="AK1156" s="1912"/>
    </row>
    <row r="1157" spans="2:38" s="176" customFormat="1" ht="15" customHeight="1" x14ac:dyDescent="0.45">
      <c r="B1157" s="1942"/>
      <c r="C1157" s="1945"/>
      <c r="D1157" s="1913" t="str">
        <f ca="1">IF(G1151&gt;0,CONCATENATE(IFERROR(CONCATENATE(IF(INDEX(display_intervals_breakdown,((WEEKDAY(E$3,2)*2-1)+IF(E1151="Morning",0,1)),D1151)="","",CONCATENATE("Intervals/Reps Breakdown: 
",INDEX(display_intervals_breakdown,((WEEKDAY(E$3,2)*2-1)+IF(E1151="Morning",0,1)),D1151),"
")),"Session Description: 
",CONCATENATE(IF(INDEX(final_duration_secondary,((WEEKDAY(E$3,2)*2-1)+IF(E1151="Morning",0,1)),D1151)=0,"","1. "),
INDEX(sessions_description_primary,,INDEX(plan_session_allocation,((WEEKDAY(E$3,2)*2-1)+IF(E1151="Morning",0,1)),D1151)),IF(INDEX(final_duration_secondary,((WEEKDAY(E$3,2)*2-1)+IF(E1151="Morning",0,1)),D1151)=0,"","
2. "),
IF(INDEX(final_duration_secondary,((WEEKDAY(E$3,2)*2-1)+IF(E1151="Morning",0,1)),D1151)=0,"",INDEX(sessions_description_secondary,,INDEX(plan_session_allocation,((WEEKDAY(E$3,2)*2-1)+IF(E1151="Morning",0,1)),D1151))),IF(INDEX(final_duration_tertiary,((WEEKDAY(E$3,2)*2-1)+IF(E1151="Morning",0,1)),D1151)=0,"","
3. "),
IF(INDEX(final_duration_tertiary,((WEEKDAY(E$3,2)*2-1)+IF(E1151="Morning",0,1)),D1151)="","",INDEX(sessions_description_tertiary,,INDEX(plan_session_allocation,((WEEKDAY(E$3,2)*2-1)+IF(E1151="Morning",0,1)),D1151))),
IF(INDEX(display_nutrition_description,((WEEKDAY(E$3,2)*2-1)+IF(E1151="Morning",0,1)),D1151)="","",
CONCATENATE("
Meal Plan: ", INDEX(sessions_nutrition,,INDEX(plan_session_allocation,((WEEKDAY(E$3,2)*2-1)+IF(E1151="Morning",0,1)),D1151)), "
", INDEX(display_nutrition_description,((WEEKDAY(E$3,2)*2-1)+IF(E1151="Morning",0,1)),D1151)))
)),"")),"")</f>
        <v/>
      </c>
      <c r="E1157" s="1914"/>
      <c r="F1157" s="1914"/>
      <c r="G1157" s="1915"/>
      <c r="H1157" s="177"/>
      <c r="I1157" s="1913" t="str">
        <f ca="1">IF(L1151&gt;0,CONCATENATE(IFERROR(CONCATENATE(IF(INDEX(display_intervals_breakdown,((WEEKDAY(J$3,2)*2-1)+IF(J1151="Morning",0,1)),I1151)="","",CONCATENATE("Intervals/Reps Breakdown: 
",INDEX(display_intervals_breakdown,((WEEKDAY(J$3,2)*2-1)+IF(J1151="Morning",0,1)),I1151),"
")),"Session Description: 
",CONCATENATE(IF(INDEX(final_duration_secondary,((WEEKDAY(J$3,2)*2-1)+IF(J1151="Morning",0,1)),I1151)=0,"","1. "),
INDEX(sessions_description_primary,,INDEX(plan_session_allocation,((WEEKDAY(J$3,2)*2-1)+IF(J1151="Morning",0,1)),I1151)),IF(INDEX(final_duration_secondary,((WEEKDAY(J$3,2)*2-1)+IF(J1151="Morning",0,1)),I1151)=0,"","
2. "),
IF(INDEX(final_duration_secondary,((WEEKDAY(J$3,2)*2-1)+IF(J1151="Morning",0,1)),I1151)=0,"",INDEX(sessions_description_secondary,,INDEX(plan_session_allocation,((WEEKDAY(J$3,2)*2-1)+IF(J1151="Morning",0,1)),I1151))),IF(INDEX(final_duration_tertiary,((WEEKDAY(J$3,2)*2-1)+IF(J1151="Morning",0,1)),I1151)=0,"","
3. "),
IF(INDEX(final_duration_tertiary,((WEEKDAY(J$3,2)*2-1)+IF(J1151="Morning",0,1)),I1151)="","",INDEX(sessions_description_tertiary,,INDEX(plan_session_allocation,((WEEKDAY(J$3,2)*2-1)+IF(J1151="Morning",0,1)),I1151))),
IF(INDEX(display_nutrition_description,((WEEKDAY(J$3,2)*2-1)+IF(J1151="Morning",0,1)),I1151)="","",
CONCATENATE("
Meal Plan: ", INDEX(sessions_nutrition,,INDEX(plan_session_allocation,((WEEKDAY(J$3,2)*2-1)+IF(J1151="Morning",0,1)),I1151)), "
", INDEX(display_nutrition_description,((WEEKDAY(J$3,2)*2-1)+IF(J1151="Morning",0,1)),I1151)))
)),"")),"")</f>
        <v/>
      </c>
      <c r="J1157" s="1914"/>
      <c r="K1157" s="1914"/>
      <c r="L1157" s="1915"/>
      <c r="M1157" s="177"/>
      <c r="N1157" s="1913" t="str">
        <f ca="1">IF(Q1151&gt;0,CONCATENATE(IFERROR(CONCATENATE(IF(INDEX(display_intervals_breakdown,((WEEKDAY(O$3,2)*2-1)+IF(O1151="Morning",0,1)),N1151)="","",CONCATENATE("Intervals/Reps Breakdown: 
",INDEX(display_intervals_breakdown,((WEEKDAY(O$3,2)*2-1)+IF(O1151="Morning",0,1)),N1151),"
")),"Session Description: 
",CONCATENATE(IF(INDEX(final_duration_secondary,((WEEKDAY(O$3,2)*2-1)+IF(O1151="Morning",0,1)),N1151)=0,"","1. "),
INDEX(sessions_description_primary,,INDEX(plan_session_allocation,((WEEKDAY(O$3,2)*2-1)+IF(O1151="Morning",0,1)),N1151)),IF(INDEX(final_duration_secondary,((WEEKDAY(O$3,2)*2-1)+IF(O1151="Morning",0,1)),N1151)=0,"","
2. "),
IF(INDEX(final_duration_secondary,((WEEKDAY(O$3,2)*2-1)+IF(O1151="Morning",0,1)),N1151)=0,"",INDEX(sessions_description_secondary,,INDEX(plan_session_allocation,((WEEKDAY(O$3,2)*2-1)+IF(O1151="Morning",0,1)),N1151))),IF(INDEX(final_duration_tertiary,((WEEKDAY(O$3,2)*2-1)+IF(O1151="Morning",0,1)),N1151)=0,"","
3. "),
IF(INDEX(final_duration_tertiary,((WEEKDAY(O$3,2)*2-1)+IF(O1151="Morning",0,1)),N1151)="","",INDEX(sessions_description_tertiary,,INDEX(plan_session_allocation,((WEEKDAY(O$3,2)*2-1)+IF(O1151="Morning",0,1)),N1151))),
IF(INDEX(display_nutrition_description,((WEEKDAY(O$3,2)*2-1)+IF(O1151="Morning",0,1)),N1151)="","",
CONCATENATE("
Meal Plan: ", INDEX(sessions_nutrition,,INDEX(plan_session_allocation,((WEEKDAY(O$3,2)*2-1)+IF(O1151="Morning",0,1)),N1151)), "
", INDEX(display_nutrition_description,((WEEKDAY(O$3,2)*2-1)+IF(O1151="Morning",0,1)),N1151)))
)),"")),"")</f>
        <v/>
      </c>
      <c r="O1157" s="1914"/>
      <c r="P1157" s="1914"/>
      <c r="Q1157" s="1915"/>
      <c r="R1157" s="177"/>
      <c r="S1157" s="1913" t="str">
        <f ca="1">IF(V1151&gt;0,CONCATENATE(IFERROR(CONCATENATE(IF(INDEX(display_intervals_breakdown,((WEEKDAY(T$3,2)*2-1)+IF(T1151="Morning",0,1)),S1151)="","",CONCATENATE("Intervals/Reps Breakdown: 
",INDEX(display_intervals_breakdown,((WEEKDAY(T$3,2)*2-1)+IF(T1151="Morning",0,1)),S1151),"
")),"Session Description: 
",CONCATENATE(IF(INDEX(final_duration_secondary,((WEEKDAY(T$3,2)*2-1)+IF(T1151="Morning",0,1)),S1151)=0,"","1. "),
INDEX(sessions_description_primary,,INDEX(plan_session_allocation,((WEEKDAY(T$3,2)*2-1)+IF(T1151="Morning",0,1)),S1151)),IF(INDEX(final_duration_secondary,((WEEKDAY(T$3,2)*2-1)+IF(T1151="Morning",0,1)),S1151)=0,"","
2. "),
IF(INDEX(final_duration_secondary,((WEEKDAY(T$3,2)*2-1)+IF(T1151="Morning",0,1)),S1151)=0,"",INDEX(sessions_description_secondary,,INDEX(plan_session_allocation,((WEEKDAY(T$3,2)*2-1)+IF(T1151="Morning",0,1)),S1151))),IF(INDEX(final_duration_tertiary,((WEEKDAY(T$3,2)*2-1)+IF(T1151="Morning",0,1)),S1151)=0,"","
3. "),
IF(INDEX(final_duration_tertiary,((WEEKDAY(T$3,2)*2-1)+IF(T1151="Morning",0,1)),S1151)="","",INDEX(sessions_description_tertiary,,INDEX(plan_session_allocation,((WEEKDAY(T$3,2)*2-1)+IF(T1151="Morning",0,1)),S1151))),
IF(INDEX(display_nutrition_description,((WEEKDAY(T$3,2)*2-1)+IF(T1151="Morning",0,1)),S1151)="","",
CONCATENATE("
Meal Plan: ", INDEX(sessions_nutrition,,INDEX(plan_session_allocation,((WEEKDAY(T$3,2)*2-1)+IF(T1151="Morning",0,1)),S1151)), "
", INDEX(display_nutrition_description,((WEEKDAY(T$3,2)*2-1)+IF(T1151="Morning",0,1)),S1151)))
)),"")),"")</f>
        <v/>
      </c>
      <c r="T1157" s="1914"/>
      <c r="U1157" s="1914"/>
      <c r="V1157" s="1915"/>
      <c r="W1157" s="177"/>
      <c r="X1157" s="1913" t="str">
        <f ca="1">IF(AA1151&gt;0,CONCATENATE(IFERROR(CONCATENATE(IF(INDEX(display_intervals_breakdown,((WEEKDAY(Y$3,2)*2-1)+IF(Y1151="Morning",0,1)),X1151)="","",CONCATENATE("Intervals/Reps Breakdown: 
",INDEX(display_intervals_breakdown,((WEEKDAY(Y$3,2)*2-1)+IF(Y1151="Morning",0,1)),X1151),"
")),"Session Description: 
",CONCATENATE(IF(INDEX(final_duration_secondary,((WEEKDAY(Y$3,2)*2-1)+IF(Y1151="Morning",0,1)),X1151)=0,"","1. "),
INDEX(sessions_description_primary,,INDEX(plan_session_allocation,((WEEKDAY(Y$3,2)*2-1)+IF(Y1151="Morning",0,1)),X1151)),IF(INDEX(final_duration_secondary,((WEEKDAY(Y$3,2)*2-1)+IF(Y1151="Morning",0,1)),X1151)=0,"","
2. "),
IF(INDEX(final_duration_secondary,((WEEKDAY(Y$3,2)*2-1)+IF(Y1151="Morning",0,1)),X1151)=0,"",INDEX(sessions_description_secondary,,INDEX(plan_session_allocation,((WEEKDAY(Y$3,2)*2-1)+IF(Y1151="Morning",0,1)),X1151))),IF(INDEX(final_duration_tertiary,((WEEKDAY(Y$3,2)*2-1)+IF(Y1151="Morning",0,1)),X1151)=0,"","
3. "),
IF(INDEX(final_duration_tertiary,((WEEKDAY(Y$3,2)*2-1)+IF(Y1151="Morning",0,1)),X1151)="","",INDEX(sessions_description_tertiary,,INDEX(plan_session_allocation,((WEEKDAY(Y$3,2)*2-1)+IF(Y1151="Morning",0,1)),X1151))),
IF(INDEX(display_nutrition_description,((WEEKDAY(Y$3,2)*2-1)+IF(Y1151="Morning",0,1)),X1151)="","",
CONCATENATE("
Meal Plan: ", INDEX(sessions_nutrition,,INDEX(plan_session_allocation,((WEEKDAY(Y$3,2)*2-1)+IF(Y1151="Morning",0,1)),X1151)), "
", INDEX(display_nutrition_description,((WEEKDAY(Y$3,2)*2-1)+IF(Y1151="Morning",0,1)),X1151)))
)),"")),"")</f>
        <v/>
      </c>
      <c r="Y1157" s="1914"/>
      <c r="Z1157" s="1914"/>
      <c r="AA1157" s="1915"/>
      <c r="AB1157" s="177"/>
      <c r="AC1157" s="1913" t="str">
        <f ca="1">IF(AF1151&gt;0,CONCATENATE(IFERROR(CONCATENATE(IF(INDEX(display_intervals_breakdown,((WEEKDAY(AD$3,2)*2-1)+IF(AD1151="Morning",0,1)),AC1151)="","",CONCATENATE("Intervals/Reps Breakdown: 
",INDEX(display_intervals_breakdown,((WEEKDAY(AD$3,2)*2-1)+IF(AD1151="Morning",0,1)),AC1151),"
")),"Session Description: 
",CONCATENATE(IF(INDEX(final_duration_secondary,((WEEKDAY(AD$3,2)*2-1)+IF(AD1151="Morning",0,1)),AC1151)=0,"","1. "),
INDEX(sessions_description_primary,,INDEX(plan_session_allocation,((WEEKDAY(AD$3,2)*2-1)+IF(AD1151="Morning",0,1)),AC1151)),IF(INDEX(final_duration_secondary,((WEEKDAY(AD$3,2)*2-1)+IF(AD1151="Morning",0,1)),AC1151)=0,"","
2. "),
IF(INDEX(final_duration_secondary,((WEEKDAY(AD$3,2)*2-1)+IF(AD1151="Morning",0,1)),AC1151)=0,"",INDEX(sessions_description_secondary,,INDEX(plan_session_allocation,((WEEKDAY(AD$3,2)*2-1)+IF(AD1151="Morning",0,1)),AC1151))),IF(INDEX(final_duration_tertiary,((WEEKDAY(AD$3,2)*2-1)+IF(AD1151="Morning",0,1)),AC1151)=0,"","
3. "),
IF(INDEX(final_duration_tertiary,((WEEKDAY(AD$3,2)*2-1)+IF(AD1151="Morning",0,1)),AC1151)="","",INDEX(sessions_description_tertiary,,INDEX(plan_session_allocation,((WEEKDAY(AD$3,2)*2-1)+IF(AD1151="Morning",0,1)),AC1151))),
IF(INDEX(display_nutrition_description,((WEEKDAY(AD$3,2)*2-1)+IF(AD1151="Morning",0,1)),AC1151)="","",
CONCATENATE("
Meal Plan: ", INDEX(sessions_nutrition,,INDEX(plan_session_allocation,((WEEKDAY(AD$3,2)*2-1)+IF(AD1151="Morning",0,1)),AC1151)), "
", INDEX(display_nutrition_description,((WEEKDAY(AD$3,2)*2-1)+IF(AD1151="Morning",0,1)),AC1151)))
)),"")),"")</f>
        <v/>
      </c>
      <c r="AD1157" s="1914"/>
      <c r="AE1157" s="1914"/>
      <c r="AF1157" s="1915"/>
      <c r="AG1157" s="177"/>
      <c r="AH1157" s="1913" t="str">
        <f ca="1">IF(AK1151&gt;0,CONCATENATE(IFERROR(CONCATENATE(IF(INDEX(display_intervals_breakdown,((WEEKDAY(AI$3,2)*2-1)+IF(AI1151="Morning",0,1)),AH1151)="","",CONCATENATE("Intervals/Reps Breakdown: 
",INDEX(display_intervals_breakdown,((WEEKDAY(AI$3,2)*2-1)+IF(AI1151="Morning",0,1)),AH1151),"
")),"Session Description: 
",CONCATENATE(IF(INDEX(final_duration_secondary,((WEEKDAY(AI$3,2)*2-1)+IF(AI1151="Morning",0,1)),AH1151)=0,"","1. "),
INDEX(sessions_description_primary,,INDEX(plan_session_allocation,((WEEKDAY(AI$3,2)*2-1)+IF(AI1151="Morning",0,1)),AH1151)),IF(INDEX(final_duration_secondary,((WEEKDAY(AI$3,2)*2-1)+IF(AI1151="Morning",0,1)),AH1151)=0,"","
2. "),
IF(INDEX(final_duration_secondary,((WEEKDAY(AI$3,2)*2-1)+IF(AI1151="Morning",0,1)),AH1151)=0,"",INDEX(sessions_description_secondary,,INDEX(plan_session_allocation,((WEEKDAY(AI$3,2)*2-1)+IF(AI1151="Morning",0,1)),AH1151))),IF(INDEX(final_duration_tertiary,((WEEKDAY(AI$3,2)*2-1)+IF(AI1151="Morning",0,1)),AH1151)=0,"","
3. "),
IF(INDEX(final_duration_tertiary,((WEEKDAY(AI$3,2)*2-1)+IF(AI1151="Morning",0,1)),AH1151)="","",INDEX(sessions_description_tertiary,,INDEX(plan_session_allocation,((WEEKDAY(AI$3,2)*2-1)+IF(AI1151="Morning",0,1)),AH1151))),
IF(INDEX(display_nutrition_description,((WEEKDAY(AI$3,2)*2-1)+IF(AI1151="Morning",0,1)),AH1151)="","",
CONCATENATE("
Meal Plan: ", INDEX(sessions_nutrition,,INDEX(plan_session_allocation,((WEEKDAY(AI$3,2)*2-1)+IF(AI1151="Morning",0,1)),AH1151)), "
", INDEX(display_nutrition_description,((WEEKDAY(AI$3,2)*2-1)+IF(AI1151="Morning",0,1)),AH1151)))
)),"")),"")</f>
        <v/>
      </c>
      <c r="AI1157" s="1914"/>
      <c r="AJ1157" s="1914"/>
      <c r="AK1157" s="1915"/>
      <c r="AL1157" s="177"/>
    </row>
    <row r="1158" spans="2:38" s="176" customFormat="1" ht="15" customHeight="1" x14ac:dyDescent="0.45">
      <c r="B1158" s="1942"/>
      <c r="C1158" s="1945"/>
      <c r="D1158" s="1916"/>
      <c r="E1158" s="1917"/>
      <c r="F1158" s="1917"/>
      <c r="G1158" s="1918"/>
      <c r="H1158" s="177"/>
      <c r="I1158" s="1916"/>
      <c r="J1158" s="1917"/>
      <c r="K1158" s="1917"/>
      <c r="L1158" s="1918"/>
      <c r="M1158" s="177"/>
      <c r="N1158" s="1916"/>
      <c r="O1158" s="1917"/>
      <c r="P1158" s="1917"/>
      <c r="Q1158" s="1918"/>
      <c r="R1158" s="177"/>
      <c r="S1158" s="1916"/>
      <c r="T1158" s="1917"/>
      <c r="U1158" s="1917"/>
      <c r="V1158" s="1918"/>
      <c r="W1158" s="177"/>
      <c r="X1158" s="1916"/>
      <c r="Y1158" s="1917"/>
      <c r="Z1158" s="1917"/>
      <c r="AA1158" s="1918"/>
      <c r="AB1158" s="177"/>
      <c r="AC1158" s="1916"/>
      <c r="AD1158" s="1917"/>
      <c r="AE1158" s="1917"/>
      <c r="AF1158" s="1918"/>
      <c r="AG1158" s="177"/>
      <c r="AH1158" s="1916"/>
      <c r="AI1158" s="1917"/>
      <c r="AJ1158" s="1917"/>
      <c r="AK1158" s="1918"/>
      <c r="AL1158" s="177"/>
    </row>
    <row r="1159" spans="2:38" s="176" customFormat="1" ht="15" customHeight="1" x14ac:dyDescent="0.45">
      <c r="B1159" s="1942"/>
      <c r="C1159" s="1945"/>
      <c r="D1159" s="1916"/>
      <c r="E1159" s="1917"/>
      <c r="F1159" s="1917"/>
      <c r="G1159" s="1918"/>
      <c r="H1159" s="177"/>
      <c r="I1159" s="1916"/>
      <c r="J1159" s="1917"/>
      <c r="K1159" s="1917"/>
      <c r="L1159" s="1918"/>
      <c r="M1159" s="177"/>
      <c r="N1159" s="1916"/>
      <c r="O1159" s="1917"/>
      <c r="P1159" s="1917"/>
      <c r="Q1159" s="1918"/>
      <c r="R1159" s="177"/>
      <c r="S1159" s="1916"/>
      <c r="T1159" s="1917"/>
      <c r="U1159" s="1917"/>
      <c r="V1159" s="1918"/>
      <c r="W1159" s="177"/>
      <c r="X1159" s="1916"/>
      <c r="Y1159" s="1917"/>
      <c r="Z1159" s="1917"/>
      <c r="AA1159" s="1918"/>
      <c r="AB1159" s="177"/>
      <c r="AC1159" s="1916"/>
      <c r="AD1159" s="1917"/>
      <c r="AE1159" s="1917"/>
      <c r="AF1159" s="1918"/>
      <c r="AG1159" s="177"/>
      <c r="AH1159" s="1916"/>
      <c r="AI1159" s="1917"/>
      <c r="AJ1159" s="1917"/>
      <c r="AK1159" s="1918"/>
      <c r="AL1159" s="177"/>
    </row>
    <row r="1160" spans="2:38" s="176" customFormat="1" x14ac:dyDescent="0.45">
      <c r="B1160" s="1942"/>
      <c r="C1160" s="1945"/>
      <c r="D1160" s="1916"/>
      <c r="E1160" s="1917"/>
      <c r="F1160" s="1917"/>
      <c r="G1160" s="1918"/>
      <c r="H1160" s="177"/>
      <c r="I1160" s="1916"/>
      <c r="J1160" s="1917"/>
      <c r="K1160" s="1917"/>
      <c r="L1160" s="1918"/>
      <c r="M1160" s="177"/>
      <c r="N1160" s="1916"/>
      <c r="O1160" s="1917"/>
      <c r="P1160" s="1917"/>
      <c r="Q1160" s="1918"/>
      <c r="R1160" s="177"/>
      <c r="S1160" s="1916"/>
      <c r="T1160" s="1917"/>
      <c r="U1160" s="1917"/>
      <c r="V1160" s="1918"/>
      <c r="W1160" s="177"/>
      <c r="X1160" s="1916"/>
      <c r="Y1160" s="1917"/>
      <c r="Z1160" s="1917"/>
      <c r="AA1160" s="1918"/>
      <c r="AB1160" s="177"/>
      <c r="AC1160" s="1916"/>
      <c r="AD1160" s="1917"/>
      <c r="AE1160" s="1917"/>
      <c r="AF1160" s="1918"/>
      <c r="AG1160" s="177"/>
      <c r="AH1160" s="1916"/>
      <c r="AI1160" s="1917"/>
      <c r="AJ1160" s="1917"/>
      <c r="AK1160" s="1918"/>
      <c r="AL1160" s="177"/>
    </row>
    <row r="1161" spans="2:38" s="176" customFormat="1" x14ac:dyDescent="0.45">
      <c r="B1161" s="1942"/>
      <c r="C1161" s="1945"/>
      <c r="D1161" s="1916"/>
      <c r="E1161" s="1917"/>
      <c r="F1161" s="1917"/>
      <c r="G1161" s="1918"/>
      <c r="H1161" s="177"/>
      <c r="I1161" s="1916"/>
      <c r="J1161" s="1917"/>
      <c r="K1161" s="1917"/>
      <c r="L1161" s="1918"/>
      <c r="M1161" s="177"/>
      <c r="N1161" s="1916"/>
      <c r="O1161" s="1917"/>
      <c r="P1161" s="1917"/>
      <c r="Q1161" s="1918"/>
      <c r="R1161" s="177"/>
      <c r="S1161" s="1916"/>
      <c r="T1161" s="1917"/>
      <c r="U1161" s="1917"/>
      <c r="V1161" s="1918"/>
      <c r="W1161" s="177"/>
      <c r="X1161" s="1916"/>
      <c r="Y1161" s="1917"/>
      <c r="Z1161" s="1917"/>
      <c r="AA1161" s="1918"/>
      <c r="AB1161" s="177"/>
      <c r="AC1161" s="1916"/>
      <c r="AD1161" s="1917"/>
      <c r="AE1161" s="1917"/>
      <c r="AF1161" s="1918"/>
      <c r="AG1161" s="177"/>
      <c r="AH1161" s="1916"/>
      <c r="AI1161" s="1917"/>
      <c r="AJ1161" s="1917"/>
      <c r="AK1161" s="1918"/>
      <c r="AL1161" s="177"/>
    </row>
    <row r="1162" spans="2:38" s="176" customFormat="1" x14ac:dyDescent="0.45">
      <c r="B1162" s="1942"/>
      <c r="C1162" s="1945"/>
      <c r="D1162" s="1916"/>
      <c r="E1162" s="1917"/>
      <c r="F1162" s="1917"/>
      <c r="G1162" s="1918"/>
      <c r="H1162" s="177"/>
      <c r="I1162" s="1916"/>
      <c r="J1162" s="1917"/>
      <c r="K1162" s="1917"/>
      <c r="L1162" s="1918"/>
      <c r="M1162" s="177"/>
      <c r="N1162" s="1916"/>
      <c r="O1162" s="1917"/>
      <c r="P1162" s="1917"/>
      <c r="Q1162" s="1918"/>
      <c r="R1162" s="177"/>
      <c r="S1162" s="1916"/>
      <c r="T1162" s="1917"/>
      <c r="U1162" s="1917"/>
      <c r="V1162" s="1918"/>
      <c r="W1162" s="177"/>
      <c r="X1162" s="1916"/>
      <c r="Y1162" s="1917"/>
      <c r="Z1162" s="1917"/>
      <c r="AA1162" s="1918"/>
      <c r="AB1162" s="177"/>
      <c r="AC1162" s="1916"/>
      <c r="AD1162" s="1917"/>
      <c r="AE1162" s="1917"/>
      <c r="AF1162" s="1918"/>
      <c r="AG1162" s="177"/>
      <c r="AH1162" s="1916"/>
      <c r="AI1162" s="1917"/>
      <c r="AJ1162" s="1917"/>
      <c r="AK1162" s="1918"/>
      <c r="AL1162" s="177"/>
    </row>
    <row r="1163" spans="2:38" s="176" customFormat="1" ht="15" customHeight="1" x14ac:dyDescent="0.45">
      <c r="B1163" s="1942"/>
      <c r="C1163" s="1945"/>
      <c r="D1163" s="1916"/>
      <c r="E1163" s="1917"/>
      <c r="F1163" s="1917"/>
      <c r="G1163" s="1918"/>
      <c r="H1163" s="177"/>
      <c r="I1163" s="1916"/>
      <c r="J1163" s="1917"/>
      <c r="K1163" s="1917"/>
      <c r="L1163" s="1918"/>
      <c r="M1163" s="177"/>
      <c r="N1163" s="1916"/>
      <c r="O1163" s="1917"/>
      <c r="P1163" s="1917"/>
      <c r="Q1163" s="1918"/>
      <c r="R1163" s="177"/>
      <c r="S1163" s="1916"/>
      <c r="T1163" s="1917"/>
      <c r="U1163" s="1917"/>
      <c r="V1163" s="1918"/>
      <c r="W1163" s="177"/>
      <c r="X1163" s="1916"/>
      <c r="Y1163" s="1917"/>
      <c r="Z1163" s="1917"/>
      <c r="AA1163" s="1918"/>
      <c r="AB1163" s="177"/>
      <c r="AC1163" s="1916"/>
      <c r="AD1163" s="1917"/>
      <c r="AE1163" s="1917"/>
      <c r="AF1163" s="1918"/>
      <c r="AG1163" s="177"/>
      <c r="AH1163" s="1916"/>
      <c r="AI1163" s="1917"/>
      <c r="AJ1163" s="1917"/>
      <c r="AK1163" s="1918"/>
      <c r="AL1163" s="177"/>
    </row>
    <row r="1164" spans="2:38" s="176" customFormat="1" ht="15" customHeight="1" x14ac:dyDescent="0.45">
      <c r="B1164" s="1942"/>
      <c r="C1164" s="1945"/>
      <c r="D1164" s="1916"/>
      <c r="E1164" s="1917"/>
      <c r="F1164" s="1917"/>
      <c r="G1164" s="1918"/>
      <c r="H1164" s="177"/>
      <c r="I1164" s="1916"/>
      <c r="J1164" s="1917"/>
      <c r="K1164" s="1917"/>
      <c r="L1164" s="1918"/>
      <c r="M1164" s="177"/>
      <c r="N1164" s="1916"/>
      <c r="O1164" s="1917"/>
      <c r="P1164" s="1917"/>
      <c r="Q1164" s="1918"/>
      <c r="R1164" s="177"/>
      <c r="S1164" s="1916"/>
      <c r="T1164" s="1917"/>
      <c r="U1164" s="1917"/>
      <c r="V1164" s="1918"/>
      <c r="W1164" s="177"/>
      <c r="X1164" s="1916"/>
      <c r="Y1164" s="1917"/>
      <c r="Z1164" s="1917"/>
      <c r="AA1164" s="1918"/>
      <c r="AB1164" s="177"/>
      <c r="AC1164" s="1916"/>
      <c r="AD1164" s="1917"/>
      <c r="AE1164" s="1917"/>
      <c r="AF1164" s="1918"/>
      <c r="AG1164" s="177"/>
      <c r="AH1164" s="1916"/>
      <c r="AI1164" s="1917"/>
      <c r="AJ1164" s="1917"/>
      <c r="AK1164" s="1918"/>
      <c r="AL1164" s="177"/>
    </row>
    <row r="1165" spans="2:38" s="176" customFormat="1" x14ac:dyDescent="0.45">
      <c r="B1165" s="1942"/>
      <c r="C1165" s="1945"/>
      <c r="D1165" s="1916"/>
      <c r="E1165" s="1917"/>
      <c r="F1165" s="1917"/>
      <c r="G1165" s="1918"/>
      <c r="H1165" s="177"/>
      <c r="I1165" s="1916"/>
      <c r="J1165" s="1917"/>
      <c r="K1165" s="1917"/>
      <c r="L1165" s="1918"/>
      <c r="M1165" s="177"/>
      <c r="N1165" s="1916"/>
      <c r="O1165" s="1917"/>
      <c r="P1165" s="1917"/>
      <c r="Q1165" s="1918"/>
      <c r="R1165" s="177"/>
      <c r="S1165" s="1916"/>
      <c r="T1165" s="1917"/>
      <c r="U1165" s="1917"/>
      <c r="V1165" s="1918"/>
      <c r="W1165" s="177"/>
      <c r="X1165" s="1916"/>
      <c r="Y1165" s="1917"/>
      <c r="Z1165" s="1917"/>
      <c r="AA1165" s="1918"/>
      <c r="AB1165" s="177"/>
      <c r="AC1165" s="1916"/>
      <c r="AD1165" s="1917"/>
      <c r="AE1165" s="1917"/>
      <c r="AF1165" s="1918"/>
      <c r="AG1165" s="177"/>
      <c r="AH1165" s="1916"/>
      <c r="AI1165" s="1917"/>
      <c r="AJ1165" s="1917"/>
      <c r="AK1165" s="1918"/>
      <c r="AL1165" s="177"/>
    </row>
    <row r="1166" spans="2:38" s="176" customFormat="1" x14ac:dyDescent="0.45">
      <c r="B1166" s="1942"/>
      <c r="C1166" s="1945"/>
      <c r="D1166" s="1916"/>
      <c r="E1166" s="1917"/>
      <c r="F1166" s="1917"/>
      <c r="G1166" s="1918"/>
      <c r="H1166" s="177"/>
      <c r="I1166" s="1916"/>
      <c r="J1166" s="1917"/>
      <c r="K1166" s="1917"/>
      <c r="L1166" s="1918"/>
      <c r="M1166" s="177"/>
      <c r="N1166" s="1916"/>
      <c r="O1166" s="1917"/>
      <c r="P1166" s="1917"/>
      <c r="Q1166" s="1918"/>
      <c r="R1166" s="177"/>
      <c r="S1166" s="1916"/>
      <c r="T1166" s="1917"/>
      <c r="U1166" s="1917"/>
      <c r="V1166" s="1918"/>
      <c r="W1166" s="177"/>
      <c r="X1166" s="1916"/>
      <c r="Y1166" s="1917"/>
      <c r="Z1166" s="1917"/>
      <c r="AA1166" s="1918"/>
      <c r="AB1166" s="177"/>
      <c r="AC1166" s="1916"/>
      <c r="AD1166" s="1917"/>
      <c r="AE1166" s="1917"/>
      <c r="AF1166" s="1918"/>
      <c r="AG1166" s="177"/>
      <c r="AH1166" s="1916"/>
      <c r="AI1166" s="1917"/>
      <c r="AJ1166" s="1917"/>
      <c r="AK1166" s="1918"/>
      <c r="AL1166" s="177"/>
    </row>
    <row r="1167" spans="2:38" s="176" customFormat="1" x14ac:dyDescent="0.45">
      <c r="B1167" s="1942"/>
      <c r="C1167" s="1945"/>
      <c r="D1167" s="1916"/>
      <c r="E1167" s="1917"/>
      <c r="F1167" s="1917"/>
      <c r="G1167" s="1918"/>
      <c r="H1167" s="177"/>
      <c r="I1167" s="1916"/>
      <c r="J1167" s="1917"/>
      <c r="K1167" s="1917"/>
      <c r="L1167" s="1918"/>
      <c r="M1167" s="177"/>
      <c r="N1167" s="1916"/>
      <c r="O1167" s="1917"/>
      <c r="P1167" s="1917"/>
      <c r="Q1167" s="1918"/>
      <c r="R1167" s="177"/>
      <c r="S1167" s="1916"/>
      <c r="T1167" s="1917"/>
      <c r="U1167" s="1917"/>
      <c r="V1167" s="1918"/>
      <c r="W1167" s="177"/>
      <c r="X1167" s="1916"/>
      <c r="Y1167" s="1917"/>
      <c r="Z1167" s="1917"/>
      <c r="AA1167" s="1918"/>
      <c r="AB1167" s="177"/>
      <c r="AC1167" s="1916"/>
      <c r="AD1167" s="1917"/>
      <c r="AE1167" s="1917"/>
      <c r="AF1167" s="1918"/>
      <c r="AG1167" s="177"/>
      <c r="AH1167" s="1916"/>
      <c r="AI1167" s="1917"/>
      <c r="AJ1167" s="1917"/>
      <c r="AK1167" s="1918"/>
      <c r="AL1167" s="177"/>
    </row>
    <row r="1168" spans="2:38" s="176" customFormat="1" x14ac:dyDescent="0.45">
      <c r="B1168" s="1942"/>
      <c r="C1168" s="1945"/>
      <c r="D1168" s="1916"/>
      <c r="E1168" s="1917"/>
      <c r="F1168" s="1917"/>
      <c r="G1168" s="1918"/>
      <c r="H1168" s="177"/>
      <c r="I1168" s="1916"/>
      <c r="J1168" s="1917"/>
      <c r="K1168" s="1917"/>
      <c r="L1168" s="1918"/>
      <c r="M1168" s="177"/>
      <c r="N1168" s="1916"/>
      <c r="O1168" s="1917"/>
      <c r="P1168" s="1917"/>
      <c r="Q1168" s="1918"/>
      <c r="R1168" s="177"/>
      <c r="S1168" s="1916"/>
      <c r="T1168" s="1917"/>
      <c r="U1168" s="1917"/>
      <c r="V1168" s="1918"/>
      <c r="W1168" s="177"/>
      <c r="X1168" s="1916"/>
      <c r="Y1168" s="1917"/>
      <c r="Z1168" s="1917"/>
      <c r="AA1168" s="1918"/>
      <c r="AB1168" s="177"/>
      <c r="AC1168" s="1916"/>
      <c r="AD1168" s="1917"/>
      <c r="AE1168" s="1917"/>
      <c r="AF1168" s="1918"/>
      <c r="AG1168" s="177"/>
      <c r="AH1168" s="1916"/>
      <c r="AI1168" s="1917"/>
      <c r="AJ1168" s="1917"/>
      <c r="AK1168" s="1918"/>
      <c r="AL1168" s="177"/>
    </row>
    <row r="1169" spans="2:38" s="176" customFormat="1" x14ac:dyDescent="0.45">
      <c r="B1169" s="1942"/>
      <c r="C1169" s="1945"/>
      <c r="D1169" s="1916"/>
      <c r="E1169" s="1917"/>
      <c r="F1169" s="1917"/>
      <c r="G1169" s="1918"/>
      <c r="H1169" s="177"/>
      <c r="I1169" s="1916"/>
      <c r="J1169" s="1917"/>
      <c r="K1169" s="1917"/>
      <c r="L1169" s="1918"/>
      <c r="M1169" s="177"/>
      <c r="N1169" s="1916"/>
      <c r="O1169" s="1917"/>
      <c r="P1169" s="1917"/>
      <c r="Q1169" s="1918"/>
      <c r="R1169" s="177"/>
      <c r="S1169" s="1916"/>
      <c r="T1169" s="1917"/>
      <c r="U1169" s="1917"/>
      <c r="V1169" s="1918"/>
      <c r="W1169" s="177"/>
      <c r="X1169" s="1916"/>
      <c r="Y1169" s="1917"/>
      <c r="Z1169" s="1917"/>
      <c r="AA1169" s="1918"/>
      <c r="AB1169" s="177"/>
      <c r="AC1169" s="1916"/>
      <c r="AD1169" s="1917"/>
      <c r="AE1169" s="1917"/>
      <c r="AF1169" s="1918"/>
      <c r="AG1169" s="177"/>
      <c r="AH1169" s="1916"/>
      <c r="AI1169" s="1917"/>
      <c r="AJ1169" s="1917"/>
      <c r="AK1169" s="1918"/>
      <c r="AL1169" s="177"/>
    </row>
    <row r="1170" spans="2:38" s="176" customFormat="1" ht="15" customHeight="1" x14ac:dyDescent="0.45">
      <c r="B1170" s="1942"/>
      <c r="C1170" s="1945"/>
      <c r="D1170" s="1919"/>
      <c r="E1170" s="1920"/>
      <c r="F1170" s="1920"/>
      <c r="G1170" s="1921"/>
      <c r="H1170" s="177"/>
      <c r="I1170" s="1919"/>
      <c r="J1170" s="1920"/>
      <c r="K1170" s="1920"/>
      <c r="L1170" s="1921"/>
      <c r="M1170" s="177"/>
      <c r="N1170" s="1919"/>
      <c r="O1170" s="1920"/>
      <c r="P1170" s="1920"/>
      <c r="Q1170" s="1921"/>
      <c r="R1170" s="177"/>
      <c r="S1170" s="1919"/>
      <c r="T1170" s="1920"/>
      <c r="U1170" s="1920"/>
      <c r="V1170" s="1921"/>
      <c r="W1170" s="177"/>
      <c r="X1170" s="1919"/>
      <c r="Y1170" s="1920"/>
      <c r="Z1170" s="1920"/>
      <c r="AA1170" s="1921"/>
      <c r="AB1170" s="177"/>
      <c r="AC1170" s="1919"/>
      <c r="AD1170" s="1920"/>
      <c r="AE1170" s="1920"/>
      <c r="AF1170" s="1921"/>
      <c r="AG1170" s="177"/>
      <c r="AH1170" s="1919"/>
      <c r="AI1170" s="1920"/>
      <c r="AJ1170" s="1920"/>
      <c r="AK1170" s="1921"/>
      <c r="AL1170" s="177"/>
    </row>
    <row r="1171" spans="2:38" s="176" customFormat="1" ht="15" customHeight="1" x14ac:dyDescent="0.45">
      <c r="B1171" s="1942"/>
      <c r="C1171" s="1945"/>
      <c r="D1171" s="1913" t="str">
        <f ca="1">IF(G1151&gt;0,CONCATENATE("Session Aim: 
", CONCATENATE(IF(INDEX(final_duration_secondary,((WEEKDAY(E$3,2)*2-1)+IF(E1151="Morning",0,1)),D1151)=0, "", "1. "),
INDEX(sessions_aim_primary,, INDEX(plan_session_allocation,((WEEKDAY(E$3,2)*2-1)+IF(E1151="Morning",0,1)),D1151)), IF(INDEX(final_duration_secondary,((WEEKDAY(E$3,2)*2-1)+IF(E1151="Morning",0,1)),D1151)=0, "", "
2. "),
IF(INDEX(final_duration_secondary,((WEEKDAY(E$3,2)*2-1)+IF(E1151="Morning",0,1)),D1151)=0, "", INDEX(sessions_aim_secondary,, INDEX(plan_session_allocation,((WEEKDAY(E$3,2)*2-1)+IF(E1151="Morning",0,1)),D1151))), IF(INDEX(final_duration_tertiary,((WEEKDAY(E$3,2)*2-1)+IF(E1151="Morning",0,1)),D1151)=0, "", "
3. "),
IF(INDEX(final_duration_tertiary,((WEEKDAY(E$3,2)*2-1)+IF(E1151="Morning",0,1)),D1151)=0, "", INDEX(sessions_aim_tertiary,, INDEX(plan_session_allocation,((WEEKDAY(E$3,2)*2-1)+IF(E1151="Morning",0,1)),D1151))),
IF(INDEX(display_nutrition_description,((WEEKDAY(E$3,2)*2-1)+IF(E1151="Morning",0,1)),D1151)="","",
CONCATENATE("
Nutrition Aim:
", INDEX(sessions_aim_nutrition,,INDEX(plan_session_allocation,((WEEKDAY(E$3,2)*2-1)+IF(E1151="Morning",0,1)),D1151))
))
)),"")</f>
        <v/>
      </c>
      <c r="E1171" s="1914"/>
      <c r="F1171" s="1914"/>
      <c r="G1171" s="1915"/>
      <c r="H1171" s="177"/>
      <c r="I1171" s="1913" t="str">
        <f ca="1">IF(L1151&gt;0,CONCATENATE("Session Aim: 
", CONCATENATE(IF(INDEX(final_duration_secondary,((WEEKDAY(J$3,2)*2-1)+IF(J1151="Morning",0,1)),I1151)=0, "", "1. "),
INDEX(sessions_aim_primary,, INDEX(plan_session_allocation,((WEEKDAY(J$3,2)*2-1)+IF(J1151="Morning",0,1)),I1151)), IF(INDEX(final_duration_secondary,((WEEKDAY(J$3,2)*2-1)+IF(J1151="Morning",0,1)),I1151)=0, "", "
2. "),
IF(INDEX(final_duration_secondary,((WEEKDAY(J$3,2)*2-1)+IF(J1151="Morning",0,1)),I1151)=0, "", INDEX(sessions_aim_secondary,, INDEX(plan_session_allocation,((WEEKDAY(J$3,2)*2-1)+IF(J1151="Morning",0,1)),I1151))), IF(INDEX(final_duration_tertiary,((WEEKDAY(J$3,2)*2-1)+IF(J1151="Morning",0,1)),I1151)=0, "", "
3. "),
IF(INDEX(final_duration_tertiary,((WEEKDAY(J$3,2)*2-1)+IF(J1151="Morning",0,1)),I1151)=0, "", INDEX(sessions_aim_tertiary,, INDEX(plan_session_allocation,((WEEKDAY(J$3,2)*2-1)+IF(J1151="Morning",0,1)),I1151))),
IF(INDEX(display_nutrition_description,((WEEKDAY(J$3,2)*2-1)+IF(J1151="Morning",0,1)),I1151)="","",
CONCATENATE("
Nutrition Aim:
", INDEX(sessions_aim_nutrition,,INDEX(plan_session_allocation,((WEEKDAY(J$3,2)*2-1)+IF(J1151="Morning",0,1)),I1151))
))
)),"")</f>
        <v/>
      </c>
      <c r="J1171" s="1914"/>
      <c r="K1171" s="1914"/>
      <c r="L1171" s="1915"/>
      <c r="M1171" s="177"/>
      <c r="N1171" s="1913" t="str">
        <f ca="1">IF(Q1151&gt;0,CONCATENATE("Session Aim: 
", CONCATENATE(IF(INDEX(final_duration_secondary,((WEEKDAY(O$3,2)*2-1)+IF(O1151="Morning",0,1)),N1151)=0, "", "1. "),
INDEX(sessions_aim_primary,, INDEX(plan_session_allocation,((WEEKDAY(O$3,2)*2-1)+IF(O1151="Morning",0,1)),N1151)), IF(INDEX(final_duration_secondary,((WEEKDAY(O$3,2)*2-1)+IF(O1151="Morning",0,1)),N1151)=0, "", "
2. "),
IF(INDEX(final_duration_secondary,((WEEKDAY(O$3,2)*2-1)+IF(O1151="Morning",0,1)),N1151)=0, "", INDEX(sessions_aim_secondary,, INDEX(plan_session_allocation,((WEEKDAY(O$3,2)*2-1)+IF(O1151="Morning",0,1)),N1151))), IF(INDEX(final_duration_tertiary,((WEEKDAY(O$3,2)*2-1)+IF(O1151="Morning",0,1)),N1151)=0, "", "
3. "),
IF(INDEX(final_duration_tertiary,((WEEKDAY(O$3,2)*2-1)+IF(O1151="Morning",0,1)),N1151)=0, "", INDEX(sessions_aim_tertiary,, INDEX(plan_session_allocation,((WEEKDAY(O$3,2)*2-1)+IF(O1151="Morning",0,1)),N1151))),
IF(INDEX(display_nutrition_description,((WEEKDAY(O$3,2)*2-1)+IF(O1151="Morning",0,1)),N1151)="","",
CONCATENATE("
Nutrition Aim:
", INDEX(sessions_aim_nutrition,,INDEX(plan_session_allocation,((WEEKDAY(O$3,2)*2-1)+IF(O1151="Morning",0,1)),N1151))
))
)),"")</f>
        <v/>
      </c>
      <c r="O1171" s="1914"/>
      <c r="P1171" s="1914"/>
      <c r="Q1171" s="1915"/>
      <c r="R1171" s="177"/>
      <c r="S1171" s="1913" t="str">
        <f ca="1">IF(V1151&gt;0,CONCATENATE("Session Aim: 
", CONCATENATE(IF(INDEX(final_duration_secondary,((WEEKDAY(T$3,2)*2-1)+IF(T1151="Morning",0,1)),S1151)=0, "", "1. "),
INDEX(sessions_aim_primary,, INDEX(plan_session_allocation,((WEEKDAY(T$3,2)*2-1)+IF(T1151="Morning",0,1)),S1151)), IF(INDEX(final_duration_secondary,((WEEKDAY(T$3,2)*2-1)+IF(T1151="Morning",0,1)),S1151)=0, "", "
2. "),
IF(INDEX(final_duration_secondary,((WEEKDAY(T$3,2)*2-1)+IF(T1151="Morning",0,1)),S1151)=0, "", INDEX(sessions_aim_secondary,, INDEX(plan_session_allocation,((WEEKDAY(T$3,2)*2-1)+IF(T1151="Morning",0,1)),S1151))), IF(INDEX(final_duration_tertiary,((WEEKDAY(T$3,2)*2-1)+IF(T1151="Morning",0,1)),S1151)=0, "", "
3. "),
IF(INDEX(final_duration_tertiary,((WEEKDAY(T$3,2)*2-1)+IF(T1151="Morning",0,1)),S1151)=0, "", INDEX(sessions_aim_tertiary,, INDEX(plan_session_allocation,((WEEKDAY(T$3,2)*2-1)+IF(T1151="Morning",0,1)),S1151))),
IF(INDEX(display_nutrition_description,((WEEKDAY(T$3,2)*2-1)+IF(T1151="Morning",0,1)),S1151)="","",
CONCATENATE("
Nutrition Aim:
", INDEX(sessions_aim_nutrition,,INDEX(plan_session_allocation,((WEEKDAY(T$3,2)*2-1)+IF(T1151="Morning",0,1)),S1151))
))
)),"")</f>
        <v/>
      </c>
      <c r="T1171" s="1914"/>
      <c r="U1171" s="1914"/>
      <c r="V1171" s="1915"/>
      <c r="W1171" s="177"/>
      <c r="X1171" s="1913" t="str">
        <f ca="1">IF(AA1151&gt;0,CONCATENATE("Session Aim: 
", CONCATENATE(IF(INDEX(final_duration_secondary,((WEEKDAY(Y$3,2)*2-1)+IF(Y1151="Morning",0,1)),X1151)=0, "", "1. "),
INDEX(sessions_aim_primary,, INDEX(plan_session_allocation,((WEEKDAY(Y$3,2)*2-1)+IF(Y1151="Morning",0,1)),X1151)), IF(INDEX(final_duration_secondary,((WEEKDAY(Y$3,2)*2-1)+IF(Y1151="Morning",0,1)),X1151)=0, "", "
2. "),
IF(INDEX(final_duration_secondary,((WEEKDAY(Y$3,2)*2-1)+IF(Y1151="Morning",0,1)),X1151)=0, "", INDEX(sessions_aim_secondary,, INDEX(plan_session_allocation,((WEEKDAY(Y$3,2)*2-1)+IF(Y1151="Morning",0,1)),X1151))), IF(INDEX(final_duration_tertiary,((WEEKDAY(Y$3,2)*2-1)+IF(Y1151="Morning",0,1)),X1151)=0, "", "
3. "),
IF(INDEX(final_duration_tertiary,((WEEKDAY(Y$3,2)*2-1)+IF(Y1151="Morning",0,1)),X1151)=0, "", INDEX(sessions_aim_tertiary,, INDEX(plan_session_allocation,((WEEKDAY(Y$3,2)*2-1)+IF(Y1151="Morning",0,1)),X1151))),
IF(INDEX(display_nutrition_description,((WEEKDAY(Y$3,2)*2-1)+IF(Y1151="Morning",0,1)),X1151)="","",
CONCATENATE("
Nutrition Aim:
", INDEX(sessions_aim_nutrition,,INDEX(plan_session_allocation,((WEEKDAY(Y$3,2)*2-1)+IF(Y1151="Morning",0,1)),X1151))
))
)),"")</f>
        <v/>
      </c>
      <c r="Y1171" s="1914"/>
      <c r="Z1171" s="1914"/>
      <c r="AA1171" s="1915"/>
      <c r="AB1171" s="177"/>
      <c r="AC1171" s="1913" t="str">
        <f ca="1">IF(AF1151&gt;0,CONCATENATE("Session Aim: 
", CONCATENATE(IF(INDEX(final_duration_secondary,((WEEKDAY(AD$3,2)*2-1)+IF(AD1151="Morning",0,1)),AC1151)=0, "", "1. "),
INDEX(sessions_aim_primary,, INDEX(plan_session_allocation,((WEEKDAY(AD$3,2)*2-1)+IF(AD1151="Morning",0,1)),AC1151)), IF(INDEX(final_duration_secondary,((WEEKDAY(AD$3,2)*2-1)+IF(AD1151="Morning",0,1)),AC1151)=0, "", "
2. "),
IF(INDEX(final_duration_secondary,((WEEKDAY(AD$3,2)*2-1)+IF(AD1151="Morning",0,1)),AC1151)=0, "", INDEX(sessions_aim_secondary,, INDEX(plan_session_allocation,((WEEKDAY(AD$3,2)*2-1)+IF(AD1151="Morning",0,1)),AC1151))), IF(INDEX(final_duration_tertiary,((WEEKDAY(AD$3,2)*2-1)+IF(AD1151="Morning",0,1)),AC1151)=0, "", "
3. "),
IF(INDEX(final_duration_tertiary,((WEEKDAY(AD$3,2)*2-1)+IF(AD1151="Morning",0,1)),AC1151)=0, "", INDEX(sessions_aim_tertiary,, INDEX(plan_session_allocation,((WEEKDAY(AD$3,2)*2-1)+IF(AD1151="Morning",0,1)),AC1151))),
IF(INDEX(display_nutrition_description,((WEEKDAY(AD$3,2)*2-1)+IF(AD1151="Morning",0,1)),AC1151)="","",
CONCATENATE("
Nutrition Aim:
", INDEX(sessions_aim_nutrition,,INDEX(plan_session_allocation,((WEEKDAY(AD$3,2)*2-1)+IF(AD1151="Morning",0,1)),AC1151))
))
)),"")</f>
        <v/>
      </c>
      <c r="AD1171" s="1914"/>
      <c r="AE1171" s="1914"/>
      <c r="AF1171" s="1915"/>
      <c r="AG1171" s="177"/>
      <c r="AH1171" s="1913" t="str">
        <f ca="1">IF(AK1151&gt;0,CONCATENATE("Session Aim: 
", CONCATENATE(IF(INDEX(final_duration_secondary,((WEEKDAY(AI$3,2)*2-1)+IF(AI1151="Morning",0,1)),AH1151)=0, "", "1. "),
INDEX(sessions_aim_primary,, INDEX(plan_session_allocation,((WEEKDAY(AI$3,2)*2-1)+IF(AI1151="Morning",0,1)),AH1151)), IF(INDEX(final_duration_secondary,((WEEKDAY(AI$3,2)*2-1)+IF(AI1151="Morning",0,1)),AH1151)=0, "", "
2. "),
IF(INDEX(final_duration_secondary,((WEEKDAY(AI$3,2)*2-1)+IF(AI1151="Morning",0,1)),AH1151)=0, "", INDEX(sessions_aim_secondary,, INDEX(plan_session_allocation,((WEEKDAY(AI$3,2)*2-1)+IF(AI1151="Morning",0,1)),AH1151))), IF(INDEX(final_duration_tertiary,((WEEKDAY(AI$3,2)*2-1)+IF(AI1151="Morning",0,1)),AH1151)=0, "", "
3. "),
IF(INDEX(final_duration_tertiary,((WEEKDAY(AI$3,2)*2-1)+IF(AI1151="Morning",0,1)),AH1151)=0, "", INDEX(sessions_aim_tertiary,, INDEX(plan_session_allocation,((WEEKDAY(AI$3,2)*2-1)+IF(AI1151="Morning",0,1)),AH1151))),
IF(INDEX(display_nutrition_description,((WEEKDAY(AI$3,2)*2-1)+IF(AI1151="Morning",0,1)),AH1151)="","",
CONCATENATE("
Nutrition Aim:
", INDEX(sessions_aim_nutrition,,INDEX(plan_session_allocation,((WEEKDAY(AI$3,2)*2-1)+IF(AI1151="Morning",0,1)),AH1151))
))
)),"")</f>
        <v/>
      </c>
      <c r="AI1171" s="1914"/>
      <c r="AJ1171" s="1914"/>
      <c r="AK1171" s="1915"/>
      <c r="AL1171" s="177"/>
    </row>
    <row r="1172" spans="2:38" s="176" customFormat="1" x14ac:dyDescent="0.45">
      <c r="B1172" s="1942"/>
      <c r="C1172" s="1945"/>
      <c r="D1172" s="1916"/>
      <c r="E1172" s="1917"/>
      <c r="F1172" s="1917"/>
      <c r="G1172" s="1918"/>
      <c r="H1172" s="177"/>
      <c r="I1172" s="1916"/>
      <c r="J1172" s="1917"/>
      <c r="K1172" s="1917"/>
      <c r="L1172" s="1918"/>
      <c r="M1172" s="177"/>
      <c r="N1172" s="1916"/>
      <c r="O1172" s="1917"/>
      <c r="P1172" s="1917"/>
      <c r="Q1172" s="1918"/>
      <c r="R1172" s="177"/>
      <c r="S1172" s="1916"/>
      <c r="T1172" s="1917"/>
      <c r="U1172" s="1917"/>
      <c r="V1172" s="1918"/>
      <c r="W1172" s="177"/>
      <c r="X1172" s="1916"/>
      <c r="Y1172" s="1917"/>
      <c r="Z1172" s="1917"/>
      <c r="AA1172" s="1918"/>
      <c r="AB1172" s="177"/>
      <c r="AC1172" s="1916"/>
      <c r="AD1172" s="1917"/>
      <c r="AE1172" s="1917"/>
      <c r="AF1172" s="1918"/>
      <c r="AG1172" s="177"/>
      <c r="AH1172" s="1916"/>
      <c r="AI1172" s="1917"/>
      <c r="AJ1172" s="1917"/>
      <c r="AK1172" s="1918"/>
      <c r="AL1172" s="177"/>
    </row>
    <row r="1173" spans="2:38" s="176" customFormat="1" x14ac:dyDescent="0.45">
      <c r="B1173" s="1942"/>
      <c r="C1173" s="1945"/>
      <c r="D1173" s="1916"/>
      <c r="E1173" s="1917"/>
      <c r="F1173" s="1917"/>
      <c r="G1173" s="1918"/>
      <c r="H1173" s="177"/>
      <c r="I1173" s="1916"/>
      <c r="J1173" s="1917"/>
      <c r="K1173" s="1917"/>
      <c r="L1173" s="1918"/>
      <c r="M1173" s="177"/>
      <c r="N1173" s="1916"/>
      <c r="O1173" s="1917"/>
      <c r="P1173" s="1917"/>
      <c r="Q1173" s="1918"/>
      <c r="R1173" s="177"/>
      <c r="S1173" s="1916"/>
      <c r="T1173" s="1917"/>
      <c r="U1173" s="1917"/>
      <c r="V1173" s="1918"/>
      <c r="W1173" s="177"/>
      <c r="X1173" s="1916"/>
      <c r="Y1173" s="1917"/>
      <c r="Z1173" s="1917"/>
      <c r="AA1173" s="1918"/>
      <c r="AB1173" s="177"/>
      <c r="AC1173" s="1916"/>
      <c r="AD1173" s="1917"/>
      <c r="AE1173" s="1917"/>
      <c r="AF1173" s="1918"/>
      <c r="AG1173" s="177"/>
      <c r="AH1173" s="1916"/>
      <c r="AI1173" s="1917"/>
      <c r="AJ1173" s="1917"/>
      <c r="AK1173" s="1918"/>
      <c r="AL1173" s="177"/>
    </row>
    <row r="1174" spans="2:38" s="176" customFormat="1" x14ac:dyDescent="0.45">
      <c r="B1174" s="1942"/>
      <c r="C1174" s="1945"/>
      <c r="D1174" s="1916"/>
      <c r="E1174" s="1917"/>
      <c r="F1174" s="1917"/>
      <c r="G1174" s="1918"/>
      <c r="H1174" s="177"/>
      <c r="I1174" s="1916"/>
      <c r="J1174" s="1917"/>
      <c r="K1174" s="1917"/>
      <c r="L1174" s="1918"/>
      <c r="M1174" s="177"/>
      <c r="N1174" s="1916"/>
      <c r="O1174" s="1917"/>
      <c r="P1174" s="1917"/>
      <c r="Q1174" s="1918"/>
      <c r="R1174" s="177"/>
      <c r="S1174" s="1916"/>
      <c r="T1174" s="1917"/>
      <c r="U1174" s="1917"/>
      <c r="V1174" s="1918"/>
      <c r="W1174" s="177"/>
      <c r="X1174" s="1916"/>
      <c r="Y1174" s="1917"/>
      <c r="Z1174" s="1917"/>
      <c r="AA1174" s="1918"/>
      <c r="AB1174" s="177"/>
      <c r="AC1174" s="1916"/>
      <c r="AD1174" s="1917"/>
      <c r="AE1174" s="1917"/>
      <c r="AF1174" s="1918"/>
      <c r="AG1174" s="177"/>
      <c r="AH1174" s="1916"/>
      <c r="AI1174" s="1917"/>
      <c r="AJ1174" s="1917"/>
      <c r="AK1174" s="1918"/>
      <c r="AL1174" s="177"/>
    </row>
    <row r="1175" spans="2:38" s="176" customFormat="1" x14ac:dyDescent="0.45">
      <c r="B1175" s="1942"/>
      <c r="C1175" s="1945"/>
      <c r="D1175" s="1916"/>
      <c r="E1175" s="1917"/>
      <c r="F1175" s="1917"/>
      <c r="G1175" s="1918"/>
      <c r="H1175" s="177"/>
      <c r="I1175" s="1916"/>
      <c r="J1175" s="1917"/>
      <c r="K1175" s="1917"/>
      <c r="L1175" s="1918"/>
      <c r="M1175" s="177"/>
      <c r="N1175" s="1916"/>
      <c r="O1175" s="1917"/>
      <c r="P1175" s="1917"/>
      <c r="Q1175" s="1918"/>
      <c r="R1175" s="177"/>
      <c r="S1175" s="1916"/>
      <c r="T1175" s="1917"/>
      <c r="U1175" s="1917"/>
      <c r="V1175" s="1918"/>
      <c r="W1175" s="177"/>
      <c r="X1175" s="1916"/>
      <c r="Y1175" s="1917"/>
      <c r="Z1175" s="1917"/>
      <c r="AA1175" s="1918"/>
      <c r="AB1175" s="177"/>
      <c r="AC1175" s="1916"/>
      <c r="AD1175" s="1917"/>
      <c r="AE1175" s="1917"/>
      <c r="AF1175" s="1918"/>
      <c r="AG1175" s="177"/>
      <c r="AH1175" s="1916"/>
      <c r="AI1175" s="1917"/>
      <c r="AJ1175" s="1917"/>
      <c r="AK1175" s="1918"/>
      <c r="AL1175" s="177"/>
    </row>
    <row r="1176" spans="2:38" s="176" customFormat="1" x14ac:dyDescent="0.45">
      <c r="B1176" s="1942"/>
      <c r="C1176" s="1945"/>
      <c r="D1176" s="1916"/>
      <c r="E1176" s="1917"/>
      <c r="F1176" s="1917"/>
      <c r="G1176" s="1918"/>
      <c r="H1176" s="177"/>
      <c r="I1176" s="1916"/>
      <c r="J1176" s="1917"/>
      <c r="K1176" s="1917"/>
      <c r="L1176" s="1918"/>
      <c r="N1176" s="1916"/>
      <c r="O1176" s="1917"/>
      <c r="P1176" s="1917"/>
      <c r="Q1176" s="1918"/>
      <c r="S1176" s="1916"/>
      <c r="T1176" s="1917"/>
      <c r="U1176" s="1917"/>
      <c r="V1176" s="1918"/>
      <c r="X1176" s="1916"/>
      <c r="Y1176" s="1917"/>
      <c r="Z1176" s="1917"/>
      <c r="AA1176" s="1918"/>
      <c r="AC1176" s="1916"/>
      <c r="AD1176" s="1917"/>
      <c r="AE1176" s="1917"/>
      <c r="AF1176" s="1918"/>
      <c r="AH1176" s="1916"/>
      <c r="AI1176" s="1917"/>
      <c r="AJ1176" s="1917"/>
      <c r="AK1176" s="1918"/>
    </row>
    <row r="1177" spans="2:38" s="176" customFormat="1" ht="14.65" thickBot="1" x14ac:dyDescent="0.5">
      <c r="B1177" s="1943"/>
      <c r="C1177" s="1946"/>
      <c r="D1177" s="1938"/>
      <c r="E1177" s="1939"/>
      <c r="F1177" s="1939"/>
      <c r="G1177" s="1940"/>
      <c r="H1177" s="177"/>
      <c r="I1177" s="1938"/>
      <c r="J1177" s="1939"/>
      <c r="K1177" s="1939"/>
      <c r="L1177" s="1940"/>
      <c r="N1177" s="1938"/>
      <c r="O1177" s="1939"/>
      <c r="P1177" s="1939"/>
      <c r="Q1177" s="1940"/>
      <c r="S1177" s="1938"/>
      <c r="T1177" s="1939"/>
      <c r="U1177" s="1939"/>
      <c r="V1177" s="1940"/>
      <c r="X1177" s="1938"/>
      <c r="Y1177" s="1939"/>
      <c r="Z1177" s="1939"/>
      <c r="AA1177" s="1940"/>
      <c r="AC1177" s="1938"/>
      <c r="AD1177" s="1939"/>
      <c r="AE1177" s="1939"/>
      <c r="AF1177" s="1940"/>
      <c r="AH1177" s="1938"/>
      <c r="AI1177" s="1939"/>
      <c r="AJ1177" s="1939"/>
      <c r="AK1177" s="1940"/>
    </row>
    <row r="1178" spans="2:38" s="176" customFormat="1" ht="14.65" thickBot="1" x14ac:dyDescent="0.5">
      <c r="H1178" s="177"/>
    </row>
    <row r="1179" spans="2:38" s="176" customFormat="1" ht="15" customHeight="1" thickBot="1" x14ac:dyDescent="0.5">
      <c r="B1179" s="1941">
        <v>22</v>
      </c>
      <c r="C1179" s="1944" t="str">
        <f ca="1">IF(INDEX(display_strategy,1,B1179)="","", CONCATENATE(INDEX(display_strategy,1,B1179),": ",HLOOKUP(INDEX(display_strategy,1,B1179),strategies,4,TRUE)))</f>
        <v/>
      </c>
      <c r="D1179" s="1418" t="str">
        <f ca="1">CONCATENATE("Strategy: ",INDEX(display_strategy,$B1179))</f>
        <v xml:space="preserve">Strategy: </v>
      </c>
      <c r="E1179" s="1947">
        <f>plan_start_date + ($B1179-1)*7 + (COLUMN(D$2)-2)/5</f>
        <v>43521.4</v>
      </c>
      <c r="F1179" s="1947"/>
      <c r="G1179" s="1417" t="str">
        <f>CONCATENATE("Slot: ", ((WEEKDAY(E$3,2)*2-1)+IF(E1180="Morning",0,1)))</f>
        <v>Slot: 1</v>
      </c>
      <c r="H1179" s="177"/>
      <c r="I1179" s="1418" t="str">
        <f ca="1">CONCATENATE("Strategy: ",INDEX(display_strategy,$B1179))</f>
        <v xml:space="preserve">Strategy: </v>
      </c>
      <c r="J1179" s="1947">
        <f>plan_start_date + ($B1179-1)*7 + (COLUMN(I$2)-2)/5</f>
        <v>43522.400000000001</v>
      </c>
      <c r="K1179" s="1947"/>
      <c r="L1179" s="1417" t="str">
        <f>CONCATENATE("Slot: ", ((WEEKDAY(J$3,2)*2-1)+IF(J1180="Morning",0,1)))</f>
        <v>Slot: 3</v>
      </c>
      <c r="N1179" s="1418" t="str">
        <f ca="1">CONCATENATE("Strategy: ",INDEX(display_strategy,$B1179))</f>
        <v xml:space="preserve">Strategy: </v>
      </c>
      <c r="O1179" s="1947">
        <f>plan_start_date + ($B1179-1)*7 + (COLUMN(N$2)-2)/5</f>
        <v>43523.4</v>
      </c>
      <c r="P1179" s="1947"/>
      <c r="Q1179" s="1417" t="str">
        <f>CONCATENATE("Slot: ", ((WEEKDAY(O$3,2)*2-1)+IF(O1180="Morning",0,1)))</f>
        <v>Slot: 5</v>
      </c>
      <c r="S1179" s="1418" t="str">
        <f ca="1">CONCATENATE("Strategy: ",INDEX(display_strategy,$B1179))</f>
        <v xml:space="preserve">Strategy: </v>
      </c>
      <c r="T1179" s="1947">
        <f>plan_start_date + ($B1179-1)*7 + (COLUMN(S$2)-2)/5</f>
        <v>43524.4</v>
      </c>
      <c r="U1179" s="1947"/>
      <c r="V1179" s="1417" t="str">
        <f>CONCATENATE("Slot: ", ((WEEKDAY(T$3,2)*2-1)+IF(T1180="Morning",0,1)))</f>
        <v>Slot: 7</v>
      </c>
      <c r="X1179" s="1418" t="str">
        <f ca="1">CONCATENATE("Strategy: ",INDEX(display_strategy,$B1179))</f>
        <v xml:space="preserve">Strategy: </v>
      </c>
      <c r="Y1179" s="1947">
        <f>plan_start_date + ($B1179-1)*7 + (COLUMN(X$2)-2)/5</f>
        <v>43525.4</v>
      </c>
      <c r="Z1179" s="1947"/>
      <c r="AA1179" s="1417" t="str">
        <f>CONCATENATE("Slot: ", ((WEEKDAY(Y$3,2)*2-1)+IF(Y1180="Morning",0,1)))</f>
        <v>Slot: 9</v>
      </c>
      <c r="AC1179" s="1418" t="str">
        <f ca="1">CONCATENATE("Strategy: ",INDEX(display_strategy,$B1179))</f>
        <v xml:space="preserve">Strategy: </v>
      </c>
      <c r="AD1179" s="1947">
        <f>plan_start_date + ($B1179-1)*7 + (COLUMN(AC$2)-2)/5</f>
        <v>43526.400000000001</v>
      </c>
      <c r="AE1179" s="1947"/>
      <c r="AF1179" s="1417" t="str">
        <f>CONCATENATE("Slot: ", ((WEEKDAY(AD$3,2)*2-1)+IF(AD1180="Morning",0,1)))</f>
        <v>Slot: 11</v>
      </c>
      <c r="AH1179" s="1418" t="str">
        <f ca="1">CONCATENATE("Strategy: ",INDEX(display_strategy,$B1179))</f>
        <v xml:space="preserve">Strategy: </v>
      </c>
      <c r="AI1179" s="1947">
        <f>plan_start_date + ($B1179-1)*7 + (COLUMN(AH$2)-2)/5</f>
        <v>43527.4</v>
      </c>
      <c r="AJ1179" s="1947"/>
      <c r="AK1179" s="1417" t="str">
        <f>CONCATENATE("Slot: ", ((WEEKDAY(AI$3,2)*2-1)+IF(AI1180="Morning",0,1)))</f>
        <v>Slot: 13</v>
      </c>
    </row>
    <row r="1180" spans="2:38" s="176" customFormat="1" x14ac:dyDescent="0.45">
      <c r="B1180" s="1942"/>
      <c r="C1180" s="1945"/>
      <c r="D1180" s="1413">
        <f>$B1179</f>
        <v>22</v>
      </c>
      <c r="E1180" s="1930" t="s">
        <v>351</v>
      </c>
      <c r="F1180" s="1930"/>
      <c r="G1180" s="1412">
        <f ca="1">INDEX(final_duration_session, ((WEEKDAY(E$3,2)*2-1)+IF(E1180="Morning",0,1)), $D1180)</f>
        <v>0</v>
      </c>
      <c r="H1180" s="177"/>
      <c r="I1180" s="1413">
        <f>$B1179</f>
        <v>22</v>
      </c>
      <c r="J1180" s="1930" t="s">
        <v>351</v>
      </c>
      <c r="K1180" s="1930"/>
      <c r="L1180" s="1412">
        <f ca="1">INDEX(final_duration_session, ((WEEKDAY(J$3,2)*2-1)+IF(J1180="Morning",0,1)), $D1180)</f>
        <v>0</v>
      </c>
      <c r="M1180" s="177"/>
      <c r="N1180" s="1413">
        <f>$B1179</f>
        <v>22</v>
      </c>
      <c r="O1180" s="1930" t="s">
        <v>351</v>
      </c>
      <c r="P1180" s="1930"/>
      <c r="Q1180" s="1412">
        <f ca="1">INDEX(final_duration_session, ((WEEKDAY(O$3,2)*2-1)+IF(O1180="Morning",0,1)), $D1180)</f>
        <v>0</v>
      </c>
      <c r="R1180" s="177"/>
      <c r="S1180" s="1413">
        <f>$B1179</f>
        <v>22</v>
      </c>
      <c r="T1180" s="1930" t="s">
        <v>351</v>
      </c>
      <c r="U1180" s="1930"/>
      <c r="V1180" s="1412">
        <f ca="1">INDEX(final_duration_session, ((WEEKDAY(T$3,2)*2-1)+IF(T1180="Morning",0,1)), $D1180)</f>
        <v>0</v>
      </c>
      <c r="W1180" s="177"/>
      <c r="X1180" s="1413">
        <f>$B1179</f>
        <v>22</v>
      </c>
      <c r="Y1180" s="1930" t="s">
        <v>351</v>
      </c>
      <c r="Z1180" s="1930"/>
      <c r="AA1180" s="1412">
        <f ca="1">INDEX(final_duration_session, ((WEEKDAY(Y$3,2)*2-1)+IF(Y1180="Morning",0,1)), $D1180)</f>
        <v>0</v>
      </c>
      <c r="AB1180" s="177"/>
      <c r="AC1180" s="1413">
        <f>$B1179</f>
        <v>22</v>
      </c>
      <c r="AD1180" s="1930" t="s">
        <v>351</v>
      </c>
      <c r="AE1180" s="1930"/>
      <c r="AF1180" s="1412">
        <f ca="1">INDEX(final_duration_session, ((WEEKDAY(AD$3,2)*2-1)+IF(AD1180="Morning",0,1)), $D1180)</f>
        <v>0</v>
      </c>
      <c r="AG1180" s="177"/>
      <c r="AH1180" s="1413">
        <f>$B1179</f>
        <v>22</v>
      </c>
      <c r="AI1180" s="1930" t="s">
        <v>351</v>
      </c>
      <c r="AJ1180" s="1930"/>
      <c r="AK1180" s="1412">
        <f ca="1">INDEX(final_duration_session, ((WEEKDAY(AI$3,2)*2-1)+IF(AI1180="Morning",0,1)), $D1180)</f>
        <v>0</v>
      </c>
      <c r="AL1180" s="177"/>
    </row>
    <row r="1181" spans="2:38" s="176" customFormat="1" ht="15" customHeight="1" x14ac:dyDescent="0.45">
      <c r="B1181" s="1942"/>
      <c r="C1181" s="1945"/>
      <c r="D1181" s="1931" t="str">
        <f ca="1">IF(G1180&gt;0,INDEX(sessions_name,INDEX(plan_session_allocation,((WEEKDAY(E$3,2)*2-1)+IF(E1180="Morning",0,1)),D1180)),"")</f>
        <v/>
      </c>
      <c r="E1181" s="1932"/>
      <c r="F1181" s="1932"/>
      <c r="G1181" s="1933"/>
      <c r="H1181" s="177"/>
      <c r="I1181" s="1931" t="str">
        <f ca="1">IF(L1180&gt;0,INDEX(sessions_name,INDEX(plan_session_allocation,((WEEKDAY(J$3,2)*2-1)+IF(J1180="Morning",0,1)),I1180)),"")</f>
        <v/>
      </c>
      <c r="J1181" s="1932"/>
      <c r="K1181" s="1932"/>
      <c r="L1181" s="1933"/>
      <c r="M1181" s="177"/>
      <c r="N1181" s="1931" t="str">
        <f ca="1">IF(Q1180&gt;0,INDEX(sessions_name,INDEX(plan_session_allocation,((WEEKDAY(O$3,2)*2-1)+IF(O1180="Morning",0,1)),N1180)),"")</f>
        <v/>
      </c>
      <c r="O1181" s="1932"/>
      <c r="P1181" s="1932"/>
      <c r="Q1181" s="1933"/>
      <c r="R1181" s="177"/>
      <c r="S1181" s="1931" t="str">
        <f ca="1">IF(V1180&gt;0,INDEX(sessions_name,INDEX(plan_session_allocation,((WEEKDAY(T$3,2)*2-1)+IF(T1180="Morning",0,1)),S1180)),"")</f>
        <v/>
      </c>
      <c r="T1181" s="1932"/>
      <c r="U1181" s="1932"/>
      <c r="V1181" s="1933"/>
      <c r="W1181" s="177"/>
      <c r="X1181" s="1931" t="str">
        <f ca="1">IF(AA1180&gt;0,INDEX(sessions_name,INDEX(plan_session_allocation,((WEEKDAY(Y$3,2)*2-1)+IF(Y1180="Morning",0,1)),X1180)),"")</f>
        <v/>
      </c>
      <c r="Y1181" s="1932"/>
      <c r="Z1181" s="1932"/>
      <c r="AA1181" s="1933"/>
      <c r="AB1181" s="177"/>
      <c r="AC1181" s="1931" t="str">
        <f ca="1">IF(AF1180&gt;0,INDEX(sessions_name,INDEX(plan_session_allocation,((WEEKDAY(AD$3,2)*2-1)+IF(AD1180="Morning",0,1)),AC1180)),"")</f>
        <v/>
      </c>
      <c r="AD1181" s="1932"/>
      <c r="AE1181" s="1932"/>
      <c r="AF1181" s="1933"/>
      <c r="AG1181" s="177"/>
      <c r="AH1181" s="1931" t="str">
        <f ca="1">IF(AK1180&gt;0,INDEX(sessions_name,INDEX(plan_session_allocation,((WEEKDAY(AI$3,2)*2-1)+IF(AI1180="Morning",0,1)),AH1180)),"")</f>
        <v/>
      </c>
      <c r="AI1181" s="1932"/>
      <c r="AJ1181" s="1932"/>
      <c r="AK1181" s="1933"/>
      <c r="AL1181" s="177"/>
    </row>
    <row r="1182" spans="2:38" s="176" customFormat="1" ht="15" customHeight="1" x14ac:dyDescent="0.45">
      <c r="B1182" s="1942"/>
      <c r="C1182" s="1945"/>
      <c r="D1182" s="1934" t="str">
        <f ca="1">IF(G1180&gt;0,CONCATENATE("Sport: ",INDEX(sessions_sport_primary,INDEX(plan_session_allocation,(WEEKDAY(E$3,2)*2-1)+IF(E1180="Morning",0,1),D1180))),"")</f>
        <v/>
      </c>
      <c r="E1182" s="1935"/>
      <c r="F1182" s="1936" t="str">
        <f ca="1">IF(G1180&gt;0,IFERROR(F1183+F1184+F1185,""),"")</f>
        <v/>
      </c>
      <c r="G1182" s="1937"/>
      <c r="H1182" s="177"/>
      <c r="I1182" s="1934" t="str">
        <f ca="1">IF(L1180&gt;0,CONCATENATE("Sport: ",INDEX(sessions_sport_primary,INDEX(plan_session_allocation,(WEEKDAY(J$3,2)*2-1)+IF(J1180="Morning",0,1),I1180))),"")</f>
        <v/>
      </c>
      <c r="J1182" s="1935"/>
      <c r="K1182" s="1936" t="str">
        <f ca="1">IF(L1180&gt;0,IFERROR(K1183+K1184+K1185,""),"")</f>
        <v/>
      </c>
      <c r="L1182" s="1937"/>
      <c r="M1182" s="177"/>
      <c r="N1182" s="1934" t="str">
        <f ca="1">IF(Q1180&gt;0,CONCATENATE("Sport: ",INDEX(sessions_sport_primary,INDEX(plan_session_allocation,(WEEKDAY(O$3,2)*2-1)+IF(O1180="Morning",0,1),N1180))),"")</f>
        <v/>
      </c>
      <c r="O1182" s="1935"/>
      <c r="P1182" s="1936" t="str">
        <f ca="1">IF(Q1180&gt;0,IFERROR(P1183+P1184+P1185,""),"")</f>
        <v/>
      </c>
      <c r="Q1182" s="1937"/>
      <c r="R1182" s="177"/>
      <c r="S1182" s="1934" t="str">
        <f ca="1">IF(V1180&gt;0,CONCATENATE("Sport: ",INDEX(sessions_sport_primary,INDEX(plan_session_allocation,(WEEKDAY(T$3,2)*2-1)+IF(T1180="Morning",0,1),S1180))),"")</f>
        <v/>
      </c>
      <c r="T1182" s="1935"/>
      <c r="U1182" s="1936" t="str">
        <f ca="1">IF(V1180&gt;0,IFERROR(U1183+U1184+U1185,""),"")</f>
        <v/>
      </c>
      <c r="V1182" s="1937"/>
      <c r="W1182" s="177"/>
      <c r="X1182" s="1934" t="str">
        <f ca="1">IF(AA1180&gt;0,CONCATENATE("Sport: ",INDEX(sessions_sport_primary,INDEX(plan_session_allocation,(WEEKDAY(Y$3,2)*2-1)+IF(Y1180="Morning",0,1),X1180))),"")</f>
        <v/>
      </c>
      <c r="Y1182" s="1935"/>
      <c r="Z1182" s="1936" t="str">
        <f ca="1">IF(AA1180&gt;0,IFERROR(Z1183+Z1184+Z1185,""),"")</f>
        <v/>
      </c>
      <c r="AA1182" s="1937"/>
      <c r="AB1182" s="177"/>
      <c r="AC1182" s="1934" t="str">
        <f ca="1">IF(AF1180&gt;0,CONCATENATE("Sport: ",INDEX(sessions_sport_primary,INDEX(plan_session_allocation,(WEEKDAY(AD$3,2)*2-1)+IF(AD1180="Morning",0,1),AC1180))),"")</f>
        <v/>
      </c>
      <c r="AD1182" s="1935"/>
      <c r="AE1182" s="1936" t="str">
        <f ca="1">IF(AF1180&gt;0,IFERROR(AE1183+AE1184+AE1185,""),"")</f>
        <v/>
      </c>
      <c r="AF1182" s="1937"/>
      <c r="AG1182" s="177"/>
      <c r="AH1182" s="1934" t="str">
        <f ca="1">IF(AK1180&gt;0,CONCATENATE("Sport: ",INDEX(sessions_sport_primary,INDEX(plan_session_allocation,(WEEKDAY(AI$3,2)*2-1)+IF(AI1180="Morning",0,1),AH1180))),"")</f>
        <v/>
      </c>
      <c r="AI1182" s="1935"/>
      <c r="AJ1182" s="1936" t="str">
        <f ca="1">IF(AK1180&gt;0,IFERROR(AJ1183+AJ1184+AJ1185,""),"")</f>
        <v/>
      </c>
      <c r="AK1182" s="1937"/>
      <c r="AL1182" s="177"/>
    </row>
    <row r="1183" spans="2:38" s="176" customFormat="1" ht="15" customHeight="1" x14ac:dyDescent="0.45">
      <c r="B1183" s="1942"/>
      <c r="C1183" s="1945"/>
      <c r="D1183" s="1922" t="str">
        <f ca="1">IF(G1180&gt;0,CONCATENATE("HR Target: ",
INDEX(sessions_HR_primary,INDEX(plan_session_allocation,((WEEKDAY(E$3,2)*2-1)+IF(E1180="Morning",0,1)),D1180)),
IF(INDEX(sessions_HR_primary,INDEX(plan_session_allocation,((WEEKDAY(E$3,2)*2-1)+IF(E1180="Morning",0,1)),D1180))="N/A","",
" BPM")),"")</f>
        <v/>
      </c>
      <c r="E1183" s="1923"/>
      <c r="F1183" s="1924" t="str">
        <f ca="1">IF(G1180&gt;0,
INDEX(final_duration_effort,((WEEKDAY(E$3,2)*2-1)+IF(E1180="Morning",0,1)),D1180),"")</f>
        <v/>
      </c>
      <c r="G1183" s="1925"/>
      <c r="H1183" s="177"/>
      <c r="I1183" s="1922" t="str">
        <f ca="1">IF(L1180&gt;0,CONCATENATE("HR Target: ",
INDEX(sessions_HR_primary,INDEX(plan_session_allocation,((WEEKDAY(J$3,2)*2-1)+IF(J1180="Morning",0,1)),I1180)),
IF(INDEX(sessions_HR_primary,INDEX(plan_session_allocation,((WEEKDAY(J$3,2)*2-1)+IF(J1180="Morning",0,1)),I1180))="N/A","",
" BPM")),"")</f>
        <v/>
      </c>
      <c r="J1183" s="1923"/>
      <c r="K1183" s="1924" t="str">
        <f ca="1">IF(L1180&gt;0,
INDEX(final_duration_effort,((WEEKDAY(J$3,2)*2-1)+IF(J1180="Morning",0,1)),I1180),"")</f>
        <v/>
      </c>
      <c r="L1183" s="1925"/>
      <c r="M1183" s="177"/>
      <c r="N1183" s="1922" t="str">
        <f ca="1">IF(Q1180&gt;0,CONCATENATE("HR Target: ",
INDEX(sessions_HR_primary,INDEX(plan_session_allocation,((WEEKDAY(O$3,2)*2-1)+IF(O1180="Morning",0,1)),N1180)),
IF(INDEX(sessions_HR_primary,INDEX(plan_session_allocation,((WEEKDAY(O$3,2)*2-1)+IF(O1180="Morning",0,1)),N1180))="N/A","",
" BPM")),"")</f>
        <v/>
      </c>
      <c r="O1183" s="1923"/>
      <c r="P1183" s="1924" t="str">
        <f ca="1">IF(Q1180&gt;0,
INDEX(final_duration_effort,((WEEKDAY(O$3,2)*2-1)+IF(O1180="Morning",0,1)),N1180),"")</f>
        <v/>
      </c>
      <c r="Q1183" s="1925"/>
      <c r="R1183" s="177"/>
      <c r="S1183" s="1922" t="str">
        <f ca="1">IF(V1180&gt;0,CONCATENATE("HR Target: ",
INDEX(sessions_HR_primary,INDEX(plan_session_allocation,((WEEKDAY(T$3,2)*2-1)+IF(T1180="Morning",0,1)),S1180)),
IF(INDEX(sessions_HR_primary,INDEX(plan_session_allocation,((WEEKDAY(T$3,2)*2-1)+IF(T1180="Morning",0,1)),S1180))="N/A","",
" BPM")),"")</f>
        <v/>
      </c>
      <c r="T1183" s="1923"/>
      <c r="U1183" s="1924" t="str">
        <f ca="1">IF(V1180&gt;0,
INDEX(final_duration_effort,((WEEKDAY(T$3,2)*2-1)+IF(T1180="Morning",0,1)),S1180),"")</f>
        <v/>
      </c>
      <c r="V1183" s="1925"/>
      <c r="W1183" s="177"/>
      <c r="X1183" s="1922" t="str">
        <f ca="1">IF(AA1180&gt;0,CONCATENATE("HR Target: ",
INDEX(sessions_HR_primary,INDEX(plan_session_allocation,((WEEKDAY(Y$3,2)*2-1)+IF(Y1180="Morning",0,1)),X1180)),
IF(INDEX(sessions_HR_primary,INDEX(plan_session_allocation,((WEEKDAY(Y$3,2)*2-1)+IF(Y1180="Morning",0,1)),X1180))="N/A","",
" BPM")),"")</f>
        <v/>
      </c>
      <c r="Y1183" s="1923"/>
      <c r="Z1183" s="1924" t="str">
        <f ca="1">IF(AA1180&gt;0,
INDEX(final_duration_effort,((WEEKDAY(Y$3,2)*2-1)+IF(Y1180="Morning",0,1)),X1180),"")</f>
        <v/>
      </c>
      <c r="AA1183" s="1925"/>
      <c r="AB1183" s="177"/>
      <c r="AC1183" s="1922" t="str">
        <f ca="1">IF(AF1180&gt;0,CONCATENATE("HR Target: ",
INDEX(sessions_HR_primary,INDEX(plan_session_allocation,((WEEKDAY(AD$3,2)*2-1)+IF(AD1180="Morning",0,1)),AC1180)),
IF(INDEX(sessions_HR_primary,INDEX(plan_session_allocation,((WEEKDAY(AD$3,2)*2-1)+IF(AD1180="Morning",0,1)),AC1180))="N/A","",
" BPM")),"")</f>
        <v/>
      </c>
      <c r="AD1183" s="1923"/>
      <c r="AE1183" s="1924" t="str">
        <f ca="1">IF(AF1180&gt;0,
INDEX(final_duration_effort,((WEEKDAY(AD$3,2)*2-1)+IF(AD1180="Morning",0,1)),AC1180),"")</f>
        <v/>
      </c>
      <c r="AF1183" s="1925"/>
      <c r="AG1183" s="177"/>
      <c r="AH1183" s="1922" t="str">
        <f ca="1">IF(AK1180&gt;0,CONCATENATE("HR Target: ",
INDEX(sessions_HR_primary,INDEX(plan_session_allocation,((WEEKDAY(AI$3,2)*2-1)+IF(AI1180="Morning",0,1)),AH1180)),
IF(INDEX(sessions_HR_primary,INDEX(plan_session_allocation,((WEEKDAY(AI$3,2)*2-1)+IF(AI1180="Morning",0,1)),AH1180))="N/A","",
" BPM")),"")</f>
        <v/>
      </c>
      <c r="AI1183" s="1923"/>
      <c r="AJ1183" s="1924" t="str">
        <f ca="1">IF(AK1180&gt;0,
INDEX(final_duration_effort,((WEEKDAY(AI$3,2)*2-1)+IF(AI1180="Morning",0,1)),AH1180),"")</f>
        <v/>
      </c>
      <c r="AK1183" s="1925"/>
      <c r="AL1183" s="177"/>
    </row>
    <row r="1184" spans="2:38" s="179" customFormat="1" x14ac:dyDescent="0.45">
      <c r="B1184" s="1942"/>
      <c r="C1184" s="1945"/>
      <c r="D1184" s="1926" t="str">
        <f ca="1">IF(G1180&gt;0,CONCATENATE("HR Range: ",
INDEX(sessions_HR_range_primary,INDEX(plan_session_allocation,((WEEKDAY(E$3,2)*2-1)+IF(E1180="Morning",0,1)),D1180)),
IF(INDEX(sessions_HR_range_primary,INDEX(plan_session_allocation,((WEEKDAY(E$3,2)*2-1)+IF(E1180="Morning",0,1)),D1180))="N/A","",
" BPM")),"")</f>
        <v/>
      </c>
      <c r="E1184" s="1927"/>
      <c r="F1184" s="1928" t="str">
        <f ca="1">IF(G1180&gt;0,IF(
INDEX(sessions_recoveries,INDEX(plan_session_allocation,((WEEKDAY(E$3,2)*2-1)+IF(E1180="Morning",0,1)),D1180))="Yes",
VLOOKUP(INDEX(plan_duration_primary,((WEEKDAY(E$3,2)*2-1)+IF(E1180="Morning",0,1)),D1180),
INDIRECT(INDEX(sessions_intervals_code_primary,INDEX(plan_session_allocation,((WEEKDAY(E$3,2)*2-1)+IF(E1180="Morning",0,1)),D1180))),7,TRUE),0),"")</f>
        <v/>
      </c>
      <c r="G1184" s="1929"/>
      <c r="H1184" s="178"/>
      <c r="I1184" s="1926" t="str">
        <f ca="1">IF(L1180&gt;0,CONCATENATE("HR Range: ",
INDEX(sessions_HR_range_primary,INDEX(plan_session_allocation,((WEEKDAY(J$3,2)*2-1)+IF(J1180="Morning",0,1)),I1180)),
IF(INDEX(sessions_HR_range_primary,INDEX(plan_session_allocation,((WEEKDAY(J$3,2)*2-1)+IF(J1180="Morning",0,1)),I1180))="N/A","",
" BPM")),"")</f>
        <v/>
      </c>
      <c r="J1184" s="1927"/>
      <c r="K1184" s="1928" t="str">
        <f ca="1">IF(L1180&gt;0,IF(
INDEX(sessions_recoveries,INDEX(plan_session_allocation,((WEEKDAY(J$3,2)*2-1)+IF(J1180="Morning",0,1)),I1180))="Yes",
VLOOKUP(INDEX(plan_duration_primary,((WEEKDAY(J$3,2)*2-1)+IF(J1180="Morning",0,1)),I1180),
INDIRECT(INDEX(sessions_intervals_code_primary,INDEX(plan_session_allocation,((WEEKDAY(J$3,2)*2-1)+IF(J1180="Morning",0,1)),I1180))),7,TRUE),0),"")</f>
        <v/>
      </c>
      <c r="L1184" s="1929"/>
      <c r="M1184" s="178"/>
      <c r="N1184" s="1926" t="str">
        <f ca="1">IF(Q1180&gt;0,CONCATENATE("HR Range: ",
INDEX(sessions_HR_range_primary,INDEX(plan_session_allocation,((WEEKDAY(O$3,2)*2-1)+IF(O1180="Morning",0,1)),N1180)),
IF(INDEX(sessions_HR_range_primary,INDEX(plan_session_allocation,((WEEKDAY(O$3,2)*2-1)+IF(O1180="Morning",0,1)),N1180))="N/A","",
" BPM")),"")</f>
        <v/>
      </c>
      <c r="O1184" s="1927"/>
      <c r="P1184" s="1928" t="str">
        <f ca="1">IF(Q1180&gt;0,IF(
INDEX(sessions_recoveries,INDEX(plan_session_allocation,((WEEKDAY(O$3,2)*2-1)+IF(O1180="Morning",0,1)),N1180))="Yes",
VLOOKUP(INDEX(plan_duration_primary,((WEEKDAY(O$3,2)*2-1)+IF(O1180="Morning",0,1)),N1180),
INDIRECT(INDEX(sessions_intervals_code_primary,INDEX(plan_session_allocation,((WEEKDAY(O$3,2)*2-1)+IF(O1180="Morning",0,1)),N1180))),7,TRUE),0),"")</f>
        <v/>
      </c>
      <c r="Q1184" s="1929"/>
      <c r="R1184" s="178"/>
      <c r="S1184" s="1926" t="str">
        <f ca="1">IF(V1180&gt;0,CONCATENATE("HR Range: ",
INDEX(sessions_HR_range_primary,INDEX(plan_session_allocation,((WEEKDAY(T$3,2)*2-1)+IF(T1180="Morning",0,1)),S1180)),
IF(INDEX(sessions_HR_range_primary,INDEX(plan_session_allocation,((WEEKDAY(T$3,2)*2-1)+IF(T1180="Morning",0,1)),S1180))="N/A","",
" BPM")),"")</f>
        <v/>
      </c>
      <c r="T1184" s="1927"/>
      <c r="U1184" s="1928" t="str">
        <f ca="1">IF(V1180&gt;0,IF(
INDEX(sessions_recoveries,INDEX(plan_session_allocation,((WEEKDAY(T$3,2)*2-1)+IF(T1180="Morning",0,1)),S1180))="Yes",
VLOOKUP(INDEX(plan_duration_primary,((WEEKDAY(T$3,2)*2-1)+IF(T1180="Morning",0,1)),S1180),
INDIRECT(INDEX(sessions_intervals_code_primary,INDEX(plan_session_allocation,((WEEKDAY(T$3,2)*2-1)+IF(T1180="Morning",0,1)),S1180))),7,TRUE),0),"")</f>
        <v/>
      </c>
      <c r="V1184" s="1929"/>
      <c r="W1184" s="178"/>
      <c r="X1184" s="1926" t="str">
        <f ca="1">IF(AA1180&gt;0,CONCATENATE("HR Range: ",
INDEX(sessions_HR_range_primary,INDEX(plan_session_allocation,((WEEKDAY(Y$3,2)*2-1)+IF(Y1180="Morning",0,1)),X1180)),
IF(INDEX(sessions_HR_range_primary,INDEX(plan_session_allocation,((WEEKDAY(Y$3,2)*2-1)+IF(Y1180="Morning",0,1)),X1180))="N/A","",
" BPM")),"")</f>
        <v/>
      </c>
      <c r="Y1184" s="1927"/>
      <c r="Z1184" s="1928" t="str">
        <f ca="1">IF(AA1180&gt;0,IF(
INDEX(sessions_recoveries,INDEX(plan_session_allocation,((WEEKDAY(Y$3,2)*2-1)+IF(Y1180="Morning",0,1)),X1180))="Yes",
VLOOKUP(INDEX(plan_duration_primary,((WEEKDAY(Y$3,2)*2-1)+IF(Y1180="Morning",0,1)),X1180),
INDIRECT(INDEX(sessions_intervals_code_primary,INDEX(plan_session_allocation,((WEEKDAY(Y$3,2)*2-1)+IF(Y1180="Morning",0,1)),X1180))),7,TRUE),0),"")</f>
        <v/>
      </c>
      <c r="AA1184" s="1929"/>
      <c r="AB1184" s="178"/>
      <c r="AC1184" s="1926" t="str">
        <f ca="1">IF(AF1180&gt;0,CONCATENATE("HR Range: ",
INDEX(sessions_HR_range_primary,INDEX(plan_session_allocation,((WEEKDAY(AD$3,2)*2-1)+IF(AD1180="Morning",0,1)),AC1180)),
IF(INDEX(sessions_HR_range_primary,INDEX(plan_session_allocation,((WEEKDAY(AD$3,2)*2-1)+IF(AD1180="Morning",0,1)),AC1180))="N/A","",
" BPM")),"")</f>
        <v/>
      </c>
      <c r="AD1184" s="1927"/>
      <c r="AE1184" s="1928" t="str">
        <f ca="1">IF(AF1180&gt;0,IF(
INDEX(sessions_recoveries,INDEX(plan_session_allocation,((WEEKDAY(AD$3,2)*2-1)+IF(AD1180="Morning",0,1)),AC1180))="Yes",
VLOOKUP(INDEX(plan_duration_primary,((WEEKDAY(AD$3,2)*2-1)+IF(AD1180="Morning",0,1)),AC1180),
INDIRECT(INDEX(sessions_intervals_code_primary,INDEX(plan_session_allocation,((WEEKDAY(AD$3,2)*2-1)+IF(AD1180="Morning",0,1)),AC1180))),7,TRUE),0),"")</f>
        <v/>
      </c>
      <c r="AF1184" s="1929"/>
      <c r="AG1184" s="178"/>
      <c r="AH1184" s="1926" t="str">
        <f ca="1">IF(AK1180&gt;0,CONCATENATE("HR Range: ",
INDEX(sessions_HR_range_primary,INDEX(plan_session_allocation,((WEEKDAY(AI$3,2)*2-1)+IF(AI1180="Morning",0,1)),AH1180)),
IF(INDEX(sessions_HR_range_primary,INDEX(plan_session_allocation,((WEEKDAY(AI$3,2)*2-1)+IF(AI1180="Morning",0,1)),AH1180))="N/A","",
" BPM")),"")</f>
        <v/>
      </c>
      <c r="AI1184" s="1927"/>
      <c r="AJ1184" s="1928" t="str">
        <f ca="1">IF(AK1180&gt;0,IF(
INDEX(sessions_recoveries,INDEX(plan_session_allocation,((WEEKDAY(AI$3,2)*2-1)+IF(AI1180="Morning",0,1)),AH1180))="Yes",
VLOOKUP(INDEX(plan_duration_primary,((WEEKDAY(AI$3,2)*2-1)+IF(AI1180="Morning",0,1)),AH1180),
INDIRECT(INDEX(sessions_intervals_code_primary,INDEX(plan_session_allocation,((WEEKDAY(AI$3,2)*2-1)+IF(AI1180="Morning",0,1)),AH1180))),7,TRUE),0),"")</f>
        <v/>
      </c>
      <c r="AK1184" s="1929"/>
      <c r="AL1184" s="178"/>
    </row>
    <row r="1185" spans="2:38" s="179" customFormat="1" ht="15" customHeight="1" x14ac:dyDescent="0.45">
      <c r="B1185" s="1942"/>
      <c r="C1185" s="1945"/>
      <c r="D1185" s="1909" t="str">
        <f ca="1">IF(G1180&gt;0,CONCATENATE("Equivalent Pace: ",
TEXT(INDEX(sessions_pace_primary,INDEX(plan_session_allocation,(WEEKDAY(E$3,2)*2-1)+IF(E1180="Morning",0,1),D1180)),"m:ss"),
" min/km"
),"")</f>
        <v/>
      </c>
      <c r="E1185" s="1910"/>
      <c r="F1185" s="1911" t="str">
        <f ca="1">IF(G1180&gt;0, INDEX(final_duration_WU,((WEEKDAY(E$3,2)*2-1)+IF(E1180="Morning",0,1)),D1180)  + INDEX(final_duration_WD,((WEEKDAY(E$3,2)*2-1)+IF(E1180="Morning",0,1)),D1180), "")</f>
        <v/>
      </c>
      <c r="G1185" s="1912"/>
      <c r="H1185" s="178"/>
      <c r="I1185" s="1909" t="str">
        <f ca="1">IF(L1180&gt;0,CONCATENATE("Equivalent Pace: ",
TEXT(INDEX(sessions_pace_primary,INDEX(plan_session_allocation,(WEEKDAY(J$3,2)*2-1)+IF(J1180="Morning",0,1),I1180)),"m:ss"),
" min/km"
),"")</f>
        <v/>
      </c>
      <c r="J1185" s="1910"/>
      <c r="K1185" s="1911" t="str">
        <f ca="1">IF(L1180&gt;0, INDEX(final_duration_WU,((WEEKDAY(J$3,2)*2-1)+IF(J1180="Morning",0,1)),I1180)  + INDEX(final_duration_WD,((WEEKDAY(J$3,2)*2-1)+IF(J1180="Morning",0,1)),I1180), "")</f>
        <v/>
      </c>
      <c r="L1185" s="1912"/>
      <c r="M1185" s="178"/>
      <c r="N1185" s="1909" t="str">
        <f ca="1">IF(Q1180&gt;0,CONCATENATE("Equivalent Pace: ",
TEXT(INDEX(sessions_pace_primary,INDEX(plan_session_allocation,(WEEKDAY(O$3,2)*2-1)+IF(O1180="Morning",0,1),N1180)),"m:ss"),
" min/km"
),"")</f>
        <v/>
      </c>
      <c r="O1185" s="1910"/>
      <c r="P1185" s="1911" t="str">
        <f ca="1">IF(Q1180&gt;0, INDEX(final_duration_WU,((WEEKDAY(O$3,2)*2-1)+IF(O1180="Morning",0,1)),N1180)  + INDEX(final_duration_WD,((WEEKDAY(O$3,2)*2-1)+IF(O1180="Morning",0,1)),N1180), "")</f>
        <v/>
      </c>
      <c r="Q1185" s="1912"/>
      <c r="R1185" s="178"/>
      <c r="S1185" s="1909" t="str">
        <f ca="1">IF(V1180&gt;0,CONCATENATE("Equivalent Pace: ",
TEXT(INDEX(sessions_pace_primary,INDEX(plan_session_allocation,(WEEKDAY(T$3,2)*2-1)+IF(T1180="Morning",0,1),S1180)),"m:ss"),
" min/km"
),"")</f>
        <v/>
      </c>
      <c r="T1185" s="1910"/>
      <c r="U1185" s="1911" t="str">
        <f ca="1">IF(V1180&gt;0, INDEX(final_duration_WU,((WEEKDAY(T$3,2)*2-1)+IF(T1180="Morning",0,1)),S1180)  + INDEX(final_duration_WD,((WEEKDAY(T$3,2)*2-1)+IF(T1180="Morning",0,1)),S1180), "")</f>
        <v/>
      </c>
      <c r="V1185" s="1912"/>
      <c r="W1185" s="178"/>
      <c r="X1185" s="1909" t="str">
        <f ca="1">IF(AA1180&gt;0,CONCATENATE("Equivalent Pace: ",
TEXT(INDEX(sessions_pace_primary,INDEX(plan_session_allocation,(WEEKDAY(Y$3,2)*2-1)+IF(Y1180="Morning",0,1),X1180)),"m:ss"),
" min/km"
),"")</f>
        <v/>
      </c>
      <c r="Y1185" s="1910"/>
      <c r="Z1185" s="1911" t="str">
        <f ca="1">IF(AA1180&gt;0, INDEX(final_duration_WU,((WEEKDAY(Y$3,2)*2-1)+IF(Y1180="Morning",0,1)),X1180)  + INDEX(final_duration_WD,((WEEKDAY(Y$3,2)*2-1)+IF(Y1180="Morning",0,1)),X1180), "")</f>
        <v/>
      </c>
      <c r="AA1185" s="1912"/>
      <c r="AB1185" s="178"/>
      <c r="AC1185" s="1909" t="str">
        <f ca="1">IF(AF1180&gt;0,CONCATENATE("Equivalent Pace: ",
TEXT(INDEX(sessions_pace_primary,INDEX(plan_session_allocation,(WEEKDAY(AD$3,2)*2-1)+IF(AD1180="Morning",0,1),AC1180)),"m:ss"),
" min/km"
),"")</f>
        <v/>
      </c>
      <c r="AD1185" s="1910"/>
      <c r="AE1185" s="1911" t="str">
        <f ca="1">IF(AF1180&gt;0, INDEX(final_duration_WU,((WEEKDAY(AD$3,2)*2-1)+IF(AD1180="Morning",0,1)),AC1180)  + INDEX(final_duration_WD,((WEEKDAY(AD$3,2)*2-1)+IF(AD1180="Morning",0,1)),AC1180), "")</f>
        <v/>
      </c>
      <c r="AF1185" s="1912"/>
      <c r="AG1185" s="178"/>
      <c r="AH1185" s="1909" t="str">
        <f ca="1">IF(AK1180&gt;0,CONCATENATE("Equivalent Pace: ",
TEXT(INDEX(sessions_pace_primary,INDEX(plan_session_allocation,(WEEKDAY(AI$3,2)*2-1)+IF(AI1180="Morning",0,1),AH1180)),"m:ss"),
" min/km"
),"")</f>
        <v/>
      </c>
      <c r="AI1185" s="1910"/>
      <c r="AJ1185" s="1911" t="str">
        <f ca="1">IF(AK1180&gt;0, INDEX(final_duration_WU,((WEEKDAY(AI$3,2)*2-1)+IF(AI1180="Morning",0,1)),AH1180)  + INDEX(final_duration_WD,((WEEKDAY(AI$3,2)*2-1)+IF(AI1180="Morning",0,1)),AH1180), "")</f>
        <v/>
      </c>
      <c r="AK1185" s="1912"/>
      <c r="AL1185" s="178"/>
    </row>
    <row r="1186" spans="2:38" s="180" customFormat="1" ht="15" customHeight="1" x14ac:dyDescent="0.45">
      <c r="B1186" s="1942"/>
      <c r="C1186" s="1945"/>
      <c r="D1186" s="1913" t="str">
        <f ca="1">IF(G1180&gt;0,CONCATENATE(IFERROR(CONCATENATE(IF(INDEX(display_intervals_breakdown,((WEEKDAY(E$3,2)*2-1)+IF(E1180="Morning",0,1)),D1180)="","",CONCATENATE("Intervals/Reps Breakdown: 
",INDEX(display_intervals_breakdown,((WEEKDAY(E$3,2)*2-1)+IF(E1180="Morning",0,1)),D1180),"
")),"Session Description: 
",CONCATENATE(IF(INDEX(final_duration_secondary,((WEEKDAY(E$3,2)*2-1)+IF(E1180="Morning",0,1)),D1180)=0,"","1. "),
INDEX(sessions_description_primary,,INDEX(plan_session_allocation,((WEEKDAY(E$3,2)*2-1)+IF(E1180="Morning",0,1)),D1180)),IF(INDEX(final_duration_secondary,((WEEKDAY(E$3,2)*2-1)+IF(E1180="Morning",0,1)),D1180)=0,"","
2. "),
IF(INDEX(final_duration_secondary,((WEEKDAY(E$3,2)*2-1)+IF(E1180="Morning",0,1)),D1180)=0,"",INDEX(sessions_description_secondary,,INDEX(plan_session_allocation,((WEEKDAY(E$3,2)*2-1)+IF(E1180="Morning",0,1)),D1180))),IF(INDEX(final_duration_tertiary,((WEEKDAY(E$3,2)*2-1)+IF(E1180="Morning",0,1)),D1180)=0,"","
3. "),
IF(INDEX(final_duration_tertiary,((WEEKDAY(E$3,2)*2-1)+IF(E1180="Morning",0,1)),D1180)="","",INDEX(sessions_description_tertiary,,INDEX(plan_session_allocation,((WEEKDAY(E$3,2)*2-1)+IF(E1180="Morning",0,1)),D1180))),
IF(INDEX(display_nutrition_description,((WEEKDAY(E$3,2)*2-1)+IF(E1180="Morning",0,1)),D1180)="","",
CONCATENATE("
Meal Plan: ", INDEX(sessions_nutrition,,INDEX(plan_session_allocation,((WEEKDAY(E$3,2)*2-1)+IF(E1180="Morning",0,1)),D1180)), "
", INDEX(display_nutrition_description,((WEEKDAY(E$3,2)*2-1)+IF(E1180="Morning",0,1)),D1180)))
)),"")),"")</f>
        <v/>
      </c>
      <c r="E1186" s="1914"/>
      <c r="F1186" s="1914"/>
      <c r="G1186" s="1915"/>
      <c r="I1186" s="1913" t="str">
        <f ca="1">IF(L1180&gt;0,CONCATENATE(IFERROR(CONCATENATE(IF(INDEX(display_intervals_breakdown,((WEEKDAY(J$3,2)*2-1)+IF(J1180="Morning",0,1)),I1180)="","",CONCATENATE("Intervals/Reps Breakdown: 
",INDEX(display_intervals_breakdown,((WEEKDAY(J$3,2)*2-1)+IF(J1180="Morning",0,1)),I1180),"
")),"Session Description: 
",CONCATENATE(IF(INDEX(final_duration_secondary,((WEEKDAY(J$3,2)*2-1)+IF(J1180="Morning",0,1)),I1180)=0,"","1. "),
INDEX(sessions_description_primary,,INDEX(plan_session_allocation,((WEEKDAY(J$3,2)*2-1)+IF(J1180="Morning",0,1)),I1180)),IF(INDEX(final_duration_secondary,((WEEKDAY(J$3,2)*2-1)+IF(J1180="Morning",0,1)),I1180)=0,"","
2. "),
IF(INDEX(final_duration_secondary,((WEEKDAY(J$3,2)*2-1)+IF(J1180="Morning",0,1)),I1180)=0,"",INDEX(sessions_description_secondary,,INDEX(plan_session_allocation,((WEEKDAY(J$3,2)*2-1)+IF(J1180="Morning",0,1)),I1180))),IF(INDEX(final_duration_tertiary,((WEEKDAY(J$3,2)*2-1)+IF(J1180="Morning",0,1)),I1180)=0,"","
3. "),
IF(INDEX(final_duration_tertiary,((WEEKDAY(J$3,2)*2-1)+IF(J1180="Morning",0,1)),I1180)="","",INDEX(sessions_description_tertiary,,INDEX(plan_session_allocation,((WEEKDAY(J$3,2)*2-1)+IF(J1180="Morning",0,1)),I1180))),
IF(INDEX(display_nutrition_description,((WEEKDAY(J$3,2)*2-1)+IF(J1180="Morning",0,1)),I1180)="","",
CONCATENATE("
Meal Plan: ", INDEX(sessions_nutrition,,INDEX(plan_session_allocation,((WEEKDAY(J$3,2)*2-1)+IF(J1180="Morning",0,1)),I1180)), "
", INDEX(display_nutrition_description,((WEEKDAY(J$3,2)*2-1)+IF(J1180="Morning",0,1)),I1180)))
)),"")),"")</f>
        <v/>
      </c>
      <c r="J1186" s="1914"/>
      <c r="K1186" s="1914"/>
      <c r="L1186" s="1915"/>
      <c r="N1186" s="1913" t="str">
        <f ca="1">IF(Q1180&gt;0,CONCATENATE(IFERROR(CONCATENATE(IF(INDEX(display_intervals_breakdown,((WEEKDAY(O$3,2)*2-1)+IF(O1180="Morning",0,1)),N1180)="","",CONCATENATE("Intervals/Reps Breakdown: 
",INDEX(display_intervals_breakdown,((WEEKDAY(O$3,2)*2-1)+IF(O1180="Morning",0,1)),N1180),"
")),"Session Description: 
",CONCATENATE(IF(INDEX(final_duration_secondary,((WEEKDAY(O$3,2)*2-1)+IF(O1180="Morning",0,1)),N1180)=0,"","1. "),
INDEX(sessions_description_primary,,INDEX(plan_session_allocation,((WEEKDAY(O$3,2)*2-1)+IF(O1180="Morning",0,1)),N1180)),IF(INDEX(final_duration_secondary,((WEEKDAY(O$3,2)*2-1)+IF(O1180="Morning",0,1)),N1180)=0,"","
2. "),
IF(INDEX(final_duration_secondary,((WEEKDAY(O$3,2)*2-1)+IF(O1180="Morning",0,1)),N1180)=0,"",INDEX(sessions_description_secondary,,INDEX(plan_session_allocation,((WEEKDAY(O$3,2)*2-1)+IF(O1180="Morning",0,1)),N1180))),IF(INDEX(final_duration_tertiary,((WEEKDAY(O$3,2)*2-1)+IF(O1180="Morning",0,1)),N1180)=0,"","
3. "),
IF(INDEX(final_duration_tertiary,((WEEKDAY(O$3,2)*2-1)+IF(O1180="Morning",0,1)),N1180)="","",INDEX(sessions_description_tertiary,,INDEX(plan_session_allocation,((WEEKDAY(O$3,2)*2-1)+IF(O1180="Morning",0,1)),N1180))),
IF(INDEX(display_nutrition_description,((WEEKDAY(O$3,2)*2-1)+IF(O1180="Morning",0,1)),N1180)="","",
CONCATENATE("
Meal Plan: ", INDEX(sessions_nutrition,,INDEX(plan_session_allocation,((WEEKDAY(O$3,2)*2-1)+IF(O1180="Morning",0,1)),N1180)), "
", INDEX(display_nutrition_description,((WEEKDAY(O$3,2)*2-1)+IF(O1180="Morning",0,1)),N1180)))
)),"")),"")</f>
        <v/>
      </c>
      <c r="O1186" s="1914"/>
      <c r="P1186" s="1914"/>
      <c r="Q1186" s="1915"/>
      <c r="S1186" s="1913" t="str">
        <f ca="1">IF(V1180&gt;0,CONCATENATE(IFERROR(CONCATENATE(IF(INDEX(display_intervals_breakdown,((WEEKDAY(T$3,2)*2-1)+IF(T1180="Morning",0,1)),S1180)="","",CONCATENATE("Intervals/Reps Breakdown: 
",INDEX(display_intervals_breakdown,((WEEKDAY(T$3,2)*2-1)+IF(T1180="Morning",0,1)),S1180),"
")),"Session Description: 
",CONCATENATE(IF(INDEX(final_duration_secondary,((WEEKDAY(T$3,2)*2-1)+IF(T1180="Morning",0,1)),S1180)=0,"","1. "),
INDEX(sessions_description_primary,,INDEX(plan_session_allocation,((WEEKDAY(T$3,2)*2-1)+IF(T1180="Morning",0,1)),S1180)),IF(INDEX(final_duration_secondary,((WEEKDAY(T$3,2)*2-1)+IF(T1180="Morning",0,1)),S1180)=0,"","
2. "),
IF(INDEX(final_duration_secondary,((WEEKDAY(T$3,2)*2-1)+IF(T1180="Morning",0,1)),S1180)=0,"",INDEX(sessions_description_secondary,,INDEX(plan_session_allocation,((WEEKDAY(T$3,2)*2-1)+IF(T1180="Morning",0,1)),S1180))),IF(INDEX(final_duration_tertiary,((WEEKDAY(T$3,2)*2-1)+IF(T1180="Morning",0,1)),S1180)=0,"","
3. "),
IF(INDEX(final_duration_tertiary,((WEEKDAY(T$3,2)*2-1)+IF(T1180="Morning",0,1)),S1180)="","",INDEX(sessions_description_tertiary,,INDEX(plan_session_allocation,((WEEKDAY(T$3,2)*2-1)+IF(T1180="Morning",0,1)),S1180))),
IF(INDEX(display_nutrition_description,((WEEKDAY(T$3,2)*2-1)+IF(T1180="Morning",0,1)),S1180)="","",
CONCATENATE("
Meal Plan: ", INDEX(sessions_nutrition,,INDEX(plan_session_allocation,((WEEKDAY(T$3,2)*2-1)+IF(T1180="Morning",0,1)),S1180)), "
", INDEX(display_nutrition_description,((WEEKDAY(T$3,2)*2-1)+IF(T1180="Morning",0,1)),S1180)))
)),"")),"")</f>
        <v/>
      </c>
      <c r="T1186" s="1914"/>
      <c r="U1186" s="1914"/>
      <c r="V1186" s="1915"/>
      <c r="X1186" s="1913" t="str">
        <f ca="1">IF(AA1180&gt;0,CONCATENATE(IFERROR(CONCATENATE(IF(INDEX(display_intervals_breakdown,((WEEKDAY(Y$3,2)*2-1)+IF(Y1180="Morning",0,1)),X1180)="","",CONCATENATE("Intervals/Reps Breakdown: 
",INDEX(display_intervals_breakdown,((WEEKDAY(Y$3,2)*2-1)+IF(Y1180="Morning",0,1)),X1180),"
")),"Session Description: 
",CONCATENATE(IF(INDEX(final_duration_secondary,((WEEKDAY(Y$3,2)*2-1)+IF(Y1180="Morning",0,1)),X1180)=0,"","1. "),
INDEX(sessions_description_primary,,INDEX(plan_session_allocation,((WEEKDAY(Y$3,2)*2-1)+IF(Y1180="Morning",0,1)),X1180)),IF(INDEX(final_duration_secondary,((WEEKDAY(Y$3,2)*2-1)+IF(Y1180="Morning",0,1)),X1180)=0,"","
2. "),
IF(INDEX(final_duration_secondary,((WEEKDAY(Y$3,2)*2-1)+IF(Y1180="Morning",0,1)),X1180)=0,"",INDEX(sessions_description_secondary,,INDEX(plan_session_allocation,((WEEKDAY(Y$3,2)*2-1)+IF(Y1180="Morning",0,1)),X1180))),IF(INDEX(final_duration_tertiary,((WEEKDAY(Y$3,2)*2-1)+IF(Y1180="Morning",0,1)),X1180)=0,"","
3. "),
IF(INDEX(final_duration_tertiary,((WEEKDAY(Y$3,2)*2-1)+IF(Y1180="Morning",0,1)),X1180)="","",INDEX(sessions_description_tertiary,,INDEX(plan_session_allocation,((WEEKDAY(Y$3,2)*2-1)+IF(Y1180="Morning",0,1)),X1180))),
IF(INDEX(display_nutrition_description,((WEEKDAY(Y$3,2)*2-1)+IF(Y1180="Morning",0,1)),X1180)="","",
CONCATENATE("
Meal Plan: ", INDEX(sessions_nutrition,,INDEX(plan_session_allocation,((WEEKDAY(Y$3,2)*2-1)+IF(Y1180="Morning",0,1)),X1180)), "
", INDEX(display_nutrition_description,((WEEKDAY(Y$3,2)*2-1)+IF(Y1180="Morning",0,1)),X1180)))
)),"")),"")</f>
        <v/>
      </c>
      <c r="Y1186" s="1914"/>
      <c r="Z1186" s="1914"/>
      <c r="AA1186" s="1915"/>
      <c r="AC1186" s="1913" t="str">
        <f ca="1">IF(AF1180&gt;0,CONCATENATE(IFERROR(CONCATENATE(IF(INDEX(display_intervals_breakdown,((WEEKDAY(AD$3,2)*2-1)+IF(AD1180="Morning",0,1)),AC1180)="","",CONCATENATE("Intervals/Reps Breakdown: 
",INDEX(display_intervals_breakdown,((WEEKDAY(AD$3,2)*2-1)+IF(AD1180="Morning",0,1)),AC1180),"
")),"Session Description: 
",CONCATENATE(IF(INDEX(final_duration_secondary,((WEEKDAY(AD$3,2)*2-1)+IF(AD1180="Morning",0,1)),AC1180)=0,"","1. "),
INDEX(sessions_description_primary,,INDEX(plan_session_allocation,((WEEKDAY(AD$3,2)*2-1)+IF(AD1180="Morning",0,1)),AC1180)),IF(INDEX(final_duration_secondary,((WEEKDAY(AD$3,2)*2-1)+IF(AD1180="Morning",0,1)),AC1180)=0,"","
2. "),
IF(INDEX(final_duration_secondary,((WEEKDAY(AD$3,2)*2-1)+IF(AD1180="Morning",0,1)),AC1180)=0,"",INDEX(sessions_description_secondary,,INDEX(plan_session_allocation,((WEEKDAY(AD$3,2)*2-1)+IF(AD1180="Morning",0,1)),AC1180))),IF(INDEX(final_duration_tertiary,((WEEKDAY(AD$3,2)*2-1)+IF(AD1180="Morning",0,1)),AC1180)=0,"","
3. "),
IF(INDEX(final_duration_tertiary,((WEEKDAY(AD$3,2)*2-1)+IF(AD1180="Morning",0,1)),AC1180)="","",INDEX(sessions_description_tertiary,,INDEX(plan_session_allocation,((WEEKDAY(AD$3,2)*2-1)+IF(AD1180="Morning",0,1)),AC1180))),
IF(INDEX(display_nutrition_description,((WEEKDAY(AD$3,2)*2-1)+IF(AD1180="Morning",0,1)),AC1180)="","",
CONCATENATE("
Meal Plan: ", INDEX(sessions_nutrition,,INDEX(plan_session_allocation,((WEEKDAY(AD$3,2)*2-1)+IF(AD1180="Morning",0,1)),AC1180)), "
", INDEX(display_nutrition_description,((WEEKDAY(AD$3,2)*2-1)+IF(AD1180="Morning",0,1)),AC1180)))
)),"")),"")</f>
        <v/>
      </c>
      <c r="AD1186" s="1914"/>
      <c r="AE1186" s="1914"/>
      <c r="AF1186" s="1915"/>
      <c r="AH1186" s="1913" t="str">
        <f ca="1">IF(AK1180&gt;0,CONCATENATE(IFERROR(CONCATENATE(IF(INDEX(display_intervals_breakdown,((WEEKDAY(AI$3,2)*2-1)+IF(AI1180="Morning",0,1)),AH1180)="","",CONCATENATE("Intervals/Reps Breakdown: 
",INDEX(display_intervals_breakdown,((WEEKDAY(AI$3,2)*2-1)+IF(AI1180="Morning",0,1)),AH1180),"
")),"Session Description: 
",CONCATENATE(IF(INDEX(final_duration_secondary,((WEEKDAY(AI$3,2)*2-1)+IF(AI1180="Morning",0,1)),AH1180)=0,"","1. "),
INDEX(sessions_description_primary,,INDEX(plan_session_allocation,((WEEKDAY(AI$3,2)*2-1)+IF(AI1180="Morning",0,1)),AH1180)),IF(INDEX(final_duration_secondary,((WEEKDAY(AI$3,2)*2-1)+IF(AI1180="Morning",0,1)),AH1180)=0,"","
2. "),
IF(INDEX(final_duration_secondary,((WEEKDAY(AI$3,2)*2-1)+IF(AI1180="Morning",0,1)),AH1180)=0,"",INDEX(sessions_description_secondary,,INDEX(plan_session_allocation,((WEEKDAY(AI$3,2)*2-1)+IF(AI1180="Morning",0,1)),AH1180))),IF(INDEX(final_duration_tertiary,((WEEKDAY(AI$3,2)*2-1)+IF(AI1180="Morning",0,1)),AH1180)=0,"","
3. "),
IF(INDEX(final_duration_tertiary,((WEEKDAY(AI$3,2)*2-1)+IF(AI1180="Morning",0,1)),AH1180)="","",INDEX(sessions_description_tertiary,,INDEX(plan_session_allocation,((WEEKDAY(AI$3,2)*2-1)+IF(AI1180="Morning",0,1)),AH1180))),
IF(INDEX(display_nutrition_description,((WEEKDAY(AI$3,2)*2-1)+IF(AI1180="Morning",0,1)),AH1180)="","",
CONCATENATE("
Meal Plan: ", INDEX(sessions_nutrition,,INDEX(plan_session_allocation,((WEEKDAY(AI$3,2)*2-1)+IF(AI1180="Morning",0,1)),AH1180)), "
", INDEX(display_nutrition_description,((WEEKDAY(AI$3,2)*2-1)+IF(AI1180="Morning",0,1)),AH1180)))
)),"")),"")</f>
        <v/>
      </c>
      <c r="AI1186" s="1914"/>
      <c r="AJ1186" s="1914"/>
      <c r="AK1186" s="1915"/>
    </row>
    <row r="1187" spans="2:38" s="180" customFormat="1" x14ac:dyDescent="0.45">
      <c r="B1187" s="1942"/>
      <c r="C1187" s="1945"/>
      <c r="D1187" s="1916"/>
      <c r="E1187" s="1917"/>
      <c r="F1187" s="1917"/>
      <c r="G1187" s="1918"/>
      <c r="I1187" s="1916"/>
      <c r="J1187" s="1917"/>
      <c r="K1187" s="1917"/>
      <c r="L1187" s="1918"/>
      <c r="N1187" s="1916"/>
      <c r="O1187" s="1917"/>
      <c r="P1187" s="1917"/>
      <c r="Q1187" s="1918"/>
      <c r="S1187" s="1916"/>
      <c r="T1187" s="1917"/>
      <c r="U1187" s="1917"/>
      <c r="V1187" s="1918"/>
      <c r="X1187" s="1916"/>
      <c r="Y1187" s="1917"/>
      <c r="Z1187" s="1917"/>
      <c r="AA1187" s="1918"/>
      <c r="AC1187" s="1916"/>
      <c r="AD1187" s="1917"/>
      <c r="AE1187" s="1917"/>
      <c r="AF1187" s="1918"/>
      <c r="AH1187" s="1916"/>
      <c r="AI1187" s="1917"/>
      <c r="AJ1187" s="1917"/>
      <c r="AK1187" s="1918"/>
    </row>
    <row r="1188" spans="2:38" s="180" customFormat="1" x14ac:dyDescent="0.45">
      <c r="B1188" s="1942"/>
      <c r="C1188" s="1945"/>
      <c r="D1188" s="1916"/>
      <c r="E1188" s="1917"/>
      <c r="F1188" s="1917"/>
      <c r="G1188" s="1918"/>
      <c r="I1188" s="1916"/>
      <c r="J1188" s="1917"/>
      <c r="K1188" s="1917"/>
      <c r="L1188" s="1918"/>
      <c r="N1188" s="1916"/>
      <c r="O1188" s="1917"/>
      <c r="P1188" s="1917"/>
      <c r="Q1188" s="1918"/>
      <c r="S1188" s="1916"/>
      <c r="T1188" s="1917"/>
      <c r="U1188" s="1917"/>
      <c r="V1188" s="1918"/>
      <c r="X1188" s="1916"/>
      <c r="Y1188" s="1917"/>
      <c r="Z1188" s="1917"/>
      <c r="AA1188" s="1918"/>
      <c r="AC1188" s="1916"/>
      <c r="AD1188" s="1917"/>
      <c r="AE1188" s="1917"/>
      <c r="AF1188" s="1918"/>
      <c r="AH1188" s="1916"/>
      <c r="AI1188" s="1917"/>
      <c r="AJ1188" s="1917"/>
      <c r="AK1188" s="1918"/>
    </row>
    <row r="1189" spans="2:38" s="180" customFormat="1" x14ac:dyDescent="0.45">
      <c r="B1189" s="1942"/>
      <c r="C1189" s="1945"/>
      <c r="D1189" s="1916"/>
      <c r="E1189" s="1917"/>
      <c r="F1189" s="1917"/>
      <c r="G1189" s="1918"/>
      <c r="I1189" s="1916"/>
      <c r="J1189" s="1917"/>
      <c r="K1189" s="1917"/>
      <c r="L1189" s="1918"/>
      <c r="N1189" s="1916"/>
      <c r="O1189" s="1917"/>
      <c r="P1189" s="1917"/>
      <c r="Q1189" s="1918"/>
      <c r="S1189" s="1916"/>
      <c r="T1189" s="1917"/>
      <c r="U1189" s="1917"/>
      <c r="V1189" s="1918"/>
      <c r="X1189" s="1916"/>
      <c r="Y1189" s="1917"/>
      <c r="Z1189" s="1917"/>
      <c r="AA1189" s="1918"/>
      <c r="AC1189" s="1916"/>
      <c r="AD1189" s="1917"/>
      <c r="AE1189" s="1917"/>
      <c r="AF1189" s="1918"/>
      <c r="AH1189" s="1916"/>
      <c r="AI1189" s="1917"/>
      <c r="AJ1189" s="1917"/>
      <c r="AK1189" s="1918"/>
    </row>
    <row r="1190" spans="2:38" s="180" customFormat="1" x14ac:dyDescent="0.45">
      <c r="B1190" s="1942"/>
      <c r="C1190" s="1945"/>
      <c r="D1190" s="1916"/>
      <c r="E1190" s="1917"/>
      <c r="F1190" s="1917"/>
      <c r="G1190" s="1918"/>
      <c r="I1190" s="1916"/>
      <c r="J1190" s="1917"/>
      <c r="K1190" s="1917"/>
      <c r="L1190" s="1918"/>
      <c r="N1190" s="1916"/>
      <c r="O1190" s="1917"/>
      <c r="P1190" s="1917"/>
      <c r="Q1190" s="1918"/>
      <c r="S1190" s="1916"/>
      <c r="T1190" s="1917"/>
      <c r="U1190" s="1917"/>
      <c r="V1190" s="1918"/>
      <c r="X1190" s="1916"/>
      <c r="Y1190" s="1917"/>
      <c r="Z1190" s="1917"/>
      <c r="AA1190" s="1918"/>
      <c r="AC1190" s="1916"/>
      <c r="AD1190" s="1917"/>
      <c r="AE1190" s="1917"/>
      <c r="AF1190" s="1918"/>
      <c r="AH1190" s="1916"/>
      <c r="AI1190" s="1917"/>
      <c r="AJ1190" s="1917"/>
      <c r="AK1190" s="1918"/>
    </row>
    <row r="1191" spans="2:38" s="180" customFormat="1" x14ac:dyDescent="0.45">
      <c r="B1191" s="1942"/>
      <c r="C1191" s="1945"/>
      <c r="D1191" s="1916"/>
      <c r="E1191" s="1917"/>
      <c r="F1191" s="1917"/>
      <c r="G1191" s="1918"/>
      <c r="I1191" s="1916"/>
      <c r="J1191" s="1917"/>
      <c r="K1191" s="1917"/>
      <c r="L1191" s="1918"/>
      <c r="N1191" s="1916"/>
      <c r="O1191" s="1917"/>
      <c r="P1191" s="1917"/>
      <c r="Q1191" s="1918"/>
      <c r="S1191" s="1916"/>
      <c r="T1191" s="1917"/>
      <c r="U1191" s="1917"/>
      <c r="V1191" s="1918"/>
      <c r="X1191" s="1916"/>
      <c r="Y1191" s="1917"/>
      <c r="Z1191" s="1917"/>
      <c r="AA1191" s="1918"/>
      <c r="AC1191" s="1916"/>
      <c r="AD1191" s="1917"/>
      <c r="AE1191" s="1917"/>
      <c r="AF1191" s="1918"/>
      <c r="AH1191" s="1916"/>
      <c r="AI1191" s="1917"/>
      <c r="AJ1191" s="1917"/>
      <c r="AK1191" s="1918"/>
    </row>
    <row r="1192" spans="2:38" s="180" customFormat="1" x14ac:dyDescent="0.45">
      <c r="B1192" s="1942"/>
      <c r="C1192" s="1945"/>
      <c r="D1192" s="1916"/>
      <c r="E1192" s="1917"/>
      <c r="F1192" s="1917"/>
      <c r="G1192" s="1918"/>
      <c r="I1192" s="1916"/>
      <c r="J1192" s="1917"/>
      <c r="K1192" s="1917"/>
      <c r="L1192" s="1918"/>
      <c r="N1192" s="1916"/>
      <c r="O1192" s="1917"/>
      <c r="P1192" s="1917"/>
      <c r="Q1192" s="1918"/>
      <c r="S1192" s="1916"/>
      <c r="T1192" s="1917"/>
      <c r="U1192" s="1917"/>
      <c r="V1192" s="1918"/>
      <c r="X1192" s="1916"/>
      <c r="Y1192" s="1917"/>
      <c r="Z1192" s="1917"/>
      <c r="AA1192" s="1918"/>
      <c r="AC1192" s="1916"/>
      <c r="AD1192" s="1917"/>
      <c r="AE1192" s="1917"/>
      <c r="AF1192" s="1918"/>
      <c r="AH1192" s="1916"/>
      <c r="AI1192" s="1917"/>
      <c r="AJ1192" s="1917"/>
      <c r="AK1192" s="1918"/>
    </row>
    <row r="1193" spans="2:38" s="180" customFormat="1" ht="15.75" customHeight="1" x14ac:dyDescent="0.45">
      <c r="B1193" s="1942"/>
      <c r="C1193" s="1945"/>
      <c r="D1193" s="1916"/>
      <c r="E1193" s="1917"/>
      <c r="F1193" s="1917"/>
      <c r="G1193" s="1918"/>
      <c r="I1193" s="1916"/>
      <c r="J1193" s="1917"/>
      <c r="K1193" s="1917"/>
      <c r="L1193" s="1918"/>
      <c r="N1193" s="1916"/>
      <c r="O1193" s="1917"/>
      <c r="P1193" s="1917"/>
      <c r="Q1193" s="1918"/>
      <c r="S1193" s="1916"/>
      <c r="T1193" s="1917"/>
      <c r="U1193" s="1917"/>
      <c r="V1193" s="1918"/>
      <c r="X1193" s="1916"/>
      <c r="Y1193" s="1917"/>
      <c r="Z1193" s="1917"/>
      <c r="AA1193" s="1918"/>
      <c r="AC1193" s="1916"/>
      <c r="AD1193" s="1917"/>
      <c r="AE1193" s="1917"/>
      <c r="AF1193" s="1918"/>
      <c r="AH1193" s="1916"/>
      <c r="AI1193" s="1917"/>
      <c r="AJ1193" s="1917"/>
      <c r="AK1193" s="1918"/>
    </row>
    <row r="1194" spans="2:38" s="180" customFormat="1" x14ac:dyDescent="0.45">
      <c r="B1194" s="1942"/>
      <c r="C1194" s="1945"/>
      <c r="D1194" s="1916"/>
      <c r="E1194" s="1917"/>
      <c r="F1194" s="1917"/>
      <c r="G1194" s="1918"/>
      <c r="I1194" s="1916"/>
      <c r="J1194" s="1917"/>
      <c r="K1194" s="1917"/>
      <c r="L1194" s="1918"/>
      <c r="N1194" s="1916"/>
      <c r="O1194" s="1917"/>
      <c r="P1194" s="1917"/>
      <c r="Q1194" s="1918"/>
      <c r="S1194" s="1916"/>
      <c r="T1194" s="1917"/>
      <c r="U1194" s="1917"/>
      <c r="V1194" s="1918"/>
      <c r="X1194" s="1916"/>
      <c r="Y1194" s="1917"/>
      <c r="Z1194" s="1917"/>
      <c r="AA1194" s="1918"/>
      <c r="AC1194" s="1916"/>
      <c r="AD1194" s="1917"/>
      <c r="AE1194" s="1917"/>
      <c r="AF1194" s="1918"/>
      <c r="AH1194" s="1916"/>
      <c r="AI1194" s="1917"/>
      <c r="AJ1194" s="1917"/>
      <c r="AK1194" s="1918"/>
    </row>
    <row r="1195" spans="2:38" s="180" customFormat="1" x14ac:dyDescent="0.45">
      <c r="B1195" s="1942"/>
      <c r="C1195" s="1945"/>
      <c r="D1195" s="1916"/>
      <c r="E1195" s="1917"/>
      <c r="F1195" s="1917"/>
      <c r="G1195" s="1918"/>
      <c r="I1195" s="1916"/>
      <c r="J1195" s="1917"/>
      <c r="K1195" s="1917"/>
      <c r="L1195" s="1918"/>
      <c r="N1195" s="1916"/>
      <c r="O1195" s="1917"/>
      <c r="P1195" s="1917"/>
      <c r="Q1195" s="1918"/>
      <c r="S1195" s="1916"/>
      <c r="T1195" s="1917"/>
      <c r="U1195" s="1917"/>
      <c r="V1195" s="1918"/>
      <c r="X1195" s="1916"/>
      <c r="Y1195" s="1917"/>
      <c r="Z1195" s="1917"/>
      <c r="AA1195" s="1918"/>
      <c r="AC1195" s="1916"/>
      <c r="AD1195" s="1917"/>
      <c r="AE1195" s="1917"/>
      <c r="AF1195" s="1918"/>
      <c r="AH1195" s="1916"/>
      <c r="AI1195" s="1917"/>
      <c r="AJ1195" s="1917"/>
      <c r="AK1195" s="1918"/>
    </row>
    <row r="1196" spans="2:38" s="180" customFormat="1" x14ac:dyDescent="0.45">
      <c r="B1196" s="1942"/>
      <c r="C1196" s="1945"/>
      <c r="D1196" s="1916"/>
      <c r="E1196" s="1917"/>
      <c r="F1196" s="1917"/>
      <c r="G1196" s="1918"/>
      <c r="I1196" s="1916"/>
      <c r="J1196" s="1917"/>
      <c r="K1196" s="1917"/>
      <c r="L1196" s="1918"/>
      <c r="N1196" s="1916"/>
      <c r="O1196" s="1917"/>
      <c r="P1196" s="1917"/>
      <c r="Q1196" s="1918"/>
      <c r="S1196" s="1916"/>
      <c r="T1196" s="1917"/>
      <c r="U1196" s="1917"/>
      <c r="V1196" s="1918"/>
      <c r="X1196" s="1916"/>
      <c r="Y1196" s="1917"/>
      <c r="Z1196" s="1917"/>
      <c r="AA1196" s="1918"/>
      <c r="AC1196" s="1916"/>
      <c r="AD1196" s="1917"/>
      <c r="AE1196" s="1917"/>
      <c r="AF1196" s="1918"/>
      <c r="AH1196" s="1916"/>
      <c r="AI1196" s="1917"/>
      <c r="AJ1196" s="1917"/>
      <c r="AK1196" s="1918"/>
    </row>
    <row r="1197" spans="2:38" s="180" customFormat="1" x14ac:dyDescent="0.45">
      <c r="B1197" s="1942"/>
      <c r="C1197" s="1945"/>
      <c r="D1197" s="1916"/>
      <c r="E1197" s="1917"/>
      <c r="F1197" s="1917"/>
      <c r="G1197" s="1918"/>
      <c r="I1197" s="1916"/>
      <c r="J1197" s="1917"/>
      <c r="K1197" s="1917"/>
      <c r="L1197" s="1918"/>
      <c r="N1197" s="1916"/>
      <c r="O1197" s="1917"/>
      <c r="P1197" s="1917"/>
      <c r="Q1197" s="1918"/>
      <c r="S1197" s="1916"/>
      <c r="T1197" s="1917"/>
      <c r="U1197" s="1917"/>
      <c r="V1197" s="1918"/>
      <c r="X1197" s="1916"/>
      <c r="Y1197" s="1917"/>
      <c r="Z1197" s="1917"/>
      <c r="AA1197" s="1918"/>
      <c r="AC1197" s="1916"/>
      <c r="AD1197" s="1917"/>
      <c r="AE1197" s="1917"/>
      <c r="AF1197" s="1918"/>
      <c r="AH1197" s="1916"/>
      <c r="AI1197" s="1917"/>
      <c r="AJ1197" s="1917"/>
      <c r="AK1197" s="1918"/>
    </row>
    <row r="1198" spans="2:38" s="180" customFormat="1" x14ac:dyDescent="0.45">
      <c r="B1198" s="1942"/>
      <c r="C1198" s="1945"/>
      <c r="D1198" s="1916"/>
      <c r="E1198" s="1917"/>
      <c r="F1198" s="1917"/>
      <c r="G1198" s="1918"/>
      <c r="I1198" s="1916"/>
      <c r="J1198" s="1917"/>
      <c r="K1198" s="1917"/>
      <c r="L1198" s="1918"/>
      <c r="N1198" s="1916"/>
      <c r="O1198" s="1917"/>
      <c r="P1198" s="1917"/>
      <c r="Q1198" s="1918"/>
      <c r="S1198" s="1916"/>
      <c r="T1198" s="1917"/>
      <c r="U1198" s="1917"/>
      <c r="V1198" s="1918"/>
      <c r="X1198" s="1916"/>
      <c r="Y1198" s="1917"/>
      <c r="Z1198" s="1917"/>
      <c r="AA1198" s="1918"/>
      <c r="AC1198" s="1916"/>
      <c r="AD1198" s="1917"/>
      <c r="AE1198" s="1917"/>
      <c r="AF1198" s="1918"/>
      <c r="AH1198" s="1916"/>
      <c r="AI1198" s="1917"/>
      <c r="AJ1198" s="1917"/>
      <c r="AK1198" s="1918"/>
    </row>
    <row r="1199" spans="2:38" s="180" customFormat="1" x14ac:dyDescent="0.45">
      <c r="B1199" s="1942"/>
      <c r="C1199" s="1945"/>
      <c r="D1199" s="1919"/>
      <c r="E1199" s="1920"/>
      <c r="F1199" s="1920"/>
      <c r="G1199" s="1921"/>
      <c r="I1199" s="1919"/>
      <c r="J1199" s="1920"/>
      <c r="K1199" s="1920"/>
      <c r="L1199" s="1921"/>
      <c r="N1199" s="1919"/>
      <c r="O1199" s="1920"/>
      <c r="P1199" s="1920"/>
      <c r="Q1199" s="1921"/>
      <c r="S1199" s="1919"/>
      <c r="T1199" s="1920"/>
      <c r="U1199" s="1920"/>
      <c r="V1199" s="1921"/>
      <c r="X1199" s="1919"/>
      <c r="Y1199" s="1920"/>
      <c r="Z1199" s="1920"/>
      <c r="AA1199" s="1921"/>
      <c r="AC1199" s="1919"/>
      <c r="AD1199" s="1920"/>
      <c r="AE1199" s="1920"/>
      <c r="AF1199" s="1921"/>
      <c r="AH1199" s="1919"/>
      <c r="AI1199" s="1920"/>
      <c r="AJ1199" s="1920"/>
      <c r="AK1199" s="1921"/>
    </row>
    <row r="1200" spans="2:38" s="180" customFormat="1" ht="15" customHeight="1" x14ac:dyDescent="0.45">
      <c r="B1200" s="1942"/>
      <c r="C1200" s="1945"/>
      <c r="D1200" s="1913" t="str">
        <f ca="1">IF(G1180&gt;0,CONCATENATE("Session Aim: 
", CONCATENATE(IF(INDEX(final_duration_secondary,((WEEKDAY(E$3,2)*2-1)+IF(E1180="Morning",0,1)),D1180)=0, "", "1. "),
INDEX(sessions_aim_primary,, INDEX(plan_session_allocation,((WEEKDAY(E$3,2)*2-1)+IF(E1180="Morning",0,1)),D1180)), IF(INDEX(final_duration_secondary,((WEEKDAY(E$3,2)*2-1)+IF(E1180="Morning",0,1)),D1180)=0, "", "
2. "),
IF(INDEX(final_duration_secondary,((WEEKDAY(E$3,2)*2-1)+IF(E1180="Morning",0,1)),D1180)=0, "", INDEX(sessions_aim_secondary,, INDEX(plan_session_allocation,((WEEKDAY(E$3,2)*2-1)+IF(E1180="Morning",0,1)),D1180))), IF(INDEX(final_duration_tertiary,((WEEKDAY(E$3,2)*2-1)+IF(E1180="Morning",0,1)),D1180)=0, "", "
3. "),
IF(INDEX(final_duration_tertiary,((WEEKDAY(E$3,2)*2-1)+IF(E1180="Morning",0,1)),D1180)=0, "", INDEX(sessions_aim_tertiary,, INDEX(plan_session_allocation,((WEEKDAY(E$3,2)*2-1)+IF(E1180="Morning",0,1)),D1180))),
IF(INDEX(display_nutrition_description,((WEEKDAY(E$3,2)*2-1)+IF(E1180="Morning",0,1)),D1180)="","",
CONCATENATE("
Nutrition Aim:
", INDEX(sessions_aim_nutrition,,INDEX(plan_session_allocation,((WEEKDAY(E$3,2)*2-1)+IF(E1180="Morning",0,1)),D1180))
))
)),"")</f>
        <v/>
      </c>
      <c r="E1200" s="1914"/>
      <c r="F1200" s="1914"/>
      <c r="G1200" s="1915"/>
      <c r="I1200" s="1913" t="str">
        <f ca="1">IF(L1180&gt;0,CONCATENATE("Session Aim: 
", CONCATENATE(IF(INDEX(final_duration_secondary,((WEEKDAY(J$3,2)*2-1)+IF(J1180="Morning",0,1)),I1180)=0, "", "1. "),
INDEX(sessions_aim_primary,, INDEX(plan_session_allocation,((WEEKDAY(J$3,2)*2-1)+IF(J1180="Morning",0,1)),I1180)), IF(INDEX(final_duration_secondary,((WEEKDAY(J$3,2)*2-1)+IF(J1180="Morning",0,1)),I1180)=0, "", "
2. "),
IF(INDEX(final_duration_secondary,((WEEKDAY(J$3,2)*2-1)+IF(J1180="Morning",0,1)),I1180)=0, "", INDEX(sessions_aim_secondary,, INDEX(plan_session_allocation,((WEEKDAY(J$3,2)*2-1)+IF(J1180="Morning",0,1)),I1180))), IF(INDEX(final_duration_tertiary,((WEEKDAY(J$3,2)*2-1)+IF(J1180="Morning",0,1)),I1180)=0, "", "
3. "),
IF(INDEX(final_duration_tertiary,((WEEKDAY(J$3,2)*2-1)+IF(J1180="Morning",0,1)),I1180)=0, "", INDEX(sessions_aim_tertiary,, INDEX(plan_session_allocation,((WEEKDAY(J$3,2)*2-1)+IF(J1180="Morning",0,1)),I1180))),
IF(INDEX(display_nutrition_description,((WEEKDAY(J$3,2)*2-1)+IF(J1180="Morning",0,1)),I1180)="","",
CONCATENATE("
Nutrition Aim:
", INDEX(sessions_aim_nutrition,,INDEX(plan_session_allocation,((WEEKDAY(J$3,2)*2-1)+IF(J1180="Morning",0,1)),I1180))
))
)),"")</f>
        <v/>
      </c>
      <c r="J1200" s="1914"/>
      <c r="K1200" s="1914"/>
      <c r="L1200" s="1915"/>
      <c r="N1200" s="1913" t="str">
        <f ca="1">IF(Q1180&gt;0,CONCATENATE("Session Aim: 
", CONCATENATE(IF(INDEX(final_duration_secondary,((WEEKDAY(O$3,2)*2-1)+IF(O1180="Morning",0,1)),N1180)=0, "", "1. "),
INDEX(sessions_aim_primary,, INDEX(plan_session_allocation,((WEEKDAY(O$3,2)*2-1)+IF(O1180="Morning",0,1)),N1180)), IF(INDEX(final_duration_secondary,((WEEKDAY(O$3,2)*2-1)+IF(O1180="Morning",0,1)),N1180)=0, "", "
2. "),
IF(INDEX(final_duration_secondary,((WEEKDAY(O$3,2)*2-1)+IF(O1180="Morning",0,1)),N1180)=0, "", INDEX(sessions_aim_secondary,, INDEX(plan_session_allocation,((WEEKDAY(O$3,2)*2-1)+IF(O1180="Morning",0,1)),N1180))), IF(INDEX(final_duration_tertiary,((WEEKDAY(O$3,2)*2-1)+IF(O1180="Morning",0,1)),N1180)=0, "", "
3. "),
IF(INDEX(final_duration_tertiary,((WEEKDAY(O$3,2)*2-1)+IF(O1180="Morning",0,1)),N1180)=0, "", INDEX(sessions_aim_tertiary,, INDEX(plan_session_allocation,((WEEKDAY(O$3,2)*2-1)+IF(O1180="Morning",0,1)),N1180))),
IF(INDEX(display_nutrition_description,((WEEKDAY(O$3,2)*2-1)+IF(O1180="Morning",0,1)),N1180)="","",
CONCATENATE("
Nutrition Aim:
", INDEX(sessions_aim_nutrition,,INDEX(plan_session_allocation,((WEEKDAY(O$3,2)*2-1)+IF(O1180="Morning",0,1)),N1180))
))
)),"")</f>
        <v/>
      </c>
      <c r="O1200" s="1914"/>
      <c r="P1200" s="1914"/>
      <c r="Q1200" s="1915"/>
      <c r="S1200" s="1913" t="str">
        <f ca="1">IF(V1180&gt;0,CONCATENATE("Session Aim: 
", CONCATENATE(IF(INDEX(final_duration_secondary,((WEEKDAY(T$3,2)*2-1)+IF(T1180="Morning",0,1)),S1180)=0, "", "1. "),
INDEX(sessions_aim_primary,, INDEX(plan_session_allocation,((WEEKDAY(T$3,2)*2-1)+IF(T1180="Morning",0,1)),S1180)), IF(INDEX(final_duration_secondary,((WEEKDAY(T$3,2)*2-1)+IF(T1180="Morning",0,1)),S1180)=0, "", "
2. "),
IF(INDEX(final_duration_secondary,((WEEKDAY(T$3,2)*2-1)+IF(T1180="Morning",0,1)),S1180)=0, "", INDEX(sessions_aim_secondary,, INDEX(plan_session_allocation,((WEEKDAY(T$3,2)*2-1)+IF(T1180="Morning",0,1)),S1180))), IF(INDEX(final_duration_tertiary,((WEEKDAY(T$3,2)*2-1)+IF(T1180="Morning",0,1)),S1180)=0, "", "
3. "),
IF(INDEX(final_duration_tertiary,((WEEKDAY(T$3,2)*2-1)+IF(T1180="Morning",0,1)),S1180)=0, "", INDEX(sessions_aim_tertiary,, INDEX(plan_session_allocation,((WEEKDAY(T$3,2)*2-1)+IF(T1180="Morning",0,1)),S1180))),
IF(INDEX(display_nutrition_description,((WEEKDAY(T$3,2)*2-1)+IF(T1180="Morning",0,1)),S1180)="","",
CONCATENATE("
Nutrition Aim:
", INDEX(sessions_aim_nutrition,,INDEX(plan_session_allocation,((WEEKDAY(T$3,2)*2-1)+IF(T1180="Morning",0,1)),S1180))
))
)),"")</f>
        <v/>
      </c>
      <c r="T1200" s="1914"/>
      <c r="U1200" s="1914"/>
      <c r="V1200" s="1915"/>
      <c r="X1200" s="1913" t="str">
        <f ca="1">IF(AA1180&gt;0,CONCATENATE("Session Aim: 
", CONCATENATE(IF(INDEX(final_duration_secondary,((WEEKDAY(Y$3,2)*2-1)+IF(Y1180="Morning",0,1)),X1180)=0, "", "1. "),
INDEX(sessions_aim_primary,, INDEX(plan_session_allocation,((WEEKDAY(Y$3,2)*2-1)+IF(Y1180="Morning",0,1)),X1180)), IF(INDEX(final_duration_secondary,((WEEKDAY(Y$3,2)*2-1)+IF(Y1180="Morning",0,1)),X1180)=0, "", "
2. "),
IF(INDEX(final_duration_secondary,((WEEKDAY(Y$3,2)*2-1)+IF(Y1180="Morning",0,1)),X1180)=0, "", INDEX(sessions_aim_secondary,, INDEX(plan_session_allocation,((WEEKDAY(Y$3,2)*2-1)+IF(Y1180="Morning",0,1)),X1180))), IF(INDEX(final_duration_tertiary,((WEEKDAY(Y$3,2)*2-1)+IF(Y1180="Morning",0,1)),X1180)=0, "", "
3. "),
IF(INDEX(final_duration_tertiary,((WEEKDAY(Y$3,2)*2-1)+IF(Y1180="Morning",0,1)),X1180)=0, "", INDEX(sessions_aim_tertiary,, INDEX(plan_session_allocation,((WEEKDAY(Y$3,2)*2-1)+IF(Y1180="Morning",0,1)),X1180))),
IF(INDEX(display_nutrition_description,((WEEKDAY(Y$3,2)*2-1)+IF(Y1180="Morning",0,1)),X1180)="","",
CONCATENATE("
Nutrition Aim:
", INDEX(sessions_aim_nutrition,,INDEX(plan_session_allocation,((WEEKDAY(Y$3,2)*2-1)+IF(Y1180="Morning",0,1)),X1180))
))
)),"")</f>
        <v/>
      </c>
      <c r="Y1200" s="1914"/>
      <c r="Z1200" s="1914"/>
      <c r="AA1200" s="1915"/>
      <c r="AC1200" s="1913" t="str">
        <f ca="1">IF(AF1180&gt;0,CONCATENATE("Session Aim: 
", CONCATENATE(IF(INDEX(final_duration_secondary,((WEEKDAY(AD$3,2)*2-1)+IF(AD1180="Morning",0,1)),AC1180)=0, "", "1. "),
INDEX(sessions_aim_primary,, INDEX(plan_session_allocation,((WEEKDAY(AD$3,2)*2-1)+IF(AD1180="Morning",0,1)),AC1180)), IF(INDEX(final_duration_secondary,((WEEKDAY(AD$3,2)*2-1)+IF(AD1180="Morning",0,1)),AC1180)=0, "", "
2. "),
IF(INDEX(final_duration_secondary,((WEEKDAY(AD$3,2)*2-1)+IF(AD1180="Morning",0,1)),AC1180)=0, "", INDEX(sessions_aim_secondary,, INDEX(plan_session_allocation,((WEEKDAY(AD$3,2)*2-1)+IF(AD1180="Morning",0,1)),AC1180))), IF(INDEX(final_duration_tertiary,((WEEKDAY(AD$3,2)*2-1)+IF(AD1180="Morning",0,1)),AC1180)=0, "", "
3. "),
IF(INDEX(final_duration_tertiary,((WEEKDAY(AD$3,2)*2-1)+IF(AD1180="Morning",0,1)),AC1180)=0, "", INDEX(sessions_aim_tertiary,, INDEX(plan_session_allocation,((WEEKDAY(AD$3,2)*2-1)+IF(AD1180="Morning",0,1)),AC1180))),
IF(INDEX(display_nutrition_description,((WEEKDAY(AD$3,2)*2-1)+IF(AD1180="Morning",0,1)),AC1180)="","",
CONCATENATE("
Nutrition Aim:
", INDEX(sessions_aim_nutrition,,INDEX(plan_session_allocation,((WEEKDAY(AD$3,2)*2-1)+IF(AD1180="Morning",0,1)),AC1180))
))
)),"")</f>
        <v/>
      </c>
      <c r="AD1200" s="1914"/>
      <c r="AE1200" s="1914"/>
      <c r="AF1200" s="1915"/>
      <c r="AH1200" s="1913" t="str">
        <f ca="1">IF(AK1180&gt;0,CONCATENATE("Session Aim: 
", CONCATENATE(IF(INDEX(final_duration_secondary,((WEEKDAY(AI$3,2)*2-1)+IF(AI1180="Morning",0,1)),AH1180)=0, "", "1. "),
INDEX(sessions_aim_primary,, INDEX(plan_session_allocation,((WEEKDAY(AI$3,2)*2-1)+IF(AI1180="Morning",0,1)),AH1180)), IF(INDEX(final_duration_secondary,((WEEKDAY(AI$3,2)*2-1)+IF(AI1180="Morning",0,1)),AH1180)=0, "", "
2. "),
IF(INDEX(final_duration_secondary,((WEEKDAY(AI$3,2)*2-1)+IF(AI1180="Morning",0,1)),AH1180)=0, "", INDEX(sessions_aim_secondary,, INDEX(plan_session_allocation,((WEEKDAY(AI$3,2)*2-1)+IF(AI1180="Morning",0,1)),AH1180))), IF(INDEX(final_duration_tertiary,((WEEKDAY(AI$3,2)*2-1)+IF(AI1180="Morning",0,1)),AH1180)=0, "", "
3. "),
IF(INDEX(final_duration_tertiary,((WEEKDAY(AI$3,2)*2-1)+IF(AI1180="Morning",0,1)),AH1180)=0, "", INDEX(sessions_aim_tertiary,, INDEX(plan_session_allocation,((WEEKDAY(AI$3,2)*2-1)+IF(AI1180="Morning",0,1)),AH1180))),
IF(INDEX(display_nutrition_description,((WEEKDAY(AI$3,2)*2-1)+IF(AI1180="Morning",0,1)),AH1180)="","",
CONCATENATE("
Nutrition Aim:
", INDEX(sessions_aim_nutrition,,INDEX(plan_session_allocation,((WEEKDAY(AI$3,2)*2-1)+IF(AI1180="Morning",0,1)),AH1180))
))
)),"")</f>
        <v/>
      </c>
      <c r="AI1200" s="1914"/>
      <c r="AJ1200" s="1914"/>
      <c r="AK1200" s="1915"/>
    </row>
    <row r="1201" spans="2:38" s="180" customFormat="1" x14ac:dyDescent="0.45">
      <c r="B1201" s="1942"/>
      <c r="C1201" s="1945"/>
      <c r="D1201" s="1916"/>
      <c r="E1201" s="1917"/>
      <c r="F1201" s="1917"/>
      <c r="G1201" s="1918"/>
      <c r="I1201" s="1916"/>
      <c r="J1201" s="1917"/>
      <c r="K1201" s="1917"/>
      <c r="L1201" s="1918"/>
      <c r="N1201" s="1916"/>
      <c r="O1201" s="1917"/>
      <c r="P1201" s="1917"/>
      <c r="Q1201" s="1918"/>
      <c r="S1201" s="1916"/>
      <c r="T1201" s="1917"/>
      <c r="U1201" s="1917"/>
      <c r="V1201" s="1918"/>
      <c r="X1201" s="1916"/>
      <c r="Y1201" s="1917"/>
      <c r="Z1201" s="1917"/>
      <c r="AA1201" s="1918"/>
      <c r="AC1201" s="1916"/>
      <c r="AD1201" s="1917"/>
      <c r="AE1201" s="1917"/>
      <c r="AF1201" s="1918"/>
      <c r="AH1201" s="1916"/>
      <c r="AI1201" s="1917"/>
      <c r="AJ1201" s="1917"/>
      <c r="AK1201" s="1918"/>
    </row>
    <row r="1202" spans="2:38" s="180" customFormat="1" x14ac:dyDescent="0.45">
      <c r="B1202" s="1942"/>
      <c r="C1202" s="1945"/>
      <c r="D1202" s="1916"/>
      <c r="E1202" s="1917"/>
      <c r="F1202" s="1917"/>
      <c r="G1202" s="1918"/>
      <c r="I1202" s="1916"/>
      <c r="J1202" s="1917"/>
      <c r="K1202" s="1917"/>
      <c r="L1202" s="1918"/>
      <c r="N1202" s="1916"/>
      <c r="O1202" s="1917"/>
      <c r="P1202" s="1917"/>
      <c r="Q1202" s="1918"/>
      <c r="S1202" s="1916"/>
      <c r="T1202" s="1917"/>
      <c r="U1202" s="1917"/>
      <c r="V1202" s="1918"/>
      <c r="X1202" s="1916"/>
      <c r="Y1202" s="1917"/>
      <c r="Z1202" s="1917"/>
      <c r="AA1202" s="1918"/>
      <c r="AC1202" s="1916"/>
      <c r="AD1202" s="1917"/>
      <c r="AE1202" s="1917"/>
      <c r="AF1202" s="1918"/>
      <c r="AH1202" s="1916"/>
      <c r="AI1202" s="1917"/>
      <c r="AJ1202" s="1917"/>
      <c r="AK1202" s="1918"/>
    </row>
    <row r="1203" spans="2:38" s="180" customFormat="1" x14ac:dyDescent="0.45">
      <c r="B1203" s="1942"/>
      <c r="C1203" s="1945"/>
      <c r="D1203" s="1916"/>
      <c r="E1203" s="1917"/>
      <c r="F1203" s="1917"/>
      <c r="G1203" s="1918"/>
      <c r="I1203" s="1916"/>
      <c r="J1203" s="1917"/>
      <c r="K1203" s="1917"/>
      <c r="L1203" s="1918"/>
      <c r="N1203" s="1916"/>
      <c r="O1203" s="1917"/>
      <c r="P1203" s="1917"/>
      <c r="Q1203" s="1918"/>
      <c r="S1203" s="1916"/>
      <c r="T1203" s="1917"/>
      <c r="U1203" s="1917"/>
      <c r="V1203" s="1918"/>
      <c r="X1203" s="1916"/>
      <c r="Y1203" s="1917"/>
      <c r="Z1203" s="1917"/>
      <c r="AA1203" s="1918"/>
      <c r="AC1203" s="1916"/>
      <c r="AD1203" s="1917"/>
      <c r="AE1203" s="1917"/>
      <c r="AF1203" s="1918"/>
      <c r="AH1203" s="1916"/>
      <c r="AI1203" s="1917"/>
      <c r="AJ1203" s="1917"/>
      <c r="AK1203" s="1918"/>
    </row>
    <row r="1204" spans="2:38" s="180" customFormat="1" x14ac:dyDescent="0.45">
      <c r="B1204" s="1942"/>
      <c r="C1204" s="1945"/>
      <c r="D1204" s="1916"/>
      <c r="E1204" s="1917"/>
      <c r="F1204" s="1917"/>
      <c r="G1204" s="1918"/>
      <c r="I1204" s="1916"/>
      <c r="J1204" s="1917"/>
      <c r="K1204" s="1917"/>
      <c r="L1204" s="1918"/>
      <c r="N1204" s="1916"/>
      <c r="O1204" s="1917"/>
      <c r="P1204" s="1917"/>
      <c r="Q1204" s="1918"/>
      <c r="S1204" s="1916"/>
      <c r="T1204" s="1917"/>
      <c r="U1204" s="1917"/>
      <c r="V1204" s="1918"/>
      <c r="X1204" s="1916"/>
      <c r="Y1204" s="1917"/>
      <c r="Z1204" s="1917"/>
      <c r="AA1204" s="1918"/>
      <c r="AC1204" s="1916"/>
      <c r="AD1204" s="1917"/>
      <c r="AE1204" s="1917"/>
      <c r="AF1204" s="1918"/>
      <c r="AH1204" s="1916"/>
      <c r="AI1204" s="1917"/>
      <c r="AJ1204" s="1917"/>
      <c r="AK1204" s="1918"/>
    </row>
    <row r="1205" spans="2:38" s="180" customFormat="1" x14ac:dyDescent="0.45">
      <c r="B1205" s="1942"/>
      <c r="C1205" s="1945"/>
      <c r="D1205" s="1916"/>
      <c r="E1205" s="1917"/>
      <c r="F1205" s="1917"/>
      <c r="G1205" s="1918"/>
      <c r="I1205" s="1916"/>
      <c r="J1205" s="1917"/>
      <c r="K1205" s="1917"/>
      <c r="L1205" s="1918"/>
      <c r="N1205" s="1916"/>
      <c r="O1205" s="1917"/>
      <c r="P1205" s="1917"/>
      <c r="Q1205" s="1918"/>
      <c r="S1205" s="1916"/>
      <c r="T1205" s="1917"/>
      <c r="U1205" s="1917"/>
      <c r="V1205" s="1918"/>
      <c r="X1205" s="1916"/>
      <c r="Y1205" s="1917"/>
      <c r="Z1205" s="1917"/>
      <c r="AA1205" s="1918"/>
      <c r="AC1205" s="1916"/>
      <c r="AD1205" s="1917"/>
      <c r="AE1205" s="1917"/>
      <c r="AF1205" s="1918"/>
      <c r="AH1205" s="1916"/>
      <c r="AI1205" s="1917"/>
      <c r="AJ1205" s="1917"/>
      <c r="AK1205" s="1918"/>
    </row>
    <row r="1206" spans="2:38" s="180" customFormat="1" ht="14.65" thickBot="1" x14ac:dyDescent="0.5">
      <c r="B1206" s="1942"/>
      <c r="C1206" s="1945"/>
      <c r="D1206" s="1938"/>
      <c r="E1206" s="1939"/>
      <c r="F1206" s="1939"/>
      <c r="G1206" s="1940"/>
      <c r="I1206" s="1938"/>
      <c r="J1206" s="1939"/>
      <c r="K1206" s="1939"/>
      <c r="L1206" s="1940"/>
      <c r="N1206" s="1938"/>
      <c r="O1206" s="1939"/>
      <c r="P1206" s="1939"/>
      <c r="Q1206" s="1940"/>
      <c r="S1206" s="1938"/>
      <c r="T1206" s="1939"/>
      <c r="U1206" s="1939"/>
      <c r="V1206" s="1940"/>
      <c r="X1206" s="1938"/>
      <c r="Y1206" s="1939"/>
      <c r="Z1206" s="1939"/>
      <c r="AA1206" s="1940"/>
      <c r="AC1206" s="1938"/>
      <c r="AD1206" s="1939"/>
      <c r="AE1206" s="1939"/>
      <c r="AF1206" s="1940"/>
      <c r="AH1206" s="1938"/>
      <c r="AI1206" s="1939"/>
      <c r="AJ1206" s="1939"/>
      <c r="AK1206" s="1940"/>
    </row>
    <row r="1207" spans="2:38" s="176" customFormat="1" ht="15.75" customHeight="1" x14ac:dyDescent="0.45">
      <c r="B1207" s="1942"/>
      <c r="C1207" s="1945"/>
      <c r="D1207" s="1415">
        <f>$B1179</f>
        <v>22</v>
      </c>
      <c r="E1207" s="1930" t="s">
        <v>352</v>
      </c>
      <c r="F1207" s="1930"/>
      <c r="G1207" s="1414">
        <f ca="1">INDEX(final_duration_session,((WEEKDAY(E$3,2)*2-1)+IF(E1207="Morning",0,1)),$D1207)</f>
        <v>0</v>
      </c>
      <c r="H1207" s="177"/>
      <c r="I1207" s="1415">
        <f>$B1179</f>
        <v>22</v>
      </c>
      <c r="J1207" s="1930" t="s">
        <v>352</v>
      </c>
      <c r="K1207" s="1930"/>
      <c r="L1207" s="1414">
        <f ca="1">INDEX(final_duration_session,((WEEKDAY(J$3,2)*2-1)+IF(J1207="Morning",0,1)),$D1207)</f>
        <v>0</v>
      </c>
      <c r="M1207" s="177"/>
      <c r="N1207" s="1415">
        <f>$B1179</f>
        <v>22</v>
      </c>
      <c r="O1207" s="1930" t="s">
        <v>352</v>
      </c>
      <c r="P1207" s="1930"/>
      <c r="Q1207" s="1414">
        <f ca="1">INDEX(final_duration_session,((WEEKDAY(O$3,2)*2-1)+IF(O1207="Morning",0,1)),$D1207)</f>
        <v>0</v>
      </c>
      <c r="R1207" s="177"/>
      <c r="S1207" s="1415">
        <f>$B1179</f>
        <v>22</v>
      </c>
      <c r="T1207" s="1930" t="s">
        <v>352</v>
      </c>
      <c r="U1207" s="1930"/>
      <c r="V1207" s="1414">
        <f ca="1">INDEX(final_duration_session,((WEEKDAY(T$3,2)*2-1)+IF(T1207="Morning",0,1)),$D1207)</f>
        <v>0</v>
      </c>
      <c r="W1207" s="177"/>
      <c r="X1207" s="1415">
        <f>$B1179</f>
        <v>22</v>
      </c>
      <c r="Y1207" s="1930" t="s">
        <v>352</v>
      </c>
      <c r="Z1207" s="1930"/>
      <c r="AA1207" s="1414">
        <f ca="1">INDEX(final_duration_session,((WEEKDAY(Y$3,2)*2-1)+IF(Y1207="Morning",0,1)),$D1207)</f>
        <v>0</v>
      </c>
      <c r="AB1207" s="177"/>
      <c r="AC1207" s="1415">
        <f>$B1179</f>
        <v>22</v>
      </c>
      <c r="AD1207" s="1930" t="s">
        <v>352</v>
      </c>
      <c r="AE1207" s="1930"/>
      <c r="AF1207" s="1414">
        <f ca="1">INDEX(final_duration_session,((WEEKDAY(AD$3,2)*2-1)+IF(AD1207="Morning",0,1)),$D1207)</f>
        <v>0</v>
      </c>
      <c r="AG1207" s="177"/>
      <c r="AH1207" s="1415">
        <f>$B1179</f>
        <v>22</v>
      </c>
      <c r="AI1207" s="1930" t="s">
        <v>352</v>
      </c>
      <c r="AJ1207" s="1930"/>
      <c r="AK1207" s="1414">
        <f ca="1">INDEX(final_duration_session,((WEEKDAY(AI$3,2)*2-1)+IF(AI1207="Morning",0,1)),$D1207)</f>
        <v>0</v>
      </c>
      <c r="AL1207" s="177"/>
    </row>
    <row r="1208" spans="2:38" s="176" customFormat="1" ht="15" customHeight="1" x14ac:dyDescent="0.45">
      <c r="B1208" s="1942"/>
      <c r="C1208" s="1945"/>
      <c r="D1208" s="1931" t="str">
        <f ca="1">IF(G1207&gt;0,INDEX(sessions_name,INDEX(plan_session_allocation,((WEEKDAY(E$3,2)*2-1)+IF(E1207="Morning",0,1)),D1207)),"")</f>
        <v/>
      </c>
      <c r="E1208" s="1932"/>
      <c r="F1208" s="1932"/>
      <c r="G1208" s="1933"/>
      <c r="H1208" s="177"/>
      <c r="I1208" s="1931" t="str">
        <f ca="1">IF(L1207&gt;0,INDEX(sessions_name,INDEX(plan_session_allocation,((WEEKDAY(J$3,2)*2-1)+IF(J1207="Morning",0,1)),I1207)),"")</f>
        <v/>
      </c>
      <c r="J1208" s="1932"/>
      <c r="K1208" s="1932"/>
      <c r="L1208" s="1933"/>
      <c r="M1208" s="177"/>
      <c r="N1208" s="1931" t="str">
        <f ca="1">IF(Q1207&gt;0,INDEX(sessions_name,INDEX(plan_session_allocation,((WEEKDAY(O$3,2)*2-1)+IF(O1207="Morning",0,1)),N1207)),"")</f>
        <v/>
      </c>
      <c r="O1208" s="1932"/>
      <c r="P1208" s="1932"/>
      <c r="Q1208" s="1933"/>
      <c r="R1208" s="177"/>
      <c r="S1208" s="1931" t="str">
        <f ca="1">IF(V1207&gt;0,INDEX(sessions_name,INDEX(plan_session_allocation,((WEEKDAY(T$3,2)*2-1)+IF(T1207="Morning",0,1)),S1207)),"")</f>
        <v/>
      </c>
      <c r="T1208" s="1932"/>
      <c r="U1208" s="1932"/>
      <c r="V1208" s="1933"/>
      <c r="W1208" s="177"/>
      <c r="X1208" s="1931" t="str">
        <f ca="1">IF(AA1207&gt;0,INDEX(sessions_name,INDEX(plan_session_allocation,((WEEKDAY(Y$3,2)*2-1)+IF(Y1207="Morning",0,1)),X1207)),"")</f>
        <v/>
      </c>
      <c r="Y1208" s="1932"/>
      <c r="Z1208" s="1932"/>
      <c r="AA1208" s="1933"/>
      <c r="AB1208" s="177"/>
      <c r="AC1208" s="1931" t="str">
        <f ca="1">IF(AF1207&gt;0,INDEX(sessions_name,INDEX(plan_session_allocation,((WEEKDAY(AD$3,2)*2-1)+IF(AD1207="Morning",0,1)),AC1207)),"")</f>
        <v/>
      </c>
      <c r="AD1208" s="1932"/>
      <c r="AE1208" s="1932"/>
      <c r="AF1208" s="1933"/>
      <c r="AG1208" s="177"/>
      <c r="AH1208" s="1931" t="str">
        <f ca="1">IF(AK1207&gt;0,INDEX(sessions_name,INDEX(plan_session_allocation,((WEEKDAY(AI$3,2)*2-1)+IF(AI1207="Morning",0,1)),AH1207)),"")</f>
        <v/>
      </c>
      <c r="AI1208" s="1932"/>
      <c r="AJ1208" s="1932"/>
      <c r="AK1208" s="1933"/>
      <c r="AL1208" s="177"/>
    </row>
    <row r="1209" spans="2:38" s="176" customFormat="1" ht="15" customHeight="1" x14ac:dyDescent="0.45">
      <c r="B1209" s="1942"/>
      <c r="C1209" s="1945"/>
      <c r="D1209" s="1934" t="str">
        <f ca="1">IF(G1207&gt;0,CONCATENATE("Sport: ",INDEX(sessions_sport_primary,INDEX(plan_session_allocation,(WEEKDAY(E$3,2)*2-1)+IF(E1207="Morning",0,1),D1207))),"")</f>
        <v/>
      </c>
      <c r="E1209" s="1935"/>
      <c r="F1209" s="1936" t="str">
        <f ca="1">IF(G1207&gt;0,IFERROR(F1210+F1211+F1212,""),"")</f>
        <v/>
      </c>
      <c r="G1209" s="1937"/>
      <c r="H1209" s="177"/>
      <c r="I1209" s="1934" t="str">
        <f ca="1">IF(L1207&gt;0,CONCATENATE("Sport: ",INDEX(sessions_sport_primary,INDEX(plan_session_allocation,(WEEKDAY(J$3,2)*2-1)+IF(J1207="Morning",0,1),I1207))),"")</f>
        <v/>
      </c>
      <c r="J1209" s="1935"/>
      <c r="K1209" s="1936" t="str">
        <f ca="1">IF(L1207&gt;0,IFERROR(K1210+K1211+K1212,""),"")</f>
        <v/>
      </c>
      <c r="L1209" s="1937"/>
      <c r="M1209" s="177"/>
      <c r="N1209" s="1934" t="str">
        <f ca="1">IF(Q1207&gt;0,CONCATENATE("Sport: ",INDEX(sessions_sport_primary,INDEX(plan_session_allocation,(WEEKDAY(O$3,2)*2-1)+IF(O1207="Morning",0,1),N1207))),"")</f>
        <v/>
      </c>
      <c r="O1209" s="1935"/>
      <c r="P1209" s="1936" t="str">
        <f ca="1">IF(Q1207&gt;0,IFERROR(P1210+P1211+P1212,""),"")</f>
        <v/>
      </c>
      <c r="Q1209" s="1937"/>
      <c r="R1209" s="177"/>
      <c r="S1209" s="1934" t="str">
        <f ca="1">IF(V1207&gt;0,CONCATENATE("Sport: ",INDEX(sessions_sport_primary,INDEX(plan_session_allocation,(WEEKDAY(T$3,2)*2-1)+IF(T1207="Morning",0,1),S1207))),"")</f>
        <v/>
      </c>
      <c r="T1209" s="1935"/>
      <c r="U1209" s="1936" t="str">
        <f ca="1">IF(V1207&gt;0,IFERROR(U1210+U1211+U1212,""),"")</f>
        <v/>
      </c>
      <c r="V1209" s="1937"/>
      <c r="W1209" s="177"/>
      <c r="X1209" s="1934" t="str">
        <f ca="1">IF(AA1207&gt;0,CONCATENATE("Sport: ",INDEX(sessions_sport_primary,INDEX(plan_session_allocation,(WEEKDAY(Y$3,2)*2-1)+IF(Y1207="Morning",0,1),X1207))),"")</f>
        <v/>
      </c>
      <c r="Y1209" s="1935"/>
      <c r="Z1209" s="1936" t="str">
        <f ca="1">IF(AA1207&gt;0,IFERROR(Z1210+Z1211+Z1212,""),"")</f>
        <v/>
      </c>
      <c r="AA1209" s="1937"/>
      <c r="AB1209" s="177"/>
      <c r="AC1209" s="1934" t="str">
        <f ca="1">IF(AF1207&gt;0,CONCATENATE("Sport: ",INDEX(sessions_sport_primary,INDEX(plan_session_allocation,(WEEKDAY(AD$3,2)*2-1)+IF(AD1207="Morning",0,1),AC1207))),"")</f>
        <v/>
      </c>
      <c r="AD1209" s="1935"/>
      <c r="AE1209" s="1936" t="str">
        <f ca="1">IF(AF1207&gt;0,IFERROR(AE1210+AE1211+AE1212,""),"")</f>
        <v/>
      </c>
      <c r="AF1209" s="1937"/>
      <c r="AG1209" s="177"/>
      <c r="AH1209" s="1934" t="str">
        <f ca="1">IF(AK1207&gt;0,CONCATENATE("Sport: ",INDEX(sessions_sport_primary,INDEX(plan_session_allocation,(WEEKDAY(AI$3,2)*2-1)+IF(AI1207="Morning",0,1),AH1207))),"")</f>
        <v/>
      </c>
      <c r="AI1209" s="1935"/>
      <c r="AJ1209" s="1936" t="str">
        <f ca="1">IF(AK1207&gt;0,IFERROR(AJ1210+AJ1211+AJ1212,""),"")</f>
        <v/>
      </c>
      <c r="AK1209" s="1937"/>
      <c r="AL1209" s="177"/>
    </row>
    <row r="1210" spans="2:38" s="177" customFormat="1" ht="15" customHeight="1" x14ac:dyDescent="0.45">
      <c r="B1210" s="1942"/>
      <c r="C1210" s="1945"/>
      <c r="D1210" s="1922" t="str">
        <f ca="1">IF(G1207&gt;0,CONCATENATE("HR Target: ",
INDEX(sessions_HR_primary,INDEX(plan_session_allocation,((WEEKDAY(E$3,2)*2-1)+IF(E1207="Morning",0,1)),D1207)),
IF(INDEX(sessions_HR_primary,INDEX(plan_session_allocation,((WEEKDAY(E$3,2)*2-1)+IF(E1207="Morning",0,1)),D1207))="N/A","",
" BPM")),"")</f>
        <v/>
      </c>
      <c r="E1210" s="1923"/>
      <c r="F1210" s="1924" t="str">
        <f ca="1">IF(G1207&gt;0,
INDEX(final_duration_effort,((WEEKDAY(E$3,2)*2-1)+IF(E1207="Morning",0,1)),D1207),"")</f>
        <v/>
      </c>
      <c r="G1210" s="1925"/>
      <c r="I1210" s="1922" t="str">
        <f ca="1">IF(L1207&gt;0,CONCATENATE("HR Target: ",
INDEX(sessions_HR_primary,INDEX(plan_session_allocation,((WEEKDAY(J$3,2)*2-1)+IF(J1207="Morning",0,1)),I1207)),
IF(INDEX(sessions_HR_primary,INDEX(plan_session_allocation,((WEEKDAY(J$3,2)*2-1)+IF(J1207="Morning",0,1)),I1207))="N/A","",
" BPM")),"")</f>
        <v/>
      </c>
      <c r="J1210" s="1923"/>
      <c r="K1210" s="1924" t="str">
        <f ca="1">IF(L1207&gt;0,
INDEX(final_duration_effort,((WEEKDAY(J$3,2)*2-1)+IF(J1207="Morning",0,1)),I1207),"")</f>
        <v/>
      </c>
      <c r="L1210" s="1925"/>
      <c r="N1210" s="1922" t="str">
        <f ca="1">IF(Q1207&gt;0,CONCATENATE("HR Target: ",
INDEX(sessions_HR_primary,INDEX(plan_session_allocation,((WEEKDAY(O$3,2)*2-1)+IF(O1207="Morning",0,1)),N1207)),
IF(INDEX(sessions_HR_primary,INDEX(plan_session_allocation,((WEEKDAY(O$3,2)*2-1)+IF(O1207="Morning",0,1)),N1207))="N/A","",
" BPM")),"")</f>
        <v/>
      </c>
      <c r="O1210" s="1923"/>
      <c r="P1210" s="1924" t="str">
        <f ca="1">IF(Q1207&gt;0,
INDEX(final_duration_effort,((WEEKDAY(O$3,2)*2-1)+IF(O1207="Morning",0,1)),N1207),"")</f>
        <v/>
      </c>
      <c r="Q1210" s="1925"/>
      <c r="S1210" s="1922" t="str">
        <f ca="1">IF(V1207&gt;0,CONCATENATE("HR Target: ",
INDEX(sessions_HR_primary,INDEX(plan_session_allocation,((WEEKDAY(T$3,2)*2-1)+IF(T1207="Morning",0,1)),S1207)),
IF(INDEX(sessions_HR_primary,INDEX(plan_session_allocation,((WEEKDAY(T$3,2)*2-1)+IF(T1207="Morning",0,1)),S1207))="N/A","",
" BPM")),"")</f>
        <v/>
      </c>
      <c r="T1210" s="1923"/>
      <c r="U1210" s="1924" t="str">
        <f ca="1">IF(V1207&gt;0,
INDEX(final_duration_effort,((WEEKDAY(T$3,2)*2-1)+IF(T1207="Morning",0,1)),S1207),"")</f>
        <v/>
      </c>
      <c r="V1210" s="1925"/>
      <c r="X1210" s="1922" t="str">
        <f ca="1">IF(AA1207&gt;0,CONCATENATE("HR Target: ",
INDEX(sessions_HR_primary,INDEX(plan_session_allocation,((WEEKDAY(Y$3,2)*2-1)+IF(Y1207="Morning",0,1)),X1207)),
IF(INDEX(sessions_HR_primary,INDEX(plan_session_allocation,((WEEKDAY(Y$3,2)*2-1)+IF(Y1207="Morning",0,1)),X1207))="N/A","",
" BPM")),"")</f>
        <v/>
      </c>
      <c r="Y1210" s="1923"/>
      <c r="Z1210" s="1924" t="str">
        <f ca="1">IF(AA1207&gt;0,
INDEX(final_duration_effort,((WEEKDAY(Y$3,2)*2-1)+IF(Y1207="Morning",0,1)),X1207),"")</f>
        <v/>
      </c>
      <c r="AA1210" s="1925"/>
      <c r="AC1210" s="1922" t="str">
        <f ca="1">IF(AF1207&gt;0,CONCATENATE("HR Target: ",
INDEX(sessions_HR_primary,INDEX(plan_session_allocation,((WEEKDAY(AD$3,2)*2-1)+IF(AD1207="Morning",0,1)),AC1207)),
IF(INDEX(sessions_HR_primary,INDEX(plan_session_allocation,((WEEKDAY(AD$3,2)*2-1)+IF(AD1207="Morning",0,1)),AC1207))="N/A","",
" BPM")),"")</f>
        <v/>
      </c>
      <c r="AD1210" s="1923"/>
      <c r="AE1210" s="1924" t="str">
        <f ca="1">IF(AF1207&gt;0,
INDEX(final_duration_effort,((WEEKDAY(AD$3,2)*2-1)+IF(AD1207="Morning",0,1)),AC1207),"")</f>
        <v/>
      </c>
      <c r="AF1210" s="1925"/>
      <c r="AH1210" s="1922" t="str">
        <f ca="1">IF(AK1207&gt;0,CONCATENATE("HR Target: ",
INDEX(sessions_HR_primary,INDEX(plan_session_allocation,((WEEKDAY(AI$3,2)*2-1)+IF(AI1207="Morning",0,1)),AH1207)),
IF(INDEX(sessions_HR_primary,INDEX(plan_session_allocation,((WEEKDAY(AI$3,2)*2-1)+IF(AI1207="Morning",0,1)),AH1207))="N/A","",
" BPM")),"")</f>
        <v/>
      </c>
      <c r="AI1210" s="1923"/>
      <c r="AJ1210" s="1924" t="str">
        <f ca="1">IF(AK1207&gt;0,
INDEX(final_duration_effort,((WEEKDAY(AI$3,2)*2-1)+IF(AI1207="Morning",0,1)),AH1207),"")</f>
        <v/>
      </c>
      <c r="AK1210" s="1925"/>
    </row>
    <row r="1211" spans="2:38" s="177" customFormat="1" ht="15" customHeight="1" x14ac:dyDescent="0.45">
      <c r="B1211" s="1942"/>
      <c r="C1211" s="1945"/>
      <c r="D1211" s="1926" t="str">
        <f ca="1">IF(G1207&gt;0,CONCATENATE("HR Range: ",
INDEX(sessions_HR_range_primary,INDEX(plan_session_allocation,((WEEKDAY(E$3,2)*2-1)+IF(E1207="Morning",0,1)),D1207)),
IF(INDEX(sessions_HR_range_primary,INDEX(plan_session_allocation,((WEEKDAY(E$3,2)*2-1)+IF(E1207="Morning",0,1)),D1207))="N/A","",
" BPM")),"")</f>
        <v/>
      </c>
      <c r="E1211" s="1927"/>
      <c r="F1211" s="1928" t="str">
        <f ca="1">IF(G1207&gt;0,IF(
INDEX(sessions_recoveries,INDEX(plan_session_allocation,((WEEKDAY(E$3,2)*2-1)+IF(E1207="Morning",0,1)),D1207))="Yes",
VLOOKUP(INDEX(plan_duration_primary,((WEEKDAY(E$3,2)*2-1)+IF(E1207="Morning",0,1)),D1207),
INDIRECT(INDEX(sessions_intervals_code_primary,INDEX(plan_session_allocation,((WEEKDAY(E$3,2)*2-1)+IF(E1207="Morning",0,1)),D1207))),7,TRUE),0),"")</f>
        <v/>
      </c>
      <c r="G1211" s="1929"/>
      <c r="I1211" s="1926" t="str">
        <f ca="1">IF(L1207&gt;0,CONCATENATE("HR Range: ",
INDEX(sessions_HR_range_primary,INDEX(plan_session_allocation,((WEEKDAY(J$3,2)*2-1)+IF(J1207="Morning",0,1)),I1207)),
IF(INDEX(sessions_HR_range_primary,INDEX(plan_session_allocation,((WEEKDAY(J$3,2)*2-1)+IF(J1207="Morning",0,1)),I1207))="N/A","",
" BPM")),"")</f>
        <v/>
      </c>
      <c r="J1211" s="1927"/>
      <c r="K1211" s="1928" t="str">
        <f ca="1">IF(L1207&gt;0,IF(
INDEX(sessions_recoveries,INDEX(plan_session_allocation,((WEEKDAY(J$3,2)*2-1)+IF(J1207="Morning",0,1)),I1207))="Yes",
VLOOKUP(INDEX(plan_duration_primary,((WEEKDAY(J$3,2)*2-1)+IF(J1207="Morning",0,1)),I1207),
INDIRECT(INDEX(sessions_intervals_code_primary,INDEX(plan_session_allocation,((WEEKDAY(J$3,2)*2-1)+IF(J1207="Morning",0,1)),I1207))),7,TRUE),0),"")</f>
        <v/>
      </c>
      <c r="L1211" s="1929"/>
      <c r="N1211" s="1926" t="str">
        <f ca="1">IF(Q1207&gt;0,CONCATENATE("HR Range: ",
INDEX(sessions_HR_range_primary,INDEX(plan_session_allocation,((WEEKDAY(O$3,2)*2-1)+IF(O1207="Morning",0,1)),N1207)),
IF(INDEX(sessions_HR_range_primary,INDEX(plan_session_allocation,((WEEKDAY(O$3,2)*2-1)+IF(O1207="Morning",0,1)),N1207))="N/A","",
" BPM")),"")</f>
        <v/>
      </c>
      <c r="O1211" s="1927"/>
      <c r="P1211" s="1928" t="str">
        <f ca="1">IF(Q1207&gt;0,IF(
INDEX(sessions_recoveries,INDEX(plan_session_allocation,((WEEKDAY(O$3,2)*2-1)+IF(O1207="Morning",0,1)),N1207))="Yes",
VLOOKUP(INDEX(plan_duration_primary,((WEEKDAY(O$3,2)*2-1)+IF(O1207="Morning",0,1)),N1207),
INDIRECT(INDEX(sessions_intervals_code_primary,INDEX(plan_session_allocation,((WEEKDAY(O$3,2)*2-1)+IF(O1207="Morning",0,1)),N1207))),7,TRUE),0),"")</f>
        <v/>
      </c>
      <c r="Q1211" s="1929"/>
      <c r="S1211" s="1926" t="str">
        <f ca="1">IF(V1207&gt;0,CONCATENATE("HR Range: ",
INDEX(sessions_HR_range_primary,INDEX(plan_session_allocation,((WEEKDAY(T$3,2)*2-1)+IF(T1207="Morning",0,1)),S1207)),
IF(INDEX(sessions_HR_range_primary,INDEX(plan_session_allocation,((WEEKDAY(T$3,2)*2-1)+IF(T1207="Morning",0,1)),S1207))="N/A","",
" BPM")),"")</f>
        <v/>
      </c>
      <c r="T1211" s="1927"/>
      <c r="U1211" s="1928" t="str">
        <f ca="1">IF(V1207&gt;0,IF(
INDEX(sessions_recoveries,INDEX(plan_session_allocation,((WEEKDAY(T$3,2)*2-1)+IF(T1207="Morning",0,1)),S1207))="Yes",
VLOOKUP(INDEX(plan_duration_primary,((WEEKDAY(T$3,2)*2-1)+IF(T1207="Morning",0,1)),S1207),
INDIRECT(INDEX(sessions_intervals_code_primary,INDEX(plan_session_allocation,((WEEKDAY(T$3,2)*2-1)+IF(T1207="Morning",0,1)),S1207))),7,TRUE),0),"")</f>
        <v/>
      </c>
      <c r="V1211" s="1929"/>
      <c r="X1211" s="1926" t="str">
        <f ca="1">IF(AA1207&gt;0,CONCATENATE("HR Range: ",
INDEX(sessions_HR_range_primary,INDEX(plan_session_allocation,((WEEKDAY(Y$3,2)*2-1)+IF(Y1207="Morning",0,1)),X1207)),
IF(INDEX(sessions_HR_range_primary,INDEX(plan_session_allocation,((WEEKDAY(Y$3,2)*2-1)+IF(Y1207="Morning",0,1)),X1207))="N/A","",
" BPM")),"")</f>
        <v/>
      </c>
      <c r="Y1211" s="1927"/>
      <c r="Z1211" s="1928" t="str">
        <f ca="1">IF(AA1207&gt;0,IF(
INDEX(sessions_recoveries,INDEX(plan_session_allocation,((WEEKDAY(Y$3,2)*2-1)+IF(Y1207="Morning",0,1)),X1207))="Yes",
VLOOKUP(INDEX(plan_duration_primary,((WEEKDAY(Y$3,2)*2-1)+IF(Y1207="Morning",0,1)),X1207),
INDIRECT(INDEX(sessions_intervals_code_primary,INDEX(plan_session_allocation,((WEEKDAY(Y$3,2)*2-1)+IF(Y1207="Morning",0,1)),X1207))),7,TRUE),0),"")</f>
        <v/>
      </c>
      <c r="AA1211" s="1929"/>
      <c r="AC1211" s="1926" t="str">
        <f ca="1">IF(AF1207&gt;0,CONCATENATE("HR Range: ",
INDEX(sessions_HR_range_primary,INDEX(plan_session_allocation,((WEEKDAY(AD$3,2)*2-1)+IF(AD1207="Morning",0,1)),AC1207)),
IF(INDEX(sessions_HR_range_primary,INDEX(plan_session_allocation,((WEEKDAY(AD$3,2)*2-1)+IF(AD1207="Morning",0,1)),AC1207))="N/A","",
" BPM")),"")</f>
        <v/>
      </c>
      <c r="AD1211" s="1927"/>
      <c r="AE1211" s="1928" t="str">
        <f ca="1">IF(AF1207&gt;0,IF(
INDEX(sessions_recoveries,INDEX(plan_session_allocation,((WEEKDAY(AD$3,2)*2-1)+IF(AD1207="Morning",0,1)),AC1207))="Yes",
VLOOKUP(INDEX(plan_duration_primary,((WEEKDAY(AD$3,2)*2-1)+IF(AD1207="Morning",0,1)),AC1207),
INDIRECT(INDEX(sessions_intervals_code_primary,INDEX(plan_session_allocation,((WEEKDAY(AD$3,2)*2-1)+IF(AD1207="Morning",0,1)),AC1207))),7,TRUE),0),"")</f>
        <v/>
      </c>
      <c r="AF1211" s="1929"/>
      <c r="AH1211" s="1926" t="str">
        <f ca="1">IF(AK1207&gt;0,CONCATENATE("HR Range: ",
INDEX(sessions_HR_range_primary,INDEX(plan_session_allocation,((WEEKDAY(AI$3,2)*2-1)+IF(AI1207="Morning",0,1)),AH1207)),
IF(INDEX(sessions_HR_range_primary,INDEX(plan_session_allocation,((WEEKDAY(AI$3,2)*2-1)+IF(AI1207="Morning",0,1)),AH1207))="N/A","",
" BPM")),"")</f>
        <v/>
      </c>
      <c r="AI1211" s="1927"/>
      <c r="AJ1211" s="1928" t="str">
        <f ca="1">IF(AK1207&gt;0,IF(
INDEX(sessions_recoveries,INDEX(plan_session_allocation,((WEEKDAY(AI$3,2)*2-1)+IF(AI1207="Morning",0,1)),AH1207))="Yes",
VLOOKUP(INDEX(plan_duration_primary,((WEEKDAY(AI$3,2)*2-1)+IF(AI1207="Morning",0,1)),AH1207),
INDIRECT(INDEX(sessions_intervals_code_primary,INDEX(plan_session_allocation,((WEEKDAY(AI$3,2)*2-1)+IF(AI1207="Morning",0,1)),AH1207))),7,TRUE),0),"")</f>
        <v/>
      </c>
      <c r="AK1211" s="1929"/>
    </row>
    <row r="1212" spans="2:38" s="177" customFormat="1" ht="15" customHeight="1" x14ac:dyDescent="0.45">
      <c r="B1212" s="1942"/>
      <c r="C1212" s="1945"/>
      <c r="D1212" s="1909" t="str">
        <f ca="1">IF(G1207&gt;0,CONCATENATE("Equivalent Pace: ",
TEXT(INDEX(sessions_pace_primary,INDEX(plan_session_allocation,(WEEKDAY(E$3,2)*2-1)+IF(E1207="Morning",0,1),D1207)),"m:ss"),
" min/km"
),"")</f>
        <v/>
      </c>
      <c r="E1212" s="1910"/>
      <c r="F1212" s="1911" t="str">
        <f ca="1">IF(G1207&gt;0, INDEX(final_duration_WU,((WEEKDAY(E$3,2)*2-1)+IF(E1207="Morning",0,1)),D1207)  + INDEX(final_duration_WD,((WEEKDAY(E$3,2)*2-1)+IF(E1207="Morning",0,1)),D1207), "")</f>
        <v/>
      </c>
      <c r="G1212" s="1912"/>
      <c r="I1212" s="1909" t="str">
        <f ca="1">IF(L1207&gt;0,CONCATENATE("Equivalent Pace: ",
TEXT(INDEX(sessions_pace_primary,INDEX(plan_session_allocation,(WEEKDAY(J$3,2)*2-1)+IF(J1207="Morning",0,1),I1207)),"m:ss"),
" min/km"
),"")</f>
        <v/>
      </c>
      <c r="J1212" s="1910"/>
      <c r="K1212" s="1911" t="str">
        <f ca="1">IF(L1207&gt;0, INDEX(final_duration_WU,((WEEKDAY(J$3,2)*2-1)+IF(J1207="Morning",0,1)),I1207)  + INDEX(final_duration_WD,((WEEKDAY(J$3,2)*2-1)+IF(J1207="Morning",0,1)),I1207), "")</f>
        <v/>
      </c>
      <c r="L1212" s="1912"/>
      <c r="N1212" s="1909" t="str">
        <f ca="1">IF(Q1207&gt;0,CONCATENATE("Equivalent Pace: ",
TEXT(INDEX(sessions_pace_primary,INDEX(plan_session_allocation,(WEEKDAY(O$3,2)*2-1)+IF(O1207="Morning",0,1),N1207)),"m:ss"),
" min/km"
),"")</f>
        <v/>
      </c>
      <c r="O1212" s="1910"/>
      <c r="P1212" s="1911" t="str">
        <f ca="1">IF(Q1207&gt;0, INDEX(final_duration_WU,((WEEKDAY(O$3,2)*2-1)+IF(O1207="Morning",0,1)),N1207)  + INDEX(final_duration_WD,((WEEKDAY(O$3,2)*2-1)+IF(O1207="Morning",0,1)),N1207), "")</f>
        <v/>
      </c>
      <c r="Q1212" s="1912"/>
      <c r="S1212" s="1909" t="str">
        <f ca="1">IF(V1207&gt;0,CONCATENATE("Equivalent Pace: ",
TEXT(INDEX(sessions_pace_primary,INDEX(plan_session_allocation,(WEEKDAY(T$3,2)*2-1)+IF(T1207="Morning",0,1),S1207)),"m:ss"),
" min/km"
),"")</f>
        <v/>
      </c>
      <c r="T1212" s="1910"/>
      <c r="U1212" s="1911" t="str">
        <f ca="1">IF(V1207&gt;0, INDEX(final_duration_WU,((WEEKDAY(T$3,2)*2-1)+IF(T1207="Morning",0,1)),S1207)  + INDEX(final_duration_WD,((WEEKDAY(T$3,2)*2-1)+IF(T1207="Morning",0,1)),S1207), "")</f>
        <v/>
      </c>
      <c r="V1212" s="1912"/>
      <c r="X1212" s="1909" t="str">
        <f ca="1">IF(AA1207&gt;0,CONCATENATE("Equivalent Pace: ",
TEXT(INDEX(sessions_pace_primary,INDEX(plan_session_allocation,(WEEKDAY(Y$3,2)*2-1)+IF(Y1207="Morning",0,1),X1207)),"m:ss"),
" min/km"
),"")</f>
        <v/>
      </c>
      <c r="Y1212" s="1910"/>
      <c r="Z1212" s="1911" t="str">
        <f ca="1">IF(AA1207&gt;0, INDEX(final_duration_WU,((WEEKDAY(Y$3,2)*2-1)+IF(Y1207="Morning",0,1)),X1207)  + INDEX(final_duration_WD,((WEEKDAY(Y$3,2)*2-1)+IF(Y1207="Morning",0,1)),X1207), "")</f>
        <v/>
      </c>
      <c r="AA1212" s="1912"/>
      <c r="AC1212" s="1909" t="str">
        <f ca="1">IF(AF1207&gt;0,CONCATENATE("Equivalent Pace: ",
TEXT(INDEX(sessions_pace_primary,INDEX(plan_session_allocation,(WEEKDAY(AD$3,2)*2-1)+IF(AD1207="Morning",0,1),AC1207)),"m:ss"),
" min/km"
),"")</f>
        <v/>
      </c>
      <c r="AD1212" s="1910"/>
      <c r="AE1212" s="1911" t="str">
        <f ca="1">IF(AF1207&gt;0, INDEX(final_duration_WU,((WEEKDAY(AD$3,2)*2-1)+IF(AD1207="Morning",0,1)),AC1207)  + INDEX(final_duration_WD,((WEEKDAY(AD$3,2)*2-1)+IF(AD1207="Morning",0,1)),AC1207), "")</f>
        <v/>
      </c>
      <c r="AF1212" s="1912"/>
      <c r="AH1212" s="1909" t="str">
        <f ca="1">IF(AK1207&gt;0,CONCATENATE("Equivalent Pace: ",
TEXT(INDEX(sessions_pace_primary,INDEX(plan_session_allocation,(WEEKDAY(AI$3,2)*2-1)+IF(AI1207="Morning",0,1),AH1207)),"m:ss"),
" min/km"
),"")</f>
        <v/>
      </c>
      <c r="AI1212" s="1910"/>
      <c r="AJ1212" s="1911" t="str">
        <f ca="1">IF(AK1207&gt;0, INDEX(final_duration_WU,((WEEKDAY(AI$3,2)*2-1)+IF(AI1207="Morning",0,1)),AH1207)  + INDEX(final_duration_WD,((WEEKDAY(AI$3,2)*2-1)+IF(AI1207="Morning",0,1)),AH1207), "")</f>
        <v/>
      </c>
      <c r="AK1212" s="1912"/>
    </row>
    <row r="1213" spans="2:38" s="176" customFormat="1" ht="15" customHeight="1" x14ac:dyDescent="0.45">
      <c r="B1213" s="1942"/>
      <c r="C1213" s="1945"/>
      <c r="D1213" s="1913" t="str">
        <f ca="1">IF(G1207&gt;0,CONCATENATE(IFERROR(CONCATENATE(IF(INDEX(display_intervals_breakdown,((WEEKDAY(E$3,2)*2-1)+IF(E1207="Morning",0,1)),D1207)="","",CONCATENATE("Intervals/Reps Breakdown: 
",INDEX(display_intervals_breakdown,((WEEKDAY(E$3,2)*2-1)+IF(E1207="Morning",0,1)),D1207),"
")),"Session Description: 
",CONCATENATE(IF(INDEX(final_duration_secondary,((WEEKDAY(E$3,2)*2-1)+IF(E1207="Morning",0,1)),D1207)=0,"","1. "),
INDEX(sessions_description_primary,,INDEX(plan_session_allocation,((WEEKDAY(E$3,2)*2-1)+IF(E1207="Morning",0,1)),D1207)),IF(INDEX(final_duration_secondary,((WEEKDAY(E$3,2)*2-1)+IF(E1207="Morning",0,1)),D1207)=0,"","
2. "),
IF(INDEX(final_duration_secondary,((WEEKDAY(E$3,2)*2-1)+IF(E1207="Morning",0,1)),D1207)=0,"",INDEX(sessions_description_secondary,,INDEX(plan_session_allocation,((WEEKDAY(E$3,2)*2-1)+IF(E1207="Morning",0,1)),D1207))),IF(INDEX(final_duration_tertiary,((WEEKDAY(E$3,2)*2-1)+IF(E1207="Morning",0,1)),D1207)=0,"","
3. "),
IF(INDEX(final_duration_tertiary,((WEEKDAY(E$3,2)*2-1)+IF(E1207="Morning",0,1)),D1207)="","",INDEX(sessions_description_tertiary,,INDEX(plan_session_allocation,((WEEKDAY(E$3,2)*2-1)+IF(E1207="Morning",0,1)),D1207))),
IF(INDEX(display_nutrition_description,((WEEKDAY(E$3,2)*2-1)+IF(E1207="Morning",0,1)),D1207)="","",
CONCATENATE("
Meal Plan: ", INDEX(sessions_nutrition,,INDEX(plan_session_allocation,((WEEKDAY(E$3,2)*2-1)+IF(E1207="Morning",0,1)),D1207)), "
", INDEX(display_nutrition_description,((WEEKDAY(E$3,2)*2-1)+IF(E1207="Morning",0,1)),D1207)))
)),"")),"")</f>
        <v/>
      </c>
      <c r="E1213" s="1914"/>
      <c r="F1213" s="1914"/>
      <c r="G1213" s="1915"/>
      <c r="H1213" s="177"/>
      <c r="I1213" s="1913" t="str">
        <f ca="1">IF(L1207&gt;0,CONCATENATE(IFERROR(CONCATENATE(IF(INDEX(display_intervals_breakdown,((WEEKDAY(J$3,2)*2-1)+IF(J1207="Morning",0,1)),I1207)="","",CONCATENATE("Intervals/Reps Breakdown: 
",INDEX(display_intervals_breakdown,((WEEKDAY(J$3,2)*2-1)+IF(J1207="Morning",0,1)),I1207),"
")),"Session Description: 
",CONCATENATE(IF(INDEX(final_duration_secondary,((WEEKDAY(J$3,2)*2-1)+IF(J1207="Morning",0,1)),I1207)=0,"","1. "),
INDEX(sessions_description_primary,,INDEX(plan_session_allocation,((WEEKDAY(J$3,2)*2-1)+IF(J1207="Morning",0,1)),I1207)),IF(INDEX(final_duration_secondary,((WEEKDAY(J$3,2)*2-1)+IF(J1207="Morning",0,1)),I1207)=0,"","
2. "),
IF(INDEX(final_duration_secondary,((WEEKDAY(J$3,2)*2-1)+IF(J1207="Morning",0,1)),I1207)=0,"",INDEX(sessions_description_secondary,,INDEX(plan_session_allocation,((WEEKDAY(J$3,2)*2-1)+IF(J1207="Morning",0,1)),I1207))),IF(INDEX(final_duration_tertiary,((WEEKDAY(J$3,2)*2-1)+IF(J1207="Morning",0,1)),I1207)=0,"","
3. "),
IF(INDEX(final_duration_tertiary,((WEEKDAY(J$3,2)*2-1)+IF(J1207="Morning",0,1)),I1207)="","",INDEX(sessions_description_tertiary,,INDEX(plan_session_allocation,((WEEKDAY(J$3,2)*2-1)+IF(J1207="Morning",0,1)),I1207))),
IF(INDEX(display_nutrition_description,((WEEKDAY(J$3,2)*2-1)+IF(J1207="Morning",0,1)),I1207)="","",
CONCATENATE("
Meal Plan: ", INDEX(sessions_nutrition,,INDEX(plan_session_allocation,((WEEKDAY(J$3,2)*2-1)+IF(J1207="Morning",0,1)),I1207)), "
", INDEX(display_nutrition_description,((WEEKDAY(J$3,2)*2-1)+IF(J1207="Morning",0,1)),I1207)))
)),"")),"")</f>
        <v/>
      </c>
      <c r="J1213" s="1914"/>
      <c r="K1213" s="1914"/>
      <c r="L1213" s="1915"/>
      <c r="M1213" s="177"/>
      <c r="N1213" s="1913" t="str">
        <f ca="1">IF(Q1207&gt;0,CONCATENATE(IFERROR(CONCATENATE(IF(INDEX(display_intervals_breakdown,((WEEKDAY(O$3,2)*2-1)+IF(O1207="Morning",0,1)),N1207)="","",CONCATENATE("Intervals/Reps Breakdown: 
",INDEX(display_intervals_breakdown,((WEEKDAY(O$3,2)*2-1)+IF(O1207="Morning",0,1)),N1207),"
")),"Session Description: 
",CONCATENATE(IF(INDEX(final_duration_secondary,((WEEKDAY(O$3,2)*2-1)+IF(O1207="Morning",0,1)),N1207)=0,"","1. "),
INDEX(sessions_description_primary,,INDEX(plan_session_allocation,((WEEKDAY(O$3,2)*2-1)+IF(O1207="Morning",0,1)),N1207)),IF(INDEX(final_duration_secondary,((WEEKDAY(O$3,2)*2-1)+IF(O1207="Morning",0,1)),N1207)=0,"","
2. "),
IF(INDEX(final_duration_secondary,((WEEKDAY(O$3,2)*2-1)+IF(O1207="Morning",0,1)),N1207)=0,"",INDEX(sessions_description_secondary,,INDEX(plan_session_allocation,((WEEKDAY(O$3,2)*2-1)+IF(O1207="Morning",0,1)),N1207))),IF(INDEX(final_duration_tertiary,((WEEKDAY(O$3,2)*2-1)+IF(O1207="Morning",0,1)),N1207)=0,"","
3. "),
IF(INDEX(final_duration_tertiary,((WEEKDAY(O$3,2)*2-1)+IF(O1207="Morning",0,1)),N1207)="","",INDEX(sessions_description_tertiary,,INDEX(plan_session_allocation,((WEEKDAY(O$3,2)*2-1)+IF(O1207="Morning",0,1)),N1207))),
IF(INDEX(display_nutrition_description,((WEEKDAY(O$3,2)*2-1)+IF(O1207="Morning",0,1)),N1207)="","",
CONCATENATE("
Meal Plan: ", INDEX(sessions_nutrition,,INDEX(plan_session_allocation,((WEEKDAY(O$3,2)*2-1)+IF(O1207="Morning",0,1)),N1207)), "
", INDEX(display_nutrition_description,((WEEKDAY(O$3,2)*2-1)+IF(O1207="Morning",0,1)),N1207)))
)),"")),"")</f>
        <v/>
      </c>
      <c r="O1213" s="1914"/>
      <c r="P1213" s="1914"/>
      <c r="Q1213" s="1915"/>
      <c r="R1213" s="177"/>
      <c r="S1213" s="1913" t="str">
        <f ca="1">IF(V1207&gt;0,CONCATENATE(IFERROR(CONCATENATE(IF(INDEX(display_intervals_breakdown,((WEEKDAY(T$3,2)*2-1)+IF(T1207="Morning",0,1)),S1207)="","",CONCATENATE("Intervals/Reps Breakdown: 
",INDEX(display_intervals_breakdown,((WEEKDAY(T$3,2)*2-1)+IF(T1207="Morning",0,1)),S1207),"
")),"Session Description: 
",CONCATENATE(IF(INDEX(final_duration_secondary,((WEEKDAY(T$3,2)*2-1)+IF(T1207="Morning",0,1)),S1207)=0,"","1. "),
INDEX(sessions_description_primary,,INDEX(plan_session_allocation,((WEEKDAY(T$3,2)*2-1)+IF(T1207="Morning",0,1)),S1207)),IF(INDEX(final_duration_secondary,((WEEKDAY(T$3,2)*2-1)+IF(T1207="Morning",0,1)),S1207)=0,"","
2. "),
IF(INDEX(final_duration_secondary,((WEEKDAY(T$3,2)*2-1)+IF(T1207="Morning",0,1)),S1207)=0,"",INDEX(sessions_description_secondary,,INDEX(plan_session_allocation,((WEEKDAY(T$3,2)*2-1)+IF(T1207="Morning",0,1)),S1207))),IF(INDEX(final_duration_tertiary,((WEEKDAY(T$3,2)*2-1)+IF(T1207="Morning",0,1)),S1207)=0,"","
3. "),
IF(INDEX(final_duration_tertiary,((WEEKDAY(T$3,2)*2-1)+IF(T1207="Morning",0,1)),S1207)="","",INDEX(sessions_description_tertiary,,INDEX(plan_session_allocation,((WEEKDAY(T$3,2)*2-1)+IF(T1207="Morning",0,1)),S1207))),
IF(INDEX(display_nutrition_description,((WEEKDAY(T$3,2)*2-1)+IF(T1207="Morning",0,1)),S1207)="","",
CONCATENATE("
Meal Plan: ", INDEX(sessions_nutrition,,INDEX(plan_session_allocation,((WEEKDAY(T$3,2)*2-1)+IF(T1207="Morning",0,1)),S1207)), "
", INDEX(display_nutrition_description,((WEEKDAY(T$3,2)*2-1)+IF(T1207="Morning",0,1)),S1207)))
)),"")),"")</f>
        <v/>
      </c>
      <c r="T1213" s="1914"/>
      <c r="U1213" s="1914"/>
      <c r="V1213" s="1915"/>
      <c r="W1213" s="177"/>
      <c r="X1213" s="1913" t="str">
        <f ca="1">IF(AA1207&gt;0,CONCATENATE(IFERROR(CONCATENATE(IF(INDEX(display_intervals_breakdown,((WEEKDAY(Y$3,2)*2-1)+IF(Y1207="Morning",0,1)),X1207)="","",CONCATENATE("Intervals/Reps Breakdown: 
",INDEX(display_intervals_breakdown,((WEEKDAY(Y$3,2)*2-1)+IF(Y1207="Morning",0,1)),X1207),"
")),"Session Description: 
",CONCATENATE(IF(INDEX(final_duration_secondary,((WEEKDAY(Y$3,2)*2-1)+IF(Y1207="Morning",0,1)),X1207)=0,"","1. "),
INDEX(sessions_description_primary,,INDEX(plan_session_allocation,((WEEKDAY(Y$3,2)*2-1)+IF(Y1207="Morning",0,1)),X1207)),IF(INDEX(final_duration_secondary,((WEEKDAY(Y$3,2)*2-1)+IF(Y1207="Morning",0,1)),X1207)=0,"","
2. "),
IF(INDEX(final_duration_secondary,((WEEKDAY(Y$3,2)*2-1)+IF(Y1207="Morning",0,1)),X1207)=0,"",INDEX(sessions_description_secondary,,INDEX(plan_session_allocation,((WEEKDAY(Y$3,2)*2-1)+IF(Y1207="Morning",0,1)),X1207))),IF(INDEX(final_duration_tertiary,((WEEKDAY(Y$3,2)*2-1)+IF(Y1207="Morning",0,1)),X1207)=0,"","
3. "),
IF(INDEX(final_duration_tertiary,((WEEKDAY(Y$3,2)*2-1)+IF(Y1207="Morning",0,1)),X1207)="","",INDEX(sessions_description_tertiary,,INDEX(plan_session_allocation,((WEEKDAY(Y$3,2)*2-1)+IF(Y1207="Morning",0,1)),X1207))),
IF(INDEX(display_nutrition_description,((WEEKDAY(Y$3,2)*2-1)+IF(Y1207="Morning",0,1)),X1207)="","",
CONCATENATE("
Meal Plan: ", INDEX(sessions_nutrition,,INDEX(plan_session_allocation,((WEEKDAY(Y$3,2)*2-1)+IF(Y1207="Morning",0,1)),X1207)), "
", INDEX(display_nutrition_description,((WEEKDAY(Y$3,2)*2-1)+IF(Y1207="Morning",0,1)),X1207)))
)),"")),"")</f>
        <v/>
      </c>
      <c r="Y1213" s="1914"/>
      <c r="Z1213" s="1914"/>
      <c r="AA1213" s="1915"/>
      <c r="AB1213" s="177"/>
      <c r="AC1213" s="1913" t="str">
        <f ca="1">IF(AF1207&gt;0,CONCATENATE(IFERROR(CONCATENATE(IF(INDEX(display_intervals_breakdown,((WEEKDAY(AD$3,2)*2-1)+IF(AD1207="Morning",0,1)),AC1207)="","",CONCATENATE("Intervals/Reps Breakdown: 
",INDEX(display_intervals_breakdown,((WEEKDAY(AD$3,2)*2-1)+IF(AD1207="Morning",0,1)),AC1207),"
")),"Session Description: 
",CONCATENATE(IF(INDEX(final_duration_secondary,((WEEKDAY(AD$3,2)*2-1)+IF(AD1207="Morning",0,1)),AC1207)=0,"","1. "),
INDEX(sessions_description_primary,,INDEX(plan_session_allocation,((WEEKDAY(AD$3,2)*2-1)+IF(AD1207="Morning",0,1)),AC1207)),IF(INDEX(final_duration_secondary,((WEEKDAY(AD$3,2)*2-1)+IF(AD1207="Morning",0,1)),AC1207)=0,"","
2. "),
IF(INDEX(final_duration_secondary,((WEEKDAY(AD$3,2)*2-1)+IF(AD1207="Morning",0,1)),AC1207)=0,"",INDEX(sessions_description_secondary,,INDEX(plan_session_allocation,((WEEKDAY(AD$3,2)*2-1)+IF(AD1207="Morning",0,1)),AC1207))),IF(INDEX(final_duration_tertiary,((WEEKDAY(AD$3,2)*2-1)+IF(AD1207="Morning",0,1)),AC1207)=0,"","
3. "),
IF(INDEX(final_duration_tertiary,((WEEKDAY(AD$3,2)*2-1)+IF(AD1207="Morning",0,1)),AC1207)="","",INDEX(sessions_description_tertiary,,INDEX(plan_session_allocation,((WEEKDAY(AD$3,2)*2-1)+IF(AD1207="Morning",0,1)),AC1207))),
IF(INDEX(display_nutrition_description,((WEEKDAY(AD$3,2)*2-1)+IF(AD1207="Morning",0,1)),AC1207)="","",
CONCATENATE("
Meal Plan: ", INDEX(sessions_nutrition,,INDEX(plan_session_allocation,((WEEKDAY(AD$3,2)*2-1)+IF(AD1207="Morning",0,1)),AC1207)), "
", INDEX(display_nutrition_description,((WEEKDAY(AD$3,2)*2-1)+IF(AD1207="Morning",0,1)),AC1207)))
)),"")),"")</f>
        <v/>
      </c>
      <c r="AD1213" s="1914"/>
      <c r="AE1213" s="1914"/>
      <c r="AF1213" s="1915"/>
      <c r="AG1213" s="177"/>
      <c r="AH1213" s="1913" t="str">
        <f ca="1">IF(AK1207&gt;0,CONCATENATE(IFERROR(CONCATENATE(IF(INDEX(display_intervals_breakdown,((WEEKDAY(AI$3,2)*2-1)+IF(AI1207="Morning",0,1)),AH1207)="","",CONCATENATE("Intervals/Reps Breakdown: 
",INDEX(display_intervals_breakdown,((WEEKDAY(AI$3,2)*2-1)+IF(AI1207="Morning",0,1)),AH1207),"
")),"Session Description: 
",CONCATENATE(IF(INDEX(final_duration_secondary,((WEEKDAY(AI$3,2)*2-1)+IF(AI1207="Morning",0,1)),AH1207)=0,"","1. "),
INDEX(sessions_description_primary,,INDEX(plan_session_allocation,((WEEKDAY(AI$3,2)*2-1)+IF(AI1207="Morning",0,1)),AH1207)),IF(INDEX(final_duration_secondary,((WEEKDAY(AI$3,2)*2-1)+IF(AI1207="Morning",0,1)),AH1207)=0,"","
2. "),
IF(INDEX(final_duration_secondary,((WEEKDAY(AI$3,2)*2-1)+IF(AI1207="Morning",0,1)),AH1207)=0,"",INDEX(sessions_description_secondary,,INDEX(plan_session_allocation,((WEEKDAY(AI$3,2)*2-1)+IF(AI1207="Morning",0,1)),AH1207))),IF(INDEX(final_duration_tertiary,((WEEKDAY(AI$3,2)*2-1)+IF(AI1207="Morning",0,1)),AH1207)=0,"","
3. "),
IF(INDEX(final_duration_tertiary,((WEEKDAY(AI$3,2)*2-1)+IF(AI1207="Morning",0,1)),AH1207)="","",INDEX(sessions_description_tertiary,,INDEX(plan_session_allocation,((WEEKDAY(AI$3,2)*2-1)+IF(AI1207="Morning",0,1)),AH1207))),
IF(INDEX(display_nutrition_description,((WEEKDAY(AI$3,2)*2-1)+IF(AI1207="Morning",0,1)),AH1207)="","",
CONCATENATE("
Meal Plan: ", INDEX(sessions_nutrition,,INDEX(plan_session_allocation,((WEEKDAY(AI$3,2)*2-1)+IF(AI1207="Morning",0,1)),AH1207)), "
", INDEX(display_nutrition_description,((WEEKDAY(AI$3,2)*2-1)+IF(AI1207="Morning",0,1)),AH1207)))
)),"")),"")</f>
        <v/>
      </c>
      <c r="AI1213" s="1914"/>
      <c r="AJ1213" s="1914"/>
      <c r="AK1213" s="1915"/>
      <c r="AL1213" s="177"/>
    </row>
    <row r="1214" spans="2:38" s="176" customFormat="1" ht="15" customHeight="1" x14ac:dyDescent="0.45">
      <c r="B1214" s="1942"/>
      <c r="C1214" s="1945"/>
      <c r="D1214" s="1916"/>
      <c r="E1214" s="1917"/>
      <c r="F1214" s="1917"/>
      <c r="G1214" s="1918"/>
      <c r="H1214" s="177"/>
      <c r="I1214" s="1916"/>
      <c r="J1214" s="1917"/>
      <c r="K1214" s="1917"/>
      <c r="L1214" s="1918"/>
      <c r="M1214" s="177"/>
      <c r="N1214" s="1916"/>
      <c r="O1214" s="1917"/>
      <c r="P1214" s="1917"/>
      <c r="Q1214" s="1918"/>
      <c r="R1214" s="177"/>
      <c r="S1214" s="1916"/>
      <c r="T1214" s="1917"/>
      <c r="U1214" s="1917"/>
      <c r="V1214" s="1918"/>
      <c r="W1214" s="177"/>
      <c r="X1214" s="1916"/>
      <c r="Y1214" s="1917"/>
      <c r="Z1214" s="1917"/>
      <c r="AA1214" s="1918"/>
      <c r="AB1214" s="177"/>
      <c r="AC1214" s="1916"/>
      <c r="AD1214" s="1917"/>
      <c r="AE1214" s="1917"/>
      <c r="AF1214" s="1918"/>
      <c r="AG1214" s="177"/>
      <c r="AH1214" s="1916"/>
      <c r="AI1214" s="1917"/>
      <c r="AJ1214" s="1917"/>
      <c r="AK1214" s="1918"/>
      <c r="AL1214" s="177"/>
    </row>
    <row r="1215" spans="2:38" s="176" customFormat="1" ht="15" customHeight="1" x14ac:dyDescent="0.45">
      <c r="B1215" s="1942"/>
      <c r="C1215" s="1945"/>
      <c r="D1215" s="1916"/>
      <c r="E1215" s="1917"/>
      <c r="F1215" s="1917"/>
      <c r="G1215" s="1918"/>
      <c r="H1215" s="177"/>
      <c r="I1215" s="1916"/>
      <c r="J1215" s="1917"/>
      <c r="K1215" s="1917"/>
      <c r="L1215" s="1918"/>
      <c r="M1215" s="177"/>
      <c r="N1215" s="1916"/>
      <c r="O1215" s="1917"/>
      <c r="P1215" s="1917"/>
      <c r="Q1215" s="1918"/>
      <c r="R1215" s="177"/>
      <c r="S1215" s="1916"/>
      <c r="T1215" s="1917"/>
      <c r="U1215" s="1917"/>
      <c r="V1215" s="1918"/>
      <c r="W1215" s="177"/>
      <c r="X1215" s="1916"/>
      <c r="Y1215" s="1917"/>
      <c r="Z1215" s="1917"/>
      <c r="AA1215" s="1918"/>
      <c r="AB1215" s="177"/>
      <c r="AC1215" s="1916"/>
      <c r="AD1215" s="1917"/>
      <c r="AE1215" s="1917"/>
      <c r="AF1215" s="1918"/>
      <c r="AG1215" s="177"/>
      <c r="AH1215" s="1916"/>
      <c r="AI1215" s="1917"/>
      <c r="AJ1215" s="1917"/>
      <c r="AK1215" s="1918"/>
      <c r="AL1215" s="177"/>
    </row>
    <row r="1216" spans="2:38" s="176" customFormat="1" x14ac:dyDescent="0.45">
      <c r="B1216" s="1942"/>
      <c r="C1216" s="1945"/>
      <c r="D1216" s="1916"/>
      <c r="E1216" s="1917"/>
      <c r="F1216" s="1917"/>
      <c r="G1216" s="1918"/>
      <c r="H1216" s="177"/>
      <c r="I1216" s="1916"/>
      <c r="J1216" s="1917"/>
      <c r="K1216" s="1917"/>
      <c r="L1216" s="1918"/>
      <c r="M1216" s="177"/>
      <c r="N1216" s="1916"/>
      <c r="O1216" s="1917"/>
      <c r="P1216" s="1917"/>
      <c r="Q1216" s="1918"/>
      <c r="R1216" s="177"/>
      <c r="S1216" s="1916"/>
      <c r="T1216" s="1917"/>
      <c r="U1216" s="1917"/>
      <c r="V1216" s="1918"/>
      <c r="W1216" s="177"/>
      <c r="X1216" s="1916"/>
      <c r="Y1216" s="1917"/>
      <c r="Z1216" s="1917"/>
      <c r="AA1216" s="1918"/>
      <c r="AB1216" s="177"/>
      <c r="AC1216" s="1916"/>
      <c r="AD1216" s="1917"/>
      <c r="AE1216" s="1917"/>
      <c r="AF1216" s="1918"/>
      <c r="AG1216" s="177"/>
      <c r="AH1216" s="1916"/>
      <c r="AI1216" s="1917"/>
      <c r="AJ1216" s="1917"/>
      <c r="AK1216" s="1918"/>
      <c r="AL1216" s="177"/>
    </row>
    <row r="1217" spans="2:38" s="176" customFormat="1" x14ac:dyDescent="0.45">
      <c r="B1217" s="1942"/>
      <c r="C1217" s="1945"/>
      <c r="D1217" s="1916"/>
      <c r="E1217" s="1917"/>
      <c r="F1217" s="1917"/>
      <c r="G1217" s="1918"/>
      <c r="H1217" s="177"/>
      <c r="I1217" s="1916"/>
      <c r="J1217" s="1917"/>
      <c r="K1217" s="1917"/>
      <c r="L1217" s="1918"/>
      <c r="M1217" s="177"/>
      <c r="N1217" s="1916"/>
      <c r="O1217" s="1917"/>
      <c r="P1217" s="1917"/>
      <c r="Q1217" s="1918"/>
      <c r="R1217" s="177"/>
      <c r="S1217" s="1916"/>
      <c r="T1217" s="1917"/>
      <c r="U1217" s="1917"/>
      <c r="V1217" s="1918"/>
      <c r="W1217" s="177"/>
      <c r="X1217" s="1916"/>
      <c r="Y1217" s="1917"/>
      <c r="Z1217" s="1917"/>
      <c r="AA1217" s="1918"/>
      <c r="AB1217" s="177"/>
      <c r="AC1217" s="1916"/>
      <c r="AD1217" s="1917"/>
      <c r="AE1217" s="1917"/>
      <c r="AF1217" s="1918"/>
      <c r="AG1217" s="177"/>
      <c r="AH1217" s="1916"/>
      <c r="AI1217" s="1917"/>
      <c r="AJ1217" s="1917"/>
      <c r="AK1217" s="1918"/>
      <c r="AL1217" s="177"/>
    </row>
    <row r="1218" spans="2:38" s="176" customFormat="1" x14ac:dyDescent="0.45">
      <c r="B1218" s="1942"/>
      <c r="C1218" s="1945"/>
      <c r="D1218" s="1916"/>
      <c r="E1218" s="1917"/>
      <c r="F1218" s="1917"/>
      <c r="G1218" s="1918"/>
      <c r="H1218" s="177"/>
      <c r="I1218" s="1916"/>
      <c r="J1218" s="1917"/>
      <c r="K1218" s="1917"/>
      <c r="L1218" s="1918"/>
      <c r="M1218" s="177"/>
      <c r="N1218" s="1916"/>
      <c r="O1218" s="1917"/>
      <c r="P1218" s="1917"/>
      <c r="Q1218" s="1918"/>
      <c r="R1218" s="177"/>
      <c r="S1218" s="1916"/>
      <c r="T1218" s="1917"/>
      <c r="U1218" s="1917"/>
      <c r="V1218" s="1918"/>
      <c r="W1218" s="177"/>
      <c r="X1218" s="1916"/>
      <c r="Y1218" s="1917"/>
      <c r="Z1218" s="1917"/>
      <c r="AA1218" s="1918"/>
      <c r="AB1218" s="177"/>
      <c r="AC1218" s="1916"/>
      <c r="AD1218" s="1917"/>
      <c r="AE1218" s="1917"/>
      <c r="AF1218" s="1918"/>
      <c r="AG1218" s="177"/>
      <c r="AH1218" s="1916"/>
      <c r="AI1218" s="1917"/>
      <c r="AJ1218" s="1917"/>
      <c r="AK1218" s="1918"/>
      <c r="AL1218" s="177"/>
    </row>
    <row r="1219" spans="2:38" s="176" customFormat="1" ht="15" customHeight="1" x14ac:dyDescent="0.45">
      <c r="B1219" s="1942"/>
      <c r="C1219" s="1945"/>
      <c r="D1219" s="1916"/>
      <c r="E1219" s="1917"/>
      <c r="F1219" s="1917"/>
      <c r="G1219" s="1918"/>
      <c r="H1219" s="177"/>
      <c r="I1219" s="1916"/>
      <c r="J1219" s="1917"/>
      <c r="K1219" s="1917"/>
      <c r="L1219" s="1918"/>
      <c r="M1219" s="177"/>
      <c r="N1219" s="1916"/>
      <c r="O1219" s="1917"/>
      <c r="P1219" s="1917"/>
      <c r="Q1219" s="1918"/>
      <c r="R1219" s="177"/>
      <c r="S1219" s="1916"/>
      <c r="T1219" s="1917"/>
      <c r="U1219" s="1917"/>
      <c r="V1219" s="1918"/>
      <c r="W1219" s="177"/>
      <c r="X1219" s="1916"/>
      <c r="Y1219" s="1917"/>
      <c r="Z1219" s="1917"/>
      <c r="AA1219" s="1918"/>
      <c r="AB1219" s="177"/>
      <c r="AC1219" s="1916"/>
      <c r="AD1219" s="1917"/>
      <c r="AE1219" s="1917"/>
      <c r="AF1219" s="1918"/>
      <c r="AG1219" s="177"/>
      <c r="AH1219" s="1916"/>
      <c r="AI1219" s="1917"/>
      <c r="AJ1219" s="1917"/>
      <c r="AK1219" s="1918"/>
      <c r="AL1219" s="177"/>
    </row>
    <row r="1220" spans="2:38" s="176" customFormat="1" ht="15" customHeight="1" x14ac:dyDescent="0.45">
      <c r="B1220" s="1942"/>
      <c r="C1220" s="1945"/>
      <c r="D1220" s="1916"/>
      <c r="E1220" s="1917"/>
      <c r="F1220" s="1917"/>
      <c r="G1220" s="1918"/>
      <c r="H1220" s="177"/>
      <c r="I1220" s="1916"/>
      <c r="J1220" s="1917"/>
      <c r="K1220" s="1917"/>
      <c r="L1220" s="1918"/>
      <c r="M1220" s="177"/>
      <c r="N1220" s="1916"/>
      <c r="O1220" s="1917"/>
      <c r="P1220" s="1917"/>
      <c r="Q1220" s="1918"/>
      <c r="R1220" s="177"/>
      <c r="S1220" s="1916"/>
      <c r="T1220" s="1917"/>
      <c r="U1220" s="1917"/>
      <c r="V1220" s="1918"/>
      <c r="W1220" s="177"/>
      <c r="X1220" s="1916"/>
      <c r="Y1220" s="1917"/>
      <c r="Z1220" s="1917"/>
      <c r="AA1220" s="1918"/>
      <c r="AB1220" s="177"/>
      <c r="AC1220" s="1916"/>
      <c r="AD1220" s="1917"/>
      <c r="AE1220" s="1917"/>
      <c r="AF1220" s="1918"/>
      <c r="AG1220" s="177"/>
      <c r="AH1220" s="1916"/>
      <c r="AI1220" s="1917"/>
      <c r="AJ1220" s="1917"/>
      <c r="AK1220" s="1918"/>
      <c r="AL1220" s="177"/>
    </row>
    <row r="1221" spans="2:38" s="176" customFormat="1" x14ac:dyDescent="0.45">
      <c r="B1221" s="1942"/>
      <c r="C1221" s="1945"/>
      <c r="D1221" s="1916"/>
      <c r="E1221" s="1917"/>
      <c r="F1221" s="1917"/>
      <c r="G1221" s="1918"/>
      <c r="H1221" s="177"/>
      <c r="I1221" s="1916"/>
      <c r="J1221" s="1917"/>
      <c r="K1221" s="1917"/>
      <c r="L1221" s="1918"/>
      <c r="M1221" s="177"/>
      <c r="N1221" s="1916"/>
      <c r="O1221" s="1917"/>
      <c r="P1221" s="1917"/>
      <c r="Q1221" s="1918"/>
      <c r="R1221" s="177"/>
      <c r="S1221" s="1916"/>
      <c r="T1221" s="1917"/>
      <c r="U1221" s="1917"/>
      <c r="V1221" s="1918"/>
      <c r="W1221" s="177"/>
      <c r="X1221" s="1916"/>
      <c r="Y1221" s="1917"/>
      <c r="Z1221" s="1917"/>
      <c r="AA1221" s="1918"/>
      <c r="AB1221" s="177"/>
      <c r="AC1221" s="1916"/>
      <c r="AD1221" s="1917"/>
      <c r="AE1221" s="1917"/>
      <c r="AF1221" s="1918"/>
      <c r="AG1221" s="177"/>
      <c r="AH1221" s="1916"/>
      <c r="AI1221" s="1917"/>
      <c r="AJ1221" s="1917"/>
      <c r="AK1221" s="1918"/>
      <c r="AL1221" s="177"/>
    </row>
    <row r="1222" spans="2:38" s="176" customFormat="1" x14ac:dyDescent="0.45">
      <c r="B1222" s="1942"/>
      <c r="C1222" s="1945"/>
      <c r="D1222" s="1916"/>
      <c r="E1222" s="1917"/>
      <c r="F1222" s="1917"/>
      <c r="G1222" s="1918"/>
      <c r="H1222" s="177"/>
      <c r="I1222" s="1916"/>
      <c r="J1222" s="1917"/>
      <c r="K1222" s="1917"/>
      <c r="L1222" s="1918"/>
      <c r="M1222" s="177"/>
      <c r="N1222" s="1916"/>
      <c r="O1222" s="1917"/>
      <c r="P1222" s="1917"/>
      <c r="Q1222" s="1918"/>
      <c r="R1222" s="177"/>
      <c r="S1222" s="1916"/>
      <c r="T1222" s="1917"/>
      <c r="U1222" s="1917"/>
      <c r="V1222" s="1918"/>
      <c r="W1222" s="177"/>
      <c r="X1222" s="1916"/>
      <c r="Y1222" s="1917"/>
      <c r="Z1222" s="1917"/>
      <c r="AA1222" s="1918"/>
      <c r="AB1222" s="177"/>
      <c r="AC1222" s="1916"/>
      <c r="AD1222" s="1917"/>
      <c r="AE1222" s="1917"/>
      <c r="AF1222" s="1918"/>
      <c r="AG1222" s="177"/>
      <c r="AH1222" s="1916"/>
      <c r="AI1222" s="1917"/>
      <c r="AJ1222" s="1917"/>
      <c r="AK1222" s="1918"/>
      <c r="AL1222" s="177"/>
    </row>
    <row r="1223" spans="2:38" s="176" customFormat="1" x14ac:dyDescent="0.45">
      <c r="B1223" s="1942"/>
      <c r="C1223" s="1945"/>
      <c r="D1223" s="1916"/>
      <c r="E1223" s="1917"/>
      <c r="F1223" s="1917"/>
      <c r="G1223" s="1918"/>
      <c r="H1223" s="177"/>
      <c r="I1223" s="1916"/>
      <c r="J1223" s="1917"/>
      <c r="K1223" s="1917"/>
      <c r="L1223" s="1918"/>
      <c r="M1223" s="177"/>
      <c r="N1223" s="1916"/>
      <c r="O1223" s="1917"/>
      <c r="P1223" s="1917"/>
      <c r="Q1223" s="1918"/>
      <c r="R1223" s="177"/>
      <c r="S1223" s="1916"/>
      <c r="T1223" s="1917"/>
      <c r="U1223" s="1917"/>
      <c r="V1223" s="1918"/>
      <c r="W1223" s="177"/>
      <c r="X1223" s="1916"/>
      <c r="Y1223" s="1917"/>
      <c r="Z1223" s="1917"/>
      <c r="AA1223" s="1918"/>
      <c r="AB1223" s="177"/>
      <c r="AC1223" s="1916"/>
      <c r="AD1223" s="1917"/>
      <c r="AE1223" s="1917"/>
      <c r="AF1223" s="1918"/>
      <c r="AG1223" s="177"/>
      <c r="AH1223" s="1916"/>
      <c r="AI1223" s="1917"/>
      <c r="AJ1223" s="1917"/>
      <c r="AK1223" s="1918"/>
      <c r="AL1223" s="177"/>
    </row>
    <row r="1224" spans="2:38" s="176" customFormat="1" x14ac:dyDescent="0.45">
      <c r="B1224" s="1942"/>
      <c r="C1224" s="1945"/>
      <c r="D1224" s="1916"/>
      <c r="E1224" s="1917"/>
      <c r="F1224" s="1917"/>
      <c r="G1224" s="1918"/>
      <c r="H1224" s="177"/>
      <c r="I1224" s="1916"/>
      <c r="J1224" s="1917"/>
      <c r="K1224" s="1917"/>
      <c r="L1224" s="1918"/>
      <c r="M1224" s="177"/>
      <c r="N1224" s="1916"/>
      <c r="O1224" s="1917"/>
      <c r="P1224" s="1917"/>
      <c r="Q1224" s="1918"/>
      <c r="R1224" s="177"/>
      <c r="S1224" s="1916"/>
      <c r="T1224" s="1917"/>
      <c r="U1224" s="1917"/>
      <c r="V1224" s="1918"/>
      <c r="W1224" s="177"/>
      <c r="X1224" s="1916"/>
      <c r="Y1224" s="1917"/>
      <c r="Z1224" s="1917"/>
      <c r="AA1224" s="1918"/>
      <c r="AB1224" s="177"/>
      <c r="AC1224" s="1916"/>
      <c r="AD1224" s="1917"/>
      <c r="AE1224" s="1917"/>
      <c r="AF1224" s="1918"/>
      <c r="AG1224" s="177"/>
      <c r="AH1224" s="1916"/>
      <c r="AI1224" s="1917"/>
      <c r="AJ1224" s="1917"/>
      <c r="AK1224" s="1918"/>
      <c r="AL1224" s="177"/>
    </row>
    <row r="1225" spans="2:38" s="176" customFormat="1" x14ac:dyDescent="0.45">
      <c r="B1225" s="1942"/>
      <c r="C1225" s="1945"/>
      <c r="D1225" s="1916"/>
      <c r="E1225" s="1917"/>
      <c r="F1225" s="1917"/>
      <c r="G1225" s="1918"/>
      <c r="H1225" s="177"/>
      <c r="I1225" s="1916"/>
      <c r="J1225" s="1917"/>
      <c r="K1225" s="1917"/>
      <c r="L1225" s="1918"/>
      <c r="M1225" s="177"/>
      <c r="N1225" s="1916"/>
      <c r="O1225" s="1917"/>
      <c r="P1225" s="1917"/>
      <c r="Q1225" s="1918"/>
      <c r="R1225" s="177"/>
      <c r="S1225" s="1916"/>
      <c r="T1225" s="1917"/>
      <c r="U1225" s="1917"/>
      <c r="V1225" s="1918"/>
      <c r="W1225" s="177"/>
      <c r="X1225" s="1916"/>
      <c r="Y1225" s="1917"/>
      <c r="Z1225" s="1917"/>
      <c r="AA1225" s="1918"/>
      <c r="AB1225" s="177"/>
      <c r="AC1225" s="1916"/>
      <c r="AD1225" s="1917"/>
      <c r="AE1225" s="1917"/>
      <c r="AF1225" s="1918"/>
      <c r="AG1225" s="177"/>
      <c r="AH1225" s="1916"/>
      <c r="AI1225" s="1917"/>
      <c r="AJ1225" s="1917"/>
      <c r="AK1225" s="1918"/>
      <c r="AL1225" s="177"/>
    </row>
    <row r="1226" spans="2:38" s="176" customFormat="1" ht="15" customHeight="1" x14ac:dyDescent="0.45">
      <c r="B1226" s="1942"/>
      <c r="C1226" s="1945"/>
      <c r="D1226" s="1919"/>
      <c r="E1226" s="1920"/>
      <c r="F1226" s="1920"/>
      <c r="G1226" s="1921"/>
      <c r="H1226" s="177"/>
      <c r="I1226" s="1919"/>
      <c r="J1226" s="1920"/>
      <c r="K1226" s="1920"/>
      <c r="L1226" s="1921"/>
      <c r="M1226" s="177"/>
      <c r="N1226" s="1919"/>
      <c r="O1226" s="1920"/>
      <c r="P1226" s="1920"/>
      <c r="Q1226" s="1921"/>
      <c r="R1226" s="177"/>
      <c r="S1226" s="1919"/>
      <c r="T1226" s="1920"/>
      <c r="U1226" s="1920"/>
      <c r="V1226" s="1921"/>
      <c r="W1226" s="177"/>
      <c r="X1226" s="1919"/>
      <c r="Y1226" s="1920"/>
      <c r="Z1226" s="1920"/>
      <c r="AA1226" s="1921"/>
      <c r="AB1226" s="177"/>
      <c r="AC1226" s="1919"/>
      <c r="AD1226" s="1920"/>
      <c r="AE1226" s="1920"/>
      <c r="AF1226" s="1921"/>
      <c r="AG1226" s="177"/>
      <c r="AH1226" s="1919"/>
      <c r="AI1226" s="1920"/>
      <c r="AJ1226" s="1920"/>
      <c r="AK1226" s="1921"/>
      <c r="AL1226" s="177"/>
    </row>
    <row r="1227" spans="2:38" s="176" customFormat="1" ht="15" customHeight="1" x14ac:dyDescent="0.45">
      <c r="B1227" s="1942"/>
      <c r="C1227" s="1945"/>
      <c r="D1227" s="1913" t="str">
        <f ca="1">IF(G1207&gt;0,CONCATENATE("Session Aim: 
", CONCATENATE(IF(INDEX(final_duration_secondary,((WEEKDAY(E$3,2)*2-1)+IF(E1207="Morning",0,1)),D1207)=0, "", "1. "),
INDEX(sessions_aim_primary,, INDEX(plan_session_allocation,((WEEKDAY(E$3,2)*2-1)+IF(E1207="Morning",0,1)),D1207)), IF(INDEX(final_duration_secondary,((WEEKDAY(E$3,2)*2-1)+IF(E1207="Morning",0,1)),D1207)=0, "", "
2. "),
IF(INDEX(final_duration_secondary,((WEEKDAY(E$3,2)*2-1)+IF(E1207="Morning",0,1)),D1207)=0, "", INDEX(sessions_aim_secondary,, INDEX(plan_session_allocation,((WEEKDAY(E$3,2)*2-1)+IF(E1207="Morning",0,1)),D1207))), IF(INDEX(final_duration_tertiary,((WEEKDAY(E$3,2)*2-1)+IF(E1207="Morning",0,1)),D1207)=0, "", "
3. "),
IF(INDEX(final_duration_tertiary,((WEEKDAY(E$3,2)*2-1)+IF(E1207="Morning",0,1)),D1207)=0, "", INDEX(sessions_aim_tertiary,, INDEX(plan_session_allocation,((WEEKDAY(E$3,2)*2-1)+IF(E1207="Morning",0,1)),D1207))),
IF(INDEX(display_nutrition_description,((WEEKDAY(E$3,2)*2-1)+IF(E1207="Morning",0,1)),D1207)="","",
CONCATENATE("
Nutrition Aim:
", INDEX(sessions_aim_nutrition,,INDEX(plan_session_allocation,((WEEKDAY(E$3,2)*2-1)+IF(E1207="Morning",0,1)),D1207))
))
)),"")</f>
        <v/>
      </c>
      <c r="E1227" s="1914"/>
      <c r="F1227" s="1914"/>
      <c r="G1227" s="1915"/>
      <c r="H1227" s="177"/>
      <c r="I1227" s="1913" t="str">
        <f ca="1">IF(L1207&gt;0,CONCATENATE("Session Aim: 
", CONCATENATE(IF(INDEX(final_duration_secondary,((WEEKDAY(J$3,2)*2-1)+IF(J1207="Morning",0,1)),I1207)=0, "", "1. "),
INDEX(sessions_aim_primary,, INDEX(plan_session_allocation,((WEEKDAY(J$3,2)*2-1)+IF(J1207="Morning",0,1)),I1207)), IF(INDEX(final_duration_secondary,((WEEKDAY(J$3,2)*2-1)+IF(J1207="Morning",0,1)),I1207)=0, "", "
2. "),
IF(INDEX(final_duration_secondary,((WEEKDAY(J$3,2)*2-1)+IF(J1207="Morning",0,1)),I1207)=0, "", INDEX(sessions_aim_secondary,, INDEX(plan_session_allocation,((WEEKDAY(J$3,2)*2-1)+IF(J1207="Morning",0,1)),I1207))), IF(INDEX(final_duration_tertiary,((WEEKDAY(J$3,2)*2-1)+IF(J1207="Morning",0,1)),I1207)=0, "", "
3. "),
IF(INDEX(final_duration_tertiary,((WEEKDAY(J$3,2)*2-1)+IF(J1207="Morning",0,1)),I1207)=0, "", INDEX(sessions_aim_tertiary,, INDEX(plan_session_allocation,((WEEKDAY(J$3,2)*2-1)+IF(J1207="Morning",0,1)),I1207))),
IF(INDEX(display_nutrition_description,((WEEKDAY(J$3,2)*2-1)+IF(J1207="Morning",0,1)),I1207)="","",
CONCATENATE("
Nutrition Aim:
", INDEX(sessions_aim_nutrition,,INDEX(plan_session_allocation,((WEEKDAY(J$3,2)*2-1)+IF(J1207="Morning",0,1)),I1207))
))
)),"")</f>
        <v/>
      </c>
      <c r="J1227" s="1914"/>
      <c r="K1227" s="1914"/>
      <c r="L1227" s="1915"/>
      <c r="M1227" s="177"/>
      <c r="N1227" s="1913" t="str">
        <f ca="1">IF(Q1207&gt;0,CONCATENATE("Session Aim: 
", CONCATENATE(IF(INDEX(final_duration_secondary,((WEEKDAY(O$3,2)*2-1)+IF(O1207="Morning",0,1)),N1207)=0, "", "1. "),
INDEX(sessions_aim_primary,, INDEX(plan_session_allocation,((WEEKDAY(O$3,2)*2-1)+IF(O1207="Morning",0,1)),N1207)), IF(INDEX(final_duration_secondary,((WEEKDAY(O$3,2)*2-1)+IF(O1207="Morning",0,1)),N1207)=0, "", "
2. "),
IF(INDEX(final_duration_secondary,((WEEKDAY(O$3,2)*2-1)+IF(O1207="Morning",0,1)),N1207)=0, "", INDEX(sessions_aim_secondary,, INDEX(plan_session_allocation,((WEEKDAY(O$3,2)*2-1)+IF(O1207="Morning",0,1)),N1207))), IF(INDEX(final_duration_tertiary,((WEEKDAY(O$3,2)*2-1)+IF(O1207="Morning",0,1)),N1207)=0, "", "
3. "),
IF(INDEX(final_duration_tertiary,((WEEKDAY(O$3,2)*2-1)+IF(O1207="Morning",0,1)),N1207)=0, "", INDEX(sessions_aim_tertiary,, INDEX(plan_session_allocation,((WEEKDAY(O$3,2)*2-1)+IF(O1207="Morning",0,1)),N1207))),
IF(INDEX(display_nutrition_description,((WEEKDAY(O$3,2)*2-1)+IF(O1207="Morning",0,1)),N1207)="","",
CONCATENATE("
Nutrition Aim:
", INDEX(sessions_aim_nutrition,,INDEX(plan_session_allocation,((WEEKDAY(O$3,2)*2-1)+IF(O1207="Morning",0,1)),N1207))
))
)),"")</f>
        <v/>
      </c>
      <c r="O1227" s="1914"/>
      <c r="P1227" s="1914"/>
      <c r="Q1227" s="1915"/>
      <c r="R1227" s="177"/>
      <c r="S1227" s="1913" t="str">
        <f ca="1">IF(V1207&gt;0,CONCATENATE("Session Aim: 
", CONCATENATE(IF(INDEX(final_duration_secondary,((WEEKDAY(T$3,2)*2-1)+IF(T1207="Morning",0,1)),S1207)=0, "", "1. "),
INDEX(sessions_aim_primary,, INDEX(plan_session_allocation,((WEEKDAY(T$3,2)*2-1)+IF(T1207="Morning",0,1)),S1207)), IF(INDEX(final_duration_secondary,((WEEKDAY(T$3,2)*2-1)+IF(T1207="Morning",0,1)),S1207)=0, "", "
2. "),
IF(INDEX(final_duration_secondary,((WEEKDAY(T$3,2)*2-1)+IF(T1207="Morning",0,1)),S1207)=0, "", INDEX(sessions_aim_secondary,, INDEX(plan_session_allocation,((WEEKDAY(T$3,2)*2-1)+IF(T1207="Morning",0,1)),S1207))), IF(INDEX(final_duration_tertiary,((WEEKDAY(T$3,2)*2-1)+IF(T1207="Morning",0,1)),S1207)=0, "", "
3. "),
IF(INDEX(final_duration_tertiary,((WEEKDAY(T$3,2)*2-1)+IF(T1207="Morning",0,1)),S1207)=0, "", INDEX(sessions_aim_tertiary,, INDEX(plan_session_allocation,((WEEKDAY(T$3,2)*2-1)+IF(T1207="Morning",0,1)),S1207))),
IF(INDEX(display_nutrition_description,((WEEKDAY(T$3,2)*2-1)+IF(T1207="Morning",0,1)),S1207)="","",
CONCATENATE("
Nutrition Aim:
", INDEX(sessions_aim_nutrition,,INDEX(plan_session_allocation,((WEEKDAY(T$3,2)*2-1)+IF(T1207="Morning",0,1)),S1207))
))
)),"")</f>
        <v/>
      </c>
      <c r="T1227" s="1914"/>
      <c r="U1227" s="1914"/>
      <c r="V1227" s="1915"/>
      <c r="W1227" s="177"/>
      <c r="X1227" s="1913" t="str">
        <f ca="1">IF(AA1207&gt;0,CONCATENATE("Session Aim: 
", CONCATENATE(IF(INDEX(final_duration_secondary,((WEEKDAY(Y$3,2)*2-1)+IF(Y1207="Morning",0,1)),X1207)=0, "", "1. "),
INDEX(sessions_aim_primary,, INDEX(plan_session_allocation,((WEEKDAY(Y$3,2)*2-1)+IF(Y1207="Morning",0,1)),X1207)), IF(INDEX(final_duration_secondary,((WEEKDAY(Y$3,2)*2-1)+IF(Y1207="Morning",0,1)),X1207)=0, "", "
2. "),
IF(INDEX(final_duration_secondary,((WEEKDAY(Y$3,2)*2-1)+IF(Y1207="Morning",0,1)),X1207)=0, "", INDEX(sessions_aim_secondary,, INDEX(plan_session_allocation,((WEEKDAY(Y$3,2)*2-1)+IF(Y1207="Morning",0,1)),X1207))), IF(INDEX(final_duration_tertiary,((WEEKDAY(Y$3,2)*2-1)+IF(Y1207="Morning",0,1)),X1207)=0, "", "
3. "),
IF(INDEX(final_duration_tertiary,((WEEKDAY(Y$3,2)*2-1)+IF(Y1207="Morning",0,1)),X1207)=0, "", INDEX(sessions_aim_tertiary,, INDEX(plan_session_allocation,((WEEKDAY(Y$3,2)*2-1)+IF(Y1207="Morning",0,1)),X1207))),
IF(INDEX(display_nutrition_description,((WEEKDAY(Y$3,2)*2-1)+IF(Y1207="Morning",0,1)),X1207)="","",
CONCATENATE("
Nutrition Aim:
", INDEX(sessions_aim_nutrition,,INDEX(plan_session_allocation,((WEEKDAY(Y$3,2)*2-1)+IF(Y1207="Morning",0,1)),X1207))
))
)),"")</f>
        <v/>
      </c>
      <c r="Y1227" s="1914"/>
      <c r="Z1227" s="1914"/>
      <c r="AA1227" s="1915"/>
      <c r="AB1227" s="177"/>
      <c r="AC1227" s="1913" t="str">
        <f ca="1">IF(AF1207&gt;0,CONCATENATE("Session Aim: 
", CONCATENATE(IF(INDEX(final_duration_secondary,((WEEKDAY(AD$3,2)*2-1)+IF(AD1207="Morning",0,1)),AC1207)=0, "", "1. "),
INDEX(sessions_aim_primary,, INDEX(plan_session_allocation,((WEEKDAY(AD$3,2)*2-1)+IF(AD1207="Morning",0,1)),AC1207)), IF(INDEX(final_duration_secondary,((WEEKDAY(AD$3,2)*2-1)+IF(AD1207="Morning",0,1)),AC1207)=0, "", "
2. "),
IF(INDEX(final_duration_secondary,((WEEKDAY(AD$3,2)*2-1)+IF(AD1207="Morning",0,1)),AC1207)=0, "", INDEX(sessions_aim_secondary,, INDEX(plan_session_allocation,((WEEKDAY(AD$3,2)*2-1)+IF(AD1207="Morning",0,1)),AC1207))), IF(INDEX(final_duration_tertiary,((WEEKDAY(AD$3,2)*2-1)+IF(AD1207="Morning",0,1)),AC1207)=0, "", "
3. "),
IF(INDEX(final_duration_tertiary,((WEEKDAY(AD$3,2)*2-1)+IF(AD1207="Morning",0,1)),AC1207)=0, "", INDEX(sessions_aim_tertiary,, INDEX(plan_session_allocation,((WEEKDAY(AD$3,2)*2-1)+IF(AD1207="Morning",0,1)),AC1207))),
IF(INDEX(display_nutrition_description,((WEEKDAY(AD$3,2)*2-1)+IF(AD1207="Morning",0,1)),AC1207)="","",
CONCATENATE("
Nutrition Aim:
", INDEX(sessions_aim_nutrition,,INDEX(plan_session_allocation,((WEEKDAY(AD$3,2)*2-1)+IF(AD1207="Morning",0,1)),AC1207))
))
)),"")</f>
        <v/>
      </c>
      <c r="AD1227" s="1914"/>
      <c r="AE1227" s="1914"/>
      <c r="AF1227" s="1915"/>
      <c r="AG1227" s="177"/>
      <c r="AH1227" s="1913" t="str">
        <f ca="1">IF(AK1207&gt;0,CONCATENATE("Session Aim: 
", CONCATENATE(IF(INDEX(final_duration_secondary,((WEEKDAY(AI$3,2)*2-1)+IF(AI1207="Morning",0,1)),AH1207)=0, "", "1. "),
INDEX(sessions_aim_primary,, INDEX(plan_session_allocation,((WEEKDAY(AI$3,2)*2-1)+IF(AI1207="Morning",0,1)),AH1207)), IF(INDEX(final_duration_secondary,((WEEKDAY(AI$3,2)*2-1)+IF(AI1207="Morning",0,1)),AH1207)=0, "", "
2. "),
IF(INDEX(final_duration_secondary,((WEEKDAY(AI$3,2)*2-1)+IF(AI1207="Morning",0,1)),AH1207)=0, "", INDEX(sessions_aim_secondary,, INDEX(plan_session_allocation,((WEEKDAY(AI$3,2)*2-1)+IF(AI1207="Morning",0,1)),AH1207))), IF(INDEX(final_duration_tertiary,((WEEKDAY(AI$3,2)*2-1)+IF(AI1207="Morning",0,1)),AH1207)=0, "", "
3. "),
IF(INDEX(final_duration_tertiary,((WEEKDAY(AI$3,2)*2-1)+IF(AI1207="Morning",0,1)),AH1207)=0, "", INDEX(sessions_aim_tertiary,, INDEX(plan_session_allocation,((WEEKDAY(AI$3,2)*2-1)+IF(AI1207="Morning",0,1)),AH1207))),
IF(INDEX(display_nutrition_description,((WEEKDAY(AI$3,2)*2-1)+IF(AI1207="Morning",0,1)),AH1207)="","",
CONCATENATE("
Nutrition Aim:
", INDEX(sessions_aim_nutrition,,INDEX(plan_session_allocation,((WEEKDAY(AI$3,2)*2-1)+IF(AI1207="Morning",0,1)),AH1207))
))
)),"")</f>
        <v/>
      </c>
      <c r="AI1227" s="1914"/>
      <c r="AJ1227" s="1914"/>
      <c r="AK1227" s="1915"/>
      <c r="AL1227" s="177"/>
    </row>
    <row r="1228" spans="2:38" s="176" customFormat="1" x14ac:dyDescent="0.45">
      <c r="B1228" s="1942"/>
      <c r="C1228" s="1945"/>
      <c r="D1228" s="1916"/>
      <c r="E1228" s="1917"/>
      <c r="F1228" s="1917"/>
      <c r="G1228" s="1918"/>
      <c r="H1228" s="177"/>
      <c r="I1228" s="1916"/>
      <c r="J1228" s="1917"/>
      <c r="K1228" s="1917"/>
      <c r="L1228" s="1918"/>
      <c r="M1228" s="177"/>
      <c r="N1228" s="1916"/>
      <c r="O1228" s="1917"/>
      <c r="P1228" s="1917"/>
      <c r="Q1228" s="1918"/>
      <c r="R1228" s="177"/>
      <c r="S1228" s="1916"/>
      <c r="T1228" s="1917"/>
      <c r="U1228" s="1917"/>
      <c r="V1228" s="1918"/>
      <c r="W1228" s="177"/>
      <c r="X1228" s="1916"/>
      <c r="Y1228" s="1917"/>
      <c r="Z1228" s="1917"/>
      <c r="AA1228" s="1918"/>
      <c r="AB1228" s="177"/>
      <c r="AC1228" s="1916"/>
      <c r="AD1228" s="1917"/>
      <c r="AE1228" s="1917"/>
      <c r="AF1228" s="1918"/>
      <c r="AG1228" s="177"/>
      <c r="AH1228" s="1916"/>
      <c r="AI1228" s="1917"/>
      <c r="AJ1228" s="1917"/>
      <c r="AK1228" s="1918"/>
      <c r="AL1228" s="177"/>
    </row>
    <row r="1229" spans="2:38" s="176" customFormat="1" x14ac:dyDescent="0.45">
      <c r="B1229" s="1942"/>
      <c r="C1229" s="1945"/>
      <c r="D1229" s="1916"/>
      <c r="E1229" s="1917"/>
      <c r="F1229" s="1917"/>
      <c r="G1229" s="1918"/>
      <c r="H1229" s="177"/>
      <c r="I1229" s="1916"/>
      <c r="J1229" s="1917"/>
      <c r="K1229" s="1917"/>
      <c r="L1229" s="1918"/>
      <c r="M1229" s="177"/>
      <c r="N1229" s="1916"/>
      <c r="O1229" s="1917"/>
      <c r="P1229" s="1917"/>
      <c r="Q1229" s="1918"/>
      <c r="R1229" s="177"/>
      <c r="S1229" s="1916"/>
      <c r="T1229" s="1917"/>
      <c r="U1229" s="1917"/>
      <c r="V1229" s="1918"/>
      <c r="W1229" s="177"/>
      <c r="X1229" s="1916"/>
      <c r="Y1229" s="1917"/>
      <c r="Z1229" s="1917"/>
      <c r="AA1229" s="1918"/>
      <c r="AB1229" s="177"/>
      <c r="AC1229" s="1916"/>
      <c r="AD1229" s="1917"/>
      <c r="AE1229" s="1917"/>
      <c r="AF1229" s="1918"/>
      <c r="AG1229" s="177"/>
      <c r="AH1229" s="1916"/>
      <c r="AI1229" s="1917"/>
      <c r="AJ1229" s="1917"/>
      <c r="AK1229" s="1918"/>
      <c r="AL1229" s="177"/>
    </row>
    <row r="1230" spans="2:38" s="176" customFormat="1" x14ac:dyDescent="0.45">
      <c r="B1230" s="1942"/>
      <c r="C1230" s="1945"/>
      <c r="D1230" s="1916"/>
      <c r="E1230" s="1917"/>
      <c r="F1230" s="1917"/>
      <c r="G1230" s="1918"/>
      <c r="H1230" s="177"/>
      <c r="I1230" s="1916"/>
      <c r="J1230" s="1917"/>
      <c r="K1230" s="1917"/>
      <c r="L1230" s="1918"/>
      <c r="M1230" s="177"/>
      <c r="N1230" s="1916"/>
      <c r="O1230" s="1917"/>
      <c r="P1230" s="1917"/>
      <c r="Q1230" s="1918"/>
      <c r="R1230" s="177"/>
      <c r="S1230" s="1916"/>
      <c r="T1230" s="1917"/>
      <c r="U1230" s="1917"/>
      <c r="V1230" s="1918"/>
      <c r="W1230" s="177"/>
      <c r="X1230" s="1916"/>
      <c r="Y1230" s="1917"/>
      <c r="Z1230" s="1917"/>
      <c r="AA1230" s="1918"/>
      <c r="AB1230" s="177"/>
      <c r="AC1230" s="1916"/>
      <c r="AD1230" s="1917"/>
      <c r="AE1230" s="1917"/>
      <c r="AF1230" s="1918"/>
      <c r="AG1230" s="177"/>
      <c r="AH1230" s="1916"/>
      <c r="AI1230" s="1917"/>
      <c r="AJ1230" s="1917"/>
      <c r="AK1230" s="1918"/>
      <c r="AL1230" s="177"/>
    </row>
    <row r="1231" spans="2:38" s="176" customFormat="1" x14ac:dyDescent="0.45">
      <c r="B1231" s="1942"/>
      <c r="C1231" s="1945"/>
      <c r="D1231" s="1916"/>
      <c r="E1231" s="1917"/>
      <c r="F1231" s="1917"/>
      <c r="G1231" s="1918"/>
      <c r="H1231" s="177"/>
      <c r="I1231" s="1916"/>
      <c r="J1231" s="1917"/>
      <c r="K1231" s="1917"/>
      <c r="L1231" s="1918"/>
      <c r="M1231" s="177"/>
      <c r="N1231" s="1916"/>
      <c r="O1231" s="1917"/>
      <c r="P1231" s="1917"/>
      <c r="Q1231" s="1918"/>
      <c r="R1231" s="177"/>
      <c r="S1231" s="1916"/>
      <c r="T1231" s="1917"/>
      <c r="U1231" s="1917"/>
      <c r="V1231" s="1918"/>
      <c r="W1231" s="177"/>
      <c r="X1231" s="1916"/>
      <c r="Y1231" s="1917"/>
      <c r="Z1231" s="1917"/>
      <c r="AA1231" s="1918"/>
      <c r="AB1231" s="177"/>
      <c r="AC1231" s="1916"/>
      <c r="AD1231" s="1917"/>
      <c r="AE1231" s="1917"/>
      <c r="AF1231" s="1918"/>
      <c r="AG1231" s="177"/>
      <c r="AH1231" s="1916"/>
      <c r="AI1231" s="1917"/>
      <c r="AJ1231" s="1917"/>
      <c r="AK1231" s="1918"/>
      <c r="AL1231" s="177"/>
    </row>
    <row r="1232" spans="2:38" s="176" customFormat="1" x14ac:dyDescent="0.45">
      <c r="B1232" s="1942"/>
      <c r="C1232" s="1945"/>
      <c r="D1232" s="1916"/>
      <c r="E1232" s="1917"/>
      <c r="F1232" s="1917"/>
      <c r="G1232" s="1918"/>
      <c r="H1232" s="177"/>
      <c r="I1232" s="1916"/>
      <c r="J1232" s="1917"/>
      <c r="K1232" s="1917"/>
      <c r="L1232" s="1918"/>
      <c r="N1232" s="1916"/>
      <c r="O1232" s="1917"/>
      <c r="P1232" s="1917"/>
      <c r="Q1232" s="1918"/>
      <c r="S1232" s="1916"/>
      <c r="T1232" s="1917"/>
      <c r="U1232" s="1917"/>
      <c r="V1232" s="1918"/>
      <c r="X1232" s="1916"/>
      <c r="Y1232" s="1917"/>
      <c r="Z1232" s="1917"/>
      <c r="AA1232" s="1918"/>
      <c r="AC1232" s="1916"/>
      <c r="AD1232" s="1917"/>
      <c r="AE1232" s="1917"/>
      <c r="AF1232" s="1918"/>
      <c r="AH1232" s="1916"/>
      <c r="AI1232" s="1917"/>
      <c r="AJ1232" s="1917"/>
      <c r="AK1232" s="1918"/>
    </row>
    <row r="1233" spans="2:38" s="176" customFormat="1" ht="14.65" thickBot="1" x14ac:dyDescent="0.5">
      <c r="B1233" s="1943"/>
      <c r="C1233" s="1946"/>
      <c r="D1233" s="1938"/>
      <c r="E1233" s="1939"/>
      <c r="F1233" s="1939"/>
      <c r="G1233" s="1940"/>
      <c r="H1233" s="177"/>
      <c r="I1233" s="1938"/>
      <c r="J1233" s="1939"/>
      <c r="K1233" s="1939"/>
      <c r="L1233" s="1940"/>
      <c r="N1233" s="1938"/>
      <c r="O1233" s="1939"/>
      <c r="P1233" s="1939"/>
      <c r="Q1233" s="1940"/>
      <c r="S1233" s="1938"/>
      <c r="T1233" s="1939"/>
      <c r="U1233" s="1939"/>
      <c r="V1233" s="1940"/>
      <c r="X1233" s="1938"/>
      <c r="Y1233" s="1939"/>
      <c r="Z1233" s="1939"/>
      <c r="AA1233" s="1940"/>
      <c r="AC1233" s="1938"/>
      <c r="AD1233" s="1939"/>
      <c r="AE1233" s="1939"/>
      <c r="AF1233" s="1940"/>
      <c r="AH1233" s="1938"/>
      <c r="AI1233" s="1939"/>
      <c r="AJ1233" s="1939"/>
      <c r="AK1233" s="1940"/>
    </row>
    <row r="1234" spans="2:38" s="176" customFormat="1" ht="14.65" thickBot="1" x14ac:dyDescent="0.5">
      <c r="H1234" s="177"/>
    </row>
    <row r="1235" spans="2:38" s="176" customFormat="1" ht="15" customHeight="1" thickBot="1" x14ac:dyDescent="0.5">
      <c r="B1235" s="1941">
        <v>23</v>
      </c>
      <c r="C1235" s="1944" t="str">
        <f ca="1">IF(INDEX(display_strategy,1,B1235)="","", CONCATENATE(INDEX(display_strategy,1,B1235),": ",HLOOKUP(INDEX(display_strategy,1,B1235),strategies,4,TRUE)))</f>
        <v/>
      </c>
      <c r="D1235" s="1418" t="str">
        <f ca="1">CONCATENATE("Strategy: ",INDEX(display_strategy,$B1235))</f>
        <v xml:space="preserve">Strategy: </v>
      </c>
      <c r="E1235" s="1947">
        <f>plan_start_date + ($B1235-1)*7 + (COLUMN(D$2)-2)/5</f>
        <v>43528.4</v>
      </c>
      <c r="F1235" s="1947"/>
      <c r="G1235" s="1417" t="str">
        <f>CONCATENATE("Slot: ", ((WEEKDAY(E$3,2)*2-1)+IF(E1236="Morning",0,1)))</f>
        <v>Slot: 1</v>
      </c>
      <c r="H1235" s="177"/>
      <c r="I1235" s="1418" t="str">
        <f ca="1">CONCATENATE("Strategy: ",INDEX(display_strategy,$B1235))</f>
        <v xml:space="preserve">Strategy: </v>
      </c>
      <c r="J1235" s="1947">
        <f>plan_start_date + ($B1235-1)*7 + (COLUMN(I$2)-2)/5</f>
        <v>43529.4</v>
      </c>
      <c r="K1235" s="1947"/>
      <c r="L1235" s="1417" t="str">
        <f>CONCATENATE("Slot: ", ((WEEKDAY(J$3,2)*2-1)+IF(J1236="Morning",0,1)))</f>
        <v>Slot: 3</v>
      </c>
      <c r="N1235" s="1418" t="str">
        <f ca="1">CONCATENATE("Strategy: ",INDEX(display_strategy,$B1235))</f>
        <v xml:space="preserve">Strategy: </v>
      </c>
      <c r="O1235" s="1947">
        <f>plan_start_date + ($B1235-1)*7 + (COLUMN(N$2)-2)/5</f>
        <v>43530.400000000001</v>
      </c>
      <c r="P1235" s="1947"/>
      <c r="Q1235" s="1417" t="str">
        <f>CONCATENATE("Slot: ", ((WEEKDAY(O$3,2)*2-1)+IF(O1236="Morning",0,1)))</f>
        <v>Slot: 5</v>
      </c>
      <c r="S1235" s="1418" t="str">
        <f ca="1">CONCATENATE("Strategy: ",INDEX(display_strategy,$B1235))</f>
        <v xml:space="preserve">Strategy: </v>
      </c>
      <c r="T1235" s="1947">
        <f>plan_start_date + ($B1235-1)*7 + (COLUMN(S$2)-2)/5</f>
        <v>43531.4</v>
      </c>
      <c r="U1235" s="1947"/>
      <c r="V1235" s="1417" t="str">
        <f>CONCATENATE("Slot: ", ((WEEKDAY(T$3,2)*2-1)+IF(T1236="Morning",0,1)))</f>
        <v>Slot: 7</v>
      </c>
      <c r="X1235" s="1418" t="str">
        <f ca="1">CONCATENATE("Strategy: ",INDEX(display_strategy,$B1235))</f>
        <v xml:space="preserve">Strategy: </v>
      </c>
      <c r="Y1235" s="1947">
        <f>plan_start_date + ($B1235-1)*7 + (COLUMN(X$2)-2)/5</f>
        <v>43532.4</v>
      </c>
      <c r="Z1235" s="1947"/>
      <c r="AA1235" s="1417" t="str">
        <f>CONCATENATE("Slot: ", ((WEEKDAY(Y$3,2)*2-1)+IF(Y1236="Morning",0,1)))</f>
        <v>Slot: 9</v>
      </c>
      <c r="AC1235" s="1418" t="str">
        <f ca="1">CONCATENATE("Strategy: ",INDEX(display_strategy,$B1235))</f>
        <v xml:space="preserve">Strategy: </v>
      </c>
      <c r="AD1235" s="1947">
        <f>plan_start_date + ($B1235-1)*7 + (COLUMN(AC$2)-2)/5</f>
        <v>43533.4</v>
      </c>
      <c r="AE1235" s="1947"/>
      <c r="AF1235" s="1417" t="str">
        <f>CONCATENATE("Slot: ", ((WEEKDAY(AD$3,2)*2-1)+IF(AD1236="Morning",0,1)))</f>
        <v>Slot: 11</v>
      </c>
      <c r="AH1235" s="1418" t="str">
        <f ca="1">CONCATENATE("Strategy: ",INDEX(display_strategy,$B1235))</f>
        <v xml:space="preserve">Strategy: </v>
      </c>
      <c r="AI1235" s="1947">
        <f>plan_start_date + ($B1235-1)*7 + (COLUMN(AH$2)-2)/5</f>
        <v>43534.400000000001</v>
      </c>
      <c r="AJ1235" s="1947"/>
      <c r="AK1235" s="1417" t="str">
        <f>CONCATENATE("Slot: ", ((WEEKDAY(AI$3,2)*2-1)+IF(AI1236="Morning",0,1)))</f>
        <v>Slot: 13</v>
      </c>
    </row>
    <row r="1236" spans="2:38" s="176" customFormat="1" x14ac:dyDescent="0.45">
      <c r="B1236" s="1942"/>
      <c r="C1236" s="1945"/>
      <c r="D1236" s="1413">
        <f>$B1235</f>
        <v>23</v>
      </c>
      <c r="E1236" s="1930" t="s">
        <v>351</v>
      </c>
      <c r="F1236" s="1930"/>
      <c r="G1236" s="1412">
        <f ca="1">INDEX(final_duration_session, ((WEEKDAY(E$3,2)*2-1)+IF(E1236="Morning",0,1)), $D1236)</f>
        <v>0</v>
      </c>
      <c r="H1236" s="177"/>
      <c r="I1236" s="1413">
        <f>$B1235</f>
        <v>23</v>
      </c>
      <c r="J1236" s="1930" t="s">
        <v>351</v>
      </c>
      <c r="K1236" s="1930"/>
      <c r="L1236" s="1412">
        <f ca="1">INDEX(final_duration_session, ((WEEKDAY(J$3,2)*2-1)+IF(J1236="Morning",0,1)), $D1236)</f>
        <v>0</v>
      </c>
      <c r="M1236" s="177"/>
      <c r="N1236" s="1413">
        <f>$B1235</f>
        <v>23</v>
      </c>
      <c r="O1236" s="1930" t="s">
        <v>351</v>
      </c>
      <c r="P1236" s="1930"/>
      <c r="Q1236" s="1412">
        <f ca="1">INDEX(final_duration_session, ((WEEKDAY(O$3,2)*2-1)+IF(O1236="Morning",0,1)), $D1236)</f>
        <v>0</v>
      </c>
      <c r="R1236" s="177"/>
      <c r="S1236" s="1413">
        <f>$B1235</f>
        <v>23</v>
      </c>
      <c r="T1236" s="1930" t="s">
        <v>351</v>
      </c>
      <c r="U1236" s="1930"/>
      <c r="V1236" s="1412">
        <f ca="1">INDEX(final_duration_session, ((WEEKDAY(T$3,2)*2-1)+IF(T1236="Morning",0,1)), $D1236)</f>
        <v>0</v>
      </c>
      <c r="W1236" s="177"/>
      <c r="X1236" s="1413">
        <f>$B1235</f>
        <v>23</v>
      </c>
      <c r="Y1236" s="1930" t="s">
        <v>351</v>
      </c>
      <c r="Z1236" s="1930"/>
      <c r="AA1236" s="1412">
        <f ca="1">INDEX(final_duration_session, ((WEEKDAY(Y$3,2)*2-1)+IF(Y1236="Morning",0,1)), $D1236)</f>
        <v>0</v>
      </c>
      <c r="AB1236" s="177"/>
      <c r="AC1236" s="1413">
        <f>$B1235</f>
        <v>23</v>
      </c>
      <c r="AD1236" s="1930" t="s">
        <v>351</v>
      </c>
      <c r="AE1236" s="1930"/>
      <c r="AF1236" s="1412">
        <f ca="1">INDEX(final_duration_session, ((WEEKDAY(AD$3,2)*2-1)+IF(AD1236="Morning",0,1)), $D1236)</f>
        <v>0</v>
      </c>
      <c r="AG1236" s="177"/>
      <c r="AH1236" s="1413">
        <f>$B1235</f>
        <v>23</v>
      </c>
      <c r="AI1236" s="1930" t="s">
        <v>351</v>
      </c>
      <c r="AJ1236" s="1930"/>
      <c r="AK1236" s="1412">
        <f ca="1">INDEX(final_duration_session, ((WEEKDAY(AI$3,2)*2-1)+IF(AI1236="Morning",0,1)), $D1236)</f>
        <v>0</v>
      </c>
      <c r="AL1236" s="177"/>
    </row>
    <row r="1237" spans="2:38" s="176" customFormat="1" ht="15" customHeight="1" x14ac:dyDescent="0.45">
      <c r="B1237" s="1942"/>
      <c r="C1237" s="1945"/>
      <c r="D1237" s="1931" t="str">
        <f ca="1">IF(G1236&gt;0,INDEX(sessions_name,INDEX(plan_session_allocation,((WEEKDAY(E$3,2)*2-1)+IF(E1236="Morning",0,1)),D1236)),"")</f>
        <v/>
      </c>
      <c r="E1237" s="1932"/>
      <c r="F1237" s="1932"/>
      <c r="G1237" s="1933"/>
      <c r="H1237" s="177"/>
      <c r="I1237" s="1931" t="str">
        <f ca="1">IF(L1236&gt;0,INDEX(sessions_name,INDEX(plan_session_allocation,((WEEKDAY(J$3,2)*2-1)+IF(J1236="Morning",0,1)),I1236)),"")</f>
        <v/>
      </c>
      <c r="J1237" s="1932"/>
      <c r="K1237" s="1932"/>
      <c r="L1237" s="1933"/>
      <c r="M1237" s="177"/>
      <c r="N1237" s="1931" t="str">
        <f ca="1">IF(Q1236&gt;0,INDEX(sessions_name,INDEX(plan_session_allocation,((WEEKDAY(O$3,2)*2-1)+IF(O1236="Morning",0,1)),N1236)),"")</f>
        <v/>
      </c>
      <c r="O1237" s="1932"/>
      <c r="P1237" s="1932"/>
      <c r="Q1237" s="1933"/>
      <c r="R1237" s="177"/>
      <c r="S1237" s="1931" t="str">
        <f ca="1">IF(V1236&gt;0,INDEX(sessions_name,INDEX(plan_session_allocation,((WEEKDAY(T$3,2)*2-1)+IF(T1236="Morning",0,1)),S1236)),"")</f>
        <v/>
      </c>
      <c r="T1237" s="1932"/>
      <c r="U1237" s="1932"/>
      <c r="V1237" s="1933"/>
      <c r="W1237" s="177"/>
      <c r="X1237" s="1931" t="str">
        <f ca="1">IF(AA1236&gt;0,INDEX(sessions_name,INDEX(plan_session_allocation,((WEEKDAY(Y$3,2)*2-1)+IF(Y1236="Morning",0,1)),X1236)),"")</f>
        <v/>
      </c>
      <c r="Y1237" s="1932"/>
      <c r="Z1237" s="1932"/>
      <c r="AA1237" s="1933"/>
      <c r="AB1237" s="177"/>
      <c r="AC1237" s="1931" t="str">
        <f ca="1">IF(AF1236&gt;0,INDEX(sessions_name,INDEX(plan_session_allocation,((WEEKDAY(AD$3,2)*2-1)+IF(AD1236="Morning",0,1)),AC1236)),"")</f>
        <v/>
      </c>
      <c r="AD1237" s="1932"/>
      <c r="AE1237" s="1932"/>
      <c r="AF1237" s="1933"/>
      <c r="AG1237" s="177"/>
      <c r="AH1237" s="1931" t="str">
        <f ca="1">IF(AK1236&gt;0,INDEX(sessions_name,INDEX(plan_session_allocation,((WEEKDAY(AI$3,2)*2-1)+IF(AI1236="Morning",0,1)),AH1236)),"")</f>
        <v/>
      </c>
      <c r="AI1237" s="1932"/>
      <c r="AJ1237" s="1932"/>
      <c r="AK1237" s="1933"/>
      <c r="AL1237" s="177"/>
    </row>
    <row r="1238" spans="2:38" s="176" customFormat="1" ht="15" customHeight="1" x14ac:dyDescent="0.45">
      <c r="B1238" s="1942"/>
      <c r="C1238" s="1945"/>
      <c r="D1238" s="1934" t="str">
        <f ca="1">IF(G1236&gt;0,CONCATENATE("Sport: ",INDEX(sessions_sport_primary,INDEX(plan_session_allocation,(WEEKDAY(E$3,2)*2-1)+IF(E1236="Morning",0,1),D1236))),"")</f>
        <v/>
      </c>
      <c r="E1238" s="1935"/>
      <c r="F1238" s="1936" t="str">
        <f ca="1">IF(G1236&gt;0,IFERROR(F1239+F1240+F1241,""),"")</f>
        <v/>
      </c>
      <c r="G1238" s="1937"/>
      <c r="H1238" s="177"/>
      <c r="I1238" s="1934" t="str">
        <f ca="1">IF(L1236&gt;0,CONCATENATE("Sport: ",INDEX(sessions_sport_primary,INDEX(plan_session_allocation,(WEEKDAY(J$3,2)*2-1)+IF(J1236="Morning",0,1),I1236))),"")</f>
        <v/>
      </c>
      <c r="J1238" s="1935"/>
      <c r="K1238" s="1936" t="str">
        <f ca="1">IF(L1236&gt;0,IFERROR(K1239+K1240+K1241,""),"")</f>
        <v/>
      </c>
      <c r="L1238" s="1937"/>
      <c r="M1238" s="177"/>
      <c r="N1238" s="1934" t="str">
        <f ca="1">IF(Q1236&gt;0,CONCATENATE("Sport: ",INDEX(sessions_sport_primary,INDEX(plan_session_allocation,(WEEKDAY(O$3,2)*2-1)+IF(O1236="Morning",0,1),N1236))),"")</f>
        <v/>
      </c>
      <c r="O1238" s="1935"/>
      <c r="P1238" s="1936" t="str">
        <f ca="1">IF(Q1236&gt;0,IFERROR(P1239+P1240+P1241,""),"")</f>
        <v/>
      </c>
      <c r="Q1238" s="1937"/>
      <c r="R1238" s="177"/>
      <c r="S1238" s="1934" t="str">
        <f ca="1">IF(V1236&gt;0,CONCATENATE("Sport: ",INDEX(sessions_sport_primary,INDEX(plan_session_allocation,(WEEKDAY(T$3,2)*2-1)+IF(T1236="Morning",0,1),S1236))),"")</f>
        <v/>
      </c>
      <c r="T1238" s="1935"/>
      <c r="U1238" s="1936" t="str">
        <f ca="1">IF(V1236&gt;0,IFERROR(U1239+U1240+U1241,""),"")</f>
        <v/>
      </c>
      <c r="V1238" s="1937"/>
      <c r="W1238" s="177"/>
      <c r="X1238" s="1934" t="str">
        <f ca="1">IF(AA1236&gt;0,CONCATENATE("Sport: ",INDEX(sessions_sport_primary,INDEX(plan_session_allocation,(WEEKDAY(Y$3,2)*2-1)+IF(Y1236="Morning",0,1),X1236))),"")</f>
        <v/>
      </c>
      <c r="Y1238" s="1935"/>
      <c r="Z1238" s="1936" t="str">
        <f ca="1">IF(AA1236&gt;0,IFERROR(Z1239+Z1240+Z1241,""),"")</f>
        <v/>
      </c>
      <c r="AA1238" s="1937"/>
      <c r="AB1238" s="177"/>
      <c r="AC1238" s="1934" t="str">
        <f ca="1">IF(AF1236&gt;0,CONCATENATE("Sport: ",INDEX(sessions_sport_primary,INDEX(plan_session_allocation,(WEEKDAY(AD$3,2)*2-1)+IF(AD1236="Morning",0,1),AC1236))),"")</f>
        <v/>
      </c>
      <c r="AD1238" s="1935"/>
      <c r="AE1238" s="1936" t="str">
        <f ca="1">IF(AF1236&gt;0,IFERROR(AE1239+AE1240+AE1241,""),"")</f>
        <v/>
      </c>
      <c r="AF1238" s="1937"/>
      <c r="AG1238" s="177"/>
      <c r="AH1238" s="1934" t="str">
        <f ca="1">IF(AK1236&gt;0,CONCATENATE("Sport: ",INDEX(sessions_sport_primary,INDEX(plan_session_allocation,(WEEKDAY(AI$3,2)*2-1)+IF(AI1236="Morning",0,1),AH1236))),"")</f>
        <v/>
      </c>
      <c r="AI1238" s="1935"/>
      <c r="AJ1238" s="1936" t="str">
        <f ca="1">IF(AK1236&gt;0,IFERROR(AJ1239+AJ1240+AJ1241,""),"")</f>
        <v/>
      </c>
      <c r="AK1238" s="1937"/>
      <c r="AL1238" s="177"/>
    </row>
    <row r="1239" spans="2:38" s="176" customFormat="1" ht="15" customHeight="1" x14ac:dyDescent="0.45">
      <c r="B1239" s="1942"/>
      <c r="C1239" s="1945"/>
      <c r="D1239" s="1922" t="str">
        <f ca="1">IF(G1236&gt;0,CONCATENATE("HR Target: ",
INDEX(sessions_HR_primary,INDEX(plan_session_allocation,((WEEKDAY(E$3,2)*2-1)+IF(E1236="Morning",0,1)),D1236)),
IF(INDEX(sessions_HR_primary,INDEX(plan_session_allocation,((WEEKDAY(E$3,2)*2-1)+IF(E1236="Morning",0,1)),D1236))="N/A","",
" BPM")),"")</f>
        <v/>
      </c>
      <c r="E1239" s="1923"/>
      <c r="F1239" s="1924" t="str">
        <f ca="1">IF(G1236&gt;0,
INDEX(final_duration_effort,((WEEKDAY(E$3,2)*2-1)+IF(E1236="Morning",0,1)),D1236),"")</f>
        <v/>
      </c>
      <c r="G1239" s="1925"/>
      <c r="H1239" s="177"/>
      <c r="I1239" s="1922" t="str">
        <f ca="1">IF(L1236&gt;0,CONCATENATE("HR Target: ",
INDEX(sessions_HR_primary,INDEX(plan_session_allocation,((WEEKDAY(J$3,2)*2-1)+IF(J1236="Morning",0,1)),I1236)),
IF(INDEX(sessions_HR_primary,INDEX(plan_session_allocation,((WEEKDAY(J$3,2)*2-1)+IF(J1236="Morning",0,1)),I1236))="N/A","",
" BPM")),"")</f>
        <v/>
      </c>
      <c r="J1239" s="1923"/>
      <c r="K1239" s="1924" t="str">
        <f ca="1">IF(L1236&gt;0,
INDEX(final_duration_effort,((WEEKDAY(J$3,2)*2-1)+IF(J1236="Morning",0,1)),I1236),"")</f>
        <v/>
      </c>
      <c r="L1239" s="1925"/>
      <c r="M1239" s="177"/>
      <c r="N1239" s="1922" t="str">
        <f ca="1">IF(Q1236&gt;0,CONCATENATE("HR Target: ",
INDEX(sessions_HR_primary,INDEX(plan_session_allocation,((WEEKDAY(O$3,2)*2-1)+IF(O1236="Morning",0,1)),N1236)),
IF(INDEX(sessions_HR_primary,INDEX(plan_session_allocation,((WEEKDAY(O$3,2)*2-1)+IF(O1236="Morning",0,1)),N1236))="N/A","",
" BPM")),"")</f>
        <v/>
      </c>
      <c r="O1239" s="1923"/>
      <c r="P1239" s="1924" t="str">
        <f ca="1">IF(Q1236&gt;0,
INDEX(final_duration_effort,((WEEKDAY(O$3,2)*2-1)+IF(O1236="Morning",0,1)),N1236),"")</f>
        <v/>
      </c>
      <c r="Q1239" s="1925"/>
      <c r="R1239" s="177"/>
      <c r="S1239" s="1922" t="str">
        <f ca="1">IF(V1236&gt;0,CONCATENATE("HR Target: ",
INDEX(sessions_HR_primary,INDEX(plan_session_allocation,((WEEKDAY(T$3,2)*2-1)+IF(T1236="Morning",0,1)),S1236)),
IF(INDEX(sessions_HR_primary,INDEX(plan_session_allocation,((WEEKDAY(T$3,2)*2-1)+IF(T1236="Morning",0,1)),S1236))="N/A","",
" BPM")),"")</f>
        <v/>
      </c>
      <c r="T1239" s="1923"/>
      <c r="U1239" s="1924" t="str">
        <f ca="1">IF(V1236&gt;0,
INDEX(final_duration_effort,((WEEKDAY(T$3,2)*2-1)+IF(T1236="Morning",0,1)),S1236),"")</f>
        <v/>
      </c>
      <c r="V1239" s="1925"/>
      <c r="W1239" s="177"/>
      <c r="X1239" s="1922" t="str">
        <f ca="1">IF(AA1236&gt;0,CONCATENATE("HR Target: ",
INDEX(sessions_HR_primary,INDEX(plan_session_allocation,((WEEKDAY(Y$3,2)*2-1)+IF(Y1236="Morning",0,1)),X1236)),
IF(INDEX(sessions_HR_primary,INDEX(plan_session_allocation,((WEEKDAY(Y$3,2)*2-1)+IF(Y1236="Morning",0,1)),X1236))="N/A","",
" BPM")),"")</f>
        <v/>
      </c>
      <c r="Y1239" s="1923"/>
      <c r="Z1239" s="1924" t="str">
        <f ca="1">IF(AA1236&gt;0,
INDEX(final_duration_effort,((WEEKDAY(Y$3,2)*2-1)+IF(Y1236="Morning",0,1)),X1236),"")</f>
        <v/>
      </c>
      <c r="AA1239" s="1925"/>
      <c r="AB1239" s="177"/>
      <c r="AC1239" s="1922" t="str">
        <f ca="1">IF(AF1236&gt;0,CONCATENATE("HR Target: ",
INDEX(sessions_HR_primary,INDEX(plan_session_allocation,((WEEKDAY(AD$3,2)*2-1)+IF(AD1236="Morning",0,1)),AC1236)),
IF(INDEX(sessions_HR_primary,INDEX(plan_session_allocation,((WEEKDAY(AD$3,2)*2-1)+IF(AD1236="Morning",0,1)),AC1236))="N/A","",
" BPM")),"")</f>
        <v/>
      </c>
      <c r="AD1239" s="1923"/>
      <c r="AE1239" s="1924" t="str">
        <f ca="1">IF(AF1236&gt;0,
INDEX(final_duration_effort,((WEEKDAY(AD$3,2)*2-1)+IF(AD1236="Morning",0,1)),AC1236),"")</f>
        <v/>
      </c>
      <c r="AF1239" s="1925"/>
      <c r="AG1239" s="177"/>
      <c r="AH1239" s="1922" t="str">
        <f ca="1">IF(AK1236&gt;0,CONCATENATE("HR Target: ",
INDEX(sessions_HR_primary,INDEX(plan_session_allocation,((WEEKDAY(AI$3,2)*2-1)+IF(AI1236="Morning",0,1)),AH1236)),
IF(INDEX(sessions_HR_primary,INDEX(plan_session_allocation,((WEEKDAY(AI$3,2)*2-1)+IF(AI1236="Morning",0,1)),AH1236))="N/A","",
" BPM")),"")</f>
        <v/>
      </c>
      <c r="AI1239" s="1923"/>
      <c r="AJ1239" s="1924" t="str">
        <f ca="1">IF(AK1236&gt;0,
INDEX(final_duration_effort,((WEEKDAY(AI$3,2)*2-1)+IF(AI1236="Morning",0,1)),AH1236),"")</f>
        <v/>
      </c>
      <c r="AK1239" s="1925"/>
      <c r="AL1239" s="177"/>
    </row>
    <row r="1240" spans="2:38" s="179" customFormat="1" x14ac:dyDescent="0.45">
      <c r="B1240" s="1942"/>
      <c r="C1240" s="1945"/>
      <c r="D1240" s="1926" t="str">
        <f ca="1">IF(G1236&gt;0,CONCATENATE("HR Range: ",
INDEX(sessions_HR_range_primary,INDEX(plan_session_allocation,((WEEKDAY(E$3,2)*2-1)+IF(E1236="Morning",0,1)),D1236)),
IF(INDEX(sessions_HR_range_primary,INDEX(plan_session_allocation,((WEEKDAY(E$3,2)*2-1)+IF(E1236="Morning",0,1)),D1236))="N/A","",
" BPM")),"")</f>
        <v/>
      </c>
      <c r="E1240" s="1927"/>
      <c r="F1240" s="1928" t="str">
        <f ca="1">IF(G1236&gt;0,IF(
INDEX(sessions_recoveries,INDEX(plan_session_allocation,((WEEKDAY(E$3,2)*2-1)+IF(E1236="Morning",0,1)),D1236))="Yes",
VLOOKUP(INDEX(plan_duration_primary,((WEEKDAY(E$3,2)*2-1)+IF(E1236="Morning",0,1)),D1236),
INDIRECT(INDEX(sessions_intervals_code_primary,INDEX(plan_session_allocation,((WEEKDAY(E$3,2)*2-1)+IF(E1236="Morning",0,1)),D1236))),7,TRUE),0),"")</f>
        <v/>
      </c>
      <c r="G1240" s="1929"/>
      <c r="H1240" s="178"/>
      <c r="I1240" s="1926" t="str">
        <f ca="1">IF(L1236&gt;0,CONCATENATE("HR Range: ",
INDEX(sessions_HR_range_primary,INDEX(plan_session_allocation,((WEEKDAY(J$3,2)*2-1)+IF(J1236="Morning",0,1)),I1236)),
IF(INDEX(sessions_HR_range_primary,INDEX(plan_session_allocation,((WEEKDAY(J$3,2)*2-1)+IF(J1236="Morning",0,1)),I1236))="N/A","",
" BPM")),"")</f>
        <v/>
      </c>
      <c r="J1240" s="1927"/>
      <c r="K1240" s="1928" t="str">
        <f ca="1">IF(L1236&gt;0,IF(
INDEX(sessions_recoveries,INDEX(plan_session_allocation,((WEEKDAY(J$3,2)*2-1)+IF(J1236="Morning",0,1)),I1236))="Yes",
VLOOKUP(INDEX(plan_duration_primary,((WEEKDAY(J$3,2)*2-1)+IF(J1236="Morning",0,1)),I1236),
INDIRECT(INDEX(sessions_intervals_code_primary,INDEX(plan_session_allocation,((WEEKDAY(J$3,2)*2-1)+IF(J1236="Morning",0,1)),I1236))),7,TRUE),0),"")</f>
        <v/>
      </c>
      <c r="L1240" s="1929"/>
      <c r="M1240" s="178"/>
      <c r="N1240" s="1926" t="str">
        <f ca="1">IF(Q1236&gt;0,CONCATENATE("HR Range: ",
INDEX(sessions_HR_range_primary,INDEX(plan_session_allocation,((WEEKDAY(O$3,2)*2-1)+IF(O1236="Morning",0,1)),N1236)),
IF(INDEX(sessions_HR_range_primary,INDEX(plan_session_allocation,((WEEKDAY(O$3,2)*2-1)+IF(O1236="Morning",0,1)),N1236))="N/A","",
" BPM")),"")</f>
        <v/>
      </c>
      <c r="O1240" s="1927"/>
      <c r="P1240" s="1928" t="str">
        <f ca="1">IF(Q1236&gt;0,IF(
INDEX(sessions_recoveries,INDEX(plan_session_allocation,((WEEKDAY(O$3,2)*2-1)+IF(O1236="Morning",0,1)),N1236))="Yes",
VLOOKUP(INDEX(plan_duration_primary,((WEEKDAY(O$3,2)*2-1)+IF(O1236="Morning",0,1)),N1236),
INDIRECT(INDEX(sessions_intervals_code_primary,INDEX(plan_session_allocation,((WEEKDAY(O$3,2)*2-1)+IF(O1236="Morning",0,1)),N1236))),7,TRUE),0),"")</f>
        <v/>
      </c>
      <c r="Q1240" s="1929"/>
      <c r="R1240" s="178"/>
      <c r="S1240" s="1926" t="str">
        <f ca="1">IF(V1236&gt;0,CONCATENATE("HR Range: ",
INDEX(sessions_HR_range_primary,INDEX(plan_session_allocation,((WEEKDAY(T$3,2)*2-1)+IF(T1236="Morning",0,1)),S1236)),
IF(INDEX(sessions_HR_range_primary,INDEX(plan_session_allocation,((WEEKDAY(T$3,2)*2-1)+IF(T1236="Morning",0,1)),S1236))="N/A","",
" BPM")),"")</f>
        <v/>
      </c>
      <c r="T1240" s="1927"/>
      <c r="U1240" s="1928" t="str">
        <f ca="1">IF(V1236&gt;0,IF(
INDEX(sessions_recoveries,INDEX(plan_session_allocation,((WEEKDAY(T$3,2)*2-1)+IF(T1236="Morning",0,1)),S1236))="Yes",
VLOOKUP(INDEX(plan_duration_primary,((WEEKDAY(T$3,2)*2-1)+IF(T1236="Morning",0,1)),S1236),
INDIRECT(INDEX(sessions_intervals_code_primary,INDEX(plan_session_allocation,((WEEKDAY(T$3,2)*2-1)+IF(T1236="Morning",0,1)),S1236))),7,TRUE),0),"")</f>
        <v/>
      </c>
      <c r="V1240" s="1929"/>
      <c r="W1240" s="178"/>
      <c r="X1240" s="1926" t="str">
        <f ca="1">IF(AA1236&gt;0,CONCATENATE("HR Range: ",
INDEX(sessions_HR_range_primary,INDEX(plan_session_allocation,((WEEKDAY(Y$3,2)*2-1)+IF(Y1236="Morning",0,1)),X1236)),
IF(INDEX(sessions_HR_range_primary,INDEX(plan_session_allocation,((WEEKDAY(Y$3,2)*2-1)+IF(Y1236="Morning",0,1)),X1236))="N/A","",
" BPM")),"")</f>
        <v/>
      </c>
      <c r="Y1240" s="1927"/>
      <c r="Z1240" s="1928" t="str">
        <f ca="1">IF(AA1236&gt;0,IF(
INDEX(sessions_recoveries,INDEX(plan_session_allocation,((WEEKDAY(Y$3,2)*2-1)+IF(Y1236="Morning",0,1)),X1236))="Yes",
VLOOKUP(INDEX(plan_duration_primary,((WEEKDAY(Y$3,2)*2-1)+IF(Y1236="Morning",0,1)),X1236),
INDIRECT(INDEX(sessions_intervals_code_primary,INDEX(plan_session_allocation,((WEEKDAY(Y$3,2)*2-1)+IF(Y1236="Morning",0,1)),X1236))),7,TRUE),0),"")</f>
        <v/>
      </c>
      <c r="AA1240" s="1929"/>
      <c r="AB1240" s="178"/>
      <c r="AC1240" s="1926" t="str">
        <f ca="1">IF(AF1236&gt;0,CONCATENATE("HR Range: ",
INDEX(sessions_HR_range_primary,INDEX(plan_session_allocation,((WEEKDAY(AD$3,2)*2-1)+IF(AD1236="Morning",0,1)),AC1236)),
IF(INDEX(sessions_HR_range_primary,INDEX(plan_session_allocation,((WEEKDAY(AD$3,2)*2-1)+IF(AD1236="Morning",0,1)),AC1236))="N/A","",
" BPM")),"")</f>
        <v/>
      </c>
      <c r="AD1240" s="1927"/>
      <c r="AE1240" s="1928" t="str">
        <f ca="1">IF(AF1236&gt;0,IF(
INDEX(sessions_recoveries,INDEX(plan_session_allocation,((WEEKDAY(AD$3,2)*2-1)+IF(AD1236="Morning",0,1)),AC1236))="Yes",
VLOOKUP(INDEX(plan_duration_primary,((WEEKDAY(AD$3,2)*2-1)+IF(AD1236="Morning",0,1)),AC1236),
INDIRECT(INDEX(sessions_intervals_code_primary,INDEX(plan_session_allocation,((WEEKDAY(AD$3,2)*2-1)+IF(AD1236="Morning",0,1)),AC1236))),7,TRUE),0),"")</f>
        <v/>
      </c>
      <c r="AF1240" s="1929"/>
      <c r="AG1240" s="178"/>
      <c r="AH1240" s="1926" t="str">
        <f ca="1">IF(AK1236&gt;0,CONCATENATE("HR Range: ",
INDEX(sessions_HR_range_primary,INDEX(plan_session_allocation,((WEEKDAY(AI$3,2)*2-1)+IF(AI1236="Morning",0,1)),AH1236)),
IF(INDEX(sessions_HR_range_primary,INDEX(plan_session_allocation,((WEEKDAY(AI$3,2)*2-1)+IF(AI1236="Morning",0,1)),AH1236))="N/A","",
" BPM")),"")</f>
        <v/>
      </c>
      <c r="AI1240" s="1927"/>
      <c r="AJ1240" s="1928" t="str">
        <f ca="1">IF(AK1236&gt;0,IF(
INDEX(sessions_recoveries,INDEX(plan_session_allocation,((WEEKDAY(AI$3,2)*2-1)+IF(AI1236="Morning",0,1)),AH1236))="Yes",
VLOOKUP(INDEX(plan_duration_primary,((WEEKDAY(AI$3,2)*2-1)+IF(AI1236="Morning",0,1)),AH1236),
INDIRECT(INDEX(sessions_intervals_code_primary,INDEX(plan_session_allocation,((WEEKDAY(AI$3,2)*2-1)+IF(AI1236="Morning",0,1)),AH1236))),7,TRUE),0),"")</f>
        <v/>
      </c>
      <c r="AK1240" s="1929"/>
      <c r="AL1240" s="178"/>
    </row>
    <row r="1241" spans="2:38" s="179" customFormat="1" ht="15" customHeight="1" x14ac:dyDescent="0.45">
      <c r="B1241" s="1942"/>
      <c r="C1241" s="1945"/>
      <c r="D1241" s="1909" t="str">
        <f ca="1">IF(G1236&gt;0,CONCATENATE("Equivalent Pace: ",
TEXT(INDEX(sessions_pace_primary,INDEX(plan_session_allocation,(WEEKDAY(E$3,2)*2-1)+IF(E1236="Morning",0,1),D1236)),"m:ss"),
" min/km"
),"")</f>
        <v/>
      </c>
      <c r="E1241" s="1910"/>
      <c r="F1241" s="1911" t="str">
        <f ca="1">IF(G1236&gt;0, INDEX(final_duration_WU,((WEEKDAY(E$3,2)*2-1)+IF(E1236="Morning",0,1)),D1236)  + INDEX(final_duration_WD,((WEEKDAY(E$3,2)*2-1)+IF(E1236="Morning",0,1)),D1236), "")</f>
        <v/>
      </c>
      <c r="G1241" s="1912"/>
      <c r="H1241" s="178"/>
      <c r="I1241" s="1909" t="str">
        <f ca="1">IF(L1236&gt;0,CONCATENATE("Equivalent Pace: ",
TEXT(INDEX(sessions_pace_primary,INDEX(plan_session_allocation,(WEEKDAY(J$3,2)*2-1)+IF(J1236="Morning",0,1),I1236)),"m:ss"),
" min/km"
),"")</f>
        <v/>
      </c>
      <c r="J1241" s="1910"/>
      <c r="K1241" s="1911" t="str">
        <f ca="1">IF(L1236&gt;0, INDEX(final_duration_WU,((WEEKDAY(J$3,2)*2-1)+IF(J1236="Morning",0,1)),I1236)  + INDEX(final_duration_WD,((WEEKDAY(J$3,2)*2-1)+IF(J1236="Morning",0,1)),I1236), "")</f>
        <v/>
      </c>
      <c r="L1241" s="1912"/>
      <c r="M1241" s="178"/>
      <c r="N1241" s="1909" t="str">
        <f ca="1">IF(Q1236&gt;0,CONCATENATE("Equivalent Pace: ",
TEXT(INDEX(sessions_pace_primary,INDEX(plan_session_allocation,(WEEKDAY(O$3,2)*2-1)+IF(O1236="Morning",0,1),N1236)),"m:ss"),
" min/km"
),"")</f>
        <v/>
      </c>
      <c r="O1241" s="1910"/>
      <c r="P1241" s="1911" t="str">
        <f ca="1">IF(Q1236&gt;0, INDEX(final_duration_WU,((WEEKDAY(O$3,2)*2-1)+IF(O1236="Morning",0,1)),N1236)  + INDEX(final_duration_WD,((WEEKDAY(O$3,2)*2-1)+IF(O1236="Morning",0,1)),N1236), "")</f>
        <v/>
      </c>
      <c r="Q1241" s="1912"/>
      <c r="R1241" s="178"/>
      <c r="S1241" s="1909" t="str">
        <f ca="1">IF(V1236&gt;0,CONCATENATE("Equivalent Pace: ",
TEXT(INDEX(sessions_pace_primary,INDEX(plan_session_allocation,(WEEKDAY(T$3,2)*2-1)+IF(T1236="Morning",0,1),S1236)),"m:ss"),
" min/km"
),"")</f>
        <v/>
      </c>
      <c r="T1241" s="1910"/>
      <c r="U1241" s="1911" t="str">
        <f ca="1">IF(V1236&gt;0, INDEX(final_duration_WU,((WEEKDAY(T$3,2)*2-1)+IF(T1236="Morning",0,1)),S1236)  + INDEX(final_duration_WD,((WEEKDAY(T$3,2)*2-1)+IF(T1236="Morning",0,1)),S1236), "")</f>
        <v/>
      </c>
      <c r="V1241" s="1912"/>
      <c r="W1241" s="178"/>
      <c r="X1241" s="1909" t="str">
        <f ca="1">IF(AA1236&gt;0,CONCATENATE("Equivalent Pace: ",
TEXT(INDEX(sessions_pace_primary,INDEX(plan_session_allocation,(WEEKDAY(Y$3,2)*2-1)+IF(Y1236="Morning",0,1),X1236)),"m:ss"),
" min/km"
),"")</f>
        <v/>
      </c>
      <c r="Y1241" s="1910"/>
      <c r="Z1241" s="1911" t="str">
        <f ca="1">IF(AA1236&gt;0, INDEX(final_duration_WU,((WEEKDAY(Y$3,2)*2-1)+IF(Y1236="Morning",0,1)),X1236)  + INDEX(final_duration_WD,((WEEKDAY(Y$3,2)*2-1)+IF(Y1236="Morning",0,1)),X1236), "")</f>
        <v/>
      </c>
      <c r="AA1241" s="1912"/>
      <c r="AB1241" s="178"/>
      <c r="AC1241" s="1909" t="str">
        <f ca="1">IF(AF1236&gt;0,CONCATENATE("Equivalent Pace: ",
TEXT(INDEX(sessions_pace_primary,INDEX(plan_session_allocation,(WEEKDAY(AD$3,2)*2-1)+IF(AD1236="Morning",0,1),AC1236)),"m:ss"),
" min/km"
),"")</f>
        <v/>
      </c>
      <c r="AD1241" s="1910"/>
      <c r="AE1241" s="1911" t="str">
        <f ca="1">IF(AF1236&gt;0, INDEX(final_duration_WU,((WEEKDAY(AD$3,2)*2-1)+IF(AD1236="Morning",0,1)),AC1236)  + INDEX(final_duration_WD,((WEEKDAY(AD$3,2)*2-1)+IF(AD1236="Morning",0,1)),AC1236), "")</f>
        <v/>
      </c>
      <c r="AF1241" s="1912"/>
      <c r="AG1241" s="178"/>
      <c r="AH1241" s="1909" t="str">
        <f ca="1">IF(AK1236&gt;0,CONCATENATE("Equivalent Pace: ",
TEXT(INDEX(sessions_pace_primary,INDEX(plan_session_allocation,(WEEKDAY(AI$3,2)*2-1)+IF(AI1236="Morning",0,1),AH1236)),"m:ss"),
" min/km"
),"")</f>
        <v/>
      </c>
      <c r="AI1241" s="1910"/>
      <c r="AJ1241" s="1911" t="str">
        <f ca="1">IF(AK1236&gt;0, INDEX(final_duration_WU,((WEEKDAY(AI$3,2)*2-1)+IF(AI1236="Morning",0,1)),AH1236)  + INDEX(final_duration_WD,((WEEKDAY(AI$3,2)*2-1)+IF(AI1236="Morning",0,1)),AH1236), "")</f>
        <v/>
      </c>
      <c r="AK1241" s="1912"/>
      <c r="AL1241" s="178"/>
    </row>
    <row r="1242" spans="2:38" s="180" customFormat="1" ht="15" customHeight="1" x14ac:dyDescent="0.45">
      <c r="B1242" s="1942"/>
      <c r="C1242" s="1945"/>
      <c r="D1242" s="1913" t="str">
        <f ca="1">IF(G1236&gt;0,CONCATENATE(IFERROR(CONCATENATE(IF(INDEX(display_intervals_breakdown,((WEEKDAY(E$3,2)*2-1)+IF(E1236="Morning",0,1)),D1236)="","",CONCATENATE("Intervals/Reps Breakdown: 
",INDEX(display_intervals_breakdown,((WEEKDAY(E$3,2)*2-1)+IF(E1236="Morning",0,1)),D1236),"
")),"Session Description: 
",CONCATENATE(IF(INDEX(final_duration_secondary,((WEEKDAY(E$3,2)*2-1)+IF(E1236="Morning",0,1)),D1236)=0,"","1. "),
INDEX(sessions_description_primary,,INDEX(plan_session_allocation,((WEEKDAY(E$3,2)*2-1)+IF(E1236="Morning",0,1)),D1236)),IF(INDEX(final_duration_secondary,((WEEKDAY(E$3,2)*2-1)+IF(E1236="Morning",0,1)),D1236)=0,"","
2. "),
IF(INDEX(final_duration_secondary,((WEEKDAY(E$3,2)*2-1)+IF(E1236="Morning",0,1)),D1236)=0,"",INDEX(sessions_description_secondary,,INDEX(plan_session_allocation,((WEEKDAY(E$3,2)*2-1)+IF(E1236="Morning",0,1)),D1236))),IF(INDEX(final_duration_tertiary,((WEEKDAY(E$3,2)*2-1)+IF(E1236="Morning",0,1)),D1236)=0,"","
3. "),
IF(INDEX(final_duration_tertiary,((WEEKDAY(E$3,2)*2-1)+IF(E1236="Morning",0,1)),D1236)="","",INDEX(sessions_description_tertiary,,INDEX(plan_session_allocation,((WEEKDAY(E$3,2)*2-1)+IF(E1236="Morning",0,1)),D1236))),
IF(INDEX(display_nutrition_description,((WEEKDAY(E$3,2)*2-1)+IF(E1236="Morning",0,1)),D1236)="","",
CONCATENATE("
Meal Plan: ", INDEX(sessions_nutrition,,INDEX(plan_session_allocation,((WEEKDAY(E$3,2)*2-1)+IF(E1236="Morning",0,1)),D1236)), "
", INDEX(display_nutrition_description,((WEEKDAY(E$3,2)*2-1)+IF(E1236="Morning",0,1)),D1236)))
)),"")),"")</f>
        <v/>
      </c>
      <c r="E1242" s="1914"/>
      <c r="F1242" s="1914"/>
      <c r="G1242" s="1915"/>
      <c r="I1242" s="1913" t="str">
        <f ca="1">IF(L1236&gt;0,CONCATENATE(IFERROR(CONCATENATE(IF(INDEX(display_intervals_breakdown,((WEEKDAY(J$3,2)*2-1)+IF(J1236="Morning",0,1)),I1236)="","",CONCATENATE("Intervals/Reps Breakdown: 
",INDEX(display_intervals_breakdown,((WEEKDAY(J$3,2)*2-1)+IF(J1236="Morning",0,1)),I1236),"
")),"Session Description: 
",CONCATENATE(IF(INDEX(final_duration_secondary,((WEEKDAY(J$3,2)*2-1)+IF(J1236="Morning",0,1)),I1236)=0,"","1. "),
INDEX(sessions_description_primary,,INDEX(plan_session_allocation,((WEEKDAY(J$3,2)*2-1)+IF(J1236="Morning",0,1)),I1236)),IF(INDEX(final_duration_secondary,((WEEKDAY(J$3,2)*2-1)+IF(J1236="Morning",0,1)),I1236)=0,"","
2. "),
IF(INDEX(final_duration_secondary,((WEEKDAY(J$3,2)*2-1)+IF(J1236="Morning",0,1)),I1236)=0,"",INDEX(sessions_description_secondary,,INDEX(plan_session_allocation,((WEEKDAY(J$3,2)*2-1)+IF(J1236="Morning",0,1)),I1236))),IF(INDEX(final_duration_tertiary,((WEEKDAY(J$3,2)*2-1)+IF(J1236="Morning",0,1)),I1236)=0,"","
3. "),
IF(INDEX(final_duration_tertiary,((WEEKDAY(J$3,2)*2-1)+IF(J1236="Morning",0,1)),I1236)="","",INDEX(sessions_description_tertiary,,INDEX(plan_session_allocation,((WEEKDAY(J$3,2)*2-1)+IF(J1236="Morning",0,1)),I1236))),
IF(INDEX(display_nutrition_description,((WEEKDAY(J$3,2)*2-1)+IF(J1236="Morning",0,1)),I1236)="","",
CONCATENATE("
Meal Plan: ", INDEX(sessions_nutrition,,INDEX(plan_session_allocation,((WEEKDAY(J$3,2)*2-1)+IF(J1236="Morning",0,1)),I1236)), "
", INDEX(display_nutrition_description,((WEEKDAY(J$3,2)*2-1)+IF(J1236="Morning",0,1)),I1236)))
)),"")),"")</f>
        <v/>
      </c>
      <c r="J1242" s="1914"/>
      <c r="K1242" s="1914"/>
      <c r="L1242" s="1915"/>
      <c r="N1242" s="1913" t="str">
        <f ca="1">IF(Q1236&gt;0,CONCATENATE(IFERROR(CONCATENATE(IF(INDEX(display_intervals_breakdown,((WEEKDAY(O$3,2)*2-1)+IF(O1236="Morning",0,1)),N1236)="","",CONCATENATE("Intervals/Reps Breakdown: 
",INDEX(display_intervals_breakdown,((WEEKDAY(O$3,2)*2-1)+IF(O1236="Morning",0,1)),N1236),"
")),"Session Description: 
",CONCATENATE(IF(INDEX(final_duration_secondary,((WEEKDAY(O$3,2)*2-1)+IF(O1236="Morning",0,1)),N1236)=0,"","1. "),
INDEX(sessions_description_primary,,INDEX(plan_session_allocation,((WEEKDAY(O$3,2)*2-1)+IF(O1236="Morning",0,1)),N1236)),IF(INDEX(final_duration_secondary,((WEEKDAY(O$3,2)*2-1)+IF(O1236="Morning",0,1)),N1236)=0,"","
2. "),
IF(INDEX(final_duration_secondary,((WEEKDAY(O$3,2)*2-1)+IF(O1236="Morning",0,1)),N1236)=0,"",INDEX(sessions_description_secondary,,INDEX(plan_session_allocation,((WEEKDAY(O$3,2)*2-1)+IF(O1236="Morning",0,1)),N1236))),IF(INDEX(final_duration_tertiary,((WEEKDAY(O$3,2)*2-1)+IF(O1236="Morning",0,1)),N1236)=0,"","
3. "),
IF(INDEX(final_duration_tertiary,((WEEKDAY(O$3,2)*2-1)+IF(O1236="Morning",0,1)),N1236)="","",INDEX(sessions_description_tertiary,,INDEX(plan_session_allocation,((WEEKDAY(O$3,2)*2-1)+IF(O1236="Morning",0,1)),N1236))),
IF(INDEX(display_nutrition_description,((WEEKDAY(O$3,2)*2-1)+IF(O1236="Morning",0,1)),N1236)="","",
CONCATENATE("
Meal Plan: ", INDEX(sessions_nutrition,,INDEX(plan_session_allocation,((WEEKDAY(O$3,2)*2-1)+IF(O1236="Morning",0,1)),N1236)), "
", INDEX(display_nutrition_description,((WEEKDAY(O$3,2)*2-1)+IF(O1236="Morning",0,1)),N1236)))
)),"")),"")</f>
        <v/>
      </c>
      <c r="O1242" s="1914"/>
      <c r="P1242" s="1914"/>
      <c r="Q1242" s="1915"/>
      <c r="S1242" s="1913" t="str">
        <f ca="1">IF(V1236&gt;0,CONCATENATE(IFERROR(CONCATENATE(IF(INDEX(display_intervals_breakdown,((WEEKDAY(T$3,2)*2-1)+IF(T1236="Morning",0,1)),S1236)="","",CONCATENATE("Intervals/Reps Breakdown: 
",INDEX(display_intervals_breakdown,((WEEKDAY(T$3,2)*2-1)+IF(T1236="Morning",0,1)),S1236),"
")),"Session Description: 
",CONCATENATE(IF(INDEX(final_duration_secondary,((WEEKDAY(T$3,2)*2-1)+IF(T1236="Morning",0,1)),S1236)=0,"","1. "),
INDEX(sessions_description_primary,,INDEX(plan_session_allocation,((WEEKDAY(T$3,2)*2-1)+IF(T1236="Morning",0,1)),S1236)),IF(INDEX(final_duration_secondary,((WEEKDAY(T$3,2)*2-1)+IF(T1236="Morning",0,1)),S1236)=0,"","
2. "),
IF(INDEX(final_duration_secondary,((WEEKDAY(T$3,2)*2-1)+IF(T1236="Morning",0,1)),S1236)=0,"",INDEX(sessions_description_secondary,,INDEX(plan_session_allocation,((WEEKDAY(T$3,2)*2-1)+IF(T1236="Morning",0,1)),S1236))),IF(INDEX(final_duration_tertiary,((WEEKDAY(T$3,2)*2-1)+IF(T1236="Morning",0,1)),S1236)=0,"","
3. "),
IF(INDEX(final_duration_tertiary,((WEEKDAY(T$3,2)*2-1)+IF(T1236="Morning",0,1)),S1236)="","",INDEX(sessions_description_tertiary,,INDEX(plan_session_allocation,((WEEKDAY(T$3,2)*2-1)+IF(T1236="Morning",0,1)),S1236))),
IF(INDEX(display_nutrition_description,((WEEKDAY(T$3,2)*2-1)+IF(T1236="Morning",0,1)),S1236)="","",
CONCATENATE("
Meal Plan: ", INDEX(sessions_nutrition,,INDEX(plan_session_allocation,((WEEKDAY(T$3,2)*2-1)+IF(T1236="Morning",0,1)),S1236)), "
", INDEX(display_nutrition_description,((WEEKDAY(T$3,2)*2-1)+IF(T1236="Morning",0,1)),S1236)))
)),"")),"")</f>
        <v/>
      </c>
      <c r="T1242" s="1914"/>
      <c r="U1242" s="1914"/>
      <c r="V1242" s="1915"/>
      <c r="X1242" s="1913" t="str">
        <f ca="1">IF(AA1236&gt;0,CONCATENATE(IFERROR(CONCATENATE(IF(INDEX(display_intervals_breakdown,((WEEKDAY(Y$3,2)*2-1)+IF(Y1236="Morning",0,1)),X1236)="","",CONCATENATE("Intervals/Reps Breakdown: 
",INDEX(display_intervals_breakdown,((WEEKDAY(Y$3,2)*2-1)+IF(Y1236="Morning",0,1)),X1236),"
")),"Session Description: 
",CONCATENATE(IF(INDEX(final_duration_secondary,((WEEKDAY(Y$3,2)*2-1)+IF(Y1236="Morning",0,1)),X1236)=0,"","1. "),
INDEX(sessions_description_primary,,INDEX(plan_session_allocation,((WEEKDAY(Y$3,2)*2-1)+IF(Y1236="Morning",0,1)),X1236)),IF(INDEX(final_duration_secondary,((WEEKDAY(Y$3,2)*2-1)+IF(Y1236="Morning",0,1)),X1236)=0,"","
2. "),
IF(INDEX(final_duration_secondary,((WEEKDAY(Y$3,2)*2-1)+IF(Y1236="Morning",0,1)),X1236)=0,"",INDEX(sessions_description_secondary,,INDEX(plan_session_allocation,((WEEKDAY(Y$3,2)*2-1)+IF(Y1236="Morning",0,1)),X1236))),IF(INDEX(final_duration_tertiary,((WEEKDAY(Y$3,2)*2-1)+IF(Y1236="Morning",0,1)),X1236)=0,"","
3. "),
IF(INDEX(final_duration_tertiary,((WEEKDAY(Y$3,2)*2-1)+IF(Y1236="Morning",0,1)),X1236)="","",INDEX(sessions_description_tertiary,,INDEX(plan_session_allocation,((WEEKDAY(Y$3,2)*2-1)+IF(Y1236="Morning",0,1)),X1236))),
IF(INDEX(display_nutrition_description,((WEEKDAY(Y$3,2)*2-1)+IF(Y1236="Morning",0,1)),X1236)="","",
CONCATENATE("
Meal Plan: ", INDEX(sessions_nutrition,,INDEX(plan_session_allocation,((WEEKDAY(Y$3,2)*2-1)+IF(Y1236="Morning",0,1)),X1236)), "
", INDEX(display_nutrition_description,((WEEKDAY(Y$3,2)*2-1)+IF(Y1236="Morning",0,1)),X1236)))
)),"")),"")</f>
        <v/>
      </c>
      <c r="Y1242" s="1914"/>
      <c r="Z1242" s="1914"/>
      <c r="AA1242" s="1915"/>
      <c r="AC1242" s="1913" t="str">
        <f ca="1">IF(AF1236&gt;0,CONCATENATE(IFERROR(CONCATENATE(IF(INDEX(display_intervals_breakdown,((WEEKDAY(AD$3,2)*2-1)+IF(AD1236="Morning",0,1)),AC1236)="","",CONCATENATE("Intervals/Reps Breakdown: 
",INDEX(display_intervals_breakdown,((WEEKDAY(AD$3,2)*2-1)+IF(AD1236="Morning",0,1)),AC1236),"
")),"Session Description: 
",CONCATENATE(IF(INDEX(final_duration_secondary,((WEEKDAY(AD$3,2)*2-1)+IF(AD1236="Morning",0,1)),AC1236)=0,"","1. "),
INDEX(sessions_description_primary,,INDEX(plan_session_allocation,((WEEKDAY(AD$3,2)*2-1)+IF(AD1236="Morning",0,1)),AC1236)),IF(INDEX(final_duration_secondary,((WEEKDAY(AD$3,2)*2-1)+IF(AD1236="Morning",0,1)),AC1236)=0,"","
2. "),
IF(INDEX(final_duration_secondary,((WEEKDAY(AD$3,2)*2-1)+IF(AD1236="Morning",0,1)),AC1236)=0,"",INDEX(sessions_description_secondary,,INDEX(plan_session_allocation,((WEEKDAY(AD$3,2)*2-1)+IF(AD1236="Morning",0,1)),AC1236))),IF(INDEX(final_duration_tertiary,((WEEKDAY(AD$3,2)*2-1)+IF(AD1236="Morning",0,1)),AC1236)=0,"","
3. "),
IF(INDEX(final_duration_tertiary,((WEEKDAY(AD$3,2)*2-1)+IF(AD1236="Morning",0,1)),AC1236)="","",INDEX(sessions_description_tertiary,,INDEX(plan_session_allocation,((WEEKDAY(AD$3,2)*2-1)+IF(AD1236="Morning",0,1)),AC1236))),
IF(INDEX(display_nutrition_description,((WEEKDAY(AD$3,2)*2-1)+IF(AD1236="Morning",0,1)),AC1236)="","",
CONCATENATE("
Meal Plan: ", INDEX(sessions_nutrition,,INDEX(plan_session_allocation,((WEEKDAY(AD$3,2)*2-1)+IF(AD1236="Morning",0,1)),AC1236)), "
", INDEX(display_nutrition_description,((WEEKDAY(AD$3,2)*2-1)+IF(AD1236="Morning",0,1)),AC1236)))
)),"")),"")</f>
        <v/>
      </c>
      <c r="AD1242" s="1914"/>
      <c r="AE1242" s="1914"/>
      <c r="AF1242" s="1915"/>
      <c r="AH1242" s="1913" t="str">
        <f ca="1">IF(AK1236&gt;0,CONCATENATE(IFERROR(CONCATENATE(IF(INDEX(display_intervals_breakdown,((WEEKDAY(AI$3,2)*2-1)+IF(AI1236="Morning",0,1)),AH1236)="","",CONCATENATE("Intervals/Reps Breakdown: 
",INDEX(display_intervals_breakdown,((WEEKDAY(AI$3,2)*2-1)+IF(AI1236="Morning",0,1)),AH1236),"
")),"Session Description: 
",CONCATENATE(IF(INDEX(final_duration_secondary,((WEEKDAY(AI$3,2)*2-1)+IF(AI1236="Morning",0,1)),AH1236)=0,"","1. "),
INDEX(sessions_description_primary,,INDEX(plan_session_allocation,((WEEKDAY(AI$3,2)*2-1)+IF(AI1236="Morning",0,1)),AH1236)),IF(INDEX(final_duration_secondary,((WEEKDAY(AI$3,2)*2-1)+IF(AI1236="Morning",0,1)),AH1236)=0,"","
2. "),
IF(INDEX(final_duration_secondary,((WEEKDAY(AI$3,2)*2-1)+IF(AI1236="Morning",0,1)),AH1236)=0,"",INDEX(sessions_description_secondary,,INDEX(plan_session_allocation,((WEEKDAY(AI$3,2)*2-1)+IF(AI1236="Morning",0,1)),AH1236))),IF(INDEX(final_duration_tertiary,((WEEKDAY(AI$3,2)*2-1)+IF(AI1236="Morning",0,1)),AH1236)=0,"","
3. "),
IF(INDEX(final_duration_tertiary,((WEEKDAY(AI$3,2)*2-1)+IF(AI1236="Morning",0,1)),AH1236)="","",INDEX(sessions_description_tertiary,,INDEX(plan_session_allocation,((WEEKDAY(AI$3,2)*2-1)+IF(AI1236="Morning",0,1)),AH1236))),
IF(INDEX(display_nutrition_description,((WEEKDAY(AI$3,2)*2-1)+IF(AI1236="Morning",0,1)),AH1236)="","",
CONCATENATE("
Meal Plan: ", INDEX(sessions_nutrition,,INDEX(plan_session_allocation,((WEEKDAY(AI$3,2)*2-1)+IF(AI1236="Morning",0,1)),AH1236)), "
", INDEX(display_nutrition_description,((WEEKDAY(AI$3,2)*2-1)+IF(AI1236="Morning",0,1)),AH1236)))
)),"")),"")</f>
        <v/>
      </c>
      <c r="AI1242" s="1914"/>
      <c r="AJ1242" s="1914"/>
      <c r="AK1242" s="1915"/>
    </row>
    <row r="1243" spans="2:38" s="180" customFormat="1" x14ac:dyDescent="0.45">
      <c r="B1243" s="1942"/>
      <c r="C1243" s="1945"/>
      <c r="D1243" s="1916"/>
      <c r="E1243" s="1917"/>
      <c r="F1243" s="1917"/>
      <c r="G1243" s="1918"/>
      <c r="I1243" s="1916"/>
      <c r="J1243" s="1917"/>
      <c r="K1243" s="1917"/>
      <c r="L1243" s="1918"/>
      <c r="N1243" s="1916"/>
      <c r="O1243" s="1917"/>
      <c r="P1243" s="1917"/>
      <c r="Q1243" s="1918"/>
      <c r="S1243" s="1916"/>
      <c r="T1243" s="1917"/>
      <c r="U1243" s="1917"/>
      <c r="V1243" s="1918"/>
      <c r="X1243" s="1916"/>
      <c r="Y1243" s="1917"/>
      <c r="Z1243" s="1917"/>
      <c r="AA1243" s="1918"/>
      <c r="AC1243" s="1916"/>
      <c r="AD1243" s="1917"/>
      <c r="AE1243" s="1917"/>
      <c r="AF1243" s="1918"/>
      <c r="AH1243" s="1916"/>
      <c r="AI1243" s="1917"/>
      <c r="AJ1243" s="1917"/>
      <c r="AK1243" s="1918"/>
    </row>
    <row r="1244" spans="2:38" s="180" customFormat="1" x14ac:dyDescent="0.45">
      <c r="B1244" s="1942"/>
      <c r="C1244" s="1945"/>
      <c r="D1244" s="1916"/>
      <c r="E1244" s="1917"/>
      <c r="F1244" s="1917"/>
      <c r="G1244" s="1918"/>
      <c r="I1244" s="1916"/>
      <c r="J1244" s="1917"/>
      <c r="K1244" s="1917"/>
      <c r="L1244" s="1918"/>
      <c r="N1244" s="1916"/>
      <c r="O1244" s="1917"/>
      <c r="P1244" s="1917"/>
      <c r="Q1244" s="1918"/>
      <c r="S1244" s="1916"/>
      <c r="T1244" s="1917"/>
      <c r="U1244" s="1917"/>
      <c r="V1244" s="1918"/>
      <c r="X1244" s="1916"/>
      <c r="Y1244" s="1917"/>
      <c r="Z1244" s="1917"/>
      <c r="AA1244" s="1918"/>
      <c r="AC1244" s="1916"/>
      <c r="AD1244" s="1917"/>
      <c r="AE1244" s="1917"/>
      <c r="AF1244" s="1918"/>
      <c r="AH1244" s="1916"/>
      <c r="AI1244" s="1917"/>
      <c r="AJ1244" s="1917"/>
      <c r="AK1244" s="1918"/>
    </row>
    <row r="1245" spans="2:38" s="180" customFormat="1" x14ac:dyDescent="0.45">
      <c r="B1245" s="1942"/>
      <c r="C1245" s="1945"/>
      <c r="D1245" s="1916"/>
      <c r="E1245" s="1917"/>
      <c r="F1245" s="1917"/>
      <c r="G1245" s="1918"/>
      <c r="I1245" s="1916"/>
      <c r="J1245" s="1917"/>
      <c r="K1245" s="1917"/>
      <c r="L1245" s="1918"/>
      <c r="N1245" s="1916"/>
      <c r="O1245" s="1917"/>
      <c r="P1245" s="1917"/>
      <c r="Q1245" s="1918"/>
      <c r="S1245" s="1916"/>
      <c r="T1245" s="1917"/>
      <c r="U1245" s="1917"/>
      <c r="V1245" s="1918"/>
      <c r="X1245" s="1916"/>
      <c r="Y1245" s="1917"/>
      <c r="Z1245" s="1917"/>
      <c r="AA1245" s="1918"/>
      <c r="AC1245" s="1916"/>
      <c r="AD1245" s="1917"/>
      <c r="AE1245" s="1917"/>
      <c r="AF1245" s="1918"/>
      <c r="AH1245" s="1916"/>
      <c r="AI1245" s="1917"/>
      <c r="AJ1245" s="1917"/>
      <c r="AK1245" s="1918"/>
    </row>
    <row r="1246" spans="2:38" s="180" customFormat="1" x14ac:dyDescent="0.45">
      <c r="B1246" s="1942"/>
      <c r="C1246" s="1945"/>
      <c r="D1246" s="1916"/>
      <c r="E1246" s="1917"/>
      <c r="F1246" s="1917"/>
      <c r="G1246" s="1918"/>
      <c r="I1246" s="1916"/>
      <c r="J1246" s="1917"/>
      <c r="K1246" s="1917"/>
      <c r="L1246" s="1918"/>
      <c r="N1246" s="1916"/>
      <c r="O1246" s="1917"/>
      <c r="P1246" s="1917"/>
      <c r="Q1246" s="1918"/>
      <c r="S1246" s="1916"/>
      <c r="T1246" s="1917"/>
      <c r="U1246" s="1917"/>
      <c r="V1246" s="1918"/>
      <c r="X1246" s="1916"/>
      <c r="Y1246" s="1917"/>
      <c r="Z1246" s="1917"/>
      <c r="AA1246" s="1918"/>
      <c r="AC1246" s="1916"/>
      <c r="AD1246" s="1917"/>
      <c r="AE1246" s="1917"/>
      <c r="AF1246" s="1918"/>
      <c r="AH1246" s="1916"/>
      <c r="AI1246" s="1917"/>
      <c r="AJ1246" s="1917"/>
      <c r="AK1246" s="1918"/>
    </row>
    <row r="1247" spans="2:38" s="180" customFormat="1" x14ac:dyDescent="0.45">
      <c r="B1247" s="1942"/>
      <c r="C1247" s="1945"/>
      <c r="D1247" s="1916"/>
      <c r="E1247" s="1917"/>
      <c r="F1247" s="1917"/>
      <c r="G1247" s="1918"/>
      <c r="I1247" s="1916"/>
      <c r="J1247" s="1917"/>
      <c r="K1247" s="1917"/>
      <c r="L1247" s="1918"/>
      <c r="N1247" s="1916"/>
      <c r="O1247" s="1917"/>
      <c r="P1247" s="1917"/>
      <c r="Q1247" s="1918"/>
      <c r="S1247" s="1916"/>
      <c r="T1247" s="1917"/>
      <c r="U1247" s="1917"/>
      <c r="V1247" s="1918"/>
      <c r="X1247" s="1916"/>
      <c r="Y1247" s="1917"/>
      <c r="Z1247" s="1917"/>
      <c r="AA1247" s="1918"/>
      <c r="AC1247" s="1916"/>
      <c r="AD1247" s="1917"/>
      <c r="AE1247" s="1917"/>
      <c r="AF1247" s="1918"/>
      <c r="AH1247" s="1916"/>
      <c r="AI1247" s="1917"/>
      <c r="AJ1247" s="1917"/>
      <c r="AK1247" s="1918"/>
    </row>
    <row r="1248" spans="2:38" s="180" customFormat="1" x14ac:dyDescent="0.45">
      <c r="B1248" s="1942"/>
      <c r="C1248" s="1945"/>
      <c r="D1248" s="1916"/>
      <c r="E1248" s="1917"/>
      <c r="F1248" s="1917"/>
      <c r="G1248" s="1918"/>
      <c r="I1248" s="1916"/>
      <c r="J1248" s="1917"/>
      <c r="K1248" s="1917"/>
      <c r="L1248" s="1918"/>
      <c r="N1248" s="1916"/>
      <c r="O1248" s="1917"/>
      <c r="P1248" s="1917"/>
      <c r="Q1248" s="1918"/>
      <c r="S1248" s="1916"/>
      <c r="T1248" s="1917"/>
      <c r="U1248" s="1917"/>
      <c r="V1248" s="1918"/>
      <c r="X1248" s="1916"/>
      <c r="Y1248" s="1917"/>
      <c r="Z1248" s="1917"/>
      <c r="AA1248" s="1918"/>
      <c r="AC1248" s="1916"/>
      <c r="AD1248" s="1917"/>
      <c r="AE1248" s="1917"/>
      <c r="AF1248" s="1918"/>
      <c r="AH1248" s="1916"/>
      <c r="AI1248" s="1917"/>
      <c r="AJ1248" s="1917"/>
      <c r="AK1248" s="1918"/>
    </row>
    <row r="1249" spans="2:38" s="180" customFormat="1" ht="15.75" customHeight="1" x14ac:dyDescent="0.45">
      <c r="B1249" s="1942"/>
      <c r="C1249" s="1945"/>
      <c r="D1249" s="1916"/>
      <c r="E1249" s="1917"/>
      <c r="F1249" s="1917"/>
      <c r="G1249" s="1918"/>
      <c r="I1249" s="1916"/>
      <c r="J1249" s="1917"/>
      <c r="K1249" s="1917"/>
      <c r="L1249" s="1918"/>
      <c r="N1249" s="1916"/>
      <c r="O1249" s="1917"/>
      <c r="P1249" s="1917"/>
      <c r="Q1249" s="1918"/>
      <c r="S1249" s="1916"/>
      <c r="T1249" s="1917"/>
      <c r="U1249" s="1917"/>
      <c r="V1249" s="1918"/>
      <c r="X1249" s="1916"/>
      <c r="Y1249" s="1917"/>
      <c r="Z1249" s="1917"/>
      <c r="AA1249" s="1918"/>
      <c r="AC1249" s="1916"/>
      <c r="AD1249" s="1917"/>
      <c r="AE1249" s="1917"/>
      <c r="AF1249" s="1918"/>
      <c r="AH1249" s="1916"/>
      <c r="AI1249" s="1917"/>
      <c r="AJ1249" s="1917"/>
      <c r="AK1249" s="1918"/>
    </row>
    <row r="1250" spans="2:38" s="180" customFormat="1" x14ac:dyDescent="0.45">
      <c r="B1250" s="1942"/>
      <c r="C1250" s="1945"/>
      <c r="D1250" s="1916"/>
      <c r="E1250" s="1917"/>
      <c r="F1250" s="1917"/>
      <c r="G1250" s="1918"/>
      <c r="I1250" s="1916"/>
      <c r="J1250" s="1917"/>
      <c r="K1250" s="1917"/>
      <c r="L1250" s="1918"/>
      <c r="N1250" s="1916"/>
      <c r="O1250" s="1917"/>
      <c r="P1250" s="1917"/>
      <c r="Q1250" s="1918"/>
      <c r="S1250" s="1916"/>
      <c r="T1250" s="1917"/>
      <c r="U1250" s="1917"/>
      <c r="V1250" s="1918"/>
      <c r="X1250" s="1916"/>
      <c r="Y1250" s="1917"/>
      <c r="Z1250" s="1917"/>
      <c r="AA1250" s="1918"/>
      <c r="AC1250" s="1916"/>
      <c r="AD1250" s="1917"/>
      <c r="AE1250" s="1917"/>
      <c r="AF1250" s="1918"/>
      <c r="AH1250" s="1916"/>
      <c r="AI1250" s="1917"/>
      <c r="AJ1250" s="1917"/>
      <c r="AK1250" s="1918"/>
    </row>
    <row r="1251" spans="2:38" s="180" customFormat="1" x14ac:dyDescent="0.45">
      <c r="B1251" s="1942"/>
      <c r="C1251" s="1945"/>
      <c r="D1251" s="1916"/>
      <c r="E1251" s="1917"/>
      <c r="F1251" s="1917"/>
      <c r="G1251" s="1918"/>
      <c r="I1251" s="1916"/>
      <c r="J1251" s="1917"/>
      <c r="K1251" s="1917"/>
      <c r="L1251" s="1918"/>
      <c r="N1251" s="1916"/>
      <c r="O1251" s="1917"/>
      <c r="P1251" s="1917"/>
      <c r="Q1251" s="1918"/>
      <c r="S1251" s="1916"/>
      <c r="T1251" s="1917"/>
      <c r="U1251" s="1917"/>
      <c r="V1251" s="1918"/>
      <c r="X1251" s="1916"/>
      <c r="Y1251" s="1917"/>
      <c r="Z1251" s="1917"/>
      <c r="AA1251" s="1918"/>
      <c r="AC1251" s="1916"/>
      <c r="AD1251" s="1917"/>
      <c r="AE1251" s="1917"/>
      <c r="AF1251" s="1918"/>
      <c r="AH1251" s="1916"/>
      <c r="AI1251" s="1917"/>
      <c r="AJ1251" s="1917"/>
      <c r="AK1251" s="1918"/>
    </row>
    <row r="1252" spans="2:38" s="180" customFormat="1" x14ac:dyDescent="0.45">
      <c r="B1252" s="1942"/>
      <c r="C1252" s="1945"/>
      <c r="D1252" s="1916"/>
      <c r="E1252" s="1917"/>
      <c r="F1252" s="1917"/>
      <c r="G1252" s="1918"/>
      <c r="I1252" s="1916"/>
      <c r="J1252" s="1917"/>
      <c r="K1252" s="1917"/>
      <c r="L1252" s="1918"/>
      <c r="N1252" s="1916"/>
      <c r="O1252" s="1917"/>
      <c r="P1252" s="1917"/>
      <c r="Q1252" s="1918"/>
      <c r="S1252" s="1916"/>
      <c r="T1252" s="1917"/>
      <c r="U1252" s="1917"/>
      <c r="V1252" s="1918"/>
      <c r="X1252" s="1916"/>
      <c r="Y1252" s="1917"/>
      <c r="Z1252" s="1917"/>
      <c r="AA1252" s="1918"/>
      <c r="AC1252" s="1916"/>
      <c r="AD1252" s="1917"/>
      <c r="AE1252" s="1917"/>
      <c r="AF1252" s="1918"/>
      <c r="AH1252" s="1916"/>
      <c r="AI1252" s="1917"/>
      <c r="AJ1252" s="1917"/>
      <c r="AK1252" s="1918"/>
    </row>
    <row r="1253" spans="2:38" s="180" customFormat="1" x14ac:dyDescent="0.45">
      <c r="B1253" s="1942"/>
      <c r="C1253" s="1945"/>
      <c r="D1253" s="1916"/>
      <c r="E1253" s="1917"/>
      <c r="F1253" s="1917"/>
      <c r="G1253" s="1918"/>
      <c r="I1253" s="1916"/>
      <c r="J1253" s="1917"/>
      <c r="K1253" s="1917"/>
      <c r="L1253" s="1918"/>
      <c r="N1253" s="1916"/>
      <c r="O1253" s="1917"/>
      <c r="P1253" s="1917"/>
      <c r="Q1253" s="1918"/>
      <c r="S1253" s="1916"/>
      <c r="T1253" s="1917"/>
      <c r="U1253" s="1917"/>
      <c r="V1253" s="1918"/>
      <c r="X1253" s="1916"/>
      <c r="Y1253" s="1917"/>
      <c r="Z1253" s="1917"/>
      <c r="AA1253" s="1918"/>
      <c r="AC1253" s="1916"/>
      <c r="AD1253" s="1917"/>
      <c r="AE1253" s="1917"/>
      <c r="AF1253" s="1918"/>
      <c r="AH1253" s="1916"/>
      <c r="AI1253" s="1917"/>
      <c r="AJ1253" s="1917"/>
      <c r="AK1253" s="1918"/>
    </row>
    <row r="1254" spans="2:38" s="180" customFormat="1" x14ac:dyDescent="0.45">
      <c r="B1254" s="1942"/>
      <c r="C1254" s="1945"/>
      <c r="D1254" s="1916"/>
      <c r="E1254" s="1917"/>
      <c r="F1254" s="1917"/>
      <c r="G1254" s="1918"/>
      <c r="I1254" s="1916"/>
      <c r="J1254" s="1917"/>
      <c r="K1254" s="1917"/>
      <c r="L1254" s="1918"/>
      <c r="N1254" s="1916"/>
      <c r="O1254" s="1917"/>
      <c r="P1254" s="1917"/>
      <c r="Q1254" s="1918"/>
      <c r="S1254" s="1916"/>
      <c r="T1254" s="1917"/>
      <c r="U1254" s="1917"/>
      <c r="V1254" s="1918"/>
      <c r="X1254" s="1916"/>
      <c r="Y1254" s="1917"/>
      <c r="Z1254" s="1917"/>
      <c r="AA1254" s="1918"/>
      <c r="AC1254" s="1916"/>
      <c r="AD1254" s="1917"/>
      <c r="AE1254" s="1917"/>
      <c r="AF1254" s="1918"/>
      <c r="AH1254" s="1916"/>
      <c r="AI1254" s="1917"/>
      <c r="AJ1254" s="1917"/>
      <c r="AK1254" s="1918"/>
    </row>
    <row r="1255" spans="2:38" s="180" customFormat="1" x14ac:dyDescent="0.45">
      <c r="B1255" s="1942"/>
      <c r="C1255" s="1945"/>
      <c r="D1255" s="1919"/>
      <c r="E1255" s="1920"/>
      <c r="F1255" s="1920"/>
      <c r="G1255" s="1921"/>
      <c r="I1255" s="1919"/>
      <c r="J1255" s="1920"/>
      <c r="K1255" s="1920"/>
      <c r="L1255" s="1921"/>
      <c r="N1255" s="1919"/>
      <c r="O1255" s="1920"/>
      <c r="P1255" s="1920"/>
      <c r="Q1255" s="1921"/>
      <c r="S1255" s="1919"/>
      <c r="T1255" s="1920"/>
      <c r="U1255" s="1920"/>
      <c r="V1255" s="1921"/>
      <c r="X1255" s="1919"/>
      <c r="Y1255" s="1920"/>
      <c r="Z1255" s="1920"/>
      <c r="AA1255" s="1921"/>
      <c r="AC1255" s="1919"/>
      <c r="AD1255" s="1920"/>
      <c r="AE1255" s="1920"/>
      <c r="AF1255" s="1921"/>
      <c r="AH1255" s="1919"/>
      <c r="AI1255" s="1920"/>
      <c r="AJ1255" s="1920"/>
      <c r="AK1255" s="1921"/>
    </row>
    <row r="1256" spans="2:38" s="180" customFormat="1" ht="15" customHeight="1" x14ac:dyDescent="0.45">
      <c r="B1256" s="1942"/>
      <c r="C1256" s="1945"/>
      <c r="D1256" s="1913" t="str">
        <f ca="1">IF(G1236&gt;0,CONCATENATE("Session Aim: 
", CONCATENATE(IF(INDEX(final_duration_secondary,((WEEKDAY(E$3,2)*2-1)+IF(E1236="Morning",0,1)),D1236)=0, "", "1. "),
INDEX(sessions_aim_primary,, INDEX(plan_session_allocation,((WEEKDAY(E$3,2)*2-1)+IF(E1236="Morning",0,1)),D1236)), IF(INDEX(final_duration_secondary,((WEEKDAY(E$3,2)*2-1)+IF(E1236="Morning",0,1)),D1236)=0, "", "
2. "),
IF(INDEX(final_duration_secondary,((WEEKDAY(E$3,2)*2-1)+IF(E1236="Morning",0,1)),D1236)=0, "", INDEX(sessions_aim_secondary,, INDEX(plan_session_allocation,((WEEKDAY(E$3,2)*2-1)+IF(E1236="Morning",0,1)),D1236))), IF(INDEX(final_duration_tertiary,((WEEKDAY(E$3,2)*2-1)+IF(E1236="Morning",0,1)),D1236)=0, "", "
3. "),
IF(INDEX(final_duration_tertiary,((WEEKDAY(E$3,2)*2-1)+IF(E1236="Morning",0,1)),D1236)=0, "", INDEX(sessions_aim_tertiary,, INDEX(plan_session_allocation,((WEEKDAY(E$3,2)*2-1)+IF(E1236="Morning",0,1)),D1236))),
IF(INDEX(display_nutrition_description,((WEEKDAY(E$3,2)*2-1)+IF(E1236="Morning",0,1)),D1236)="","",
CONCATENATE("
Nutrition Aim:
", INDEX(sessions_aim_nutrition,,INDEX(plan_session_allocation,((WEEKDAY(E$3,2)*2-1)+IF(E1236="Morning",0,1)),D1236))
))
)),"")</f>
        <v/>
      </c>
      <c r="E1256" s="1914"/>
      <c r="F1256" s="1914"/>
      <c r="G1256" s="1915"/>
      <c r="I1256" s="1913" t="str">
        <f ca="1">IF(L1236&gt;0,CONCATENATE("Session Aim: 
", CONCATENATE(IF(INDEX(final_duration_secondary,((WEEKDAY(J$3,2)*2-1)+IF(J1236="Morning",0,1)),I1236)=0, "", "1. "),
INDEX(sessions_aim_primary,, INDEX(plan_session_allocation,((WEEKDAY(J$3,2)*2-1)+IF(J1236="Morning",0,1)),I1236)), IF(INDEX(final_duration_secondary,((WEEKDAY(J$3,2)*2-1)+IF(J1236="Morning",0,1)),I1236)=0, "", "
2. "),
IF(INDEX(final_duration_secondary,((WEEKDAY(J$3,2)*2-1)+IF(J1236="Morning",0,1)),I1236)=0, "", INDEX(sessions_aim_secondary,, INDEX(plan_session_allocation,((WEEKDAY(J$3,2)*2-1)+IF(J1236="Morning",0,1)),I1236))), IF(INDEX(final_duration_tertiary,((WEEKDAY(J$3,2)*2-1)+IF(J1236="Morning",0,1)),I1236)=0, "", "
3. "),
IF(INDEX(final_duration_tertiary,((WEEKDAY(J$3,2)*2-1)+IF(J1236="Morning",0,1)),I1236)=0, "", INDEX(sessions_aim_tertiary,, INDEX(plan_session_allocation,((WEEKDAY(J$3,2)*2-1)+IF(J1236="Morning",0,1)),I1236))),
IF(INDEX(display_nutrition_description,((WEEKDAY(J$3,2)*2-1)+IF(J1236="Morning",0,1)),I1236)="","",
CONCATENATE("
Nutrition Aim:
", INDEX(sessions_aim_nutrition,,INDEX(plan_session_allocation,((WEEKDAY(J$3,2)*2-1)+IF(J1236="Morning",0,1)),I1236))
))
)),"")</f>
        <v/>
      </c>
      <c r="J1256" s="1914"/>
      <c r="K1256" s="1914"/>
      <c r="L1256" s="1915"/>
      <c r="N1256" s="1913" t="str">
        <f ca="1">IF(Q1236&gt;0,CONCATENATE("Session Aim: 
", CONCATENATE(IF(INDEX(final_duration_secondary,((WEEKDAY(O$3,2)*2-1)+IF(O1236="Morning",0,1)),N1236)=0, "", "1. "),
INDEX(sessions_aim_primary,, INDEX(plan_session_allocation,((WEEKDAY(O$3,2)*2-1)+IF(O1236="Morning",0,1)),N1236)), IF(INDEX(final_duration_secondary,((WEEKDAY(O$3,2)*2-1)+IF(O1236="Morning",0,1)),N1236)=0, "", "
2. "),
IF(INDEX(final_duration_secondary,((WEEKDAY(O$3,2)*2-1)+IF(O1236="Morning",0,1)),N1236)=0, "", INDEX(sessions_aim_secondary,, INDEX(plan_session_allocation,((WEEKDAY(O$3,2)*2-1)+IF(O1236="Morning",0,1)),N1236))), IF(INDEX(final_duration_tertiary,((WEEKDAY(O$3,2)*2-1)+IF(O1236="Morning",0,1)),N1236)=0, "", "
3. "),
IF(INDEX(final_duration_tertiary,((WEEKDAY(O$3,2)*2-1)+IF(O1236="Morning",0,1)),N1236)=0, "", INDEX(sessions_aim_tertiary,, INDEX(plan_session_allocation,((WEEKDAY(O$3,2)*2-1)+IF(O1236="Morning",0,1)),N1236))),
IF(INDEX(display_nutrition_description,((WEEKDAY(O$3,2)*2-1)+IF(O1236="Morning",0,1)),N1236)="","",
CONCATENATE("
Nutrition Aim:
", INDEX(sessions_aim_nutrition,,INDEX(plan_session_allocation,((WEEKDAY(O$3,2)*2-1)+IF(O1236="Morning",0,1)),N1236))
))
)),"")</f>
        <v/>
      </c>
      <c r="O1256" s="1914"/>
      <c r="P1256" s="1914"/>
      <c r="Q1256" s="1915"/>
      <c r="S1256" s="1913" t="str">
        <f ca="1">IF(V1236&gt;0,CONCATENATE("Session Aim: 
", CONCATENATE(IF(INDEX(final_duration_secondary,((WEEKDAY(T$3,2)*2-1)+IF(T1236="Morning",0,1)),S1236)=0, "", "1. "),
INDEX(sessions_aim_primary,, INDEX(plan_session_allocation,((WEEKDAY(T$3,2)*2-1)+IF(T1236="Morning",0,1)),S1236)), IF(INDEX(final_duration_secondary,((WEEKDAY(T$3,2)*2-1)+IF(T1236="Morning",0,1)),S1236)=0, "", "
2. "),
IF(INDEX(final_duration_secondary,((WEEKDAY(T$3,2)*2-1)+IF(T1236="Morning",0,1)),S1236)=0, "", INDEX(sessions_aim_secondary,, INDEX(plan_session_allocation,((WEEKDAY(T$3,2)*2-1)+IF(T1236="Morning",0,1)),S1236))), IF(INDEX(final_duration_tertiary,((WEEKDAY(T$3,2)*2-1)+IF(T1236="Morning",0,1)),S1236)=0, "", "
3. "),
IF(INDEX(final_duration_tertiary,((WEEKDAY(T$3,2)*2-1)+IF(T1236="Morning",0,1)),S1236)=0, "", INDEX(sessions_aim_tertiary,, INDEX(plan_session_allocation,((WEEKDAY(T$3,2)*2-1)+IF(T1236="Morning",0,1)),S1236))),
IF(INDEX(display_nutrition_description,((WEEKDAY(T$3,2)*2-1)+IF(T1236="Morning",0,1)),S1236)="","",
CONCATENATE("
Nutrition Aim:
", INDEX(sessions_aim_nutrition,,INDEX(plan_session_allocation,((WEEKDAY(T$3,2)*2-1)+IF(T1236="Morning",0,1)),S1236))
))
)),"")</f>
        <v/>
      </c>
      <c r="T1256" s="1914"/>
      <c r="U1256" s="1914"/>
      <c r="V1256" s="1915"/>
      <c r="X1256" s="1913" t="str">
        <f ca="1">IF(AA1236&gt;0,CONCATENATE("Session Aim: 
", CONCATENATE(IF(INDEX(final_duration_secondary,((WEEKDAY(Y$3,2)*2-1)+IF(Y1236="Morning",0,1)),X1236)=0, "", "1. "),
INDEX(sessions_aim_primary,, INDEX(plan_session_allocation,((WEEKDAY(Y$3,2)*2-1)+IF(Y1236="Morning",0,1)),X1236)), IF(INDEX(final_duration_secondary,((WEEKDAY(Y$3,2)*2-1)+IF(Y1236="Morning",0,1)),X1236)=0, "", "
2. "),
IF(INDEX(final_duration_secondary,((WEEKDAY(Y$3,2)*2-1)+IF(Y1236="Morning",0,1)),X1236)=0, "", INDEX(sessions_aim_secondary,, INDEX(plan_session_allocation,((WEEKDAY(Y$3,2)*2-1)+IF(Y1236="Morning",0,1)),X1236))), IF(INDEX(final_duration_tertiary,((WEEKDAY(Y$3,2)*2-1)+IF(Y1236="Morning",0,1)),X1236)=0, "", "
3. "),
IF(INDEX(final_duration_tertiary,((WEEKDAY(Y$3,2)*2-1)+IF(Y1236="Morning",0,1)),X1236)=0, "", INDEX(sessions_aim_tertiary,, INDEX(plan_session_allocation,((WEEKDAY(Y$3,2)*2-1)+IF(Y1236="Morning",0,1)),X1236))),
IF(INDEX(display_nutrition_description,((WEEKDAY(Y$3,2)*2-1)+IF(Y1236="Morning",0,1)),X1236)="","",
CONCATENATE("
Nutrition Aim:
", INDEX(sessions_aim_nutrition,,INDEX(plan_session_allocation,((WEEKDAY(Y$3,2)*2-1)+IF(Y1236="Morning",0,1)),X1236))
))
)),"")</f>
        <v/>
      </c>
      <c r="Y1256" s="1914"/>
      <c r="Z1256" s="1914"/>
      <c r="AA1256" s="1915"/>
      <c r="AC1256" s="1913" t="str">
        <f ca="1">IF(AF1236&gt;0,CONCATENATE("Session Aim: 
", CONCATENATE(IF(INDEX(final_duration_secondary,((WEEKDAY(AD$3,2)*2-1)+IF(AD1236="Morning",0,1)),AC1236)=0, "", "1. "),
INDEX(sessions_aim_primary,, INDEX(plan_session_allocation,((WEEKDAY(AD$3,2)*2-1)+IF(AD1236="Morning",0,1)),AC1236)), IF(INDEX(final_duration_secondary,((WEEKDAY(AD$3,2)*2-1)+IF(AD1236="Morning",0,1)),AC1236)=0, "", "
2. "),
IF(INDEX(final_duration_secondary,((WEEKDAY(AD$3,2)*2-1)+IF(AD1236="Morning",0,1)),AC1236)=0, "", INDEX(sessions_aim_secondary,, INDEX(plan_session_allocation,((WEEKDAY(AD$3,2)*2-1)+IF(AD1236="Morning",0,1)),AC1236))), IF(INDEX(final_duration_tertiary,((WEEKDAY(AD$3,2)*2-1)+IF(AD1236="Morning",0,1)),AC1236)=0, "", "
3. "),
IF(INDEX(final_duration_tertiary,((WEEKDAY(AD$3,2)*2-1)+IF(AD1236="Morning",0,1)),AC1236)=0, "", INDEX(sessions_aim_tertiary,, INDEX(plan_session_allocation,((WEEKDAY(AD$3,2)*2-1)+IF(AD1236="Morning",0,1)),AC1236))),
IF(INDEX(display_nutrition_description,((WEEKDAY(AD$3,2)*2-1)+IF(AD1236="Morning",0,1)),AC1236)="","",
CONCATENATE("
Nutrition Aim:
", INDEX(sessions_aim_nutrition,,INDEX(plan_session_allocation,((WEEKDAY(AD$3,2)*2-1)+IF(AD1236="Morning",0,1)),AC1236))
))
)),"")</f>
        <v/>
      </c>
      <c r="AD1256" s="1914"/>
      <c r="AE1256" s="1914"/>
      <c r="AF1256" s="1915"/>
      <c r="AH1256" s="1913" t="str">
        <f ca="1">IF(AK1236&gt;0,CONCATENATE("Session Aim: 
", CONCATENATE(IF(INDEX(final_duration_secondary,((WEEKDAY(AI$3,2)*2-1)+IF(AI1236="Morning",0,1)),AH1236)=0, "", "1. "),
INDEX(sessions_aim_primary,, INDEX(plan_session_allocation,((WEEKDAY(AI$3,2)*2-1)+IF(AI1236="Morning",0,1)),AH1236)), IF(INDEX(final_duration_secondary,((WEEKDAY(AI$3,2)*2-1)+IF(AI1236="Morning",0,1)),AH1236)=0, "", "
2. "),
IF(INDEX(final_duration_secondary,((WEEKDAY(AI$3,2)*2-1)+IF(AI1236="Morning",0,1)),AH1236)=0, "", INDEX(sessions_aim_secondary,, INDEX(plan_session_allocation,((WEEKDAY(AI$3,2)*2-1)+IF(AI1236="Morning",0,1)),AH1236))), IF(INDEX(final_duration_tertiary,((WEEKDAY(AI$3,2)*2-1)+IF(AI1236="Morning",0,1)),AH1236)=0, "", "
3. "),
IF(INDEX(final_duration_tertiary,((WEEKDAY(AI$3,2)*2-1)+IF(AI1236="Morning",0,1)),AH1236)=0, "", INDEX(sessions_aim_tertiary,, INDEX(plan_session_allocation,((WEEKDAY(AI$3,2)*2-1)+IF(AI1236="Morning",0,1)),AH1236))),
IF(INDEX(display_nutrition_description,((WEEKDAY(AI$3,2)*2-1)+IF(AI1236="Morning",0,1)),AH1236)="","",
CONCATENATE("
Nutrition Aim:
", INDEX(sessions_aim_nutrition,,INDEX(plan_session_allocation,((WEEKDAY(AI$3,2)*2-1)+IF(AI1236="Morning",0,1)),AH1236))
))
)),"")</f>
        <v/>
      </c>
      <c r="AI1256" s="1914"/>
      <c r="AJ1256" s="1914"/>
      <c r="AK1256" s="1915"/>
    </row>
    <row r="1257" spans="2:38" s="180" customFormat="1" x14ac:dyDescent="0.45">
      <c r="B1257" s="1942"/>
      <c r="C1257" s="1945"/>
      <c r="D1257" s="1916"/>
      <c r="E1257" s="1917"/>
      <c r="F1257" s="1917"/>
      <c r="G1257" s="1918"/>
      <c r="I1257" s="1916"/>
      <c r="J1257" s="1917"/>
      <c r="K1257" s="1917"/>
      <c r="L1257" s="1918"/>
      <c r="N1257" s="1916"/>
      <c r="O1257" s="1917"/>
      <c r="P1257" s="1917"/>
      <c r="Q1257" s="1918"/>
      <c r="S1257" s="1916"/>
      <c r="T1257" s="1917"/>
      <c r="U1257" s="1917"/>
      <c r="V1257" s="1918"/>
      <c r="X1257" s="1916"/>
      <c r="Y1257" s="1917"/>
      <c r="Z1257" s="1917"/>
      <c r="AA1257" s="1918"/>
      <c r="AC1257" s="1916"/>
      <c r="AD1257" s="1917"/>
      <c r="AE1257" s="1917"/>
      <c r="AF1257" s="1918"/>
      <c r="AH1257" s="1916"/>
      <c r="AI1257" s="1917"/>
      <c r="AJ1257" s="1917"/>
      <c r="AK1257" s="1918"/>
    </row>
    <row r="1258" spans="2:38" s="180" customFormat="1" x14ac:dyDescent="0.45">
      <c r="B1258" s="1942"/>
      <c r="C1258" s="1945"/>
      <c r="D1258" s="1916"/>
      <c r="E1258" s="1917"/>
      <c r="F1258" s="1917"/>
      <c r="G1258" s="1918"/>
      <c r="I1258" s="1916"/>
      <c r="J1258" s="1917"/>
      <c r="K1258" s="1917"/>
      <c r="L1258" s="1918"/>
      <c r="N1258" s="1916"/>
      <c r="O1258" s="1917"/>
      <c r="P1258" s="1917"/>
      <c r="Q1258" s="1918"/>
      <c r="S1258" s="1916"/>
      <c r="T1258" s="1917"/>
      <c r="U1258" s="1917"/>
      <c r="V1258" s="1918"/>
      <c r="X1258" s="1916"/>
      <c r="Y1258" s="1917"/>
      <c r="Z1258" s="1917"/>
      <c r="AA1258" s="1918"/>
      <c r="AC1258" s="1916"/>
      <c r="AD1258" s="1917"/>
      <c r="AE1258" s="1917"/>
      <c r="AF1258" s="1918"/>
      <c r="AH1258" s="1916"/>
      <c r="AI1258" s="1917"/>
      <c r="AJ1258" s="1917"/>
      <c r="AK1258" s="1918"/>
    </row>
    <row r="1259" spans="2:38" s="180" customFormat="1" x14ac:dyDescent="0.45">
      <c r="B1259" s="1942"/>
      <c r="C1259" s="1945"/>
      <c r="D1259" s="1916"/>
      <c r="E1259" s="1917"/>
      <c r="F1259" s="1917"/>
      <c r="G1259" s="1918"/>
      <c r="I1259" s="1916"/>
      <c r="J1259" s="1917"/>
      <c r="K1259" s="1917"/>
      <c r="L1259" s="1918"/>
      <c r="N1259" s="1916"/>
      <c r="O1259" s="1917"/>
      <c r="P1259" s="1917"/>
      <c r="Q1259" s="1918"/>
      <c r="S1259" s="1916"/>
      <c r="T1259" s="1917"/>
      <c r="U1259" s="1917"/>
      <c r="V1259" s="1918"/>
      <c r="X1259" s="1916"/>
      <c r="Y1259" s="1917"/>
      <c r="Z1259" s="1917"/>
      <c r="AA1259" s="1918"/>
      <c r="AC1259" s="1916"/>
      <c r="AD1259" s="1917"/>
      <c r="AE1259" s="1917"/>
      <c r="AF1259" s="1918"/>
      <c r="AH1259" s="1916"/>
      <c r="AI1259" s="1917"/>
      <c r="AJ1259" s="1917"/>
      <c r="AK1259" s="1918"/>
    </row>
    <row r="1260" spans="2:38" s="180" customFormat="1" x14ac:dyDescent="0.45">
      <c r="B1260" s="1942"/>
      <c r="C1260" s="1945"/>
      <c r="D1260" s="1916"/>
      <c r="E1260" s="1917"/>
      <c r="F1260" s="1917"/>
      <c r="G1260" s="1918"/>
      <c r="I1260" s="1916"/>
      <c r="J1260" s="1917"/>
      <c r="K1260" s="1917"/>
      <c r="L1260" s="1918"/>
      <c r="N1260" s="1916"/>
      <c r="O1260" s="1917"/>
      <c r="P1260" s="1917"/>
      <c r="Q1260" s="1918"/>
      <c r="S1260" s="1916"/>
      <c r="T1260" s="1917"/>
      <c r="U1260" s="1917"/>
      <c r="V1260" s="1918"/>
      <c r="X1260" s="1916"/>
      <c r="Y1260" s="1917"/>
      <c r="Z1260" s="1917"/>
      <c r="AA1260" s="1918"/>
      <c r="AC1260" s="1916"/>
      <c r="AD1260" s="1917"/>
      <c r="AE1260" s="1917"/>
      <c r="AF1260" s="1918"/>
      <c r="AH1260" s="1916"/>
      <c r="AI1260" s="1917"/>
      <c r="AJ1260" s="1917"/>
      <c r="AK1260" s="1918"/>
    </row>
    <row r="1261" spans="2:38" s="180" customFormat="1" x14ac:dyDescent="0.45">
      <c r="B1261" s="1942"/>
      <c r="C1261" s="1945"/>
      <c r="D1261" s="1916"/>
      <c r="E1261" s="1917"/>
      <c r="F1261" s="1917"/>
      <c r="G1261" s="1918"/>
      <c r="I1261" s="1916"/>
      <c r="J1261" s="1917"/>
      <c r="K1261" s="1917"/>
      <c r="L1261" s="1918"/>
      <c r="N1261" s="1916"/>
      <c r="O1261" s="1917"/>
      <c r="P1261" s="1917"/>
      <c r="Q1261" s="1918"/>
      <c r="S1261" s="1916"/>
      <c r="T1261" s="1917"/>
      <c r="U1261" s="1917"/>
      <c r="V1261" s="1918"/>
      <c r="X1261" s="1916"/>
      <c r="Y1261" s="1917"/>
      <c r="Z1261" s="1917"/>
      <c r="AA1261" s="1918"/>
      <c r="AC1261" s="1916"/>
      <c r="AD1261" s="1917"/>
      <c r="AE1261" s="1917"/>
      <c r="AF1261" s="1918"/>
      <c r="AH1261" s="1916"/>
      <c r="AI1261" s="1917"/>
      <c r="AJ1261" s="1917"/>
      <c r="AK1261" s="1918"/>
    </row>
    <row r="1262" spans="2:38" s="180" customFormat="1" ht="14.65" thickBot="1" x14ac:dyDescent="0.5">
      <c r="B1262" s="1942"/>
      <c r="C1262" s="1945"/>
      <c r="D1262" s="1938"/>
      <c r="E1262" s="1939"/>
      <c r="F1262" s="1939"/>
      <c r="G1262" s="1940"/>
      <c r="I1262" s="1938"/>
      <c r="J1262" s="1939"/>
      <c r="K1262" s="1939"/>
      <c r="L1262" s="1940"/>
      <c r="N1262" s="1938"/>
      <c r="O1262" s="1939"/>
      <c r="P1262" s="1939"/>
      <c r="Q1262" s="1940"/>
      <c r="S1262" s="1938"/>
      <c r="T1262" s="1939"/>
      <c r="U1262" s="1939"/>
      <c r="V1262" s="1940"/>
      <c r="X1262" s="1938"/>
      <c r="Y1262" s="1939"/>
      <c r="Z1262" s="1939"/>
      <c r="AA1262" s="1940"/>
      <c r="AC1262" s="1938"/>
      <c r="AD1262" s="1939"/>
      <c r="AE1262" s="1939"/>
      <c r="AF1262" s="1940"/>
      <c r="AH1262" s="1938"/>
      <c r="AI1262" s="1939"/>
      <c r="AJ1262" s="1939"/>
      <c r="AK1262" s="1940"/>
    </row>
    <row r="1263" spans="2:38" s="176" customFormat="1" ht="15.75" customHeight="1" x14ac:dyDescent="0.45">
      <c r="B1263" s="1942"/>
      <c r="C1263" s="1945"/>
      <c r="D1263" s="1415">
        <f>$B1235</f>
        <v>23</v>
      </c>
      <c r="E1263" s="1930" t="s">
        <v>352</v>
      </c>
      <c r="F1263" s="1930"/>
      <c r="G1263" s="1414">
        <f ca="1">INDEX(final_duration_session,((WEEKDAY(E$3,2)*2-1)+IF(E1263="Morning",0,1)),$D1263)</f>
        <v>0</v>
      </c>
      <c r="H1263" s="177"/>
      <c r="I1263" s="1415">
        <f>$B1235</f>
        <v>23</v>
      </c>
      <c r="J1263" s="1930" t="s">
        <v>352</v>
      </c>
      <c r="K1263" s="1930"/>
      <c r="L1263" s="1414">
        <f ca="1">INDEX(final_duration_session,((WEEKDAY(J$3,2)*2-1)+IF(J1263="Morning",0,1)),$D1263)</f>
        <v>0</v>
      </c>
      <c r="M1263" s="177"/>
      <c r="N1263" s="1415">
        <f>$B1235</f>
        <v>23</v>
      </c>
      <c r="O1263" s="1930" t="s">
        <v>352</v>
      </c>
      <c r="P1263" s="1930"/>
      <c r="Q1263" s="1414">
        <f ca="1">INDEX(final_duration_session,((WEEKDAY(O$3,2)*2-1)+IF(O1263="Morning",0,1)),$D1263)</f>
        <v>0</v>
      </c>
      <c r="R1263" s="177"/>
      <c r="S1263" s="1415">
        <f>$B1235</f>
        <v>23</v>
      </c>
      <c r="T1263" s="1930" t="s">
        <v>352</v>
      </c>
      <c r="U1263" s="1930"/>
      <c r="V1263" s="1414">
        <f ca="1">INDEX(final_duration_session,((WEEKDAY(T$3,2)*2-1)+IF(T1263="Morning",0,1)),$D1263)</f>
        <v>0</v>
      </c>
      <c r="W1263" s="177"/>
      <c r="X1263" s="1415">
        <f>$B1235</f>
        <v>23</v>
      </c>
      <c r="Y1263" s="1930" t="s">
        <v>352</v>
      </c>
      <c r="Z1263" s="1930"/>
      <c r="AA1263" s="1414">
        <f ca="1">INDEX(final_duration_session,((WEEKDAY(Y$3,2)*2-1)+IF(Y1263="Morning",0,1)),$D1263)</f>
        <v>0</v>
      </c>
      <c r="AB1263" s="177"/>
      <c r="AC1263" s="1415">
        <f>$B1235</f>
        <v>23</v>
      </c>
      <c r="AD1263" s="1930" t="s">
        <v>352</v>
      </c>
      <c r="AE1263" s="1930"/>
      <c r="AF1263" s="1414">
        <f ca="1">INDEX(final_duration_session,((WEEKDAY(AD$3,2)*2-1)+IF(AD1263="Morning",0,1)),$D1263)</f>
        <v>0</v>
      </c>
      <c r="AG1263" s="177"/>
      <c r="AH1263" s="1415">
        <f>$B1235</f>
        <v>23</v>
      </c>
      <c r="AI1263" s="1930" t="s">
        <v>352</v>
      </c>
      <c r="AJ1263" s="1930"/>
      <c r="AK1263" s="1414">
        <f ca="1">INDEX(final_duration_session,((WEEKDAY(AI$3,2)*2-1)+IF(AI1263="Morning",0,1)),$D1263)</f>
        <v>0</v>
      </c>
      <c r="AL1263" s="177"/>
    </row>
    <row r="1264" spans="2:38" s="176" customFormat="1" ht="15" customHeight="1" x14ac:dyDescent="0.45">
      <c r="B1264" s="1942"/>
      <c r="C1264" s="1945"/>
      <c r="D1264" s="1931" t="str">
        <f ca="1">IF(G1263&gt;0,INDEX(sessions_name,INDEX(plan_session_allocation,((WEEKDAY(E$3,2)*2-1)+IF(E1263="Morning",0,1)),D1263)),"")</f>
        <v/>
      </c>
      <c r="E1264" s="1932"/>
      <c r="F1264" s="1932"/>
      <c r="G1264" s="1933"/>
      <c r="H1264" s="177"/>
      <c r="I1264" s="1931" t="str">
        <f ca="1">IF(L1263&gt;0,INDEX(sessions_name,INDEX(plan_session_allocation,((WEEKDAY(J$3,2)*2-1)+IF(J1263="Morning",0,1)),I1263)),"")</f>
        <v/>
      </c>
      <c r="J1264" s="1932"/>
      <c r="K1264" s="1932"/>
      <c r="L1264" s="1933"/>
      <c r="M1264" s="177"/>
      <c r="N1264" s="1931" t="str">
        <f ca="1">IF(Q1263&gt;0,INDEX(sessions_name,INDEX(plan_session_allocation,((WEEKDAY(O$3,2)*2-1)+IF(O1263="Morning",0,1)),N1263)),"")</f>
        <v/>
      </c>
      <c r="O1264" s="1932"/>
      <c r="P1264" s="1932"/>
      <c r="Q1264" s="1933"/>
      <c r="R1264" s="177"/>
      <c r="S1264" s="1931" t="str">
        <f ca="1">IF(V1263&gt;0,INDEX(sessions_name,INDEX(plan_session_allocation,((WEEKDAY(T$3,2)*2-1)+IF(T1263="Morning",0,1)),S1263)),"")</f>
        <v/>
      </c>
      <c r="T1264" s="1932"/>
      <c r="U1264" s="1932"/>
      <c r="V1264" s="1933"/>
      <c r="W1264" s="177"/>
      <c r="X1264" s="1931" t="str">
        <f ca="1">IF(AA1263&gt;0,INDEX(sessions_name,INDEX(plan_session_allocation,((WEEKDAY(Y$3,2)*2-1)+IF(Y1263="Morning",0,1)),X1263)),"")</f>
        <v/>
      </c>
      <c r="Y1264" s="1932"/>
      <c r="Z1264" s="1932"/>
      <c r="AA1264" s="1933"/>
      <c r="AB1264" s="177"/>
      <c r="AC1264" s="1931" t="str">
        <f ca="1">IF(AF1263&gt;0,INDEX(sessions_name,INDEX(plan_session_allocation,((WEEKDAY(AD$3,2)*2-1)+IF(AD1263="Morning",0,1)),AC1263)),"")</f>
        <v/>
      </c>
      <c r="AD1264" s="1932"/>
      <c r="AE1264" s="1932"/>
      <c r="AF1264" s="1933"/>
      <c r="AG1264" s="177"/>
      <c r="AH1264" s="1931" t="str">
        <f ca="1">IF(AK1263&gt;0,INDEX(sessions_name,INDEX(plan_session_allocation,((WEEKDAY(AI$3,2)*2-1)+IF(AI1263="Morning",0,1)),AH1263)),"")</f>
        <v/>
      </c>
      <c r="AI1264" s="1932"/>
      <c r="AJ1264" s="1932"/>
      <c r="AK1264" s="1933"/>
      <c r="AL1264" s="177"/>
    </row>
    <row r="1265" spans="2:38" s="176" customFormat="1" ht="15" customHeight="1" x14ac:dyDescent="0.45">
      <c r="B1265" s="1942"/>
      <c r="C1265" s="1945"/>
      <c r="D1265" s="1934" t="str">
        <f ca="1">IF(G1263&gt;0,CONCATENATE("Sport: ",INDEX(sessions_sport_primary,INDEX(plan_session_allocation,(WEEKDAY(E$3,2)*2-1)+IF(E1263="Morning",0,1),D1263))),"")</f>
        <v/>
      </c>
      <c r="E1265" s="1935"/>
      <c r="F1265" s="1936" t="str">
        <f ca="1">IF(G1263&gt;0,IFERROR(F1266+F1267+F1268,""),"")</f>
        <v/>
      </c>
      <c r="G1265" s="1937"/>
      <c r="H1265" s="177"/>
      <c r="I1265" s="1934" t="str">
        <f ca="1">IF(L1263&gt;0,CONCATENATE("Sport: ",INDEX(sessions_sport_primary,INDEX(plan_session_allocation,(WEEKDAY(J$3,2)*2-1)+IF(J1263="Morning",0,1),I1263))),"")</f>
        <v/>
      </c>
      <c r="J1265" s="1935"/>
      <c r="K1265" s="1936" t="str">
        <f ca="1">IF(L1263&gt;0,IFERROR(K1266+K1267+K1268,""),"")</f>
        <v/>
      </c>
      <c r="L1265" s="1937"/>
      <c r="M1265" s="177"/>
      <c r="N1265" s="1934" t="str">
        <f ca="1">IF(Q1263&gt;0,CONCATENATE("Sport: ",INDEX(sessions_sport_primary,INDEX(plan_session_allocation,(WEEKDAY(O$3,2)*2-1)+IF(O1263="Morning",0,1),N1263))),"")</f>
        <v/>
      </c>
      <c r="O1265" s="1935"/>
      <c r="P1265" s="1936" t="str">
        <f ca="1">IF(Q1263&gt;0,IFERROR(P1266+P1267+P1268,""),"")</f>
        <v/>
      </c>
      <c r="Q1265" s="1937"/>
      <c r="R1265" s="177"/>
      <c r="S1265" s="1934" t="str">
        <f ca="1">IF(V1263&gt;0,CONCATENATE("Sport: ",INDEX(sessions_sport_primary,INDEX(plan_session_allocation,(WEEKDAY(T$3,2)*2-1)+IF(T1263="Morning",0,1),S1263))),"")</f>
        <v/>
      </c>
      <c r="T1265" s="1935"/>
      <c r="U1265" s="1936" t="str">
        <f ca="1">IF(V1263&gt;0,IFERROR(U1266+U1267+U1268,""),"")</f>
        <v/>
      </c>
      <c r="V1265" s="1937"/>
      <c r="W1265" s="177"/>
      <c r="X1265" s="1934" t="str">
        <f ca="1">IF(AA1263&gt;0,CONCATENATE("Sport: ",INDEX(sessions_sport_primary,INDEX(plan_session_allocation,(WEEKDAY(Y$3,2)*2-1)+IF(Y1263="Morning",0,1),X1263))),"")</f>
        <v/>
      </c>
      <c r="Y1265" s="1935"/>
      <c r="Z1265" s="1936" t="str">
        <f ca="1">IF(AA1263&gt;0,IFERROR(Z1266+Z1267+Z1268,""),"")</f>
        <v/>
      </c>
      <c r="AA1265" s="1937"/>
      <c r="AB1265" s="177"/>
      <c r="AC1265" s="1934" t="str">
        <f ca="1">IF(AF1263&gt;0,CONCATENATE("Sport: ",INDEX(sessions_sport_primary,INDEX(plan_session_allocation,(WEEKDAY(AD$3,2)*2-1)+IF(AD1263="Morning",0,1),AC1263))),"")</f>
        <v/>
      </c>
      <c r="AD1265" s="1935"/>
      <c r="AE1265" s="1936" t="str">
        <f ca="1">IF(AF1263&gt;0,IFERROR(AE1266+AE1267+AE1268,""),"")</f>
        <v/>
      </c>
      <c r="AF1265" s="1937"/>
      <c r="AG1265" s="177"/>
      <c r="AH1265" s="1934" t="str">
        <f ca="1">IF(AK1263&gt;0,CONCATENATE("Sport: ",INDEX(sessions_sport_primary,INDEX(plan_session_allocation,(WEEKDAY(AI$3,2)*2-1)+IF(AI1263="Morning",0,1),AH1263))),"")</f>
        <v/>
      </c>
      <c r="AI1265" s="1935"/>
      <c r="AJ1265" s="1936" t="str">
        <f ca="1">IF(AK1263&gt;0,IFERROR(AJ1266+AJ1267+AJ1268,""),"")</f>
        <v/>
      </c>
      <c r="AK1265" s="1937"/>
      <c r="AL1265" s="177"/>
    </row>
    <row r="1266" spans="2:38" s="177" customFormat="1" ht="15" customHeight="1" x14ac:dyDescent="0.45">
      <c r="B1266" s="1942"/>
      <c r="C1266" s="1945"/>
      <c r="D1266" s="1922" t="str">
        <f ca="1">IF(G1263&gt;0,CONCATENATE("HR Target: ",
INDEX(sessions_HR_primary,INDEX(plan_session_allocation,((WEEKDAY(E$3,2)*2-1)+IF(E1263="Morning",0,1)),D1263)),
IF(INDEX(sessions_HR_primary,INDEX(plan_session_allocation,((WEEKDAY(E$3,2)*2-1)+IF(E1263="Morning",0,1)),D1263))="N/A","",
" BPM")),"")</f>
        <v/>
      </c>
      <c r="E1266" s="1923"/>
      <c r="F1266" s="1924" t="str">
        <f ca="1">IF(G1263&gt;0,
INDEX(final_duration_effort,((WEEKDAY(E$3,2)*2-1)+IF(E1263="Morning",0,1)),D1263),"")</f>
        <v/>
      </c>
      <c r="G1266" s="1925"/>
      <c r="I1266" s="1922" t="str">
        <f ca="1">IF(L1263&gt;0,CONCATENATE("HR Target: ",
INDEX(sessions_HR_primary,INDEX(plan_session_allocation,((WEEKDAY(J$3,2)*2-1)+IF(J1263="Morning",0,1)),I1263)),
IF(INDEX(sessions_HR_primary,INDEX(plan_session_allocation,((WEEKDAY(J$3,2)*2-1)+IF(J1263="Morning",0,1)),I1263))="N/A","",
" BPM")),"")</f>
        <v/>
      </c>
      <c r="J1266" s="1923"/>
      <c r="K1266" s="1924" t="str">
        <f ca="1">IF(L1263&gt;0,
INDEX(final_duration_effort,((WEEKDAY(J$3,2)*2-1)+IF(J1263="Morning",0,1)),I1263),"")</f>
        <v/>
      </c>
      <c r="L1266" s="1925"/>
      <c r="N1266" s="1922" t="str">
        <f ca="1">IF(Q1263&gt;0,CONCATENATE("HR Target: ",
INDEX(sessions_HR_primary,INDEX(plan_session_allocation,((WEEKDAY(O$3,2)*2-1)+IF(O1263="Morning",0,1)),N1263)),
IF(INDEX(sessions_HR_primary,INDEX(plan_session_allocation,((WEEKDAY(O$3,2)*2-1)+IF(O1263="Morning",0,1)),N1263))="N/A","",
" BPM")),"")</f>
        <v/>
      </c>
      <c r="O1266" s="1923"/>
      <c r="P1266" s="1924" t="str">
        <f ca="1">IF(Q1263&gt;0,
INDEX(final_duration_effort,((WEEKDAY(O$3,2)*2-1)+IF(O1263="Morning",0,1)),N1263),"")</f>
        <v/>
      </c>
      <c r="Q1266" s="1925"/>
      <c r="S1266" s="1922" t="str">
        <f ca="1">IF(V1263&gt;0,CONCATENATE("HR Target: ",
INDEX(sessions_HR_primary,INDEX(plan_session_allocation,((WEEKDAY(T$3,2)*2-1)+IF(T1263="Morning",0,1)),S1263)),
IF(INDEX(sessions_HR_primary,INDEX(plan_session_allocation,((WEEKDAY(T$3,2)*2-1)+IF(T1263="Morning",0,1)),S1263))="N/A","",
" BPM")),"")</f>
        <v/>
      </c>
      <c r="T1266" s="1923"/>
      <c r="U1266" s="1924" t="str">
        <f ca="1">IF(V1263&gt;0,
INDEX(final_duration_effort,((WEEKDAY(T$3,2)*2-1)+IF(T1263="Morning",0,1)),S1263),"")</f>
        <v/>
      </c>
      <c r="V1266" s="1925"/>
      <c r="X1266" s="1922" t="str">
        <f ca="1">IF(AA1263&gt;0,CONCATENATE("HR Target: ",
INDEX(sessions_HR_primary,INDEX(plan_session_allocation,((WEEKDAY(Y$3,2)*2-1)+IF(Y1263="Morning",0,1)),X1263)),
IF(INDEX(sessions_HR_primary,INDEX(plan_session_allocation,((WEEKDAY(Y$3,2)*2-1)+IF(Y1263="Morning",0,1)),X1263))="N/A","",
" BPM")),"")</f>
        <v/>
      </c>
      <c r="Y1266" s="1923"/>
      <c r="Z1266" s="1924" t="str">
        <f ca="1">IF(AA1263&gt;0,
INDEX(final_duration_effort,((WEEKDAY(Y$3,2)*2-1)+IF(Y1263="Morning",0,1)),X1263),"")</f>
        <v/>
      </c>
      <c r="AA1266" s="1925"/>
      <c r="AC1266" s="1922" t="str">
        <f ca="1">IF(AF1263&gt;0,CONCATENATE("HR Target: ",
INDEX(sessions_HR_primary,INDEX(plan_session_allocation,((WEEKDAY(AD$3,2)*2-1)+IF(AD1263="Morning",0,1)),AC1263)),
IF(INDEX(sessions_HR_primary,INDEX(plan_session_allocation,((WEEKDAY(AD$3,2)*2-1)+IF(AD1263="Morning",0,1)),AC1263))="N/A","",
" BPM")),"")</f>
        <v/>
      </c>
      <c r="AD1266" s="1923"/>
      <c r="AE1266" s="1924" t="str">
        <f ca="1">IF(AF1263&gt;0,
INDEX(final_duration_effort,((WEEKDAY(AD$3,2)*2-1)+IF(AD1263="Morning",0,1)),AC1263),"")</f>
        <v/>
      </c>
      <c r="AF1266" s="1925"/>
      <c r="AH1266" s="1922" t="str">
        <f ca="1">IF(AK1263&gt;0,CONCATENATE("HR Target: ",
INDEX(sessions_HR_primary,INDEX(plan_session_allocation,((WEEKDAY(AI$3,2)*2-1)+IF(AI1263="Morning",0,1)),AH1263)),
IF(INDEX(sessions_HR_primary,INDEX(plan_session_allocation,((WEEKDAY(AI$3,2)*2-1)+IF(AI1263="Morning",0,1)),AH1263))="N/A","",
" BPM")),"")</f>
        <v/>
      </c>
      <c r="AI1266" s="1923"/>
      <c r="AJ1266" s="1924" t="str">
        <f ca="1">IF(AK1263&gt;0,
INDEX(final_duration_effort,((WEEKDAY(AI$3,2)*2-1)+IF(AI1263="Morning",0,1)),AH1263),"")</f>
        <v/>
      </c>
      <c r="AK1266" s="1925"/>
    </row>
    <row r="1267" spans="2:38" s="177" customFormat="1" ht="15" customHeight="1" x14ac:dyDescent="0.45">
      <c r="B1267" s="1942"/>
      <c r="C1267" s="1945"/>
      <c r="D1267" s="1926" t="str">
        <f ca="1">IF(G1263&gt;0,CONCATENATE("HR Range: ",
INDEX(sessions_HR_range_primary,INDEX(plan_session_allocation,((WEEKDAY(E$3,2)*2-1)+IF(E1263="Morning",0,1)),D1263)),
IF(INDEX(sessions_HR_range_primary,INDEX(plan_session_allocation,((WEEKDAY(E$3,2)*2-1)+IF(E1263="Morning",0,1)),D1263))="N/A","",
" BPM")),"")</f>
        <v/>
      </c>
      <c r="E1267" s="1927"/>
      <c r="F1267" s="1928" t="str">
        <f ca="1">IF(G1263&gt;0,IF(
INDEX(sessions_recoveries,INDEX(plan_session_allocation,((WEEKDAY(E$3,2)*2-1)+IF(E1263="Morning",0,1)),D1263))="Yes",
VLOOKUP(INDEX(plan_duration_primary,((WEEKDAY(E$3,2)*2-1)+IF(E1263="Morning",0,1)),D1263),
INDIRECT(INDEX(sessions_intervals_code_primary,INDEX(plan_session_allocation,((WEEKDAY(E$3,2)*2-1)+IF(E1263="Morning",0,1)),D1263))),7,TRUE),0),"")</f>
        <v/>
      </c>
      <c r="G1267" s="1929"/>
      <c r="I1267" s="1926" t="str">
        <f ca="1">IF(L1263&gt;0,CONCATENATE("HR Range: ",
INDEX(sessions_HR_range_primary,INDEX(plan_session_allocation,((WEEKDAY(J$3,2)*2-1)+IF(J1263="Morning",0,1)),I1263)),
IF(INDEX(sessions_HR_range_primary,INDEX(plan_session_allocation,((WEEKDAY(J$3,2)*2-1)+IF(J1263="Morning",0,1)),I1263))="N/A","",
" BPM")),"")</f>
        <v/>
      </c>
      <c r="J1267" s="1927"/>
      <c r="K1267" s="1928" t="str">
        <f ca="1">IF(L1263&gt;0,IF(
INDEX(sessions_recoveries,INDEX(plan_session_allocation,((WEEKDAY(J$3,2)*2-1)+IF(J1263="Morning",0,1)),I1263))="Yes",
VLOOKUP(INDEX(plan_duration_primary,((WEEKDAY(J$3,2)*2-1)+IF(J1263="Morning",0,1)),I1263),
INDIRECT(INDEX(sessions_intervals_code_primary,INDEX(plan_session_allocation,((WEEKDAY(J$3,2)*2-1)+IF(J1263="Morning",0,1)),I1263))),7,TRUE),0),"")</f>
        <v/>
      </c>
      <c r="L1267" s="1929"/>
      <c r="N1267" s="1926" t="str">
        <f ca="1">IF(Q1263&gt;0,CONCATENATE("HR Range: ",
INDEX(sessions_HR_range_primary,INDEX(plan_session_allocation,((WEEKDAY(O$3,2)*2-1)+IF(O1263="Morning",0,1)),N1263)),
IF(INDEX(sessions_HR_range_primary,INDEX(plan_session_allocation,((WEEKDAY(O$3,2)*2-1)+IF(O1263="Morning",0,1)),N1263))="N/A","",
" BPM")),"")</f>
        <v/>
      </c>
      <c r="O1267" s="1927"/>
      <c r="P1267" s="1928" t="str">
        <f ca="1">IF(Q1263&gt;0,IF(
INDEX(sessions_recoveries,INDEX(plan_session_allocation,((WEEKDAY(O$3,2)*2-1)+IF(O1263="Morning",0,1)),N1263))="Yes",
VLOOKUP(INDEX(plan_duration_primary,((WEEKDAY(O$3,2)*2-1)+IF(O1263="Morning",0,1)),N1263),
INDIRECT(INDEX(sessions_intervals_code_primary,INDEX(plan_session_allocation,((WEEKDAY(O$3,2)*2-1)+IF(O1263="Morning",0,1)),N1263))),7,TRUE),0),"")</f>
        <v/>
      </c>
      <c r="Q1267" s="1929"/>
      <c r="S1267" s="1926" t="str">
        <f ca="1">IF(V1263&gt;0,CONCATENATE("HR Range: ",
INDEX(sessions_HR_range_primary,INDEX(plan_session_allocation,((WEEKDAY(T$3,2)*2-1)+IF(T1263="Morning",0,1)),S1263)),
IF(INDEX(sessions_HR_range_primary,INDEX(plan_session_allocation,((WEEKDAY(T$3,2)*2-1)+IF(T1263="Morning",0,1)),S1263))="N/A","",
" BPM")),"")</f>
        <v/>
      </c>
      <c r="T1267" s="1927"/>
      <c r="U1267" s="1928" t="str">
        <f ca="1">IF(V1263&gt;0,IF(
INDEX(sessions_recoveries,INDEX(plan_session_allocation,((WEEKDAY(T$3,2)*2-1)+IF(T1263="Morning",0,1)),S1263))="Yes",
VLOOKUP(INDEX(plan_duration_primary,((WEEKDAY(T$3,2)*2-1)+IF(T1263="Morning",0,1)),S1263),
INDIRECT(INDEX(sessions_intervals_code_primary,INDEX(plan_session_allocation,((WEEKDAY(T$3,2)*2-1)+IF(T1263="Morning",0,1)),S1263))),7,TRUE),0),"")</f>
        <v/>
      </c>
      <c r="V1267" s="1929"/>
      <c r="X1267" s="1926" t="str">
        <f ca="1">IF(AA1263&gt;0,CONCATENATE("HR Range: ",
INDEX(sessions_HR_range_primary,INDEX(plan_session_allocation,((WEEKDAY(Y$3,2)*2-1)+IF(Y1263="Morning",0,1)),X1263)),
IF(INDEX(sessions_HR_range_primary,INDEX(plan_session_allocation,((WEEKDAY(Y$3,2)*2-1)+IF(Y1263="Morning",0,1)),X1263))="N/A","",
" BPM")),"")</f>
        <v/>
      </c>
      <c r="Y1267" s="1927"/>
      <c r="Z1267" s="1928" t="str">
        <f ca="1">IF(AA1263&gt;0,IF(
INDEX(sessions_recoveries,INDEX(plan_session_allocation,((WEEKDAY(Y$3,2)*2-1)+IF(Y1263="Morning",0,1)),X1263))="Yes",
VLOOKUP(INDEX(plan_duration_primary,((WEEKDAY(Y$3,2)*2-1)+IF(Y1263="Morning",0,1)),X1263),
INDIRECT(INDEX(sessions_intervals_code_primary,INDEX(plan_session_allocation,((WEEKDAY(Y$3,2)*2-1)+IF(Y1263="Morning",0,1)),X1263))),7,TRUE),0),"")</f>
        <v/>
      </c>
      <c r="AA1267" s="1929"/>
      <c r="AC1267" s="1926" t="str">
        <f ca="1">IF(AF1263&gt;0,CONCATENATE("HR Range: ",
INDEX(sessions_HR_range_primary,INDEX(plan_session_allocation,((WEEKDAY(AD$3,2)*2-1)+IF(AD1263="Morning",0,1)),AC1263)),
IF(INDEX(sessions_HR_range_primary,INDEX(plan_session_allocation,((WEEKDAY(AD$3,2)*2-1)+IF(AD1263="Morning",0,1)),AC1263))="N/A","",
" BPM")),"")</f>
        <v/>
      </c>
      <c r="AD1267" s="1927"/>
      <c r="AE1267" s="1928" t="str">
        <f ca="1">IF(AF1263&gt;0,IF(
INDEX(sessions_recoveries,INDEX(plan_session_allocation,((WEEKDAY(AD$3,2)*2-1)+IF(AD1263="Morning",0,1)),AC1263))="Yes",
VLOOKUP(INDEX(plan_duration_primary,((WEEKDAY(AD$3,2)*2-1)+IF(AD1263="Morning",0,1)),AC1263),
INDIRECT(INDEX(sessions_intervals_code_primary,INDEX(plan_session_allocation,((WEEKDAY(AD$3,2)*2-1)+IF(AD1263="Morning",0,1)),AC1263))),7,TRUE),0),"")</f>
        <v/>
      </c>
      <c r="AF1267" s="1929"/>
      <c r="AH1267" s="1926" t="str">
        <f ca="1">IF(AK1263&gt;0,CONCATENATE("HR Range: ",
INDEX(sessions_HR_range_primary,INDEX(plan_session_allocation,((WEEKDAY(AI$3,2)*2-1)+IF(AI1263="Morning",0,1)),AH1263)),
IF(INDEX(sessions_HR_range_primary,INDEX(plan_session_allocation,((WEEKDAY(AI$3,2)*2-1)+IF(AI1263="Morning",0,1)),AH1263))="N/A","",
" BPM")),"")</f>
        <v/>
      </c>
      <c r="AI1267" s="1927"/>
      <c r="AJ1267" s="1928" t="str">
        <f ca="1">IF(AK1263&gt;0,IF(
INDEX(sessions_recoveries,INDEX(plan_session_allocation,((WEEKDAY(AI$3,2)*2-1)+IF(AI1263="Morning",0,1)),AH1263))="Yes",
VLOOKUP(INDEX(plan_duration_primary,((WEEKDAY(AI$3,2)*2-1)+IF(AI1263="Morning",0,1)),AH1263),
INDIRECT(INDEX(sessions_intervals_code_primary,INDEX(plan_session_allocation,((WEEKDAY(AI$3,2)*2-1)+IF(AI1263="Morning",0,1)),AH1263))),7,TRUE),0),"")</f>
        <v/>
      </c>
      <c r="AK1267" s="1929"/>
    </row>
    <row r="1268" spans="2:38" s="177" customFormat="1" ht="15" customHeight="1" x14ac:dyDescent="0.45">
      <c r="B1268" s="1942"/>
      <c r="C1268" s="1945"/>
      <c r="D1268" s="1909" t="str">
        <f ca="1">IF(G1263&gt;0,CONCATENATE("Equivalent Pace: ",
TEXT(INDEX(sessions_pace_primary,INDEX(plan_session_allocation,(WEEKDAY(E$3,2)*2-1)+IF(E1263="Morning",0,1),D1263)),"m:ss"),
" min/km"
),"")</f>
        <v/>
      </c>
      <c r="E1268" s="1910"/>
      <c r="F1268" s="1911" t="str">
        <f ca="1">IF(G1263&gt;0, INDEX(final_duration_WU,((WEEKDAY(E$3,2)*2-1)+IF(E1263="Morning",0,1)),D1263)  + INDEX(final_duration_WD,((WEEKDAY(E$3,2)*2-1)+IF(E1263="Morning",0,1)),D1263), "")</f>
        <v/>
      </c>
      <c r="G1268" s="1912"/>
      <c r="I1268" s="1909" t="str">
        <f ca="1">IF(L1263&gt;0,CONCATENATE("Equivalent Pace: ",
TEXT(INDEX(sessions_pace_primary,INDEX(plan_session_allocation,(WEEKDAY(J$3,2)*2-1)+IF(J1263="Morning",0,1),I1263)),"m:ss"),
" min/km"
),"")</f>
        <v/>
      </c>
      <c r="J1268" s="1910"/>
      <c r="K1268" s="1911" t="str">
        <f ca="1">IF(L1263&gt;0, INDEX(final_duration_WU,((WEEKDAY(J$3,2)*2-1)+IF(J1263="Morning",0,1)),I1263)  + INDEX(final_duration_WD,((WEEKDAY(J$3,2)*2-1)+IF(J1263="Morning",0,1)),I1263), "")</f>
        <v/>
      </c>
      <c r="L1268" s="1912"/>
      <c r="N1268" s="1909" t="str">
        <f ca="1">IF(Q1263&gt;0,CONCATENATE("Equivalent Pace: ",
TEXT(INDEX(sessions_pace_primary,INDEX(plan_session_allocation,(WEEKDAY(O$3,2)*2-1)+IF(O1263="Morning",0,1),N1263)),"m:ss"),
" min/km"
),"")</f>
        <v/>
      </c>
      <c r="O1268" s="1910"/>
      <c r="P1268" s="1911" t="str">
        <f ca="1">IF(Q1263&gt;0, INDEX(final_duration_WU,((WEEKDAY(O$3,2)*2-1)+IF(O1263="Morning",0,1)),N1263)  + INDEX(final_duration_WD,((WEEKDAY(O$3,2)*2-1)+IF(O1263="Morning",0,1)),N1263), "")</f>
        <v/>
      </c>
      <c r="Q1268" s="1912"/>
      <c r="S1268" s="1909" t="str">
        <f ca="1">IF(V1263&gt;0,CONCATENATE("Equivalent Pace: ",
TEXT(INDEX(sessions_pace_primary,INDEX(plan_session_allocation,(WEEKDAY(T$3,2)*2-1)+IF(T1263="Morning",0,1),S1263)),"m:ss"),
" min/km"
),"")</f>
        <v/>
      </c>
      <c r="T1268" s="1910"/>
      <c r="U1268" s="1911" t="str">
        <f ca="1">IF(V1263&gt;0, INDEX(final_duration_WU,((WEEKDAY(T$3,2)*2-1)+IF(T1263="Morning",0,1)),S1263)  + INDEX(final_duration_WD,((WEEKDAY(T$3,2)*2-1)+IF(T1263="Morning",0,1)),S1263), "")</f>
        <v/>
      </c>
      <c r="V1268" s="1912"/>
      <c r="X1268" s="1909" t="str">
        <f ca="1">IF(AA1263&gt;0,CONCATENATE("Equivalent Pace: ",
TEXT(INDEX(sessions_pace_primary,INDEX(plan_session_allocation,(WEEKDAY(Y$3,2)*2-1)+IF(Y1263="Morning",0,1),X1263)),"m:ss"),
" min/km"
),"")</f>
        <v/>
      </c>
      <c r="Y1268" s="1910"/>
      <c r="Z1268" s="1911" t="str">
        <f ca="1">IF(AA1263&gt;0, INDEX(final_duration_WU,((WEEKDAY(Y$3,2)*2-1)+IF(Y1263="Morning",0,1)),X1263)  + INDEX(final_duration_WD,((WEEKDAY(Y$3,2)*2-1)+IF(Y1263="Morning",0,1)),X1263), "")</f>
        <v/>
      </c>
      <c r="AA1268" s="1912"/>
      <c r="AC1268" s="1909" t="str">
        <f ca="1">IF(AF1263&gt;0,CONCATENATE("Equivalent Pace: ",
TEXT(INDEX(sessions_pace_primary,INDEX(plan_session_allocation,(WEEKDAY(AD$3,2)*2-1)+IF(AD1263="Morning",0,1),AC1263)),"m:ss"),
" min/km"
),"")</f>
        <v/>
      </c>
      <c r="AD1268" s="1910"/>
      <c r="AE1268" s="1911" t="str">
        <f ca="1">IF(AF1263&gt;0, INDEX(final_duration_WU,((WEEKDAY(AD$3,2)*2-1)+IF(AD1263="Morning",0,1)),AC1263)  + INDEX(final_duration_WD,((WEEKDAY(AD$3,2)*2-1)+IF(AD1263="Morning",0,1)),AC1263), "")</f>
        <v/>
      </c>
      <c r="AF1268" s="1912"/>
      <c r="AH1268" s="1909" t="str">
        <f ca="1">IF(AK1263&gt;0,CONCATENATE("Equivalent Pace: ",
TEXT(INDEX(sessions_pace_primary,INDEX(plan_session_allocation,(WEEKDAY(AI$3,2)*2-1)+IF(AI1263="Morning",0,1),AH1263)),"m:ss"),
" min/km"
),"")</f>
        <v/>
      </c>
      <c r="AI1268" s="1910"/>
      <c r="AJ1268" s="1911" t="str">
        <f ca="1">IF(AK1263&gt;0, INDEX(final_duration_WU,((WEEKDAY(AI$3,2)*2-1)+IF(AI1263="Morning",0,1)),AH1263)  + INDEX(final_duration_WD,((WEEKDAY(AI$3,2)*2-1)+IF(AI1263="Morning",0,1)),AH1263), "")</f>
        <v/>
      </c>
      <c r="AK1268" s="1912"/>
    </row>
    <row r="1269" spans="2:38" s="176" customFormat="1" ht="15" customHeight="1" x14ac:dyDescent="0.45">
      <c r="B1269" s="1942"/>
      <c r="C1269" s="1945"/>
      <c r="D1269" s="1913" t="str">
        <f ca="1">IF(G1263&gt;0,CONCATENATE(IFERROR(CONCATENATE(IF(INDEX(display_intervals_breakdown,((WEEKDAY(E$3,2)*2-1)+IF(E1263="Morning",0,1)),D1263)="","",CONCATENATE("Intervals/Reps Breakdown: 
",INDEX(display_intervals_breakdown,((WEEKDAY(E$3,2)*2-1)+IF(E1263="Morning",0,1)),D1263),"
")),"Session Description: 
",CONCATENATE(IF(INDEX(final_duration_secondary,((WEEKDAY(E$3,2)*2-1)+IF(E1263="Morning",0,1)),D1263)=0,"","1. "),
INDEX(sessions_description_primary,,INDEX(plan_session_allocation,((WEEKDAY(E$3,2)*2-1)+IF(E1263="Morning",0,1)),D1263)),IF(INDEX(final_duration_secondary,((WEEKDAY(E$3,2)*2-1)+IF(E1263="Morning",0,1)),D1263)=0,"","
2. "),
IF(INDEX(final_duration_secondary,((WEEKDAY(E$3,2)*2-1)+IF(E1263="Morning",0,1)),D1263)=0,"",INDEX(sessions_description_secondary,,INDEX(plan_session_allocation,((WEEKDAY(E$3,2)*2-1)+IF(E1263="Morning",0,1)),D1263))),IF(INDEX(final_duration_tertiary,((WEEKDAY(E$3,2)*2-1)+IF(E1263="Morning",0,1)),D1263)=0,"","
3. "),
IF(INDEX(final_duration_tertiary,((WEEKDAY(E$3,2)*2-1)+IF(E1263="Morning",0,1)),D1263)="","",INDEX(sessions_description_tertiary,,INDEX(plan_session_allocation,((WEEKDAY(E$3,2)*2-1)+IF(E1263="Morning",0,1)),D1263))),
IF(INDEX(display_nutrition_description,((WEEKDAY(E$3,2)*2-1)+IF(E1263="Morning",0,1)),D1263)="","",
CONCATENATE("
Meal Plan: ", INDEX(sessions_nutrition,,INDEX(plan_session_allocation,((WEEKDAY(E$3,2)*2-1)+IF(E1263="Morning",0,1)),D1263)), "
", INDEX(display_nutrition_description,((WEEKDAY(E$3,2)*2-1)+IF(E1263="Morning",0,1)),D1263)))
)),"")),"")</f>
        <v/>
      </c>
      <c r="E1269" s="1914"/>
      <c r="F1269" s="1914"/>
      <c r="G1269" s="1915"/>
      <c r="H1269" s="177"/>
      <c r="I1269" s="1913" t="str">
        <f ca="1">IF(L1263&gt;0,CONCATENATE(IFERROR(CONCATENATE(IF(INDEX(display_intervals_breakdown,((WEEKDAY(J$3,2)*2-1)+IF(J1263="Morning",0,1)),I1263)="","",CONCATENATE("Intervals/Reps Breakdown: 
",INDEX(display_intervals_breakdown,((WEEKDAY(J$3,2)*2-1)+IF(J1263="Morning",0,1)),I1263),"
")),"Session Description: 
",CONCATENATE(IF(INDEX(final_duration_secondary,((WEEKDAY(J$3,2)*2-1)+IF(J1263="Morning",0,1)),I1263)=0,"","1. "),
INDEX(sessions_description_primary,,INDEX(plan_session_allocation,((WEEKDAY(J$3,2)*2-1)+IF(J1263="Morning",0,1)),I1263)),IF(INDEX(final_duration_secondary,((WEEKDAY(J$3,2)*2-1)+IF(J1263="Morning",0,1)),I1263)=0,"","
2. "),
IF(INDEX(final_duration_secondary,((WEEKDAY(J$3,2)*2-1)+IF(J1263="Morning",0,1)),I1263)=0,"",INDEX(sessions_description_secondary,,INDEX(plan_session_allocation,((WEEKDAY(J$3,2)*2-1)+IF(J1263="Morning",0,1)),I1263))),IF(INDEX(final_duration_tertiary,((WEEKDAY(J$3,2)*2-1)+IF(J1263="Morning",0,1)),I1263)=0,"","
3. "),
IF(INDEX(final_duration_tertiary,((WEEKDAY(J$3,2)*2-1)+IF(J1263="Morning",0,1)),I1263)="","",INDEX(sessions_description_tertiary,,INDEX(plan_session_allocation,((WEEKDAY(J$3,2)*2-1)+IF(J1263="Morning",0,1)),I1263))),
IF(INDEX(display_nutrition_description,((WEEKDAY(J$3,2)*2-1)+IF(J1263="Morning",0,1)),I1263)="","",
CONCATENATE("
Meal Plan: ", INDEX(sessions_nutrition,,INDEX(plan_session_allocation,((WEEKDAY(J$3,2)*2-1)+IF(J1263="Morning",0,1)),I1263)), "
", INDEX(display_nutrition_description,((WEEKDAY(J$3,2)*2-1)+IF(J1263="Morning",0,1)),I1263)))
)),"")),"")</f>
        <v/>
      </c>
      <c r="J1269" s="1914"/>
      <c r="K1269" s="1914"/>
      <c r="L1269" s="1915"/>
      <c r="M1269" s="177"/>
      <c r="N1269" s="1913" t="str">
        <f ca="1">IF(Q1263&gt;0,CONCATENATE(IFERROR(CONCATENATE(IF(INDEX(display_intervals_breakdown,((WEEKDAY(O$3,2)*2-1)+IF(O1263="Morning",0,1)),N1263)="","",CONCATENATE("Intervals/Reps Breakdown: 
",INDEX(display_intervals_breakdown,((WEEKDAY(O$3,2)*2-1)+IF(O1263="Morning",0,1)),N1263),"
")),"Session Description: 
",CONCATENATE(IF(INDEX(final_duration_secondary,((WEEKDAY(O$3,2)*2-1)+IF(O1263="Morning",0,1)),N1263)=0,"","1. "),
INDEX(sessions_description_primary,,INDEX(plan_session_allocation,((WEEKDAY(O$3,2)*2-1)+IF(O1263="Morning",0,1)),N1263)),IF(INDEX(final_duration_secondary,((WEEKDAY(O$3,2)*2-1)+IF(O1263="Morning",0,1)),N1263)=0,"","
2. "),
IF(INDEX(final_duration_secondary,((WEEKDAY(O$3,2)*2-1)+IF(O1263="Morning",0,1)),N1263)=0,"",INDEX(sessions_description_secondary,,INDEX(plan_session_allocation,((WEEKDAY(O$3,2)*2-1)+IF(O1263="Morning",0,1)),N1263))),IF(INDEX(final_duration_tertiary,((WEEKDAY(O$3,2)*2-1)+IF(O1263="Morning",0,1)),N1263)=0,"","
3. "),
IF(INDEX(final_duration_tertiary,((WEEKDAY(O$3,2)*2-1)+IF(O1263="Morning",0,1)),N1263)="","",INDEX(sessions_description_tertiary,,INDEX(plan_session_allocation,((WEEKDAY(O$3,2)*2-1)+IF(O1263="Morning",0,1)),N1263))),
IF(INDEX(display_nutrition_description,((WEEKDAY(O$3,2)*2-1)+IF(O1263="Morning",0,1)),N1263)="","",
CONCATENATE("
Meal Plan: ", INDEX(sessions_nutrition,,INDEX(plan_session_allocation,((WEEKDAY(O$3,2)*2-1)+IF(O1263="Morning",0,1)),N1263)), "
", INDEX(display_nutrition_description,((WEEKDAY(O$3,2)*2-1)+IF(O1263="Morning",0,1)),N1263)))
)),"")),"")</f>
        <v/>
      </c>
      <c r="O1269" s="1914"/>
      <c r="P1269" s="1914"/>
      <c r="Q1269" s="1915"/>
      <c r="R1269" s="177"/>
      <c r="S1269" s="1913" t="str">
        <f ca="1">IF(V1263&gt;0,CONCATENATE(IFERROR(CONCATENATE(IF(INDEX(display_intervals_breakdown,((WEEKDAY(T$3,2)*2-1)+IF(T1263="Morning",0,1)),S1263)="","",CONCATENATE("Intervals/Reps Breakdown: 
",INDEX(display_intervals_breakdown,((WEEKDAY(T$3,2)*2-1)+IF(T1263="Morning",0,1)),S1263),"
")),"Session Description: 
",CONCATENATE(IF(INDEX(final_duration_secondary,((WEEKDAY(T$3,2)*2-1)+IF(T1263="Morning",0,1)),S1263)=0,"","1. "),
INDEX(sessions_description_primary,,INDEX(plan_session_allocation,((WEEKDAY(T$3,2)*2-1)+IF(T1263="Morning",0,1)),S1263)),IF(INDEX(final_duration_secondary,((WEEKDAY(T$3,2)*2-1)+IF(T1263="Morning",0,1)),S1263)=0,"","
2. "),
IF(INDEX(final_duration_secondary,((WEEKDAY(T$3,2)*2-1)+IF(T1263="Morning",0,1)),S1263)=0,"",INDEX(sessions_description_secondary,,INDEX(plan_session_allocation,((WEEKDAY(T$3,2)*2-1)+IF(T1263="Morning",0,1)),S1263))),IF(INDEX(final_duration_tertiary,((WEEKDAY(T$3,2)*2-1)+IF(T1263="Morning",0,1)),S1263)=0,"","
3. "),
IF(INDEX(final_duration_tertiary,((WEEKDAY(T$3,2)*2-1)+IF(T1263="Morning",0,1)),S1263)="","",INDEX(sessions_description_tertiary,,INDEX(plan_session_allocation,((WEEKDAY(T$3,2)*2-1)+IF(T1263="Morning",0,1)),S1263))),
IF(INDEX(display_nutrition_description,((WEEKDAY(T$3,2)*2-1)+IF(T1263="Morning",0,1)),S1263)="","",
CONCATENATE("
Meal Plan: ", INDEX(sessions_nutrition,,INDEX(plan_session_allocation,((WEEKDAY(T$3,2)*2-1)+IF(T1263="Morning",0,1)),S1263)), "
", INDEX(display_nutrition_description,((WEEKDAY(T$3,2)*2-1)+IF(T1263="Morning",0,1)),S1263)))
)),"")),"")</f>
        <v/>
      </c>
      <c r="T1269" s="1914"/>
      <c r="U1269" s="1914"/>
      <c r="V1269" s="1915"/>
      <c r="W1269" s="177"/>
      <c r="X1269" s="1913" t="str">
        <f ca="1">IF(AA1263&gt;0,CONCATENATE(IFERROR(CONCATENATE(IF(INDEX(display_intervals_breakdown,((WEEKDAY(Y$3,2)*2-1)+IF(Y1263="Morning",0,1)),X1263)="","",CONCATENATE("Intervals/Reps Breakdown: 
",INDEX(display_intervals_breakdown,((WEEKDAY(Y$3,2)*2-1)+IF(Y1263="Morning",0,1)),X1263),"
")),"Session Description: 
",CONCATENATE(IF(INDEX(final_duration_secondary,((WEEKDAY(Y$3,2)*2-1)+IF(Y1263="Morning",0,1)),X1263)=0,"","1. "),
INDEX(sessions_description_primary,,INDEX(plan_session_allocation,((WEEKDAY(Y$3,2)*2-1)+IF(Y1263="Morning",0,1)),X1263)),IF(INDEX(final_duration_secondary,((WEEKDAY(Y$3,2)*2-1)+IF(Y1263="Morning",0,1)),X1263)=0,"","
2. "),
IF(INDEX(final_duration_secondary,((WEEKDAY(Y$3,2)*2-1)+IF(Y1263="Morning",0,1)),X1263)=0,"",INDEX(sessions_description_secondary,,INDEX(plan_session_allocation,((WEEKDAY(Y$3,2)*2-1)+IF(Y1263="Morning",0,1)),X1263))),IF(INDEX(final_duration_tertiary,((WEEKDAY(Y$3,2)*2-1)+IF(Y1263="Morning",0,1)),X1263)=0,"","
3. "),
IF(INDEX(final_duration_tertiary,((WEEKDAY(Y$3,2)*2-1)+IF(Y1263="Morning",0,1)),X1263)="","",INDEX(sessions_description_tertiary,,INDEX(plan_session_allocation,((WEEKDAY(Y$3,2)*2-1)+IF(Y1263="Morning",0,1)),X1263))),
IF(INDEX(display_nutrition_description,((WEEKDAY(Y$3,2)*2-1)+IF(Y1263="Morning",0,1)),X1263)="","",
CONCATENATE("
Meal Plan: ", INDEX(sessions_nutrition,,INDEX(plan_session_allocation,((WEEKDAY(Y$3,2)*2-1)+IF(Y1263="Morning",0,1)),X1263)), "
", INDEX(display_nutrition_description,((WEEKDAY(Y$3,2)*2-1)+IF(Y1263="Morning",0,1)),X1263)))
)),"")),"")</f>
        <v/>
      </c>
      <c r="Y1269" s="1914"/>
      <c r="Z1269" s="1914"/>
      <c r="AA1269" s="1915"/>
      <c r="AB1269" s="177"/>
      <c r="AC1269" s="1913" t="str">
        <f ca="1">IF(AF1263&gt;0,CONCATENATE(IFERROR(CONCATENATE(IF(INDEX(display_intervals_breakdown,((WEEKDAY(AD$3,2)*2-1)+IF(AD1263="Morning",0,1)),AC1263)="","",CONCATENATE("Intervals/Reps Breakdown: 
",INDEX(display_intervals_breakdown,((WEEKDAY(AD$3,2)*2-1)+IF(AD1263="Morning",0,1)),AC1263),"
")),"Session Description: 
",CONCATENATE(IF(INDEX(final_duration_secondary,((WEEKDAY(AD$3,2)*2-1)+IF(AD1263="Morning",0,1)),AC1263)=0,"","1. "),
INDEX(sessions_description_primary,,INDEX(plan_session_allocation,((WEEKDAY(AD$3,2)*2-1)+IF(AD1263="Morning",0,1)),AC1263)),IF(INDEX(final_duration_secondary,((WEEKDAY(AD$3,2)*2-1)+IF(AD1263="Morning",0,1)),AC1263)=0,"","
2. "),
IF(INDEX(final_duration_secondary,((WEEKDAY(AD$3,2)*2-1)+IF(AD1263="Morning",0,1)),AC1263)=0,"",INDEX(sessions_description_secondary,,INDEX(plan_session_allocation,((WEEKDAY(AD$3,2)*2-1)+IF(AD1263="Morning",0,1)),AC1263))),IF(INDEX(final_duration_tertiary,((WEEKDAY(AD$3,2)*2-1)+IF(AD1263="Morning",0,1)),AC1263)=0,"","
3. "),
IF(INDEX(final_duration_tertiary,((WEEKDAY(AD$3,2)*2-1)+IF(AD1263="Morning",0,1)),AC1263)="","",INDEX(sessions_description_tertiary,,INDEX(plan_session_allocation,((WEEKDAY(AD$3,2)*2-1)+IF(AD1263="Morning",0,1)),AC1263))),
IF(INDEX(display_nutrition_description,((WEEKDAY(AD$3,2)*2-1)+IF(AD1263="Morning",0,1)),AC1263)="","",
CONCATENATE("
Meal Plan: ", INDEX(sessions_nutrition,,INDEX(plan_session_allocation,((WEEKDAY(AD$3,2)*2-1)+IF(AD1263="Morning",0,1)),AC1263)), "
", INDEX(display_nutrition_description,((WEEKDAY(AD$3,2)*2-1)+IF(AD1263="Morning",0,1)),AC1263)))
)),"")),"")</f>
        <v/>
      </c>
      <c r="AD1269" s="1914"/>
      <c r="AE1269" s="1914"/>
      <c r="AF1269" s="1915"/>
      <c r="AG1269" s="177"/>
      <c r="AH1269" s="1913" t="str">
        <f ca="1">IF(AK1263&gt;0,CONCATENATE(IFERROR(CONCATENATE(IF(INDEX(display_intervals_breakdown,((WEEKDAY(AI$3,2)*2-1)+IF(AI1263="Morning",0,1)),AH1263)="","",CONCATENATE("Intervals/Reps Breakdown: 
",INDEX(display_intervals_breakdown,((WEEKDAY(AI$3,2)*2-1)+IF(AI1263="Morning",0,1)),AH1263),"
")),"Session Description: 
",CONCATENATE(IF(INDEX(final_duration_secondary,((WEEKDAY(AI$3,2)*2-1)+IF(AI1263="Morning",0,1)),AH1263)=0,"","1. "),
INDEX(sessions_description_primary,,INDEX(plan_session_allocation,((WEEKDAY(AI$3,2)*2-1)+IF(AI1263="Morning",0,1)),AH1263)),IF(INDEX(final_duration_secondary,((WEEKDAY(AI$3,2)*2-1)+IF(AI1263="Morning",0,1)),AH1263)=0,"","
2. "),
IF(INDEX(final_duration_secondary,((WEEKDAY(AI$3,2)*2-1)+IF(AI1263="Morning",0,1)),AH1263)=0,"",INDEX(sessions_description_secondary,,INDEX(plan_session_allocation,((WEEKDAY(AI$3,2)*2-1)+IF(AI1263="Morning",0,1)),AH1263))),IF(INDEX(final_duration_tertiary,((WEEKDAY(AI$3,2)*2-1)+IF(AI1263="Morning",0,1)),AH1263)=0,"","
3. "),
IF(INDEX(final_duration_tertiary,((WEEKDAY(AI$3,2)*2-1)+IF(AI1263="Morning",0,1)),AH1263)="","",INDEX(sessions_description_tertiary,,INDEX(plan_session_allocation,((WEEKDAY(AI$3,2)*2-1)+IF(AI1263="Morning",0,1)),AH1263))),
IF(INDEX(display_nutrition_description,((WEEKDAY(AI$3,2)*2-1)+IF(AI1263="Morning",0,1)),AH1263)="","",
CONCATENATE("
Meal Plan: ", INDEX(sessions_nutrition,,INDEX(plan_session_allocation,((WEEKDAY(AI$3,2)*2-1)+IF(AI1263="Morning",0,1)),AH1263)), "
", INDEX(display_nutrition_description,((WEEKDAY(AI$3,2)*2-1)+IF(AI1263="Morning",0,1)),AH1263)))
)),"")),"")</f>
        <v/>
      </c>
      <c r="AI1269" s="1914"/>
      <c r="AJ1269" s="1914"/>
      <c r="AK1269" s="1915"/>
      <c r="AL1269" s="177"/>
    </row>
    <row r="1270" spans="2:38" s="176" customFormat="1" ht="15" customHeight="1" x14ac:dyDescent="0.45">
      <c r="B1270" s="1942"/>
      <c r="C1270" s="1945"/>
      <c r="D1270" s="1916"/>
      <c r="E1270" s="1917"/>
      <c r="F1270" s="1917"/>
      <c r="G1270" s="1918"/>
      <c r="H1270" s="177"/>
      <c r="I1270" s="1916"/>
      <c r="J1270" s="1917"/>
      <c r="K1270" s="1917"/>
      <c r="L1270" s="1918"/>
      <c r="M1270" s="177"/>
      <c r="N1270" s="1916"/>
      <c r="O1270" s="1917"/>
      <c r="P1270" s="1917"/>
      <c r="Q1270" s="1918"/>
      <c r="R1270" s="177"/>
      <c r="S1270" s="1916"/>
      <c r="T1270" s="1917"/>
      <c r="U1270" s="1917"/>
      <c r="V1270" s="1918"/>
      <c r="W1270" s="177"/>
      <c r="X1270" s="1916"/>
      <c r="Y1270" s="1917"/>
      <c r="Z1270" s="1917"/>
      <c r="AA1270" s="1918"/>
      <c r="AB1270" s="177"/>
      <c r="AC1270" s="1916"/>
      <c r="AD1270" s="1917"/>
      <c r="AE1270" s="1917"/>
      <c r="AF1270" s="1918"/>
      <c r="AG1270" s="177"/>
      <c r="AH1270" s="1916"/>
      <c r="AI1270" s="1917"/>
      <c r="AJ1270" s="1917"/>
      <c r="AK1270" s="1918"/>
      <c r="AL1270" s="177"/>
    </row>
    <row r="1271" spans="2:38" s="176" customFormat="1" ht="15" customHeight="1" x14ac:dyDescent="0.45">
      <c r="B1271" s="1942"/>
      <c r="C1271" s="1945"/>
      <c r="D1271" s="1916"/>
      <c r="E1271" s="1917"/>
      <c r="F1271" s="1917"/>
      <c r="G1271" s="1918"/>
      <c r="H1271" s="177"/>
      <c r="I1271" s="1916"/>
      <c r="J1271" s="1917"/>
      <c r="K1271" s="1917"/>
      <c r="L1271" s="1918"/>
      <c r="M1271" s="177"/>
      <c r="N1271" s="1916"/>
      <c r="O1271" s="1917"/>
      <c r="P1271" s="1917"/>
      <c r="Q1271" s="1918"/>
      <c r="R1271" s="177"/>
      <c r="S1271" s="1916"/>
      <c r="T1271" s="1917"/>
      <c r="U1271" s="1917"/>
      <c r="V1271" s="1918"/>
      <c r="W1271" s="177"/>
      <c r="X1271" s="1916"/>
      <c r="Y1271" s="1917"/>
      <c r="Z1271" s="1917"/>
      <c r="AA1271" s="1918"/>
      <c r="AB1271" s="177"/>
      <c r="AC1271" s="1916"/>
      <c r="AD1271" s="1917"/>
      <c r="AE1271" s="1917"/>
      <c r="AF1271" s="1918"/>
      <c r="AG1271" s="177"/>
      <c r="AH1271" s="1916"/>
      <c r="AI1271" s="1917"/>
      <c r="AJ1271" s="1917"/>
      <c r="AK1271" s="1918"/>
      <c r="AL1271" s="177"/>
    </row>
    <row r="1272" spans="2:38" s="176" customFormat="1" x14ac:dyDescent="0.45">
      <c r="B1272" s="1942"/>
      <c r="C1272" s="1945"/>
      <c r="D1272" s="1916"/>
      <c r="E1272" s="1917"/>
      <c r="F1272" s="1917"/>
      <c r="G1272" s="1918"/>
      <c r="H1272" s="177"/>
      <c r="I1272" s="1916"/>
      <c r="J1272" s="1917"/>
      <c r="K1272" s="1917"/>
      <c r="L1272" s="1918"/>
      <c r="M1272" s="177"/>
      <c r="N1272" s="1916"/>
      <c r="O1272" s="1917"/>
      <c r="P1272" s="1917"/>
      <c r="Q1272" s="1918"/>
      <c r="R1272" s="177"/>
      <c r="S1272" s="1916"/>
      <c r="T1272" s="1917"/>
      <c r="U1272" s="1917"/>
      <c r="V1272" s="1918"/>
      <c r="W1272" s="177"/>
      <c r="X1272" s="1916"/>
      <c r="Y1272" s="1917"/>
      <c r="Z1272" s="1917"/>
      <c r="AA1272" s="1918"/>
      <c r="AB1272" s="177"/>
      <c r="AC1272" s="1916"/>
      <c r="AD1272" s="1917"/>
      <c r="AE1272" s="1917"/>
      <c r="AF1272" s="1918"/>
      <c r="AG1272" s="177"/>
      <c r="AH1272" s="1916"/>
      <c r="AI1272" s="1917"/>
      <c r="AJ1272" s="1917"/>
      <c r="AK1272" s="1918"/>
      <c r="AL1272" s="177"/>
    </row>
    <row r="1273" spans="2:38" s="176" customFormat="1" x14ac:dyDescent="0.45">
      <c r="B1273" s="1942"/>
      <c r="C1273" s="1945"/>
      <c r="D1273" s="1916"/>
      <c r="E1273" s="1917"/>
      <c r="F1273" s="1917"/>
      <c r="G1273" s="1918"/>
      <c r="H1273" s="177"/>
      <c r="I1273" s="1916"/>
      <c r="J1273" s="1917"/>
      <c r="K1273" s="1917"/>
      <c r="L1273" s="1918"/>
      <c r="M1273" s="177"/>
      <c r="N1273" s="1916"/>
      <c r="O1273" s="1917"/>
      <c r="P1273" s="1917"/>
      <c r="Q1273" s="1918"/>
      <c r="R1273" s="177"/>
      <c r="S1273" s="1916"/>
      <c r="T1273" s="1917"/>
      <c r="U1273" s="1917"/>
      <c r="V1273" s="1918"/>
      <c r="W1273" s="177"/>
      <c r="X1273" s="1916"/>
      <c r="Y1273" s="1917"/>
      <c r="Z1273" s="1917"/>
      <c r="AA1273" s="1918"/>
      <c r="AB1273" s="177"/>
      <c r="AC1273" s="1916"/>
      <c r="AD1273" s="1917"/>
      <c r="AE1273" s="1917"/>
      <c r="AF1273" s="1918"/>
      <c r="AG1273" s="177"/>
      <c r="AH1273" s="1916"/>
      <c r="AI1273" s="1917"/>
      <c r="AJ1273" s="1917"/>
      <c r="AK1273" s="1918"/>
      <c r="AL1273" s="177"/>
    </row>
    <row r="1274" spans="2:38" s="176" customFormat="1" x14ac:dyDescent="0.45">
      <c r="B1274" s="1942"/>
      <c r="C1274" s="1945"/>
      <c r="D1274" s="1916"/>
      <c r="E1274" s="1917"/>
      <c r="F1274" s="1917"/>
      <c r="G1274" s="1918"/>
      <c r="H1274" s="177"/>
      <c r="I1274" s="1916"/>
      <c r="J1274" s="1917"/>
      <c r="K1274" s="1917"/>
      <c r="L1274" s="1918"/>
      <c r="M1274" s="177"/>
      <c r="N1274" s="1916"/>
      <c r="O1274" s="1917"/>
      <c r="P1274" s="1917"/>
      <c r="Q1274" s="1918"/>
      <c r="R1274" s="177"/>
      <c r="S1274" s="1916"/>
      <c r="T1274" s="1917"/>
      <c r="U1274" s="1917"/>
      <c r="V1274" s="1918"/>
      <c r="W1274" s="177"/>
      <c r="X1274" s="1916"/>
      <c r="Y1274" s="1917"/>
      <c r="Z1274" s="1917"/>
      <c r="AA1274" s="1918"/>
      <c r="AB1274" s="177"/>
      <c r="AC1274" s="1916"/>
      <c r="AD1274" s="1917"/>
      <c r="AE1274" s="1917"/>
      <c r="AF1274" s="1918"/>
      <c r="AG1274" s="177"/>
      <c r="AH1274" s="1916"/>
      <c r="AI1274" s="1917"/>
      <c r="AJ1274" s="1917"/>
      <c r="AK1274" s="1918"/>
      <c r="AL1274" s="177"/>
    </row>
    <row r="1275" spans="2:38" s="176" customFormat="1" ht="15" customHeight="1" x14ac:dyDescent="0.45">
      <c r="B1275" s="1942"/>
      <c r="C1275" s="1945"/>
      <c r="D1275" s="1916"/>
      <c r="E1275" s="1917"/>
      <c r="F1275" s="1917"/>
      <c r="G1275" s="1918"/>
      <c r="H1275" s="177"/>
      <c r="I1275" s="1916"/>
      <c r="J1275" s="1917"/>
      <c r="K1275" s="1917"/>
      <c r="L1275" s="1918"/>
      <c r="M1275" s="177"/>
      <c r="N1275" s="1916"/>
      <c r="O1275" s="1917"/>
      <c r="P1275" s="1917"/>
      <c r="Q1275" s="1918"/>
      <c r="R1275" s="177"/>
      <c r="S1275" s="1916"/>
      <c r="T1275" s="1917"/>
      <c r="U1275" s="1917"/>
      <c r="V1275" s="1918"/>
      <c r="W1275" s="177"/>
      <c r="X1275" s="1916"/>
      <c r="Y1275" s="1917"/>
      <c r="Z1275" s="1917"/>
      <c r="AA1275" s="1918"/>
      <c r="AB1275" s="177"/>
      <c r="AC1275" s="1916"/>
      <c r="AD1275" s="1917"/>
      <c r="AE1275" s="1917"/>
      <c r="AF1275" s="1918"/>
      <c r="AG1275" s="177"/>
      <c r="AH1275" s="1916"/>
      <c r="AI1275" s="1917"/>
      <c r="AJ1275" s="1917"/>
      <c r="AK1275" s="1918"/>
      <c r="AL1275" s="177"/>
    </row>
    <row r="1276" spans="2:38" s="176" customFormat="1" ht="15" customHeight="1" x14ac:dyDescent="0.45">
      <c r="B1276" s="1942"/>
      <c r="C1276" s="1945"/>
      <c r="D1276" s="1916"/>
      <c r="E1276" s="1917"/>
      <c r="F1276" s="1917"/>
      <c r="G1276" s="1918"/>
      <c r="H1276" s="177"/>
      <c r="I1276" s="1916"/>
      <c r="J1276" s="1917"/>
      <c r="K1276" s="1917"/>
      <c r="L1276" s="1918"/>
      <c r="M1276" s="177"/>
      <c r="N1276" s="1916"/>
      <c r="O1276" s="1917"/>
      <c r="P1276" s="1917"/>
      <c r="Q1276" s="1918"/>
      <c r="R1276" s="177"/>
      <c r="S1276" s="1916"/>
      <c r="T1276" s="1917"/>
      <c r="U1276" s="1917"/>
      <c r="V1276" s="1918"/>
      <c r="W1276" s="177"/>
      <c r="X1276" s="1916"/>
      <c r="Y1276" s="1917"/>
      <c r="Z1276" s="1917"/>
      <c r="AA1276" s="1918"/>
      <c r="AB1276" s="177"/>
      <c r="AC1276" s="1916"/>
      <c r="AD1276" s="1917"/>
      <c r="AE1276" s="1917"/>
      <c r="AF1276" s="1918"/>
      <c r="AG1276" s="177"/>
      <c r="AH1276" s="1916"/>
      <c r="AI1276" s="1917"/>
      <c r="AJ1276" s="1917"/>
      <c r="AK1276" s="1918"/>
      <c r="AL1276" s="177"/>
    </row>
    <row r="1277" spans="2:38" s="176" customFormat="1" x14ac:dyDescent="0.45">
      <c r="B1277" s="1942"/>
      <c r="C1277" s="1945"/>
      <c r="D1277" s="1916"/>
      <c r="E1277" s="1917"/>
      <c r="F1277" s="1917"/>
      <c r="G1277" s="1918"/>
      <c r="H1277" s="177"/>
      <c r="I1277" s="1916"/>
      <c r="J1277" s="1917"/>
      <c r="K1277" s="1917"/>
      <c r="L1277" s="1918"/>
      <c r="M1277" s="177"/>
      <c r="N1277" s="1916"/>
      <c r="O1277" s="1917"/>
      <c r="P1277" s="1917"/>
      <c r="Q1277" s="1918"/>
      <c r="R1277" s="177"/>
      <c r="S1277" s="1916"/>
      <c r="T1277" s="1917"/>
      <c r="U1277" s="1917"/>
      <c r="V1277" s="1918"/>
      <c r="W1277" s="177"/>
      <c r="X1277" s="1916"/>
      <c r="Y1277" s="1917"/>
      <c r="Z1277" s="1917"/>
      <c r="AA1277" s="1918"/>
      <c r="AB1277" s="177"/>
      <c r="AC1277" s="1916"/>
      <c r="AD1277" s="1917"/>
      <c r="AE1277" s="1917"/>
      <c r="AF1277" s="1918"/>
      <c r="AG1277" s="177"/>
      <c r="AH1277" s="1916"/>
      <c r="AI1277" s="1917"/>
      <c r="AJ1277" s="1917"/>
      <c r="AK1277" s="1918"/>
      <c r="AL1277" s="177"/>
    </row>
    <row r="1278" spans="2:38" s="176" customFormat="1" x14ac:dyDescent="0.45">
      <c r="B1278" s="1942"/>
      <c r="C1278" s="1945"/>
      <c r="D1278" s="1916"/>
      <c r="E1278" s="1917"/>
      <c r="F1278" s="1917"/>
      <c r="G1278" s="1918"/>
      <c r="H1278" s="177"/>
      <c r="I1278" s="1916"/>
      <c r="J1278" s="1917"/>
      <c r="K1278" s="1917"/>
      <c r="L1278" s="1918"/>
      <c r="M1278" s="177"/>
      <c r="N1278" s="1916"/>
      <c r="O1278" s="1917"/>
      <c r="P1278" s="1917"/>
      <c r="Q1278" s="1918"/>
      <c r="R1278" s="177"/>
      <c r="S1278" s="1916"/>
      <c r="T1278" s="1917"/>
      <c r="U1278" s="1917"/>
      <c r="V1278" s="1918"/>
      <c r="W1278" s="177"/>
      <c r="X1278" s="1916"/>
      <c r="Y1278" s="1917"/>
      <c r="Z1278" s="1917"/>
      <c r="AA1278" s="1918"/>
      <c r="AB1278" s="177"/>
      <c r="AC1278" s="1916"/>
      <c r="AD1278" s="1917"/>
      <c r="AE1278" s="1917"/>
      <c r="AF1278" s="1918"/>
      <c r="AG1278" s="177"/>
      <c r="AH1278" s="1916"/>
      <c r="AI1278" s="1917"/>
      <c r="AJ1278" s="1917"/>
      <c r="AK1278" s="1918"/>
      <c r="AL1278" s="177"/>
    </row>
    <row r="1279" spans="2:38" s="176" customFormat="1" x14ac:dyDescent="0.45">
      <c r="B1279" s="1942"/>
      <c r="C1279" s="1945"/>
      <c r="D1279" s="1916"/>
      <c r="E1279" s="1917"/>
      <c r="F1279" s="1917"/>
      <c r="G1279" s="1918"/>
      <c r="H1279" s="177"/>
      <c r="I1279" s="1916"/>
      <c r="J1279" s="1917"/>
      <c r="K1279" s="1917"/>
      <c r="L1279" s="1918"/>
      <c r="M1279" s="177"/>
      <c r="N1279" s="1916"/>
      <c r="O1279" s="1917"/>
      <c r="P1279" s="1917"/>
      <c r="Q1279" s="1918"/>
      <c r="R1279" s="177"/>
      <c r="S1279" s="1916"/>
      <c r="T1279" s="1917"/>
      <c r="U1279" s="1917"/>
      <c r="V1279" s="1918"/>
      <c r="W1279" s="177"/>
      <c r="X1279" s="1916"/>
      <c r="Y1279" s="1917"/>
      <c r="Z1279" s="1917"/>
      <c r="AA1279" s="1918"/>
      <c r="AB1279" s="177"/>
      <c r="AC1279" s="1916"/>
      <c r="AD1279" s="1917"/>
      <c r="AE1279" s="1917"/>
      <c r="AF1279" s="1918"/>
      <c r="AG1279" s="177"/>
      <c r="AH1279" s="1916"/>
      <c r="AI1279" s="1917"/>
      <c r="AJ1279" s="1917"/>
      <c r="AK1279" s="1918"/>
      <c r="AL1279" s="177"/>
    </row>
    <row r="1280" spans="2:38" s="176" customFormat="1" x14ac:dyDescent="0.45">
      <c r="B1280" s="1942"/>
      <c r="C1280" s="1945"/>
      <c r="D1280" s="1916"/>
      <c r="E1280" s="1917"/>
      <c r="F1280" s="1917"/>
      <c r="G1280" s="1918"/>
      <c r="H1280" s="177"/>
      <c r="I1280" s="1916"/>
      <c r="J1280" s="1917"/>
      <c r="K1280" s="1917"/>
      <c r="L1280" s="1918"/>
      <c r="M1280" s="177"/>
      <c r="N1280" s="1916"/>
      <c r="O1280" s="1917"/>
      <c r="P1280" s="1917"/>
      <c r="Q1280" s="1918"/>
      <c r="R1280" s="177"/>
      <c r="S1280" s="1916"/>
      <c r="T1280" s="1917"/>
      <c r="U1280" s="1917"/>
      <c r="V1280" s="1918"/>
      <c r="W1280" s="177"/>
      <c r="X1280" s="1916"/>
      <c r="Y1280" s="1917"/>
      <c r="Z1280" s="1917"/>
      <c r="AA1280" s="1918"/>
      <c r="AB1280" s="177"/>
      <c r="AC1280" s="1916"/>
      <c r="AD1280" s="1917"/>
      <c r="AE1280" s="1917"/>
      <c r="AF1280" s="1918"/>
      <c r="AG1280" s="177"/>
      <c r="AH1280" s="1916"/>
      <c r="AI1280" s="1917"/>
      <c r="AJ1280" s="1917"/>
      <c r="AK1280" s="1918"/>
      <c r="AL1280" s="177"/>
    </row>
    <row r="1281" spans="2:38" s="176" customFormat="1" x14ac:dyDescent="0.45">
      <c r="B1281" s="1942"/>
      <c r="C1281" s="1945"/>
      <c r="D1281" s="1916"/>
      <c r="E1281" s="1917"/>
      <c r="F1281" s="1917"/>
      <c r="G1281" s="1918"/>
      <c r="H1281" s="177"/>
      <c r="I1281" s="1916"/>
      <c r="J1281" s="1917"/>
      <c r="K1281" s="1917"/>
      <c r="L1281" s="1918"/>
      <c r="M1281" s="177"/>
      <c r="N1281" s="1916"/>
      <c r="O1281" s="1917"/>
      <c r="P1281" s="1917"/>
      <c r="Q1281" s="1918"/>
      <c r="R1281" s="177"/>
      <c r="S1281" s="1916"/>
      <c r="T1281" s="1917"/>
      <c r="U1281" s="1917"/>
      <c r="V1281" s="1918"/>
      <c r="W1281" s="177"/>
      <c r="X1281" s="1916"/>
      <c r="Y1281" s="1917"/>
      <c r="Z1281" s="1917"/>
      <c r="AA1281" s="1918"/>
      <c r="AB1281" s="177"/>
      <c r="AC1281" s="1916"/>
      <c r="AD1281" s="1917"/>
      <c r="AE1281" s="1917"/>
      <c r="AF1281" s="1918"/>
      <c r="AG1281" s="177"/>
      <c r="AH1281" s="1916"/>
      <c r="AI1281" s="1917"/>
      <c r="AJ1281" s="1917"/>
      <c r="AK1281" s="1918"/>
      <c r="AL1281" s="177"/>
    </row>
    <row r="1282" spans="2:38" s="176" customFormat="1" ht="15" customHeight="1" x14ac:dyDescent="0.45">
      <c r="B1282" s="1942"/>
      <c r="C1282" s="1945"/>
      <c r="D1282" s="1919"/>
      <c r="E1282" s="1920"/>
      <c r="F1282" s="1920"/>
      <c r="G1282" s="1921"/>
      <c r="H1282" s="177"/>
      <c r="I1282" s="1919"/>
      <c r="J1282" s="1920"/>
      <c r="K1282" s="1920"/>
      <c r="L1282" s="1921"/>
      <c r="M1282" s="177"/>
      <c r="N1282" s="1919"/>
      <c r="O1282" s="1920"/>
      <c r="P1282" s="1920"/>
      <c r="Q1282" s="1921"/>
      <c r="R1282" s="177"/>
      <c r="S1282" s="1919"/>
      <c r="T1282" s="1920"/>
      <c r="U1282" s="1920"/>
      <c r="V1282" s="1921"/>
      <c r="W1282" s="177"/>
      <c r="X1282" s="1919"/>
      <c r="Y1282" s="1920"/>
      <c r="Z1282" s="1920"/>
      <c r="AA1282" s="1921"/>
      <c r="AB1282" s="177"/>
      <c r="AC1282" s="1919"/>
      <c r="AD1282" s="1920"/>
      <c r="AE1282" s="1920"/>
      <c r="AF1282" s="1921"/>
      <c r="AG1282" s="177"/>
      <c r="AH1282" s="1919"/>
      <c r="AI1282" s="1920"/>
      <c r="AJ1282" s="1920"/>
      <c r="AK1282" s="1921"/>
      <c r="AL1282" s="177"/>
    </row>
    <row r="1283" spans="2:38" s="176" customFormat="1" ht="15" customHeight="1" x14ac:dyDescent="0.45">
      <c r="B1283" s="1942"/>
      <c r="C1283" s="1945"/>
      <c r="D1283" s="1913" t="str">
        <f ca="1">IF(G1263&gt;0,CONCATENATE("Session Aim: 
", CONCATENATE(IF(INDEX(final_duration_secondary,((WEEKDAY(E$3,2)*2-1)+IF(E1263="Morning",0,1)),D1263)=0, "", "1. "),
INDEX(sessions_aim_primary,, INDEX(plan_session_allocation,((WEEKDAY(E$3,2)*2-1)+IF(E1263="Morning",0,1)),D1263)), IF(INDEX(final_duration_secondary,((WEEKDAY(E$3,2)*2-1)+IF(E1263="Morning",0,1)),D1263)=0, "", "
2. "),
IF(INDEX(final_duration_secondary,((WEEKDAY(E$3,2)*2-1)+IF(E1263="Morning",0,1)),D1263)=0, "", INDEX(sessions_aim_secondary,, INDEX(plan_session_allocation,((WEEKDAY(E$3,2)*2-1)+IF(E1263="Morning",0,1)),D1263))), IF(INDEX(final_duration_tertiary,((WEEKDAY(E$3,2)*2-1)+IF(E1263="Morning",0,1)),D1263)=0, "", "
3. "),
IF(INDEX(final_duration_tertiary,((WEEKDAY(E$3,2)*2-1)+IF(E1263="Morning",0,1)),D1263)=0, "", INDEX(sessions_aim_tertiary,, INDEX(plan_session_allocation,((WEEKDAY(E$3,2)*2-1)+IF(E1263="Morning",0,1)),D1263))),
IF(INDEX(display_nutrition_description,((WEEKDAY(E$3,2)*2-1)+IF(E1263="Morning",0,1)),D1263)="","",
CONCATENATE("
Nutrition Aim:
", INDEX(sessions_aim_nutrition,,INDEX(plan_session_allocation,((WEEKDAY(E$3,2)*2-1)+IF(E1263="Morning",0,1)),D1263))
))
)),"")</f>
        <v/>
      </c>
      <c r="E1283" s="1914"/>
      <c r="F1283" s="1914"/>
      <c r="G1283" s="1915"/>
      <c r="H1283" s="177"/>
      <c r="I1283" s="1913" t="str">
        <f ca="1">IF(L1263&gt;0,CONCATENATE("Session Aim: 
", CONCATENATE(IF(INDEX(final_duration_secondary,((WEEKDAY(J$3,2)*2-1)+IF(J1263="Morning",0,1)),I1263)=0, "", "1. "),
INDEX(sessions_aim_primary,, INDEX(plan_session_allocation,((WEEKDAY(J$3,2)*2-1)+IF(J1263="Morning",0,1)),I1263)), IF(INDEX(final_duration_secondary,((WEEKDAY(J$3,2)*2-1)+IF(J1263="Morning",0,1)),I1263)=0, "", "
2. "),
IF(INDEX(final_duration_secondary,((WEEKDAY(J$3,2)*2-1)+IF(J1263="Morning",0,1)),I1263)=0, "", INDEX(sessions_aim_secondary,, INDEX(plan_session_allocation,((WEEKDAY(J$3,2)*2-1)+IF(J1263="Morning",0,1)),I1263))), IF(INDEX(final_duration_tertiary,((WEEKDAY(J$3,2)*2-1)+IF(J1263="Morning",0,1)),I1263)=0, "", "
3. "),
IF(INDEX(final_duration_tertiary,((WEEKDAY(J$3,2)*2-1)+IF(J1263="Morning",0,1)),I1263)=0, "", INDEX(sessions_aim_tertiary,, INDEX(plan_session_allocation,((WEEKDAY(J$3,2)*2-1)+IF(J1263="Morning",0,1)),I1263))),
IF(INDEX(display_nutrition_description,((WEEKDAY(J$3,2)*2-1)+IF(J1263="Morning",0,1)),I1263)="","",
CONCATENATE("
Nutrition Aim:
", INDEX(sessions_aim_nutrition,,INDEX(plan_session_allocation,((WEEKDAY(J$3,2)*2-1)+IF(J1263="Morning",0,1)),I1263))
))
)),"")</f>
        <v/>
      </c>
      <c r="J1283" s="1914"/>
      <c r="K1283" s="1914"/>
      <c r="L1283" s="1915"/>
      <c r="M1283" s="177"/>
      <c r="N1283" s="1913" t="str">
        <f ca="1">IF(Q1263&gt;0,CONCATENATE("Session Aim: 
", CONCATENATE(IF(INDEX(final_duration_secondary,((WEEKDAY(O$3,2)*2-1)+IF(O1263="Morning",0,1)),N1263)=0, "", "1. "),
INDEX(sessions_aim_primary,, INDEX(plan_session_allocation,((WEEKDAY(O$3,2)*2-1)+IF(O1263="Morning",0,1)),N1263)), IF(INDEX(final_duration_secondary,((WEEKDAY(O$3,2)*2-1)+IF(O1263="Morning",0,1)),N1263)=0, "", "
2. "),
IF(INDEX(final_duration_secondary,((WEEKDAY(O$3,2)*2-1)+IF(O1263="Morning",0,1)),N1263)=0, "", INDEX(sessions_aim_secondary,, INDEX(plan_session_allocation,((WEEKDAY(O$3,2)*2-1)+IF(O1263="Morning",0,1)),N1263))), IF(INDEX(final_duration_tertiary,((WEEKDAY(O$3,2)*2-1)+IF(O1263="Morning",0,1)),N1263)=0, "", "
3. "),
IF(INDEX(final_duration_tertiary,((WEEKDAY(O$3,2)*2-1)+IF(O1263="Morning",0,1)),N1263)=0, "", INDEX(sessions_aim_tertiary,, INDEX(plan_session_allocation,((WEEKDAY(O$3,2)*2-1)+IF(O1263="Morning",0,1)),N1263))),
IF(INDEX(display_nutrition_description,((WEEKDAY(O$3,2)*2-1)+IF(O1263="Morning",0,1)),N1263)="","",
CONCATENATE("
Nutrition Aim:
", INDEX(sessions_aim_nutrition,,INDEX(plan_session_allocation,((WEEKDAY(O$3,2)*2-1)+IF(O1263="Morning",0,1)),N1263))
))
)),"")</f>
        <v/>
      </c>
      <c r="O1283" s="1914"/>
      <c r="P1283" s="1914"/>
      <c r="Q1283" s="1915"/>
      <c r="R1283" s="177"/>
      <c r="S1283" s="1913" t="str">
        <f ca="1">IF(V1263&gt;0,CONCATENATE("Session Aim: 
", CONCATENATE(IF(INDEX(final_duration_secondary,((WEEKDAY(T$3,2)*2-1)+IF(T1263="Morning",0,1)),S1263)=0, "", "1. "),
INDEX(sessions_aim_primary,, INDEX(plan_session_allocation,((WEEKDAY(T$3,2)*2-1)+IF(T1263="Morning",0,1)),S1263)), IF(INDEX(final_duration_secondary,((WEEKDAY(T$3,2)*2-1)+IF(T1263="Morning",0,1)),S1263)=0, "", "
2. "),
IF(INDEX(final_duration_secondary,((WEEKDAY(T$3,2)*2-1)+IF(T1263="Morning",0,1)),S1263)=0, "", INDEX(sessions_aim_secondary,, INDEX(plan_session_allocation,((WEEKDAY(T$3,2)*2-1)+IF(T1263="Morning",0,1)),S1263))), IF(INDEX(final_duration_tertiary,((WEEKDAY(T$3,2)*2-1)+IF(T1263="Morning",0,1)),S1263)=0, "", "
3. "),
IF(INDEX(final_duration_tertiary,((WEEKDAY(T$3,2)*2-1)+IF(T1263="Morning",0,1)),S1263)=0, "", INDEX(sessions_aim_tertiary,, INDEX(plan_session_allocation,((WEEKDAY(T$3,2)*2-1)+IF(T1263="Morning",0,1)),S1263))),
IF(INDEX(display_nutrition_description,((WEEKDAY(T$3,2)*2-1)+IF(T1263="Morning",0,1)),S1263)="","",
CONCATENATE("
Nutrition Aim:
", INDEX(sessions_aim_nutrition,,INDEX(plan_session_allocation,((WEEKDAY(T$3,2)*2-1)+IF(T1263="Morning",0,1)),S1263))
))
)),"")</f>
        <v/>
      </c>
      <c r="T1283" s="1914"/>
      <c r="U1283" s="1914"/>
      <c r="V1283" s="1915"/>
      <c r="W1283" s="177"/>
      <c r="X1283" s="1913" t="str">
        <f ca="1">IF(AA1263&gt;0,CONCATENATE("Session Aim: 
", CONCATENATE(IF(INDEX(final_duration_secondary,((WEEKDAY(Y$3,2)*2-1)+IF(Y1263="Morning",0,1)),X1263)=0, "", "1. "),
INDEX(sessions_aim_primary,, INDEX(plan_session_allocation,((WEEKDAY(Y$3,2)*2-1)+IF(Y1263="Morning",0,1)),X1263)), IF(INDEX(final_duration_secondary,((WEEKDAY(Y$3,2)*2-1)+IF(Y1263="Morning",0,1)),X1263)=0, "", "
2. "),
IF(INDEX(final_duration_secondary,((WEEKDAY(Y$3,2)*2-1)+IF(Y1263="Morning",0,1)),X1263)=0, "", INDEX(sessions_aim_secondary,, INDEX(plan_session_allocation,((WEEKDAY(Y$3,2)*2-1)+IF(Y1263="Morning",0,1)),X1263))), IF(INDEX(final_duration_tertiary,((WEEKDAY(Y$3,2)*2-1)+IF(Y1263="Morning",0,1)),X1263)=0, "", "
3. "),
IF(INDEX(final_duration_tertiary,((WEEKDAY(Y$3,2)*2-1)+IF(Y1263="Morning",0,1)),X1263)=0, "", INDEX(sessions_aim_tertiary,, INDEX(plan_session_allocation,((WEEKDAY(Y$3,2)*2-1)+IF(Y1263="Morning",0,1)),X1263))),
IF(INDEX(display_nutrition_description,((WEEKDAY(Y$3,2)*2-1)+IF(Y1263="Morning",0,1)),X1263)="","",
CONCATENATE("
Nutrition Aim:
", INDEX(sessions_aim_nutrition,,INDEX(plan_session_allocation,((WEEKDAY(Y$3,2)*2-1)+IF(Y1263="Morning",0,1)),X1263))
))
)),"")</f>
        <v/>
      </c>
      <c r="Y1283" s="1914"/>
      <c r="Z1283" s="1914"/>
      <c r="AA1283" s="1915"/>
      <c r="AB1283" s="177"/>
      <c r="AC1283" s="1913" t="str">
        <f ca="1">IF(AF1263&gt;0,CONCATENATE("Session Aim: 
", CONCATENATE(IF(INDEX(final_duration_secondary,((WEEKDAY(AD$3,2)*2-1)+IF(AD1263="Morning",0,1)),AC1263)=0, "", "1. "),
INDEX(sessions_aim_primary,, INDEX(plan_session_allocation,((WEEKDAY(AD$3,2)*2-1)+IF(AD1263="Morning",0,1)),AC1263)), IF(INDEX(final_duration_secondary,((WEEKDAY(AD$3,2)*2-1)+IF(AD1263="Morning",0,1)),AC1263)=0, "", "
2. "),
IF(INDEX(final_duration_secondary,((WEEKDAY(AD$3,2)*2-1)+IF(AD1263="Morning",0,1)),AC1263)=0, "", INDEX(sessions_aim_secondary,, INDEX(plan_session_allocation,((WEEKDAY(AD$3,2)*2-1)+IF(AD1263="Morning",0,1)),AC1263))), IF(INDEX(final_duration_tertiary,((WEEKDAY(AD$3,2)*2-1)+IF(AD1263="Morning",0,1)),AC1263)=0, "", "
3. "),
IF(INDEX(final_duration_tertiary,((WEEKDAY(AD$3,2)*2-1)+IF(AD1263="Morning",0,1)),AC1263)=0, "", INDEX(sessions_aim_tertiary,, INDEX(plan_session_allocation,((WEEKDAY(AD$3,2)*2-1)+IF(AD1263="Morning",0,1)),AC1263))),
IF(INDEX(display_nutrition_description,((WEEKDAY(AD$3,2)*2-1)+IF(AD1263="Morning",0,1)),AC1263)="","",
CONCATENATE("
Nutrition Aim:
", INDEX(sessions_aim_nutrition,,INDEX(plan_session_allocation,((WEEKDAY(AD$3,2)*2-1)+IF(AD1263="Morning",0,1)),AC1263))
))
)),"")</f>
        <v/>
      </c>
      <c r="AD1283" s="1914"/>
      <c r="AE1283" s="1914"/>
      <c r="AF1283" s="1915"/>
      <c r="AG1283" s="177"/>
      <c r="AH1283" s="1913" t="str">
        <f ca="1">IF(AK1263&gt;0,CONCATENATE("Session Aim: 
", CONCATENATE(IF(INDEX(final_duration_secondary,((WEEKDAY(AI$3,2)*2-1)+IF(AI1263="Morning",0,1)),AH1263)=0, "", "1. "),
INDEX(sessions_aim_primary,, INDEX(plan_session_allocation,((WEEKDAY(AI$3,2)*2-1)+IF(AI1263="Morning",0,1)),AH1263)), IF(INDEX(final_duration_secondary,((WEEKDAY(AI$3,2)*2-1)+IF(AI1263="Morning",0,1)),AH1263)=0, "", "
2. "),
IF(INDEX(final_duration_secondary,((WEEKDAY(AI$3,2)*2-1)+IF(AI1263="Morning",0,1)),AH1263)=0, "", INDEX(sessions_aim_secondary,, INDEX(plan_session_allocation,((WEEKDAY(AI$3,2)*2-1)+IF(AI1263="Morning",0,1)),AH1263))), IF(INDEX(final_duration_tertiary,((WEEKDAY(AI$3,2)*2-1)+IF(AI1263="Morning",0,1)),AH1263)=0, "", "
3. "),
IF(INDEX(final_duration_tertiary,((WEEKDAY(AI$3,2)*2-1)+IF(AI1263="Morning",0,1)),AH1263)=0, "", INDEX(sessions_aim_tertiary,, INDEX(plan_session_allocation,((WEEKDAY(AI$3,2)*2-1)+IF(AI1263="Morning",0,1)),AH1263))),
IF(INDEX(display_nutrition_description,((WEEKDAY(AI$3,2)*2-1)+IF(AI1263="Morning",0,1)),AH1263)="","",
CONCATENATE("
Nutrition Aim:
", INDEX(sessions_aim_nutrition,,INDEX(plan_session_allocation,((WEEKDAY(AI$3,2)*2-1)+IF(AI1263="Morning",0,1)),AH1263))
))
)),"")</f>
        <v/>
      </c>
      <c r="AI1283" s="1914"/>
      <c r="AJ1283" s="1914"/>
      <c r="AK1283" s="1915"/>
      <c r="AL1283" s="177"/>
    </row>
    <row r="1284" spans="2:38" s="176" customFormat="1" x14ac:dyDescent="0.45">
      <c r="B1284" s="1942"/>
      <c r="C1284" s="1945"/>
      <c r="D1284" s="1916"/>
      <c r="E1284" s="1917"/>
      <c r="F1284" s="1917"/>
      <c r="G1284" s="1918"/>
      <c r="H1284" s="177"/>
      <c r="I1284" s="1916"/>
      <c r="J1284" s="1917"/>
      <c r="K1284" s="1917"/>
      <c r="L1284" s="1918"/>
      <c r="M1284" s="177"/>
      <c r="N1284" s="1916"/>
      <c r="O1284" s="1917"/>
      <c r="P1284" s="1917"/>
      <c r="Q1284" s="1918"/>
      <c r="R1284" s="177"/>
      <c r="S1284" s="1916"/>
      <c r="T1284" s="1917"/>
      <c r="U1284" s="1917"/>
      <c r="V1284" s="1918"/>
      <c r="W1284" s="177"/>
      <c r="X1284" s="1916"/>
      <c r="Y1284" s="1917"/>
      <c r="Z1284" s="1917"/>
      <c r="AA1284" s="1918"/>
      <c r="AB1284" s="177"/>
      <c r="AC1284" s="1916"/>
      <c r="AD1284" s="1917"/>
      <c r="AE1284" s="1917"/>
      <c r="AF1284" s="1918"/>
      <c r="AG1284" s="177"/>
      <c r="AH1284" s="1916"/>
      <c r="AI1284" s="1917"/>
      <c r="AJ1284" s="1917"/>
      <c r="AK1284" s="1918"/>
      <c r="AL1284" s="177"/>
    </row>
    <row r="1285" spans="2:38" s="176" customFormat="1" x14ac:dyDescent="0.45">
      <c r="B1285" s="1942"/>
      <c r="C1285" s="1945"/>
      <c r="D1285" s="1916"/>
      <c r="E1285" s="1917"/>
      <c r="F1285" s="1917"/>
      <c r="G1285" s="1918"/>
      <c r="H1285" s="177"/>
      <c r="I1285" s="1916"/>
      <c r="J1285" s="1917"/>
      <c r="K1285" s="1917"/>
      <c r="L1285" s="1918"/>
      <c r="M1285" s="177"/>
      <c r="N1285" s="1916"/>
      <c r="O1285" s="1917"/>
      <c r="P1285" s="1917"/>
      <c r="Q1285" s="1918"/>
      <c r="R1285" s="177"/>
      <c r="S1285" s="1916"/>
      <c r="T1285" s="1917"/>
      <c r="U1285" s="1917"/>
      <c r="V1285" s="1918"/>
      <c r="W1285" s="177"/>
      <c r="X1285" s="1916"/>
      <c r="Y1285" s="1917"/>
      <c r="Z1285" s="1917"/>
      <c r="AA1285" s="1918"/>
      <c r="AB1285" s="177"/>
      <c r="AC1285" s="1916"/>
      <c r="AD1285" s="1917"/>
      <c r="AE1285" s="1917"/>
      <c r="AF1285" s="1918"/>
      <c r="AG1285" s="177"/>
      <c r="AH1285" s="1916"/>
      <c r="AI1285" s="1917"/>
      <c r="AJ1285" s="1917"/>
      <c r="AK1285" s="1918"/>
      <c r="AL1285" s="177"/>
    </row>
    <row r="1286" spans="2:38" s="176" customFormat="1" x14ac:dyDescent="0.45">
      <c r="B1286" s="1942"/>
      <c r="C1286" s="1945"/>
      <c r="D1286" s="1916"/>
      <c r="E1286" s="1917"/>
      <c r="F1286" s="1917"/>
      <c r="G1286" s="1918"/>
      <c r="H1286" s="177"/>
      <c r="I1286" s="1916"/>
      <c r="J1286" s="1917"/>
      <c r="K1286" s="1917"/>
      <c r="L1286" s="1918"/>
      <c r="M1286" s="177"/>
      <c r="N1286" s="1916"/>
      <c r="O1286" s="1917"/>
      <c r="P1286" s="1917"/>
      <c r="Q1286" s="1918"/>
      <c r="R1286" s="177"/>
      <c r="S1286" s="1916"/>
      <c r="T1286" s="1917"/>
      <c r="U1286" s="1917"/>
      <c r="V1286" s="1918"/>
      <c r="W1286" s="177"/>
      <c r="X1286" s="1916"/>
      <c r="Y1286" s="1917"/>
      <c r="Z1286" s="1917"/>
      <c r="AA1286" s="1918"/>
      <c r="AB1286" s="177"/>
      <c r="AC1286" s="1916"/>
      <c r="AD1286" s="1917"/>
      <c r="AE1286" s="1917"/>
      <c r="AF1286" s="1918"/>
      <c r="AG1286" s="177"/>
      <c r="AH1286" s="1916"/>
      <c r="AI1286" s="1917"/>
      <c r="AJ1286" s="1917"/>
      <c r="AK1286" s="1918"/>
      <c r="AL1286" s="177"/>
    </row>
    <row r="1287" spans="2:38" s="176" customFormat="1" x14ac:dyDescent="0.45">
      <c r="B1287" s="1942"/>
      <c r="C1287" s="1945"/>
      <c r="D1287" s="1916"/>
      <c r="E1287" s="1917"/>
      <c r="F1287" s="1917"/>
      <c r="G1287" s="1918"/>
      <c r="H1287" s="177"/>
      <c r="I1287" s="1916"/>
      <c r="J1287" s="1917"/>
      <c r="K1287" s="1917"/>
      <c r="L1287" s="1918"/>
      <c r="M1287" s="177"/>
      <c r="N1287" s="1916"/>
      <c r="O1287" s="1917"/>
      <c r="P1287" s="1917"/>
      <c r="Q1287" s="1918"/>
      <c r="R1287" s="177"/>
      <c r="S1287" s="1916"/>
      <c r="T1287" s="1917"/>
      <c r="U1287" s="1917"/>
      <c r="V1287" s="1918"/>
      <c r="W1287" s="177"/>
      <c r="X1287" s="1916"/>
      <c r="Y1287" s="1917"/>
      <c r="Z1287" s="1917"/>
      <c r="AA1287" s="1918"/>
      <c r="AB1287" s="177"/>
      <c r="AC1287" s="1916"/>
      <c r="AD1287" s="1917"/>
      <c r="AE1287" s="1917"/>
      <c r="AF1287" s="1918"/>
      <c r="AG1287" s="177"/>
      <c r="AH1287" s="1916"/>
      <c r="AI1287" s="1917"/>
      <c r="AJ1287" s="1917"/>
      <c r="AK1287" s="1918"/>
      <c r="AL1287" s="177"/>
    </row>
    <row r="1288" spans="2:38" s="176" customFormat="1" x14ac:dyDescent="0.45">
      <c r="B1288" s="1942"/>
      <c r="C1288" s="1945"/>
      <c r="D1288" s="1916"/>
      <c r="E1288" s="1917"/>
      <c r="F1288" s="1917"/>
      <c r="G1288" s="1918"/>
      <c r="H1288" s="177"/>
      <c r="I1288" s="1916"/>
      <c r="J1288" s="1917"/>
      <c r="K1288" s="1917"/>
      <c r="L1288" s="1918"/>
      <c r="N1288" s="1916"/>
      <c r="O1288" s="1917"/>
      <c r="P1288" s="1917"/>
      <c r="Q1288" s="1918"/>
      <c r="S1288" s="1916"/>
      <c r="T1288" s="1917"/>
      <c r="U1288" s="1917"/>
      <c r="V1288" s="1918"/>
      <c r="X1288" s="1916"/>
      <c r="Y1288" s="1917"/>
      <c r="Z1288" s="1917"/>
      <c r="AA1288" s="1918"/>
      <c r="AC1288" s="1916"/>
      <c r="AD1288" s="1917"/>
      <c r="AE1288" s="1917"/>
      <c r="AF1288" s="1918"/>
      <c r="AH1288" s="1916"/>
      <c r="AI1288" s="1917"/>
      <c r="AJ1288" s="1917"/>
      <c r="AK1288" s="1918"/>
    </row>
    <row r="1289" spans="2:38" s="176" customFormat="1" ht="14.65" thickBot="1" x14ac:dyDescent="0.5">
      <c r="B1289" s="1943"/>
      <c r="C1289" s="1946"/>
      <c r="D1289" s="1938"/>
      <c r="E1289" s="1939"/>
      <c r="F1289" s="1939"/>
      <c r="G1289" s="1940"/>
      <c r="H1289" s="177"/>
      <c r="I1289" s="1938"/>
      <c r="J1289" s="1939"/>
      <c r="K1289" s="1939"/>
      <c r="L1289" s="1940"/>
      <c r="N1289" s="1938"/>
      <c r="O1289" s="1939"/>
      <c r="P1289" s="1939"/>
      <c r="Q1289" s="1940"/>
      <c r="S1289" s="1938"/>
      <c r="T1289" s="1939"/>
      <c r="U1289" s="1939"/>
      <c r="V1289" s="1940"/>
      <c r="X1289" s="1938"/>
      <c r="Y1289" s="1939"/>
      <c r="Z1289" s="1939"/>
      <c r="AA1289" s="1940"/>
      <c r="AC1289" s="1938"/>
      <c r="AD1289" s="1939"/>
      <c r="AE1289" s="1939"/>
      <c r="AF1289" s="1940"/>
      <c r="AH1289" s="1938"/>
      <c r="AI1289" s="1939"/>
      <c r="AJ1289" s="1939"/>
      <c r="AK1289" s="1940"/>
    </row>
    <row r="1290" spans="2:38" s="176" customFormat="1" ht="14.65" thickBot="1" x14ac:dyDescent="0.5">
      <c r="H1290" s="177"/>
    </row>
    <row r="1291" spans="2:38" s="176" customFormat="1" ht="15" customHeight="1" thickBot="1" x14ac:dyDescent="0.5">
      <c r="B1291" s="1941">
        <v>24</v>
      </c>
      <c r="C1291" s="1944" t="str">
        <f ca="1">IF(INDEX(display_strategy,1,B1291)="","", CONCATENATE(INDEX(display_strategy,1,B1291),": ",HLOOKUP(INDEX(display_strategy,1,B1291),strategies,4,TRUE)))</f>
        <v/>
      </c>
      <c r="D1291" s="1418" t="str">
        <f ca="1">CONCATENATE("Strategy: ",INDEX(display_strategy,$B1291))</f>
        <v xml:space="preserve">Strategy: </v>
      </c>
      <c r="E1291" s="1947">
        <f>plan_start_date + ($B1291-1)*7 + (COLUMN(D$2)-2)/5</f>
        <v>43535.4</v>
      </c>
      <c r="F1291" s="1947"/>
      <c r="G1291" s="1417" t="str">
        <f>CONCATENATE("Slot: ", ((WEEKDAY(E$3,2)*2-1)+IF(E1292="Morning",0,1)))</f>
        <v>Slot: 1</v>
      </c>
      <c r="H1291" s="177"/>
      <c r="I1291" s="1418" t="str">
        <f ca="1">CONCATENATE("Strategy: ",INDEX(display_strategy,$B1291))</f>
        <v xml:space="preserve">Strategy: </v>
      </c>
      <c r="J1291" s="1947">
        <f>plan_start_date + ($B1291-1)*7 + (COLUMN(I$2)-2)/5</f>
        <v>43536.4</v>
      </c>
      <c r="K1291" s="1947"/>
      <c r="L1291" s="1417" t="str">
        <f>CONCATENATE("Slot: ", ((WEEKDAY(J$3,2)*2-1)+IF(J1292="Morning",0,1)))</f>
        <v>Slot: 3</v>
      </c>
      <c r="N1291" s="1418" t="str">
        <f ca="1">CONCATENATE("Strategy: ",INDEX(display_strategy,$B1291))</f>
        <v xml:space="preserve">Strategy: </v>
      </c>
      <c r="O1291" s="1947">
        <f>plan_start_date + ($B1291-1)*7 + (COLUMN(N$2)-2)/5</f>
        <v>43537.4</v>
      </c>
      <c r="P1291" s="1947"/>
      <c r="Q1291" s="1417" t="str">
        <f>CONCATENATE("Slot: ", ((WEEKDAY(O$3,2)*2-1)+IF(O1292="Morning",0,1)))</f>
        <v>Slot: 5</v>
      </c>
      <c r="S1291" s="1418" t="str">
        <f ca="1">CONCATENATE("Strategy: ",INDEX(display_strategy,$B1291))</f>
        <v xml:space="preserve">Strategy: </v>
      </c>
      <c r="T1291" s="1947">
        <f>plan_start_date + ($B1291-1)*7 + (COLUMN(S$2)-2)/5</f>
        <v>43538.400000000001</v>
      </c>
      <c r="U1291" s="1947"/>
      <c r="V1291" s="1417" t="str">
        <f>CONCATENATE("Slot: ", ((WEEKDAY(T$3,2)*2-1)+IF(T1292="Morning",0,1)))</f>
        <v>Slot: 7</v>
      </c>
      <c r="X1291" s="1418" t="str">
        <f ca="1">CONCATENATE("Strategy: ",INDEX(display_strategy,$B1291))</f>
        <v xml:space="preserve">Strategy: </v>
      </c>
      <c r="Y1291" s="1947">
        <f>plan_start_date + ($B1291-1)*7 + (COLUMN(X$2)-2)/5</f>
        <v>43539.4</v>
      </c>
      <c r="Z1291" s="1947"/>
      <c r="AA1291" s="1417" t="str">
        <f>CONCATENATE("Slot: ", ((WEEKDAY(Y$3,2)*2-1)+IF(Y1292="Morning",0,1)))</f>
        <v>Slot: 9</v>
      </c>
      <c r="AC1291" s="1418" t="str">
        <f ca="1">CONCATENATE("Strategy: ",INDEX(display_strategy,$B1291))</f>
        <v xml:space="preserve">Strategy: </v>
      </c>
      <c r="AD1291" s="1947">
        <f>plan_start_date + ($B1291-1)*7 + (COLUMN(AC$2)-2)/5</f>
        <v>43540.4</v>
      </c>
      <c r="AE1291" s="1947"/>
      <c r="AF1291" s="1417" t="str">
        <f>CONCATENATE("Slot: ", ((WEEKDAY(AD$3,2)*2-1)+IF(AD1292="Morning",0,1)))</f>
        <v>Slot: 11</v>
      </c>
      <c r="AH1291" s="1418" t="str">
        <f ca="1">CONCATENATE("Strategy: ",INDEX(display_strategy,$B1291))</f>
        <v xml:space="preserve">Strategy: </v>
      </c>
      <c r="AI1291" s="1947">
        <f>plan_start_date + ($B1291-1)*7 + (COLUMN(AH$2)-2)/5</f>
        <v>43541.4</v>
      </c>
      <c r="AJ1291" s="1947"/>
      <c r="AK1291" s="1417" t="str">
        <f>CONCATENATE("Slot: ", ((WEEKDAY(AI$3,2)*2-1)+IF(AI1292="Morning",0,1)))</f>
        <v>Slot: 13</v>
      </c>
    </row>
    <row r="1292" spans="2:38" s="176" customFormat="1" x14ac:dyDescent="0.45">
      <c r="B1292" s="1942"/>
      <c r="C1292" s="1945"/>
      <c r="D1292" s="1413">
        <f>$B1291</f>
        <v>24</v>
      </c>
      <c r="E1292" s="1930" t="s">
        <v>351</v>
      </c>
      <c r="F1292" s="1930"/>
      <c r="G1292" s="1412">
        <f ca="1">INDEX(final_duration_session, ((WEEKDAY(E$3,2)*2-1)+IF(E1292="Morning",0,1)), $D1292)</f>
        <v>0</v>
      </c>
      <c r="H1292" s="177"/>
      <c r="I1292" s="1413">
        <f>$B1291</f>
        <v>24</v>
      </c>
      <c r="J1292" s="1930" t="s">
        <v>351</v>
      </c>
      <c r="K1292" s="1930"/>
      <c r="L1292" s="1412">
        <f ca="1">INDEX(final_duration_session, ((WEEKDAY(J$3,2)*2-1)+IF(J1292="Morning",0,1)), $D1292)</f>
        <v>0</v>
      </c>
      <c r="M1292" s="177"/>
      <c r="N1292" s="1413">
        <f>$B1291</f>
        <v>24</v>
      </c>
      <c r="O1292" s="1930" t="s">
        <v>351</v>
      </c>
      <c r="P1292" s="1930"/>
      <c r="Q1292" s="1412">
        <f ca="1">INDEX(final_duration_session, ((WEEKDAY(O$3,2)*2-1)+IF(O1292="Morning",0,1)), $D1292)</f>
        <v>0</v>
      </c>
      <c r="R1292" s="177"/>
      <c r="S1292" s="1413">
        <f>$B1291</f>
        <v>24</v>
      </c>
      <c r="T1292" s="1930" t="s">
        <v>351</v>
      </c>
      <c r="U1292" s="1930"/>
      <c r="V1292" s="1412">
        <f ca="1">INDEX(final_duration_session, ((WEEKDAY(T$3,2)*2-1)+IF(T1292="Morning",0,1)), $D1292)</f>
        <v>0</v>
      </c>
      <c r="W1292" s="177"/>
      <c r="X1292" s="1413">
        <f>$B1291</f>
        <v>24</v>
      </c>
      <c r="Y1292" s="1930" t="s">
        <v>351</v>
      </c>
      <c r="Z1292" s="1930"/>
      <c r="AA1292" s="1412">
        <f ca="1">INDEX(final_duration_session, ((WEEKDAY(Y$3,2)*2-1)+IF(Y1292="Morning",0,1)), $D1292)</f>
        <v>0</v>
      </c>
      <c r="AB1292" s="177"/>
      <c r="AC1292" s="1413">
        <f>$B1291</f>
        <v>24</v>
      </c>
      <c r="AD1292" s="1930" t="s">
        <v>351</v>
      </c>
      <c r="AE1292" s="1930"/>
      <c r="AF1292" s="1412">
        <f ca="1">INDEX(final_duration_session, ((WEEKDAY(AD$3,2)*2-1)+IF(AD1292="Morning",0,1)), $D1292)</f>
        <v>0</v>
      </c>
      <c r="AG1292" s="177"/>
      <c r="AH1292" s="1413">
        <f>$B1291</f>
        <v>24</v>
      </c>
      <c r="AI1292" s="1930" t="s">
        <v>351</v>
      </c>
      <c r="AJ1292" s="1930"/>
      <c r="AK1292" s="1412">
        <f ca="1">INDEX(final_duration_session, ((WEEKDAY(AI$3,2)*2-1)+IF(AI1292="Morning",0,1)), $D1292)</f>
        <v>0</v>
      </c>
      <c r="AL1292" s="177"/>
    </row>
    <row r="1293" spans="2:38" s="176" customFormat="1" ht="15" customHeight="1" x14ac:dyDescent="0.45">
      <c r="B1293" s="1942"/>
      <c r="C1293" s="1945"/>
      <c r="D1293" s="1931" t="str">
        <f ca="1">IF(G1292&gt;0,INDEX(sessions_name,INDEX(plan_session_allocation,((WEEKDAY(E$3,2)*2-1)+IF(E1292="Morning",0,1)),D1292)),"")</f>
        <v/>
      </c>
      <c r="E1293" s="1932"/>
      <c r="F1293" s="1932"/>
      <c r="G1293" s="1933"/>
      <c r="H1293" s="177"/>
      <c r="I1293" s="1931" t="str">
        <f ca="1">IF(L1292&gt;0,INDEX(sessions_name,INDEX(plan_session_allocation,((WEEKDAY(J$3,2)*2-1)+IF(J1292="Morning",0,1)),I1292)),"")</f>
        <v/>
      </c>
      <c r="J1293" s="1932"/>
      <c r="K1293" s="1932"/>
      <c r="L1293" s="1933"/>
      <c r="M1293" s="177"/>
      <c r="N1293" s="1931" t="str">
        <f ca="1">IF(Q1292&gt;0,INDEX(sessions_name,INDEX(plan_session_allocation,((WEEKDAY(O$3,2)*2-1)+IF(O1292="Morning",0,1)),N1292)),"")</f>
        <v/>
      </c>
      <c r="O1293" s="1932"/>
      <c r="P1293" s="1932"/>
      <c r="Q1293" s="1933"/>
      <c r="R1293" s="177"/>
      <c r="S1293" s="1931" t="str">
        <f ca="1">IF(V1292&gt;0,INDEX(sessions_name,INDEX(plan_session_allocation,((WEEKDAY(T$3,2)*2-1)+IF(T1292="Morning",0,1)),S1292)),"")</f>
        <v/>
      </c>
      <c r="T1293" s="1932"/>
      <c r="U1293" s="1932"/>
      <c r="V1293" s="1933"/>
      <c r="W1293" s="177"/>
      <c r="X1293" s="1931" t="str">
        <f ca="1">IF(AA1292&gt;0,INDEX(sessions_name,INDEX(plan_session_allocation,((WEEKDAY(Y$3,2)*2-1)+IF(Y1292="Morning",0,1)),X1292)),"")</f>
        <v/>
      </c>
      <c r="Y1293" s="1932"/>
      <c r="Z1293" s="1932"/>
      <c r="AA1293" s="1933"/>
      <c r="AB1293" s="177"/>
      <c r="AC1293" s="1931" t="str">
        <f ca="1">IF(AF1292&gt;0,INDEX(sessions_name,INDEX(plan_session_allocation,((WEEKDAY(AD$3,2)*2-1)+IF(AD1292="Morning",0,1)),AC1292)),"")</f>
        <v/>
      </c>
      <c r="AD1293" s="1932"/>
      <c r="AE1293" s="1932"/>
      <c r="AF1293" s="1933"/>
      <c r="AG1293" s="177"/>
      <c r="AH1293" s="1931" t="str">
        <f ca="1">IF(AK1292&gt;0,INDEX(sessions_name,INDEX(plan_session_allocation,((WEEKDAY(AI$3,2)*2-1)+IF(AI1292="Morning",0,1)),AH1292)),"")</f>
        <v/>
      </c>
      <c r="AI1293" s="1932"/>
      <c r="AJ1293" s="1932"/>
      <c r="AK1293" s="1933"/>
      <c r="AL1293" s="177"/>
    </row>
    <row r="1294" spans="2:38" s="176" customFormat="1" ht="15" customHeight="1" x14ac:dyDescent="0.45">
      <c r="B1294" s="1942"/>
      <c r="C1294" s="1945"/>
      <c r="D1294" s="1934" t="str">
        <f ca="1">IF(G1292&gt;0,CONCATENATE("Sport: ",INDEX(sessions_sport_primary,INDEX(plan_session_allocation,(WEEKDAY(E$3,2)*2-1)+IF(E1292="Morning",0,1),D1292))),"")</f>
        <v/>
      </c>
      <c r="E1294" s="1935"/>
      <c r="F1294" s="1936" t="str">
        <f ca="1">IF(G1292&gt;0,IFERROR(F1295+F1296+F1297,""),"")</f>
        <v/>
      </c>
      <c r="G1294" s="1937"/>
      <c r="H1294" s="177"/>
      <c r="I1294" s="1934" t="str">
        <f ca="1">IF(L1292&gt;0,CONCATENATE("Sport: ",INDEX(sessions_sport_primary,INDEX(plan_session_allocation,(WEEKDAY(J$3,2)*2-1)+IF(J1292="Morning",0,1),I1292))),"")</f>
        <v/>
      </c>
      <c r="J1294" s="1935"/>
      <c r="K1294" s="1936" t="str">
        <f ca="1">IF(L1292&gt;0,IFERROR(K1295+K1296+K1297,""),"")</f>
        <v/>
      </c>
      <c r="L1294" s="1937"/>
      <c r="M1294" s="177"/>
      <c r="N1294" s="1934" t="str">
        <f ca="1">IF(Q1292&gt;0,CONCATENATE("Sport: ",INDEX(sessions_sport_primary,INDEX(plan_session_allocation,(WEEKDAY(O$3,2)*2-1)+IF(O1292="Morning",0,1),N1292))),"")</f>
        <v/>
      </c>
      <c r="O1294" s="1935"/>
      <c r="P1294" s="1936" t="str">
        <f ca="1">IF(Q1292&gt;0,IFERROR(P1295+P1296+P1297,""),"")</f>
        <v/>
      </c>
      <c r="Q1294" s="1937"/>
      <c r="R1294" s="177"/>
      <c r="S1294" s="1934" t="str">
        <f ca="1">IF(V1292&gt;0,CONCATENATE("Sport: ",INDEX(sessions_sport_primary,INDEX(plan_session_allocation,(WEEKDAY(T$3,2)*2-1)+IF(T1292="Morning",0,1),S1292))),"")</f>
        <v/>
      </c>
      <c r="T1294" s="1935"/>
      <c r="U1294" s="1936" t="str">
        <f ca="1">IF(V1292&gt;0,IFERROR(U1295+U1296+U1297,""),"")</f>
        <v/>
      </c>
      <c r="V1294" s="1937"/>
      <c r="W1294" s="177"/>
      <c r="X1294" s="1934" t="str">
        <f ca="1">IF(AA1292&gt;0,CONCATENATE("Sport: ",INDEX(sessions_sport_primary,INDEX(plan_session_allocation,(WEEKDAY(Y$3,2)*2-1)+IF(Y1292="Morning",0,1),X1292))),"")</f>
        <v/>
      </c>
      <c r="Y1294" s="1935"/>
      <c r="Z1294" s="1936" t="str">
        <f ca="1">IF(AA1292&gt;0,IFERROR(Z1295+Z1296+Z1297,""),"")</f>
        <v/>
      </c>
      <c r="AA1294" s="1937"/>
      <c r="AB1294" s="177"/>
      <c r="AC1294" s="1934" t="str">
        <f ca="1">IF(AF1292&gt;0,CONCATENATE("Sport: ",INDEX(sessions_sport_primary,INDEX(plan_session_allocation,(WEEKDAY(AD$3,2)*2-1)+IF(AD1292="Morning",0,1),AC1292))),"")</f>
        <v/>
      </c>
      <c r="AD1294" s="1935"/>
      <c r="AE1294" s="1936" t="str">
        <f ca="1">IF(AF1292&gt;0,IFERROR(AE1295+AE1296+AE1297,""),"")</f>
        <v/>
      </c>
      <c r="AF1294" s="1937"/>
      <c r="AG1294" s="177"/>
      <c r="AH1294" s="1934" t="str">
        <f ca="1">IF(AK1292&gt;0,CONCATENATE("Sport: ",INDEX(sessions_sport_primary,INDEX(plan_session_allocation,(WEEKDAY(AI$3,2)*2-1)+IF(AI1292="Morning",0,1),AH1292))),"")</f>
        <v/>
      </c>
      <c r="AI1294" s="1935"/>
      <c r="AJ1294" s="1936" t="str">
        <f ca="1">IF(AK1292&gt;0,IFERROR(AJ1295+AJ1296+AJ1297,""),"")</f>
        <v/>
      </c>
      <c r="AK1294" s="1937"/>
      <c r="AL1294" s="177"/>
    </row>
    <row r="1295" spans="2:38" s="176" customFormat="1" ht="15" customHeight="1" x14ac:dyDescent="0.45">
      <c r="B1295" s="1942"/>
      <c r="C1295" s="1945"/>
      <c r="D1295" s="1922" t="str">
        <f ca="1">IF(G1292&gt;0,CONCATENATE("HR Target: ",
INDEX(sessions_HR_primary,INDEX(plan_session_allocation,((WEEKDAY(E$3,2)*2-1)+IF(E1292="Morning",0,1)),D1292)),
IF(INDEX(sessions_HR_primary,INDEX(plan_session_allocation,((WEEKDAY(E$3,2)*2-1)+IF(E1292="Morning",0,1)),D1292))="N/A","",
" BPM")),"")</f>
        <v/>
      </c>
      <c r="E1295" s="1923"/>
      <c r="F1295" s="1924" t="str">
        <f ca="1">IF(G1292&gt;0,
INDEX(final_duration_effort,((WEEKDAY(E$3,2)*2-1)+IF(E1292="Morning",0,1)),D1292),"")</f>
        <v/>
      </c>
      <c r="G1295" s="1925"/>
      <c r="H1295" s="177"/>
      <c r="I1295" s="1922" t="str">
        <f ca="1">IF(L1292&gt;0,CONCATENATE("HR Target: ",
INDEX(sessions_HR_primary,INDEX(plan_session_allocation,((WEEKDAY(J$3,2)*2-1)+IF(J1292="Morning",0,1)),I1292)),
IF(INDEX(sessions_HR_primary,INDEX(plan_session_allocation,((WEEKDAY(J$3,2)*2-1)+IF(J1292="Morning",0,1)),I1292))="N/A","",
" BPM")),"")</f>
        <v/>
      </c>
      <c r="J1295" s="1923"/>
      <c r="K1295" s="1924" t="str">
        <f ca="1">IF(L1292&gt;0,
INDEX(final_duration_effort,((WEEKDAY(J$3,2)*2-1)+IF(J1292="Morning",0,1)),I1292),"")</f>
        <v/>
      </c>
      <c r="L1295" s="1925"/>
      <c r="M1295" s="177"/>
      <c r="N1295" s="1922" t="str">
        <f ca="1">IF(Q1292&gt;0,CONCATENATE("HR Target: ",
INDEX(sessions_HR_primary,INDEX(plan_session_allocation,((WEEKDAY(O$3,2)*2-1)+IF(O1292="Morning",0,1)),N1292)),
IF(INDEX(sessions_HR_primary,INDEX(plan_session_allocation,((WEEKDAY(O$3,2)*2-1)+IF(O1292="Morning",0,1)),N1292))="N/A","",
" BPM")),"")</f>
        <v/>
      </c>
      <c r="O1295" s="1923"/>
      <c r="P1295" s="1924" t="str">
        <f ca="1">IF(Q1292&gt;0,
INDEX(final_duration_effort,((WEEKDAY(O$3,2)*2-1)+IF(O1292="Morning",0,1)),N1292),"")</f>
        <v/>
      </c>
      <c r="Q1295" s="1925"/>
      <c r="R1295" s="177"/>
      <c r="S1295" s="1922" t="str">
        <f ca="1">IF(V1292&gt;0,CONCATENATE("HR Target: ",
INDEX(sessions_HR_primary,INDEX(plan_session_allocation,((WEEKDAY(T$3,2)*2-1)+IF(T1292="Morning",0,1)),S1292)),
IF(INDEX(sessions_HR_primary,INDEX(plan_session_allocation,((WEEKDAY(T$3,2)*2-1)+IF(T1292="Morning",0,1)),S1292))="N/A","",
" BPM")),"")</f>
        <v/>
      </c>
      <c r="T1295" s="1923"/>
      <c r="U1295" s="1924" t="str">
        <f ca="1">IF(V1292&gt;0,
INDEX(final_duration_effort,((WEEKDAY(T$3,2)*2-1)+IF(T1292="Morning",0,1)),S1292),"")</f>
        <v/>
      </c>
      <c r="V1295" s="1925"/>
      <c r="W1295" s="177"/>
      <c r="X1295" s="1922" t="str">
        <f ca="1">IF(AA1292&gt;0,CONCATENATE("HR Target: ",
INDEX(sessions_HR_primary,INDEX(plan_session_allocation,((WEEKDAY(Y$3,2)*2-1)+IF(Y1292="Morning",0,1)),X1292)),
IF(INDEX(sessions_HR_primary,INDEX(plan_session_allocation,((WEEKDAY(Y$3,2)*2-1)+IF(Y1292="Morning",0,1)),X1292))="N/A","",
" BPM")),"")</f>
        <v/>
      </c>
      <c r="Y1295" s="1923"/>
      <c r="Z1295" s="1924" t="str">
        <f ca="1">IF(AA1292&gt;0,
INDEX(final_duration_effort,((WEEKDAY(Y$3,2)*2-1)+IF(Y1292="Morning",0,1)),X1292),"")</f>
        <v/>
      </c>
      <c r="AA1295" s="1925"/>
      <c r="AB1295" s="177"/>
      <c r="AC1295" s="1922" t="str">
        <f ca="1">IF(AF1292&gt;0,CONCATENATE("HR Target: ",
INDEX(sessions_HR_primary,INDEX(plan_session_allocation,((WEEKDAY(AD$3,2)*2-1)+IF(AD1292="Morning",0,1)),AC1292)),
IF(INDEX(sessions_HR_primary,INDEX(plan_session_allocation,((WEEKDAY(AD$3,2)*2-1)+IF(AD1292="Morning",0,1)),AC1292))="N/A","",
" BPM")),"")</f>
        <v/>
      </c>
      <c r="AD1295" s="1923"/>
      <c r="AE1295" s="1924" t="str">
        <f ca="1">IF(AF1292&gt;0,
INDEX(final_duration_effort,((WEEKDAY(AD$3,2)*2-1)+IF(AD1292="Morning",0,1)),AC1292),"")</f>
        <v/>
      </c>
      <c r="AF1295" s="1925"/>
      <c r="AG1295" s="177"/>
      <c r="AH1295" s="1922" t="str">
        <f ca="1">IF(AK1292&gt;0,CONCATENATE("HR Target: ",
INDEX(sessions_HR_primary,INDEX(plan_session_allocation,((WEEKDAY(AI$3,2)*2-1)+IF(AI1292="Morning",0,1)),AH1292)),
IF(INDEX(sessions_HR_primary,INDEX(plan_session_allocation,((WEEKDAY(AI$3,2)*2-1)+IF(AI1292="Morning",0,1)),AH1292))="N/A","",
" BPM")),"")</f>
        <v/>
      </c>
      <c r="AI1295" s="1923"/>
      <c r="AJ1295" s="1924" t="str">
        <f ca="1">IF(AK1292&gt;0,
INDEX(final_duration_effort,((WEEKDAY(AI$3,2)*2-1)+IF(AI1292="Morning",0,1)),AH1292),"")</f>
        <v/>
      </c>
      <c r="AK1295" s="1925"/>
      <c r="AL1295" s="177"/>
    </row>
    <row r="1296" spans="2:38" s="179" customFormat="1" x14ac:dyDescent="0.45">
      <c r="B1296" s="1942"/>
      <c r="C1296" s="1945"/>
      <c r="D1296" s="1926" t="str">
        <f ca="1">IF(G1292&gt;0,CONCATENATE("HR Range: ",
INDEX(sessions_HR_range_primary,INDEX(plan_session_allocation,((WEEKDAY(E$3,2)*2-1)+IF(E1292="Morning",0,1)),D1292)),
IF(INDEX(sessions_HR_range_primary,INDEX(plan_session_allocation,((WEEKDAY(E$3,2)*2-1)+IF(E1292="Morning",0,1)),D1292))="N/A","",
" BPM")),"")</f>
        <v/>
      </c>
      <c r="E1296" s="1927"/>
      <c r="F1296" s="1928" t="str">
        <f ca="1">IF(G1292&gt;0,IF(
INDEX(sessions_recoveries,INDEX(plan_session_allocation,((WEEKDAY(E$3,2)*2-1)+IF(E1292="Morning",0,1)),D1292))="Yes",
VLOOKUP(INDEX(plan_duration_primary,((WEEKDAY(E$3,2)*2-1)+IF(E1292="Morning",0,1)),D1292),
INDIRECT(INDEX(sessions_intervals_code_primary,INDEX(plan_session_allocation,((WEEKDAY(E$3,2)*2-1)+IF(E1292="Morning",0,1)),D1292))),7,TRUE),0),"")</f>
        <v/>
      </c>
      <c r="G1296" s="1929"/>
      <c r="H1296" s="178"/>
      <c r="I1296" s="1926" t="str">
        <f ca="1">IF(L1292&gt;0,CONCATENATE("HR Range: ",
INDEX(sessions_HR_range_primary,INDEX(plan_session_allocation,((WEEKDAY(J$3,2)*2-1)+IF(J1292="Morning",0,1)),I1292)),
IF(INDEX(sessions_HR_range_primary,INDEX(plan_session_allocation,((WEEKDAY(J$3,2)*2-1)+IF(J1292="Morning",0,1)),I1292))="N/A","",
" BPM")),"")</f>
        <v/>
      </c>
      <c r="J1296" s="1927"/>
      <c r="K1296" s="1928" t="str">
        <f ca="1">IF(L1292&gt;0,IF(
INDEX(sessions_recoveries,INDEX(plan_session_allocation,((WEEKDAY(J$3,2)*2-1)+IF(J1292="Morning",0,1)),I1292))="Yes",
VLOOKUP(INDEX(plan_duration_primary,((WEEKDAY(J$3,2)*2-1)+IF(J1292="Morning",0,1)),I1292),
INDIRECT(INDEX(sessions_intervals_code_primary,INDEX(plan_session_allocation,((WEEKDAY(J$3,2)*2-1)+IF(J1292="Morning",0,1)),I1292))),7,TRUE),0),"")</f>
        <v/>
      </c>
      <c r="L1296" s="1929"/>
      <c r="M1296" s="178"/>
      <c r="N1296" s="1926" t="str">
        <f ca="1">IF(Q1292&gt;0,CONCATENATE("HR Range: ",
INDEX(sessions_HR_range_primary,INDEX(plan_session_allocation,((WEEKDAY(O$3,2)*2-1)+IF(O1292="Morning",0,1)),N1292)),
IF(INDEX(sessions_HR_range_primary,INDEX(plan_session_allocation,((WEEKDAY(O$3,2)*2-1)+IF(O1292="Morning",0,1)),N1292))="N/A","",
" BPM")),"")</f>
        <v/>
      </c>
      <c r="O1296" s="1927"/>
      <c r="P1296" s="1928" t="str">
        <f ca="1">IF(Q1292&gt;0,IF(
INDEX(sessions_recoveries,INDEX(plan_session_allocation,((WEEKDAY(O$3,2)*2-1)+IF(O1292="Morning",0,1)),N1292))="Yes",
VLOOKUP(INDEX(plan_duration_primary,((WEEKDAY(O$3,2)*2-1)+IF(O1292="Morning",0,1)),N1292),
INDIRECT(INDEX(sessions_intervals_code_primary,INDEX(plan_session_allocation,((WEEKDAY(O$3,2)*2-1)+IF(O1292="Morning",0,1)),N1292))),7,TRUE),0),"")</f>
        <v/>
      </c>
      <c r="Q1296" s="1929"/>
      <c r="R1296" s="178"/>
      <c r="S1296" s="1926" t="str">
        <f ca="1">IF(V1292&gt;0,CONCATENATE("HR Range: ",
INDEX(sessions_HR_range_primary,INDEX(plan_session_allocation,((WEEKDAY(T$3,2)*2-1)+IF(T1292="Morning",0,1)),S1292)),
IF(INDEX(sessions_HR_range_primary,INDEX(plan_session_allocation,((WEEKDAY(T$3,2)*2-1)+IF(T1292="Morning",0,1)),S1292))="N/A","",
" BPM")),"")</f>
        <v/>
      </c>
      <c r="T1296" s="1927"/>
      <c r="U1296" s="1928" t="str">
        <f ca="1">IF(V1292&gt;0,IF(
INDEX(sessions_recoveries,INDEX(plan_session_allocation,((WEEKDAY(T$3,2)*2-1)+IF(T1292="Morning",0,1)),S1292))="Yes",
VLOOKUP(INDEX(plan_duration_primary,((WEEKDAY(T$3,2)*2-1)+IF(T1292="Morning",0,1)),S1292),
INDIRECT(INDEX(sessions_intervals_code_primary,INDEX(plan_session_allocation,((WEEKDAY(T$3,2)*2-1)+IF(T1292="Morning",0,1)),S1292))),7,TRUE),0),"")</f>
        <v/>
      </c>
      <c r="V1296" s="1929"/>
      <c r="W1296" s="178"/>
      <c r="X1296" s="1926" t="str">
        <f ca="1">IF(AA1292&gt;0,CONCATENATE("HR Range: ",
INDEX(sessions_HR_range_primary,INDEX(plan_session_allocation,((WEEKDAY(Y$3,2)*2-1)+IF(Y1292="Morning",0,1)),X1292)),
IF(INDEX(sessions_HR_range_primary,INDEX(plan_session_allocation,((WEEKDAY(Y$3,2)*2-1)+IF(Y1292="Morning",0,1)),X1292))="N/A","",
" BPM")),"")</f>
        <v/>
      </c>
      <c r="Y1296" s="1927"/>
      <c r="Z1296" s="1928" t="str">
        <f ca="1">IF(AA1292&gt;0,IF(
INDEX(sessions_recoveries,INDEX(plan_session_allocation,((WEEKDAY(Y$3,2)*2-1)+IF(Y1292="Morning",0,1)),X1292))="Yes",
VLOOKUP(INDEX(plan_duration_primary,((WEEKDAY(Y$3,2)*2-1)+IF(Y1292="Morning",0,1)),X1292),
INDIRECT(INDEX(sessions_intervals_code_primary,INDEX(plan_session_allocation,((WEEKDAY(Y$3,2)*2-1)+IF(Y1292="Morning",0,1)),X1292))),7,TRUE),0),"")</f>
        <v/>
      </c>
      <c r="AA1296" s="1929"/>
      <c r="AB1296" s="178"/>
      <c r="AC1296" s="1926" t="str">
        <f ca="1">IF(AF1292&gt;0,CONCATENATE("HR Range: ",
INDEX(sessions_HR_range_primary,INDEX(plan_session_allocation,((WEEKDAY(AD$3,2)*2-1)+IF(AD1292="Morning",0,1)),AC1292)),
IF(INDEX(sessions_HR_range_primary,INDEX(plan_session_allocation,((WEEKDAY(AD$3,2)*2-1)+IF(AD1292="Morning",0,1)),AC1292))="N/A","",
" BPM")),"")</f>
        <v/>
      </c>
      <c r="AD1296" s="1927"/>
      <c r="AE1296" s="1928" t="str">
        <f ca="1">IF(AF1292&gt;0,IF(
INDEX(sessions_recoveries,INDEX(plan_session_allocation,((WEEKDAY(AD$3,2)*2-1)+IF(AD1292="Morning",0,1)),AC1292))="Yes",
VLOOKUP(INDEX(plan_duration_primary,((WEEKDAY(AD$3,2)*2-1)+IF(AD1292="Morning",0,1)),AC1292),
INDIRECT(INDEX(sessions_intervals_code_primary,INDEX(plan_session_allocation,((WEEKDAY(AD$3,2)*2-1)+IF(AD1292="Morning",0,1)),AC1292))),7,TRUE),0),"")</f>
        <v/>
      </c>
      <c r="AF1296" s="1929"/>
      <c r="AG1296" s="178"/>
      <c r="AH1296" s="1926" t="str">
        <f ca="1">IF(AK1292&gt;0,CONCATENATE("HR Range: ",
INDEX(sessions_HR_range_primary,INDEX(plan_session_allocation,((WEEKDAY(AI$3,2)*2-1)+IF(AI1292="Morning",0,1)),AH1292)),
IF(INDEX(sessions_HR_range_primary,INDEX(plan_session_allocation,((WEEKDAY(AI$3,2)*2-1)+IF(AI1292="Morning",0,1)),AH1292))="N/A","",
" BPM")),"")</f>
        <v/>
      </c>
      <c r="AI1296" s="1927"/>
      <c r="AJ1296" s="1928" t="str">
        <f ca="1">IF(AK1292&gt;0,IF(
INDEX(sessions_recoveries,INDEX(plan_session_allocation,((WEEKDAY(AI$3,2)*2-1)+IF(AI1292="Morning",0,1)),AH1292))="Yes",
VLOOKUP(INDEX(plan_duration_primary,((WEEKDAY(AI$3,2)*2-1)+IF(AI1292="Morning",0,1)),AH1292),
INDIRECT(INDEX(sessions_intervals_code_primary,INDEX(plan_session_allocation,((WEEKDAY(AI$3,2)*2-1)+IF(AI1292="Morning",0,1)),AH1292))),7,TRUE),0),"")</f>
        <v/>
      </c>
      <c r="AK1296" s="1929"/>
      <c r="AL1296" s="178"/>
    </row>
    <row r="1297" spans="2:38" s="179" customFormat="1" ht="15" customHeight="1" x14ac:dyDescent="0.45">
      <c r="B1297" s="1942"/>
      <c r="C1297" s="1945"/>
      <c r="D1297" s="1909" t="str">
        <f ca="1">IF(G1292&gt;0,CONCATENATE("Equivalent Pace: ",
TEXT(INDEX(sessions_pace_primary,INDEX(plan_session_allocation,(WEEKDAY(E$3,2)*2-1)+IF(E1292="Morning",0,1),D1292)),"m:ss"),
" min/km"
),"")</f>
        <v/>
      </c>
      <c r="E1297" s="1910"/>
      <c r="F1297" s="1911" t="str">
        <f ca="1">IF(G1292&gt;0, INDEX(final_duration_WU,((WEEKDAY(E$3,2)*2-1)+IF(E1292="Morning",0,1)),D1292)  + INDEX(final_duration_WD,((WEEKDAY(E$3,2)*2-1)+IF(E1292="Morning",0,1)),D1292), "")</f>
        <v/>
      </c>
      <c r="G1297" s="1912"/>
      <c r="H1297" s="178"/>
      <c r="I1297" s="1909" t="str">
        <f ca="1">IF(L1292&gt;0,CONCATENATE("Equivalent Pace: ",
TEXT(INDEX(sessions_pace_primary,INDEX(plan_session_allocation,(WEEKDAY(J$3,2)*2-1)+IF(J1292="Morning",0,1),I1292)),"m:ss"),
" min/km"
),"")</f>
        <v/>
      </c>
      <c r="J1297" s="1910"/>
      <c r="K1297" s="1911" t="str">
        <f ca="1">IF(L1292&gt;0, INDEX(final_duration_WU,((WEEKDAY(J$3,2)*2-1)+IF(J1292="Morning",0,1)),I1292)  + INDEX(final_duration_WD,((WEEKDAY(J$3,2)*2-1)+IF(J1292="Morning",0,1)),I1292), "")</f>
        <v/>
      </c>
      <c r="L1297" s="1912"/>
      <c r="M1297" s="178"/>
      <c r="N1297" s="1909" t="str">
        <f ca="1">IF(Q1292&gt;0,CONCATENATE("Equivalent Pace: ",
TEXT(INDEX(sessions_pace_primary,INDEX(plan_session_allocation,(WEEKDAY(O$3,2)*2-1)+IF(O1292="Morning",0,1),N1292)),"m:ss"),
" min/km"
),"")</f>
        <v/>
      </c>
      <c r="O1297" s="1910"/>
      <c r="P1297" s="1911" t="str">
        <f ca="1">IF(Q1292&gt;0, INDEX(final_duration_WU,((WEEKDAY(O$3,2)*2-1)+IF(O1292="Morning",0,1)),N1292)  + INDEX(final_duration_WD,((WEEKDAY(O$3,2)*2-1)+IF(O1292="Morning",0,1)),N1292), "")</f>
        <v/>
      </c>
      <c r="Q1297" s="1912"/>
      <c r="R1297" s="178"/>
      <c r="S1297" s="1909" t="str">
        <f ca="1">IF(V1292&gt;0,CONCATENATE("Equivalent Pace: ",
TEXT(INDEX(sessions_pace_primary,INDEX(plan_session_allocation,(WEEKDAY(T$3,2)*2-1)+IF(T1292="Morning",0,1),S1292)),"m:ss"),
" min/km"
),"")</f>
        <v/>
      </c>
      <c r="T1297" s="1910"/>
      <c r="U1297" s="1911" t="str">
        <f ca="1">IF(V1292&gt;0, INDEX(final_duration_WU,((WEEKDAY(T$3,2)*2-1)+IF(T1292="Morning",0,1)),S1292)  + INDEX(final_duration_WD,((WEEKDAY(T$3,2)*2-1)+IF(T1292="Morning",0,1)),S1292), "")</f>
        <v/>
      </c>
      <c r="V1297" s="1912"/>
      <c r="W1297" s="178"/>
      <c r="X1297" s="1909" t="str">
        <f ca="1">IF(AA1292&gt;0,CONCATENATE("Equivalent Pace: ",
TEXT(INDEX(sessions_pace_primary,INDEX(plan_session_allocation,(WEEKDAY(Y$3,2)*2-1)+IF(Y1292="Morning",0,1),X1292)),"m:ss"),
" min/km"
),"")</f>
        <v/>
      </c>
      <c r="Y1297" s="1910"/>
      <c r="Z1297" s="1911" t="str">
        <f ca="1">IF(AA1292&gt;0, INDEX(final_duration_WU,((WEEKDAY(Y$3,2)*2-1)+IF(Y1292="Morning",0,1)),X1292)  + INDEX(final_duration_WD,((WEEKDAY(Y$3,2)*2-1)+IF(Y1292="Morning",0,1)),X1292), "")</f>
        <v/>
      </c>
      <c r="AA1297" s="1912"/>
      <c r="AB1297" s="178"/>
      <c r="AC1297" s="1909" t="str">
        <f ca="1">IF(AF1292&gt;0,CONCATENATE("Equivalent Pace: ",
TEXT(INDEX(sessions_pace_primary,INDEX(plan_session_allocation,(WEEKDAY(AD$3,2)*2-1)+IF(AD1292="Morning",0,1),AC1292)),"m:ss"),
" min/km"
),"")</f>
        <v/>
      </c>
      <c r="AD1297" s="1910"/>
      <c r="AE1297" s="1911" t="str">
        <f ca="1">IF(AF1292&gt;0, INDEX(final_duration_WU,((WEEKDAY(AD$3,2)*2-1)+IF(AD1292="Morning",0,1)),AC1292)  + INDEX(final_duration_WD,((WEEKDAY(AD$3,2)*2-1)+IF(AD1292="Morning",0,1)),AC1292), "")</f>
        <v/>
      </c>
      <c r="AF1297" s="1912"/>
      <c r="AG1297" s="178"/>
      <c r="AH1297" s="1909" t="str">
        <f ca="1">IF(AK1292&gt;0,CONCATENATE("Equivalent Pace: ",
TEXT(INDEX(sessions_pace_primary,INDEX(plan_session_allocation,(WEEKDAY(AI$3,2)*2-1)+IF(AI1292="Morning",0,1),AH1292)),"m:ss"),
" min/km"
),"")</f>
        <v/>
      </c>
      <c r="AI1297" s="1910"/>
      <c r="AJ1297" s="1911" t="str">
        <f ca="1">IF(AK1292&gt;0, INDEX(final_duration_WU,((WEEKDAY(AI$3,2)*2-1)+IF(AI1292="Morning",0,1)),AH1292)  + INDEX(final_duration_WD,((WEEKDAY(AI$3,2)*2-1)+IF(AI1292="Morning",0,1)),AH1292), "")</f>
        <v/>
      </c>
      <c r="AK1297" s="1912"/>
      <c r="AL1297" s="178"/>
    </row>
    <row r="1298" spans="2:38" s="180" customFormat="1" ht="15" customHeight="1" x14ac:dyDescent="0.45">
      <c r="B1298" s="1942"/>
      <c r="C1298" s="1945"/>
      <c r="D1298" s="1913" t="str">
        <f ca="1">IF(G1292&gt;0,CONCATENATE(IFERROR(CONCATENATE(IF(INDEX(display_intervals_breakdown,((WEEKDAY(E$3,2)*2-1)+IF(E1292="Morning",0,1)),D1292)="","",CONCATENATE("Intervals/Reps Breakdown: 
",INDEX(display_intervals_breakdown,((WEEKDAY(E$3,2)*2-1)+IF(E1292="Morning",0,1)),D1292),"
")),"Session Description: 
",CONCATENATE(IF(INDEX(final_duration_secondary,((WEEKDAY(E$3,2)*2-1)+IF(E1292="Morning",0,1)),D1292)=0,"","1. "),
INDEX(sessions_description_primary,,INDEX(plan_session_allocation,((WEEKDAY(E$3,2)*2-1)+IF(E1292="Morning",0,1)),D1292)),IF(INDEX(final_duration_secondary,((WEEKDAY(E$3,2)*2-1)+IF(E1292="Morning",0,1)),D1292)=0,"","
2. "),
IF(INDEX(final_duration_secondary,((WEEKDAY(E$3,2)*2-1)+IF(E1292="Morning",0,1)),D1292)=0,"",INDEX(sessions_description_secondary,,INDEX(plan_session_allocation,((WEEKDAY(E$3,2)*2-1)+IF(E1292="Morning",0,1)),D1292))),IF(INDEX(final_duration_tertiary,((WEEKDAY(E$3,2)*2-1)+IF(E1292="Morning",0,1)),D1292)=0,"","
3. "),
IF(INDEX(final_duration_tertiary,((WEEKDAY(E$3,2)*2-1)+IF(E1292="Morning",0,1)),D1292)="","",INDEX(sessions_description_tertiary,,INDEX(plan_session_allocation,((WEEKDAY(E$3,2)*2-1)+IF(E1292="Morning",0,1)),D1292))),
IF(INDEX(display_nutrition_description,((WEEKDAY(E$3,2)*2-1)+IF(E1292="Morning",0,1)),D1292)="","",
CONCATENATE("
Meal Plan: ", INDEX(sessions_nutrition,,INDEX(plan_session_allocation,((WEEKDAY(E$3,2)*2-1)+IF(E1292="Morning",0,1)),D1292)), "
", INDEX(display_nutrition_description,((WEEKDAY(E$3,2)*2-1)+IF(E1292="Morning",0,1)),D1292)))
)),"")),"")</f>
        <v/>
      </c>
      <c r="E1298" s="1914"/>
      <c r="F1298" s="1914"/>
      <c r="G1298" s="1915"/>
      <c r="I1298" s="1913" t="str">
        <f ca="1">IF(L1292&gt;0,CONCATENATE(IFERROR(CONCATENATE(IF(INDEX(display_intervals_breakdown,((WEEKDAY(J$3,2)*2-1)+IF(J1292="Morning",0,1)),I1292)="","",CONCATENATE("Intervals/Reps Breakdown: 
",INDEX(display_intervals_breakdown,((WEEKDAY(J$3,2)*2-1)+IF(J1292="Morning",0,1)),I1292),"
")),"Session Description: 
",CONCATENATE(IF(INDEX(final_duration_secondary,((WEEKDAY(J$3,2)*2-1)+IF(J1292="Morning",0,1)),I1292)=0,"","1. "),
INDEX(sessions_description_primary,,INDEX(plan_session_allocation,((WEEKDAY(J$3,2)*2-1)+IF(J1292="Morning",0,1)),I1292)),IF(INDEX(final_duration_secondary,((WEEKDAY(J$3,2)*2-1)+IF(J1292="Morning",0,1)),I1292)=0,"","
2. "),
IF(INDEX(final_duration_secondary,((WEEKDAY(J$3,2)*2-1)+IF(J1292="Morning",0,1)),I1292)=0,"",INDEX(sessions_description_secondary,,INDEX(plan_session_allocation,((WEEKDAY(J$3,2)*2-1)+IF(J1292="Morning",0,1)),I1292))),IF(INDEX(final_duration_tertiary,((WEEKDAY(J$3,2)*2-1)+IF(J1292="Morning",0,1)),I1292)=0,"","
3. "),
IF(INDEX(final_duration_tertiary,((WEEKDAY(J$3,2)*2-1)+IF(J1292="Morning",0,1)),I1292)="","",INDEX(sessions_description_tertiary,,INDEX(plan_session_allocation,((WEEKDAY(J$3,2)*2-1)+IF(J1292="Morning",0,1)),I1292))),
IF(INDEX(display_nutrition_description,((WEEKDAY(J$3,2)*2-1)+IF(J1292="Morning",0,1)),I1292)="","",
CONCATENATE("
Meal Plan: ", INDEX(sessions_nutrition,,INDEX(plan_session_allocation,((WEEKDAY(J$3,2)*2-1)+IF(J1292="Morning",0,1)),I1292)), "
", INDEX(display_nutrition_description,((WEEKDAY(J$3,2)*2-1)+IF(J1292="Morning",0,1)),I1292)))
)),"")),"")</f>
        <v/>
      </c>
      <c r="J1298" s="1914"/>
      <c r="K1298" s="1914"/>
      <c r="L1298" s="1915"/>
      <c r="N1298" s="1913" t="str">
        <f ca="1">IF(Q1292&gt;0,CONCATENATE(IFERROR(CONCATENATE(IF(INDEX(display_intervals_breakdown,((WEEKDAY(O$3,2)*2-1)+IF(O1292="Morning",0,1)),N1292)="","",CONCATENATE("Intervals/Reps Breakdown: 
",INDEX(display_intervals_breakdown,((WEEKDAY(O$3,2)*2-1)+IF(O1292="Morning",0,1)),N1292),"
")),"Session Description: 
",CONCATENATE(IF(INDEX(final_duration_secondary,((WEEKDAY(O$3,2)*2-1)+IF(O1292="Morning",0,1)),N1292)=0,"","1. "),
INDEX(sessions_description_primary,,INDEX(plan_session_allocation,((WEEKDAY(O$3,2)*2-1)+IF(O1292="Morning",0,1)),N1292)),IF(INDEX(final_duration_secondary,((WEEKDAY(O$3,2)*2-1)+IF(O1292="Morning",0,1)),N1292)=0,"","
2. "),
IF(INDEX(final_duration_secondary,((WEEKDAY(O$3,2)*2-1)+IF(O1292="Morning",0,1)),N1292)=0,"",INDEX(sessions_description_secondary,,INDEX(plan_session_allocation,((WEEKDAY(O$3,2)*2-1)+IF(O1292="Morning",0,1)),N1292))),IF(INDEX(final_duration_tertiary,((WEEKDAY(O$3,2)*2-1)+IF(O1292="Morning",0,1)),N1292)=0,"","
3. "),
IF(INDEX(final_duration_tertiary,((WEEKDAY(O$3,2)*2-1)+IF(O1292="Morning",0,1)),N1292)="","",INDEX(sessions_description_tertiary,,INDEX(plan_session_allocation,((WEEKDAY(O$3,2)*2-1)+IF(O1292="Morning",0,1)),N1292))),
IF(INDEX(display_nutrition_description,((WEEKDAY(O$3,2)*2-1)+IF(O1292="Morning",0,1)),N1292)="","",
CONCATENATE("
Meal Plan: ", INDEX(sessions_nutrition,,INDEX(plan_session_allocation,((WEEKDAY(O$3,2)*2-1)+IF(O1292="Morning",0,1)),N1292)), "
", INDEX(display_nutrition_description,((WEEKDAY(O$3,2)*2-1)+IF(O1292="Morning",0,1)),N1292)))
)),"")),"")</f>
        <v/>
      </c>
      <c r="O1298" s="1914"/>
      <c r="P1298" s="1914"/>
      <c r="Q1298" s="1915"/>
      <c r="S1298" s="1913" t="str">
        <f ca="1">IF(V1292&gt;0,CONCATENATE(IFERROR(CONCATENATE(IF(INDEX(display_intervals_breakdown,((WEEKDAY(T$3,2)*2-1)+IF(T1292="Morning",0,1)),S1292)="","",CONCATENATE("Intervals/Reps Breakdown: 
",INDEX(display_intervals_breakdown,((WEEKDAY(T$3,2)*2-1)+IF(T1292="Morning",0,1)),S1292),"
")),"Session Description: 
",CONCATENATE(IF(INDEX(final_duration_secondary,((WEEKDAY(T$3,2)*2-1)+IF(T1292="Morning",0,1)),S1292)=0,"","1. "),
INDEX(sessions_description_primary,,INDEX(plan_session_allocation,((WEEKDAY(T$3,2)*2-1)+IF(T1292="Morning",0,1)),S1292)),IF(INDEX(final_duration_secondary,((WEEKDAY(T$3,2)*2-1)+IF(T1292="Morning",0,1)),S1292)=0,"","
2. "),
IF(INDEX(final_duration_secondary,((WEEKDAY(T$3,2)*2-1)+IF(T1292="Morning",0,1)),S1292)=0,"",INDEX(sessions_description_secondary,,INDEX(plan_session_allocation,((WEEKDAY(T$3,2)*2-1)+IF(T1292="Morning",0,1)),S1292))),IF(INDEX(final_duration_tertiary,((WEEKDAY(T$3,2)*2-1)+IF(T1292="Morning",0,1)),S1292)=0,"","
3. "),
IF(INDEX(final_duration_tertiary,((WEEKDAY(T$3,2)*2-1)+IF(T1292="Morning",0,1)),S1292)="","",INDEX(sessions_description_tertiary,,INDEX(plan_session_allocation,((WEEKDAY(T$3,2)*2-1)+IF(T1292="Morning",0,1)),S1292))),
IF(INDEX(display_nutrition_description,((WEEKDAY(T$3,2)*2-1)+IF(T1292="Morning",0,1)),S1292)="","",
CONCATENATE("
Meal Plan: ", INDEX(sessions_nutrition,,INDEX(plan_session_allocation,((WEEKDAY(T$3,2)*2-1)+IF(T1292="Morning",0,1)),S1292)), "
", INDEX(display_nutrition_description,((WEEKDAY(T$3,2)*2-1)+IF(T1292="Morning",0,1)),S1292)))
)),"")),"")</f>
        <v/>
      </c>
      <c r="T1298" s="1914"/>
      <c r="U1298" s="1914"/>
      <c r="V1298" s="1915"/>
      <c r="X1298" s="1913" t="str">
        <f ca="1">IF(AA1292&gt;0,CONCATENATE(IFERROR(CONCATENATE(IF(INDEX(display_intervals_breakdown,((WEEKDAY(Y$3,2)*2-1)+IF(Y1292="Morning",0,1)),X1292)="","",CONCATENATE("Intervals/Reps Breakdown: 
",INDEX(display_intervals_breakdown,((WEEKDAY(Y$3,2)*2-1)+IF(Y1292="Morning",0,1)),X1292),"
")),"Session Description: 
",CONCATENATE(IF(INDEX(final_duration_secondary,((WEEKDAY(Y$3,2)*2-1)+IF(Y1292="Morning",0,1)),X1292)=0,"","1. "),
INDEX(sessions_description_primary,,INDEX(plan_session_allocation,((WEEKDAY(Y$3,2)*2-1)+IF(Y1292="Morning",0,1)),X1292)),IF(INDEX(final_duration_secondary,((WEEKDAY(Y$3,2)*2-1)+IF(Y1292="Morning",0,1)),X1292)=0,"","
2. "),
IF(INDEX(final_duration_secondary,((WEEKDAY(Y$3,2)*2-1)+IF(Y1292="Morning",0,1)),X1292)=0,"",INDEX(sessions_description_secondary,,INDEX(plan_session_allocation,((WEEKDAY(Y$3,2)*2-1)+IF(Y1292="Morning",0,1)),X1292))),IF(INDEX(final_duration_tertiary,((WEEKDAY(Y$3,2)*2-1)+IF(Y1292="Morning",0,1)),X1292)=0,"","
3. "),
IF(INDEX(final_duration_tertiary,((WEEKDAY(Y$3,2)*2-1)+IF(Y1292="Morning",0,1)),X1292)="","",INDEX(sessions_description_tertiary,,INDEX(plan_session_allocation,((WEEKDAY(Y$3,2)*2-1)+IF(Y1292="Morning",0,1)),X1292))),
IF(INDEX(display_nutrition_description,((WEEKDAY(Y$3,2)*2-1)+IF(Y1292="Morning",0,1)),X1292)="","",
CONCATENATE("
Meal Plan: ", INDEX(sessions_nutrition,,INDEX(plan_session_allocation,((WEEKDAY(Y$3,2)*2-1)+IF(Y1292="Morning",0,1)),X1292)), "
", INDEX(display_nutrition_description,((WEEKDAY(Y$3,2)*2-1)+IF(Y1292="Morning",0,1)),X1292)))
)),"")),"")</f>
        <v/>
      </c>
      <c r="Y1298" s="1914"/>
      <c r="Z1298" s="1914"/>
      <c r="AA1298" s="1915"/>
      <c r="AC1298" s="1913" t="str">
        <f ca="1">IF(AF1292&gt;0,CONCATENATE(IFERROR(CONCATENATE(IF(INDEX(display_intervals_breakdown,((WEEKDAY(AD$3,2)*2-1)+IF(AD1292="Morning",0,1)),AC1292)="","",CONCATENATE("Intervals/Reps Breakdown: 
",INDEX(display_intervals_breakdown,((WEEKDAY(AD$3,2)*2-1)+IF(AD1292="Morning",0,1)),AC1292),"
")),"Session Description: 
",CONCATENATE(IF(INDEX(final_duration_secondary,((WEEKDAY(AD$3,2)*2-1)+IF(AD1292="Morning",0,1)),AC1292)=0,"","1. "),
INDEX(sessions_description_primary,,INDEX(plan_session_allocation,((WEEKDAY(AD$3,2)*2-1)+IF(AD1292="Morning",0,1)),AC1292)),IF(INDEX(final_duration_secondary,((WEEKDAY(AD$3,2)*2-1)+IF(AD1292="Morning",0,1)),AC1292)=0,"","
2. "),
IF(INDEX(final_duration_secondary,((WEEKDAY(AD$3,2)*2-1)+IF(AD1292="Morning",0,1)),AC1292)=0,"",INDEX(sessions_description_secondary,,INDEX(plan_session_allocation,((WEEKDAY(AD$3,2)*2-1)+IF(AD1292="Morning",0,1)),AC1292))),IF(INDEX(final_duration_tertiary,((WEEKDAY(AD$3,2)*2-1)+IF(AD1292="Morning",0,1)),AC1292)=0,"","
3. "),
IF(INDEX(final_duration_tertiary,((WEEKDAY(AD$3,2)*2-1)+IF(AD1292="Morning",0,1)),AC1292)="","",INDEX(sessions_description_tertiary,,INDEX(plan_session_allocation,((WEEKDAY(AD$3,2)*2-1)+IF(AD1292="Morning",0,1)),AC1292))),
IF(INDEX(display_nutrition_description,((WEEKDAY(AD$3,2)*2-1)+IF(AD1292="Morning",0,1)),AC1292)="","",
CONCATENATE("
Meal Plan: ", INDEX(sessions_nutrition,,INDEX(plan_session_allocation,((WEEKDAY(AD$3,2)*2-1)+IF(AD1292="Morning",0,1)),AC1292)), "
", INDEX(display_nutrition_description,((WEEKDAY(AD$3,2)*2-1)+IF(AD1292="Morning",0,1)),AC1292)))
)),"")),"")</f>
        <v/>
      </c>
      <c r="AD1298" s="1914"/>
      <c r="AE1298" s="1914"/>
      <c r="AF1298" s="1915"/>
      <c r="AH1298" s="1913" t="str">
        <f ca="1">IF(AK1292&gt;0,CONCATENATE(IFERROR(CONCATENATE(IF(INDEX(display_intervals_breakdown,((WEEKDAY(AI$3,2)*2-1)+IF(AI1292="Morning",0,1)),AH1292)="","",CONCATENATE("Intervals/Reps Breakdown: 
",INDEX(display_intervals_breakdown,((WEEKDAY(AI$3,2)*2-1)+IF(AI1292="Morning",0,1)),AH1292),"
")),"Session Description: 
",CONCATENATE(IF(INDEX(final_duration_secondary,((WEEKDAY(AI$3,2)*2-1)+IF(AI1292="Morning",0,1)),AH1292)=0,"","1. "),
INDEX(sessions_description_primary,,INDEX(plan_session_allocation,((WEEKDAY(AI$3,2)*2-1)+IF(AI1292="Morning",0,1)),AH1292)),IF(INDEX(final_duration_secondary,((WEEKDAY(AI$3,2)*2-1)+IF(AI1292="Morning",0,1)),AH1292)=0,"","
2. "),
IF(INDEX(final_duration_secondary,((WEEKDAY(AI$3,2)*2-1)+IF(AI1292="Morning",0,1)),AH1292)=0,"",INDEX(sessions_description_secondary,,INDEX(plan_session_allocation,((WEEKDAY(AI$3,2)*2-1)+IF(AI1292="Morning",0,1)),AH1292))),IF(INDEX(final_duration_tertiary,((WEEKDAY(AI$3,2)*2-1)+IF(AI1292="Morning",0,1)),AH1292)=0,"","
3. "),
IF(INDEX(final_duration_tertiary,((WEEKDAY(AI$3,2)*2-1)+IF(AI1292="Morning",0,1)),AH1292)="","",INDEX(sessions_description_tertiary,,INDEX(plan_session_allocation,((WEEKDAY(AI$3,2)*2-1)+IF(AI1292="Morning",0,1)),AH1292))),
IF(INDEX(display_nutrition_description,((WEEKDAY(AI$3,2)*2-1)+IF(AI1292="Morning",0,1)),AH1292)="","",
CONCATENATE("
Meal Plan: ", INDEX(sessions_nutrition,,INDEX(plan_session_allocation,((WEEKDAY(AI$3,2)*2-1)+IF(AI1292="Morning",0,1)),AH1292)), "
", INDEX(display_nutrition_description,((WEEKDAY(AI$3,2)*2-1)+IF(AI1292="Morning",0,1)),AH1292)))
)),"")),"")</f>
        <v/>
      </c>
      <c r="AI1298" s="1914"/>
      <c r="AJ1298" s="1914"/>
      <c r="AK1298" s="1915"/>
    </row>
    <row r="1299" spans="2:38" s="180" customFormat="1" x14ac:dyDescent="0.45">
      <c r="B1299" s="1942"/>
      <c r="C1299" s="1945"/>
      <c r="D1299" s="1916"/>
      <c r="E1299" s="1917"/>
      <c r="F1299" s="1917"/>
      <c r="G1299" s="1918"/>
      <c r="I1299" s="1916"/>
      <c r="J1299" s="1917"/>
      <c r="K1299" s="1917"/>
      <c r="L1299" s="1918"/>
      <c r="N1299" s="1916"/>
      <c r="O1299" s="1917"/>
      <c r="P1299" s="1917"/>
      <c r="Q1299" s="1918"/>
      <c r="S1299" s="1916"/>
      <c r="T1299" s="1917"/>
      <c r="U1299" s="1917"/>
      <c r="V1299" s="1918"/>
      <c r="X1299" s="1916"/>
      <c r="Y1299" s="1917"/>
      <c r="Z1299" s="1917"/>
      <c r="AA1299" s="1918"/>
      <c r="AC1299" s="1916"/>
      <c r="AD1299" s="1917"/>
      <c r="AE1299" s="1917"/>
      <c r="AF1299" s="1918"/>
      <c r="AH1299" s="1916"/>
      <c r="AI1299" s="1917"/>
      <c r="AJ1299" s="1917"/>
      <c r="AK1299" s="1918"/>
    </row>
    <row r="1300" spans="2:38" s="180" customFormat="1" x14ac:dyDescent="0.45">
      <c r="B1300" s="1942"/>
      <c r="C1300" s="1945"/>
      <c r="D1300" s="1916"/>
      <c r="E1300" s="1917"/>
      <c r="F1300" s="1917"/>
      <c r="G1300" s="1918"/>
      <c r="I1300" s="1916"/>
      <c r="J1300" s="1917"/>
      <c r="K1300" s="1917"/>
      <c r="L1300" s="1918"/>
      <c r="N1300" s="1916"/>
      <c r="O1300" s="1917"/>
      <c r="P1300" s="1917"/>
      <c r="Q1300" s="1918"/>
      <c r="S1300" s="1916"/>
      <c r="T1300" s="1917"/>
      <c r="U1300" s="1917"/>
      <c r="V1300" s="1918"/>
      <c r="X1300" s="1916"/>
      <c r="Y1300" s="1917"/>
      <c r="Z1300" s="1917"/>
      <c r="AA1300" s="1918"/>
      <c r="AC1300" s="1916"/>
      <c r="AD1300" s="1917"/>
      <c r="AE1300" s="1917"/>
      <c r="AF1300" s="1918"/>
      <c r="AH1300" s="1916"/>
      <c r="AI1300" s="1917"/>
      <c r="AJ1300" s="1917"/>
      <c r="AK1300" s="1918"/>
    </row>
    <row r="1301" spans="2:38" s="180" customFormat="1" x14ac:dyDescent="0.45">
      <c r="B1301" s="1942"/>
      <c r="C1301" s="1945"/>
      <c r="D1301" s="1916"/>
      <c r="E1301" s="1917"/>
      <c r="F1301" s="1917"/>
      <c r="G1301" s="1918"/>
      <c r="I1301" s="1916"/>
      <c r="J1301" s="1917"/>
      <c r="K1301" s="1917"/>
      <c r="L1301" s="1918"/>
      <c r="N1301" s="1916"/>
      <c r="O1301" s="1917"/>
      <c r="P1301" s="1917"/>
      <c r="Q1301" s="1918"/>
      <c r="S1301" s="1916"/>
      <c r="T1301" s="1917"/>
      <c r="U1301" s="1917"/>
      <c r="V1301" s="1918"/>
      <c r="X1301" s="1916"/>
      <c r="Y1301" s="1917"/>
      <c r="Z1301" s="1917"/>
      <c r="AA1301" s="1918"/>
      <c r="AC1301" s="1916"/>
      <c r="AD1301" s="1917"/>
      <c r="AE1301" s="1917"/>
      <c r="AF1301" s="1918"/>
      <c r="AH1301" s="1916"/>
      <c r="AI1301" s="1917"/>
      <c r="AJ1301" s="1917"/>
      <c r="AK1301" s="1918"/>
    </row>
    <row r="1302" spans="2:38" s="180" customFormat="1" x14ac:dyDescent="0.45">
      <c r="B1302" s="1942"/>
      <c r="C1302" s="1945"/>
      <c r="D1302" s="1916"/>
      <c r="E1302" s="1917"/>
      <c r="F1302" s="1917"/>
      <c r="G1302" s="1918"/>
      <c r="I1302" s="1916"/>
      <c r="J1302" s="1917"/>
      <c r="K1302" s="1917"/>
      <c r="L1302" s="1918"/>
      <c r="N1302" s="1916"/>
      <c r="O1302" s="1917"/>
      <c r="P1302" s="1917"/>
      <c r="Q1302" s="1918"/>
      <c r="S1302" s="1916"/>
      <c r="T1302" s="1917"/>
      <c r="U1302" s="1917"/>
      <c r="V1302" s="1918"/>
      <c r="X1302" s="1916"/>
      <c r="Y1302" s="1917"/>
      <c r="Z1302" s="1917"/>
      <c r="AA1302" s="1918"/>
      <c r="AC1302" s="1916"/>
      <c r="AD1302" s="1917"/>
      <c r="AE1302" s="1917"/>
      <c r="AF1302" s="1918"/>
      <c r="AH1302" s="1916"/>
      <c r="AI1302" s="1917"/>
      <c r="AJ1302" s="1917"/>
      <c r="AK1302" s="1918"/>
    </row>
    <row r="1303" spans="2:38" s="180" customFormat="1" x14ac:dyDescent="0.45">
      <c r="B1303" s="1942"/>
      <c r="C1303" s="1945"/>
      <c r="D1303" s="1916"/>
      <c r="E1303" s="1917"/>
      <c r="F1303" s="1917"/>
      <c r="G1303" s="1918"/>
      <c r="I1303" s="1916"/>
      <c r="J1303" s="1917"/>
      <c r="K1303" s="1917"/>
      <c r="L1303" s="1918"/>
      <c r="N1303" s="1916"/>
      <c r="O1303" s="1917"/>
      <c r="P1303" s="1917"/>
      <c r="Q1303" s="1918"/>
      <c r="S1303" s="1916"/>
      <c r="T1303" s="1917"/>
      <c r="U1303" s="1917"/>
      <c r="V1303" s="1918"/>
      <c r="X1303" s="1916"/>
      <c r="Y1303" s="1917"/>
      <c r="Z1303" s="1917"/>
      <c r="AA1303" s="1918"/>
      <c r="AC1303" s="1916"/>
      <c r="AD1303" s="1917"/>
      <c r="AE1303" s="1917"/>
      <c r="AF1303" s="1918"/>
      <c r="AH1303" s="1916"/>
      <c r="AI1303" s="1917"/>
      <c r="AJ1303" s="1917"/>
      <c r="AK1303" s="1918"/>
    </row>
    <row r="1304" spans="2:38" s="180" customFormat="1" x14ac:dyDescent="0.45">
      <c r="B1304" s="1942"/>
      <c r="C1304" s="1945"/>
      <c r="D1304" s="1916"/>
      <c r="E1304" s="1917"/>
      <c r="F1304" s="1917"/>
      <c r="G1304" s="1918"/>
      <c r="I1304" s="1916"/>
      <c r="J1304" s="1917"/>
      <c r="K1304" s="1917"/>
      <c r="L1304" s="1918"/>
      <c r="N1304" s="1916"/>
      <c r="O1304" s="1917"/>
      <c r="P1304" s="1917"/>
      <c r="Q1304" s="1918"/>
      <c r="S1304" s="1916"/>
      <c r="T1304" s="1917"/>
      <c r="U1304" s="1917"/>
      <c r="V1304" s="1918"/>
      <c r="X1304" s="1916"/>
      <c r="Y1304" s="1917"/>
      <c r="Z1304" s="1917"/>
      <c r="AA1304" s="1918"/>
      <c r="AC1304" s="1916"/>
      <c r="AD1304" s="1917"/>
      <c r="AE1304" s="1917"/>
      <c r="AF1304" s="1918"/>
      <c r="AH1304" s="1916"/>
      <c r="AI1304" s="1917"/>
      <c r="AJ1304" s="1917"/>
      <c r="AK1304" s="1918"/>
    </row>
    <row r="1305" spans="2:38" s="180" customFormat="1" ht="15.75" customHeight="1" x14ac:dyDescent="0.45">
      <c r="B1305" s="1942"/>
      <c r="C1305" s="1945"/>
      <c r="D1305" s="1916"/>
      <c r="E1305" s="1917"/>
      <c r="F1305" s="1917"/>
      <c r="G1305" s="1918"/>
      <c r="I1305" s="1916"/>
      <c r="J1305" s="1917"/>
      <c r="K1305" s="1917"/>
      <c r="L1305" s="1918"/>
      <c r="N1305" s="1916"/>
      <c r="O1305" s="1917"/>
      <c r="P1305" s="1917"/>
      <c r="Q1305" s="1918"/>
      <c r="S1305" s="1916"/>
      <c r="T1305" s="1917"/>
      <c r="U1305" s="1917"/>
      <c r="V1305" s="1918"/>
      <c r="X1305" s="1916"/>
      <c r="Y1305" s="1917"/>
      <c r="Z1305" s="1917"/>
      <c r="AA1305" s="1918"/>
      <c r="AC1305" s="1916"/>
      <c r="AD1305" s="1917"/>
      <c r="AE1305" s="1917"/>
      <c r="AF1305" s="1918"/>
      <c r="AH1305" s="1916"/>
      <c r="AI1305" s="1917"/>
      <c r="AJ1305" s="1917"/>
      <c r="AK1305" s="1918"/>
    </row>
    <row r="1306" spans="2:38" s="180" customFormat="1" x14ac:dyDescent="0.45">
      <c r="B1306" s="1942"/>
      <c r="C1306" s="1945"/>
      <c r="D1306" s="1916"/>
      <c r="E1306" s="1917"/>
      <c r="F1306" s="1917"/>
      <c r="G1306" s="1918"/>
      <c r="I1306" s="1916"/>
      <c r="J1306" s="1917"/>
      <c r="K1306" s="1917"/>
      <c r="L1306" s="1918"/>
      <c r="N1306" s="1916"/>
      <c r="O1306" s="1917"/>
      <c r="P1306" s="1917"/>
      <c r="Q1306" s="1918"/>
      <c r="S1306" s="1916"/>
      <c r="T1306" s="1917"/>
      <c r="U1306" s="1917"/>
      <c r="V1306" s="1918"/>
      <c r="X1306" s="1916"/>
      <c r="Y1306" s="1917"/>
      <c r="Z1306" s="1917"/>
      <c r="AA1306" s="1918"/>
      <c r="AC1306" s="1916"/>
      <c r="AD1306" s="1917"/>
      <c r="AE1306" s="1917"/>
      <c r="AF1306" s="1918"/>
      <c r="AH1306" s="1916"/>
      <c r="AI1306" s="1917"/>
      <c r="AJ1306" s="1917"/>
      <c r="AK1306" s="1918"/>
    </row>
    <row r="1307" spans="2:38" s="180" customFormat="1" x14ac:dyDescent="0.45">
      <c r="B1307" s="1942"/>
      <c r="C1307" s="1945"/>
      <c r="D1307" s="1916"/>
      <c r="E1307" s="1917"/>
      <c r="F1307" s="1917"/>
      <c r="G1307" s="1918"/>
      <c r="I1307" s="1916"/>
      <c r="J1307" s="1917"/>
      <c r="K1307" s="1917"/>
      <c r="L1307" s="1918"/>
      <c r="N1307" s="1916"/>
      <c r="O1307" s="1917"/>
      <c r="P1307" s="1917"/>
      <c r="Q1307" s="1918"/>
      <c r="S1307" s="1916"/>
      <c r="T1307" s="1917"/>
      <c r="U1307" s="1917"/>
      <c r="V1307" s="1918"/>
      <c r="X1307" s="1916"/>
      <c r="Y1307" s="1917"/>
      <c r="Z1307" s="1917"/>
      <c r="AA1307" s="1918"/>
      <c r="AC1307" s="1916"/>
      <c r="AD1307" s="1917"/>
      <c r="AE1307" s="1917"/>
      <c r="AF1307" s="1918"/>
      <c r="AH1307" s="1916"/>
      <c r="AI1307" s="1917"/>
      <c r="AJ1307" s="1917"/>
      <c r="AK1307" s="1918"/>
    </row>
    <row r="1308" spans="2:38" s="180" customFormat="1" x14ac:dyDescent="0.45">
      <c r="B1308" s="1942"/>
      <c r="C1308" s="1945"/>
      <c r="D1308" s="1916"/>
      <c r="E1308" s="1917"/>
      <c r="F1308" s="1917"/>
      <c r="G1308" s="1918"/>
      <c r="I1308" s="1916"/>
      <c r="J1308" s="1917"/>
      <c r="K1308" s="1917"/>
      <c r="L1308" s="1918"/>
      <c r="N1308" s="1916"/>
      <c r="O1308" s="1917"/>
      <c r="P1308" s="1917"/>
      <c r="Q1308" s="1918"/>
      <c r="S1308" s="1916"/>
      <c r="T1308" s="1917"/>
      <c r="U1308" s="1917"/>
      <c r="V1308" s="1918"/>
      <c r="X1308" s="1916"/>
      <c r="Y1308" s="1917"/>
      <c r="Z1308" s="1917"/>
      <c r="AA1308" s="1918"/>
      <c r="AC1308" s="1916"/>
      <c r="AD1308" s="1917"/>
      <c r="AE1308" s="1917"/>
      <c r="AF1308" s="1918"/>
      <c r="AH1308" s="1916"/>
      <c r="AI1308" s="1917"/>
      <c r="AJ1308" s="1917"/>
      <c r="AK1308" s="1918"/>
    </row>
    <row r="1309" spans="2:38" s="180" customFormat="1" x14ac:dyDescent="0.45">
      <c r="B1309" s="1942"/>
      <c r="C1309" s="1945"/>
      <c r="D1309" s="1916"/>
      <c r="E1309" s="1917"/>
      <c r="F1309" s="1917"/>
      <c r="G1309" s="1918"/>
      <c r="I1309" s="1916"/>
      <c r="J1309" s="1917"/>
      <c r="K1309" s="1917"/>
      <c r="L1309" s="1918"/>
      <c r="N1309" s="1916"/>
      <c r="O1309" s="1917"/>
      <c r="P1309" s="1917"/>
      <c r="Q1309" s="1918"/>
      <c r="S1309" s="1916"/>
      <c r="T1309" s="1917"/>
      <c r="U1309" s="1917"/>
      <c r="V1309" s="1918"/>
      <c r="X1309" s="1916"/>
      <c r="Y1309" s="1917"/>
      <c r="Z1309" s="1917"/>
      <c r="AA1309" s="1918"/>
      <c r="AC1309" s="1916"/>
      <c r="AD1309" s="1917"/>
      <c r="AE1309" s="1917"/>
      <c r="AF1309" s="1918"/>
      <c r="AH1309" s="1916"/>
      <c r="AI1309" s="1917"/>
      <c r="AJ1309" s="1917"/>
      <c r="AK1309" s="1918"/>
    </row>
    <row r="1310" spans="2:38" s="180" customFormat="1" x14ac:dyDescent="0.45">
      <c r="B1310" s="1942"/>
      <c r="C1310" s="1945"/>
      <c r="D1310" s="1916"/>
      <c r="E1310" s="1917"/>
      <c r="F1310" s="1917"/>
      <c r="G1310" s="1918"/>
      <c r="I1310" s="1916"/>
      <c r="J1310" s="1917"/>
      <c r="K1310" s="1917"/>
      <c r="L1310" s="1918"/>
      <c r="N1310" s="1916"/>
      <c r="O1310" s="1917"/>
      <c r="P1310" s="1917"/>
      <c r="Q1310" s="1918"/>
      <c r="S1310" s="1916"/>
      <c r="T1310" s="1917"/>
      <c r="U1310" s="1917"/>
      <c r="V1310" s="1918"/>
      <c r="X1310" s="1916"/>
      <c r="Y1310" s="1917"/>
      <c r="Z1310" s="1917"/>
      <c r="AA1310" s="1918"/>
      <c r="AC1310" s="1916"/>
      <c r="AD1310" s="1917"/>
      <c r="AE1310" s="1917"/>
      <c r="AF1310" s="1918"/>
      <c r="AH1310" s="1916"/>
      <c r="AI1310" s="1917"/>
      <c r="AJ1310" s="1917"/>
      <c r="AK1310" s="1918"/>
    </row>
    <row r="1311" spans="2:38" s="180" customFormat="1" x14ac:dyDescent="0.45">
      <c r="B1311" s="1942"/>
      <c r="C1311" s="1945"/>
      <c r="D1311" s="1919"/>
      <c r="E1311" s="1920"/>
      <c r="F1311" s="1920"/>
      <c r="G1311" s="1921"/>
      <c r="I1311" s="1919"/>
      <c r="J1311" s="1920"/>
      <c r="K1311" s="1920"/>
      <c r="L1311" s="1921"/>
      <c r="N1311" s="1919"/>
      <c r="O1311" s="1920"/>
      <c r="P1311" s="1920"/>
      <c r="Q1311" s="1921"/>
      <c r="S1311" s="1919"/>
      <c r="T1311" s="1920"/>
      <c r="U1311" s="1920"/>
      <c r="V1311" s="1921"/>
      <c r="X1311" s="1919"/>
      <c r="Y1311" s="1920"/>
      <c r="Z1311" s="1920"/>
      <c r="AA1311" s="1921"/>
      <c r="AC1311" s="1919"/>
      <c r="AD1311" s="1920"/>
      <c r="AE1311" s="1920"/>
      <c r="AF1311" s="1921"/>
      <c r="AH1311" s="1919"/>
      <c r="AI1311" s="1920"/>
      <c r="AJ1311" s="1920"/>
      <c r="AK1311" s="1921"/>
    </row>
    <row r="1312" spans="2:38" s="180" customFormat="1" ht="15" customHeight="1" x14ac:dyDescent="0.45">
      <c r="B1312" s="1942"/>
      <c r="C1312" s="1945"/>
      <c r="D1312" s="1913" t="str">
        <f ca="1">IF(G1292&gt;0,CONCATENATE("Session Aim: 
", CONCATENATE(IF(INDEX(final_duration_secondary,((WEEKDAY(E$3,2)*2-1)+IF(E1292="Morning",0,1)),D1292)=0, "", "1. "),
INDEX(sessions_aim_primary,, INDEX(plan_session_allocation,((WEEKDAY(E$3,2)*2-1)+IF(E1292="Morning",0,1)),D1292)), IF(INDEX(final_duration_secondary,((WEEKDAY(E$3,2)*2-1)+IF(E1292="Morning",0,1)),D1292)=0, "", "
2. "),
IF(INDEX(final_duration_secondary,((WEEKDAY(E$3,2)*2-1)+IF(E1292="Morning",0,1)),D1292)=0, "", INDEX(sessions_aim_secondary,, INDEX(plan_session_allocation,((WEEKDAY(E$3,2)*2-1)+IF(E1292="Morning",0,1)),D1292))), IF(INDEX(final_duration_tertiary,((WEEKDAY(E$3,2)*2-1)+IF(E1292="Morning",0,1)),D1292)=0, "", "
3. "),
IF(INDEX(final_duration_tertiary,((WEEKDAY(E$3,2)*2-1)+IF(E1292="Morning",0,1)),D1292)=0, "", INDEX(sessions_aim_tertiary,, INDEX(plan_session_allocation,((WEEKDAY(E$3,2)*2-1)+IF(E1292="Morning",0,1)),D1292))),
IF(INDEX(display_nutrition_description,((WEEKDAY(E$3,2)*2-1)+IF(E1292="Morning",0,1)),D1292)="","",
CONCATENATE("
Nutrition Aim:
", INDEX(sessions_aim_nutrition,,INDEX(plan_session_allocation,((WEEKDAY(E$3,2)*2-1)+IF(E1292="Morning",0,1)),D1292))
))
)),"")</f>
        <v/>
      </c>
      <c r="E1312" s="1914"/>
      <c r="F1312" s="1914"/>
      <c r="G1312" s="1915"/>
      <c r="I1312" s="1913" t="str">
        <f ca="1">IF(L1292&gt;0,CONCATENATE("Session Aim: 
", CONCATENATE(IF(INDEX(final_duration_secondary,((WEEKDAY(J$3,2)*2-1)+IF(J1292="Morning",0,1)),I1292)=0, "", "1. "),
INDEX(sessions_aim_primary,, INDEX(plan_session_allocation,((WEEKDAY(J$3,2)*2-1)+IF(J1292="Morning",0,1)),I1292)), IF(INDEX(final_duration_secondary,((WEEKDAY(J$3,2)*2-1)+IF(J1292="Morning",0,1)),I1292)=0, "", "
2. "),
IF(INDEX(final_duration_secondary,((WEEKDAY(J$3,2)*2-1)+IF(J1292="Morning",0,1)),I1292)=0, "", INDEX(sessions_aim_secondary,, INDEX(plan_session_allocation,((WEEKDAY(J$3,2)*2-1)+IF(J1292="Morning",0,1)),I1292))), IF(INDEX(final_duration_tertiary,((WEEKDAY(J$3,2)*2-1)+IF(J1292="Morning",0,1)),I1292)=0, "", "
3. "),
IF(INDEX(final_duration_tertiary,((WEEKDAY(J$3,2)*2-1)+IF(J1292="Morning",0,1)),I1292)=0, "", INDEX(sessions_aim_tertiary,, INDEX(plan_session_allocation,((WEEKDAY(J$3,2)*2-1)+IF(J1292="Morning",0,1)),I1292))),
IF(INDEX(display_nutrition_description,((WEEKDAY(J$3,2)*2-1)+IF(J1292="Morning",0,1)),I1292)="","",
CONCATENATE("
Nutrition Aim:
", INDEX(sessions_aim_nutrition,,INDEX(plan_session_allocation,((WEEKDAY(J$3,2)*2-1)+IF(J1292="Morning",0,1)),I1292))
))
)),"")</f>
        <v/>
      </c>
      <c r="J1312" s="1914"/>
      <c r="K1312" s="1914"/>
      <c r="L1312" s="1915"/>
      <c r="N1312" s="1913" t="str">
        <f ca="1">IF(Q1292&gt;0,CONCATENATE("Session Aim: 
", CONCATENATE(IF(INDEX(final_duration_secondary,((WEEKDAY(O$3,2)*2-1)+IF(O1292="Morning",0,1)),N1292)=0, "", "1. "),
INDEX(sessions_aim_primary,, INDEX(plan_session_allocation,((WEEKDAY(O$3,2)*2-1)+IF(O1292="Morning",0,1)),N1292)), IF(INDEX(final_duration_secondary,((WEEKDAY(O$3,2)*2-1)+IF(O1292="Morning",0,1)),N1292)=0, "", "
2. "),
IF(INDEX(final_duration_secondary,((WEEKDAY(O$3,2)*2-1)+IF(O1292="Morning",0,1)),N1292)=0, "", INDEX(sessions_aim_secondary,, INDEX(plan_session_allocation,((WEEKDAY(O$3,2)*2-1)+IF(O1292="Morning",0,1)),N1292))), IF(INDEX(final_duration_tertiary,((WEEKDAY(O$3,2)*2-1)+IF(O1292="Morning",0,1)),N1292)=0, "", "
3. "),
IF(INDEX(final_duration_tertiary,((WEEKDAY(O$3,2)*2-1)+IF(O1292="Morning",0,1)),N1292)=0, "", INDEX(sessions_aim_tertiary,, INDEX(plan_session_allocation,((WEEKDAY(O$3,2)*2-1)+IF(O1292="Morning",0,1)),N1292))),
IF(INDEX(display_nutrition_description,((WEEKDAY(O$3,2)*2-1)+IF(O1292="Morning",0,1)),N1292)="","",
CONCATENATE("
Nutrition Aim:
", INDEX(sessions_aim_nutrition,,INDEX(plan_session_allocation,((WEEKDAY(O$3,2)*2-1)+IF(O1292="Morning",0,1)),N1292))
))
)),"")</f>
        <v/>
      </c>
      <c r="O1312" s="1914"/>
      <c r="P1312" s="1914"/>
      <c r="Q1312" s="1915"/>
      <c r="S1312" s="1913" t="str">
        <f ca="1">IF(V1292&gt;0,CONCATENATE("Session Aim: 
", CONCATENATE(IF(INDEX(final_duration_secondary,((WEEKDAY(T$3,2)*2-1)+IF(T1292="Morning",0,1)),S1292)=0, "", "1. "),
INDEX(sessions_aim_primary,, INDEX(plan_session_allocation,((WEEKDAY(T$3,2)*2-1)+IF(T1292="Morning",0,1)),S1292)), IF(INDEX(final_duration_secondary,((WEEKDAY(T$3,2)*2-1)+IF(T1292="Morning",0,1)),S1292)=0, "", "
2. "),
IF(INDEX(final_duration_secondary,((WEEKDAY(T$3,2)*2-1)+IF(T1292="Morning",0,1)),S1292)=0, "", INDEX(sessions_aim_secondary,, INDEX(plan_session_allocation,((WEEKDAY(T$3,2)*2-1)+IF(T1292="Morning",0,1)),S1292))), IF(INDEX(final_duration_tertiary,((WEEKDAY(T$3,2)*2-1)+IF(T1292="Morning",0,1)),S1292)=0, "", "
3. "),
IF(INDEX(final_duration_tertiary,((WEEKDAY(T$3,2)*2-1)+IF(T1292="Morning",0,1)),S1292)=0, "", INDEX(sessions_aim_tertiary,, INDEX(plan_session_allocation,((WEEKDAY(T$3,2)*2-1)+IF(T1292="Morning",0,1)),S1292))),
IF(INDEX(display_nutrition_description,((WEEKDAY(T$3,2)*2-1)+IF(T1292="Morning",0,1)),S1292)="","",
CONCATENATE("
Nutrition Aim:
", INDEX(sessions_aim_nutrition,,INDEX(plan_session_allocation,((WEEKDAY(T$3,2)*2-1)+IF(T1292="Morning",0,1)),S1292))
))
)),"")</f>
        <v/>
      </c>
      <c r="T1312" s="1914"/>
      <c r="U1312" s="1914"/>
      <c r="V1312" s="1915"/>
      <c r="X1312" s="1913" t="str">
        <f ca="1">IF(AA1292&gt;0,CONCATENATE("Session Aim: 
", CONCATENATE(IF(INDEX(final_duration_secondary,((WEEKDAY(Y$3,2)*2-1)+IF(Y1292="Morning",0,1)),X1292)=0, "", "1. "),
INDEX(sessions_aim_primary,, INDEX(plan_session_allocation,((WEEKDAY(Y$3,2)*2-1)+IF(Y1292="Morning",0,1)),X1292)), IF(INDEX(final_duration_secondary,((WEEKDAY(Y$3,2)*2-1)+IF(Y1292="Morning",0,1)),X1292)=0, "", "
2. "),
IF(INDEX(final_duration_secondary,((WEEKDAY(Y$3,2)*2-1)+IF(Y1292="Morning",0,1)),X1292)=0, "", INDEX(sessions_aim_secondary,, INDEX(plan_session_allocation,((WEEKDAY(Y$3,2)*2-1)+IF(Y1292="Morning",0,1)),X1292))), IF(INDEX(final_duration_tertiary,((WEEKDAY(Y$3,2)*2-1)+IF(Y1292="Morning",0,1)),X1292)=0, "", "
3. "),
IF(INDEX(final_duration_tertiary,((WEEKDAY(Y$3,2)*2-1)+IF(Y1292="Morning",0,1)),X1292)=0, "", INDEX(sessions_aim_tertiary,, INDEX(plan_session_allocation,((WEEKDAY(Y$3,2)*2-1)+IF(Y1292="Morning",0,1)),X1292))),
IF(INDEX(display_nutrition_description,((WEEKDAY(Y$3,2)*2-1)+IF(Y1292="Morning",0,1)),X1292)="","",
CONCATENATE("
Nutrition Aim:
", INDEX(sessions_aim_nutrition,,INDEX(plan_session_allocation,((WEEKDAY(Y$3,2)*2-1)+IF(Y1292="Morning",0,1)),X1292))
))
)),"")</f>
        <v/>
      </c>
      <c r="Y1312" s="1914"/>
      <c r="Z1312" s="1914"/>
      <c r="AA1312" s="1915"/>
      <c r="AC1312" s="1913" t="str">
        <f ca="1">IF(AF1292&gt;0,CONCATENATE("Session Aim: 
", CONCATENATE(IF(INDEX(final_duration_secondary,((WEEKDAY(AD$3,2)*2-1)+IF(AD1292="Morning",0,1)),AC1292)=0, "", "1. "),
INDEX(sessions_aim_primary,, INDEX(plan_session_allocation,((WEEKDAY(AD$3,2)*2-1)+IF(AD1292="Morning",0,1)),AC1292)), IF(INDEX(final_duration_secondary,((WEEKDAY(AD$3,2)*2-1)+IF(AD1292="Morning",0,1)),AC1292)=0, "", "
2. "),
IF(INDEX(final_duration_secondary,((WEEKDAY(AD$3,2)*2-1)+IF(AD1292="Morning",0,1)),AC1292)=0, "", INDEX(sessions_aim_secondary,, INDEX(plan_session_allocation,((WEEKDAY(AD$3,2)*2-1)+IF(AD1292="Morning",0,1)),AC1292))), IF(INDEX(final_duration_tertiary,((WEEKDAY(AD$3,2)*2-1)+IF(AD1292="Morning",0,1)),AC1292)=0, "", "
3. "),
IF(INDEX(final_duration_tertiary,((WEEKDAY(AD$3,2)*2-1)+IF(AD1292="Morning",0,1)),AC1292)=0, "", INDEX(sessions_aim_tertiary,, INDEX(plan_session_allocation,((WEEKDAY(AD$3,2)*2-1)+IF(AD1292="Morning",0,1)),AC1292))),
IF(INDEX(display_nutrition_description,((WEEKDAY(AD$3,2)*2-1)+IF(AD1292="Morning",0,1)),AC1292)="","",
CONCATENATE("
Nutrition Aim:
", INDEX(sessions_aim_nutrition,,INDEX(plan_session_allocation,((WEEKDAY(AD$3,2)*2-1)+IF(AD1292="Morning",0,1)),AC1292))
))
)),"")</f>
        <v/>
      </c>
      <c r="AD1312" s="1914"/>
      <c r="AE1312" s="1914"/>
      <c r="AF1312" s="1915"/>
      <c r="AH1312" s="1913" t="str">
        <f ca="1">IF(AK1292&gt;0,CONCATENATE("Session Aim: 
", CONCATENATE(IF(INDEX(final_duration_secondary,((WEEKDAY(AI$3,2)*2-1)+IF(AI1292="Morning",0,1)),AH1292)=0, "", "1. "),
INDEX(sessions_aim_primary,, INDEX(plan_session_allocation,((WEEKDAY(AI$3,2)*2-1)+IF(AI1292="Morning",0,1)),AH1292)), IF(INDEX(final_duration_secondary,((WEEKDAY(AI$3,2)*2-1)+IF(AI1292="Morning",0,1)),AH1292)=0, "", "
2. "),
IF(INDEX(final_duration_secondary,((WEEKDAY(AI$3,2)*2-1)+IF(AI1292="Morning",0,1)),AH1292)=0, "", INDEX(sessions_aim_secondary,, INDEX(plan_session_allocation,((WEEKDAY(AI$3,2)*2-1)+IF(AI1292="Morning",0,1)),AH1292))), IF(INDEX(final_duration_tertiary,((WEEKDAY(AI$3,2)*2-1)+IF(AI1292="Morning",0,1)),AH1292)=0, "", "
3. "),
IF(INDEX(final_duration_tertiary,((WEEKDAY(AI$3,2)*2-1)+IF(AI1292="Morning",0,1)),AH1292)=0, "", INDEX(sessions_aim_tertiary,, INDEX(plan_session_allocation,((WEEKDAY(AI$3,2)*2-1)+IF(AI1292="Morning",0,1)),AH1292))),
IF(INDEX(display_nutrition_description,((WEEKDAY(AI$3,2)*2-1)+IF(AI1292="Morning",0,1)),AH1292)="","",
CONCATENATE("
Nutrition Aim:
", INDEX(sessions_aim_nutrition,,INDEX(plan_session_allocation,((WEEKDAY(AI$3,2)*2-1)+IF(AI1292="Morning",0,1)),AH1292))
))
)),"")</f>
        <v/>
      </c>
      <c r="AI1312" s="1914"/>
      <c r="AJ1312" s="1914"/>
      <c r="AK1312" s="1915"/>
    </row>
    <row r="1313" spans="2:38" s="180" customFormat="1" x14ac:dyDescent="0.45">
      <c r="B1313" s="1942"/>
      <c r="C1313" s="1945"/>
      <c r="D1313" s="1916"/>
      <c r="E1313" s="1917"/>
      <c r="F1313" s="1917"/>
      <c r="G1313" s="1918"/>
      <c r="I1313" s="1916"/>
      <c r="J1313" s="1917"/>
      <c r="K1313" s="1917"/>
      <c r="L1313" s="1918"/>
      <c r="N1313" s="1916"/>
      <c r="O1313" s="1917"/>
      <c r="P1313" s="1917"/>
      <c r="Q1313" s="1918"/>
      <c r="S1313" s="1916"/>
      <c r="T1313" s="1917"/>
      <c r="U1313" s="1917"/>
      <c r="V1313" s="1918"/>
      <c r="X1313" s="1916"/>
      <c r="Y1313" s="1917"/>
      <c r="Z1313" s="1917"/>
      <c r="AA1313" s="1918"/>
      <c r="AC1313" s="1916"/>
      <c r="AD1313" s="1917"/>
      <c r="AE1313" s="1917"/>
      <c r="AF1313" s="1918"/>
      <c r="AH1313" s="1916"/>
      <c r="AI1313" s="1917"/>
      <c r="AJ1313" s="1917"/>
      <c r="AK1313" s="1918"/>
    </row>
    <row r="1314" spans="2:38" s="180" customFormat="1" x14ac:dyDescent="0.45">
      <c r="B1314" s="1942"/>
      <c r="C1314" s="1945"/>
      <c r="D1314" s="1916"/>
      <c r="E1314" s="1917"/>
      <c r="F1314" s="1917"/>
      <c r="G1314" s="1918"/>
      <c r="I1314" s="1916"/>
      <c r="J1314" s="1917"/>
      <c r="K1314" s="1917"/>
      <c r="L1314" s="1918"/>
      <c r="N1314" s="1916"/>
      <c r="O1314" s="1917"/>
      <c r="P1314" s="1917"/>
      <c r="Q1314" s="1918"/>
      <c r="S1314" s="1916"/>
      <c r="T1314" s="1917"/>
      <c r="U1314" s="1917"/>
      <c r="V1314" s="1918"/>
      <c r="X1314" s="1916"/>
      <c r="Y1314" s="1917"/>
      <c r="Z1314" s="1917"/>
      <c r="AA1314" s="1918"/>
      <c r="AC1314" s="1916"/>
      <c r="AD1314" s="1917"/>
      <c r="AE1314" s="1917"/>
      <c r="AF1314" s="1918"/>
      <c r="AH1314" s="1916"/>
      <c r="AI1314" s="1917"/>
      <c r="AJ1314" s="1917"/>
      <c r="AK1314" s="1918"/>
    </row>
    <row r="1315" spans="2:38" s="180" customFormat="1" x14ac:dyDescent="0.45">
      <c r="B1315" s="1942"/>
      <c r="C1315" s="1945"/>
      <c r="D1315" s="1916"/>
      <c r="E1315" s="1917"/>
      <c r="F1315" s="1917"/>
      <c r="G1315" s="1918"/>
      <c r="I1315" s="1916"/>
      <c r="J1315" s="1917"/>
      <c r="K1315" s="1917"/>
      <c r="L1315" s="1918"/>
      <c r="N1315" s="1916"/>
      <c r="O1315" s="1917"/>
      <c r="P1315" s="1917"/>
      <c r="Q1315" s="1918"/>
      <c r="S1315" s="1916"/>
      <c r="T1315" s="1917"/>
      <c r="U1315" s="1917"/>
      <c r="V1315" s="1918"/>
      <c r="X1315" s="1916"/>
      <c r="Y1315" s="1917"/>
      <c r="Z1315" s="1917"/>
      <c r="AA1315" s="1918"/>
      <c r="AC1315" s="1916"/>
      <c r="AD1315" s="1917"/>
      <c r="AE1315" s="1917"/>
      <c r="AF1315" s="1918"/>
      <c r="AH1315" s="1916"/>
      <c r="AI1315" s="1917"/>
      <c r="AJ1315" s="1917"/>
      <c r="AK1315" s="1918"/>
    </row>
    <row r="1316" spans="2:38" s="180" customFormat="1" x14ac:dyDescent="0.45">
      <c r="B1316" s="1942"/>
      <c r="C1316" s="1945"/>
      <c r="D1316" s="1916"/>
      <c r="E1316" s="1917"/>
      <c r="F1316" s="1917"/>
      <c r="G1316" s="1918"/>
      <c r="I1316" s="1916"/>
      <c r="J1316" s="1917"/>
      <c r="K1316" s="1917"/>
      <c r="L1316" s="1918"/>
      <c r="N1316" s="1916"/>
      <c r="O1316" s="1917"/>
      <c r="P1316" s="1917"/>
      <c r="Q1316" s="1918"/>
      <c r="S1316" s="1916"/>
      <c r="T1316" s="1917"/>
      <c r="U1316" s="1917"/>
      <c r="V1316" s="1918"/>
      <c r="X1316" s="1916"/>
      <c r="Y1316" s="1917"/>
      <c r="Z1316" s="1917"/>
      <c r="AA1316" s="1918"/>
      <c r="AC1316" s="1916"/>
      <c r="AD1316" s="1917"/>
      <c r="AE1316" s="1917"/>
      <c r="AF1316" s="1918"/>
      <c r="AH1316" s="1916"/>
      <c r="AI1316" s="1917"/>
      <c r="AJ1316" s="1917"/>
      <c r="AK1316" s="1918"/>
    </row>
    <row r="1317" spans="2:38" s="180" customFormat="1" x14ac:dyDescent="0.45">
      <c r="B1317" s="1942"/>
      <c r="C1317" s="1945"/>
      <c r="D1317" s="1916"/>
      <c r="E1317" s="1917"/>
      <c r="F1317" s="1917"/>
      <c r="G1317" s="1918"/>
      <c r="I1317" s="1916"/>
      <c r="J1317" s="1917"/>
      <c r="K1317" s="1917"/>
      <c r="L1317" s="1918"/>
      <c r="N1317" s="1916"/>
      <c r="O1317" s="1917"/>
      <c r="P1317" s="1917"/>
      <c r="Q1317" s="1918"/>
      <c r="S1317" s="1916"/>
      <c r="T1317" s="1917"/>
      <c r="U1317" s="1917"/>
      <c r="V1317" s="1918"/>
      <c r="X1317" s="1916"/>
      <c r="Y1317" s="1917"/>
      <c r="Z1317" s="1917"/>
      <c r="AA1317" s="1918"/>
      <c r="AC1317" s="1916"/>
      <c r="AD1317" s="1917"/>
      <c r="AE1317" s="1917"/>
      <c r="AF1317" s="1918"/>
      <c r="AH1317" s="1916"/>
      <c r="AI1317" s="1917"/>
      <c r="AJ1317" s="1917"/>
      <c r="AK1317" s="1918"/>
    </row>
    <row r="1318" spans="2:38" s="180" customFormat="1" ht="14.65" thickBot="1" x14ac:dyDescent="0.5">
      <c r="B1318" s="1942"/>
      <c r="C1318" s="1945"/>
      <c r="D1318" s="1938"/>
      <c r="E1318" s="1939"/>
      <c r="F1318" s="1939"/>
      <c r="G1318" s="1940"/>
      <c r="I1318" s="1938"/>
      <c r="J1318" s="1939"/>
      <c r="K1318" s="1939"/>
      <c r="L1318" s="1940"/>
      <c r="N1318" s="1938"/>
      <c r="O1318" s="1939"/>
      <c r="P1318" s="1939"/>
      <c r="Q1318" s="1940"/>
      <c r="S1318" s="1938"/>
      <c r="T1318" s="1939"/>
      <c r="U1318" s="1939"/>
      <c r="V1318" s="1940"/>
      <c r="X1318" s="1938"/>
      <c r="Y1318" s="1939"/>
      <c r="Z1318" s="1939"/>
      <c r="AA1318" s="1940"/>
      <c r="AC1318" s="1938"/>
      <c r="AD1318" s="1939"/>
      <c r="AE1318" s="1939"/>
      <c r="AF1318" s="1940"/>
      <c r="AH1318" s="1938"/>
      <c r="AI1318" s="1939"/>
      <c r="AJ1318" s="1939"/>
      <c r="AK1318" s="1940"/>
    </row>
    <row r="1319" spans="2:38" s="176" customFormat="1" ht="15.75" customHeight="1" x14ac:dyDescent="0.45">
      <c r="B1319" s="1942"/>
      <c r="C1319" s="1945"/>
      <c r="D1319" s="1415">
        <f>$B1291</f>
        <v>24</v>
      </c>
      <c r="E1319" s="1930" t="s">
        <v>352</v>
      </c>
      <c r="F1319" s="1930"/>
      <c r="G1319" s="1414">
        <f ca="1">INDEX(final_duration_session,((WEEKDAY(E$3,2)*2-1)+IF(E1319="Morning",0,1)),$D1319)</f>
        <v>0</v>
      </c>
      <c r="H1319" s="177"/>
      <c r="I1319" s="1415">
        <f>$B1291</f>
        <v>24</v>
      </c>
      <c r="J1319" s="1930" t="s">
        <v>352</v>
      </c>
      <c r="K1319" s="1930"/>
      <c r="L1319" s="1414">
        <f ca="1">INDEX(final_duration_session,((WEEKDAY(J$3,2)*2-1)+IF(J1319="Morning",0,1)),$D1319)</f>
        <v>0</v>
      </c>
      <c r="M1319" s="177"/>
      <c r="N1319" s="1415">
        <f>$B1291</f>
        <v>24</v>
      </c>
      <c r="O1319" s="1930" t="s">
        <v>352</v>
      </c>
      <c r="P1319" s="1930"/>
      <c r="Q1319" s="1414">
        <f ca="1">INDEX(final_duration_session,((WEEKDAY(O$3,2)*2-1)+IF(O1319="Morning",0,1)),$D1319)</f>
        <v>0</v>
      </c>
      <c r="R1319" s="177"/>
      <c r="S1319" s="1415">
        <f>$B1291</f>
        <v>24</v>
      </c>
      <c r="T1319" s="1930" t="s">
        <v>352</v>
      </c>
      <c r="U1319" s="1930"/>
      <c r="V1319" s="1414">
        <f ca="1">INDEX(final_duration_session,((WEEKDAY(T$3,2)*2-1)+IF(T1319="Morning",0,1)),$D1319)</f>
        <v>0</v>
      </c>
      <c r="W1319" s="177"/>
      <c r="X1319" s="1415">
        <f>$B1291</f>
        <v>24</v>
      </c>
      <c r="Y1319" s="1930" t="s">
        <v>352</v>
      </c>
      <c r="Z1319" s="1930"/>
      <c r="AA1319" s="1414">
        <f ca="1">INDEX(final_duration_session,((WEEKDAY(Y$3,2)*2-1)+IF(Y1319="Morning",0,1)),$D1319)</f>
        <v>0</v>
      </c>
      <c r="AB1319" s="177"/>
      <c r="AC1319" s="1415">
        <f>$B1291</f>
        <v>24</v>
      </c>
      <c r="AD1319" s="1930" t="s">
        <v>352</v>
      </c>
      <c r="AE1319" s="1930"/>
      <c r="AF1319" s="1414">
        <f ca="1">INDEX(final_duration_session,((WEEKDAY(AD$3,2)*2-1)+IF(AD1319="Morning",0,1)),$D1319)</f>
        <v>0</v>
      </c>
      <c r="AG1319" s="177"/>
      <c r="AH1319" s="1415">
        <f>$B1291</f>
        <v>24</v>
      </c>
      <c r="AI1319" s="1930" t="s">
        <v>352</v>
      </c>
      <c r="AJ1319" s="1930"/>
      <c r="AK1319" s="1414">
        <f ca="1">INDEX(final_duration_session,((WEEKDAY(AI$3,2)*2-1)+IF(AI1319="Morning",0,1)),$D1319)</f>
        <v>0</v>
      </c>
      <c r="AL1319" s="177"/>
    </row>
    <row r="1320" spans="2:38" s="176" customFormat="1" ht="15" customHeight="1" x14ac:dyDescent="0.45">
      <c r="B1320" s="1942"/>
      <c r="C1320" s="1945"/>
      <c r="D1320" s="1931" t="str">
        <f ca="1">IF(G1319&gt;0,INDEX(sessions_name,INDEX(plan_session_allocation,((WEEKDAY(E$3,2)*2-1)+IF(E1319="Morning",0,1)),D1319)),"")</f>
        <v/>
      </c>
      <c r="E1320" s="1932"/>
      <c r="F1320" s="1932"/>
      <c r="G1320" s="1933"/>
      <c r="H1320" s="177"/>
      <c r="I1320" s="1931" t="str">
        <f ca="1">IF(L1319&gt;0,INDEX(sessions_name,INDEX(plan_session_allocation,((WEEKDAY(J$3,2)*2-1)+IF(J1319="Morning",0,1)),I1319)),"")</f>
        <v/>
      </c>
      <c r="J1320" s="1932"/>
      <c r="K1320" s="1932"/>
      <c r="L1320" s="1933"/>
      <c r="M1320" s="177"/>
      <c r="N1320" s="1931" t="str">
        <f ca="1">IF(Q1319&gt;0,INDEX(sessions_name,INDEX(plan_session_allocation,((WEEKDAY(O$3,2)*2-1)+IF(O1319="Morning",0,1)),N1319)),"")</f>
        <v/>
      </c>
      <c r="O1320" s="1932"/>
      <c r="P1320" s="1932"/>
      <c r="Q1320" s="1933"/>
      <c r="R1320" s="177"/>
      <c r="S1320" s="1931" t="str">
        <f ca="1">IF(V1319&gt;0,INDEX(sessions_name,INDEX(plan_session_allocation,((WEEKDAY(T$3,2)*2-1)+IF(T1319="Morning",0,1)),S1319)),"")</f>
        <v/>
      </c>
      <c r="T1320" s="1932"/>
      <c r="U1320" s="1932"/>
      <c r="V1320" s="1933"/>
      <c r="W1320" s="177"/>
      <c r="X1320" s="1931" t="str">
        <f ca="1">IF(AA1319&gt;0,INDEX(sessions_name,INDEX(plan_session_allocation,((WEEKDAY(Y$3,2)*2-1)+IF(Y1319="Morning",0,1)),X1319)),"")</f>
        <v/>
      </c>
      <c r="Y1320" s="1932"/>
      <c r="Z1320" s="1932"/>
      <c r="AA1320" s="1933"/>
      <c r="AB1320" s="177"/>
      <c r="AC1320" s="1931" t="str">
        <f ca="1">IF(AF1319&gt;0,INDEX(sessions_name,INDEX(plan_session_allocation,((WEEKDAY(AD$3,2)*2-1)+IF(AD1319="Morning",0,1)),AC1319)),"")</f>
        <v/>
      </c>
      <c r="AD1320" s="1932"/>
      <c r="AE1320" s="1932"/>
      <c r="AF1320" s="1933"/>
      <c r="AG1320" s="177"/>
      <c r="AH1320" s="1931" t="str">
        <f ca="1">IF(AK1319&gt;0,INDEX(sessions_name,INDEX(plan_session_allocation,((WEEKDAY(AI$3,2)*2-1)+IF(AI1319="Morning",0,1)),AH1319)),"")</f>
        <v/>
      </c>
      <c r="AI1320" s="1932"/>
      <c r="AJ1320" s="1932"/>
      <c r="AK1320" s="1933"/>
      <c r="AL1320" s="177"/>
    </row>
    <row r="1321" spans="2:38" s="176" customFormat="1" ht="15" customHeight="1" x14ac:dyDescent="0.45">
      <c r="B1321" s="1942"/>
      <c r="C1321" s="1945"/>
      <c r="D1321" s="1934" t="str">
        <f ca="1">IF(G1319&gt;0,CONCATENATE("Sport: ",INDEX(sessions_sport_primary,INDEX(plan_session_allocation,(WEEKDAY(E$3,2)*2-1)+IF(E1319="Morning",0,1),D1319))),"")</f>
        <v/>
      </c>
      <c r="E1321" s="1935"/>
      <c r="F1321" s="1936" t="str">
        <f ca="1">IF(G1319&gt;0,IFERROR(F1322+F1323+F1324,""),"")</f>
        <v/>
      </c>
      <c r="G1321" s="1937"/>
      <c r="H1321" s="177"/>
      <c r="I1321" s="1934" t="str">
        <f ca="1">IF(L1319&gt;0,CONCATENATE("Sport: ",INDEX(sessions_sport_primary,INDEX(plan_session_allocation,(WEEKDAY(J$3,2)*2-1)+IF(J1319="Morning",0,1),I1319))),"")</f>
        <v/>
      </c>
      <c r="J1321" s="1935"/>
      <c r="K1321" s="1936" t="str">
        <f ca="1">IF(L1319&gt;0,IFERROR(K1322+K1323+K1324,""),"")</f>
        <v/>
      </c>
      <c r="L1321" s="1937"/>
      <c r="M1321" s="177"/>
      <c r="N1321" s="1934" t="str">
        <f ca="1">IF(Q1319&gt;0,CONCATENATE("Sport: ",INDEX(sessions_sport_primary,INDEX(plan_session_allocation,(WEEKDAY(O$3,2)*2-1)+IF(O1319="Morning",0,1),N1319))),"")</f>
        <v/>
      </c>
      <c r="O1321" s="1935"/>
      <c r="P1321" s="1936" t="str">
        <f ca="1">IF(Q1319&gt;0,IFERROR(P1322+P1323+P1324,""),"")</f>
        <v/>
      </c>
      <c r="Q1321" s="1937"/>
      <c r="R1321" s="177"/>
      <c r="S1321" s="1934" t="str">
        <f ca="1">IF(V1319&gt;0,CONCATENATE("Sport: ",INDEX(sessions_sport_primary,INDEX(plan_session_allocation,(WEEKDAY(T$3,2)*2-1)+IF(T1319="Morning",0,1),S1319))),"")</f>
        <v/>
      </c>
      <c r="T1321" s="1935"/>
      <c r="U1321" s="1936" t="str">
        <f ca="1">IF(V1319&gt;0,IFERROR(U1322+U1323+U1324,""),"")</f>
        <v/>
      </c>
      <c r="V1321" s="1937"/>
      <c r="W1321" s="177"/>
      <c r="X1321" s="1934" t="str">
        <f ca="1">IF(AA1319&gt;0,CONCATENATE("Sport: ",INDEX(sessions_sport_primary,INDEX(plan_session_allocation,(WEEKDAY(Y$3,2)*2-1)+IF(Y1319="Morning",0,1),X1319))),"")</f>
        <v/>
      </c>
      <c r="Y1321" s="1935"/>
      <c r="Z1321" s="1936" t="str">
        <f ca="1">IF(AA1319&gt;0,IFERROR(Z1322+Z1323+Z1324,""),"")</f>
        <v/>
      </c>
      <c r="AA1321" s="1937"/>
      <c r="AB1321" s="177"/>
      <c r="AC1321" s="1934" t="str">
        <f ca="1">IF(AF1319&gt;0,CONCATENATE("Sport: ",INDEX(sessions_sport_primary,INDEX(plan_session_allocation,(WEEKDAY(AD$3,2)*2-1)+IF(AD1319="Morning",0,1),AC1319))),"")</f>
        <v/>
      </c>
      <c r="AD1321" s="1935"/>
      <c r="AE1321" s="1936" t="str">
        <f ca="1">IF(AF1319&gt;0,IFERROR(AE1322+AE1323+AE1324,""),"")</f>
        <v/>
      </c>
      <c r="AF1321" s="1937"/>
      <c r="AG1321" s="177"/>
      <c r="AH1321" s="1934" t="str">
        <f ca="1">IF(AK1319&gt;0,CONCATENATE("Sport: ",INDEX(sessions_sport_primary,INDEX(plan_session_allocation,(WEEKDAY(AI$3,2)*2-1)+IF(AI1319="Morning",0,1),AH1319))),"")</f>
        <v/>
      </c>
      <c r="AI1321" s="1935"/>
      <c r="AJ1321" s="1936" t="str">
        <f ca="1">IF(AK1319&gt;0,IFERROR(AJ1322+AJ1323+AJ1324,""),"")</f>
        <v/>
      </c>
      <c r="AK1321" s="1937"/>
      <c r="AL1321" s="177"/>
    </row>
    <row r="1322" spans="2:38" s="177" customFormat="1" ht="15" customHeight="1" x14ac:dyDescent="0.45">
      <c r="B1322" s="1942"/>
      <c r="C1322" s="1945"/>
      <c r="D1322" s="1922" t="str">
        <f ca="1">IF(G1319&gt;0,CONCATENATE("HR Target: ",
INDEX(sessions_HR_primary,INDEX(plan_session_allocation,((WEEKDAY(E$3,2)*2-1)+IF(E1319="Morning",0,1)),D1319)),
IF(INDEX(sessions_HR_primary,INDEX(plan_session_allocation,((WEEKDAY(E$3,2)*2-1)+IF(E1319="Morning",0,1)),D1319))="N/A","",
" BPM")),"")</f>
        <v/>
      </c>
      <c r="E1322" s="1923"/>
      <c r="F1322" s="1924" t="str">
        <f ca="1">IF(G1319&gt;0,
INDEX(final_duration_effort,((WEEKDAY(E$3,2)*2-1)+IF(E1319="Morning",0,1)),D1319),"")</f>
        <v/>
      </c>
      <c r="G1322" s="1925"/>
      <c r="I1322" s="1922" t="str">
        <f ca="1">IF(L1319&gt;0,CONCATENATE("HR Target: ",
INDEX(sessions_HR_primary,INDEX(plan_session_allocation,((WEEKDAY(J$3,2)*2-1)+IF(J1319="Morning",0,1)),I1319)),
IF(INDEX(sessions_HR_primary,INDEX(plan_session_allocation,((WEEKDAY(J$3,2)*2-1)+IF(J1319="Morning",0,1)),I1319))="N/A","",
" BPM")),"")</f>
        <v/>
      </c>
      <c r="J1322" s="1923"/>
      <c r="K1322" s="1924" t="str">
        <f ca="1">IF(L1319&gt;0,
INDEX(final_duration_effort,((WEEKDAY(J$3,2)*2-1)+IF(J1319="Morning",0,1)),I1319),"")</f>
        <v/>
      </c>
      <c r="L1322" s="1925"/>
      <c r="N1322" s="1922" t="str">
        <f ca="1">IF(Q1319&gt;0,CONCATENATE("HR Target: ",
INDEX(sessions_HR_primary,INDEX(plan_session_allocation,((WEEKDAY(O$3,2)*2-1)+IF(O1319="Morning",0,1)),N1319)),
IF(INDEX(sessions_HR_primary,INDEX(plan_session_allocation,((WEEKDAY(O$3,2)*2-1)+IF(O1319="Morning",0,1)),N1319))="N/A","",
" BPM")),"")</f>
        <v/>
      </c>
      <c r="O1322" s="1923"/>
      <c r="P1322" s="1924" t="str">
        <f ca="1">IF(Q1319&gt;0,
INDEX(final_duration_effort,((WEEKDAY(O$3,2)*2-1)+IF(O1319="Morning",0,1)),N1319),"")</f>
        <v/>
      </c>
      <c r="Q1322" s="1925"/>
      <c r="S1322" s="1922" t="str">
        <f ca="1">IF(V1319&gt;0,CONCATENATE("HR Target: ",
INDEX(sessions_HR_primary,INDEX(plan_session_allocation,((WEEKDAY(T$3,2)*2-1)+IF(T1319="Morning",0,1)),S1319)),
IF(INDEX(sessions_HR_primary,INDEX(plan_session_allocation,((WEEKDAY(T$3,2)*2-1)+IF(T1319="Morning",0,1)),S1319))="N/A","",
" BPM")),"")</f>
        <v/>
      </c>
      <c r="T1322" s="1923"/>
      <c r="U1322" s="1924" t="str">
        <f ca="1">IF(V1319&gt;0,
INDEX(final_duration_effort,((WEEKDAY(T$3,2)*2-1)+IF(T1319="Morning",0,1)),S1319),"")</f>
        <v/>
      </c>
      <c r="V1322" s="1925"/>
      <c r="X1322" s="1922" t="str">
        <f ca="1">IF(AA1319&gt;0,CONCATENATE("HR Target: ",
INDEX(sessions_HR_primary,INDEX(plan_session_allocation,((WEEKDAY(Y$3,2)*2-1)+IF(Y1319="Morning",0,1)),X1319)),
IF(INDEX(sessions_HR_primary,INDEX(plan_session_allocation,((WEEKDAY(Y$3,2)*2-1)+IF(Y1319="Morning",0,1)),X1319))="N/A","",
" BPM")),"")</f>
        <v/>
      </c>
      <c r="Y1322" s="1923"/>
      <c r="Z1322" s="1924" t="str">
        <f ca="1">IF(AA1319&gt;0,
INDEX(final_duration_effort,((WEEKDAY(Y$3,2)*2-1)+IF(Y1319="Morning",0,1)),X1319),"")</f>
        <v/>
      </c>
      <c r="AA1322" s="1925"/>
      <c r="AC1322" s="1922" t="str">
        <f ca="1">IF(AF1319&gt;0,CONCATENATE("HR Target: ",
INDEX(sessions_HR_primary,INDEX(plan_session_allocation,((WEEKDAY(AD$3,2)*2-1)+IF(AD1319="Morning",0,1)),AC1319)),
IF(INDEX(sessions_HR_primary,INDEX(plan_session_allocation,((WEEKDAY(AD$3,2)*2-1)+IF(AD1319="Morning",0,1)),AC1319))="N/A","",
" BPM")),"")</f>
        <v/>
      </c>
      <c r="AD1322" s="1923"/>
      <c r="AE1322" s="1924" t="str">
        <f ca="1">IF(AF1319&gt;0,
INDEX(final_duration_effort,((WEEKDAY(AD$3,2)*2-1)+IF(AD1319="Morning",0,1)),AC1319),"")</f>
        <v/>
      </c>
      <c r="AF1322" s="1925"/>
      <c r="AH1322" s="1922" t="str">
        <f ca="1">IF(AK1319&gt;0,CONCATENATE("HR Target: ",
INDEX(sessions_HR_primary,INDEX(plan_session_allocation,((WEEKDAY(AI$3,2)*2-1)+IF(AI1319="Morning",0,1)),AH1319)),
IF(INDEX(sessions_HR_primary,INDEX(plan_session_allocation,((WEEKDAY(AI$3,2)*2-1)+IF(AI1319="Morning",0,1)),AH1319))="N/A","",
" BPM")),"")</f>
        <v/>
      </c>
      <c r="AI1322" s="1923"/>
      <c r="AJ1322" s="1924" t="str">
        <f ca="1">IF(AK1319&gt;0,
INDEX(final_duration_effort,((WEEKDAY(AI$3,2)*2-1)+IF(AI1319="Morning",0,1)),AH1319),"")</f>
        <v/>
      </c>
      <c r="AK1322" s="1925"/>
    </row>
    <row r="1323" spans="2:38" s="177" customFormat="1" ht="15" customHeight="1" x14ac:dyDescent="0.45">
      <c r="B1323" s="1942"/>
      <c r="C1323" s="1945"/>
      <c r="D1323" s="1926" t="str">
        <f ca="1">IF(G1319&gt;0,CONCATENATE("HR Range: ",
INDEX(sessions_HR_range_primary,INDEX(plan_session_allocation,((WEEKDAY(E$3,2)*2-1)+IF(E1319="Morning",0,1)),D1319)),
IF(INDEX(sessions_HR_range_primary,INDEX(plan_session_allocation,((WEEKDAY(E$3,2)*2-1)+IF(E1319="Morning",0,1)),D1319))="N/A","",
" BPM")),"")</f>
        <v/>
      </c>
      <c r="E1323" s="1927"/>
      <c r="F1323" s="1928" t="str">
        <f ca="1">IF(G1319&gt;0,IF(
INDEX(sessions_recoveries,INDEX(plan_session_allocation,((WEEKDAY(E$3,2)*2-1)+IF(E1319="Morning",0,1)),D1319))="Yes",
VLOOKUP(INDEX(plan_duration_primary,((WEEKDAY(E$3,2)*2-1)+IF(E1319="Morning",0,1)),D1319),
INDIRECT(INDEX(sessions_intervals_code_primary,INDEX(plan_session_allocation,((WEEKDAY(E$3,2)*2-1)+IF(E1319="Morning",0,1)),D1319))),7,TRUE),0),"")</f>
        <v/>
      </c>
      <c r="G1323" s="1929"/>
      <c r="I1323" s="1926" t="str">
        <f ca="1">IF(L1319&gt;0,CONCATENATE("HR Range: ",
INDEX(sessions_HR_range_primary,INDEX(plan_session_allocation,((WEEKDAY(J$3,2)*2-1)+IF(J1319="Morning",0,1)),I1319)),
IF(INDEX(sessions_HR_range_primary,INDEX(plan_session_allocation,((WEEKDAY(J$3,2)*2-1)+IF(J1319="Morning",0,1)),I1319))="N/A","",
" BPM")),"")</f>
        <v/>
      </c>
      <c r="J1323" s="1927"/>
      <c r="K1323" s="1928" t="str">
        <f ca="1">IF(L1319&gt;0,IF(
INDEX(sessions_recoveries,INDEX(plan_session_allocation,((WEEKDAY(J$3,2)*2-1)+IF(J1319="Morning",0,1)),I1319))="Yes",
VLOOKUP(INDEX(plan_duration_primary,((WEEKDAY(J$3,2)*2-1)+IF(J1319="Morning",0,1)),I1319),
INDIRECT(INDEX(sessions_intervals_code_primary,INDEX(plan_session_allocation,((WEEKDAY(J$3,2)*2-1)+IF(J1319="Morning",0,1)),I1319))),7,TRUE),0),"")</f>
        <v/>
      </c>
      <c r="L1323" s="1929"/>
      <c r="N1323" s="1926" t="str">
        <f ca="1">IF(Q1319&gt;0,CONCATENATE("HR Range: ",
INDEX(sessions_HR_range_primary,INDEX(plan_session_allocation,((WEEKDAY(O$3,2)*2-1)+IF(O1319="Morning",0,1)),N1319)),
IF(INDEX(sessions_HR_range_primary,INDEX(plan_session_allocation,((WEEKDAY(O$3,2)*2-1)+IF(O1319="Morning",0,1)),N1319))="N/A","",
" BPM")),"")</f>
        <v/>
      </c>
      <c r="O1323" s="1927"/>
      <c r="P1323" s="1928" t="str">
        <f ca="1">IF(Q1319&gt;0,IF(
INDEX(sessions_recoveries,INDEX(plan_session_allocation,((WEEKDAY(O$3,2)*2-1)+IF(O1319="Morning",0,1)),N1319))="Yes",
VLOOKUP(INDEX(plan_duration_primary,((WEEKDAY(O$3,2)*2-1)+IF(O1319="Morning",0,1)),N1319),
INDIRECT(INDEX(sessions_intervals_code_primary,INDEX(plan_session_allocation,((WEEKDAY(O$3,2)*2-1)+IF(O1319="Morning",0,1)),N1319))),7,TRUE),0),"")</f>
        <v/>
      </c>
      <c r="Q1323" s="1929"/>
      <c r="S1323" s="1926" t="str">
        <f ca="1">IF(V1319&gt;0,CONCATENATE("HR Range: ",
INDEX(sessions_HR_range_primary,INDEX(plan_session_allocation,((WEEKDAY(T$3,2)*2-1)+IF(T1319="Morning",0,1)),S1319)),
IF(INDEX(sessions_HR_range_primary,INDEX(plan_session_allocation,((WEEKDAY(T$3,2)*2-1)+IF(T1319="Morning",0,1)),S1319))="N/A","",
" BPM")),"")</f>
        <v/>
      </c>
      <c r="T1323" s="1927"/>
      <c r="U1323" s="1928" t="str">
        <f ca="1">IF(V1319&gt;0,IF(
INDEX(sessions_recoveries,INDEX(plan_session_allocation,((WEEKDAY(T$3,2)*2-1)+IF(T1319="Morning",0,1)),S1319))="Yes",
VLOOKUP(INDEX(plan_duration_primary,((WEEKDAY(T$3,2)*2-1)+IF(T1319="Morning",0,1)),S1319),
INDIRECT(INDEX(sessions_intervals_code_primary,INDEX(plan_session_allocation,((WEEKDAY(T$3,2)*2-1)+IF(T1319="Morning",0,1)),S1319))),7,TRUE),0),"")</f>
        <v/>
      </c>
      <c r="V1323" s="1929"/>
      <c r="X1323" s="1926" t="str">
        <f ca="1">IF(AA1319&gt;0,CONCATENATE("HR Range: ",
INDEX(sessions_HR_range_primary,INDEX(plan_session_allocation,((WEEKDAY(Y$3,2)*2-1)+IF(Y1319="Morning",0,1)),X1319)),
IF(INDEX(sessions_HR_range_primary,INDEX(plan_session_allocation,((WEEKDAY(Y$3,2)*2-1)+IF(Y1319="Morning",0,1)),X1319))="N/A","",
" BPM")),"")</f>
        <v/>
      </c>
      <c r="Y1323" s="1927"/>
      <c r="Z1323" s="1928" t="str">
        <f ca="1">IF(AA1319&gt;0,IF(
INDEX(sessions_recoveries,INDEX(plan_session_allocation,((WEEKDAY(Y$3,2)*2-1)+IF(Y1319="Morning",0,1)),X1319))="Yes",
VLOOKUP(INDEX(plan_duration_primary,((WEEKDAY(Y$3,2)*2-1)+IF(Y1319="Morning",0,1)),X1319),
INDIRECT(INDEX(sessions_intervals_code_primary,INDEX(plan_session_allocation,((WEEKDAY(Y$3,2)*2-1)+IF(Y1319="Morning",0,1)),X1319))),7,TRUE),0),"")</f>
        <v/>
      </c>
      <c r="AA1323" s="1929"/>
      <c r="AC1323" s="1926" t="str">
        <f ca="1">IF(AF1319&gt;0,CONCATENATE("HR Range: ",
INDEX(sessions_HR_range_primary,INDEX(plan_session_allocation,((WEEKDAY(AD$3,2)*2-1)+IF(AD1319="Morning",0,1)),AC1319)),
IF(INDEX(sessions_HR_range_primary,INDEX(plan_session_allocation,((WEEKDAY(AD$3,2)*2-1)+IF(AD1319="Morning",0,1)),AC1319))="N/A","",
" BPM")),"")</f>
        <v/>
      </c>
      <c r="AD1323" s="1927"/>
      <c r="AE1323" s="1928" t="str">
        <f ca="1">IF(AF1319&gt;0,IF(
INDEX(sessions_recoveries,INDEX(plan_session_allocation,((WEEKDAY(AD$3,2)*2-1)+IF(AD1319="Morning",0,1)),AC1319))="Yes",
VLOOKUP(INDEX(plan_duration_primary,((WEEKDAY(AD$3,2)*2-1)+IF(AD1319="Morning",0,1)),AC1319),
INDIRECT(INDEX(sessions_intervals_code_primary,INDEX(plan_session_allocation,((WEEKDAY(AD$3,2)*2-1)+IF(AD1319="Morning",0,1)),AC1319))),7,TRUE),0),"")</f>
        <v/>
      </c>
      <c r="AF1323" s="1929"/>
      <c r="AH1323" s="1926" t="str">
        <f ca="1">IF(AK1319&gt;0,CONCATENATE("HR Range: ",
INDEX(sessions_HR_range_primary,INDEX(plan_session_allocation,((WEEKDAY(AI$3,2)*2-1)+IF(AI1319="Morning",0,1)),AH1319)),
IF(INDEX(sessions_HR_range_primary,INDEX(plan_session_allocation,((WEEKDAY(AI$3,2)*2-1)+IF(AI1319="Morning",0,1)),AH1319))="N/A","",
" BPM")),"")</f>
        <v/>
      </c>
      <c r="AI1323" s="1927"/>
      <c r="AJ1323" s="1928" t="str">
        <f ca="1">IF(AK1319&gt;0,IF(
INDEX(sessions_recoveries,INDEX(plan_session_allocation,((WEEKDAY(AI$3,2)*2-1)+IF(AI1319="Morning",0,1)),AH1319))="Yes",
VLOOKUP(INDEX(plan_duration_primary,((WEEKDAY(AI$3,2)*2-1)+IF(AI1319="Morning",0,1)),AH1319),
INDIRECT(INDEX(sessions_intervals_code_primary,INDEX(plan_session_allocation,((WEEKDAY(AI$3,2)*2-1)+IF(AI1319="Morning",0,1)),AH1319))),7,TRUE),0),"")</f>
        <v/>
      </c>
      <c r="AK1323" s="1929"/>
    </row>
    <row r="1324" spans="2:38" s="177" customFormat="1" ht="15" customHeight="1" x14ac:dyDescent="0.45">
      <c r="B1324" s="1942"/>
      <c r="C1324" s="1945"/>
      <c r="D1324" s="1909" t="str">
        <f ca="1">IF(G1319&gt;0,CONCATENATE("Equivalent Pace: ",
TEXT(INDEX(sessions_pace_primary,INDEX(plan_session_allocation,(WEEKDAY(E$3,2)*2-1)+IF(E1319="Morning",0,1),D1319)),"m:ss"),
" min/km"
),"")</f>
        <v/>
      </c>
      <c r="E1324" s="1910"/>
      <c r="F1324" s="1911" t="str">
        <f ca="1">IF(G1319&gt;0, INDEX(final_duration_WU,((WEEKDAY(E$3,2)*2-1)+IF(E1319="Morning",0,1)),D1319)  + INDEX(final_duration_WD,((WEEKDAY(E$3,2)*2-1)+IF(E1319="Morning",0,1)),D1319), "")</f>
        <v/>
      </c>
      <c r="G1324" s="1912"/>
      <c r="I1324" s="1909" t="str">
        <f ca="1">IF(L1319&gt;0,CONCATENATE("Equivalent Pace: ",
TEXT(INDEX(sessions_pace_primary,INDEX(plan_session_allocation,(WEEKDAY(J$3,2)*2-1)+IF(J1319="Morning",0,1),I1319)),"m:ss"),
" min/km"
),"")</f>
        <v/>
      </c>
      <c r="J1324" s="1910"/>
      <c r="K1324" s="1911" t="str">
        <f ca="1">IF(L1319&gt;0, INDEX(final_duration_WU,((WEEKDAY(J$3,2)*2-1)+IF(J1319="Morning",0,1)),I1319)  + INDEX(final_duration_WD,((WEEKDAY(J$3,2)*2-1)+IF(J1319="Morning",0,1)),I1319), "")</f>
        <v/>
      </c>
      <c r="L1324" s="1912"/>
      <c r="N1324" s="1909" t="str">
        <f ca="1">IF(Q1319&gt;0,CONCATENATE("Equivalent Pace: ",
TEXT(INDEX(sessions_pace_primary,INDEX(plan_session_allocation,(WEEKDAY(O$3,2)*2-1)+IF(O1319="Morning",0,1),N1319)),"m:ss"),
" min/km"
),"")</f>
        <v/>
      </c>
      <c r="O1324" s="1910"/>
      <c r="P1324" s="1911" t="str">
        <f ca="1">IF(Q1319&gt;0, INDEX(final_duration_WU,((WEEKDAY(O$3,2)*2-1)+IF(O1319="Morning",0,1)),N1319)  + INDEX(final_duration_WD,((WEEKDAY(O$3,2)*2-1)+IF(O1319="Morning",0,1)),N1319), "")</f>
        <v/>
      </c>
      <c r="Q1324" s="1912"/>
      <c r="S1324" s="1909" t="str">
        <f ca="1">IF(V1319&gt;0,CONCATENATE("Equivalent Pace: ",
TEXT(INDEX(sessions_pace_primary,INDEX(plan_session_allocation,(WEEKDAY(T$3,2)*2-1)+IF(T1319="Morning",0,1),S1319)),"m:ss"),
" min/km"
),"")</f>
        <v/>
      </c>
      <c r="T1324" s="1910"/>
      <c r="U1324" s="1911" t="str">
        <f ca="1">IF(V1319&gt;0, INDEX(final_duration_WU,((WEEKDAY(T$3,2)*2-1)+IF(T1319="Morning",0,1)),S1319)  + INDEX(final_duration_WD,((WEEKDAY(T$3,2)*2-1)+IF(T1319="Morning",0,1)),S1319), "")</f>
        <v/>
      </c>
      <c r="V1324" s="1912"/>
      <c r="X1324" s="1909" t="str">
        <f ca="1">IF(AA1319&gt;0,CONCATENATE("Equivalent Pace: ",
TEXT(INDEX(sessions_pace_primary,INDEX(plan_session_allocation,(WEEKDAY(Y$3,2)*2-1)+IF(Y1319="Morning",0,1),X1319)),"m:ss"),
" min/km"
),"")</f>
        <v/>
      </c>
      <c r="Y1324" s="1910"/>
      <c r="Z1324" s="1911" t="str">
        <f ca="1">IF(AA1319&gt;0, INDEX(final_duration_WU,((WEEKDAY(Y$3,2)*2-1)+IF(Y1319="Morning",0,1)),X1319)  + INDEX(final_duration_WD,((WEEKDAY(Y$3,2)*2-1)+IF(Y1319="Morning",0,1)),X1319), "")</f>
        <v/>
      </c>
      <c r="AA1324" s="1912"/>
      <c r="AC1324" s="1909" t="str">
        <f ca="1">IF(AF1319&gt;0,CONCATENATE("Equivalent Pace: ",
TEXT(INDEX(sessions_pace_primary,INDEX(plan_session_allocation,(WEEKDAY(AD$3,2)*2-1)+IF(AD1319="Morning",0,1),AC1319)),"m:ss"),
" min/km"
),"")</f>
        <v/>
      </c>
      <c r="AD1324" s="1910"/>
      <c r="AE1324" s="1911" t="str">
        <f ca="1">IF(AF1319&gt;0, INDEX(final_duration_WU,((WEEKDAY(AD$3,2)*2-1)+IF(AD1319="Morning",0,1)),AC1319)  + INDEX(final_duration_WD,((WEEKDAY(AD$3,2)*2-1)+IF(AD1319="Morning",0,1)),AC1319), "")</f>
        <v/>
      </c>
      <c r="AF1324" s="1912"/>
      <c r="AH1324" s="1909" t="str">
        <f ca="1">IF(AK1319&gt;0,CONCATENATE("Equivalent Pace: ",
TEXT(INDEX(sessions_pace_primary,INDEX(plan_session_allocation,(WEEKDAY(AI$3,2)*2-1)+IF(AI1319="Morning",0,1),AH1319)),"m:ss"),
" min/km"
),"")</f>
        <v/>
      </c>
      <c r="AI1324" s="1910"/>
      <c r="AJ1324" s="1911" t="str">
        <f ca="1">IF(AK1319&gt;0, INDEX(final_duration_WU,((WEEKDAY(AI$3,2)*2-1)+IF(AI1319="Morning",0,1)),AH1319)  + INDEX(final_duration_WD,((WEEKDAY(AI$3,2)*2-1)+IF(AI1319="Morning",0,1)),AH1319), "")</f>
        <v/>
      </c>
      <c r="AK1324" s="1912"/>
    </row>
    <row r="1325" spans="2:38" s="176" customFormat="1" ht="15" customHeight="1" x14ac:dyDescent="0.45">
      <c r="B1325" s="1942"/>
      <c r="C1325" s="1945"/>
      <c r="D1325" s="1913" t="str">
        <f ca="1">IF(G1319&gt;0,CONCATENATE(IFERROR(CONCATENATE(IF(INDEX(display_intervals_breakdown,((WEEKDAY(E$3,2)*2-1)+IF(E1319="Morning",0,1)),D1319)="","",CONCATENATE("Intervals/Reps Breakdown: 
",INDEX(display_intervals_breakdown,((WEEKDAY(E$3,2)*2-1)+IF(E1319="Morning",0,1)),D1319),"
")),"Session Description: 
",CONCATENATE(IF(INDEX(final_duration_secondary,((WEEKDAY(E$3,2)*2-1)+IF(E1319="Morning",0,1)),D1319)=0,"","1. "),
INDEX(sessions_description_primary,,INDEX(plan_session_allocation,((WEEKDAY(E$3,2)*2-1)+IF(E1319="Morning",0,1)),D1319)),IF(INDEX(final_duration_secondary,((WEEKDAY(E$3,2)*2-1)+IF(E1319="Morning",0,1)),D1319)=0,"","
2. "),
IF(INDEX(final_duration_secondary,((WEEKDAY(E$3,2)*2-1)+IF(E1319="Morning",0,1)),D1319)=0,"",INDEX(sessions_description_secondary,,INDEX(plan_session_allocation,((WEEKDAY(E$3,2)*2-1)+IF(E1319="Morning",0,1)),D1319))),IF(INDEX(final_duration_tertiary,((WEEKDAY(E$3,2)*2-1)+IF(E1319="Morning",0,1)),D1319)=0,"","
3. "),
IF(INDEX(final_duration_tertiary,((WEEKDAY(E$3,2)*2-1)+IF(E1319="Morning",0,1)),D1319)="","",INDEX(sessions_description_tertiary,,INDEX(plan_session_allocation,((WEEKDAY(E$3,2)*2-1)+IF(E1319="Morning",0,1)),D1319))),
IF(INDEX(display_nutrition_description,((WEEKDAY(E$3,2)*2-1)+IF(E1319="Morning",0,1)),D1319)="","",
CONCATENATE("
Meal Plan: ", INDEX(sessions_nutrition,,INDEX(plan_session_allocation,((WEEKDAY(E$3,2)*2-1)+IF(E1319="Morning",0,1)),D1319)), "
", INDEX(display_nutrition_description,((WEEKDAY(E$3,2)*2-1)+IF(E1319="Morning",0,1)),D1319)))
)),"")),"")</f>
        <v/>
      </c>
      <c r="E1325" s="1914"/>
      <c r="F1325" s="1914"/>
      <c r="G1325" s="1915"/>
      <c r="H1325" s="177"/>
      <c r="I1325" s="1913" t="str">
        <f ca="1">IF(L1319&gt;0,CONCATENATE(IFERROR(CONCATENATE(IF(INDEX(display_intervals_breakdown,((WEEKDAY(J$3,2)*2-1)+IF(J1319="Morning",0,1)),I1319)="","",CONCATENATE("Intervals/Reps Breakdown: 
",INDEX(display_intervals_breakdown,((WEEKDAY(J$3,2)*2-1)+IF(J1319="Morning",0,1)),I1319),"
")),"Session Description: 
",CONCATENATE(IF(INDEX(final_duration_secondary,((WEEKDAY(J$3,2)*2-1)+IF(J1319="Morning",0,1)),I1319)=0,"","1. "),
INDEX(sessions_description_primary,,INDEX(plan_session_allocation,((WEEKDAY(J$3,2)*2-1)+IF(J1319="Morning",0,1)),I1319)),IF(INDEX(final_duration_secondary,((WEEKDAY(J$3,2)*2-1)+IF(J1319="Morning",0,1)),I1319)=0,"","
2. "),
IF(INDEX(final_duration_secondary,((WEEKDAY(J$3,2)*2-1)+IF(J1319="Morning",0,1)),I1319)=0,"",INDEX(sessions_description_secondary,,INDEX(plan_session_allocation,((WEEKDAY(J$3,2)*2-1)+IF(J1319="Morning",0,1)),I1319))),IF(INDEX(final_duration_tertiary,((WEEKDAY(J$3,2)*2-1)+IF(J1319="Morning",0,1)),I1319)=0,"","
3. "),
IF(INDEX(final_duration_tertiary,((WEEKDAY(J$3,2)*2-1)+IF(J1319="Morning",0,1)),I1319)="","",INDEX(sessions_description_tertiary,,INDEX(plan_session_allocation,((WEEKDAY(J$3,2)*2-1)+IF(J1319="Morning",0,1)),I1319))),
IF(INDEX(display_nutrition_description,((WEEKDAY(J$3,2)*2-1)+IF(J1319="Morning",0,1)),I1319)="","",
CONCATENATE("
Meal Plan: ", INDEX(sessions_nutrition,,INDEX(plan_session_allocation,((WEEKDAY(J$3,2)*2-1)+IF(J1319="Morning",0,1)),I1319)), "
", INDEX(display_nutrition_description,((WEEKDAY(J$3,2)*2-1)+IF(J1319="Morning",0,1)),I1319)))
)),"")),"")</f>
        <v/>
      </c>
      <c r="J1325" s="1914"/>
      <c r="K1325" s="1914"/>
      <c r="L1325" s="1915"/>
      <c r="M1325" s="177"/>
      <c r="N1325" s="1913" t="str">
        <f ca="1">IF(Q1319&gt;0,CONCATENATE(IFERROR(CONCATENATE(IF(INDEX(display_intervals_breakdown,((WEEKDAY(O$3,2)*2-1)+IF(O1319="Morning",0,1)),N1319)="","",CONCATENATE("Intervals/Reps Breakdown: 
",INDEX(display_intervals_breakdown,((WEEKDAY(O$3,2)*2-1)+IF(O1319="Morning",0,1)),N1319),"
")),"Session Description: 
",CONCATENATE(IF(INDEX(final_duration_secondary,((WEEKDAY(O$3,2)*2-1)+IF(O1319="Morning",0,1)),N1319)=0,"","1. "),
INDEX(sessions_description_primary,,INDEX(plan_session_allocation,((WEEKDAY(O$3,2)*2-1)+IF(O1319="Morning",0,1)),N1319)),IF(INDEX(final_duration_secondary,((WEEKDAY(O$3,2)*2-1)+IF(O1319="Morning",0,1)),N1319)=0,"","
2. "),
IF(INDEX(final_duration_secondary,((WEEKDAY(O$3,2)*2-1)+IF(O1319="Morning",0,1)),N1319)=0,"",INDEX(sessions_description_secondary,,INDEX(plan_session_allocation,((WEEKDAY(O$3,2)*2-1)+IF(O1319="Morning",0,1)),N1319))),IF(INDEX(final_duration_tertiary,((WEEKDAY(O$3,2)*2-1)+IF(O1319="Morning",0,1)),N1319)=0,"","
3. "),
IF(INDEX(final_duration_tertiary,((WEEKDAY(O$3,2)*2-1)+IF(O1319="Morning",0,1)),N1319)="","",INDEX(sessions_description_tertiary,,INDEX(plan_session_allocation,((WEEKDAY(O$3,2)*2-1)+IF(O1319="Morning",0,1)),N1319))),
IF(INDEX(display_nutrition_description,((WEEKDAY(O$3,2)*2-1)+IF(O1319="Morning",0,1)),N1319)="","",
CONCATENATE("
Meal Plan: ", INDEX(sessions_nutrition,,INDEX(plan_session_allocation,((WEEKDAY(O$3,2)*2-1)+IF(O1319="Morning",0,1)),N1319)), "
", INDEX(display_nutrition_description,((WEEKDAY(O$3,2)*2-1)+IF(O1319="Morning",0,1)),N1319)))
)),"")),"")</f>
        <v/>
      </c>
      <c r="O1325" s="1914"/>
      <c r="P1325" s="1914"/>
      <c r="Q1325" s="1915"/>
      <c r="R1325" s="177"/>
      <c r="S1325" s="1913" t="str">
        <f ca="1">IF(V1319&gt;0,CONCATENATE(IFERROR(CONCATENATE(IF(INDEX(display_intervals_breakdown,((WEEKDAY(T$3,2)*2-1)+IF(T1319="Morning",0,1)),S1319)="","",CONCATENATE("Intervals/Reps Breakdown: 
",INDEX(display_intervals_breakdown,((WEEKDAY(T$3,2)*2-1)+IF(T1319="Morning",0,1)),S1319),"
")),"Session Description: 
",CONCATENATE(IF(INDEX(final_duration_secondary,((WEEKDAY(T$3,2)*2-1)+IF(T1319="Morning",0,1)),S1319)=0,"","1. "),
INDEX(sessions_description_primary,,INDEX(plan_session_allocation,((WEEKDAY(T$3,2)*2-1)+IF(T1319="Morning",0,1)),S1319)),IF(INDEX(final_duration_secondary,((WEEKDAY(T$3,2)*2-1)+IF(T1319="Morning",0,1)),S1319)=0,"","
2. "),
IF(INDEX(final_duration_secondary,((WEEKDAY(T$3,2)*2-1)+IF(T1319="Morning",0,1)),S1319)=0,"",INDEX(sessions_description_secondary,,INDEX(plan_session_allocation,((WEEKDAY(T$3,2)*2-1)+IF(T1319="Morning",0,1)),S1319))),IF(INDEX(final_duration_tertiary,((WEEKDAY(T$3,2)*2-1)+IF(T1319="Morning",0,1)),S1319)=0,"","
3. "),
IF(INDEX(final_duration_tertiary,((WEEKDAY(T$3,2)*2-1)+IF(T1319="Morning",0,1)),S1319)="","",INDEX(sessions_description_tertiary,,INDEX(plan_session_allocation,((WEEKDAY(T$3,2)*2-1)+IF(T1319="Morning",0,1)),S1319))),
IF(INDEX(display_nutrition_description,((WEEKDAY(T$3,2)*2-1)+IF(T1319="Morning",0,1)),S1319)="","",
CONCATENATE("
Meal Plan: ", INDEX(sessions_nutrition,,INDEX(plan_session_allocation,((WEEKDAY(T$3,2)*2-1)+IF(T1319="Morning",0,1)),S1319)), "
", INDEX(display_nutrition_description,((WEEKDAY(T$3,2)*2-1)+IF(T1319="Morning",0,1)),S1319)))
)),"")),"")</f>
        <v/>
      </c>
      <c r="T1325" s="1914"/>
      <c r="U1325" s="1914"/>
      <c r="V1325" s="1915"/>
      <c r="W1325" s="177"/>
      <c r="X1325" s="1913" t="str">
        <f ca="1">IF(AA1319&gt;0,CONCATENATE(IFERROR(CONCATENATE(IF(INDEX(display_intervals_breakdown,((WEEKDAY(Y$3,2)*2-1)+IF(Y1319="Morning",0,1)),X1319)="","",CONCATENATE("Intervals/Reps Breakdown: 
",INDEX(display_intervals_breakdown,((WEEKDAY(Y$3,2)*2-1)+IF(Y1319="Morning",0,1)),X1319),"
")),"Session Description: 
",CONCATENATE(IF(INDEX(final_duration_secondary,((WEEKDAY(Y$3,2)*2-1)+IF(Y1319="Morning",0,1)),X1319)=0,"","1. "),
INDEX(sessions_description_primary,,INDEX(plan_session_allocation,((WEEKDAY(Y$3,2)*2-1)+IF(Y1319="Morning",0,1)),X1319)),IF(INDEX(final_duration_secondary,((WEEKDAY(Y$3,2)*2-1)+IF(Y1319="Morning",0,1)),X1319)=0,"","
2. "),
IF(INDEX(final_duration_secondary,((WEEKDAY(Y$3,2)*2-1)+IF(Y1319="Morning",0,1)),X1319)=0,"",INDEX(sessions_description_secondary,,INDEX(plan_session_allocation,((WEEKDAY(Y$3,2)*2-1)+IF(Y1319="Morning",0,1)),X1319))),IF(INDEX(final_duration_tertiary,((WEEKDAY(Y$3,2)*2-1)+IF(Y1319="Morning",0,1)),X1319)=0,"","
3. "),
IF(INDEX(final_duration_tertiary,((WEEKDAY(Y$3,2)*2-1)+IF(Y1319="Morning",0,1)),X1319)="","",INDEX(sessions_description_tertiary,,INDEX(plan_session_allocation,((WEEKDAY(Y$3,2)*2-1)+IF(Y1319="Morning",0,1)),X1319))),
IF(INDEX(display_nutrition_description,((WEEKDAY(Y$3,2)*2-1)+IF(Y1319="Morning",0,1)),X1319)="","",
CONCATENATE("
Meal Plan: ", INDEX(sessions_nutrition,,INDEX(plan_session_allocation,((WEEKDAY(Y$3,2)*2-1)+IF(Y1319="Morning",0,1)),X1319)), "
", INDEX(display_nutrition_description,((WEEKDAY(Y$3,2)*2-1)+IF(Y1319="Morning",0,1)),X1319)))
)),"")),"")</f>
        <v/>
      </c>
      <c r="Y1325" s="1914"/>
      <c r="Z1325" s="1914"/>
      <c r="AA1325" s="1915"/>
      <c r="AB1325" s="177"/>
      <c r="AC1325" s="1913" t="str">
        <f ca="1">IF(AF1319&gt;0,CONCATENATE(IFERROR(CONCATENATE(IF(INDEX(display_intervals_breakdown,((WEEKDAY(AD$3,2)*2-1)+IF(AD1319="Morning",0,1)),AC1319)="","",CONCATENATE("Intervals/Reps Breakdown: 
",INDEX(display_intervals_breakdown,((WEEKDAY(AD$3,2)*2-1)+IF(AD1319="Morning",0,1)),AC1319),"
")),"Session Description: 
",CONCATENATE(IF(INDEX(final_duration_secondary,((WEEKDAY(AD$3,2)*2-1)+IF(AD1319="Morning",0,1)),AC1319)=0,"","1. "),
INDEX(sessions_description_primary,,INDEX(plan_session_allocation,((WEEKDAY(AD$3,2)*2-1)+IF(AD1319="Morning",0,1)),AC1319)),IF(INDEX(final_duration_secondary,((WEEKDAY(AD$3,2)*2-1)+IF(AD1319="Morning",0,1)),AC1319)=0,"","
2. "),
IF(INDEX(final_duration_secondary,((WEEKDAY(AD$3,2)*2-1)+IF(AD1319="Morning",0,1)),AC1319)=0,"",INDEX(sessions_description_secondary,,INDEX(plan_session_allocation,((WEEKDAY(AD$3,2)*2-1)+IF(AD1319="Morning",0,1)),AC1319))),IF(INDEX(final_duration_tertiary,((WEEKDAY(AD$3,2)*2-1)+IF(AD1319="Morning",0,1)),AC1319)=0,"","
3. "),
IF(INDEX(final_duration_tertiary,((WEEKDAY(AD$3,2)*2-1)+IF(AD1319="Morning",0,1)),AC1319)="","",INDEX(sessions_description_tertiary,,INDEX(plan_session_allocation,((WEEKDAY(AD$3,2)*2-1)+IF(AD1319="Morning",0,1)),AC1319))),
IF(INDEX(display_nutrition_description,((WEEKDAY(AD$3,2)*2-1)+IF(AD1319="Morning",0,1)),AC1319)="","",
CONCATENATE("
Meal Plan: ", INDEX(sessions_nutrition,,INDEX(plan_session_allocation,((WEEKDAY(AD$3,2)*2-1)+IF(AD1319="Morning",0,1)),AC1319)), "
", INDEX(display_nutrition_description,((WEEKDAY(AD$3,2)*2-1)+IF(AD1319="Morning",0,1)),AC1319)))
)),"")),"")</f>
        <v/>
      </c>
      <c r="AD1325" s="1914"/>
      <c r="AE1325" s="1914"/>
      <c r="AF1325" s="1915"/>
      <c r="AG1325" s="177"/>
      <c r="AH1325" s="1913" t="str">
        <f ca="1">IF(AK1319&gt;0,CONCATENATE(IFERROR(CONCATENATE(IF(INDEX(display_intervals_breakdown,((WEEKDAY(AI$3,2)*2-1)+IF(AI1319="Morning",0,1)),AH1319)="","",CONCATENATE("Intervals/Reps Breakdown: 
",INDEX(display_intervals_breakdown,((WEEKDAY(AI$3,2)*2-1)+IF(AI1319="Morning",0,1)),AH1319),"
")),"Session Description: 
",CONCATENATE(IF(INDEX(final_duration_secondary,((WEEKDAY(AI$3,2)*2-1)+IF(AI1319="Morning",0,1)),AH1319)=0,"","1. "),
INDEX(sessions_description_primary,,INDEX(plan_session_allocation,((WEEKDAY(AI$3,2)*2-1)+IF(AI1319="Morning",0,1)),AH1319)),IF(INDEX(final_duration_secondary,((WEEKDAY(AI$3,2)*2-1)+IF(AI1319="Morning",0,1)),AH1319)=0,"","
2. "),
IF(INDEX(final_duration_secondary,((WEEKDAY(AI$3,2)*2-1)+IF(AI1319="Morning",0,1)),AH1319)=0,"",INDEX(sessions_description_secondary,,INDEX(plan_session_allocation,((WEEKDAY(AI$3,2)*2-1)+IF(AI1319="Morning",0,1)),AH1319))),IF(INDEX(final_duration_tertiary,((WEEKDAY(AI$3,2)*2-1)+IF(AI1319="Morning",0,1)),AH1319)=0,"","
3. "),
IF(INDEX(final_duration_tertiary,((WEEKDAY(AI$3,2)*2-1)+IF(AI1319="Morning",0,1)),AH1319)="","",INDEX(sessions_description_tertiary,,INDEX(plan_session_allocation,((WEEKDAY(AI$3,2)*2-1)+IF(AI1319="Morning",0,1)),AH1319))),
IF(INDEX(display_nutrition_description,((WEEKDAY(AI$3,2)*2-1)+IF(AI1319="Morning",0,1)),AH1319)="","",
CONCATENATE("
Meal Plan: ", INDEX(sessions_nutrition,,INDEX(plan_session_allocation,((WEEKDAY(AI$3,2)*2-1)+IF(AI1319="Morning",0,1)),AH1319)), "
", INDEX(display_nutrition_description,((WEEKDAY(AI$3,2)*2-1)+IF(AI1319="Morning",0,1)),AH1319)))
)),"")),"")</f>
        <v/>
      </c>
      <c r="AI1325" s="1914"/>
      <c r="AJ1325" s="1914"/>
      <c r="AK1325" s="1915"/>
      <c r="AL1325" s="177"/>
    </row>
    <row r="1326" spans="2:38" s="176" customFormat="1" ht="15" customHeight="1" x14ac:dyDescent="0.45">
      <c r="B1326" s="1942"/>
      <c r="C1326" s="1945"/>
      <c r="D1326" s="1916"/>
      <c r="E1326" s="1917"/>
      <c r="F1326" s="1917"/>
      <c r="G1326" s="1918"/>
      <c r="H1326" s="177"/>
      <c r="I1326" s="1916"/>
      <c r="J1326" s="1917"/>
      <c r="K1326" s="1917"/>
      <c r="L1326" s="1918"/>
      <c r="M1326" s="177"/>
      <c r="N1326" s="1916"/>
      <c r="O1326" s="1917"/>
      <c r="P1326" s="1917"/>
      <c r="Q1326" s="1918"/>
      <c r="R1326" s="177"/>
      <c r="S1326" s="1916"/>
      <c r="T1326" s="1917"/>
      <c r="U1326" s="1917"/>
      <c r="V1326" s="1918"/>
      <c r="W1326" s="177"/>
      <c r="X1326" s="1916"/>
      <c r="Y1326" s="1917"/>
      <c r="Z1326" s="1917"/>
      <c r="AA1326" s="1918"/>
      <c r="AB1326" s="177"/>
      <c r="AC1326" s="1916"/>
      <c r="AD1326" s="1917"/>
      <c r="AE1326" s="1917"/>
      <c r="AF1326" s="1918"/>
      <c r="AG1326" s="177"/>
      <c r="AH1326" s="1916"/>
      <c r="AI1326" s="1917"/>
      <c r="AJ1326" s="1917"/>
      <c r="AK1326" s="1918"/>
      <c r="AL1326" s="177"/>
    </row>
    <row r="1327" spans="2:38" s="176" customFormat="1" ht="15" customHeight="1" x14ac:dyDescent="0.45">
      <c r="B1327" s="1942"/>
      <c r="C1327" s="1945"/>
      <c r="D1327" s="1916"/>
      <c r="E1327" s="1917"/>
      <c r="F1327" s="1917"/>
      <c r="G1327" s="1918"/>
      <c r="H1327" s="177"/>
      <c r="I1327" s="1916"/>
      <c r="J1327" s="1917"/>
      <c r="K1327" s="1917"/>
      <c r="L1327" s="1918"/>
      <c r="M1327" s="177"/>
      <c r="N1327" s="1916"/>
      <c r="O1327" s="1917"/>
      <c r="P1327" s="1917"/>
      <c r="Q1327" s="1918"/>
      <c r="R1327" s="177"/>
      <c r="S1327" s="1916"/>
      <c r="T1327" s="1917"/>
      <c r="U1327" s="1917"/>
      <c r="V1327" s="1918"/>
      <c r="W1327" s="177"/>
      <c r="X1327" s="1916"/>
      <c r="Y1327" s="1917"/>
      <c r="Z1327" s="1917"/>
      <c r="AA1327" s="1918"/>
      <c r="AB1327" s="177"/>
      <c r="AC1327" s="1916"/>
      <c r="AD1327" s="1917"/>
      <c r="AE1327" s="1917"/>
      <c r="AF1327" s="1918"/>
      <c r="AG1327" s="177"/>
      <c r="AH1327" s="1916"/>
      <c r="AI1327" s="1917"/>
      <c r="AJ1327" s="1917"/>
      <c r="AK1327" s="1918"/>
      <c r="AL1327" s="177"/>
    </row>
    <row r="1328" spans="2:38" s="176" customFormat="1" x14ac:dyDescent="0.45">
      <c r="B1328" s="1942"/>
      <c r="C1328" s="1945"/>
      <c r="D1328" s="1916"/>
      <c r="E1328" s="1917"/>
      <c r="F1328" s="1917"/>
      <c r="G1328" s="1918"/>
      <c r="H1328" s="177"/>
      <c r="I1328" s="1916"/>
      <c r="J1328" s="1917"/>
      <c r="K1328" s="1917"/>
      <c r="L1328" s="1918"/>
      <c r="M1328" s="177"/>
      <c r="N1328" s="1916"/>
      <c r="O1328" s="1917"/>
      <c r="P1328" s="1917"/>
      <c r="Q1328" s="1918"/>
      <c r="R1328" s="177"/>
      <c r="S1328" s="1916"/>
      <c r="T1328" s="1917"/>
      <c r="U1328" s="1917"/>
      <c r="V1328" s="1918"/>
      <c r="W1328" s="177"/>
      <c r="X1328" s="1916"/>
      <c r="Y1328" s="1917"/>
      <c r="Z1328" s="1917"/>
      <c r="AA1328" s="1918"/>
      <c r="AB1328" s="177"/>
      <c r="AC1328" s="1916"/>
      <c r="AD1328" s="1917"/>
      <c r="AE1328" s="1917"/>
      <c r="AF1328" s="1918"/>
      <c r="AG1328" s="177"/>
      <c r="AH1328" s="1916"/>
      <c r="AI1328" s="1917"/>
      <c r="AJ1328" s="1917"/>
      <c r="AK1328" s="1918"/>
      <c r="AL1328" s="177"/>
    </row>
    <row r="1329" spans="2:38" s="176" customFormat="1" x14ac:dyDescent="0.45">
      <c r="B1329" s="1942"/>
      <c r="C1329" s="1945"/>
      <c r="D1329" s="1916"/>
      <c r="E1329" s="1917"/>
      <c r="F1329" s="1917"/>
      <c r="G1329" s="1918"/>
      <c r="H1329" s="177"/>
      <c r="I1329" s="1916"/>
      <c r="J1329" s="1917"/>
      <c r="K1329" s="1917"/>
      <c r="L1329" s="1918"/>
      <c r="M1329" s="177"/>
      <c r="N1329" s="1916"/>
      <c r="O1329" s="1917"/>
      <c r="P1329" s="1917"/>
      <c r="Q1329" s="1918"/>
      <c r="R1329" s="177"/>
      <c r="S1329" s="1916"/>
      <c r="T1329" s="1917"/>
      <c r="U1329" s="1917"/>
      <c r="V1329" s="1918"/>
      <c r="W1329" s="177"/>
      <c r="X1329" s="1916"/>
      <c r="Y1329" s="1917"/>
      <c r="Z1329" s="1917"/>
      <c r="AA1329" s="1918"/>
      <c r="AB1329" s="177"/>
      <c r="AC1329" s="1916"/>
      <c r="AD1329" s="1917"/>
      <c r="AE1329" s="1917"/>
      <c r="AF1329" s="1918"/>
      <c r="AG1329" s="177"/>
      <c r="AH1329" s="1916"/>
      <c r="AI1329" s="1917"/>
      <c r="AJ1329" s="1917"/>
      <c r="AK1329" s="1918"/>
      <c r="AL1329" s="177"/>
    </row>
    <row r="1330" spans="2:38" s="176" customFormat="1" x14ac:dyDescent="0.45">
      <c r="B1330" s="1942"/>
      <c r="C1330" s="1945"/>
      <c r="D1330" s="1916"/>
      <c r="E1330" s="1917"/>
      <c r="F1330" s="1917"/>
      <c r="G1330" s="1918"/>
      <c r="H1330" s="177"/>
      <c r="I1330" s="1916"/>
      <c r="J1330" s="1917"/>
      <c r="K1330" s="1917"/>
      <c r="L1330" s="1918"/>
      <c r="M1330" s="177"/>
      <c r="N1330" s="1916"/>
      <c r="O1330" s="1917"/>
      <c r="P1330" s="1917"/>
      <c r="Q1330" s="1918"/>
      <c r="R1330" s="177"/>
      <c r="S1330" s="1916"/>
      <c r="T1330" s="1917"/>
      <c r="U1330" s="1917"/>
      <c r="V1330" s="1918"/>
      <c r="W1330" s="177"/>
      <c r="X1330" s="1916"/>
      <c r="Y1330" s="1917"/>
      <c r="Z1330" s="1917"/>
      <c r="AA1330" s="1918"/>
      <c r="AB1330" s="177"/>
      <c r="AC1330" s="1916"/>
      <c r="AD1330" s="1917"/>
      <c r="AE1330" s="1917"/>
      <c r="AF1330" s="1918"/>
      <c r="AG1330" s="177"/>
      <c r="AH1330" s="1916"/>
      <c r="AI1330" s="1917"/>
      <c r="AJ1330" s="1917"/>
      <c r="AK1330" s="1918"/>
      <c r="AL1330" s="177"/>
    </row>
    <row r="1331" spans="2:38" s="176" customFormat="1" ht="15" customHeight="1" x14ac:dyDescent="0.45">
      <c r="B1331" s="1942"/>
      <c r="C1331" s="1945"/>
      <c r="D1331" s="1916"/>
      <c r="E1331" s="1917"/>
      <c r="F1331" s="1917"/>
      <c r="G1331" s="1918"/>
      <c r="H1331" s="177"/>
      <c r="I1331" s="1916"/>
      <c r="J1331" s="1917"/>
      <c r="K1331" s="1917"/>
      <c r="L1331" s="1918"/>
      <c r="M1331" s="177"/>
      <c r="N1331" s="1916"/>
      <c r="O1331" s="1917"/>
      <c r="P1331" s="1917"/>
      <c r="Q1331" s="1918"/>
      <c r="R1331" s="177"/>
      <c r="S1331" s="1916"/>
      <c r="T1331" s="1917"/>
      <c r="U1331" s="1917"/>
      <c r="V1331" s="1918"/>
      <c r="W1331" s="177"/>
      <c r="X1331" s="1916"/>
      <c r="Y1331" s="1917"/>
      <c r="Z1331" s="1917"/>
      <c r="AA1331" s="1918"/>
      <c r="AB1331" s="177"/>
      <c r="AC1331" s="1916"/>
      <c r="AD1331" s="1917"/>
      <c r="AE1331" s="1917"/>
      <c r="AF1331" s="1918"/>
      <c r="AG1331" s="177"/>
      <c r="AH1331" s="1916"/>
      <c r="AI1331" s="1917"/>
      <c r="AJ1331" s="1917"/>
      <c r="AK1331" s="1918"/>
      <c r="AL1331" s="177"/>
    </row>
    <row r="1332" spans="2:38" s="176" customFormat="1" ht="15" customHeight="1" x14ac:dyDescent="0.45">
      <c r="B1332" s="1942"/>
      <c r="C1332" s="1945"/>
      <c r="D1332" s="1916"/>
      <c r="E1332" s="1917"/>
      <c r="F1332" s="1917"/>
      <c r="G1332" s="1918"/>
      <c r="H1332" s="177"/>
      <c r="I1332" s="1916"/>
      <c r="J1332" s="1917"/>
      <c r="K1332" s="1917"/>
      <c r="L1332" s="1918"/>
      <c r="M1332" s="177"/>
      <c r="N1332" s="1916"/>
      <c r="O1332" s="1917"/>
      <c r="P1332" s="1917"/>
      <c r="Q1332" s="1918"/>
      <c r="R1332" s="177"/>
      <c r="S1332" s="1916"/>
      <c r="T1332" s="1917"/>
      <c r="U1332" s="1917"/>
      <c r="V1332" s="1918"/>
      <c r="W1332" s="177"/>
      <c r="X1332" s="1916"/>
      <c r="Y1332" s="1917"/>
      <c r="Z1332" s="1917"/>
      <c r="AA1332" s="1918"/>
      <c r="AB1332" s="177"/>
      <c r="AC1332" s="1916"/>
      <c r="AD1332" s="1917"/>
      <c r="AE1332" s="1917"/>
      <c r="AF1332" s="1918"/>
      <c r="AG1332" s="177"/>
      <c r="AH1332" s="1916"/>
      <c r="AI1332" s="1917"/>
      <c r="AJ1332" s="1917"/>
      <c r="AK1332" s="1918"/>
      <c r="AL1332" s="177"/>
    </row>
    <row r="1333" spans="2:38" s="176" customFormat="1" x14ac:dyDescent="0.45">
      <c r="B1333" s="1942"/>
      <c r="C1333" s="1945"/>
      <c r="D1333" s="1916"/>
      <c r="E1333" s="1917"/>
      <c r="F1333" s="1917"/>
      <c r="G1333" s="1918"/>
      <c r="H1333" s="177"/>
      <c r="I1333" s="1916"/>
      <c r="J1333" s="1917"/>
      <c r="K1333" s="1917"/>
      <c r="L1333" s="1918"/>
      <c r="M1333" s="177"/>
      <c r="N1333" s="1916"/>
      <c r="O1333" s="1917"/>
      <c r="P1333" s="1917"/>
      <c r="Q1333" s="1918"/>
      <c r="R1333" s="177"/>
      <c r="S1333" s="1916"/>
      <c r="T1333" s="1917"/>
      <c r="U1333" s="1917"/>
      <c r="V1333" s="1918"/>
      <c r="W1333" s="177"/>
      <c r="X1333" s="1916"/>
      <c r="Y1333" s="1917"/>
      <c r="Z1333" s="1917"/>
      <c r="AA1333" s="1918"/>
      <c r="AB1333" s="177"/>
      <c r="AC1333" s="1916"/>
      <c r="AD1333" s="1917"/>
      <c r="AE1333" s="1917"/>
      <c r="AF1333" s="1918"/>
      <c r="AG1333" s="177"/>
      <c r="AH1333" s="1916"/>
      <c r="AI1333" s="1917"/>
      <c r="AJ1333" s="1917"/>
      <c r="AK1333" s="1918"/>
      <c r="AL1333" s="177"/>
    </row>
    <row r="1334" spans="2:38" s="176" customFormat="1" x14ac:dyDescent="0.45">
      <c r="B1334" s="1942"/>
      <c r="C1334" s="1945"/>
      <c r="D1334" s="1916"/>
      <c r="E1334" s="1917"/>
      <c r="F1334" s="1917"/>
      <c r="G1334" s="1918"/>
      <c r="H1334" s="177"/>
      <c r="I1334" s="1916"/>
      <c r="J1334" s="1917"/>
      <c r="K1334" s="1917"/>
      <c r="L1334" s="1918"/>
      <c r="M1334" s="177"/>
      <c r="N1334" s="1916"/>
      <c r="O1334" s="1917"/>
      <c r="P1334" s="1917"/>
      <c r="Q1334" s="1918"/>
      <c r="R1334" s="177"/>
      <c r="S1334" s="1916"/>
      <c r="T1334" s="1917"/>
      <c r="U1334" s="1917"/>
      <c r="V1334" s="1918"/>
      <c r="W1334" s="177"/>
      <c r="X1334" s="1916"/>
      <c r="Y1334" s="1917"/>
      <c r="Z1334" s="1917"/>
      <c r="AA1334" s="1918"/>
      <c r="AB1334" s="177"/>
      <c r="AC1334" s="1916"/>
      <c r="AD1334" s="1917"/>
      <c r="AE1334" s="1917"/>
      <c r="AF1334" s="1918"/>
      <c r="AG1334" s="177"/>
      <c r="AH1334" s="1916"/>
      <c r="AI1334" s="1917"/>
      <c r="AJ1334" s="1917"/>
      <c r="AK1334" s="1918"/>
      <c r="AL1334" s="177"/>
    </row>
    <row r="1335" spans="2:38" s="176" customFormat="1" x14ac:dyDescent="0.45">
      <c r="B1335" s="1942"/>
      <c r="C1335" s="1945"/>
      <c r="D1335" s="1916"/>
      <c r="E1335" s="1917"/>
      <c r="F1335" s="1917"/>
      <c r="G1335" s="1918"/>
      <c r="H1335" s="177"/>
      <c r="I1335" s="1916"/>
      <c r="J1335" s="1917"/>
      <c r="K1335" s="1917"/>
      <c r="L1335" s="1918"/>
      <c r="M1335" s="177"/>
      <c r="N1335" s="1916"/>
      <c r="O1335" s="1917"/>
      <c r="P1335" s="1917"/>
      <c r="Q1335" s="1918"/>
      <c r="R1335" s="177"/>
      <c r="S1335" s="1916"/>
      <c r="T1335" s="1917"/>
      <c r="U1335" s="1917"/>
      <c r="V1335" s="1918"/>
      <c r="W1335" s="177"/>
      <c r="X1335" s="1916"/>
      <c r="Y1335" s="1917"/>
      <c r="Z1335" s="1917"/>
      <c r="AA1335" s="1918"/>
      <c r="AB1335" s="177"/>
      <c r="AC1335" s="1916"/>
      <c r="AD1335" s="1917"/>
      <c r="AE1335" s="1917"/>
      <c r="AF1335" s="1918"/>
      <c r="AG1335" s="177"/>
      <c r="AH1335" s="1916"/>
      <c r="AI1335" s="1917"/>
      <c r="AJ1335" s="1917"/>
      <c r="AK1335" s="1918"/>
      <c r="AL1335" s="177"/>
    </row>
    <row r="1336" spans="2:38" s="176" customFormat="1" x14ac:dyDescent="0.45">
      <c r="B1336" s="1942"/>
      <c r="C1336" s="1945"/>
      <c r="D1336" s="1916"/>
      <c r="E1336" s="1917"/>
      <c r="F1336" s="1917"/>
      <c r="G1336" s="1918"/>
      <c r="H1336" s="177"/>
      <c r="I1336" s="1916"/>
      <c r="J1336" s="1917"/>
      <c r="K1336" s="1917"/>
      <c r="L1336" s="1918"/>
      <c r="M1336" s="177"/>
      <c r="N1336" s="1916"/>
      <c r="O1336" s="1917"/>
      <c r="P1336" s="1917"/>
      <c r="Q1336" s="1918"/>
      <c r="R1336" s="177"/>
      <c r="S1336" s="1916"/>
      <c r="T1336" s="1917"/>
      <c r="U1336" s="1917"/>
      <c r="V1336" s="1918"/>
      <c r="W1336" s="177"/>
      <c r="X1336" s="1916"/>
      <c r="Y1336" s="1917"/>
      <c r="Z1336" s="1917"/>
      <c r="AA1336" s="1918"/>
      <c r="AB1336" s="177"/>
      <c r="AC1336" s="1916"/>
      <c r="AD1336" s="1917"/>
      <c r="AE1336" s="1917"/>
      <c r="AF1336" s="1918"/>
      <c r="AG1336" s="177"/>
      <c r="AH1336" s="1916"/>
      <c r="AI1336" s="1917"/>
      <c r="AJ1336" s="1917"/>
      <c r="AK1336" s="1918"/>
      <c r="AL1336" s="177"/>
    </row>
    <row r="1337" spans="2:38" s="176" customFormat="1" x14ac:dyDescent="0.45">
      <c r="B1337" s="1942"/>
      <c r="C1337" s="1945"/>
      <c r="D1337" s="1916"/>
      <c r="E1337" s="1917"/>
      <c r="F1337" s="1917"/>
      <c r="G1337" s="1918"/>
      <c r="H1337" s="177"/>
      <c r="I1337" s="1916"/>
      <c r="J1337" s="1917"/>
      <c r="K1337" s="1917"/>
      <c r="L1337" s="1918"/>
      <c r="M1337" s="177"/>
      <c r="N1337" s="1916"/>
      <c r="O1337" s="1917"/>
      <c r="P1337" s="1917"/>
      <c r="Q1337" s="1918"/>
      <c r="R1337" s="177"/>
      <c r="S1337" s="1916"/>
      <c r="T1337" s="1917"/>
      <c r="U1337" s="1917"/>
      <c r="V1337" s="1918"/>
      <c r="W1337" s="177"/>
      <c r="X1337" s="1916"/>
      <c r="Y1337" s="1917"/>
      <c r="Z1337" s="1917"/>
      <c r="AA1337" s="1918"/>
      <c r="AB1337" s="177"/>
      <c r="AC1337" s="1916"/>
      <c r="AD1337" s="1917"/>
      <c r="AE1337" s="1917"/>
      <c r="AF1337" s="1918"/>
      <c r="AG1337" s="177"/>
      <c r="AH1337" s="1916"/>
      <c r="AI1337" s="1917"/>
      <c r="AJ1337" s="1917"/>
      <c r="AK1337" s="1918"/>
      <c r="AL1337" s="177"/>
    </row>
    <row r="1338" spans="2:38" s="176" customFormat="1" ht="15" customHeight="1" x14ac:dyDescent="0.45">
      <c r="B1338" s="1942"/>
      <c r="C1338" s="1945"/>
      <c r="D1338" s="1919"/>
      <c r="E1338" s="1920"/>
      <c r="F1338" s="1920"/>
      <c r="G1338" s="1921"/>
      <c r="H1338" s="177"/>
      <c r="I1338" s="1919"/>
      <c r="J1338" s="1920"/>
      <c r="K1338" s="1920"/>
      <c r="L1338" s="1921"/>
      <c r="M1338" s="177"/>
      <c r="N1338" s="1919"/>
      <c r="O1338" s="1920"/>
      <c r="P1338" s="1920"/>
      <c r="Q1338" s="1921"/>
      <c r="R1338" s="177"/>
      <c r="S1338" s="1919"/>
      <c r="T1338" s="1920"/>
      <c r="U1338" s="1920"/>
      <c r="V1338" s="1921"/>
      <c r="W1338" s="177"/>
      <c r="X1338" s="1919"/>
      <c r="Y1338" s="1920"/>
      <c r="Z1338" s="1920"/>
      <c r="AA1338" s="1921"/>
      <c r="AB1338" s="177"/>
      <c r="AC1338" s="1919"/>
      <c r="AD1338" s="1920"/>
      <c r="AE1338" s="1920"/>
      <c r="AF1338" s="1921"/>
      <c r="AG1338" s="177"/>
      <c r="AH1338" s="1919"/>
      <c r="AI1338" s="1920"/>
      <c r="AJ1338" s="1920"/>
      <c r="AK1338" s="1921"/>
      <c r="AL1338" s="177"/>
    </row>
    <row r="1339" spans="2:38" s="176" customFormat="1" ht="15" customHeight="1" x14ac:dyDescent="0.45">
      <c r="B1339" s="1942"/>
      <c r="C1339" s="1945"/>
      <c r="D1339" s="1913" t="str">
        <f ca="1">IF(G1319&gt;0,CONCATENATE("Session Aim: 
", CONCATENATE(IF(INDEX(final_duration_secondary,((WEEKDAY(E$3,2)*2-1)+IF(E1319="Morning",0,1)),D1319)=0, "", "1. "),
INDEX(sessions_aim_primary,, INDEX(plan_session_allocation,((WEEKDAY(E$3,2)*2-1)+IF(E1319="Morning",0,1)),D1319)), IF(INDEX(final_duration_secondary,((WEEKDAY(E$3,2)*2-1)+IF(E1319="Morning",0,1)),D1319)=0, "", "
2. "),
IF(INDEX(final_duration_secondary,((WEEKDAY(E$3,2)*2-1)+IF(E1319="Morning",0,1)),D1319)=0, "", INDEX(sessions_aim_secondary,, INDEX(plan_session_allocation,((WEEKDAY(E$3,2)*2-1)+IF(E1319="Morning",0,1)),D1319))), IF(INDEX(final_duration_tertiary,((WEEKDAY(E$3,2)*2-1)+IF(E1319="Morning",0,1)),D1319)=0, "", "
3. "),
IF(INDEX(final_duration_tertiary,((WEEKDAY(E$3,2)*2-1)+IF(E1319="Morning",0,1)),D1319)=0, "", INDEX(sessions_aim_tertiary,, INDEX(plan_session_allocation,((WEEKDAY(E$3,2)*2-1)+IF(E1319="Morning",0,1)),D1319))),
IF(INDEX(display_nutrition_description,((WEEKDAY(E$3,2)*2-1)+IF(E1319="Morning",0,1)),D1319)="","",
CONCATENATE("
Nutrition Aim:
", INDEX(sessions_aim_nutrition,,INDEX(plan_session_allocation,((WEEKDAY(E$3,2)*2-1)+IF(E1319="Morning",0,1)),D1319))
))
)),"")</f>
        <v/>
      </c>
      <c r="E1339" s="1914"/>
      <c r="F1339" s="1914"/>
      <c r="G1339" s="1915"/>
      <c r="H1339" s="177"/>
      <c r="I1339" s="1913" t="str">
        <f ca="1">IF(L1319&gt;0,CONCATENATE("Session Aim: 
", CONCATENATE(IF(INDEX(final_duration_secondary,((WEEKDAY(J$3,2)*2-1)+IF(J1319="Morning",0,1)),I1319)=0, "", "1. "),
INDEX(sessions_aim_primary,, INDEX(plan_session_allocation,((WEEKDAY(J$3,2)*2-1)+IF(J1319="Morning",0,1)),I1319)), IF(INDEX(final_duration_secondary,((WEEKDAY(J$3,2)*2-1)+IF(J1319="Morning",0,1)),I1319)=0, "", "
2. "),
IF(INDEX(final_duration_secondary,((WEEKDAY(J$3,2)*2-1)+IF(J1319="Morning",0,1)),I1319)=0, "", INDEX(sessions_aim_secondary,, INDEX(plan_session_allocation,((WEEKDAY(J$3,2)*2-1)+IF(J1319="Morning",0,1)),I1319))), IF(INDEX(final_duration_tertiary,((WEEKDAY(J$3,2)*2-1)+IF(J1319="Morning",0,1)),I1319)=0, "", "
3. "),
IF(INDEX(final_duration_tertiary,((WEEKDAY(J$3,2)*2-1)+IF(J1319="Morning",0,1)),I1319)=0, "", INDEX(sessions_aim_tertiary,, INDEX(plan_session_allocation,((WEEKDAY(J$3,2)*2-1)+IF(J1319="Morning",0,1)),I1319))),
IF(INDEX(display_nutrition_description,((WEEKDAY(J$3,2)*2-1)+IF(J1319="Morning",0,1)),I1319)="","",
CONCATENATE("
Nutrition Aim:
", INDEX(sessions_aim_nutrition,,INDEX(plan_session_allocation,((WEEKDAY(J$3,2)*2-1)+IF(J1319="Morning",0,1)),I1319))
))
)),"")</f>
        <v/>
      </c>
      <c r="J1339" s="1914"/>
      <c r="K1339" s="1914"/>
      <c r="L1339" s="1915"/>
      <c r="M1339" s="177"/>
      <c r="N1339" s="1913" t="str">
        <f ca="1">IF(Q1319&gt;0,CONCATENATE("Session Aim: 
", CONCATENATE(IF(INDEX(final_duration_secondary,((WEEKDAY(O$3,2)*2-1)+IF(O1319="Morning",0,1)),N1319)=0, "", "1. "),
INDEX(sessions_aim_primary,, INDEX(plan_session_allocation,((WEEKDAY(O$3,2)*2-1)+IF(O1319="Morning",0,1)),N1319)), IF(INDEX(final_duration_secondary,((WEEKDAY(O$3,2)*2-1)+IF(O1319="Morning",0,1)),N1319)=0, "", "
2. "),
IF(INDEX(final_duration_secondary,((WEEKDAY(O$3,2)*2-1)+IF(O1319="Morning",0,1)),N1319)=0, "", INDEX(sessions_aim_secondary,, INDEX(plan_session_allocation,((WEEKDAY(O$3,2)*2-1)+IF(O1319="Morning",0,1)),N1319))), IF(INDEX(final_duration_tertiary,((WEEKDAY(O$3,2)*2-1)+IF(O1319="Morning",0,1)),N1319)=0, "", "
3. "),
IF(INDEX(final_duration_tertiary,((WEEKDAY(O$3,2)*2-1)+IF(O1319="Morning",0,1)),N1319)=0, "", INDEX(sessions_aim_tertiary,, INDEX(plan_session_allocation,((WEEKDAY(O$3,2)*2-1)+IF(O1319="Morning",0,1)),N1319))),
IF(INDEX(display_nutrition_description,((WEEKDAY(O$3,2)*2-1)+IF(O1319="Morning",0,1)),N1319)="","",
CONCATENATE("
Nutrition Aim:
", INDEX(sessions_aim_nutrition,,INDEX(plan_session_allocation,((WEEKDAY(O$3,2)*2-1)+IF(O1319="Morning",0,1)),N1319))
))
)),"")</f>
        <v/>
      </c>
      <c r="O1339" s="1914"/>
      <c r="P1339" s="1914"/>
      <c r="Q1339" s="1915"/>
      <c r="R1339" s="177"/>
      <c r="S1339" s="1913" t="str">
        <f ca="1">IF(V1319&gt;0,CONCATENATE("Session Aim: 
", CONCATENATE(IF(INDEX(final_duration_secondary,((WEEKDAY(T$3,2)*2-1)+IF(T1319="Morning",0,1)),S1319)=0, "", "1. "),
INDEX(sessions_aim_primary,, INDEX(plan_session_allocation,((WEEKDAY(T$3,2)*2-1)+IF(T1319="Morning",0,1)),S1319)), IF(INDEX(final_duration_secondary,((WEEKDAY(T$3,2)*2-1)+IF(T1319="Morning",0,1)),S1319)=0, "", "
2. "),
IF(INDEX(final_duration_secondary,((WEEKDAY(T$3,2)*2-1)+IF(T1319="Morning",0,1)),S1319)=0, "", INDEX(sessions_aim_secondary,, INDEX(plan_session_allocation,((WEEKDAY(T$3,2)*2-1)+IF(T1319="Morning",0,1)),S1319))), IF(INDEX(final_duration_tertiary,((WEEKDAY(T$3,2)*2-1)+IF(T1319="Morning",0,1)),S1319)=0, "", "
3. "),
IF(INDEX(final_duration_tertiary,((WEEKDAY(T$3,2)*2-1)+IF(T1319="Morning",0,1)),S1319)=0, "", INDEX(sessions_aim_tertiary,, INDEX(plan_session_allocation,((WEEKDAY(T$3,2)*2-1)+IF(T1319="Morning",0,1)),S1319))),
IF(INDEX(display_nutrition_description,((WEEKDAY(T$3,2)*2-1)+IF(T1319="Morning",0,1)),S1319)="","",
CONCATENATE("
Nutrition Aim:
", INDEX(sessions_aim_nutrition,,INDEX(plan_session_allocation,((WEEKDAY(T$3,2)*2-1)+IF(T1319="Morning",0,1)),S1319))
))
)),"")</f>
        <v/>
      </c>
      <c r="T1339" s="1914"/>
      <c r="U1339" s="1914"/>
      <c r="V1339" s="1915"/>
      <c r="W1339" s="177"/>
      <c r="X1339" s="1913" t="str">
        <f ca="1">IF(AA1319&gt;0,CONCATENATE("Session Aim: 
", CONCATENATE(IF(INDEX(final_duration_secondary,((WEEKDAY(Y$3,2)*2-1)+IF(Y1319="Morning",0,1)),X1319)=0, "", "1. "),
INDEX(sessions_aim_primary,, INDEX(plan_session_allocation,((WEEKDAY(Y$3,2)*2-1)+IF(Y1319="Morning",0,1)),X1319)), IF(INDEX(final_duration_secondary,((WEEKDAY(Y$3,2)*2-1)+IF(Y1319="Morning",0,1)),X1319)=0, "", "
2. "),
IF(INDEX(final_duration_secondary,((WEEKDAY(Y$3,2)*2-1)+IF(Y1319="Morning",0,1)),X1319)=0, "", INDEX(sessions_aim_secondary,, INDEX(plan_session_allocation,((WEEKDAY(Y$3,2)*2-1)+IF(Y1319="Morning",0,1)),X1319))), IF(INDEX(final_duration_tertiary,((WEEKDAY(Y$3,2)*2-1)+IF(Y1319="Morning",0,1)),X1319)=0, "", "
3. "),
IF(INDEX(final_duration_tertiary,((WEEKDAY(Y$3,2)*2-1)+IF(Y1319="Morning",0,1)),X1319)=0, "", INDEX(sessions_aim_tertiary,, INDEX(plan_session_allocation,((WEEKDAY(Y$3,2)*2-1)+IF(Y1319="Morning",0,1)),X1319))),
IF(INDEX(display_nutrition_description,((WEEKDAY(Y$3,2)*2-1)+IF(Y1319="Morning",0,1)),X1319)="","",
CONCATENATE("
Nutrition Aim:
", INDEX(sessions_aim_nutrition,,INDEX(plan_session_allocation,((WEEKDAY(Y$3,2)*2-1)+IF(Y1319="Morning",0,1)),X1319))
))
)),"")</f>
        <v/>
      </c>
      <c r="Y1339" s="1914"/>
      <c r="Z1339" s="1914"/>
      <c r="AA1339" s="1915"/>
      <c r="AB1339" s="177"/>
      <c r="AC1339" s="1913" t="str">
        <f ca="1">IF(AF1319&gt;0,CONCATENATE("Session Aim: 
", CONCATENATE(IF(INDEX(final_duration_secondary,((WEEKDAY(AD$3,2)*2-1)+IF(AD1319="Morning",0,1)),AC1319)=0, "", "1. "),
INDEX(sessions_aim_primary,, INDEX(plan_session_allocation,((WEEKDAY(AD$3,2)*2-1)+IF(AD1319="Morning",0,1)),AC1319)), IF(INDEX(final_duration_secondary,((WEEKDAY(AD$3,2)*2-1)+IF(AD1319="Morning",0,1)),AC1319)=0, "", "
2. "),
IF(INDEX(final_duration_secondary,((WEEKDAY(AD$3,2)*2-1)+IF(AD1319="Morning",0,1)),AC1319)=0, "", INDEX(sessions_aim_secondary,, INDEX(plan_session_allocation,((WEEKDAY(AD$3,2)*2-1)+IF(AD1319="Morning",0,1)),AC1319))), IF(INDEX(final_duration_tertiary,((WEEKDAY(AD$3,2)*2-1)+IF(AD1319="Morning",0,1)),AC1319)=0, "", "
3. "),
IF(INDEX(final_duration_tertiary,((WEEKDAY(AD$3,2)*2-1)+IF(AD1319="Morning",0,1)),AC1319)=0, "", INDEX(sessions_aim_tertiary,, INDEX(plan_session_allocation,((WEEKDAY(AD$3,2)*2-1)+IF(AD1319="Morning",0,1)),AC1319))),
IF(INDEX(display_nutrition_description,((WEEKDAY(AD$3,2)*2-1)+IF(AD1319="Morning",0,1)),AC1319)="","",
CONCATENATE("
Nutrition Aim:
", INDEX(sessions_aim_nutrition,,INDEX(plan_session_allocation,((WEEKDAY(AD$3,2)*2-1)+IF(AD1319="Morning",0,1)),AC1319))
))
)),"")</f>
        <v/>
      </c>
      <c r="AD1339" s="1914"/>
      <c r="AE1339" s="1914"/>
      <c r="AF1339" s="1915"/>
      <c r="AG1339" s="177"/>
      <c r="AH1339" s="1913" t="str">
        <f ca="1">IF(AK1319&gt;0,CONCATENATE("Session Aim: 
", CONCATENATE(IF(INDEX(final_duration_secondary,((WEEKDAY(AI$3,2)*2-1)+IF(AI1319="Morning",0,1)),AH1319)=0, "", "1. "),
INDEX(sessions_aim_primary,, INDEX(plan_session_allocation,((WEEKDAY(AI$3,2)*2-1)+IF(AI1319="Morning",0,1)),AH1319)), IF(INDEX(final_duration_secondary,((WEEKDAY(AI$3,2)*2-1)+IF(AI1319="Morning",0,1)),AH1319)=0, "", "
2. "),
IF(INDEX(final_duration_secondary,((WEEKDAY(AI$3,2)*2-1)+IF(AI1319="Morning",0,1)),AH1319)=0, "", INDEX(sessions_aim_secondary,, INDEX(plan_session_allocation,((WEEKDAY(AI$3,2)*2-1)+IF(AI1319="Morning",0,1)),AH1319))), IF(INDEX(final_duration_tertiary,((WEEKDAY(AI$3,2)*2-1)+IF(AI1319="Morning",0,1)),AH1319)=0, "", "
3. "),
IF(INDEX(final_duration_tertiary,((WEEKDAY(AI$3,2)*2-1)+IF(AI1319="Morning",0,1)),AH1319)=0, "", INDEX(sessions_aim_tertiary,, INDEX(plan_session_allocation,((WEEKDAY(AI$3,2)*2-1)+IF(AI1319="Morning",0,1)),AH1319))),
IF(INDEX(display_nutrition_description,((WEEKDAY(AI$3,2)*2-1)+IF(AI1319="Morning",0,1)),AH1319)="","",
CONCATENATE("
Nutrition Aim:
", INDEX(sessions_aim_nutrition,,INDEX(plan_session_allocation,((WEEKDAY(AI$3,2)*2-1)+IF(AI1319="Morning",0,1)),AH1319))
))
)),"")</f>
        <v/>
      </c>
      <c r="AI1339" s="1914"/>
      <c r="AJ1339" s="1914"/>
      <c r="AK1339" s="1915"/>
      <c r="AL1339" s="177"/>
    </row>
    <row r="1340" spans="2:38" s="176" customFormat="1" x14ac:dyDescent="0.45">
      <c r="B1340" s="1942"/>
      <c r="C1340" s="1945"/>
      <c r="D1340" s="1916"/>
      <c r="E1340" s="1917"/>
      <c r="F1340" s="1917"/>
      <c r="G1340" s="1918"/>
      <c r="H1340" s="177"/>
      <c r="I1340" s="1916"/>
      <c r="J1340" s="1917"/>
      <c r="K1340" s="1917"/>
      <c r="L1340" s="1918"/>
      <c r="M1340" s="177"/>
      <c r="N1340" s="1916"/>
      <c r="O1340" s="1917"/>
      <c r="P1340" s="1917"/>
      <c r="Q1340" s="1918"/>
      <c r="R1340" s="177"/>
      <c r="S1340" s="1916"/>
      <c r="T1340" s="1917"/>
      <c r="U1340" s="1917"/>
      <c r="V1340" s="1918"/>
      <c r="W1340" s="177"/>
      <c r="X1340" s="1916"/>
      <c r="Y1340" s="1917"/>
      <c r="Z1340" s="1917"/>
      <c r="AA1340" s="1918"/>
      <c r="AB1340" s="177"/>
      <c r="AC1340" s="1916"/>
      <c r="AD1340" s="1917"/>
      <c r="AE1340" s="1917"/>
      <c r="AF1340" s="1918"/>
      <c r="AG1340" s="177"/>
      <c r="AH1340" s="1916"/>
      <c r="AI1340" s="1917"/>
      <c r="AJ1340" s="1917"/>
      <c r="AK1340" s="1918"/>
      <c r="AL1340" s="177"/>
    </row>
    <row r="1341" spans="2:38" s="176" customFormat="1" x14ac:dyDescent="0.45">
      <c r="B1341" s="1942"/>
      <c r="C1341" s="1945"/>
      <c r="D1341" s="1916"/>
      <c r="E1341" s="1917"/>
      <c r="F1341" s="1917"/>
      <c r="G1341" s="1918"/>
      <c r="H1341" s="177"/>
      <c r="I1341" s="1916"/>
      <c r="J1341" s="1917"/>
      <c r="K1341" s="1917"/>
      <c r="L1341" s="1918"/>
      <c r="M1341" s="177"/>
      <c r="N1341" s="1916"/>
      <c r="O1341" s="1917"/>
      <c r="P1341" s="1917"/>
      <c r="Q1341" s="1918"/>
      <c r="R1341" s="177"/>
      <c r="S1341" s="1916"/>
      <c r="T1341" s="1917"/>
      <c r="U1341" s="1917"/>
      <c r="V1341" s="1918"/>
      <c r="W1341" s="177"/>
      <c r="X1341" s="1916"/>
      <c r="Y1341" s="1917"/>
      <c r="Z1341" s="1917"/>
      <c r="AA1341" s="1918"/>
      <c r="AB1341" s="177"/>
      <c r="AC1341" s="1916"/>
      <c r="AD1341" s="1917"/>
      <c r="AE1341" s="1917"/>
      <c r="AF1341" s="1918"/>
      <c r="AG1341" s="177"/>
      <c r="AH1341" s="1916"/>
      <c r="AI1341" s="1917"/>
      <c r="AJ1341" s="1917"/>
      <c r="AK1341" s="1918"/>
      <c r="AL1341" s="177"/>
    </row>
    <row r="1342" spans="2:38" s="176" customFormat="1" x14ac:dyDescent="0.45">
      <c r="B1342" s="1942"/>
      <c r="C1342" s="1945"/>
      <c r="D1342" s="1916"/>
      <c r="E1342" s="1917"/>
      <c r="F1342" s="1917"/>
      <c r="G1342" s="1918"/>
      <c r="H1342" s="177"/>
      <c r="I1342" s="1916"/>
      <c r="J1342" s="1917"/>
      <c r="K1342" s="1917"/>
      <c r="L1342" s="1918"/>
      <c r="M1342" s="177"/>
      <c r="N1342" s="1916"/>
      <c r="O1342" s="1917"/>
      <c r="P1342" s="1917"/>
      <c r="Q1342" s="1918"/>
      <c r="R1342" s="177"/>
      <c r="S1342" s="1916"/>
      <c r="T1342" s="1917"/>
      <c r="U1342" s="1917"/>
      <c r="V1342" s="1918"/>
      <c r="W1342" s="177"/>
      <c r="X1342" s="1916"/>
      <c r="Y1342" s="1917"/>
      <c r="Z1342" s="1917"/>
      <c r="AA1342" s="1918"/>
      <c r="AB1342" s="177"/>
      <c r="AC1342" s="1916"/>
      <c r="AD1342" s="1917"/>
      <c r="AE1342" s="1917"/>
      <c r="AF1342" s="1918"/>
      <c r="AG1342" s="177"/>
      <c r="AH1342" s="1916"/>
      <c r="AI1342" s="1917"/>
      <c r="AJ1342" s="1917"/>
      <c r="AK1342" s="1918"/>
      <c r="AL1342" s="177"/>
    </row>
    <row r="1343" spans="2:38" s="176" customFormat="1" x14ac:dyDescent="0.45">
      <c r="B1343" s="1942"/>
      <c r="C1343" s="1945"/>
      <c r="D1343" s="1916"/>
      <c r="E1343" s="1917"/>
      <c r="F1343" s="1917"/>
      <c r="G1343" s="1918"/>
      <c r="H1343" s="177"/>
      <c r="I1343" s="1916"/>
      <c r="J1343" s="1917"/>
      <c r="K1343" s="1917"/>
      <c r="L1343" s="1918"/>
      <c r="M1343" s="177"/>
      <c r="N1343" s="1916"/>
      <c r="O1343" s="1917"/>
      <c r="P1343" s="1917"/>
      <c r="Q1343" s="1918"/>
      <c r="R1343" s="177"/>
      <c r="S1343" s="1916"/>
      <c r="T1343" s="1917"/>
      <c r="U1343" s="1917"/>
      <c r="V1343" s="1918"/>
      <c r="W1343" s="177"/>
      <c r="X1343" s="1916"/>
      <c r="Y1343" s="1917"/>
      <c r="Z1343" s="1917"/>
      <c r="AA1343" s="1918"/>
      <c r="AB1343" s="177"/>
      <c r="AC1343" s="1916"/>
      <c r="AD1343" s="1917"/>
      <c r="AE1343" s="1917"/>
      <c r="AF1343" s="1918"/>
      <c r="AG1343" s="177"/>
      <c r="AH1343" s="1916"/>
      <c r="AI1343" s="1917"/>
      <c r="AJ1343" s="1917"/>
      <c r="AK1343" s="1918"/>
      <c r="AL1343" s="177"/>
    </row>
    <row r="1344" spans="2:38" s="176" customFormat="1" x14ac:dyDescent="0.45">
      <c r="B1344" s="1942"/>
      <c r="C1344" s="1945"/>
      <c r="D1344" s="1916"/>
      <c r="E1344" s="1917"/>
      <c r="F1344" s="1917"/>
      <c r="G1344" s="1918"/>
      <c r="H1344" s="177"/>
      <c r="I1344" s="1916"/>
      <c r="J1344" s="1917"/>
      <c r="K1344" s="1917"/>
      <c r="L1344" s="1918"/>
      <c r="N1344" s="1916"/>
      <c r="O1344" s="1917"/>
      <c r="P1344" s="1917"/>
      <c r="Q1344" s="1918"/>
      <c r="S1344" s="1916"/>
      <c r="T1344" s="1917"/>
      <c r="U1344" s="1917"/>
      <c r="V1344" s="1918"/>
      <c r="X1344" s="1916"/>
      <c r="Y1344" s="1917"/>
      <c r="Z1344" s="1917"/>
      <c r="AA1344" s="1918"/>
      <c r="AC1344" s="1916"/>
      <c r="AD1344" s="1917"/>
      <c r="AE1344" s="1917"/>
      <c r="AF1344" s="1918"/>
      <c r="AH1344" s="1916"/>
      <c r="AI1344" s="1917"/>
      <c r="AJ1344" s="1917"/>
      <c r="AK1344" s="1918"/>
    </row>
    <row r="1345" spans="2:37" s="176" customFormat="1" ht="14.65" thickBot="1" x14ac:dyDescent="0.5">
      <c r="B1345" s="1943"/>
      <c r="C1345" s="1946"/>
      <c r="D1345" s="1938"/>
      <c r="E1345" s="1939"/>
      <c r="F1345" s="1939"/>
      <c r="G1345" s="1940"/>
      <c r="H1345" s="177"/>
      <c r="I1345" s="1938"/>
      <c r="J1345" s="1939"/>
      <c r="K1345" s="1939"/>
      <c r="L1345" s="1940"/>
      <c r="N1345" s="1938"/>
      <c r="O1345" s="1939"/>
      <c r="P1345" s="1939"/>
      <c r="Q1345" s="1940"/>
      <c r="S1345" s="1938"/>
      <c r="T1345" s="1939"/>
      <c r="U1345" s="1939"/>
      <c r="V1345" s="1940"/>
      <c r="X1345" s="1938"/>
      <c r="Y1345" s="1939"/>
      <c r="Z1345" s="1939"/>
      <c r="AA1345" s="1940"/>
      <c r="AC1345" s="1938"/>
      <c r="AD1345" s="1939"/>
      <c r="AE1345" s="1939"/>
      <c r="AF1345" s="1940"/>
      <c r="AH1345" s="1938"/>
      <c r="AI1345" s="1939"/>
      <c r="AJ1345" s="1939"/>
      <c r="AK1345" s="1940"/>
    </row>
  </sheetData>
  <sheetProtection algorithmName="SHA-512" hashValue="5cVB4TJVi1NRqrNqpE2M4NbC10hVJ943gi9sEPqXjNDmFHG6J+VGhDElOT6vr8ipGl4LC7H8ZcY8nsp85/lAXg==" saltValue="fKlpABmTXqwKB4tH1cc5KA==" spinCount="100000" sheet="1" objects="1" scenarios="1"/>
  <mergeCells count="4255">
    <mergeCell ref="AH89:AI89"/>
    <mergeCell ref="AJ89:AK89"/>
    <mergeCell ref="AH1312:AK1318"/>
    <mergeCell ref="E1319:F1319"/>
    <mergeCell ref="J1319:K1319"/>
    <mergeCell ref="O1319:P1319"/>
    <mergeCell ref="T1319:U1319"/>
    <mergeCell ref="B59:B113"/>
    <mergeCell ref="C59:C113"/>
    <mergeCell ref="E59:F59"/>
    <mergeCell ref="J59:K59"/>
    <mergeCell ref="O59:P59"/>
    <mergeCell ref="T59:U59"/>
    <mergeCell ref="Y59:Z59"/>
    <mergeCell ref="AD59:AE59"/>
    <mergeCell ref="AI59:AJ59"/>
    <mergeCell ref="J60:K60"/>
    <mergeCell ref="O60:P60"/>
    <mergeCell ref="T60:U60"/>
    <mergeCell ref="Y60:Z60"/>
    <mergeCell ref="AD60:AE60"/>
    <mergeCell ref="AI60:AJ60"/>
    <mergeCell ref="D62:E62"/>
    <mergeCell ref="F62:G62"/>
    <mergeCell ref="N62:O62"/>
    <mergeCell ref="P62:Q62"/>
    <mergeCell ref="U62:V62"/>
    <mergeCell ref="X62:Y62"/>
    <mergeCell ref="AC89:AD89"/>
    <mergeCell ref="F89:G89"/>
    <mergeCell ref="I89:J89"/>
    <mergeCell ref="K89:L89"/>
    <mergeCell ref="U65:V65"/>
    <mergeCell ref="X65:Y65"/>
    <mergeCell ref="Z65:AA65"/>
    <mergeCell ref="F65:G65"/>
    <mergeCell ref="AE89:AF89"/>
    <mergeCell ref="AC1339:AF1345"/>
    <mergeCell ref="AC342:AD342"/>
    <mergeCell ref="X285:AA285"/>
    <mergeCell ref="AC285:AF285"/>
    <mergeCell ref="I145:J145"/>
    <mergeCell ref="N541:Q554"/>
    <mergeCell ref="S541:V554"/>
    <mergeCell ref="I1238:J1238"/>
    <mergeCell ref="K1238:L1238"/>
    <mergeCell ref="N1238:O1238"/>
    <mergeCell ref="P1238:Q1238"/>
    <mergeCell ref="S1238:T1238"/>
    <mergeCell ref="U1238:V1238"/>
    <mergeCell ref="X1238:Y1238"/>
    <mergeCell ref="Z1238:AA1238"/>
    <mergeCell ref="AC1238:AD1238"/>
    <mergeCell ref="D1339:G1345"/>
    <mergeCell ref="I1339:L1345"/>
    <mergeCell ref="N1339:Q1345"/>
    <mergeCell ref="S1339:V1345"/>
    <mergeCell ref="X1339:AA1345"/>
    <mergeCell ref="D118:E118"/>
    <mergeCell ref="F118:G118"/>
    <mergeCell ref="D119:E119"/>
    <mergeCell ref="F119:G119"/>
    <mergeCell ref="D541:G554"/>
    <mergeCell ref="D555:G561"/>
    <mergeCell ref="AH1339:AK1345"/>
    <mergeCell ref="E591:F591"/>
    <mergeCell ref="D592:G592"/>
    <mergeCell ref="D593:E593"/>
    <mergeCell ref="F593:G593"/>
    <mergeCell ref="D595:E595"/>
    <mergeCell ref="D819:E819"/>
    <mergeCell ref="F819:G819"/>
    <mergeCell ref="I819:J819"/>
    <mergeCell ref="D835:G841"/>
    <mergeCell ref="D920:G926"/>
    <mergeCell ref="S920:V926"/>
    <mergeCell ref="X920:AA926"/>
    <mergeCell ref="AC920:AF926"/>
    <mergeCell ref="D1312:G1318"/>
    <mergeCell ref="I1312:L1318"/>
    <mergeCell ref="N1312:Q1318"/>
    <mergeCell ref="S1312:V1318"/>
    <mergeCell ref="X1312:AA1318"/>
    <mergeCell ref="AC1312:AF1318"/>
    <mergeCell ref="F790:G790"/>
    <mergeCell ref="D707:E707"/>
    <mergeCell ref="F707:G707"/>
    <mergeCell ref="X707:Y707"/>
    <mergeCell ref="Z707:AA707"/>
    <mergeCell ref="AC707:AD707"/>
    <mergeCell ref="E788:F788"/>
    <mergeCell ref="D761:E761"/>
    <mergeCell ref="F761:G761"/>
    <mergeCell ref="D762:E762"/>
    <mergeCell ref="F762:G762"/>
    <mergeCell ref="D779:G785"/>
    <mergeCell ref="D8:E8"/>
    <mergeCell ref="D9:E9"/>
    <mergeCell ref="Z62:AA62"/>
    <mergeCell ref="D63:E63"/>
    <mergeCell ref="U63:V63"/>
    <mergeCell ref="X63:Y63"/>
    <mergeCell ref="F36:G36"/>
    <mergeCell ref="D32:G32"/>
    <mergeCell ref="N33:O33"/>
    <mergeCell ref="K33:L33"/>
    <mergeCell ref="U36:V36"/>
    <mergeCell ref="N36:O36"/>
    <mergeCell ref="I36:J36"/>
    <mergeCell ref="S35:T35"/>
    <mergeCell ref="S89:T89"/>
    <mergeCell ref="U89:V89"/>
    <mergeCell ref="X89:Y89"/>
    <mergeCell ref="Z89:AA89"/>
    <mergeCell ref="D65:E65"/>
    <mergeCell ref="D33:E33"/>
    <mergeCell ref="D35:E35"/>
    <mergeCell ref="F35:G35"/>
    <mergeCell ref="N35:O35"/>
    <mergeCell ref="I35:J35"/>
    <mergeCell ref="U34:V34"/>
    <mergeCell ref="E60:F60"/>
    <mergeCell ref="D61:G61"/>
    <mergeCell ref="D64:E64"/>
    <mergeCell ref="F64:G64"/>
    <mergeCell ref="I51:L57"/>
    <mergeCell ref="K36:L36"/>
    <mergeCell ref="O87:P87"/>
    <mergeCell ref="X8:Y8"/>
    <mergeCell ref="X9:Y9"/>
    <mergeCell ref="D331:G337"/>
    <mergeCell ref="Z342:AA342"/>
    <mergeCell ref="N285:Q285"/>
    <mergeCell ref="S285:V285"/>
    <mergeCell ref="N89:O89"/>
    <mergeCell ref="P89:Q89"/>
    <mergeCell ref="N64:O64"/>
    <mergeCell ref="I2:L2"/>
    <mergeCell ref="S5:V5"/>
    <mergeCell ref="S34:T34"/>
    <mergeCell ref="X33:Y33"/>
    <mergeCell ref="X6:Y6"/>
    <mergeCell ref="O31:P31"/>
    <mergeCell ref="P36:Q36"/>
    <mergeCell ref="S36:T36"/>
    <mergeCell ref="X35:Y35"/>
    <mergeCell ref="Y31:Z31"/>
    <mergeCell ref="X32:AA32"/>
    <mergeCell ref="T31:U31"/>
    <mergeCell ref="N32:Q32"/>
    <mergeCell ref="S32:V32"/>
    <mergeCell ref="K35:L35"/>
    <mergeCell ref="F33:G33"/>
    <mergeCell ref="Z6:AA6"/>
    <mergeCell ref="X7:Y7"/>
    <mergeCell ref="Z7:AA7"/>
    <mergeCell ref="D2:G2"/>
    <mergeCell ref="F6:G6"/>
    <mergeCell ref="F8:G8"/>
    <mergeCell ref="F9:G9"/>
    <mergeCell ref="AC90:AD90"/>
    <mergeCell ref="Z90:AA90"/>
    <mergeCell ref="X90:Y90"/>
    <mergeCell ref="U90:V90"/>
    <mergeCell ref="Z9:AA9"/>
    <mergeCell ref="N9:O9"/>
    <mergeCell ref="S9:T9"/>
    <mergeCell ref="O4:P4"/>
    <mergeCell ref="S8:T8"/>
    <mergeCell ref="U8:V8"/>
    <mergeCell ref="N6:O6"/>
    <mergeCell ref="P6:Q6"/>
    <mergeCell ref="S6:T6"/>
    <mergeCell ref="U6:V6"/>
    <mergeCell ref="AE8:AF8"/>
    <mergeCell ref="X2:AA2"/>
    <mergeCell ref="Y3:Z3"/>
    <mergeCell ref="Y4:Z4"/>
    <mergeCell ref="X5:AA5"/>
    <mergeCell ref="N7:O7"/>
    <mergeCell ref="Z8:AA8"/>
    <mergeCell ref="P9:Q9"/>
    <mergeCell ref="N2:Q2"/>
    <mergeCell ref="S2:V2"/>
    <mergeCell ref="O3:P3"/>
    <mergeCell ref="U9:V9"/>
    <mergeCell ref="P8:Q8"/>
    <mergeCell ref="N8:O8"/>
    <mergeCell ref="U7:V7"/>
    <mergeCell ref="S7:T7"/>
    <mergeCell ref="P7:Q7"/>
    <mergeCell ref="T4:U4"/>
    <mergeCell ref="D90:E90"/>
    <mergeCell ref="F90:G90"/>
    <mergeCell ref="D145:E145"/>
    <mergeCell ref="F145:G145"/>
    <mergeCell ref="D91:E91"/>
    <mergeCell ref="F91:G91"/>
    <mergeCell ref="I91:J91"/>
    <mergeCell ref="K91:L91"/>
    <mergeCell ref="N91:O91"/>
    <mergeCell ref="P91:Q91"/>
    <mergeCell ref="F63:G63"/>
    <mergeCell ref="I63:J63"/>
    <mergeCell ref="K63:L63"/>
    <mergeCell ref="N63:O63"/>
    <mergeCell ref="P63:Q63"/>
    <mergeCell ref="D66:G79"/>
    <mergeCell ref="D89:E89"/>
    <mergeCell ref="D92:E92"/>
    <mergeCell ref="F92:G92"/>
    <mergeCell ref="D107:G113"/>
    <mergeCell ref="I107:L113"/>
    <mergeCell ref="N107:Q113"/>
    <mergeCell ref="D136:G142"/>
    <mergeCell ref="I136:L142"/>
    <mergeCell ref="N136:Q142"/>
    <mergeCell ref="I65:J65"/>
    <mergeCell ref="D122:G135"/>
    <mergeCell ref="I122:L135"/>
    <mergeCell ref="N122:Q135"/>
    <mergeCell ref="D144:G144"/>
    <mergeCell ref="I144:L144"/>
    <mergeCell ref="N144:Q144"/>
    <mergeCell ref="AH24:AK30"/>
    <mergeCell ref="AC24:AF30"/>
    <mergeCell ref="X24:AA30"/>
    <mergeCell ref="S24:V30"/>
    <mergeCell ref="N24:Q30"/>
    <mergeCell ref="Z33:AA33"/>
    <mergeCell ref="AH2:AK2"/>
    <mergeCell ref="AI3:AJ3"/>
    <mergeCell ref="AI4:AJ4"/>
    <mergeCell ref="AH5:AK5"/>
    <mergeCell ref="AH6:AI6"/>
    <mergeCell ref="AJ6:AK6"/>
    <mergeCell ref="AH7:AI7"/>
    <mergeCell ref="AJ7:AK7"/>
    <mergeCell ref="AH8:AI8"/>
    <mergeCell ref="AJ8:AK8"/>
    <mergeCell ref="AH9:AI9"/>
    <mergeCell ref="AJ9:AK9"/>
    <mergeCell ref="AI31:AJ31"/>
    <mergeCell ref="AC9:AD9"/>
    <mergeCell ref="AE9:AF9"/>
    <mergeCell ref="AD31:AE31"/>
    <mergeCell ref="AC2:AF2"/>
    <mergeCell ref="AD3:AE3"/>
    <mergeCell ref="AD4:AE4"/>
    <mergeCell ref="AC5:AF5"/>
    <mergeCell ref="AC8:AD8"/>
    <mergeCell ref="T3:U3"/>
    <mergeCell ref="AC6:AD6"/>
    <mergeCell ref="AE6:AF6"/>
    <mergeCell ref="AC7:AD7"/>
    <mergeCell ref="AE7:AF7"/>
    <mergeCell ref="I32:L32"/>
    <mergeCell ref="U33:V33"/>
    <mergeCell ref="I34:J34"/>
    <mergeCell ref="K34:L34"/>
    <mergeCell ref="P35:Q35"/>
    <mergeCell ref="P34:Q34"/>
    <mergeCell ref="N34:O34"/>
    <mergeCell ref="S33:T33"/>
    <mergeCell ref="P33:Q33"/>
    <mergeCell ref="AH37:AK50"/>
    <mergeCell ref="AC37:AF50"/>
    <mergeCell ref="Z35:AA35"/>
    <mergeCell ref="X34:Y34"/>
    <mergeCell ref="Z34:AA34"/>
    <mergeCell ref="U35:V35"/>
    <mergeCell ref="X36:Y36"/>
    <mergeCell ref="Z36:AA36"/>
    <mergeCell ref="AJ34:AK34"/>
    <mergeCell ref="AH36:AI36"/>
    <mergeCell ref="AJ36:AK36"/>
    <mergeCell ref="AC35:AD35"/>
    <mergeCell ref="AC36:AD36"/>
    <mergeCell ref="AE36:AF36"/>
    <mergeCell ref="B3:B57"/>
    <mergeCell ref="C3:C57"/>
    <mergeCell ref="D10:G23"/>
    <mergeCell ref="D24:G30"/>
    <mergeCell ref="D37:G50"/>
    <mergeCell ref="D51:G57"/>
    <mergeCell ref="J31:K31"/>
    <mergeCell ref="K6:L6"/>
    <mergeCell ref="I6:J6"/>
    <mergeCell ref="I5:L5"/>
    <mergeCell ref="J4:K4"/>
    <mergeCell ref="J3:K3"/>
    <mergeCell ref="E3:F3"/>
    <mergeCell ref="E4:F4"/>
    <mergeCell ref="N5:Q5"/>
    <mergeCell ref="F7:G7"/>
    <mergeCell ref="D7:E7"/>
    <mergeCell ref="D5:G5"/>
    <mergeCell ref="K8:L8"/>
    <mergeCell ref="N10:Q23"/>
    <mergeCell ref="I10:L23"/>
    <mergeCell ref="K9:L9"/>
    <mergeCell ref="I9:J9"/>
    <mergeCell ref="I8:J8"/>
    <mergeCell ref="K7:L7"/>
    <mergeCell ref="I7:J7"/>
    <mergeCell ref="I24:L30"/>
    <mergeCell ref="F34:G34"/>
    <mergeCell ref="D34:E34"/>
    <mergeCell ref="E31:F31"/>
    <mergeCell ref="D6:E6"/>
    <mergeCell ref="D36:E36"/>
    <mergeCell ref="AJ118:AK118"/>
    <mergeCell ref="AH118:AI118"/>
    <mergeCell ref="AE118:AF118"/>
    <mergeCell ref="AC118:AD118"/>
    <mergeCell ref="Z118:AA118"/>
    <mergeCell ref="X118:Y118"/>
    <mergeCell ref="U118:V118"/>
    <mergeCell ref="S118:T118"/>
    <mergeCell ref="P118:Q118"/>
    <mergeCell ref="N118:O118"/>
    <mergeCell ref="K118:L118"/>
    <mergeCell ref="I120:J120"/>
    <mergeCell ref="K120:L120"/>
    <mergeCell ref="N120:O120"/>
    <mergeCell ref="P120:Q120"/>
    <mergeCell ref="S120:T120"/>
    <mergeCell ref="U120:V120"/>
    <mergeCell ref="X120:Y120"/>
    <mergeCell ref="Z120:AA120"/>
    <mergeCell ref="AC120:AD120"/>
    <mergeCell ref="AE120:AF120"/>
    <mergeCell ref="S119:T119"/>
    <mergeCell ref="P119:Q119"/>
    <mergeCell ref="N119:O119"/>
    <mergeCell ref="K119:L119"/>
    <mergeCell ref="I119:J119"/>
    <mergeCell ref="AH120:AI120"/>
    <mergeCell ref="AJ120:AK120"/>
    <mergeCell ref="D514:G527"/>
    <mergeCell ref="D528:G534"/>
    <mergeCell ref="E535:F535"/>
    <mergeCell ref="Y535:Z535"/>
    <mergeCell ref="AD535:AE535"/>
    <mergeCell ref="D536:G536"/>
    <mergeCell ref="I536:L536"/>
    <mergeCell ref="N536:Q536"/>
    <mergeCell ref="S536:V536"/>
    <mergeCell ref="X536:AA536"/>
    <mergeCell ref="AC536:AF536"/>
    <mergeCell ref="J535:K535"/>
    <mergeCell ref="O535:P535"/>
    <mergeCell ref="T535:U535"/>
    <mergeCell ref="I541:L554"/>
    <mergeCell ref="X541:AA554"/>
    <mergeCell ref="AC541:AF554"/>
    <mergeCell ref="AC528:AF534"/>
    <mergeCell ref="D537:E537"/>
    <mergeCell ref="F537:G537"/>
    <mergeCell ref="I537:J537"/>
    <mergeCell ref="K537:L537"/>
    <mergeCell ref="N537:O537"/>
    <mergeCell ref="P537:Q537"/>
    <mergeCell ref="S537:T537"/>
    <mergeCell ref="U537:V537"/>
    <mergeCell ref="X537:Y537"/>
    <mergeCell ref="Z537:AA537"/>
    <mergeCell ref="AC537:AD537"/>
    <mergeCell ref="AE537:AF537"/>
    <mergeCell ref="D540:E540"/>
    <mergeCell ref="F540:G540"/>
    <mergeCell ref="C787:C841"/>
    <mergeCell ref="AJ737:AK737"/>
    <mergeCell ref="AH736:AI736"/>
    <mergeCell ref="D736:E736"/>
    <mergeCell ref="F736:G736"/>
    <mergeCell ref="I736:J736"/>
    <mergeCell ref="K736:L736"/>
    <mergeCell ref="N736:O736"/>
    <mergeCell ref="P736:Q736"/>
    <mergeCell ref="AH764:AI764"/>
    <mergeCell ref="AE764:AF764"/>
    <mergeCell ref="AC764:AD764"/>
    <mergeCell ref="AJ764:AK764"/>
    <mergeCell ref="D737:E737"/>
    <mergeCell ref="F737:G737"/>
    <mergeCell ref="I737:J737"/>
    <mergeCell ref="K737:L737"/>
    <mergeCell ref="N737:O737"/>
    <mergeCell ref="P737:Q737"/>
    <mergeCell ref="S737:T737"/>
    <mergeCell ref="U737:V737"/>
    <mergeCell ref="X737:Y737"/>
    <mergeCell ref="Z737:AA737"/>
    <mergeCell ref="AH835:AK841"/>
    <mergeCell ref="AC835:AF841"/>
    <mergeCell ref="X835:AA841"/>
    <mergeCell ref="S835:V841"/>
    <mergeCell ref="N835:Q841"/>
    <mergeCell ref="I835:L841"/>
    <mergeCell ref="I818:J818"/>
    <mergeCell ref="K818:L818"/>
    <mergeCell ref="N818:O818"/>
    <mergeCell ref="D846:E846"/>
    <mergeCell ref="F846:G846"/>
    <mergeCell ref="D847:E847"/>
    <mergeCell ref="F847:G847"/>
    <mergeCell ref="D820:E820"/>
    <mergeCell ref="F820:G820"/>
    <mergeCell ref="D875:E875"/>
    <mergeCell ref="F875:G875"/>
    <mergeCell ref="D873:E873"/>
    <mergeCell ref="F873:G873"/>
    <mergeCell ref="D874:E874"/>
    <mergeCell ref="F874:G874"/>
    <mergeCell ref="B787:B841"/>
    <mergeCell ref="K819:L819"/>
    <mergeCell ref="N819:O819"/>
    <mergeCell ref="P819:Q819"/>
    <mergeCell ref="S819:T819"/>
    <mergeCell ref="E815:F815"/>
    <mergeCell ref="D818:E818"/>
    <mergeCell ref="F818:G818"/>
    <mergeCell ref="S847:T847"/>
    <mergeCell ref="P847:Q847"/>
    <mergeCell ref="N847:O847"/>
    <mergeCell ref="K847:L847"/>
    <mergeCell ref="D793:E793"/>
    <mergeCell ref="F793:G793"/>
    <mergeCell ref="D791:E791"/>
    <mergeCell ref="F791:G791"/>
    <mergeCell ref="D792:E792"/>
    <mergeCell ref="F792:G792"/>
    <mergeCell ref="D789:G789"/>
    <mergeCell ref="D790:E790"/>
    <mergeCell ref="AE1238:AF1238"/>
    <mergeCell ref="AH1238:AI1238"/>
    <mergeCell ref="AJ1238:AK1238"/>
    <mergeCell ref="D1130:G1143"/>
    <mergeCell ref="I1130:L1143"/>
    <mergeCell ref="N1130:Q1143"/>
    <mergeCell ref="S1130:V1143"/>
    <mergeCell ref="X1130:AA1143"/>
    <mergeCell ref="AC1130:AF1143"/>
    <mergeCell ref="AH1130:AK1143"/>
    <mergeCell ref="D1144:G1150"/>
    <mergeCell ref="I1144:L1150"/>
    <mergeCell ref="N1144:Q1150"/>
    <mergeCell ref="S1144:V1150"/>
    <mergeCell ref="X1144:AA1150"/>
    <mergeCell ref="AC1144:AF1150"/>
    <mergeCell ref="AH1144:AK1150"/>
    <mergeCell ref="E1151:F1151"/>
    <mergeCell ref="J1151:K1151"/>
    <mergeCell ref="O1151:P1151"/>
    <mergeCell ref="T1151:U1151"/>
    <mergeCell ref="Y1151:Z1151"/>
    <mergeCell ref="AD1151:AE1151"/>
    <mergeCell ref="AI1151:AJ1151"/>
    <mergeCell ref="D1152:G1152"/>
    <mergeCell ref="I1152:L1152"/>
    <mergeCell ref="N1152:Q1152"/>
    <mergeCell ref="S1152:V1152"/>
    <mergeCell ref="X1152:AA1152"/>
    <mergeCell ref="AC1152:AF1152"/>
    <mergeCell ref="AH1152:AK1152"/>
    <mergeCell ref="D1153:E1153"/>
    <mergeCell ref="N957:Q957"/>
    <mergeCell ref="S957:V957"/>
    <mergeCell ref="X957:AA957"/>
    <mergeCell ref="AC957:AF957"/>
    <mergeCell ref="AH957:AK957"/>
    <mergeCell ref="N1069:Q1069"/>
    <mergeCell ref="S1069:V1069"/>
    <mergeCell ref="X1069:AA1069"/>
    <mergeCell ref="AC1069:AF1069"/>
    <mergeCell ref="AH1069:AK1069"/>
    <mergeCell ref="I1126:J1126"/>
    <mergeCell ref="K1126:L1126"/>
    <mergeCell ref="N1126:O1126"/>
    <mergeCell ref="P1126:Q1126"/>
    <mergeCell ref="S1126:T1126"/>
    <mergeCell ref="N1181:Q1181"/>
    <mergeCell ref="S1181:V1181"/>
    <mergeCell ref="X1181:AA1181"/>
    <mergeCell ref="AC1181:AF1181"/>
    <mergeCell ref="AH1181:AK1181"/>
    <mergeCell ref="I1014:J1014"/>
    <mergeCell ref="K1014:L1014"/>
    <mergeCell ref="N1014:O1014"/>
    <mergeCell ref="P1014:Q1014"/>
    <mergeCell ref="S1014:T1014"/>
    <mergeCell ref="U1014:V1014"/>
    <mergeCell ref="X1014:Y1014"/>
    <mergeCell ref="Z1014:AA1014"/>
    <mergeCell ref="AC1014:AD1014"/>
    <mergeCell ref="AE1014:AF1014"/>
    <mergeCell ref="AH1014:AI1014"/>
    <mergeCell ref="AJ1014:AK1014"/>
    <mergeCell ref="I902:J902"/>
    <mergeCell ref="K902:L902"/>
    <mergeCell ref="N902:O902"/>
    <mergeCell ref="P902:Q902"/>
    <mergeCell ref="S902:T902"/>
    <mergeCell ref="U902:V902"/>
    <mergeCell ref="X902:Y902"/>
    <mergeCell ref="Z902:AA902"/>
    <mergeCell ref="AC902:AD902"/>
    <mergeCell ref="AE902:AF902"/>
    <mergeCell ref="AH902:AI902"/>
    <mergeCell ref="AJ902:AK902"/>
    <mergeCell ref="I920:L926"/>
    <mergeCell ref="N920:Q926"/>
    <mergeCell ref="AJ929:AK929"/>
    <mergeCell ref="AH929:AI929"/>
    <mergeCell ref="AE929:AF929"/>
    <mergeCell ref="AC929:AD929"/>
    <mergeCell ref="Z929:AA929"/>
    <mergeCell ref="X929:Y929"/>
    <mergeCell ref="U929:V929"/>
    <mergeCell ref="S929:T929"/>
    <mergeCell ref="P929:Q929"/>
    <mergeCell ref="N929:O929"/>
    <mergeCell ref="K929:L929"/>
    <mergeCell ref="I929:J929"/>
    <mergeCell ref="AH920:AK926"/>
    <mergeCell ref="AJ875:AK875"/>
    <mergeCell ref="AH875:AI875"/>
    <mergeCell ref="AE875:AF875"/>
    <mergeCell ref="AC875:AD875"/>
    <mergeCell ref="Z875:AA875"/>
    <mergeCell ref="X875:Y875"/>
    <mergeCell ref="U875:V875"/>
    <mergeCell ref="S875:T875"/>
    <mergeCell ref="P875:Q875"/>
    <mergeCell ref="N875:O875"/>
    <mergeCell ref="K875:L875"/>
    <mergeCell ref="I875:J875"/>
    <mergeCell ref="AJ874:AK874"/>
    <mergeCell ref="AH874:AI874"/>
    <mergeCell ref="AE874:AF874"/>
    <mergeCell ref="AC874:AD874"/>
    <mergeCell ref="Z874:AA874"/>
    <mergeCell ref="X874:Y874"/>
    <mergeCell ref="U874:V874"/>
    <mergeCell ref="S874:T874"/>
    <mergeCell ref="P874:Q874"/>
    <mergeCell ref="N874:O874"/>
    <mergeCell ref="K874:L874"/>
    <mergeCell ref="I874:J874"/>
    <mergeCell ref="X847:Y847"/>
    <mergeCell ref="U847:V847"/>
    <mergeCell ref="I848:J848"/>
    <mergeCell ref="K848:L848"/>
    <mergeCell ref="N848:O848"/>
    <mergeCell ref="P848:Q848"/>
    <mergeCell ref="S848:T848"/>
    <mergeCell ref="U848:V848"/>
    <mergeCell ref="X848:Y848"/>
    <mergeCell ref="Z848:AA848"/>
    <mergeCell ref="AC848:AD848"/>
    <mergeCell ref="AE848:AF848"/>
    <mergeCell ref="AH848:AI848"/>
    <mergeCell ref="AJ848:AK848"/>
    <mergeCell ref="AJ873:AK873"/>
    <mergeCell ref="AH873:AI873"/>
    <mergeCell ref="AE873:AF873"/>
    <mergeCell ref="AC873:AD873"/>
    <mergeCell ref="Z873:AA873"/>
    <mergeCell ref="X873:Y873"/>
    <mergeCell ref="U873:V873"/>
    <mergeCell ref="S873:T873"/>
    <mergeCell ref="P873:Q873"/>
    <mergeCell ref="N873:O873"/>
    <mergeCell ref="K873:L873"/>
    <mergeCell ref="I873:J873"/>
    <mergeCell ref="Z818:AA818"/>
    <mergeCell ref="AC818:AD818"/>
    <mergeCell ref="AE818:AF818"/>
    <mergeCell ref="AH818:AI818"/>
    <mergeCell ref="AJ818:AK818"/>
    <mergeCell ref="AJ820:AK820"/>
    <mergeCell ref="AH820:AI820"/>
    <mergeCell ref="AE820:AF820"/>
    <mergeCell ref="AC820:AD820"/>
    <mergeCell ref="Z820:AA820"/>
    <mergeCell ref="X820:Y820"/>
    <mergeCell ref="U820:V820"/>
    <mergeCell ref="S820:T820"/>
    <mergeCell ref="P820:Q820"/>
    <mergeCell ref="I847:J847"/>
    <mergeCell ref="AJ846:AK846"/>
    <mergeCell ref="AH846:AI846"/>
    <mergeCell ref="AE846:AF846"/>
    <mergeCell ref="AC846:AD846"/>
    <mergeCell ref="Z846:AA846"/>
    <mergeCell ref="X846:Y846"/>
    <mergeCell ref="U846:V846"/>
    <mergeCell ref="S846:T846"/>
    <mergeCell ref="P846:Q846"/>
    <mergeCell ref="N846:O846"/>
    <mergeCell ref="K846:L846"/>
    <mergeCell ref="I846:J846"/>
    <mergeCell ref="AJ847:AK847"/>
    <mergeCell ref="AH847:AI847"/>
    <mergeCell ref="AE847:AF847"/>
    <mergeCell ref="AC847:AD847"/>
    <mergeCell ref="Z847:AA847"/>
    <mergeCell ref="N820:O820"/>
    <mergeCell ref="K820:L820"/>
    <mergeCell ref="I820:J820"/>
    <mergeCell ref="U819:V819"/>
    <mergeCell ref="X819:Y819"/>
    <mergeCell ref="Z819:AA819"/>
    <mergeCell ref="AC819:AD819"/>
    <mergeCell ref="AE819:AF819"/>
    <mergeCell ref="AH819:AI819"/>
    <mergeCell ref="AJ819:AK819"/>
    <mergeCell ref="AJ793:AK793"/>
    <mergeCell ref="AH793:AI793"/>
    <mergeCell ref="AE793:AF793"/>
    <mergeCell ref="AC793:AD793"/>
    <mergeCell ref="Z793:AA793"/>
    <mergeCell ref="X793:Y793"/>
    <mergeCell ref="U793:V793"/>
    <mergeCell ref="S793:T793"/>
    <mergeCell ref="P793:Q793"/>
    <mergeCell ref="N793:O793"/>
    <mergeCell ref="K793:L793"/>
    <mergeCell ref="I793:J793"/>
    <mergeCell ref="AI815:AJ815"/>
    <mergeCell ref="AD815:AE815"/>
    <mergeCell ref="Y815:Z815"/>
    <mergeCell ref="T815:U815"/>
    <mergeCell ref="O815:P815"/>
    <mergeCell ref="J815:K815"/>
    <mergeCell ref="P818:Q818"/>
    <mergeCell ref="S818:T818"/>
    <mergeCell ref="U818:V818"/>
    <mergeCell ref="X818:Y818"/>
    <mergeCell ref="I790:J790"/>
    <mergeCell ref="AH789:AK789"/>
    <mergeCell ref="AC789:AF789"/>
    <mergeCell ref="X789:AA789"/>
    <mergeCell ref="S789:V789"/>
    <mergeCell ref="N789:Q789"/>
    <mergeCell ref="I789:L789"/>
    <mergeCell ref="AJ792:AK792"/>
    <mergeCell ref="AH792:AI792"/>
    <mergeCell ref="AE792:AF792"/>
    <mergeCell ref="AC792:AD792"/>
    <mergeCell ref="Z792:AA792"/>
    <mergeCell ref="X792:Y792"/>
    <mergeCell ref="U792:V792"/>
    <mergeCell ref="S792:T792"/>
    <mergeCell ref="P792:Q792"/>
    <mergeCell ref="N792:O792"/>
    <mergeCell ref="K792:L792"/>
    <mergeCell ref="I792:J792"/>
    <mergeCell ref="AJ791:AK791"/>
    <mergeCell ref="AH791:AI791"/>
    <mergeCell ref="AE791:AF791"/>
    <mergeCell ref="AC791:AD791"/>
    <mergeCell ref="Z791:AA791"/>
    <mergeCell ref="X791:Y791"/>
    <mergeCell ref="U791:V791"/>
    <mergeCell ref="S791:T791"/>
    <mergeCell ref="P791:Q791"/>
    <mergeCell ref="N791:O791"/>
    <mergeCell ref="K791:L791"/>
    <mergeCell ref="I791:J791"/>
    <mergeCell ref="I762:J762"/>
    <mergeCell ref="K762:L762"/>
    <mergeCell ref="N762:O762"/>
    <mergeCell ref="P762:Q762"/>
    <mergeCell ref="S762:T762"/>
    <mergeCell ref="U762:V762"/>
    <mergeCell ref="X762:Y762"/>
    <mergeCell ref="Z762:AA762"/>
    <mergeCell ref="AC762:AD762"/>
    <mergeCell ref="AE762:AF762"/>
    <mergeCell ref="AH762:AI762"/>
    <mergeCell ref="AJ762:AK762"/>
    <mergeCell ref="AI788:AJ788"/>
    <mergeCell ref="AD788:AE788"/>
    <mergeCell ref="Y788:Z788"/>
    <mergeCell ref="T788:U788"/>
    <mergeCell ref="O788:P788"/>
    <mergeCell ref="J788:K788"/>
    <mergeCell ref="I779:L785"/>
    <mergeCell ref="N779:Q785"/>
    <mergeCell ref="S779:V785"/>
    <mergeCell ref="X779:AA785"/>
    <mergeCell ref="AC779:AF785"/>
    <mergeCell ref="AH779:AK785"/>
    <mergeCell ref="I763:J763"/>
    <mergeCell ref="K763:L763"/>
    <mergeCell ref="N763:O763"/>
    <mergeCell ref="P763:Q763"/>
    <mergeCell ref="S763:T763"/>
    <mergeCell ref="U763:V763"/>
    <mergeCell ref="X763:Y763"/>
    <mergeCell ref="Z763:AA763"/>
    <mergeCell ref="I734:J734"/>
    <mergeCell ref="K734:L734"/>
    <mergeCell ref="N734:O734"/>
    <mergeCell ref="P734:Q734"/>
    <mergeCell ref="S734:T734"/>
    <mergeCell ref="U734:V734"/>
    <mergeCell ref="X734:Y734"/>
    <mergeCell ref="Z734:AA734"/>
    <mergeCell ref="AC734:AD734"/>
    <mergeCell ref="AE734:AF734"/>
    <mergeCell ref="AH734:AI734"/>
    <mergeCell ref="AJ734:AK734"/>
    <mergeCell ref="I761:J761"/>
    <mergeCell ref="K761:L761"/>
    <mergeCell ref="N761:O761"/>
    <mergeCell ref="P761:Q761"/>
    <mergeCell ref="S761:T761"/>
    <mergeCell ref="U761:V761"/>
    <mergeCell ref="X761:Y761"/>
    <mergeCell ref="Z761:AA761"/>
    <mergeCell ref="AC761:AD761"/>
    <mergeCell ref="AE761:AF761"/>
    <mergeCell ref="AH761:AI761"/>
    <mergeCell ref="AJ761:AK761"/>
    <mergeCell ref="AC737:AD737"/>
    <mergeCell ref="AE737:AF737"/>
    <mergeCell ref="S736:T736"/>
    <mergeCell ref="U736:V736"/>
    <mergeCell ref="X736:Y736"/>
    <mergeCell ref="Z736:AA736"/>
    <mergeCell ref="AC736:AD736"/>
    <mergeCell ref="AE736:AF736"/>
    <mergeCell ref="I678:J678"/>
    <mergeCell ref="K678:L678"/>
    <mergeCell ref="N678:O678"/>
    <mergeCell ref="P678:Q678"/>
    <mergeCell ref="S678:T678"/>
    <mergeCell ref="U678:V678"/>
    <mergeCell ref="X678:Y678"/>
    <mergeCell ref="Z678:AA678"/>
    <mergeCell ref="AC678:AD678"/>
    <mergeCell ref="AE678:AF678"/>
    <mergeCell ref="AH678:AI678"/>
    <mergeCell ref="AJ678:AK678"/>
    <mergeCell ref="I707:J707"/>
    <mergeCell ref="K707:L707"/>
    <mergeCell ref="N707:O707"/>
    <mergeCell ref="P707:Q707"/>
    <mergeCell ref="S707:T707"/>
    <mergeCell ref="U707:V707"/>
    <mergeCell ref="AE707:AF707"/>
    <mergeCell ref="AH707:AI707"/>
    <mergeCell ref="AJ707:AK707"/>
    <mergeCell ref="J591:K591"/>
    <mergeCell ref="O591:P591"/>
    <mergeCell ref="T591:U591"/>
    <mergeCell ref="Y591:Z591"/>
    <mergeCell ref="AD591:AE591"/>
    <mergeCell ref="AI591:AJ591"/>
    <mergeCell ref="I592:L592"/>
    <mergeCell ref="N592:Q592"/>
    <mergeCell ref="S592:V592"/>
    <mergeCell ref="X592:AA592"/>
    <mergeCell ref="AC592:AF592"/>
    <mergeCell ref="AH592:AK592"/>
    <mergeCell ref="I593:J593"/>
    <mergeCell ref="K593:L593"/>
    <mergeCell ref="N621:Q621"/>
    <mergeCell ref="S621:V621"/>
    <mergeCell ref="X621:AA621"/>
    <mergeCell ref="AC621:AF621"/>
    <mergeCell ref="AH621:AK621"/>
    <mergeCell ref="N593:O593"/>
    <mergeCell ref="P593:Q593"/>
    <mergeCell ref="S593:T593"/>
    <mergeCell ref="U593:V593"/>
    <mergeCell ref="X593:Y593"/>
    <mergeCell ref="Z593:AA593"/>
    <mergeCell ref="AC593:AD593"/>
    <mergeCell ref="AE593:AF593"/>
    <mergeCell ref="AH593:AI593"/>
    <mergeCell ref="AJ593:AK593"/>
    <mergeCell ref="AH541:AK554"/>
    <mergeCell ref="I555:L561"/>
    <mergeCell ref="N555:Q561"/>
    <mergeCell ref="S555:V561"/>
    <mergeCell ref="X555:AA561"/>
    <mergeCell ref="AC555:AF561"/>
    <mergeCell ref="AH555:AK561"/>
    <mergeCell ref="Z566:AA566"/>
    <mergeCell ref="AC566:AD566"/>
    <mergeCell ref="AE566:AF566"/>
    <mergeCell ref="AH566:AI566"/>
    <mergeCell ref="AJ566:AK566"/>
    <mergeCell ref="AI535:AJ535"/>
    <mergeCell ref="AH536:AK536"/>
    <mergeCell ref="P454:Q454"/>
    <mergeCell ref="S454:T454"/>
    <mergeCell ref="U454:V454"/>
    <mergeCell ref="X454:Y454"/>
    <mergeCell ref="Z454:AA454"/>
    <mergeCell ref="AC454:AD454"/>
    <mergeCell ref="AE454:AF454"/>
    <mergeCell ref="AH454:AI454"/>
    <mergeCell ref="I514:L527"/>
    <mergeCell ref="N514:Q527"/>
    <mergeCell ref="S514:V527"/>
    <mergeCell ref="X514:AA527"/>
    <mergeCell ref="AC514:AF527"/>
    <mergeCell ref="AH514:AK527"/>
    <mergeCell ref="I528:L534"/>
    <mergeCell ref="N528:Q534"/>
    <mergeCell ref="S528:V534"/>
    <mergeCell ref="X528:AA534"/>
    <mergeCell ref="AH528:AK534"/>
    <mergeCell ref="K457:L457"/>
    <mergeCell ref="N457:O457"/>
    <mergeCell ref="P457:Q457"/>
    <mergeCell ref="S457:T457"/>
    <mergeCell ref="U457:V457"/>
    <mergeCell ref="I230:J230"/>
    <mergeCell ref="K230:L230"/>
    <mergeCell ref="N230:O230"/>
    <mergeCell ref="P230:Q230"/>
    <mergeCell ref="S230:T230"/>
    <mergeCell ref="U230:V230"/>
    <mergeCell ref="X230:Y230"/>
    <mergeCell ref="Z230:AA230"/>
    <mergeCell ref="AC230:AD230"/>
    <mergeCell ref="AE230:AF230"/>
    <mergeCell ref="AH230:AI230"/>
    <mergeCell ref="AJ230:AK230"/>
    <mergeCell ref="I331:L337"/>
    <mergeCell ref="N331:Q337"/>
    <mergeCell ref="S331:V337"/>
    <mergeCell ref="X331:AA337"/>
    <mergeCell ref="AC331:AF337"/>
    <mergeCell ref="AH331:AK337"/>
    <mergeCell ref="AH285:AK285"/>
    <mergeCell ref="AE342:AF342"/>
    <mergeCell ref="AH342:AI342"/>
    <mergeCell ref="AJ342:AK342"/>
    <mergeCell ref="N397:Q397"/>
    <mergeCell ref="S397:V397"/>
    <mergeCell ref="X397:AA397"/>
    <mergeCell ref="AC397:AF397"/>
    <mergeCell ref="S90:T90"/>
    <mergeCell ref="P90:Q90"/>
    <mergeCell ref="N90:O90"/>
    <mergeCell ref="K90:L90"/>
    <mergeCell ref="I90:J90"/>
    <mergeCell ref="AE90:AF90"/>
    <mergeCell ref="AH90:AI90"/>
    <mergeCell ref="AJ90:AK90"/>
    <mergeCell ref="I118:J118"/>
    <mergeCell ref="AJ119:AK119"/>
    <mergeCell ref="AH119:AI119"/>
    <mergeCell ref="AE119:AF119"/>
    <mergeCell ref="AC119:AD119"/>
    <mergeCell ref="Z119:AA119"/>
    <mergeCell ref="S91:T91"/>
    <mergeCell ref="U91:V91"/>
    <mergeCell ref="N117:Q117"/>
    <mergeCell ref="S117:V117"/>
    <mergeCell ref="X117:AA117"/>
    <mergeCell ref="AC117:AF117"/>
    <mergeCell ref="AH117:AK117"/>
    <mergeCell ref="I92:J92"/>
    <mergeCell ref="K92:L92"/>
    <mergeCell ref="N92:O92"/>
    <mergeCell ref="P92:Q92"/>
    <mergeCell ref="S92:T92"/>
    <mergeCell ref="U92:V92"/>
    <mergeCell ref="X92:Y92"/>
    <mergeCell ref="Z92:AA92"/>
    <mergeCell ref="AC92:AD92"/>
    <mergeCell ref="AE92:AF92"/>
    <mergeCell ref="AH92:AI92"/>
    <mergeCell ref="AJ65:AK65"/>
    <mergeCell ref="Z64:AA64"/>
    <mergeCell ref="I62:J62"/>
    <mergeCell ref="K62:L62"/>
    <mergeCell ref="S62:T62"/>
    <mergeCell ref="AC64:AD64"/>
    <mergeCell ref="AE64:AF64"/>
    <mergeCell ref="AC65:AD65"/>
    <mergeCell ref="AE65:AF65"/>
    <mergeCell ref="AH65:AI65"/>
    <mergeCell ref="X64:Y64"/>
    <mergeCell ref="U64:V64"/>
    <mergeCell ref="S64:T64"/>
    <mergeCell ref="P64:Q64"/>
    <mergeCell ref="S63:T63"/>
    <mergeCell ref="Z63:AA63"/>
    <mergeCell ref="AJ63:AK63"/>
    <mergeCell ref="AH64:AI64"/>
    <mergeCell ref="AC62:AD62"/>
    <mergeCell ref="AE62:AF62"/>
    <mergeCell ref="AH62:AI62"/>
    <mergeCell ref="AJ62:AK62"/>
    <mergeCell ref="AC63:AD63"/>
    <mergeCell ref="AE63:AF63"/>
    <mergeCell ref="AH63:AI63"/>
    <mergeCell ref="AJ64:AK64"/>
    <mergeCell ref="K64:L64"/>
    <mergeCell ref="I64:J64"/>
    <mergeCell ref="K65:L65"/>
    <mergeCell ref="N65:O65"/>
    <mergeCell ref="P65:Q65"/>
    <mergeCell ref="S65:T65"/>
    <mergeCell ref="AH61:AK61"/>
    <mergeCell ref="AC61:AF61"/>
    <mergeCell ref="X61:AA61"/>
    <mergeCell ref="S61:V61"/>
    <mergeCell ref="N61:Q61"/>
    <mergeCell ref="I61:L61"/>
    <mergeCell ref="AH10:AK23"/>
    <mergeCell ref="AC10:AF23"/>
    <mergeCell ref="X10:AA23"/>
    <mergeCell ref="S10:V23"/>
    <mergeCell ref="AH51:AK57"/>
    <mergeCell ref="AC51:AF57"/>
    <mergeCell ref="X51:AA57"/>
    <mergeCell ref="S51:V57"/>
    <mergeCell ref="N51:Q57"/>
    <mergeCell ref="AE33:AF33"/>
    <mergeCell ref="AC34:AD34"/>
    <mergeCell ref="AE34:AF34"/>
    <mergeCell ref="AH35:AI35"/>
    <mergeCell ref="AJ35:AK35"/>
    <mergeCell ref="AE35:AF35"/>
    <mergeCell ref="AH32:AK32"/>
    <mergeCell ref="AH33:AI33"/>
    <mergeCell ref="AJ33:AK33"/>
    <mergeCell ref="AH34:AI34"/>
    <mergeCell ref="X37:AA50"/>
    <mergeCell ref="S37:V50"/>
    <mergeCell ref="N37:Q50"/>
    <mergeCell ref="I37:L50"/>
    <mergeCell ref="AC33:AD33"/>
    <mergeCell ref="I33:J33"/>
    <mergeCell ref="AC32:AF32"/>
    <mergeCell ref="AI87:AJ87"/>
    <mergeCell ref="D88:G88"/>
    <mergeCell ref="I88:L88"/>
    <mergeCell ref="N88:Q88"/>
    <mergeCell ref="S88:V88"/>
    <mergeCell ref="X88:AA88"/>
    <mergeCell ref="AC88:AF88"/>
    <mergeCell ref="AH88:AK88"/>
    <mergeCell ref="I66:L79"/>
    <mergeCell ref="N66:Q79"/>
    <mergeCell ref="S66:V79"/>
    <mergeCell ref="X66:AA79"/>
    <mergeCell ref="AC66:AF79"/>
    <mergeCell ref="AH66:AK79"/>
    <mergeCell ref="D80:G86"/>
    <mergeCell ref="I80:L86"/>
    <mergeCell ref="N80:Q86"/>
    <mergeCell ref="S80:V86"/>
    <mergeCell ref="X80:AA86"/>
    <mergeCell ref="AC80:AF86"/>
    <mergeCell ref="AH80:AK86"/>
    <mergeCell ref="E87:F87"/>
    <mergeCell ref="J87:K87"/>
    <mergeCell ref="T87:U87"/>
    <mergeCell ref="Y87:Z87"/>
    <mergeCell ref="AD87:AE87"/>
    <mergeCell ref="AJ92:AK92"/>
    <mergeCell ref="X91:Y91"/>
    <mergeCell ref="Z91:AA91"/>
    <mergeCell ref="AC91:AD91"/>
    <mergeCell ref="AE91:AF91"/>
    <mergeCell ref="AH91:AI91"/>
    <mergeCell ref="AJ91:AK91"/>
    <mergeCell ref="D93:G106"/>
    <mergeCell ref="I93:L106"/>
    <mergeCell ref="N93:Q106"/>
    <mergeCell ref="S93:V106"/>
    <mergeCell ref="X93:AA106"/>
    <mergeCell ref="AC93:AF106"/>
    <mergeCell ref="AH93:AK106"/>
    <mergeCell ref="S107:V113"/>
    <mergeCell ref="X107:AA113"/>
    <mergeCell ref="AC107:AF113"/>
    <mergeCell ref="AH107:AK113"/>
    <mergeCell ref="B115:B169"/>
    <mergeCell ref="C115:C169"/>
    <mergeCell ref="E115:F115"/>
    <mergeCell ref="J115:K115"/>
    <mergeCell ref="O115:P115"/>
    <mergeCell ref="T115:U115"/>
    <mergeCell ref="Y115:Z115"/>
    <mergeCell ref="AD115:AE115"/>
    <mergeCell ref="AI115:AJ115"/>
    <mergeCell ref="E116:F116"/>
    <mergeCell ref="J116:K116"/>
    <mergeCell ref="O116:P116"/>
    <mergeCell ref="T116:U116"/>
    <mergeCell ref="Y116:Z116"/>
    <mergeCell ref="AD116:AE116"/>
    <mergeCell ref="AI116:AJ116"/>
    <mergeCell ref="D117:G117"/>
    <mergeCell ref="I117:L117"/>
    <mergeCell ref="I121:J121"/>
    <mergeCell ref="K121:L121"/>
    <mergeCell ref="N121:O121"/>
    <mergeCell ref="P121:Q121"/>
    <mergeCell ref="S121:T121"/>
    <mergeCell ref="U121:V121"/>
    <mergeCell ref="X121:Y121"/>
    <mergeCell ref="Z121:AA121"/>
    <mergeCell ref="AC121:AD121"/>
    <mergeCell ref="AE121:AF121"/>
    <mergeCell ref="AH121:AI121"/>
    <mergeCell ref="AJ121:AK121"/>
    <mergeCell ref="X119:Y119"/>
    <mergeCell ref="U119:V119"/>
    <mergeCell ref="S122:V135"/>
    <mergeCell ref="X122:AA135"/>
    <mergeCell ref="AC122:AF135"/>
    <mergeCell ref="AH122:AK135"/>
    <mergeCell ref="D121:E121"/>
    <mergeCell ref="F121:G121"/>
    <mergeCell ref="D120:E120"/>
    <mergeCell ref="F120:G120"/>
    <mergeCell ref="S136:V142"/>
    <mergeCell ref="X136:AA142"/>
    <mergeCell ref="AC136:AF142"/>
    <mergeCell ref="AH136:AK142"/>
    <mergeCell ref="E143:F143"/>
    <mergeCell ref="J143:K143"/>
    <mergeCell ref="O143:P143"/>
    <mergeCell ref="T143:U143"/>
    <mergeCell ref="Y143:Z143"/>
    <mergeCell ref="AD143:AE143"/>
    <mergeCell ref="AI143:AJ143"/>
    <mergeCell ref="S144:V144"/>
    <mergeCell ref="X144:AA144"/>
    <mergeCell ref="AC144:AF144"/>
    <mergeCell ref="AH144:AK144"/>
    <mergeCell ref="D146:E146"/>
    <mergeCell ref="F146:G146"/>
    <mergeCell ref="I146:J146"/>
    <mergeCell ref="K146:L146"/>
    <mergeCell ref="N146:O146"/>
    <mergeCell ref="P146:Q146"/>
    <mergeCell ref="S146:T146"/>
    <mergeCell ref="U146:V146"/>
    <mergeCell ref="X146:Y146"/>
    <mergeCell ref="Z146:AA146"/>
    <mergeCell ref="AC146:AD146"/>
    <mergeCell ref="AE146:AF146"/>
    <mergeCell ref="AH146:AI146"/>
    <mergeCell ref="AJ146:AK146"/>
    <mergeCell ref="AJ145:AK145"/>
    <mergeCell ref="AH145:AI145"/>
    <mergeCell ref="AE145:AF145"/>
    <mergeCell ref="AC145:AD145"/>
    <mergeCell ref="Z145:AA145"/>
    <mergeCell ref="X145:Y145"/>
    <mergeCell ref="U145:V145"/>
    <mergeCell ref="S145:T145"/>
    <mergeCell ref="P145:Q145"/>
    <mergeCell ref="N145:O145"/>
    <mergeCell ref="K145:L145"/>
    <mergeCell ref="D147:E147"/>
    <mergeCell ref="F147:G147"/>
    <mergeCell ref="I147:J147"/>
    <mergeCell ref="K147:L147"/>
    <mergeCell ref="N147:O147"/>
    <mergeCell ref="P147:Q147"/>
    <mergeCell ref="S147:T147"/>
    <mergeCell ref="U147:V147"/>
    <mergeCell ref="X147:Y147"/>
    <mergeCell ref="Z147:AA147"/>
    <mergeCell ref="AC147:AD147"/>
    <mergeCell ref="AE147:AF147"/>
    <mergeCell ref="AH147:AI147"/>
    <mergeCell ref="AJ147:AK147"/>
    <mergeCell ref="D148:E148"/>
    <mergeCell ref="F148:G148"/>
    <mergeCell ref="I148:J148"/>
    <mergeCell ref="K148:L148"/>
    <mergeCell ref="N148:O148"/>
    <mergeCell ref="P148:Q148"/>
    <mergeCell ref="S148:T148"/>
    <mergeCell ref="U148:V148"/>
    <mergeCell ref="X148:Y148"/>
    <mergeCell ref="Z148:AA148"/>
    <mergeCell ref="AC148:AD148"/>
    <mergeCell ref="AE148:AF148"/>
    <mergeCell ref="AH148:AI148"/>
    <mergeCell ref="AJ148:AK148"/>
    <mergeCell ref="D149:G162"/>
    <mergeCell ref="I149:L162"/>
    <mergeCell ref="N149:Q162"/>
    <mergeCell ref="S149:V162"/>
    <mergeCell ref="X149:AA162"/>
    <mergeCell ref="AC149:AF162"/>
    <mergeCell ref="AH149:AK162"/>
    <mergeCell ref="D163:G169"/>
    <mergeCell ref="I163:L169"/>
    <mergeCell ref="N163:Q169"/>
    <mergeCell ref="S163:V169"/>
    <mergeCell ref="X163:AA169"/>
    <mergeCell ref="AC163:AF169"/>
    <mergeCell ref="AH163:AK169"/>
    <mergeCell ref="B171:B225"/>
    <mergeCell ref="C171:C225"/>
    <mergeCell ref="E171:F171"/>
    <mergeCell ref="J171:K171"/>
    <mergeCell ref="O171:P171"/>
    <mergeCell ref="T171:U171"/>
    <mergeCell ref="Y171:Z171"/>
    <mergeCell ref="AD171:AE171"/>
    <mergeCell ref="AI171:AJ171"/>
    <mergeCell ref="E172:F172"/>
    <mergeCell ref="J172:K172"/>
    <mergeCell ref="O172:P172"/>
    <mergeCell ref="T172:U172"/>
    <mergeCell ref="Y172:Z172"/>
    <mergeCell ref="AD172:AE172"/>
    <mergeCell ref="AI172:AJ172"/>
    <mergeCell ref="D173:G173"/>
    <mergeCell ref="I173:L173"/>
    <mergeCell ref="N173:Q173"/>
    <mergeCell ref="S173:V173"/>
    <mergeCell ref="X173:AA173"/>
    <mergeCell ref="AC173:AF173"/>
    <mergeCell ref="AH173:AK173"/>
    <mergeCell ref="D174:E174"/>
    <mergeCell ref="F174:G174"/>
    <mergeCell ref="AE174:AF174"/>
    <mergeCell ref="AH174:AI174"/>
    <mergeCell ref="AJ174:AK174"/>
    <mergeCell ref="D175:E175"/>
    <mergeCell ref="F175:G175"/>
    <mergeCell ref="I175:J175"/>
    <mergeCell ref="K175:L175"/>
    <mergeCell ref="N175:O175"/>
    <mergeCell ref="P175:Q175"/>
    <mergeCell ref="S175:T175"/>
    <mergeCell ref="U175:V175"/>
    <mergeCell ref="X175:Y175"/>
    <mergeCell ref="Z175:AA175"/>
    <mergeCell ref="AC175:AD175"/>
    <mergeCell ref="AE175:AF175"/>
    <mergeCell ref="AH175:AI175"/>
    <mergeCell ref="AJ175:AK175"/>
    <mergeCell ref="I174:J174"/>
    <mergeCell ref="K174:L174"/>
    <mergeCell ref="N174:O174"/>
    <mergeCell ref="P174:Q174"/>
    <mergeCell ref="S174:T174"/>
    <mergeCell ref="U174:V174"/>
    <mergeCell ref="X174:Y174"/>
    <mergeCell ref="Z174:AA174"/>
    <mergeCell ref="AC174:AD174"/>
    <mergeCell ref="D176:E176"/>
    <mergeCell ref="F176:G176"/>
    <mergeCell ref="I176:J176"/>
    <mergeCell ref="K176:L176"/>
    <mergeCell ref="N176:O176"/>
    <mergeCell ref="P176:Q176"/>
    <mergeCell ref="S176:T176"/>
    <mergeCell ref="U176:V176"/>
    <mergeCell ref="X176:Y176"/>
    <mergeCell ref="Z176:AA176"/>
    <mergeCell ref="AC176:AD176"/>
    <mergeCell ref="AE176:AF176"/>
    <mergeCell ref="AH176:AI176"/>
    <mergeCell ref="AJ176:AK176"/>
    <mergeCell ref="D177:E177"/>
    <mergeCell ref="F177:G177"/>
    <mergeCell ref="I177:J177"/>
    <mergeCell ref="K177:L177"/>
    <mergeCell ref="N177:O177"/>
    <mergeCell ref="P177:Q177"/>
    <mergeCell ref="S177:T177"/>
    <mergeCell ref="U177:V177"/>
    <mergeCell ref="X177:Y177"/>
    <mergeCell ref="Z177:AA177"/>
    <mergeCell ref="AC177:AD177"/>
    <mergeCell ref="AE177:AF177"/>
    <mergeCell ref="AH177:AI177"/>
    <mergeCell ref="AJ177:AK177"/>
    <mergeCell ref="D178:G191"/>
    <mergeCell ref="I178:L191"/>
    <mergeCell ref="N178:Q191"/>
    <mergeCell ref="S178:V191"/>
    <mergeCell ref="X178:AA191"/>
    <mergeCell ref="AC178:AF191"/>
    <mergeCell ref="AH178:AK191"/>
    <mergeCell ref="D192:G198"/>
    <mergeCell ref="I192:L198"/>
    <mergeCell ref="N192:Q198"/>
    <mergeCell ref="S192:V198"/>
    <mergeCell ref="X192:AA198"/>
    <mergeCell ref="AC192:AF198"/>
    <mergeCell ref="AH192:AK198"/>
    <mergeCell ref="E199:F199"/>
    <mergeCell ref="J199:K199"/>
    <mergeCell ref="O199:P199"/>
    <mergeCell ref="T199:U199"/>
    <mergeCell ref="Y199:Z199"/>
    <mergeCell ref="AD199:AE199"/>
    <mergeCell ref="AI199:AJ199"/>
    <mergeCell ref="D200:G200"/>
    <mergeCell ref="I200:L200"/>
    <mergeCell ref="N200:Q200"/>
    <mergeCell ref="S200:V200"/>
    <mergeCell ref="X200:AA200"/>
    <mergeCell ref="AC200:AF200"/>
    <mergeCell ref="AH200:AK200"/>
    <mergeCell ref="D201:E201"/>
    <mergeCell ref="F201:G201"/>
    <mergeCell ref="I201:J201"/>
    <mergeCell ref="K201:L201"/>
    <mergeCell ref="N201:O201"/>
    <mergeCell ref="P201:Q201"/>
    <mergeCell ref="S201:T201"/>
    <mergeCell ref="U201:V201"/>
    <mergeCell ref="X201:Y201"/>
    <mergeCell ref="Z201:AA201"/>
    <mergeCell ref="AC201:AD201"/>
    <mergeCell ref="AE201:AF201"/>
    <mergeCell ref="AH201:AI201"/>
    <mergeCell ref="AJ201:AK201"/>
    <mergeCell ref="D202:E202"/>
    <mergeCell ref="F202:G202"/>
    <mergeCell ref="I202:J202"/>
    <mergeCell ref="K202:L202"/>
    <mergeCell ref="N202:O202"/>
    <mergeCell ref="P202:Q202"/>
    <mergeCell ref="S202:T202"/>
    <mergeCell ref="U202:V202"/>
    <mergeCell ref="X202:Y202"/>
    <mergeCell ref="Z202:AA202"/>
    <mergeCell ref="AC202:AD202"/>
    <mergeCell ref="AE202:AF202"/>
    <mergeCell ref="AH202:AI202"/>
    <mergeCell ref="AJ202:AK202"/>
    <mergeCell ref="D203:E203"/>
    <mergeCell ref="F203:G203"/>
    <mergeCell ref="I203:J203"/>
    <mergeCell ref="K203:L203"/>
    <mergeCell ref="N203:O203"/>
    <mergeCell ref="P203:Q203"/>
    <mergeCell ref="S203:T203"/>
    <mergeCell ref="U203:V203"/>
    <mergeCell ref="X203:Y203"/>
    <mergeCell ref="Z203:AA203"/>
    <mergeCell ref="AC203:AD203"/>
    <mergeCell ref="AE203:AF203"/>
    <mergeCell ref="AH203:AI203"/>
    <mergeCell ref="AJ203:AK203"/>
    <mergeCell ref="D204:E204"/>
    <mergeCell ref="F204:G204"/>
    <mergeCell ref="I204:J204"/>
    <mergeCell ref="K204:L204"/>
    <mergeCell ref="N204:O204"/>
    <mergeCell ref="P204:Q204"/>
    <mergeCell ref="S204:T204"/>
    <mergeCell ref="U204:V204"/>
    <mergeCell ref="X204:Y204"/>
    <mergeCell ref="Z204:AA204"/>
    <mergeCell ref="AC204:AD204"/>
    <mergeCell ref="AE204:AF204"/>
    <mergeCell ref="AH204:AI204"/>
    <mergeCell ref="AJ204:AK204"/>
    <mergeCell ref="D205:G218"/>
    <mergeCell ref="I205:L218"/>
    <mergeCell ref="N205:Q218"/>
    <mergeCell ref="S205:V218"/>
    <mergeCell ref="X205:AA218"/>
    <mergeCell ref="AC205:AF218"/>
    <mergeCell ref="AH205:AK218"/>
    <mergeCell ref="D219:G225"/>
    <mergeCell ref="I219:L225"/>
    <mergeCell ref="N219:Q225"/>
    <mergeCell ref="S219:V225"/>
    <mergeCell ref="X219:AA225"/>
    <mergeCell ref="AC219:AF225"/>
    <mergeCell ref="AH219:AK225"/>
    <mergeCell ref="B227:B281"/>
    <mergeCell ref="C227:C281"/>
    <mergeCell ref="E227:F227"/>
    <mergeCell ref="J227:K227"/>
    <mergeCell ref="O227:P227"/>
    <mergeCell ref="T227:U227"/>
    <mergeCell ref="Y227:Z227"/>
    <mergeCell ref="AD227:AE227"/>
    <mergeCell ref="AI227:AJ227"/>
    <mergeCell ref="E228:F228"/>
    <mergeCell ref="J228:K228"/>
    <mergeCell ref="O228:P228"/>
    <mergeCell ref="T228:U228"/>
    <mergeCell ref="Y228:Z228"/>
    <mergeCell ref="AD228:AE228"/>
    <mergeCell ref="AI228:AJ228"/>
    <mergeCell ref="D229:G229"/>
    <mergeCell ref="I229:L229"/>
    <mergeCell ref="N229:Q229"/>
    <mergeCell ref="S229:V229"/>
    <mergeCell ref="X229:AA229"/>
    <mergeCell ref="AC229:AF229"/>
    <mergeCell ref="AH229:AK229"/>
    <mergeCell ref="D230:E230"/>
    <mergeCell ref="F230:G230"/>
    <mergeCell ref="D231:E231"/>
    <mergeCell ref="F231:G231"/>
    <mergeCell ref="I231:J231"/>
    <mergeCell ref="K231:L231"/>
    <mergeCell ref="N231:O231"/>
    <mergeCell ref="P231:Q231"/>
    <mergeCell ref="S231:T231"/>
    <mergeCell ref="U231:V231"/>
    <mergeCell ref="X231:Y231"/>
    <mergeCell ref="Z231:AA231"/>
    <mergeCell ref="AC231:AD231"/>
    <mergeCell ref="AE231:AF231"/>
    <mergeCell ref="AH231:AI231"/>
    <mergeCell ref="AJ231:AK231"/>
    <mergeCell ref="D232:E232"/>
    <mergeCell ref="F232:G232"/>
    <mergeCell ref="I232:J232"/>
    <mergeCell ref="K232:L232"/>
    <mergeCell ref="N232:O232"/>
    <mergeCell ref="P232:Q232"/>
    <mergeCell ref="S232:T232"/>
    <mergeCell ref="U232:V232"/>
    <mergeCell ref="X232:Y232"/>
    <mergeCell ref="Z232:AA232"/>
    <mergeCell ref="AC232:AD232"/>
    <mergeCell ref="AE232:AF232"/>
    <mergeCell ref="AH232:AI232"/>
    <mergeCell ref="AJ232:AK232"/>
    <mergeCell ref="D233:E233"/>
    <mergeCell ref="F233:G233"/>
    <mergeCell ref="I233:J233"/>
    <mergeCell ref="K233:L233"/>
    <mergeCell ref="N233:O233"/>
    <mergeCell ref="P233:Q233"/>
    <mergeCell ref="S233:T233"/>
    <mergeCell ref="U233:V233"/>
    <mergeCell ref="X233:Y233"/>
    <mergeCell ref="Z233:AA233"/>
    <mergeCell ref="AC233:AD233"/>
    <mergeCell ref="AE233:AF233"/>
    <mergeCell ref="AH233:AI233"/>
    <mergeCell ref="AJ233:AK233"/>
    <mergeCell ref="D234:G247"/>
    <mergeCell ref="I234:L247"/>
    <mergeCell ref="N234:Q247"/>
    <mergeCell ref="S234:V247"/>
    <mergeCell ref="X234:AA247"/>
    <mergeCell ref="AC234:AF247"/>
    <mergeCell ref="AH234:AK247"/>
    <mergeCell ref="D248:G254"/>
    <mergeCell ref="I248:L254"/>
    <mergeCell ref="N248:Q254"/>
    <mergeCell ref="S248:V254"/>
    <mergeCell ref="X248:AA254"/>
    <mergeCell ref="AC248:AF254"/>
    <mergeCell ref="AH248:AK254"/>
    <mergeCell ref="E255:F255"/>
    <mergeCell ref="J255:K255"/>
    <mergeCell ref="O255:P255"/>
    <mergeCell ref="T255:U255"/>
    <mergeCell ref="Y255:Z255"/>
    <mergeCell ref="AD255:AE255"/>
    <mergeCell ref="AI255:AJ255"/>
    <mergeCell ref="D256:G256"/>
    <mergeCell ref="I256:L256"/>
    <mergeCell ref="N256:Q256"/>
    <mergeCell ref="S256:V256"/>
    <mergeCell ref="X256:AA256"/>
    <mergeCell ref="AC256:AF256"/>
    <mergeCell ref="AH256:AK256"/>
    <mergeCell ref="D257:E257"/>
    <mergeCell ref="F257:G257"/>
    <mergeCell ref="I257:J257"/>
    <mergeCell ref="K257:L257"/>
    <mergeCell ref="N257:O257"/>
    <mergeCell ref="P257:Q257"/>
    <mergeCell ref="S257:T257"/>
    <mergeCell ref="U257:V257"/>
    <mergeCell ref="X257:Y257"/>
    <mergeCell ref="Z257:AA257"/>
    <mergeCell ref="AC257:AD257"/>
    <mergeCell ref="AE257:AF257"/>
    <mergeCell ref="AH257:AI257"/>
    <mergeCell ref="AJ257:AK257"/>
    <mergeCell ref="D258:E258"/>
    <mergeCell ref="F258:G258"/>
    <mergeCell ref="I258:J258"/>
    <mergeCell ref="K258:L258"/>
    <mergeCell ref="N258:O258"/>
    <mergeCell ref="P258:Q258"/>
    <mergeCell ref="S258:T258"/>
    <mergeCell ref="U258:V258"/>
    <mergeCell ref="X258:Y258"/>
    <mergeCell ref="Z258:AA258"/>
    <mergeCell ref="AC258:AD258"/>
    <mergeCell ref="AE258:AF258"/>
    <mergeCell ref="AH258:AI258"/>
    <mergeCell ref="AJ258:AK258"/>
    <mergeCell ref="D259:E259"/>
    <mergeCell ref="F259:G259"/>
    <mergeCell ref="I259:J259"/>
    <mergeCell ref="K259:L259"/>
    <mergeCell ref="N259:O259"/>
    <mergeCell ref="P259:Q259"/>
    <mergeCell ref="S259:T259"/>
    <mergeCell ref="U259:V259"/>
    <mergeCell ref="X259:Y259"/>
    <mergeCell ref="Z259:AA259"/>
    <mergeCell ref="AC259:AD259"/>
    <mergeCell ref="AE259:AF259"/>
    <mergeCell ref="AH259:AI259"/>
    <mergeCell ref="AJ259:AK259"/>
    <mergeCell ref="D260:E260"/>
    <mergeCell ref="F260:G260"/>
    <mergeCell ref="I260:J260"/>
    <mergeCell ref="K260:L260"/>
    <mergeCell ref="N260:O260"/>
    <mergeCell ref="P260:Q260"/>
    <mergeCell ref="S260:T260"/>
    <mergeCell ref="U260:V260"/>
    <mergeCell ref="X260:Y260"/>
    <mergeCell ref="Z260:AA260"/>
    <mergeCell ref="AC260:AD260"/>
    <mergeCell ref="AE260:AF260"/>
    <mergeCell ref="AH260:AI260"/>
    <mergeCell ref="AJ260:AK260"/>
    <mergeCell ref="D261:G274"/>
    <mergeCell ref="I261:L274"/>
    <mergeCell ref="N261:Q274"/>
    <mergeCell ref="S261:V274"/>
    <mergeCell ref="X261:AA274"/>
    <mergeCell ref="AC261:AF274"/>
    <mergeCell ref="AH261:AK274"/>
    <mergeCell ref="D275:G281"/>
    <mergeCell ref="I275:L281"/>
    <mergeCell ref="N275:Q281"/>
    <mergeCell ref="S275:V281"/>
    <mergeCell ref="X275:AA281"/>
    <mergeCell ref="AC275:AF281"/>
    <mergeCell ref="AH275:AK281"/>
    <mergeCell ref="B283:B337"/>
    <mergeCell ref="C283:C337"/>
    <mergeCell ref="E283:F283"/>
    <mergeCell ref="J283:K283"/>
    <mergeCell ref="O283:P283"/>
    <mergeCell ref="T283:U283"/>
    <mergeCell ref="Y283:Z283"/>
    <mergeCell ref="AD283:AE283"/>
    <mergeCell ref="AI283:AJ283"/>
    <mergeCell ref="E284:F284"/>
    <mergeCell ref="J284:K284"/>
    <mergeCell ref="O284:P284"/>
    <mergeCell ref="T284:U284"/>
    <mergeCell ref="Y284:Z284"/>
    <mergeCell ref="AD284:AE284"/>
    <mergeCell ref="AI284:AJ284"/>
    <mergeCell ref="D285:G285"/>
    <mergeCell ref="I285:L285"/>
    <mergeCell ref="D286:E286"/>
    <mergeCell ref="F286:G286"/>
    <mergeCell ref="I286:J286"/>
    <mergeCell ref="K286:L286"/>
    <mergeCell ref="N286:O286"/>
    <mergeCell ref="P286:Q286"/>
    <mergeCell ref="S286:T286"/>
    <mergeCell ref="U286:V286"/>
    <mergeCell ref="X286:Y286"/>
    <mergeCell ref="Z286:AA286"/>
    <mergeCell ref="AC286:AD286"/>
    <mergeCell ref="AE286:AF286"/>
    <mergeCell ref="AH286:AI286"/>
    <mergeCell ref="AJ286:AK286"/>
    <mergeCell ref="D287:E287"/>
    <mergeCell ref="F287:G287"/>
    <mergeCell ref="I287:J287"/>
    <mergeCell ref="K287:L287"/>
    <mergeCell ref="N287:O287"/>
    <mergeCell ref="P287:Q287"/>
    <mergeCell ref="S287:T287"/>
    <mergeCell ref="U287:V287"/>
    <mergeCell ref="X287:Y287"/>
    <mergeCell ref="Z287:AA287"/>
    <mergeCell ref="AC287:AD287"/>
    <mergeCell ref="AE287:AF287"/>
    <mergeCell ref="AH287:AI287"/>
    <mergeCell ref="AJ287:AK287"/>
    <mergeCell ref="D288:E288"/>
    <mergeCell ref="F288:G288"/>
    <mergeCell ref="I288:J288"/>
    <mergeCell ref="K288:L288"/>
    <mergeCell ref="N288:O288"/>
    <mergeCell ref="P288:Q288"/>
    <mergeCell ref="S288:T288"/>
    <mergeCell ref="U288:V288"/>
    <mergeCell ref="X288:Y288"/>
    <mergeCell ref="Z288:AA288"/>
    <mergeCell ref="AC288:AD288"/>
    <mergeCell ref="AE288:AF288"/>
    <mergeCell ref="AH288:AI288"/>
    <mergeCell ref="AJ288:AK288"/>
    <mergeCell ref="D289:E289"/>
    <mergeCell ref="F289:G289"/>
    <mergeCell ref="I289:J289"/>
    <mergeCell ref="K289:L289"/>
    <mergeCell ref="N289:O289"/>
    <mergeCell ref="P289:Q289"/>
    <mergeCell ref="S289:T289"/>
    <mergeCell ref="U289:V289"/>
    <mergeCell ref="X289:Y289"/>
    <mergeCell ref="Z289:AA289"/>
    <mergeCell ref="AC289:AD289"/>
    <mergeCell ref="AE289:AF289"/>
    <mergeCell ref="AH289:AI289"/>
    <mergeCell ref="AJ289:AK289"/>
    <mergeCell ref="D290:G303"/>
    <mergeCell ref="I290:L303"/>
    <mergeCell ref="N290:Q303"/>
    <mergeCell ref="S290:V303"/>
    <mergeCell ref="X290:AA303"/>
    <mergeCell ref="AC290:AF303"/>
    <mergeCell ref="AH290:AK303"/>
    <mergeCell ref="D304:G310"/>
    <mergeCell ref="I304:L310"/>
    <mergeCell ref="N304:Q310"/>
    <mergeCell ref="S304:V310"/>
    <mergeCell ref="X304:AA310"/>
    <mergeCell ref="AC304:AF310"/>
    <mergeCell ref="AH304:AK310"/>
    <mergeCell ref="E311:F311"/>
    <mergeCell ref="J311:K311"/>
    <mergeCell ref="O311:P311"/>
    <mergeCell ref="T311:U311"/>
    <mergeCell ref="Y311:Z311"/>
    <mergeCell ref="AD311:AE311"/>
    <mergeCell ref="AI311:AJ311"/>
    <mergeCell ref="D312:G312"/>
    <mergeCell ref="I312:L312"/>
    <mergeCell ref="N312:Q312"/>
    <mergeCell ref="S312:V312"/>
    <mergeCell ref="X312:AA312"/>
    <mergeCell ref="AC312:AF312"/>
    <mergeCell ref="AH312:AK312"/>
    <mergeCell ref="D313:E313"/>
    <mergeCell ref="F313:G313"/>
    <mergeCell ref="I313:J313"/>
    <mergeCell ref="K313:L313"/>
    <mergeCell ref="N313:O313"/>
    <mergeCell ref="P313:Q313"/>
    <mergeCell ref="S313:T313"/>
    <mergeCell ref="U313:V313"/>
    <mergeCell ref="X313:Y313"/>
    <mergeCell ref="Z313:AA313"/>
    <mergeCell ref="AC313:AD313"/>
    <mergeCell ref="AE313:AF313"/>
    <mergeCell ref="AH313:AI313"/>
    <mergeCell ref="AJ313:AK313"/>
    <mergeCell ref="D314:E314"/>
    <mergeCell ref="F314:G314"/>
    <mergeCell ref="I314:J314"/>
    <mergeCell ref="K314:L314"/>
    <mergeCell ref="N314:O314"/>
    <mergeCell ref="P314:Q314"/>
    <mergeCell ref="S314:T314"/>
    <mergeCell ref="U314:V314"/>
    <mergeCell ref="X314:Y314"/>
    <mergeCell ref="Z314:AA314"/>
    <mergeCell ref="AC314:AD314"/>
    <mergeCell ref="AE314:AF314"/>
    <mergeCell ref="AH314:AI314"/>
    <mergeCell ref="AJ314:AK314"/>
    <mergeCell ref="D315:E315"/>
    <mergeCell ref="F315:G315"/>
    <mergeCell ref="I315:J315"/>
    <mergeCell ref="K315:L315"/>
    <mergeCell ref="N315:O315"/>
    <mergeCell ref="P315:Q315"/>
    <mergeCell ref="S315:T315"/>
    <mergeCell ref="U315:V315"/>
    <mergeCell ref="X315:Y315"/>
    <mergeCell ref="Z315:AA315"/>
    <mergeCell ref="AC315:AD315"/>
    <mergeCell ref="AE315:AF315"/>
    <mergeCell ref="AH315:AI315"/>
    <mergeCell ref="AJ315:AK315"/>
    <mergeCell ref="D316:E316"/>
    <mergeCell ref="F316:G316"/>
    <mergeCell ref="I316:J316"/>
    <mergeCell ref="K316:L316"/>
    <mergeCell ref="N316:O316"/>
    <mergeCell ref="P316:Q316"/>
    <mergeCell ref="S316:T316"/>
    <mergeCell ref="U316:V316"/>
    <mergeCell ref="X316:Y316"/>
    <mergeCell ref="Z316:AA316"/>
    <mergeCell ref="AC316:AD316"/>
    <mergeCell ref="AE316:AF316"/>
    <mergeCell ref="AH316:AI316"/>
    <mergeCell ref="AJ316:AK316"/>
    <mergeCell ref="D317:G330"/>
    <mergeCell ref="I317:L330"/>
    <mergeCell ref="N317:Q330"/>
    <mergeCell ref="S317:V330"/>
    <mergeCell ref="X317:AA330"/>
    <mergeCell ref="AC317:AF330"/>
    <mergeCell ref="AH317:AK330"/>
    <mergeCell ref="B339:B393"/>
    <mergeCell ref="C339:C393"/>
    <mergeCell ref="E339:F339"/>
    <mergeCell ref="J339:K339"/>
    <mergeCell ref="O339:P339"/>
    <mergeCell ref="T339:U339"/>
    <mergeCell ref="Y339:Z339"/>
    <mergeCell ref="AD339:AE339"/>
    <mergeCell ref="AI339:AJ339"/>
    <mergeCell ref="E340:F340"/>
    <mergeCell ref="J340:K340"/>
    <mergeCell ref="O340:P340"/>
    <mergeCell ref="T340:U340"/>
    <mergeCell ref="Y340:Z340"/>
    <mergeCell ref="AD340:AE340"/>
    <mergeCell ref="AI340:AJ340"/>
    <mergeCell ref="D341:G341"/>
    <mergeCell ref="I341:L341"/>
    <mergeCell ref="N341:Q341"/>
    <mergeCell ref="S341:V341"/>
    <mergeCell ref="X341:AA341"/>
    <mergeCell ref="AC341:AF341"/>
    <mergeCell ref="AH341:AK341"/>
    <mergeCell ref="D342:E342"/>
    <mergeCell ref="F342:G342"/>
    <mergeCell ref="I342:J342"/>
    <mergeCell ref="K342:L342"/>
    <mergeCell ref="N342:O342"/>
    <mergeCell ref="P342:Q342"/>
    <mergeCell ref="S342:T342"/>
    <mergeCell ref="U342:V342"/>
    <mergeCell ref="X342:Y342"/>
    <mergeCell ref="D343:E343"/>
    <mergeCell ref="F343:G343"/>
    <mergeCell ref="I343:J343"/>
    <mergeCell ref="K343:L343"/>
    <mergeCell ref="N343:O343"/>
    <mergeCell ref="P343:Q343"/>
    <mergeCell ref="S343:T343"/>
    <mergeCell ref="U343:V343"/>
    <mergeCell ref="X343:Y343"/>
    <mergeCell ref="Z343:AA343"/>
    <mergeCell ref="AC343:AD343"/>
    <mergeCell ref="AE343:AF343"/>
    <mergeCell ref="AH343:AI343"/>
    <mergeCell ref="AJ343:AK343"/>
    <mergeCell ref="D344:E344"/>
    <mergeCell ref="F344:G344"/>
    <mergeCell ref="I344:J344"/>
    <mergeCell ref="K344:L344"/>
    <mergeCell ref="N344:O344"/>
    <mergeCell ref="P344:Q344"/>
    <mergeCell ref="S344:T344"/>
    <mergeCell ref="U344:V344"/>
    <mergeCell ref="X344:Y344"/>
    <mergeCell ref="Z344:AA344"/>
    <mergeCell ref="AC344:AD344"/>
    <mergeCell ref="AE344:AF344"/>
    <mergeCell ref="AH344:AI344"/>
    <mergeCell ref="AJ344:AK344"/>
    <mergeCell ref="D345:E345"/>
    <mergeCell ref="F345:G345"/>
    <mergeCell ref="I345:J345"/>
    <mergeCell ref="K345:L345"/>
    <mergeCell ref="N345:O345"/>
    <mergeCell ref="P345:Q345"/>
    <mergeCell ref="S345:T345"/>
    <mergeCell ref="U345:V345"/>
    <mergeCell ref="X345:Y345"/>
    <mergeCell ref="Z345:AA345"/>
    <mergeCell ref="AC345:AD345"/>
    <mergeCell ref="AE345:AF345"/>
    <mergeCell ref="AH345:AI345"/>
    <mergeCell ref="AJ345:AK345"/>
    <mergeCell ref="D346:G359"/>
    <mergeCell ref="I346:L359"/>
    <mergeCell ref="N346:Q359"/>
    <mergeCell ref="S346:V359"/>
    <mergeCell ref="X346:AA359"/>
    <mergeCell ref="AC346:AF359"/>
    <mergeCell ref="AH346:AK359"/>
    <mergeCell ref="D360:G366"/>
    <mergeCell ref="I360:L366"/>
    <mergeCell ref="N360:Q366"/>
    <mergeCell ref="S360:V366"/>
    <mergeCell ref="X360:AA366"/>
    <mergeCell ref="AC360:AF366"/>
    <mergeCell ref="AH360:AK366"/>
    <mergeCell ref="E367:F367"/>
    <mergeCell ref="J367:K367"/>
    <mergeCell ref="O367:P367"/>
    <mergeCell ref="T367:U367"/>
    <mergeCell ref="Y367:Z367"/>
    <mergeCell ref="AD367:AE367"/>
    <mergeCell ref="AI367:AJ367"/>
    <mergeCell ref="D368:G368"/>
    <mergeCell ref="I368:L368"/>
    <mergeCell ref="N368:Q368"/>
    <mergeCell ref="S368:V368"/>
    <mergeCell ref="X368:AA368"/>
    <mergeCell ref="AC368:AF368"/>
    <mergeCell ref="AH368:AK368"/>
    <mergeCell ref="D369:E369"/>
    <mergeCell ref="F369:G369"/>
    <mergeCell ref="I369:J369"/>
    <mergeCell ref="K369:L369"/>
    <mergeCell ref="N369:O369"/>
    <mergeCell ref="P369:Q369"/>
    <mergeCell ref="S369:T369"/>
    <mergeCell ref="U369:V369"/>
    <mergeCell ref="X369:Y369"/>
    <mergeCell ref="Z369:AA369"/>
    <mergeCell ref="AC369:AD369"/>
    <mergeCell ref="AE369:AF369"/>
    <mergeCell ref="AH369:AI369"/>
    <mergeCell ref="AJ369:AK369"/>
    <mergeCell ref="D370:E370"/>
    <mergeCell ref="F370:G370"/>
    <mergeCell ref="I370:J370"/>
    <mergeCell ref="K370:L370"/>
    <mergeCell ref="N370:O370"/>
    <mergeCell ref="P370:Q370"/>
    <mergeCell ref="S370:T370"/>
    <mergeCell ref="U370:V370"/>
    <mergeCell ref="X370:Y370"/>
    <mergeCell ref="Z370:AA370"/>
    <mergeCell ref="AC370:AD370"/>
    <mergeCell ref="AE370:AF370"/>
    <mergeCell ref="AH370:AI370"/>
    <mergeCell ref="AJ370:AK370"/>
    <mergeCell ref="D371:E371"/>
    <mergeCell ref="F371:G371"/>
    <mergeCell ref="I371:J371"/>
    <mergeCell ref="K371:L371"/>
    <mergeCell ref="N371:O371"/>
    <mergeCell ref="P371:Q371"/>
    <mergeCell ref="S371:T371"/>
    <mergeCell ref="U371:V371"/>
    <mergeCell ref="X371:Y371"/>
    <mergeCell ref="Z371:AA371"/>
    <mergeCell ref="AC371:AD371"/>
    <mergeCell ref="AE371:AF371"/>
    <mergeCell ref="AH371:AI371"/>
    <mergeCell ref="AJ371:AK371"/>
    <mergeCell ref="D372:E372"/>
    <mergeCell ref="F372:G372"/>
    <mergeCell ref="I372:J372"/>
    <mergeCell ref="K372:L372"/>
    <mergeCell ref="N372:O372"/>
    <mergeCell ref="P372:Q372"/>
    <mergeCell ref="S372:T372"/>
    <mergeCell ref="U372:V372"/>
    <mergeCell ref="X372:Y372"/>
    <mergeCell ref="Z372:AA372"/>
    <mergeCell ref="AC372:AD372"/>
    <mergeCell ref="AE372:AF372"/>
    <mergeCell ref="AH372:AI372"/>
    <mergeCell ref="AJ372:AK372"/>
    <mergeCell ref="D373:G386"/>
    <mergeCell ref="I373:L386"/>
    <mergeCell ref="N373:Q386"/>
    <mergeCell ref="S373:V386"/>
    <mergeCell ref="X373:AA386"/>
    <mergeCell ref="AC373:AF386"/>
    <mergeCell ref="AH373:AK386"/>
    <mergeCell ref="D387:G393"/>
    <mergeCell ref="I387:L393"/>
    <mergeCell ref="N387:Q393"/>
    <mergeCell ref="S387:V393"/>
    <mergeCell ref="X387:AA393"/>
    <mergeCell ref="AC387:AF393"/>
    <mergeCell ref="AH387:AK393"/>
    <mergeCell ref="B395:B449"/>
    <mergeCell ref="C395:C449"/>
    <mergeCell ref="E395:F395"/>
    <mergeCell ref="J395:K395"/>
    <mergeCell ref="O395:P395"/>
    <mergeCell ref="T395:U395"/>
    <mergeCell ref="Y395:Z395"/>
    <mergeCell ref="AD395:AE395"/>
    <mergeCell ref="AI395:AJ395"/>
    <mergeCell ref="E396:F396"/>
    <mergeCell ref="J396:K396"/>
    <mergeCell ref="O396:P396"/>
    <mergeCell ref="T396:U396"/>
    <mergeCell ref="Y396:Z396"/>
    <mergeCell ref="AD396:AE396"/>
    <mergeCell ref="AI396:AJ396"/>
    <mergeCell ref="D397:G397"/>
    <mergeCell ref="I397:L397"/>
    <mergeCell ref="AH397:AK397"/>
    <mergeCell ref="D398:E398"/>
    <mergeCell ref="F398:G398"/>
    <mergeCell ref="I398:J398"/>
    <mergeCell ref="K398:L398"/>
    <mergeCell ref="N398:O398"/>
    <mergeCell ref="P398:Q398"/>
    <mergeCell ref="S398:T398"/>
    <mergeCell ref="U398:V398"/>
    <mergeCell ref="X398:Y398"/>
    <mergeCell ref="Z398:AA398"/>
    <mergeCell ref="AC398:AD398"/>
    <mergeCell ref="AE398:AF398"/>
    <mergeCell ref="AH398:AI398"/>
    <mergeCell ref="AJ398:AK398"/>
    <mergeCell ref="D399:E399"/>
    <mergeCell ref="F399:G399"/>
    <mergeCell ref="I399:J399"/>
    <mergeCell ref="K399:L399"/>
    <mergeCell ref="N399:O399"/>
    <mergeCell ref="P399:Q399"/>
    <mergeCell ref="S399:T399"/>
    <mergeCell ref="U399:V399"/>
    <mergeCell ref="X399:Y399"/>
    <mergeCell ref="Z399:AA399"/>
    <mergeCell ref="AC399:AD399"/>
    <mergeCell ref="AE399:AF399"/>
    <mergeCell ref="AH399:AI399"/>
    <mergeCell ref="AJ399:AK399"/>
    <mergeCell ref="D400:E400"/>
    <mergeCell ref="F400:G400"/>
    <mergeCell ref="I400:J400"/>
    <mergeCell ref="K400:L400"/>
    <mergeCell ref="N400:O400"/>
    <mergeCell ref="P400:Q400"/>
    <mergeCell ref="S400:T400"/>
    <mergeCell ref="U400:V400"/>
    <mergeCell ref="X400:Y400"/>
    <mergeCell ref="Z400:AA400"/>
    <mergeCell ref="AC400:AD400"/>
    <mergeCell ref="AE400:AF400"/>
    <mergeCell ref="AH400:AI400"/>
    <mergeCell ref="AJ400:AK400"/>
    <mergeCell ref="D401:E401"/>
    <mergeCell ref="F401:G401"/>
    <mergeCell ref="I401:J401"/>
    <mergeCell ref="K401:L401"/>
    <mergeCell ref="N401:O401"/>
    <mergeCell ref="P401:Q401"/>
    <mergeCell ref="S401:T401"/>
    <mergeCell ref="U401:V401"/>
    <mergeCell ref="X401:Y401"/>
    <mergeCell ref="Z401:AA401"/>
    <mergeCell ref="AC401:AD401"/>
    <mergeCell ref="AE401:AF401"/>
    <mergeCell ref="AH401:AI401"/>
    <mergeCell ref="AJ401:AK401"/>
    <mergeCell ref="D402:G415"/>
    <mergeCell ref="I402:L415"/>
    <mergeCell ref="N402:Q415"/>
    <mergeCell ref="S402:V415"/>
    <mergeCell ref="X402:AA415"/>
    <mergeCell ref="AC402:AF415"/>
    <mergeCell ref="AH402:AK415"/>
    <mergeCell ref="D416:G422"/>
    <mergeCell ref="I416:L422"/>
    <mergeCell ref="N416:Q422"/>
    <mergeCell ref="S416:V422"/>
    <mergeCell ref="X416:AA422"/>
    <mergeCell ref="AC416:AF422"/>
    <mergeCell ref="AH416:AK422"/>
    <mergeCell ref="E423:F423"/>
    <mergeCell ref="J423:K423"/>
    <mergeCell ref="O423:P423"/>
    <mergeCell ref="T423:U423"/>
    <mergeCell ref="Y423:Z423"/>
    <mergeCell ref="AD423:AE423"/>
    <mergeCell ref="AI423:AJ423"/>
    <mergeCell ref="D424:G424"/>
    <mergeCell ref="I424:L424"/>
    <mergeCell ref="N424:Q424"/>
    <mergeCell ref="S424:V424"/>
    <mergeCell ref="X424:AA424"/>
    <mergeCell ref="AC424:AF424"/>
    <mergeCell ref="AH424:AK424"/>
    <mergeCell ref="D425:E425"/>
    <mergeCell ref="F425:G425"/>
    <mergeCell ref="I425:J425"/>
    <mergeCell ref="K425:L425"/>
    <mergeCell ref="N425:O425"/>
    <mergeCell ref="P425:Q425"/>
    <mergeCell ref="S425:T425"/>
    <mergeCell ref="U425:V425"/>
    <mergeCell ref="X425:Y425"/>
    <mergeCell ref="Z425:AA425"/>
    <mergeCell ref="AC425:AD425"/>
    <mergeCell ref="AE425:AF425"/>
    <mergeCell ref="AH425:AI425"/>
    <mergeCell ref="AJ425:AK425"/>
    <mergeCell ref="D426:E426"/>
    <mergeCell ref="F426:G426"/>
    <mergeCell ref="I426:J426"/>
    <mergeCell ref="K426:L426"/>
    <mergeCell ref="N426:O426"/>
    <mergeCell ref="P426:Q426"/>
    <mergeCell ref="S426:T426"/>
    <mergeCell ref="U426:V426"/>
    <mergeCell ref="X426:Y426"/>
    <mergeCell ref="Z426:AA426"/>
    <mergeCell ref="AC426:AD426"/>
    <mergeCell ref="AE426:AF426"/>
    <mergeCell ref="AH426:AI426"/>
    <mergeCell ref="AJ426:AK426"/>
    <mergeCell ref="D427:E427"/>
    <mergeCell ref="F427:G427"/>
    <mergeCell ref="I427:J427"/>
    <mergeCell ref="K427:L427"/>
    <mergeCell ref="N427:O427"/>
    <mergeCell ref="P427:Q427"/>
    <mergeCell ref="S427:T427"/>
    <mergeCell ref="U427:V427"/>
    <mergeCell ref="X427:Y427"/>
    <mergeCell ref="Z427:AA427"/>
    <mergeCell ref="AC427:AD427"/>
    <mergeCell ref="AE427:AF427"/>
    <mergeCell ref="AH427:AI427"/>
    <mergeCell ref="AJ427:AK427"/>
    <mergeCell ref="D428:E428"/>
    <mergeCell ref="F428:G428"/>
    <mergeCell ref="I428:J428"/>
    <mergeCell ref="K428:L428"/>
    <mergeCell ref="N428:O428"/>
    <mergeCell ref="P428:Q428"/>
    <mergeCell ref="S428:T428"/>
    <mergeCell ref="U428:V428"/>
    <mergeCell ref="X428:Y428"/>
    <mergeCell ref="Z428:AA428"/>
    <mergeCell ref="AC428:AD428"/>
    <mergeCell ref="AE428:AF428"/>
    <mergeCell ref="AH428:AI428"/>
    <mergeCell ref="AJ428:AK428"/>
    <mergeCell ref="D429:G442"/>
    <mergeCell ref="I429:L442"/>
    <mergeCell ref="N429:Q442"/>
    <mergeCell ref="S429:V442"/>
    <mergeCell ref="X429:AA442"/>
    <mergeCell ref="AC429:AF442"/>
    <mergeCell ref="AH429:AK442"/>
    <mergeCell ref="D443:G449"/>
    <mergeCell ref="I443:L449"/>
    <mergeCell ref="N443:Q449"/>
    <mergeCell ref="S443:V449"/>
    <mergeCell ref="X443:AA449"/>
    <mergeCell ref="AC443:AF449"/>
    <mergeCell ref="AH443:AK449"/>
    <mergeCell ref="B451:B505"/>
    <mergeCell ref="C451:C505"/>
    <mergeCell ref="E451:F451"/>
    <mergeCell ref="J451:K451"/>
    <mergeCell ref="O451:P451"/>
    <mergeCell ref="T451:U451"/>
    <mergeCell ref="Y451:Z451"/>
    <mergeCell ref="AD451:AE451"/>
    <mergeCell ref="AI451:AJ451"/>
    <mergeCell ref="E452:F452"/>
    <mergeCell ref="J452:K452"/>
    <mergeCell ref="O452:P452"/>
    <mergeCell ref="T452:U452"/>
    <mergeCell ref="Y452:Z452"/>
    <mergeCell ref="AD452:AE452"/>
    <mergeCell ref="AI452:AJ452"/>
    <mergeCell ref="D453:G453"/>
    <mergeCell ref="I453:L453"/>
    <mergeCell ref="N453:Q453"/>
    <mergeCell ref="S453:V453"/>
    <mergeCell ref="X453:AA453"/>
    <mergeCell ref="AC453:AF453"/>
    <mergeCell ref="AH453:AK453"/>
    <mergeCell ref="D454:E454"/>
    <mergeCell ref="F454:G454"/>
    <mergeCell ref="AJ454:AK454"/>
    <mergeCell ref="D455:E455"/>
    <mergeCell ref="F455:G455"/>
    <mergeCell ref="I455:J455"/>
    <mergeCell ref="K455:L455"/>
    <mergeCell ref="N455:O455"/>
    <mergeCell ref="P455:Q455"/>
    <mergeCell ref="S455:T455"/>
    <mergeCell ref="U455:V455"/>
    <mergeCell ref="X455:Y455"/>
    <mergeCell ref="Z455:AA455"/>
    <mergeCell ref="AC455:AD455"/>
    <mergeCell ref="AE455:AF455"/>
    <mergeCell ref="AH455:AI455"/>
    <mergeCell ref="AJ455:AK455"/>
    <mergeCell ref="D456:E456"/>
    <mergeCell ref="F456:G456"/>
    <mergeCell ref="I456:J456"/>
    <mergeCell ref="K456:L456"/>
    <mergeCell ref="N456:O456"/>
    <mergeCell ref="P456:Q456"/>
    <mergeCell ref="S456:T456"/>
    <mergeCell ref="U456:V456"/>
    <mergeCell ref="X456:Y456"/>
    <mergeCell ref="Z456:AA456"/>
    <mergeCell ref="AC456:AD456"/>
    <mergeCell ref="AE456:AF456"/>
    <mergeCell ref="AH456:AI456"/>
    <mergeCell ref="AJ456:AK456"/>
    <mergeCell ref="I454:J454"/>
    <mergeCell ref="K454:L454"/>
    <mergeCell ref="N454:O454"/>
    <mergeCell ref="X457:Y457"/>
    <mergeCell ref="Z457:AA457"/>
    <mergeCell ref="AC457:AD457"/>
    <mergeCell ref="AE457:AF457"/>
    <mergeCell ref="AH457:AI457"/>
    <mergeCell ref="AJ457:AK457"/>
    <mergeCell ref="D458:G471"/>
    <mergeCell ref="I458:L471"/>
    <mergeCell ref="N458:Q471"/>
    <mergeCell ref="S458:V471"/>
    <mergeCell ref="X458:AA471"/>
    <mergeCell ref="AC458:AF471"/>
    <mergeCell ref="AH458:AK471"/>
    <mergeCell ref="D472:G478"/>
    <mergeCell ref="I472:L478"/>
    <mergeCell ref="N472:Q478"/>
    <mergeCell ref="S472:V478"/>
    <mergeCell ref="X472:AA478"/>
    <mergeCell ref="AC472:AF478"/>
    <mergeCell ref="AH472:AK478"/>
    <mergeCell ref="D457:E457"/>
    <mergeCell ref="F457:G457"/>
    <mergeCell ref="I457:J457"/>
    <mergeCell ref="E479:F479"/>
    <mergeCell ref="J479:K479"/>
    <mergeCell ref="O479:P479"/>
    <mergeCell ref="T479:U479"/>
    <mergeCell ref="Y479:Z479"/>
    <mergeCell ref="AD479:AE479"/>
    <mergeCell ref="AI479:AJ479"/>
    <mergeCell ref="D480:G480"/>
    <mergeCell ref="I480:L480"/>
    <mergeCell ref="N480:Q480"/>
    <mergeCell ref="S480:V480"/>
    <mergeCell ref="X480:AA480"/>
    <mergeCell ref="AC480:AF480"/>
    <mergeCell ref="AH480:AK480"/>
    <mergeCell ref="D481:E481"/>
    <mergeCell ref="F481:G481"/>
    <mergeCell ref="I481:J481"/>
    <mergeCell ref="K481:L481"/>
    <mergeCell ref="N481:O481"/>
    <mergeCell ref="P481:Q481"/>
    <mergeCell ref="S481:T481"/>
    <mergeCell ref="U481:V481"/>
    <mergeCell ref="X481:Y481"/>
    <mergeCell ref="Z481:AA481"/>
    <mergeCell ref="AC481:AD481"/>
    <mergeCell ref="AE481:AF481"/>
    <mergeCell ref="AH481:AI481"/>
    <mergeCell ref="AJ481:AK481"/>
    <mergeCell ref="D482:E482"/>
    <mergeCell ref="F482:G482"/>
    <mergeCell ref="I482:J482"/>
    <mergeCell ref="K482:L482"/>
    <mergeCell ref="N482:O482"/>
    <mergeCell ref="P482:Q482"/>
    <mergeCell ref="S482:T482"/>
    <mergeCell ref="U482:V482"/>
    <mergeCell ref="X482:Y482"/>
    <mergeCell ref="Z482:AA482"/>
    <mergeCell ref="AC482:AD482"/>
    <mergeCell ref="AE482:AF482"/>
    <mergeCell ref="AH482:AI482"/>
    <mergeCell ref="AJ482:AK482"/>
    <mergeCell ref="D483:E483"/>
    <mergeCell ref="F483:G483"/>
    <mergeCell ref="I483:J483"/>
    <mergeCell ref="K483:L483"/>
    <mergeCell ref="N483:O483"/>
    <mergeCell ref="P483:Q483"/>
    <mergeCell ref="S483:T483"/>
    <mergeCell ref="U483:V483"/>
    <mergeCell ref="X483:Y483"/>
    <mergeCell ref="Z483:AA483"/>
    <mergeCell ref="AC483:AD483"/>
    <mergeCell ref="AE483:AF483"/>
    <mergeCell ref="AH483:AI483"/>
    <mergeCell ref="AJ483:AK483"/>
    <mergeCell ref="D484:E484"/>
    <mergeCell ref="F484:G484"/>
    <mergeCell ref="I484:J484"/>
    <mergeCell ref="K484:L484"/>
    <mergeCell ref="N484:O484"/>
    <mergeCell ref="P484:Q484"/>
    <mergeCell ref="S484:T484"/>
    <mergeCell ref="U484:V484"/>
    <mergeCell ref="X484:Y484"/>
    <mergeCell ref="Z484:AA484"/>
    <mergeCell ref="AC484:AD484"/>
    <mergeCell ref="AE484:AF484"/>
    <mergeCell ref="AH484:AI484"/>
    <mergeCell ref="AJ484:AK484"/>
    <mergeCell ref="D485:G498"/>
    <mergeCell ref="I485:L498"/>
    <mergeCell ref="N485:Q498"/>
    <mergeCell ref="S485:V498"/>
    <mergeCell ref="X485:AA498"/>
    <mergeCell ref="AC485:AF498"/>
    <mergeCell ref="AH485:AK498"/>
    <mergeCell ref="D499:G505"/>
    <mergeCell ref="I499:L505"/>
    <mergeCell ref="N499:Q505"/>
    <mergeCell ref="S499:V505"/>
    <mergeCell ref="X499:AA505"/>
    <mergeCell ref="AC499:AF505"/>
    <mergeCell ref="AH499:AK505"/>
    <mergeCell ref="B507:B561"/>
    <mergeCell ref="C507:C561"/>
    <mergeCell ref="E507:F507"/>
    <mergeCell ref="J507:K507"/>
    <mergeCell ref="O507:P507"/>
    <mergeCell ref="T507:U507"/>
    <mergeCell ref="Y507:Z507"/>
    <mergeCell ref="AD507:AE507"/>
    <mergeCell ref="AI507:AJ507"/>
    <mergeCell ref="E508:F508"/>
    <mergeCell ref="J508:K508"/>
    <mergeCell ref="O508:P508"/>
    <mergeCell ref="T508:U508"/>
    <mergeCell ref="Y508:Z508"/>
    <mergeCell ref="AD508:AE508"/>
    <mergeCell ref="AI508:AJ508"/>
    <mergeCell ref="D509:G509"/>
    <mergeCell ref="I509:L509"/>
    <mergeCell ref="N509:Q509"/>
    <mergeCell ref="S509:V509"/>
    <mergeCell ref="X509:AA509"/>
    <mergeCell ref="AC509:AF509"/>
    <mergeCell ref="AH509:AK509"/>
    <mergeCell ref="D510:E510"/>
    <mergeCell ref="F510:G510"/>
    <mergeCell ref="I510:J510"/>
    <mergeCell ref="K510:L510"/>
    <mergeCell ref="N510:O510"/>
    <mergeCell ref="P510:Q510"/>
    <mergeCell ref="S510:T510"/>
    <mergeCell ref="U510:V510"/>
    <mergeCell ref="X510:Y510"/>
    <mergeCell ref="Z510:AA510"/>
    <mergeCell ref="AC510:AD510"/>
    <mergeCell ref="AE510:AF510"/>
    <mergeCell ref="AH510:AI510"/>
    <mergeCell ref="AJ510:AK510"/>
    <mergeCell ref="D511:E511"/>
    <mergeCell ref="F511:G511"/>
    <mergeCell ref="I511:J511"/>
    <mergeCell ref="K511:L511"/>
    <mergeCell ref="N511:O511"/>
    <mergeCell ref="P511:Q511"/>
    <mergeCell ref="S511:T511"/>
    <mergeCell ref="U511:V511"/>
    <mergeCell ref="X511:Y511"/>
    <mergeCell ref="Z511:AA511"/>
    <mergeCell ref="AC511:AD511"/>
    <mergeCell ref="AE511:AF511"/>
    <mergeCell ref="AH511:AI511"/>
    <mergeCell ref="AJ511:AK511"/>
    <mergeCell ref="D512:E512"/>
    <mergeCell ref="F512:G512"/>
    <mergeCell ref="I512:J512"/>
    <mergeCell ref="K512:L512"/>
    <mergeCell ref="N512:O512"/>
    <mergeCell ref="P512:Q512"/>
    <mergeCell ref="S512:T512"/>
    <mergeCell ref="U512:V512"/>
    <mergeCell ref="X512:Y512"/>
    <mergeCell ref="Z512:AA512"/>
    <mergeCell ref="AC512:AD512"/>
    <mergeCell ref="AE512:AF512"/>
    <mergeCell ref="AH512:AI512"/>
    <mergeCell ref="AJ512:AK512"/>
    <mergeCell ref="D513:E513"/>
    <mergeCell ref="F513:G513"/>
    <mergeCell ref="I513:J513"/>
    <mergeCell ref="K513:L513"/>
    <mergeCell ref="N513:O513"/>
    <mergeCell ref="P513:Q513"/>
    <mergeCell ref="S513:T513"/>
    <mergeCell ref="U513:V513"/>
    <mergeCell ref="X513:Y513"/>
    <mergeCell ref="Z513:AA513"/>
    <mergeCell ref="AC513:AD513"/>
    <mergeCell ref="AE513:AF513"/>
    <mergeCell ref="AH513:AI513"/>
    <mergeCell ref="AJ513:AK513"/>
    <mergeCell ref="AH537:AI537"/>
    <mergeCell ref="AJ537:AK537"/>
    <mergeCell ref="D538:E538"/>
    <mergeCell ref="F538:G538"/>
    <mergeCell ref="I538:J538"/>
    <mergeCell ref="K538:L538"/>
    <mergeCell ref="N538:O538"/>
    <mergeCell ref="P538:Q538"/>
    <mergeCell ref="S538:T538"/>
    <mergeCell ref="U538:V538"/>
    <mergeCell ref="X538:Y538"/>
    <mergeCell ref="Z538:AA538"/>
    <mergeCell ref="AC538:AD538"/>
    <mergeCell ref="AE538:AF538"/>
    <mergeCell ref="AH538:AI538"/>
    <mergeCell ref="AJ538:AK538"/>
    <mergeCell ref="D539:E539"/>
    <mergeCell ref="F539:G539"/>
    <mergeCell ref="I539:J539"/>
    <mergeCell ref="K539:L539"/>
    <mergeCell ref="N539:O539"/>
    <mergeCell ref="P539:Q539"/>
    <mergeCell ref="S539:T539"/>
    <mergeCell ref="U539:V539"/>
    <mergeCell ref="X539:Y539"/>
    <mergeCell ref="Z539:AA539"/>
    <mergeCell ref="AC539:AD539"/>
    <mergeCell ref="AE539:AF539"/>
    <mergeCell ref="AH539:AI539"/>
    <mergeCell ref="AJ539:AK539"/>
    <mergeCell ref="I540:J540"/>
    <mergeCell ref="K540:L540"/>
    <mergeCell ref="N540:O540"/>
    <mergeCell ref="P540:Q540"/>
    <mergeCell ref="S540:T540"/>
    <mergeCell ref="U540:V540"/>
    <mergeCell ref="X540:Y540"/>
    <mergeCell ref="Z540:AA540"/>
    <mergeCell ref="AC540:AD540"/>
    <mergeCell ref="AE540:AF540"/>
    <mergeCell ref="AH540:AI540"/>
    <mergeCell ref="AJ540:AK540"/>
    <mergeCell ref="B563:B617"/>
    <mergeCell ref="C563:C617"/>
    <mergeCell ref="E563:F563"/>
    <mergeCell ref="J563:K563"/>
    <mergeCell ref="O563:P563"/>
    <mergeCell ref="T563:U563"/>
    <mergeCell ref="Y563:Z563"/>
    <mergeCell ref="AD563:AE563"/>
    <mergeCell ref="AI563:AJ563"/>
    <mergeCell ref="E564:F564"/>
    <mergeCell ref="J564:K564"/>
    <mergeCell ref="O564:P564"/>
    <mergeCell ref="T564:U564"/>
    <mergeCell ref="Y564:Z564"/>
    <mergeCell ref="AD564:AE564"/>
    <mergeCell ref="AI564:AJ564"/>
    <mergeCell ref="D565:G565"/>
    <mergeCell ref="I565:L565"/>
    <mergeCell ref="N565:Q565"/>
    <mergeCell ref="S565:V565"/>
    <mergeCell ref="X565:AA565"/>
    <mergeCell ref="AC565:AF565"/>
    <mergeCell ref="AH565:AK565"/>
    <mergeCell ref="D566:E566"/>
    <mergeCell ref="F566:G566"/>
    <mergeCell ref="I566:J566"/>
    <mergeCell ref="K566:L566"/>
    <mergeCell ref="N566:O566"/>
    <mergeCell ref="P566:Q566"/>
    <mergeCell ref="S566:T566"/>
    <mergeCell ref="U566:V566"/>
    <mergeCell ref="X566:Y566"/>
    <mergeCell ref="AE567:AF567"/>
    <mergeCell ref="AH567:AI567"/>
    <mergeCell ref="AJ567:AK567"/>
    <mergeCell ref="D568:E568"/>
    <mergeCell ref="F568:G568"/>
    <mergeCell ref="I568:J568"/>
    <mergeCell ref="K568:L568"/>
    <mergeCell ref="N568:O568"/>
    <mergeCell ref="P568:Q568"/>
    <mergeCell ref="S568:T568"/>
    <mergeCell ref="U568:V568"/>
    <mergeCell ref="X568:Y568"/>
    <mergeCell ref="Z568:AA568"/>
    <mergeCell ref="AC568:AD568"/>
    <mergeCell ref="AE568:AF568"/>
    <mergeCell ref="AH568:AI568"/>
    <mergeCell ref="AJ568:AK568"/>
    <mergeCell ref="I567:J567"/>
    <mergeCell ref="K567:L567"/>
    <mergeCell ref="N567:O567"/>
    <mergeCell ref="D567:E567"/>
    <mergeCell ref="F567:G567"/>
    <mergeCell ref="P567:Q567"/>
    <mergeCell ref="S567:T567"/>
    <mergeCell ref="U567:V567"/>
    <mergeCell ref="X567:Y567"/>
    <mergeCell ref="Z567:AA567"/>
    <mergeCell ref="AC567:AD567"/>
    <mergeCell ref="P569:Q569"/>
    <mergeCell ref="S569:T569"/>
    <mergeCell ref="U569:V569"/>
    <mergeCell ref="X569:Y569"/>
    <mergeCell ref="Z569:AA569"/>
    <mergeCell ref="AC569:AD569"/>
    <mergeCell ref="AE569:AF569"/>
    <mergeCell ref="AH569:AI569"/>
    <mergeCell ref="AJ569:AK569"/>
    <mergeCell ref="D570:G583"/>
    <mergeCell ref="I570:L583"/>
    <mergeCell ref="N570:Q583"/>
    <mergeCell ref="S570:V583"/>
    <mergeCell ref="X570:AA583"/>
    <mergeCell ref="AC570:AF583"/>
    <mergeCell ref="AH570:AK583"/>
    <mergeCell ref="D584:G590"/>
    <mergeCell ref="I584:L590"/>
    <mergeCell ref="N584:Q590"/>
    <mergeCell ref="S584:V590"/>
    <mergeCell ref="X584:AA590"/>
    <mergeCell ref="AC584:AF590"/>
    <mergeCell ref="AH584:AK590"/>
    <mergeCell ref="D569:E569"/>
    <mergeCell ref="F569:G569"/>
    <mergeCell ref="I569:J569"/>
    <mergeCell ref="K569:L569"/>
    <mergeCell ref="N569:O569"/>
    <mergeCell ref="D594:E594"/>
    <mergeCell ref="F594:G594"/>
    <mergeCell ref="I594:J594"/>
    <mergeCell ref="K594:L594"/>
    <mergeCell ref="N594:O594"/>
    <mergeCell ref="P594:Q594"/>
    <mergeCell ref="S594:T594"/>
    <mergeCell ref="U594:V594"/>
    <mergeCell ref="X594:Y594"/>
    <mergeCell ref="Z594:AA594"/>
    <mergeCell ref="AC594:AD594"/>
    <mergeCell ref="AE594:AF594"/>
    <mergeCell ref="AH594:AI594"/>
    <mergeCell ref="AJ594:AK594"/>
    <mergeCell ref="F595:G595"/>
    <mergeCell ref="I595:J595"/>
    <mergeCell ref="K595:L595"/>
    <mergeCell ref="N595:O595"/>
    <mergeCell ref="P595:Q595"/>
    <mergeCell ref="S595:T595"/>
    <mergeCell ref="U595:V595"/>
    <mergeCell ref="X595:Y595"/>
    <mergeCell ref="Z595:AA595"/>
    <mergeCell ref="AC595:AD595"/>
    <mergeCell ref="AE595:AF595"/>
    <mergeCell ref="AH595:AI595"/>
    <mergeCell ref="AJ595:AK595"/>
    <mergeCell ref="D596:E596"/>
    <mergeCell ref="F596:G596"/>
    <mergeCell ref="I596:J596"/>
    <mergeCell ref="K596:L596"/>
    <mergeCell ref="N596:O596"/>
    <mergeCell ref="P596:Q596"/>
    <mergeCell ref="S596:T596"/>
    <mergeCell ref="U596:V596"/>
    <mergeCell ref="X596:Y596"/>
    <mergeCell ref="Z596:AA596"/>
    <mergeCell ref="AC596:AD596"/>
    <mergeCell ref="AE596:AF596"/>
    <mergeCell ref="AH596:AI596"/>
    <mergeCell ref="AJ596:AK596"/>
    <mergeCell ref="D597:G610"/>
    <mergeCell ref="I597:L610"/>
    <mergeCell ref="N597:Q610"/>
    <mergeCell ref="S597:V610"/>
    <mergeCell ref="X597:AA610"/>
    <mergeCell ref="AC597:AF610"/>
    <mergeCell ref="AH597:AK610"/>
    <mergeCell ref="D611:G617"/>
    <mergeCell ref="I611:L617"/>
    <mergeCell ref="N611:Q617"/>
    <mergeCell ref="S611:V617"/>
    <mergeCell ref="X611:AA617"/>
    <mergeCell ref="AC611:AF617"/>
    <mergeCell ref="AH611:AK617"/>
    <mergeCell ref="B619:B673"/>
    <mergeCell ref="C619:C673"/>
    <mergeCell ref="E619:F619"/>
    <mergeCell ref="J619:K619"/>
    <mergeCell ref="O619:P619"/>
    <mergeCell ref="T619:U619"/>
    <mergeCell ref="Y619:Z619"/>
    <mergeCell ref="AD619:AE619"/>
    <mergeCell ref="AI619:AJ619"/>
    <mergeCell ref="E620:F620"/>
    <mergeCell ref="J620:K620"/>
    <mergeCell ref="O620:P620"/>
    <mergeCell ref="T620:U620"/>
    <mergeCell ref="Y620:Z620"/>
    <mergeCell ref="AD620:AE620"/>
    <mergeCell ref="AI620:AJ620"/>
    <mergeCell ref="D621:G621"/>
    <mergeCell ref="I621:L621"/>
    <mergeCell ref="D622:E622"/>
    <mergeCell ref="F622:G622"/>
    <mergeCell ref="I622:J622"/>
    <mergeCell ref="K622:L622"/>
    <mergeCell ref="N622:O622"/>
    <mergeCell ref="P622:Q622"/>
    <mergeCell ref="S622:T622"/>
    <mergeCell ref="U622:V622"/>
    <mergeCell ref="X622:Y622"/>
    <mergeCell ref="Z622:AA622"/>
    <mergeCell ref="AC622:AD622"/>
    <mergeCell ref="AE622:AF622"/>
    <mergeCell ref="AH622:AI622"/>
    <mergeCell ref="AJ622:AK622"/>
    <mergeCell ref="D623:E623"/>
    <mergeCell ref="F623:G623"/>
    <mergeCell ref="I623:J623"/>
    <mergeCell ref="K623:L623"/>
    <mergeCell ref="N623:O623"/>
    <mergeCell ref="P623:Q623"/>
    <mergeCell ref="S623:T623"/>
    <mergeCell ref="U623:V623"/>
    <mergeCell ref="X623:Y623"/>
    <mergeCell ref="Z623:AA623"/>
    <mergeCell ref="AC623:AD623"/>
    <mergeCell ref="AE623:AF623"/>
    <mergeCell ref="AH623:AI623"/>
    <mergeCell ref="AJ623:AK623"/>
    <mergeCell ref="D624:E624"/>
    <mergeCell ref="F624:G624"/>
    <mergeCell ref="I624:J624"/>
    <mergeCell ref="K624:L624"/>
    <mergeCell ref="N624:O624"/>
    <mergeCell ref="P624:Q624"/>
    <mergeCell ref="S624:T624"/>
    <mergeCell ref="U624:V624"/>
    <mergeCell ref="X624:Y624"/>
    <mergeCell ref="Z624:AA624"/>
    <mergeCell ref="AC624:AD624"/>
    <mergeCell ref="AE624:AF624"/>
    <mergeCell ref="AH624:AI624"/>
    <mergeCell ref="AJ624:AK624"/>
    <mergeCell ref="D625:E625"/>
    <mergeCell ref="F625:G625"/>
    <mergeCell ref="I625:J625"/>
    <mergeCell ref="K625:L625"/>
    <mergeCell ref="N625:O625"/>
    <mergeCell ref="P625:Q625"/>
    <mergeCell ref="S625:T625"/>
    <mergeCell ref="U625:V625"/>
    <mergeCell ref="X625:Y625"/>
    <mergeCell ref="Z625:AA625"/>
    <mergeCell ref="AC625:AD625"/>
    <mergeCell ref="AE625:AF625"/>
    <mergeCell ref="AH625:AI625"/>
    <mergeCell ref="AJ625:AK625"/>
    <mergeCell ref="D626:G639"/>
    <mergeCell ref="I626:L639"/>
    <mergeCell ref="N626:Q639"/>
    <mergeCell ref="S626:V639"/>
    <mergeCell ref="X626:AA639"/>
    <mergeCell ref="AC626:AF639"/>
    <mergeCell ref="AH626:AK639"/>
    <mergeCell ref="D640:G646"/>
    <mergeCell ref="I640:L646"/>
    <mergeCell ref="N640:Q646"/>
    <mergeCell ref="S640:V646"/>
    <mergeCell ref="X640:AA646"/>
    <mergeCell ref="AC640:AF646"/>
    <mergeCell ref="AH640:AK646"/>
    <mergeCell ref="E647:F647"/>
    <mergeCell ref="J647:K647"/>
    <mergeCell ref="O647:P647"/>
    <mergeCell ref="T647:U647"/>
    <mergeCell ref="Y647:Z647"/>
    <mergeCell ref="AD647:AE647"/>
    <mergeCell ref="AI647:AJ647"/>
    <mergeCell ref="D648:G648"/>
    <mergeCell ref="I648:L648"/>
    <mergeCell ref="N648:Q648"/>
    <mergeCell ref="S648:V648"/>
    <mergeCell ref="X648:AA648"/>
    <mergeCell ref="AC648:AF648"/>
    <mergeCell ref="AH648:AK648"/>
    <mergeCell ref="D649:E649"/>
    <mergeCell ref="F649:G649"/>
    <mergeCell ref="I649:J649"/>
    <mergeCell ref="K649:L649"/>
    <mergeCell ref="N649:O649"/>
    <mergeCell ref="P649:Q649"/>
    <mergeCell ref="S649:T649"/>
    <mergeCell ref="U649:V649"/>
    <mergeCell ref="X649:Y649"/>
    <mergeCell ref="Z649:AA649"/>
    <mergeCell ref="AC649:AD649"/>
    <mergeCell ref="AE649:AF649"/>
    <mergeCell ref="AH649:AI649"/>
    <mergeCell ref="AJ649:AK649"/>
    <mergeCell ref="D650:E650"/>
    <mergeCell ref="F650:G650"/>
    <mergeCell ref="I650:J650"/>
    <mergeCell ref="K650:L650"/>
    <mergeCell ref="N650:O650"/>
    <mergeCell ref="P650:Q650"/>
    <mergeCell ref="S650:T650"/>
    <mergeCell ref="U650:V650"/>
    <mergeCell ref="X650:Y650"/>
    <mergeCell ref="Z650:AA650"/>
    <mergeCell ref="AC650:AD650"/>
    <mergeCell ref="AE650:AF650"/>
    <mergeCell ref="AH650:AI650"/>
    <mergeCell ref="AJ650:AK650"/>
    <mergeCell ref="D651:E651"/>
    <mergeCell ref="F651:G651"/>
    <mergeCell ref="I651:J651"/>
    <mergeCell ref="K651:L651"/>
    <mergeCell ref="N651:O651"/>
    <mergeCell ref="P651:Q651"/>
    <mergeCell ref="S651:T651"/>
    <mergeCell ref="U651:V651"/>
    <mergeCell ref="X651:Y651"/>
    <mergeCell ref="Z651:AA651"/>
    <mergeCell ref="AC651:AD651"/>
    <mergeCell ref="AE651:AF651"/>
    <mergeCell ref="AH651:AI651"/>
    <mergeCell ref="AJ651:AK651"/>
    <mergeCell ref="D652:E652"/>
    <mergeCell ref="F652:G652"/>
    <mergeCell ref="I652:J652"/>
    <mergeCell ref="K652:L652"/>
    <mergeCell ref="N652:O652"/>
    <mergeCell ref="P652:Q652"/>
    <mergeCell ref="S652:T652"/>
    <mergeCell ref="U652:V652"/>
    <mergeCell ref="X652:Y652"/>
    <mergeCell ref="Z652:AA652"/>
    <mergeCell ref="AC652:AD652"/>
    <mergeCell ref="AE652:AF652"/>
    <mergeCell ref="AH652:AI652"/>
    <mergeCell ref="AJ652:AK652"/>
    <mergeCell ref="D653:G666"/>
    <mergeCell ref="I653:L666"/>
    <mergeCell ref="N653:Q666"/>
    <mergeCell ref="S653:V666"/>
    <mergeCell ref="X653:AA666"/>
    <mergeCell ref="AC653:AF666"/>
    <mergeCell ref="AH653:AK666"/>
    <mergeCell ref="D667:G673"/>
    <mergeCell ref="I667:L673"/>
    <mergeCell ref="N667:Q673"/>
    <mergeCell ref="S667:V673"/>
    <mergeCell ref="X667:AA673"/>
    <mergeCell ref="AC667:AF673"/>
    <mergeCell ref="AH667:AK673"/>
    <mergeCell ref="B675:B729"/>
    <mergeCell ref="C675:C729"/>
    <mergeCell ref="E675:F675"/>
    <mergeCell ref="J675:K675"/>
    <mergeCell ref="O675:P675"/>
    <mergeCell ref="T675:U675"/>
    <mergeCell ref="Y675:Z675"/>
    <mergeCell ref="AD675:AE675"/>
    <mergeCell ref="AI675:AJ675"/>
    <mergeCell ref="E676:F676"/>
    <mergeCell ref="J676:K676"/>
    <mergeCell ref="O676:P676"/>
    <mergeCell ref="T676:U676"/>
    <mergeCell ref="Y676:Z676"/>
    <mergeCell ref="AD676:AE676"/>
    <mergeCell ref="AI676:AJ676"/>
    <mergeCell ref="D677:G677"/>
    <mergeCell ref="I677:L677"/>
    <mergeCell ref="N677:Q677"/>
    <mergeCell ref="S677:V677"/>
    <mergeCell ref="X677:AA677"/>
    <mergeCell ref="AC677:AF677"/>
    <mergeCell ref="AH677:AK677"/>
    <mergeCell ref="D678:E678"/>
    <mergeCell ref="F678:G678"/>
    <mergeCell ref="D679:E679"/>
    <mergeCell ref="F679:G679"/>
    <mergeCell ref="I679:J679"/>
    <mergeCell ref="K679:L679"/>
    <mergeCell ref="N679:O679"/>
    <mergeCell ref="P679:Q679"/>
    <mergeCell ref="S679:T679"/>
    <mergeCell ref="U679:V679"/>
    <mergeCell ref="X679:Y679"/>
    <mergeCell ref="Z679:AA679"/>
    <mergeCell ref="AC679:AD679"/>
    <mergeCell ref="AE679:AF679"/>
    <mergeCell ref="AH679:AI679"/>
    <mergeCell ref="AJ679:AK679"/>
    <mergeCell ref="D680:E680"/>
    <mergeCell ref="F680:G680"/>
    <mergeCell ref="I680:J680"/>
    <mergeCell ref="K680:L680"/>
    <mergeCell ref="N680:O680"/>
    <mergeCell ref="P680:Q680"/>
    <mergeCell ref="S680:T680"/>
    <mergeCell ref="U680:V680"/>
    <mergeCell ref="X680:Y680"/>
    <mergeCell ref="Z680:AA680"/>
    <mergeCell ref="AC680:AD680"/>
    <mergeCell ref="AE680:AF680"/>
    <mergeCell ref="AH680:AI680"/>
    <mergeCell ref="AJ680:AK680"/>
    <mergeCell ref="D681:E681"/>
    <mergeCell ref="F681:G681"/>
    <mergeCell ref="I681:J681"/>
    <mergeCell ref="K681:L681"/>
    <mergeCell ref="N681:O681"/>
    <mergeCell ref="P681:Q681"/>
    <mergeCell ref="S681:T681"/>
    <mergeCell ref="U681:V681"/>
    <mergeCell ref="X681:Y681"/>
    <mergeCell ref="Z681:AA681"/>
    <mergeCell ref="AC681:AD681"/>
    <mergeCell ref="AE681:AF681"/>
    <mergeCell ref="AH681:AI681"/>
    <mergeCell ref="AJ681:AK681"/>
    <mergeCell ref="D682:G695"/>
    <mergeCell ref="I682:L695"/>
    <mergeCell ref="N682:Q695"/>
    <mergeCell ref="S682:V695"/>
    <mergeCell ref="X682:AA695"/>
    <mergeCell ref="AC682:AF695"/>
    <mergeCell ref="AH682:AK695"/>
    <mergeCell ref="D696:G702"/>
    <mergeCell ref="I696:L702"/>
    <mergeCell ref="N696:Q702"/>
    <mergeCell ref="S696:V702"/>
    <mergeCell ref="X696:AA702"/>
    <mergeCell ref="AC696:AF702"/>
    <mergeCell ref="AH696:AK702"/>
    <mergeCell ref="E703:F703"/>
    <mergeCell ref="J703:K703"/>
    <mergeCell ref="O703:P703"/>
    <mergeCell ref="T703:U703"/>
    <mergeCell ref="Y703:Z703"/>
    <mergeCell ref="AD703:AE703"/>
    <mergeCell ref="AI703:AJ703"/>
    <mergeCell ref="D704:G704"/>
    <mergeCell ref="I704:L704"/>
    <mergeCell ref="N704:Q704"/>
    <mergeCell ref="S704:V704"/>
    <mergeCell ref="X704:AA704"/>
    <mergeCell ref="AC704:AF704"/>
    <mergeCell ref="AH704:AK704"/>
    <mergeCell ref="D705:E705"/>
    <mergeCell ref="F705:G705"/>
    <mergeCell ref="I705:J705"/>
    <mergeCell ref="K705:L705"/>
    <mergeCell ref="N705:O705"/>
    <mergeCell ref="P705:Q705"/>
    <mergeCell ref="S705:T705"/>
    <mergeCell ref="U705:V705"/>
    <mergeCell ref="X705:Y705"/>
    <mergeCell ref="Z705:AA705"/>
    <mergeCell ref="AC705:AD705"/>
    <mergeCell ref="AE705:AF705"/>
    <mergeCell ref="AH705:AI705"/>
    <mergeCell ref="AJ705:AK705"/>
    <mergeCell ref="D706:E706"/>
    <mergeCell ref="F706:G706"/>
    <mergeCell ref="I706:J706"/>
    <mergeCell ref="K706:L706"/>
    <mergeCell ref="N706:O706"/>
    <mergeCell ref="P706:Q706"/>
    <mergeCell ref="S706:T706"/>
    <mergeCell ref="U706:V706"/>
    <mergeCell ref="X706:Y706"/>
    <mergeCell ref="Z706:AA706"/>
    <mergeCell ref="AC706:AD706"/>
    <mergeCell ref="AE706:AF706"/>
    <mergeCell ref="AH706:AI706"/>
    <mergeCell ref="AJ706:AK706"/>
    <mergeCell ref="K708:L708"/>
    <mergeCell ref="N708:O708"/>
    <mergeCell ref="P708:Q708"/>
    <mergeCell ref="S708:T708"/>
    <mergeCell ref="U708:V708"/>
    <mergeCell ref="X708:Y708"/>
    <mergeCell ref="Z708:AA708"/>
    <mergeCell ref="AC708:AD708"/>
    <mergeCell ref="AE708:AF708"/>
    <mergeCell ref="AH708:AI708"/>
    <mergeCell ref="AJ708:AK708"/>
    <mergeCell ref="D709:G722"/>
    <mergeCell ref="I709:L722"/>
    <mergeCell ref="N709:Q722"/>
    <mergeCell ref="S709:V722"/>
    <mergeCell ref="X709:AA722"/>
    <mergeCell ref="AC709:AF722"/>
    <mergeCell ref="AH709:AK722"/>
    <mergeCell ref="D708:E708"/>
    <mergeCell ref="F708:G708"/>
    <mergeCell ref="I708:J708"/>
    <mergeCell ref="D723:G729"/>
    <mergeCell ref="I723:L729"/>
    <mergeCell ref="N723:Q729"/>
    <mergeCell ref="S723:V729"/>
    <mergeCell ref="X723:AA729"/>
    <mergeCell ref="AC723:AF729"/>
    <mergeCell ref="AH723:AK729"/>
    <mergeCell ref="B731:B785"/>
    <mergeCell ref="C731:C785"/>
    <mergeCell ref="E731:F731"/>
    <mergeCell ref="J731:K731"/>
    <mergeCell ref="O731:P731"/>
    <mergeCell ref="T731:U731"/>
    <mergeCell ref="Y731:Z731"/>
    <mergeCell ref="AD731:AE731"/>
    <mergeCell ref="AI731:AJ731"/>
    <mergeCell ref="E732:F732"/>
    <mergeCell ref="J732:K732"/>
    <mergeCell ref="O732:P732"/>
    <mergeCell ref="T732:U732"/>
    <mergeCell ref="Y732:Z732"/>
    <mergeCell ref="AD732:AE732"/>
    <mergeCell ref="AI732:AJ732"/>
    <mergeCell ref="D733:G733"/>
    <mergeCell ref="I733:L733"/>
    <mergeCell ref="N733:Q733"/>
    <mergeCell ref="S733:V733"/>
    <mergeCell ref="X733:AA733"/>
    <mergeCell ref="AC733:AF733"/>
    <mergeCell ref="AH733:AK733"/>
    <mergeCell ref="D734:E734"/>
    <mergeCell ref="F734:G734"/>
    <mergeCell ref="D735:E735"/>
    <mergeCell ref="F735:G735"/>
    <mergeCell ref="I735:J735"/>
    <mergeCell ref="K735:L735"/>
    <mergeCell ref="N735:O735"/>
    <mergeCell ref="P735:Q735"/>
    <mergeCell ref="S735:T735"/>
    <mergeCell ref="U735:V735"/>
    <mergeCell ref="X735:Y735"/>
    <mergeCell ref="Z735:AA735"/>
    <mergeCell ref="AC735:AD735"/>
    <mergeCell ref="AE735:AF735"/>
    <mergeCell ref="AH735:AI735"/>
    <mergeCell ref="AJ735:AK735"/>
    <mergeCell ref="D738:G751"/>
    <mergeCell ref="I738:L751"/>
    <mergeCell ref="N738:Q751"/>
    <mergeCell ref="S738:V751"/>
    <mergeCell ref="X738:AA751"/>
    <mergeCell ref="AC738:AF751"/>
    <mergeCell ref="AH738:AK751"/>
    <mergeCell ref="AJ736:AK736"/>
    <mergeCell ref="AH737:AI737"/>
    <mergeCell ref="D752:G758"/>
    <mergeCell ref="I752:L758"/>
    <mergeCell ref="N752:Q758"/>
    <mergeCell ref="S752:V758"/>
    <mergeCell ref="X752:AA758"/>
    <mergeCell ref="AC752:AF758"/>
    <mergeCell ref="AH752:AK758"/>
    <mergeCell ref="E759:F759"/>
    <mergeCell ref="J759:K759"/>
    <mergeCell ref="O759:P759"/>
    <mergeCell ref="T759:U759"/>
    <mergeCell ref="Y759:Z759"/>
    <mergeCell ref="AD759:AE759"/>
    <mergeCell ref="AI759:AJ759"/>
    <mergeCell ref="D760:G760"/>
    <mergeCell ref="I760:L760"/>
    <mergeCell ref="N760:Q760"/>
    <mergeCell ref="S760:V760"/>
    <mergeCell ref="X760:AA760"/>
    <mergeCell ref="AC760:AF760"/>
    <mergeCell ref="AH760:AK760"/>
    <mergeCell ref="AC763:AD763"/>
    <mergeCell ref="AE763:AF763"/>
    <mergeCell ref="AH763:AI763"/>
    <mergeCell ref="AJ763:AK763"/>
    <mergeCell ref="D765:G778"/>
    <mergeCell ref="I765:L778"/>
    <mergeCell ref="N765:Q778"/>
    <mergeCell ref="S765:V778"/>
    <mergeCell ref="X765:AA778"/>
    <mergeCell ref="AC765:AF778"/>
    <mergeCell ref="AH765:AK778"/>
    <mergeCell ref="Z764:AA764"/>
    <mergeCell ref="X764:Y764"/>
    <mergeCell ref="U764:V764"/>
    <mergeCell ref="S764:T764"/>
    <mergeCell ref="P764:Q764"/>
    <mergeCell ref="N764:O764"/>
    <mergeCell ref="K764:L764"/>
    <mergeCell ref="I764:J764"/>
    <mergeCell ref="D764:E764"/>
    <mergeCell ref="F764:G764"/>
    <mergeCell ref="D763:E763"/>
    <mergeCell ref="F763:G763"/>
    <mergeCell ref="E787:F787"/>
    <mergeCell ref="J787:K787"/>
    <mergeCell ref="O787:P787"/>
    <mergeCell ref="T787:U787"/>
    <mergeCell ref="Y787:Z787"/>
    <mergeCell ref="AD787:AE787"/>
    <mergeCell ref="AI787:AJ787"/>
    <mergeCell ref="D794:G807"/>
    <mergeCell ref="I794:L807"/>
    <mergeCell ref="N794:Q807"/>
    <mergeCell ref="S794:V807"/>
    <mergeCell ref="X794:AA807"/>
    <mergeCell ref="AC794:AF807"/>
    <mergeCell ref="AH794:AK807"/>
    <mergeCell ref="D808:G814"/>
    <mergeCell ref="I808:L814"/>
    <mergeCell ref="N808:Q814"/>
    <mergeCell ref="S808:V814"/>
    <mergeCell ref="X808:AA814"/>
    <mergeCell ref="AC808:AF814"/>
    <mergeCell ref="AH808:AK814"/>
    <mergeCell ref="AJ790:AK790"/>
    <mergeCell ref="AH790:AI790"/>
    <mergeCell ref="AE790:AF790"/>
    <mergeCell ref="AC790:AD790"/>
    <mergeCell ref="Z790:AA790"/>
    <mergeCell ref="X790:Y790"/>
    <mergeCell ref="U790:V790"/>
    <mergeCell ref="S790:T790"/>
    <mergeCell ref="P790:Q790"/>
    <mergeCell ref="N790:O790"/>
    <mergeCell ref="K790:L790"/>
    <mergeCell ref="D816:G816"/>
    <mergeCell ref="I816:L816"/>
    <mergeCell ref="N816:Q816"/>
    <mergeCell ref="S816:V816"/>
    <mergeCell ref="X816:AA816"/>
    <mergeCell ref="AC816:AF816"/>
    <mergeCell ref="AH816:AK816"/>
    <mergeCell ref="D817:E817"/>
    <mergeCell ref="F817:G817"/>
    <mergeCell ref="I817:J817"/>
    <mergeCell ref="K817:L817"/>
    <mergeCell ref="N817:O817"/>
    <mergeCell ref="P817:Q817"/>
    <mergeCell ref="S817:T817"/>
    <mergeCell ref="U817:V817"/>
    <mergeCell ref="X817:Y817"/>
    <mergeCell ref="Z817:AA817"/>
    <mergeCell ref="AC817:AD817"/>
    <mergeCell ref="AE817:AF817"/>
    <mergeCell ref="AH817:AI817"/>
    <mergeCell ref="AJ817:AK817"/>
    <mergeCell ref="D821:G834"/>
    <mergeCell ref="I821:L834"/>
    <mergeCell ref="N821:Q834"/>
    <mergeCell ref="S821:V834"/>
    <mergeCell ref="X821:AA834"/>
    <mergeCell ref="AC821:AF834"/>
    <mergeCell ref="AH821:AK834"/>
    <mergeCell ref="B843:B897"/>
    <mergeCell ref="C843:C897"/>
    <mergeCell ref="E843:F843"/>
    <mergeCell ref="J843:K843"/>
    <mergeCell ref="O843:P843"/>
    <mergeCell ref="T843:U843"/>
    <mergeCell ref="Y843:Z843"/>
    <mergeCell ref="AD843:AE843"/>
    <mergeCell ref="AI843:AJ843"/>
    <mergeCell ref="E844:F844"/>
    <mergeCell ref="J844:K844"/>
    <mergeCell ref="O844:P844"/>
    <mergeCell ref="T844:U844"/>
    <mergeCell ref="Y844:Z844"/>
    <mergeCell ref="AD844:AE844"/>
    <mergeCell ref="AI844:AJ844"/>
    <mergeCell ref="D845:G845"/>
    <mergeCell ref="I845:L845"/>
    <mergeCell ref="N845:Q845"/>
    <mergeCell ref="S845:V845"/>
    <mergeCell ref="X845:AA845"/>
    <mergeCell ref="AC845:AF845"/>
    <mergeCell ref="AH845:AK845"/>
    <mergeCell ref="D848:E848"/>
    <mergeCell ref="F848:G848"/>
    <mergeCell ref="D849:E849"/>
    <mergeCell ref="F849:G849"/>
    <mergeCell ref="I849:J849"/>
    <mergeCell ref="K849:L849"/>
    <mergeCell ref="N849:O849"/>
    <mergeCell ref="P849:Q849"/>
    <mergeCell ref="S849:T849"/>
    <mergeCell ref="U849:V849"/>
    <mergeCell ref="X849:Y849"/>
    <mergeCell ref="Z849:AA849"/>
    <mergeCell ref="AC849:AD849"/>
    <mergeCell ref="AE849:AF849"/>
    <mergeCell ref="AH849:AI849"/>
    <mergeCell ref="AJ849:AK849"/>
    <mergeCell ref="D850:G863"/>
    <mergeCell ref="I850:L863"/>
    <mergeCell ref="N850:Q863"/>
    <mergeCell ref="S850:V863"/>
    <mergeCell ref="X850:AA863"/>
    <mergeCell ref="AC850:AF863"/>
    <mergeCell ref="AH850:AK863"/>
    <mergeCell ref="D864:G870"/>
    <mergeCell ref="I864:L870"/>
    <mergeCell ref="N864:Q870"/>
    <mergeCell ref="S864:V870"/>
    <mergeCell ref="X864:AA870"/>
    <mergeCell ref="AC864:AF870"/>
    <mergeCell ref="AH864:AK870"/>
    <mergeCell ref="E871:F871"/>
    <mergeCell ref="J871:K871"/>
    <mergeCell ref="O871:P871"/>
    <mergeCell ref="T871:U871"/>
    <mergeCell ref="Y871:Z871"/>
    <mergeCell ref="AD871:AE871"/>
    <mergeCell ref="AI871:AJ871"/>
    <mergeCell ref="D872:G872"/>
    <mergeCell ref="I872:L872"/>
    <mergeCell ref="N872:Q872"/>
    <mergeCell ref="S872:V872"/>
    <mergeCell ref="X872:AA872"/>
    <mergeCell ref="AC872:AF872"/>
    <mergeCell ref="AH872:AK872"/>
    <mergeCell ref="D876:E876"/>
    <mergeCell ref="F876:G876"/>
    <mergeCell ref="I876:J876"/>
    <mergeCell ref="K876:L876"/>
    <mergeCell ref="N876:O876"/>
    <mergeCell ref="P876:Q876"/>
    <mergeCell ref="S876:T876"/>
    <mergeCell ref="U876:V876"/>
    <mergeCell ref="X876:Y876"/>
    <mergeCell ref="Z876:AA876"/>
    <mergeCell ref="AC876:AD876"/>
    <mergeCell ref="AE876:AF876"/>
    <mergeCell ref="AH876:AI876"/>
    <mergeCell ref="AJ876:AK876"/>
    <mergeCell ref="D877:G890"/>
    <mergeCell ref="I877:L890"/>
    <mergeCell ref="N877:Q890"/>
    <mergeCell ref="S877:V890"/>
    <mergeCell ref="X877:AA890"/>
    <mergeCell ref="AC877:AF890"/>
    <mergeCell ref="AH877:AK890"/>
    <mergeCell ref="D891:G897"/>
    <mergeCell ref="I891:L897"/>
    <mergeCell ref="N891:Q897"/>
    <mergeCell ref="S891:V897"/>
    <mergeCell ref="X891:AA897"/>
    <mergeCell ref="AC891:AF897"/>
    <mergeCell ref="AH891:AK897"/>
    <mergeCell ref="B899:B953"/>
    <mergeCell ref="C899:C953"/>
    <mergeCell ref="E899:F899"/>
    <mergeCell ref="J899:K899"/>
    <mergeCell ref="O899:P899"/>
    <mergeCell ref="T899:U899"/>
    <mergeCell ref="Y899:Z899"/>
    <mergeCell ref="AD899:AE899"/>
    <mergeCell ref="AI899:AJ899"/>
    <mergeCell ref="E900:F900"/>
    <mergeCell ref="J900:K900"/>
    <mergeCell ref="O900:P900"/>
    <mergeCell ref="T900:U900"/>
    <mergeCell ref="Y900:Z900"/>
    <mergeCell ref="AD900:AE900"/>
    <mergeCell ref="AI900:AJ900"/>
    <mergeCell ref="D901:G901"/>
    <mergeCell ref="I901:L901"/>
    <mergeCell ref="N901:Q901"/>
    <mergeCell ref="S901:V901"/>
    <mergeCell ref="X901:AA901"/>
    <mergeCell ref="AC901:AF901"/>
    <mergeCell ref="AH901:AK901"/>
    <mergeCell ref="D902:E902"/>
    <mergeCell ref="F902:G902"/>
    <mergeCell ref="D903:E903"/>
    <mergeCell ref="F903:G903"/>
    <mergeCell ref="I903:J903"/>
    <mergeCell ref="K903:L903"/>
    <mergeCell ref="N903:O903"/>
    <mergeCell ref="P903:Q903"/>
    <mergeCell ref="S903:T903"/>
    <mergeCell ref="U903:V903"/>
    <mergeCell ref="X903:Y903"/>
    <mergeCell ref="Z903:AA903"/>
    <mergeCell ref="AC903:AD903"/>
    <mergeCell ref="AE903:AF903"/>
    <mergeCell ref="AH903:AI903"/>
    <mergeCell ref="AJ903:AK903"/>
    <mergeCell ref="D904:E904"/>
    <mergeCell ref="F904:G904"/>
    <mergeCell ref="I904:J904"/>
    <mergeCell ref="K904:L904"/>
    <mergeCell ref="N904:O904"/>
    <mergeCell ref="P904:Q904"/>
    <mergeCell ref="S904:T904"/>
    <mergeCell ref="U904:V904"/>
    <mergeCell ref="X904:Y904"/>
    <mergeCell ref="Z904:AA904"/>
    <mergeCell ref="AC904:AD904"/>
    <mergeCell ref="AE904:AF904"/>
    <mergeCell ref="AH904:AI904"/>
    <mergeCell ref="AJ904:AK904"/>
    <mergeCell ref="D905:E905"/>
    <mergeCell ref="F905:G905"/>
    <mergeCell ref="I905:J905"/>
    <mergeCell ref="K905:L905"/>
    <mergeCell ref="N905:O905"/>
    <mergeCell ref="P905:Q905"/>
    <mergeCell ref="S905:T905"/>
    <mergeCell ref="U905:V905"/>
    <mergeCell ref="X905:Y905"/>
    <mergeCell ref="Z905:AA905"/>
    <mergeCell ref="AC905:AD905"/>
    <mergeCell ref="AE905:AF905"/>
    <mergeCell ref="AH905:AI905"/>
    <mergeCell ref="AJ905:AK905"/>
    <mergeCell ref="D906:G919"/>
    <mergeCell ref="I906:L919"/>
    <mergeCell ref="N906:Q919"/>
    <mergeCell ref="S906:V919"/>
    <mergeCell ref="X906:AA919"/>
    <mergeCell ref="AC906:AF919"/>
    <mergeCell ref="AH906:AK919"/>
    <mergeCell ref="E927:F927"/>
    <mergeCell ref="J927:K927"/>
    <mergeCell ref="O927:P927"/>
    <mergeCell ref="T927:U927"/>
    <mergeCell ref="Y927:Z927"/>
    <mergeCell ref="AD927:AE927"/>
    <mergeCell ref="AI927:AJ927"/>
    <mergeCell ref="D928:G928"/>
    <mergeCell ref="I928:L928"/>
    <mergeCell ref="N928:Q928"/>
    <mergeCell ref="S928:V928"/>
    <mergeCell ref="X928:AA928"/>
    <mergeCell ref="AC928:AF928"/>
    <mergeCell ref="AH928:AK928"/>
    <mergeCell ref="D930:E930"/>
    <mergeCell ref="F930:G930"/>
    <mergeCell ref="I930:J930"/>
    <mergeCell ref="K930:L930"/>
    <mergeCell ref="N930:O930"/>
    <mergeCell ref="P930:Q930"/>
    <mergeCell ref="S930:T930"/>
    <mergeCell ref="U930:V930"/>
    <mergeCell ref="X930:Y930"/>
    <mergeCell ref="Z930:AA930"/>
    <mergeCell ref="AC930:AD930"/>
    <mergeCell ref="AE930:AF930"/>
    <mergeCell ref="AH930:AI930"/>
    <mergeCell ref="AJ930:AK930"/>
    <mergeCell ref="D929:E929"/>
    <mergeCell ref="F929:G929"/>
    <mergeCell ref="D931:E931"/>
    <mergeCell ref="F931:G931"/>
    <mergeCell ref="I931:J931"/>
    <mergeCell ref="K931:L931"/>
    <mergeCell ref="N931:O931"/>
    <mergeCell ref="P931:Q931"/>
    <mergeCell ref="S931:T931"/>
    <mergeCell ref="U931:V931"/>
    <mergeCell ref="X931:Y931"/>
    <mergeCell ref="Z931:AA931"/>
    <mergeCell ref="AC931:AD931"/>
    <mergeCell ref="AE931:AF931"/>
    <mergeCell ref="AH931:AI931"/>
    <mergeCell ref="AJ931:AK931"/>
    <mergeCell ref="D932:E932"/>
    <mergeCell ref="F932:G932"/>
    <mergeCell ref="I932:J932"/>
    <mergeCell ref="K932:L932"/>
    <mergeCell ref="N932:O932"/>
    <mergeCell ref="P932:Q932"/>
    <mergeCell ref="S932:T932"/>
    <mergeCell ref="U932:V932"/>
    <mergeCell ref="X932:Y932"/>
    <mergeCell ref="Z932:AA932"/>
    <mergeCell ref="AC932:AD932"/>
    <mergeCell ref="AE932:AF932"/>
    <mergeCell ref="AH932:AI932"/>
    <mergeCell ref="AJ932:AK932"/>
    <mergeCell ref="D933:G946"/>
    <mergeCell ref="I933:L946"/>
    <mergeCell ref="N933:Q946"/>
    <mergeCell ref="S933:V946"/>
    <mergeCell ref="X933:AA946"/>
    <mergeCell ref="AC933:AF946"/>
    <mergeCell ref="AH933:AK946"/>
    <mergeCell ref="D947:G953"/>
    <mergeCell ref="I947:L953"/>
    <mergeCell ref="N947:Q953"/>
    <mergeCell ref="S947:V953"/>
    <mergeCell ref="X947:AA953"/>
    <mergeCell ref="AC947:AF953"/>
    <mergeCell ref="AH947:AK953"/>
    <mergeCell ref="B955:B1009"/>
    <mergeCell ref="C955:C1009"/>
    <mergeCell ref="E955:F955"/>
    <mergeCell ref="J955:K955"/>
    <mergeCell ref="O955:P955"/>
    <mergeCell ref="T955:U955"/>
    <mergeCell ref="Y955:Z955"/>
    <mergeCell ref="AD955:AE955"/>
    <mergeCell ref="AI955:AJ955"/>
    <mergeCell ref="E956:F956"/>
    <mergeCell ref="J956:K956"/>
    <mergeCell ref="O956:P956"/>
    <mergeCell ref="T956:U956"/>
    <mergeCell ref="Y956:Z956"/>
    <mergeCell ref="AD956:AE956"/>
    <mergeCell ref="AI956:AJ956"/>
    <mergeCell ref="D957:G957"/>
    <mergeCell ref="I957:L957"/>
    <mergeCell ref="D958:E958"/>
    <mergeCell ref="F958:G958"/>
    <mergeCell ref="I958:J958"/>
    <mergeCell ref="K958:L958"/>
    <mergeCell ref="N958:O958"/>
    <mergeCell ref="P958:Q958"/>
    <mergeCell ref="S958:T958"/>
    <mergeCell ref="U958:V958"/>
    <mergeCell ref="X958:Y958"/>
    <mergeCell ref="Z958:AA958"/>
    <mergeCell ref="AC958:AD958"/>
    <mergeCell ref="AE958:AF958"/>
    <mergeCell ref="AH958:AI958"/>
    <mergeCell ref="AJ958:AK958"/>
    <mergeCell ref="D959:E959"/>
    <mergeCell ref="F959:G959"/>
    <mergeCell ref="I959:J959"/>
    <mergeCell ref="K959:L959"/>
    <mergeCell ref="N959:O959"/>
    <mergeCell ref="P959:Q959"/>
    <mergeCell ref="S959:T959"/>
    <mergeCell ref="U959:V959"/>
    <mergeCell ref="X959:Y959"/>
    <mergeCell ref="Z959:AA959"/>
    <mergeCell ref="AC959:AD959"/>
    <mergeCell ref="AE959:AF959"/>
    <mergeCell ref="AH959:AI959"/>
    <mergeCell ref="AJ959:AK959"/>
    <mergeCell ref="D960:E960"/>
    <mergeCell ref="F960:G960"/>
    <mergeCell ref="I960:J960"/>
    <mergeCell ref="K960:L960"/>
    <mergeCell ref="N960:O960"/>
    <mergeCell ref="P960:Q960"/>
    <mergeCell ref="S960:T960"/>
    <mergeCell ref="U960:V960"/>
    <mergeCell ref="X960:Y960"/>
    <mergeCell ref="Z960:AA960"/>
    <mergeCell ref="AC960:AD960"/>
    <mergeCell ref="AE960:AF960"/>
    <mergeCell ref="AH960:AI960"/>
    <mergeCell ref="AJ960:AK960"/>
    <mergeCell ref="D961:E961"/>
    <mergeCell ref="F961:G961"/>
    <mergeCell ref="I961:J961"/>
    <mergeCell ref="K961:L961"/>
    <mergeCell ref="N961:O961"/>
    <mergeCell ref="P961:Q961"/>
    <mergeCell ref="S961:T961"/>
    <mergeCell ref="U961:V961"/>
    <mergeCell ref="X961:Y961"/>
    <mergeCell ref="Z961:AA961"/>
    <mergeCell ref="AC961:AD961"/>
    <mergeCell ref="AE961:AF961"/>
    <mergeCell ref="AH961:AI961"/>
    <mergeCell ref="AJ961:AK961"/>
    <mergeCell ref="D962:G975"/>
    <mergeCell ref="I962:L975"/>
    <mergeCell ref="N962:Q975"/>
    <mergeCell ref="S962:V975"/>
    <mergeCell ref="X962:AA975"/>
    <mergeCell ref="AC962:AF975"/>
    <mergeCell ref="AH962:AK975"/>
    <mergeCell ref="D976:G982"/>
    <mergeCell ref="I976:L982"/>
    <mergeCell ref="N976:Q982"/>
    <mergeCell ref="S976:V982"/>
    <mergeCell ref="X976:AA982"/>
    <mergeCell ref="AC976:AF982"/>
    <mergeCell ref="AH976:AK982"/>
    <mergeCell ref="E983:F983"/>
    <mergeCell ref="J983:K983"/>
    <mergeCell ref="O983:P983"/>
    <mergeCell ref="T983:U983"/>
    <mergeCell ref="Y983:Z983"/>
    <mergeCell ref="AD983:AE983"/>
    <mergeCell ref="AI983:AJ983"/>
    <mergeCell ref="D984:G984"/>
    <mergeCell ref="I984:L984"/>
    <mergeCell ref="N984:Q984"/>
    <mergeCell ref="S984:V984"/>
    <mergeCell ref="X984:AA984"/>
    <mergeCell ref="AC984:AF984"/>
    <mergeCell ref="AH984:AK984"/>
    <mergeCell ref="D985:E985"/>
    <mergeCell ref="F985:G985"/>
    <mergeCell ref="I985:J985"/>
    <mergeCell ref="K985:L985"/>
    <mergeCell ref="N985:O985"/>
    <mergeCell ref="P985:Q985"/>
    <mergeCell ref="S985:T985"/>
    <mergeCell ref="U985:V985"/>
    <mergeCell ref="X985:Y985"/>
    <mergeCell ref="Z985:AA985"/>
    <mergeCell ref="AC985:AD985"/>
    <mergeCell ref="AE985:AF985"/>
    <mergeCell ref="AH985:AI985"/>
    <mergeCell ref="AJ985:AK985"/>
    <mergeCell ref="D986:E986"/>
    <mergeCell ref="F986:G986"/>
    <mergeCell ref="I986:J986"/>
    <mergeCell ref="K986:L986"/>
    <mergeCell ref="N986:O986"/>
    <mergeCell ref="P986:Q986"/>
    <mergeCell ref="S986:T986"/>
    <mergeCell ref="U986:V986"/>
    <mergeCell ref="X986:Y986"/>
    <mergeCell ref="Z986:AA986"/>
    <mergeCell ref="AC986:AD986"/>
    <mergeCell ref="AE986:AF986"/>
    <mergeCell ref="AH986:AI986"/>
    <mergeCell ref="AJ986:AK986"/>
    <mergeCell ref="D987:E987"/>
    <mergeCell ref="F987:G987"/>
    <mergeCell ref="I987:J987"/>
    <mergeCell ref="K987:L987"/>
    <mergeCell ref="N987:O987"/>
    <mergeCell ref="P987:Q987"/>
    <mergeCell ref="S987:T987"/>
    <mergeCell ref="U987:V987"/>
    <mergeCell ref="X987:Y987"/>
    <mergeCell ref="Z987:AA987"/>
    <mergeCell ref="AC987:AD987"/>
    <mergeCell ref="AE987:AF987"/>
    <mergeCell ref="AH987:AI987"/>
    <mergeCell ref="AJ987:AK987"/>
    <mergeCell ref="D988:E988"/>
    <mergeCell ref="F988:G988"/>
    <mergeCell ref="I988:J988"/>
    <mergeCell ref="K988:L988"/>
    <mergeCell ref="N988:O988"/>
    <mergeCell ref="P988:Q988"/>
    <mergeCell ref="S988:T988"/>
    <mergeCell ref="U988:V988"/>
    <mergeCell ref="X988:Y988"/>
    <mergeCell ref="Z988:AA988"/>
    <mergeCell ref="AC988:AD988"/>
    <mergeCell ref="AE988:AF988"/>
    <mergeCell ref="AH988:AI988"/>
    <mergeCell ref="AJ988:AK988"/>
    <mergeCell ref="D989:G1002"/>
    <mergeCell ref="I989:L1002"/>
    <mergeCell ref="N989:Q1002"/>
    <mergeCell ref="S989:V1002"/>
    <mergeCell ref="X989:AA1002"/>
    <mergeCell ref="AC989:AF1002"/>
    <mergeCell ref="AH989:AK1002"/>
    <mergeCell ref="D1003:G1009"/>
    <mergeCell ref="I1003:L1009"/>
    <mergeCell ref="N1003:Q1009"/>
    <mergeCell ref="S1003:V1009"/>
    <mergeCell ref="X1003:AA1009"/>
    <mergeCell ref="AC1003:AF1009"/>
    <mergeCell ref="AH1003:AK1009"/>
    <mergeCell ref="B1011:B1065"/>
    <mergeCell ref="C1011:C1065"/>
    <mergeCell ref="E1011:F1011"/>
    <mergeCell ref="J1011:K1011"/>
    <mergeCell ref="O1011:P1011"/>
    <mergeCell ref="T1011:U1011"/>
    <mergeCell ref="Y1011:Z1011"/>
    <mergeCell ref="AD1011:AE1011"/>
    <mergeCell ref="AI1011:AJ1011"/>
    <mergeCell ref="E1012:F1012"/>
    <mergeCell ref="J1012:K1012"/>
    <mergeCell ref="O1012:P1012"/>
    <mergeCell ref="T1012:U1012"/>
    <mergeCell ref="Y1012:Z1012"/>
    <mergeCell ref="AD1012:AE1012"/>
    <mergeCell ref="AI1012:AJ1012"/>
    <mergeCell ref="D1013:G1013"/>
    <mergeCell ref="I1013:L1013"/>
    <mergeCell ref="N1013:Q1013"/>
    <mergeCell ref="S1013:V1013"/>
    <mergeCell ref="X1013:AA1013"/>
    <mergeCell ref="AC1013:AF1013"/>
    <mergeCell ref="AH1013:AK1013"/>
    <mergeCell ref="D1014:E1014"/>
    <mergeCell ref="F1014:G1014"/>
    <mergeCell ref="D1015:E1015"/>
    <mergeCell ref="F1015:G1015"/>
    <mergeCell ref="I1015:J1015"/>
    <mergeCell ref="K1015:L1015"/>
    <mergeCell ref="N1015:O1015"/>
    <mergeCell ref="P1015:Q1015"/>
    <mergeCell ref="S1015:T1015"/>
    <mergeCell ref="U1015:V1015"/>
    <mergeCell ref="X1015:Y1015"/>
    <mergeCell ref="Z1015:AA1015"/>
    <mergeCell ref="AC1015:AD1015"/>
    <mergeCell ref="AE1015:AF1015"/>
    <mergeCell ref="AH1015:AI1015"/>
    <mergeCell ref="AJ1015:AK1015"/>
    <mergeCell ref="D1016:E1016"/>
    <mergeCell ref="F1016:G1016"/>
    <mergeCell ref="I1016:J1016"/>
    <mergeCell ref="K1016:L1016"/>
    <mergeCell ref="N1016:O1016"/>
    <mergeCell ref="P1016:Q1016"/>
    <mergeCell ref="S1016:T1016"/>
    <mergeCell ref="U1016:V1016"/>
    <mergeCell ref="X1016:Y1016"/>
    <mergeCell ref="Z1016:AA1016"/>
    <mergeCell ref="AC1016:AD1016"/>
    <mergeCell ref="AE1016:AF1016"/>
    <mergeCell ref="AH1016:AI1016"/>
    <mergeCell ref="AJ1016:AK1016"/>
    <mergeCell ref="D1017:E1017"/>
    <mergeCell ref="F1017:G1017"/>
    <mergeCell ref="I1017:J1017"/>
    <mergeCell ref="K1017:L1017"/>
    <mergeCell ref="N1017:O1017"/>
    <mergeCell ref="P1017:Q1017"/>
    <mergeCell ref="S1017:T1017"/>
    <mergeCell ref="U1017:V1017"/>
    <mergeCell ref="X1017:Y1017"/>
    <mergeCell ref="Z1017:AA1017"/>
    <mergeCell ref="AC1017:AD1017"/>
    <mergeCell ref="AE1017:AF1017"/>
    <mergeCell ref="AH1017:AI1017"/>
    <mergeCell ref="AJ1017:AK1017"/>
    <mergeCell ref="AC1018:AF1031"/>
    <mergeCell ref="AH1018:AK1031"/>
    <mergeCell ref="D1032:G1038"/>
    <mergeCell ref="I1032:L1038"/>
    <mergeCell ref="N1032:Q1038"/>
    <mergeCell ref="S1032:V1038"/>
    <mergeCell ref="X1032:AA1038"/>
    <mergeCell ref="AC1032:AF1038"/>
    <mergeCell ref="AH1032:AK1038"/>
    <mergeCell ref="D1018:G1031"/>
    <mergeCell ref="I1018:L1031"/>
    <mergeCell ref="N1018:Q1031"/>
    <mergeCell ref="S1018:V1031"/>
    <mergeCell ref="X1018:AA1031"/>
    <mergeCell ref="E1039:F1039"/>
    <mergeCell ref="J1039:K1039"/>
    <mergeCell ref="O1039:P1039"/>
    <mergeCell ref="T1039:U1039"/>
    <mergeCell ref="Y1039:Z1039"/>
    <mergeCell ref="AD1039:AE1039"/>
    <mergeCell ref="AI1039:AJ1039"/>
    <mergeCell ref="D1040:G1040"/>
    <mergeCell ref="I1040:L1040"/>
    <mergeCell ref="N1040:Q1040"/>
    <mergeCell ref="S1040:V1040"/>
    <mergeCell ref="X1040:AA1040"/>
    <mergeCell ref="AC1040:AF1040"/>
    <mergeCell ref="AH1040:AK1040"/>
    <mergeCell ref="D1041:E1041"/>
    <mergeCell ref="F1041:G1041"/>
    <mergeCell ref="I1041:J1041"/>
    <mergeCell ref="K1041:L1041"/>
    <mergeCell ref="N1041:O1041"/>
    <mergeCell ref="P1041:Q1041"/>
    <mergeCell ref="S1041:T1041"/>
    <mergeCell ref="U1041:V1041"/>
    <mergeCell ref="X1041:Y1041"/>
    <mergeCell ref="Z1041:AA1041"/>
    <mergeCell ref="AC1041:AD1041"/>
    <mergeCell ref="AE1041:AF1041"/>
    <mergeCell ref="AH1041:AI1041"/>
    <mergeCell ref="AJ1041:AK1041"/>
    <mergeCell ref="D1042:E1042"/>
    <mergeCell ref="F1042:G1042"/>
    <mergeCell ref="I1042:J1042"/>
    <mergeCell ref="K1042:L1042"/>
    <mergeCell ref="N1042:O1042"/>
    <mergeCell ref="P1042:Q1042"/>
    <mergeCell ref="S1042:T1042"/>
    <mergeCell ref="U1042:V1042"/>
    <mergeCell ref="X1042:Y1042"/>
    <mergeCell ref="Z1042:AA1042"/>
    <mergeCell ref="AC1042:AD1042"/>
    <mergeCell ref="AE1042:AF1042"/>
    <mergeCell ref="AH1042:AI1042"/>
    <mergeCell ref="AJ1042:AK1042"/>
    <mergeCell ref="D1043:E1043"/>
    <mergeCell ref="F1043:G1043"/>
    <mergeCell ref="I1043:J1043"/>
    <mergeCell ref="K1043:L1043"/>
    <mergeCell ref="N1043:O1043"/>
    <mergeCell ref="P1043:Q1043"/>
    <mergeCell ref="S1043:T1043"/>
    <mergeCell ref="U1043:V1043"/>
    <mergeCell ref="X1043:Y1043"/>
    <mergeCell ref="Z1043:AA1043"/>
    <mergeCell ref="AC1043:AD1043"/>
    <mergeCell ref="AE1043:AF1043"/>
    <mergeCell ref="AH1043:AI1043"/>
    <mergeCell ref="AJ1043:AK1043"/>
    <mergeCell ref="D1044:E1044"/>
    <mergeCell ref="F1044:G1044"/>
    <mergeCell ref="I1044:J1044"/>
    <mergeCell ref="K1044:L1044"/>
    <mergeCell ref="N1044:O1044"/>
    <mergeCell ref="P1044:Q1044"/>
    <mergeCell ref="S1044:T1044"/>
    <mergeCell ref="U1044:V1044"/>
    <mergeCell ref="X1044:Y1044"/>
    <mergeCell ref="Z1044:AA1044"/>
    <mergeCell ref="AC1044:AD1044"/>
    <mergeCell ref="AE1044:AF1044"/>
    <mergeCell ref="AH1044:AI1044"/>
    <mergeCell ref="AJ1044:AK1044"/>
    <mergeCell ref="D1045:G1058"/>
    <mergeCell ref="I1045:L1058"/>
    <mergeCell ref="N1045:Q1058"/>
    <mergeCell ref="S1045:V1058"/>
    <mergeCell ref="X1045:AA1058"/>
    <mergeCell ref="AC1045:AF1058"/>
    <mergeCell ref="AH1045:AK1058"/>
    <mergeCell ref="D1059:G1065"/>
    <mergeCell ref="I1059:L1065"/>
    <mergeCell ref="N1059:Q1065"/>
    <mergeCell ref="S1059:V1065"/>
    <mergeCell ref="X1059:AA1065"/>
    <mergeCell ref="AC1059:AF1065"/>
    <mergeCell ref="AH1059:AK1065"/>
    <mergeCell ref="B1067:B1121"/>
    <mergeCell ref="C1067:C1121"/>
    <mergeCell ref="E1067:F1067"/>
    <mergeCell ref="J1067:K1067"/>
    <mergeCell ref="O1067:P1067"/>
    <mergeCell ref="T1067:U1067"/>
    <mergeCell ref="Y1067:Z1067"/>
    <mergeCell ref="AD1067:AE1067"/>
    <mergeCell ref="AI1067:AJ1067"/>
    <mergeCell ref="E1068:F1068"/>
    <mergeCell ref="J1068:K1068"/>
    <mergeCell ref="O1068:P1068"/>
    <mergeCell ref="T1068:U1068"/>
    <mergeCell ref="Y1068:Z1068"/>
    <mergeCell ref="AD1068:AE1068"/>
    <mergeCell ref="AI1068:AJ1068"/>
    <mergeCell ref="D1069:G1069"/>
    <mergeCell ref="I1069:L1069"/>
    <mergeCell ref="D1070:E1070"/>
    <mergeCell ref="F1070:G1070"/>
    <mergeCell ref="I1070:J1070"/>
    <mergeCell ref="K1070:L1070"/>
    <mergeCell ref="N1070:O1070"/>
    <mergeCell ref="P1070:Q1070"/>
    <mergeCell ref="S1070:T1070"/>
    <mergeCell ref="U1070:V1070"/>
    <mergeCell ref="X1070:Y1070"/>
    <mergeCell ref="Z1070:AA1070"/>
    <mergeCell ref="AC1070:AD1070"/>
    <mergeCell ref="AE1070:AF1070"/>
    <mergeCell ref="AH1070:AI1070"/>
    <mergeCell ref="AJ1070:AK1070"/>
    <mergeCell ref="D1071:E1071"/>
    <mergeCell ref="F1071:G1071"/>
    <mergeCell ref="I1071:J1071"/>
    <mergeCell ref="K1071:L1071"/>
    <mergeCell ref="N1071:O1071"/>
    <mergeCell ref="P1071:Q1071"/>
    <mergeCell ref="S1071:T1071"/>
    <mergeCell ref="U1071:V1071"/>
    <mergeCell ref="X1071:Y1071"/>
    <mergeCell ref="Z1071:AA1071"/>
    <mergeCell ref="AC1071:AD1071"/>
    <mergeCell ref="AE1071:AF1071"/>
    <mergeCell ref="AH1071:AI1071"/>
    <mergeCell ref="AJ1071:AK1071"/>
    <mergeCell ref="D1072:E1072"/>
    <mergeCell ref="F1072:G1072"/>
    <mergeCell ref="I1072:J1072"/>
    <mergeCell ref="K1072:L1072"/>
    <mergeCell ref="N1072:O1072"/>
    <mergeCell ref="P1072:Q1072"/>
    <mergeCell ref="S1072:T1072"/>
    <mergeCell ref="U1072:V1072"/>
    <mergeCell ref="X1072:Y1072"/>
    <mergeCell ref="Z1072:AA1072"/>
    <mergeCell ref="AC1072:AD1072"/>
    <mergeCell ref="AE1072:AF1072"/>
    <mergeCell ref="AH1072:AI1072"/>
    <mergeCell ref="AJ1072:AK1072"/>
    <mergeCell ref="D1073:E1073"/>
    <mergeCell ref="F1073:G1073"/>
    <mergeCell ref="I1073:J1073"/>
    <mergeCell ref="K1073:L1073"/>
    <mergeCell ref="N1073:O1073"/>
    <mergeCell ref="P1073:Q1073"/>
    <mergeCell ref="S1073:T1073"/>
    <mergeCell ref="U1073:V1073"/>
    <mergeCell ref="X1073:Y1073"/>
    <mergeCell ref="Z1073:AA1073"/>
    <mergeCell ref="AC1073:AD1073"/>
    <mergeCell ref="AE1073:AF1073"/>
    <mergeCell ref="AH1073:AI1073"/>
    <mergeCell ref="AJ1073:AK1073"/>
    <mergeCell ref="D1074:G1087"/>
    <mergeCell ref="I1074:L1087"/>
    <mergeCell ref="N1074:Q1087"/>
    <mergeCell ref="S1074:V1087"/>
    <mergeCell ref="X1074:AA1087"/>
    <mergeCell ref="AC1074:AF1087"/>
    <mergeCell ref="AH1074:AK1087"/>
    <mergeCell ref="D1088:G1094"/>
    <mergeCell ref="I1088:L1094"/>
    <mergeCell ref="N1088:Q1094"/>
    <mergeCell ref="S1088:V1094"/>
    <mergeCell ref="X1088:AA1094"/>
    <mergeCell ref="AC1088:AF1094"/>
    <mergeCell ref="AH1088:AK1094"/>
    <mergeCell ref="E1095:F1095"/>
    <mergeCell ref="J1095:K1095"/>
    <mergeCell ref="O1095:P1095"/>
    <mergeCell ref="T1095:U1095"/>
    <mergeCell ref="Y1095:Z1095"/>
    <mergeCell ref="AD1095:AE1095"/>
    <mergeCell ref="AI1095:AJ1095"/>
    <mergeCell ref="D1096:G1096"/>
    <mergeCell ref="I1096:L1096"/>
    <mergeCell ref="N1096:Q1096"/>
    <mergeCell ref="S1096:V1096"/>
    <mergeCell ref="X1096:AA1096"/>
    <mergeCell ref="AC1096:AF1096"/>
    <mergeCell ref="AH1096:AK1096"/>
    <mergeCell ref="D1097:E1097"/>
    <mergeCell ref="F1097:G1097"/>
    <mergeCell ref="I1097:J1097"/>
    <mergeCell ref="K1097:L1097"/>
    <mergeCell ref="N1097:O1097"/>
    <mergeCell ref="P1097:Q1097"/>
    <mergeCell ref="S1097:T1097"/>
    <mergeCell ref="U1097:V1097"/>
    <mergeCell ref="X1097:Y1097"/>
    <mergeCell ref="Z1097:AA1097"/>
    <mergeCell ref="AC1097:AD1097"/>
    <mergeCell ref="AE1097:AF1097"/>
    <mergeCell ref="AH1097:AI1097"/>
    <mergeCell ref="AJ1097:AK1097"/>
    <mergeCell ref="D1098:E1098"/>
    <mergeCell ref="F1098:G1098"/>
    <mergeCell ref="I1098:J1098"/>
    <mergeCell ref="K1098:L1098"/>
    <mergeCell ref="N1098:O1098"/>
    <mergeCell ref="P1098:Q1098"/>
    <mergeCell ref="S1098:T1098"/>
    <mergeCell ref="U1098:V1098"/>
    <mergeCell ref="X1098:Y1098"/>
    <mergeCell ref="Z1098:AA1098"/>
    <mergeCell ref="AC1098:AD1098"/>
    <mergeCell ref="AE1098:AF1098"/>
    <mergeCell ref="AH1098:AI1098"/>
    <mergeCell ref="AJ1098:AK1098"/>
    <mergeCell ref="D1099:E1099"/>
    <mergeCell ref="F1099:G1099"/>
    <mergeCell ref="I1099:J1099"/>
    <mergeCell ref="K1099:L1099"/>
    <mergeCell ref="N1099:O1099"/>
    <mergeCell ref="P1099:Q1099"/>
    <mergeCell ref="S1099:T1099"/>
    <mergeCell ref="U1099:V1099"/>
    <mergeCell ref="X1099:Y1099"/>
    <mergeCell ref="Z1099:AA1099"/>
    <mergeCell ref="AC1099:AD1099"/>
    <mergeCell ref="AE1099:AF1099"/>
    <mergeCell ref="AH1099:AI1099"/>
    <mergeCell ref="AJ1099:AK1099"/>
    <mergeCell ref="D1100:E1100"/>
    <mergeCell ref="F1100:G1100"/>
    <mergeCell ref="I1100:J1100"/>
    <mergeCell ref="K1100:L1100"/>
    <mergeCell ref="N1100:O1100"/>
    <mergeCell ref="P1100:Q1100"/>
    <mergeCell ref="S1100:T1100"/>
    <mergeCell ref="U1100:V1100"/>
    <mergeCell ref="X1100:Y1100"/>
    <mergeCell ref="Z1100:AA1100"/>
    <mergeCell ref="AC1100:AD1100"/>
    <mergeCell ref="AE1100:AF1100"/>
    <mergeCell ref="AH1100:AI1100"/>
    <mergeCell ref="AJ1100:AK1100"/>
    <mergeCell ref="D1101:G1114"/>
    <mergeCell ref="I1101:L1114"/>
    <mergeCell ref="N1101:Q1114"/>
    <mergeCell ref="S1101:V1114"/>
    <mergeCell ref="X1101:AA1114"/>
    <mergeCell ref="AC1101:AF1114"/>
    <mergeCell ref="AH1101:AK1114"/>
    <mergeCell ref="D1115:G1121"/>
    <mergeCell ref="I1115:L1121"/>
    <mergeCell ref="N1115:Q1121"/>
    <mergeCell ref="S1115:V1121"/>
    <mergeCell ref="X1115:AA1121"/>
    <mergeCell ref="AC1115:AF1121"/>
    <mergeCell ref="AH1115:AK1121"/>
    <mergeCell ref="B1123:B1177"/>
    <mergeCell ref="C1123:C1177"/>
    <mergeCell ref="E1123:F1123"/>
    <mergeCell ref="J1123:K1123"/>
    <mergeCell ref="O1123:P1123"/>
    <mergeCell ref="T1123:U1123"/>
    <mergeCell ref="Y1123:Z1123"/>
    <mergeCell ref="AD1123:AE1123"/>
    <mergeCell ref="AI1123:AJ1123"/>
    <mergeCell ref="E1124:F1124"/>
    <mergeCell ref="J1124:K1124"/>
    <mergeCell ref="O1124:P1124"/>
    <mergeCell ref="T1124:U1124"/>
    <mergeCell ref="Y1124:Z1124"/>
    <mergeCell ref="AD1124:AE1124"/>
    <mergeCell ref="AI1124:AJ1124"/>
    <mergeCell ref="D1125:G1125"/>
    <mergeCell ref="I1125:L1125"/>
    <mergeCell ref="N1125:Q1125"/>
    <mergeCell ref="S1125:V1125"/>
    <mergeCell ref="X1125:AA1125"/>
    <mergeCell ref="AC1125:AF1125"/>
    <mergeCell ref="AH1125:AK1125"/>
    <mergeCell ref="D1126:E1126"/>
    <mergeCell ref="F1126:G1126"/>
    <mergeCell ref="U1126:V1126"/>
    <mergeCell ref="X1126:Y1126"/>
    <mergeCell ref="Z1126:AA1126"/>
    <mergeCell ref="AC1126:AD1126"/>
    <mergeCell ref="AE1126:AF1126"/>
    <mergeCell ref="AH1126:AI1126"/>
    <mergeCell ref="AJ1126:AK1126"/>
    <mergeCell ref="D1127:E1127"/>
    <mergeCell ref="F1127:G1127"/>
    <mergeCell ref="I1127:J1127"/>
    <mergeCell ref="K1127:L1127"/>
    <mergeCell ref="N1127:O1127"/>
    <mergeCell ref="P1127:Q1127"/>
    <mergeCell ref="S1127:T1127"/>
    <mergeCell ref="U1127:V1127"/>
    <mergeCell ref="X1127:Y1127"/>
    <mergeCell ref="Z1127:AA1127"/>
    <mergeCell ref="AC1127:AD1127"/>
    <mergeCell ref="AE1127:AF1127"/>
    <mergeCell ref="AH1127:AI1127"/>
    <mergeCell ref="AJ1127:AK1127"/>
    <mergeCell ref="D1128:E1128"/>
    <mergeCell ref="F1128:G1128"/>
    <mergeCell ref="I1128:J1128"/>
    <mergeCell ref="K1128:L1128"/>
    <mergeCell ref="N1128:O1128"/>
    <mergeCell ref="P1128:Q1128"/>
    <mergeCell ref="S1128:T1128"/>
    <mergeCell ref="U1128:V1128"/>
    <mergeCell ref="X1128:Y1128"/>
    <mergeCell ref="Z1128:AA1128"/>
    <mergeCell ref="AC1128:AD1128"/>
    <mergeCell ref="AE1128:AF1128"/>
    <mergeCell ref="AH1128:AI1128"/>
    <mergeCell ref="AJ1128:AK1128"/>
    <mergeCell ref="D1129:E1129"/>
    <mergeCell ref="F1129:G1129"/>
    <mergeCell ref="I1129:J1129"/>
    <mergeCell ref="K1129:L1129"/>
    <mergeCell ref="N1129:O1129"/>
    <mergeCell ref="P1129:Q1129"/>
    <mergeCell ref="S1129:T1129"/>
    <mergeCell ref="U1129:V1129"/>
    <mergeCell ref="X1129:Y1129"/>
    <mergeCell ref="Z1129:AA1129"/>
    <mergeCell ref="AC1129:AD1129"/>
    <mergeCell ref="AE1129:AF1129"/>
    <mergeCell ref="AH1129:AI1129"/>
    <mergeCell ref="AJ1129:AK1129"/>
    <mergeCell ref="F1153:G1153"/>
    <mergeCell ref="I1153:J1153"/>
    <mergeCell ref="K1153:L1153"/>
    <mergeCell ref="N1153:O1153"/>
    <mergeCell ref="P1153:Q1153"/>
    <mergeCell ref="S1153:T1153"/>
    <mergeCell ref="U1153:V1153"/>
    <mergeCell ref="X1153:Y1153"/>
    <mergeCell ref="Z1153:AA1153"/>
    <mergeCell ref="AC1153:AD1153"/>
    <mergeCell ref="AE1153:AF1153"/>
    <mergeCell ref="AH1153:AI1153"/>
    <mergeCell ref="AJ1153:AK1153"/>
    <mergeCell ref="D1154:E1154"/>
    <mergeCell ref="F1154:G1154"/>
    <mergeCell ref="I1154:J1154"/>
    <mergeCell ref="K1154:L1154"/>
    <mergeCell ref="N1154:O1154"/>
    <mergeCell ref="P1154:Q1154"/>
    <mergeCell ref="S1154:T1154"/>
    <mergeCell ref="U1154:V1154"/>
    <mergeCell ref="X1154:Y1154"/>
    <mergeCell ref="Z1154:AA1154"/>
    <mergeCell ref="AC1154:AD1154"/>
    <mergeCell ref="AE1154:AF1154"/>
    <mergeCell ref="AH1154:AI1154"/>
    <mergeCell ref="AJ1154:AK1154"/>
    <mergeCell ref="D1155:E1155"/>
    <mergeCell ref="F1155:G1155"/>
    <mergeCell ref="I1155:J1155"/>
    <mergeCell ref="K1155:L1155"/>
    <mergeCell ref="N1155:O1155"/>
    <mergeCell ref="P1155:Q1155"/>
    <mergeCell ref="S1155:T1155"/>
    <mergeCell ref="U1155:V1155"/>
    <mergeCell ref="X1155:Y1155"/>
    <mergeCell ref="Z1155:AA1155"/>
    <mergeCell ref="AC1155:AD1155"/>
    <mergeCell ref="AE1155:AF1155"/>
    <mergeCell ref="AH1155:AI1155"/>
    <mergeCell ref="AJ1155:AK1155"/>
    <mergeCell ref="D1156:E1156"/>
    <mergeCell ref="F1156:G1156"/>
    <mergeCell ref="I1156:J1156"/>
    <mergeCell ref="K1156:L1156"/>
    <mergeCell ref="N1156:O1156"/>
    <mergeCell ref="P1156:Q1156"/>
    <mergeCell ref="S1156:T1156"/>
    <mergeCell ref="U1156:V1156"/>
    <mergeCell ref="X1156:Y1156"/>
    <mergeCell ref="Z1156:AA1156"/>
    <mergeCell ref="AC1156:AD1156"/>
    <mergeCell ref="AE1156:AF1156"/>
    <mergeCell ref="AH1156:AI1156"/>
    <mergeCell ref="AJ1156:AK1156"/>
    <mergeCell ref="D1157:G1170"/>
    <mergeCell ref="I1157:L1170"/>
    <mergeCell ref="N1157:Q1170"/>
    <mergeCell ref="S1157:V1170"/>
    <mergeCell ref="X1157:AA1170"/>
    <mergeCell ref="AC1157:AF1170"/>
    <mergeCell ref="AH1157:AK1170"/>
    <mergeCell ref="D1171:G1177"/>
    <mergeCell ref="I1171:L1177"/>
    <mergeCell ref="N1171:Q1177"/>
    <mergeCell ref="S1171:V1177"/>
    <mergeCell ref="X1171:AA1177"/>
    <mergeCell ref="AC1171:AF1177"/>
    <mergeCell ref="AH1171:AK1177"/>
    <mergeCell ref="B1179:B1233"/>
    <mergeCell ref="C1179:C1233"/>
    <mergeCell ref="E1179:F1179"/>
    <mergeCell ref="J1179:K1179"/>
    <mergeCell ref="O1179:P1179"/>
    <mergeCell ref="T1179:U1179"/>
    <mergeCell ref="Y1179:Z1179"/>
    <mergeCell ref="AD1179:AE1179"/>
    <mergeCell ref="AI1179:AJ1179"/>
    <mergeCell ref="E1180:F1180"/>
    <mergeCell ref="J1180:K1180"/>
    <mergeCell ref="O1180:P1180"/>
    <mergeCell ref="T1180:U1180"/>
    <mergeCell ref="Y1180:Z1180"/>
    <mergeCell ref="AD1180:AE1180"/>
    <mergeCell ref="AI1180:AJ1180"/>
    <mergeCell ref="D1181:G1181"/>
    <mergeCell ref="I1181:L1181"/>
    <mergeCell ref="D1182:E1182"/>
    <mergeCell ref="F1182:G1182"/>
    <mergeCell ref="I1182:J1182"/>
    <mergeCell ref="K1182:L1182"/>
    <mergeCell ref="N1182:O1182"/>
    <mergeCell ref="P1182:Q1182"/>
    <mergeCell ref="S1182:T1182"/>
    <mergeCell ref="U1182:V1182"/>
    <mergeCell ref="X1182:Y1182"/>
    <mergeCell ref="Z1182:AA1182"/>
    <mergeCell ref="AC1182:AD1182"/>
    <mergeCell ref="AE1182:AF1182"/>
    <mergeCell ref="AH1182:AI1182"/>
    <mergeCell ref="AJ1182:AK1182"/>
    <mergeCell ref="D1183:E1183"/>
    <mergeCell ref="F1183:G1183"/>
    <mergeCell ref="I1183:J1183"/>
    <mergeCell ref="K1183:L1183"/>
    <mergeCell ref="N1183:O1183"/>
    <mergeCell ref="P1183:Q1183"/>
    <mergeCell ref="S1183:T1183"/>
    <mergeCell ref="U1183:V1183"/>
    <mergeCell ref="X1183:Y1183"/>
    <mergeCell ref="Z1183:AA1183"/>
    <mergeCell ref="AC1183:AD1183"/>
    <mergeCell ref="AE1183:AF1183"/>
    <mergeCell ref="AH1183:AI1183"/>
    <mergeCell ref="AJ1183:AK1183"/>
    <mergeCell ref="D1184:E1184"/>
    <mergeCell ref="F1184:G1184"/>
    <mergeCell ref="I1184:J1184"/>
    <mergeCell ref="K1184:L1184"/>
    <mergeCell ref="N1184:O1184"/>
    <mergeCell ref="P1184:Q1184"/>
    <mergeCell ref="S1184:T1184"/>
    <mergeCell ref="U1184:V1184"/>
    <mergeCell ref="X1184:Y1184"/>
    <mergeCell ref="Z1184:AA1184"/>
    <mergeCell ref="AC1184:AD1184"/>
    <mergeCell ref="AE1184:AF1184"/>
    <mergeCell ref="AH1184:AI1184"/>
    <mergeCell ref="AJ1184:AK1184"/>
    <mergeCell ref="D1185:E1185"/>
    <mergeCell ref="F1185:G1185"/>
    <mergeCell ref="I1185:J1185"/>
    <mergeCell ref="K1185:L1185"/>
    <mergeCell ref="N1185:O1185"/>
    <mergeCell ref="P1185:Q1185"/>
    <mergeCell ref="S1185:T1185"/>
    <mergeCell ref="U1185:V1185"/>
    <mergeCell ref="X1185:Y1185"/>
    <mergeCell ref="Z1185:AA1185"/>
    <mergeCell ref="AC1185:AD1185"/>
    <mergeCell ref="AE1185:AF1185"/>
    <mergeCell ref="AH1185:AI1185"/>
    <mergeCell ref="AJ1185:AK1185"/>
    <mergeCell ref="D1186:G1199"/>
    <mergeCell ref="I1186:L1199"/>
    <mergeCell ref="N1186:Q1199"/>
    <mergeCell ref="S1186:V1199"/>
    <mergeCell ref="X1186:AA1199"/>
    <mergeCell ref="AC1186:AF1199"/>
    <mergeCell ref="AH1186:AK1199"/>
    <mergeCell ref="D1200:G1206"/>
    <mergeCell ref="I1200:L1206"/>
    <mergeCell ref="N1200:Q1206"/>
    <mergeCell ref="S1200:V1206"/>
    <mergeCell ref="X1200:AA1206"/>
    <mergeCell ref="AC1200:AF1206"/>
    <mergeCell ref="AH1200:AK1206"/>
    <mergeCell ref="E1207:F1207"/>
    <mergeCell ref="J1207:K1207"/>
    <mergeCell ref="O1207:P1207"/>
    <mergeCell ref="T1207:U1207"/>
    <mergeCell ref="Y1207:Z1207"/>
    <mergeCell ref="AD1207:AE1207"/>
    <mergeCell ref="AI1207:AJ1207"/>
    <mergeCell ref="D1208:G1208"/>
    <mergeCell ref="I1208:L1208"/>
    <mergeCell ref="N1208:Q1208"/>
    <mergeCell ref="S1208:V1208"/>
    <mergeCell ref="X1208:AA1208"/>
    <mergeCell ref="AC1208:AF1208"/>
    <mergeCell ref="AH1208:AK1208"/>
    <mergeCell ref="D1209:E1209"/>
    <mergeCell ref="F1209:G1209"/>
    <mergeCell ref="I1209:J1209"/>
    <mergeCell ref="K1209:L1209"/>
    <mergeCell ref="N1209:O1209"/>
    <mergeCell ref="P1209:Q1209"/>
    <mergeCell ref="S1209:T1209"/>
    <mergeCell ref="U1209:V1209"/>
    <mergeCell ref="X1209:Y1209"/>
    <mergeCell ref="Z1209:AA1209"/>
    <mergeCell ref="AC1209:AD1209"/>
    <mergeCell ref="AE1209:AF1209"/>
    <mergeCell ref="AH1209:AI1209"/>
    <mergeCell ref="AJ1209:AK1209"/>
    <mergeCell ref="D1210:E1210"/>
    <mergeCell ref="F1210:G1210"/>
    <mergeCell ref="I1210:J1210"/>
    <mergeCell ref="K1210:L1210"/>
    <mergeCell ref="N1210:O1210"/>
    <mergeCell ref="P1210:Q1210"/>
    <mergeCell ref="S1210:T1210"/>
    <mergeCell ref="U1210:V1210"/>
    <mergeCell ref="X1210:Y1210"/>
    <mergeCell ref="Z1210:AA1210"/>
    <mergeCell ref="AC1210:AD1210"/>
    <mergeCell ref="AE1210:AF1210"/>
    <mergeCell ref="AH1210:AI1210"/>
    <mergeCell ref="AJ1210:AK1210"/>
    <mergeCell ref="D1211:E1211"/>
    <mergeCell ref="F1211:G1211"/>
    <mergeCell ref="I1211:J1211"/>
    <mergeCell ref="K1211:L1211"/>
    <mergeCell ref="N1211:O1211"/>
    <mergeCell ref="P1211:Q1211"/>
    <mergeCell ref="S1211:T1211"/>
    <mergeCell ref="U1211:V1211"/>
    <mergeCell ref="X1211:Y1211"/>
    <mergeCell ref="Z1211:AA1211"/>
    <mergeCell ref="AC1211:AD1211"/>
    <mergeCell ref="AE1211:AF1211"/>
    <mergeCell ref="AH1211:AI1211"/>
    <mergeCell ref="AJ1211:AK1211"/>
    <mergeCell ref="D1212:E1212"/>
    <mergeCell ref="F1212:G1212"/>
    <mergeCell ref="I1212:J1212"/>
    <mergeCell ref="K1212:L1212"/>
    <mergeCell ref="N1212:O1212"/>
    <mergeCell ref="P1212:Q1212"/>
    <mergeCell ref="S1212:T1212"/>
    <mergeCell ref="U1212:V1212"/>
    <mergeCell ref="X1212:Y1212"/>
    <mergeCell ref="Z1212:AA1212"/>
    <mergeCell ref="AC1212:AD1212"/>
    <mergeCell ref="AE1212:AF1212"/>
    <mergeCell ref="AH1212:AI1212"/>
    <mergeCell ref="AJ1212:AK1212"/>
    <mergeCell ref="D1213:G1226"/>
    <mergeCell ref="I1213:L1226"/>
    <mergeCell ref="N1213:Q1226"/>
    <mergeCell ref="S1213:V1226"/>
    <mergeCell ref="X1213:AA1226"/>
    <mergeCell ref="AC1213:AF1226"/>
    <mergeCell ref="AH1213:AK1226"/>
    <mergeCell ref="D1227:G1233"/>
    <mergeCell ref="I1227:L1233"/>
    <mergeCell ref="N1227:Q1233"/>
    <mergeCell ref="S1227:V1233"/>
    <mergeCell ref="X1227:AA1233"/>
    <mergeCell ref="AC1227:AF1233"/>
    <mergeCell ref="AH1227:AK1233"/>
    <mergeCell ref="B1235:B1289"/>
    <mergeCell ref="C1235:C1289"/>
    <mergeCell ref="E1235:F1235"/>
    <mergeCell ref="J1235:K1235"/>
    <mergeCell ref="O1235:P1235"/>
    <mergeCell ref="T1235:U1235"/>
    <mergeCell ref="Y1235:Z1235"/>
    <mergeCell ref="AD1235:AE1235"/>
    <mergeCell ref="AI1235:AJ1235"/>
    <mergeCell ref="E1236:F1236"/>
    <mergeCell ref="J1236:K1236"/>
    <mergeCell ref="O1236:P1236"/>
    <mergeCell ref="T1236:U1236"/>
    <mergeCell ref="Y1236:Z1236"/>
    <mergeCell ref="AD1236:AE1236"/>
    <mergeCell ref="AI1236:AJ1236"/>
    <mergeCell ref="D1237:G1237"/>
    <mergeCell ref="I1237:L1237"/>
    <mergeCell ref="N1237:Q1237"/>
    <mergeCell ref="S1237:V1237"/>
    <mergeCell ref="X1237:AA1237"/>
    <mergeCell ref="AC1237:AF1237"/>
    <mergeCell ref="AH1237:AK1237"/>
    <mergeCell ref="D1238:E1238"/>
    <mergeCell ref="F1238:G1238"/>
    <mergeCell ref="D1239:E1239"/>
    <mergeCell ref="F1239:G1239"/>
    <mergeCell ref="I1239:J1239"/>
    <mergeCell ref="K1239:L1239"/>
    <mergeCell ref="N1239:O1239"/>
    <mergeCell ref="P1239:Q1239"/>
    <mergeCell ref="S1239:T1239"/>
    <mergeCell ref="U1239:V1239"/>
    <mergeCell ref="X1239:Y1239"/>
    <mergeCell ref="Z1239:AA1239"/>
    <mergeCell ref="AC1239:AD1239"/>
    <mergeCell ref="AE1239:AF1239"/>
    <mergeCell ref="AH1239:AI1239"/>
    <mergeCell ref="AJ1239:AK1239"/>
    <mergeCell ref="D1240:E1240"/>
    <mergeCell ref="F1240:G1240"/>
    <mergeCell ref="I1240:J1240"/>
    <mergeCell ref="K1240:L1240"/>
    <mergeCell ref="N1240:O1240"/>
    <mergeCell ref="P1240:Q1240"/>
    <mergeCell ref="S1240:T1240"/>
    <mergeCell ref="U1240:V1240"/>
    <mergeCell ref="X1240:Y1240"/>
    <mergeCell ref="Z1240:AA1240"/>
    <mergeCell ref="AC1240:AD1240"/>
    <mergeCell ref="AE1240:AF1240"/>
    <mergeCell ref="AH1240:AI1240"/>
    <mergeCell ref="AJ1240:AK1240"/>
    <mergeCell ref="D1241:E1241"/>
    <mergeCell ref="F1241:G1241"/>
    <mergeCell ref="I1241:J1241"/>
    <mergeCell ref="K1241:L1241"/>
    <mergeCell ref="N1241:O1241"/>
    <mergeCell ref="P1241:Q1241"/>
    <mergeCell ref="S1241:T1241"/>
    <mergeCell ref="U1241:V1241"/>
    <mergeCell ref="X1241:Y1241"/>
    <mergeCell ref="Z1241:AA1241"/>
    <mergeCell ref="AC1241:AD1241"/>
    <mergeCell ref="AE1241:AF1241"/>
    <mergeCell ref="AH1241:AI1241"/>
    <mergeCell ref="AJ1241:AK1241"/>
    <mergeCell ref="D1242:G1255"/>
    <mergeCell ref="I1242:L1255"/>
    <mergeCell ref="N1242:Q1255"/>
    <mergeCell ref="S1242:V1255"/>
    <mergeCell ref="X1242:AA1255"/>
    <mergeCell ref="AC1242:AF1255"/>
    <mergeCell ref="AH1242:AK1255"/>
    <mergeCell ref="D1256:G1262"/>
    <mergeCell ref="I1256:L1262"/>
    <mergeCell ref="N1256:Q1262"/>
    <mergeCell ref="S1256:V1262"/>
    <mergeCell ref="X1256:AA1262"/>
    <mergeCell ref="AC1256:AF1262"/>
    <mergeCell ref="AH1256:AK1262"/>
    <mergeCell ref="E1263:F1263"/>
    <mergeCell ref="J1263:K1263"/>
    <mergeCell ref="O1263:P1263"/>
    <mergeCell ref="T1263:U1263"/>
    <mergeCell ref="Y1263:Z1263"/>
    <mergeCell ref="AD1263:AE1263"/>
    <mergeCell ref="AI1263:AJ1263"/>
    <mergeCell ref="D1264:G1264"/>
    <mergeCell ref="I1264:L1264"/>
    <mergeCell ref="N1264:Q1264"/>
    <mergeCell ref="S1264:V1264"/>
    <mergeCell ref="X1264:AA1264"/>
    <mergeCell ref="AC1264:AF1264"/>
    <mergeCell ref="AH1264:AK1264"/>
    <mergeCell ref="D1265:E1265"/>
    <mergeCell ref="F1265:G1265"/>
    <mergeCell ref="I1265:J1265"/>
    <mergeCell ref="K1265:L1265"/>
    <mergeCell ref="N1265:O1265"/>
    <mergeCell ref="P1265:Q1265"/>
    <mergeCell ref="S1265:T1265"/>
    <mergeCell ref="U1265:V1265"/>
    <mergeCell ref="X1265:Y1265"/>
    <mergeCell ref="Z1265:AA1265"/>
    <mergeCell ref="AC1265:AD1265"/>
    <mergeCell ref="AE1265:AF1265"/>
    <mergeCell ref="AH1265:AI1265"/>
    <mergeCell ref="AJ1265:AK1265"/>
    <mergeCell ref="D1266:E1266"/>
    <mergeCell ref="F1266:G1266"/>
    <mergeCell ref="I1266:J1266"/>
    <mergeCell ref="K1266:L1266"/>
    <mergeCell ref="N1266:O1266"/>
    <mergeCell ref="P1266:Q1266"/>
    <mergeCell ref="S1266:T1266"/>
    <mergeCell ref="U1266:V1266"/>
    <mergeCell ref="X1266:Y1266"/>
    <mergeCell ref="Z1266:AA1266"/>
    <mergeCell ref="AC1266:AD1266"/>
    <mergeCell ref="AE1266:AF1266"/>
    <mergeCell ref="AH1266:AI1266"/>
    <mergeCell ref="AJ1266:AK1266"/>
    <mergeCell ref="D1267:E1267"/>
    <mergeCell ref="F1267:G1267"/>
    <mergeCell ref="I1267:J1267"/>
    <mergeCell ref="K1267:L1267"/>
    <mergeCell ref="N1267:O1267"/>
    <mergeCell ref="P1267:Q1267"/>
    <mergeCell ref="S1267:T1267"/>
    <mergeCell ref="U1267:V1267"/>
    <mergeCell ref="X1267:Y1267"/>
    <mergeCell ref="Z1267:AA1267"/>
    <mergeCell ref="AC1267:AD1267"/>
    <mergeCell ref="AE1267:AF1267"/>
    <mergeCell ref="AH1267:AI1267"/>
    <mergeCell ref="AJ1267:AK1267"/>
    <mergeCell ref="D1268:E1268"/>
    <mergeCell ref="F1268:G1268"/>
    <mergeCell ref="I1268:J1268"/>
    <mergeCell ref="K1268:L1268"/>
    <mergeCell ref="N1268:O1268"/>
    <mergeCell ref="P1268:Q1268"/>
    <mergeCell ref="S1268:T1268"/>
    <mergeCell ref="U1268:V1268"/>
    <mergeCell ref="X1268:Y1268"/>
    <mergeCell ref="Z1268:AA1268"/>
    <mergeCell ref="AC1268:AD1268"/>
    <mergeCell ref="AE1268:AF1268"/>
    <mergeCell ref="AH1268:AI1268"/>
    <mergeCell ref="AJ1268:AK1268"/>
    <mergeCell ref="D1269:G1282"/>
    <mergeCell ref="I1269:L1282"/>
    <mergeCell ref="N1269:Q1282"/>
    <mergeCell ref="S1269:V1282"/>
    <mergeCell ref="X1269:AA1282"/>
    <mergeCell ref="AC1269:AF1282"/>
    <mergeCell ref="AH1269:AK1282"/>
    <mergeCell ref="D1283:G1289"/>
    <mergeCell ref="I1283:L1289"/>
    <mergeCell ref="N1283:Q1289"/>
    <mergeCell ref="S1283:V1289"/>
    <mergeCell ref="X1283:AA1289"/>
    <mergeCell ref="AC1283:AF1289"/>
    <mergeCell ref="AH1283:AK1289"/>
    <mergeCell ref="B1291:B1345"/>
    <mergeCell ref="C1291:C1345"/>
    <mergeCell ref="E1291:F1291"/>
    <mergeCell ref="J1291:K1291"/>
    <mergeCell ref="O1291:P1291"/>
    <mergeCell ref="T1291:U1291"/>
    <mergeCell ref="Y1291:Z1291"/>
    <mergeCell ref="AD1291:AE1291"/>
    <mergeCell ref="AI1291:AJ1291"/>
    <mergeCell ref="E1292:F1292"/>
    <mergeCell ref="J1292:K1292"/>
    <mergeCell ref="O1292:P1292"/>
    <mergeCell ref="T1292:U1292"/>
    <mergeCell ref="Y1292:Z1292"/>
    <mergeCell ref="AD1292:AE1292"/>
    <mergeCell ref="AI1292:AJ1292"/>
    <mergeCell ref="D1293:G1293"/>
    <mergeCell ref="I1293:L1293"/>
    <mergeCell ref="N1293:Q1293"/>
    <mergeCell ref="S1293:V1293"/>
    <mergeCell ref="X1293:AA1293"/>
    <mergeCell ref="AC1293:AF1293"/>
    <mergeCell ref="AH1293:AK1293"/>
    <mergeCell ref="D1294:E1294"/>
    <mergeCell ref="F1294:G1294"/>
    <mergeCell ref="I1294:J1294"/>
    <mergeCell ref="K1294:L1294"/>
    <mergeCell ref="N1294:O1294"/>
    <mergeCell ref="P1294:Q1294"/>
    <mergeCell ref="S1294:T1294"/>
    <mergeCell ref="U1294:V1294"/>
    <mergeCell ref="X1294:Y1294"/>
    <mergeCell ref="Z1294:AA1294"/>
    <mergeCell ref="AC1294:AD1294"/>
    <mergeCell ref="AE1294:AF1294"/>
    <mergeCell ref="AH1294:AI1294"/>
    <mergeCell ref="AJ1294:AK1294"/>
    <mergeCell ref="D1295:E1295"/>
    <mergeCell ref="F1295:G1295"/>
    <mergeCell ref="I1295:J1295"/>
    <mergeCell ref="K1295:L1295"/>
    <mergeCell ref="N1295:O1295"/>
    <mergeCell ref="P1295:Q1295"/>
    <mergeCell ref="S1295:T1295"/>
    <mergeCell ref="U1295:V1295"/>
    <mergeCell ref="X1295:Y1295"/>
    <mergeCell ref="Z1295:AA1295"/>
    <mergeCell ref="AC1295:AD1295"/>
    <mergeCell ref="AE1295:AF1295"/>
    <mergeCell ref="AH1295:AI1295"/>
    <mergeCell ref="AJ1295:AK1295"/>
    <mergeCell ref="D1296:E1296"/>
    <mergeCell ref="F1296:G1296"/>
    <mergeCell ref="I1296:J1296"/>
    <mergeCell ref="K1296:L1296"/>
    <mergeCell ref="N1296:O1296"/>
    <mergeCell ref="P1296:Q1296"/>
    <mergeCell ref="S1296:T1296"/>
    <mergeCell ref="U1296:V1296"/>
    <mergeCell ref="X1296:Y1296"/>
    <mergeCell ref="Z1296:AA1296"/>
    <mergeCell ref="AC1296:AD1296"/>
    <mergeCell ref="AE1296:AF1296"/>
    <mergeCell ref="AH1296:AI1296"/>
    <mergeCell ref="AJ1296:AK1296"/>
    <mergeCell ref="D1297:E1297"/>
    <mergeCell ref="F1297:G1297"/>
    <mergeCell ref="I1297:J1297"/>
    <mergeCell ref="K1297:L1297"/>
    <mergeCell ref="N1297:O1297"/>
    <mergeCell ref="P1297:Q1297"/>
    <mergeCell ref="S1297:T1297"/>
    <mergeCell ref="U1297:V1297"/>
    <mergeCell ref="X1297:Y1297"/>
    <mergeCell ref="Z1297:AA1297"/>
    <mergeCell ref="AC1297:AD1297"/>
    <mergeCell ref="AE1297:AF1297"/>
    <mergeCell ref="AH1297:AI1297"/>
    <mergeCell ref="AJ1297:AK1297"/>
    <mergeCell ref="D1298:G1311"/>
    <mergeCell ref="I1298:L1311"/>
    <mergeCell ref="N1298:Q1311"/>
    <mergeCell ref="S1298:V1311"/>
    <mergeCell ref="X1298:AA1311"/>
    <mergeCell ref="AC1298:AF1311"/>
    <mergeCell ref="AH1298:AK1311"/>
    <mergeCell ref="Y1319:Z1319"/>
    <mergeCell ref="AD1319:AE1319"/>
    <mergeCell ref="AI1319:AJ1319"/>
    <mergeCell ref="D1320:G1320"/>
    <mergeCell ref="I1320:L1320"/>
    <mergeCell ref="N1320:Q1320"/>
    <mergeCell ref="S1320:V1320"/>
    <mergeCell ref="X1320:AA1320"/>
    <mergeCell ref="AC1320:AF1320"/>
    <mergeCell ref="AH1320:AK1320"/>
    <mergeCell ref="D1321:E1321"/>
    <mergeCell ref="F1321:G1321"/>
    <mergeCell ref="I1321:J1321"/>
    <mergeCell ref="K1321:L1321"/>
    <mergeCell ref="N1321:O1321"/>
    <mergeCell ref="P1321:Q1321"/>
    <mergeCell ref="S1321:T1321"/>
    <mergeCell ref="U1321:V1321"/>
    <mergeCell ref="X1321:Y1321"/>
    <mergeCell ref="Z1321:AA1321"/>
    <mergeCell ref="AC1321:AD1321"/>
    <mergeCell ref="AE1321:AF1321"/>
    <mergeCell ref="AH1321:AI1321"/>
    <mergeCell ref="AJ1321:AK1321"/>
    <mergeCell ref="D1322:E1322"/>
    <mergeCell ref="F1322:G1322"/>
    <mergeCell ref="I1322:J1322"/>
    <mergeCell ref="K1322:L1322"/>
    <mergeCell ref="N1322:O1322"/>
    <mergeCell ref="P1322:Q1322"/>
    <mergeCell ref="S1322:T1322"/>
    <mergeCell ref="U1322:V1322"/>
    <mergeCell ref="X1322:Y1322"/>
    <mergeCell ref="Z1322:AA1322"/>
    <mergeCell ref="AC1322:AD1322"/>
    <mergeCell ref="AE1322:AF1322"/>
    <mergeCell ref="AH1322:AI1322"/>
    <mergeCell ref="AJ1322:AK1322"/>
    <mergeCell ref="D1323:E1323"/>
    <mergeCell ref="F1323:G1323"/>
    <mergeCell ref="I1323:J1323"/>
    <mergeCell ref="K1323:L1323"/>
    <mergeCell ref="N1323:O1323"/>
    <mergeCell ref="P1323:Q1323"/>
    <mergeCell ref="S1323:T1323"/>
    <mergeCell ref="U1323:V1323"/>
    <mergeCell ref="X1323:Y1323"/>
    <mergeCell ref="Z1323:AA1323"/>
    <mergeCell ref="AC1323:AD1323"/>
    <mergeCell ref="AE1323:AF1323"/>
    <mergeCell ref="AH1323:AI1323"/>
    <mergeCell ref="AJ1323:AK1323"/>
    <mergeCell ref="D1324:E1324"/>
    <mergeCell ref="F1324:G1324"/>
    <mergeCell ref="I1324:J1324"/>
    <mergeCell ref="K1324:L1324"/>
    <mergeCell ref="N1324:O1324"/>
    <mergeCell ref="P1324:Q1324"/>
    <mergeCell ref="S1324:T1324"/>
    <mergeCell ref="U1324:V1324"/>
    <mergeCell ref="X1324:Y1324"/>
    <mergeCell ref="Z1324:AA1324"/>
    <mergeCell ref="AC1324:AD1324"/>
    <mergeCell ref="AE1324:AF1324"/>
    <mergeCell ref="AH1324:AI1324"/>
    <mergeCell ref="AJ1324:AK1324"/>
    <mergeCell ref="D1325:G1338"/>
    <mergeCell ref="I1325:L1338"/>
    <mergeCell ref="N1325:Q1338"/>
    <mergeCell ref="S1325:V1338"/>
    <mergeCell ref="X1325:AA1338"/>
    <mergeCell ref="AC1325:AF1338"/>
    <mergeCell ref="AH1325:AK1338"/>
  </mergeCells>
  <printOptions horizontalCentered="1" verticalCentered="1"/>
  <pageMargins left="0" right="0" top="0.19685039370078738" bottom="0.19685039370078738" header="3.9370078740157487E-2" footer="3.9370078740157487E-2"/>
  <pageSetup paperSize="8" scale="29" fitToWidth="0" fitToHeight="0" orientation="landscape" r:id="rId1"/>
  <headerFooter>
    <oddHeader>&amp;C&amp;24&amp;A: Gene Beveridge Tarawera 50km 2019-02-09 Page &amp;P</oddHeader>
  </headerFooter>
  <rowBreaks count="7" manualBreakCount="7">
    <brk id="167" max="16383" man="1"/>
    <brk id="332" max="16383" man="1"/>
    <brk id="497" max="16383" man="1"/>
    <brk id="662" max="16383" man="1"/>
    <brk id="827" max="16383" man="1"/>
    <brk id="992" max="16383" man="1"/>
    <brk id="1157" max="16383" man="1"/>
  </rowBreaks>
  <colBreaks count="1" manualBreakCount="1">
    <brk id="37"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59999389629810485"/>
  </sheetPr>
  <dimension ref="A1:Q2000"/>
  <sheetViews>
    <sheetView showRowColHeaders="0" topLeftCell="B2001" workbookViewId="0">
      <selection activeCell="K2" sqref="K2"/>
    </sheetView>
  </sheetViews>
  <sheetFormatPr defaultRowHeight="14.25" x14ac:dyDescent="0.45"/>
  <cols>
    <col min="1" max="4" width="9.1328125" style="1073"/>
    <col min="5" max="5" width="9.1328125" style="1169" customWidth="1"/>
    <col min="6" max="7" width="9.1328125" style="1169"/>
    <col min="8" max="8" width="34.1328125" style="1169" customWidth="1"/>
    <col min="9" max="9" width="32.73046875" style="1169" bestFit="1" customWidth="1"/>
    <col min="10" max="10" width="13.1328125" style="1169" bestFit="1" customWidth="1"/>
    <col min="11" max="11" width="22.59765625" style="1170" customWidth="1"/>
    <col min="12" max="12" width="16.59765625" style="1169" customWidth="1"/>
    <col min="13" max="13" width="16.1328125" style="1169" bestFit="1" customWidth="1"/>
    <col min="14" max="14" width="24.265625" style="1169" bestFit="1" customWidth="1"/>
    <col min="15" max="15" width="15.59765625" style="1169" bestFit="1" customWidth="1"/>
    <col min="16" max="16" width="16" style="1169" bestFit="1" customWidth="1"/>
    <col min="17" max="17" width="18.3984375" style="1169" bestFit="1" customWidth="1"/>
  </cols>
  <sheetData>
    <row r="1" spans="1:17" hidden="1" x14ac:dyDescent="0.45">
      <c r="A1" s="1305" t="s">
        <v>389</v>
      </c>
      <c r="B1" s="1306" t="s">
        <v>616</v>
      </c>
      <c r="C1" s="1306" t="s">
        <v>606</v>
      </c>
      <c r="D1" s="1307" t="s">
        <v>617</v>
      </c>
      <c r="E1" s="1308" t="s">
        <v>70</v>
      </c>
      <c r="F1" s="1309" t="s">
        <v>615</v>
      </c>
      <c r="G1" s="1309" t="s">
        <v>63</v>
      </c>
      <c r="H1" s="1310" t="s">
        <v>30</v>
      </c>
      <c r="I1" s="1308" t="s">
        <v>667</v>
      </c>
      <c r="J1" s="1309" t="s">
        <v>600</v>
      </c>
      <c r="K1" s="1311" t="s">
        <v>601</v>
      </c>
      <c r="L1" s="1309" t="s">
        <v>151</v>
      </c>
      <c r="M1" s="1309" t="s">
        <v>602</v>
      </c>
      <c r="N1" s="1309" t="s">
        <v>603</v>
      </c>
      <c r="O1" s="1309" t="s">
        <v>604</v>
      </c>
      <c r="P1" s="1309" t="s">
        <v>605</v>
      </c>
      <c r="Q1" s="1312" t="s">
        <v>668</v>
      </c>
    </row>
    <row r="2" spans="1:17" ht="327.75" hidden="1" x14ac:dyDescent="0.45">
      <c r="A2" s="1289">
        <v>1</v>
      </c>
      <c r="B2" s="1285">
        <v>1</v>
      </c>
      <c r="C2" s="1285">
        <v>1</v>
      </c>
      <c r="D2" s="1297">
        <v>1</v>
      </c>
      <c r="E2" s="1299" t="str">
        <f t="array" ref="E2:E1009" ca="1">IF(TT_export_name="","", CONCATENATE(
INDEX(sessions_descriptions, TT_export_part,
INDEX(plan_session_allocation,TT_export_slot_normal,TT_export_week))))</f>
        <v>Stay at a comfortable and controlled intensity where you should be able to have a conversation without large pauses. Keep an even intensity and accept that your pace may change as the terrain changes.</v>
      </c>
      <c r="F2" s="1286" t="str">
        <f t="array" ref="F2:F1009" ca="1">IF(TT_export_name="","", SUBSTITUTE(CONCATENATE(
INDEX(sessions_TT_descriptions, TT_export_part,
INDEX(plan_session_allocation,TT_export_slot_normal,TT_export_week))),
"EF", INDEX(final_duration_element_trainingtilt,TT_export_slot_TT,TT_export_week)))</f>
        <v>Sport: Ride
WU/WD: No 
Effort Total: 40 minutes
HR Target: 138 BPM
HR Range: 129 - 148 BPM 
Flat Road Equivalent Pace: 4:39 min/km</v>
      </c>
      <c r="G2" s="1286" t="str">
        <f t="array" ref="G2:G1009" ca="1">IF(TT_export_name="","", CONCATENATE(
INDEX(sessions_aims, TT_export_part,
INDEX(plan_session_allocation,TT_export_slot_normal,TT_export_week))))</f>
        <v xml:space="preserve">Improve aerobic fitness while minimising the chance of injury. </v>
      </c>
      <c r="H2" s="1301" t="str">
        <f t="array" ref="H2:H1009" ca="1">IF(INDEX(sessions_intervals_code, TT_export_part,INDEX(plan_session_allocation, TT_export_slot_normal, TT_export_week))="","", VLOOKUP(duration_intervals,INDIRECT(INDEX(sessions_intervals_code, TT_export_part, INDEX(plan_session_allocation, TT_export_slot_normal, TT_export_week))),8,TRUE))</f>
        <v/>
      </c>
      <c r="I2" s="1303" t="str">
        <f t="array" ref="I2:I1009" ca="1">IF( INDEX(display_summary_trainingtilt, TT_export_slot_TT, TT_export_week)="", "", INDEX(display_summary_trainingtilt, TT_export_slot_TT, TT_export_week))</f>
        <v>Easy ride: 40 minutes</v>
      </c>
      <c r="J2" s="1287" t="str">
        <f t="array" ref="J2:J1009" ca="1">IF(TT_export_name="","",INDEX(sessions_sport_TT_type,TT_export_part,INDEX(plan_session_allocation,TT_export_slot_normal,TT_export_week)))</f>
        <v>Cycling</v>
      </c>
      <c r="K2" s="1288" t="str">
        <f t="array" ref="K2:K1009" ca="1">IF(TT_intervals="","", "Intervals:
" &amp; TT_intervals &amp; "
") &amp; "Description:
" &amp; TT_export_description &amp; "
Details:
" &amp;TT_export_TT_description &amp; "
Aim:
" &amp; TT_export_aim</f>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 s="1287">
        <f t="array" ref="L2:L1009" ca="1">IF(TT_export_name="","",INDEX(plan_session_allocation,TT_export_slot_normal,TT_export_week)-1)</f>
        <v>110</v>
      </c>
      <c r="M2" s="1287">
        <f t="array" ref="M2:M1009" ca="1">IF(TT_export_name="","", INDEX(final_duration_element_trainingtilt, TT_export_slot_TT, TT_export_week) / 60)</f>
        <v>0.66666666666666663</v>
      </c>
      <c r="N2" s="1287"/>
      <c r="O2" s="1323" t="str">
        <f t="array" ref="O2:O1009" ca="1">IF(TT_export_name="","", TEXT(plan_start_date + (TT_export_week-1)*7 + (TT_export_slot_normal-1)*0.5 + (TT_export_part-1)*(2/24) + 0.25, "yyyy-mm-dd hh:mm") )</f>
        <v>2018-10-01 06:00</v>
      </c>
      <c r="P2" s="1287"/>
      <c r="Q2" s="1290" t="str">
        <f t="array" ref="Q2:Q1009" ca="1">IF(TT_export_name="","",INDEX(sessions_sport,TT_export_part,INDEX(plan_session_allocation,TT_export_slot_normal,TT_export_week)))</f>
        <v>Ride</v>
      </c>
    </row>
    <row r="3" spans="1:17" ht="27.75" hidden="1" customHeight="1" x14ac:dyDescent="0.45">
      <c r="A3" s="1289">
        <v>1</v>
      </c>
      <c r="B3" s="1285">
        <v>1</v>
      </c>
      <c r="C3" s="1285">
        <v>2</v>
      </c>
      <c r="D3" s="1297">
        <v>2</v>
      </c>
      <c r="E3" s="1299" t="str">
        <f ca="1"/>
        <v/>
      </c>
      <c r="F3" s="1286" t="str">
        <f ca="1"/>
        <v/>
      </c>
      <c r="G3" s="1286" t="str">
        <f ca="1"/>
        <v/>
      </c>
      <c r="H3" s="1301" t="str">
        <f ca="1"/>
        <v/>
      </c>
      <c r="I3" s="1303" t="str">
        <f ca="1"/>
        <v/>
      </c>
      <c r="J3" s="1287" t="str">
        <f ca="1"/>
        <v/>
      </c>
      <c r="K3" s="1288" t="str">
        <f ca="1"/>
        <v xml:space="preserve">Description:
Details:
Aim:
</v>
      </c>
      <c r="L3" s="1287" t="str">
        <f ca="1"/>
        <v/>
      </c>
      <c r="M3" s="1287" t="str">
        <f ca="1"/>
        <v/>
      </c>
      <c r="N3" s="1287"/>
      <c r="O3" s="1323" t="str">
        <f ca="1"/>
        <v/>
      </c>
      <c r="P3" s="1287"/>
      <c r="Q3" s="1290" t="str">
        <f ca="1"/>
        <v/>
      </c>
    </row>
    <row r="4" spans="1:17" ht="27.75" hidden="1" customHeight="1" x14ac:dyDescent="0.45">
      <c r="A4" s="1289">
        <v>1</v>
      </c>
      <c r="B4" s="1285">
        <v>1</v>
      </c>
      <c r="C4" s="1285">
        <v>3</v>
      </c>
      <c r="D4" s="1297">
        <v>3</v>
      </c>
      <c r="E4" s="1299" t="str">
        <f ca="1"/>
        <v/>
      </c>
      <c r="F4" s="1286" t="str">
        <f ca="1"/>
        <v/>
      </c>
      <c r="G4" s="1286" t="str">
        <f ca="1"/>
        <v/>
      </c>
      <c r="H4" s="1301" t="str">
        <f ca="1"/>
        <v/>
      </c>
      <c r="I4" s="1303" t="str">
        <f ca="1"/>
        <v/>
      </c>
      <c r="J4" s="1287" t="str">
        <f ca="1"/>
        <v/>
      </c>
      <c r="K4" s="1288" t="str">
        <f ca="1"/>
        <v xml:space="preserve">Description:
Details:
Aim:
</v>
      </c>
      <c r="L4" s="1287" t="str">
        <f ca="1"/>
        <v/>
      </c>
      <c r="M4" s="1287" t="str">
        <f ca="1"/>
        <v/>
      </c>
      <c r="N4" s="1287"/>
      <c r="O4" s="1323" t="str">
        <f ca="1"/>
        <v/>
      </c>
      <c r="P4" s="1287"/>
      <c r="Q4" s="1290" t="str">
        <f ca="1"/>
        <v/>
      </c>
    </row>
    <row r="5" spans="1:17" ht="27.75" hidden="1" customHeight="1" x14ac:dyDescent="0.45">
      <c r="A5" s="1289">
        <v>1</v>
      </c>
      <c r="B5" s="1285">
        <v>2</v>
      </c>
      <c r="C5" s="1285">
        <v>1</v>
      </c>
      <c r="D5" s="1297">
        <v>4</v>
      </c>
      <c r="E5" s="1299" t="str">
        <f ca="1"/>
        <v>Perform a variety of specialised exercises to engage specific muscles. These sessions must be learned with a coach first but are relatively easy to continue with on your own. Demonstrate control and focus on posture and muscle activation.</v>
      </c>
      <c r="F5" s="1286" t="str">
        <f ca="1"/>
        <v>Sport: Indoor
WU/WD: No 
Effort Total: 30 minutes
HR Target: N/A BPM
HR Range: N/A BPM 
Flat Road Equivalent Pace:  min/km</v>
      </c>
      <c r="G5" s="1286" t="str">
        <f ca="1"/>
        <v xml:space="preserve">Increase strength of specific muscle groups, running economy and injury resistance. </v>
      </c>
      <c r="H5" s="1301" t="str">
        <f ca="1"/>
        <v/>
      </c>
      <c r="I5" s="1303" t="str">
        <f ca="1"/>
        <v>Strength and conditioning</v>
      </c>
      <c r="J5" s="1287" t="str">
        <f ca="1"/>
        <v>Strength</v>
      </c>
      <c r="K5"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5" s="1287">
        <f ca="1"/>
        <v>76</v>
      </c>
      <c r="M5" s="1287">
        <f ca="1"/>
        <v>0.5</v>
      </c>
      <c r="N5" s="1287"/>
      <c r="O5" s="1323" t="str">
        <f ca="1"/>
        <v>2018-10-01 18:00</v>
      </c>
      <c r="P5" s="1287"/>
      <c r="Q5" s="1290" t="str">
        <f ca="1"/>
        <v>Indoor</v>
      </c>
    </row>
    <row r="6" spans="1:17" ht="27.75" hidden="1" customHeight="1" x14ac:dyDescent="0.45">
      <c r="A6" s="1289">
        <v>1</v>
      </c>
      <c r="B6" s="1285">
        <v>2</v>
      </c>
      <c r="C6" s="1285">
        <v>1.9999999999999998</v>
      </c>
      <c r="D6" s="1297">
        <v>5</v>
      </c>
      <c r="E6" s="1299" t="str">
        <f ca="1"/>
        <v>Use a hands, rollers, or balls on all major muscle groups with extra time on more sensitive or problematic areas or as guided by a coach or physio. Finish with 20 minutes of lower-limb stretching.</v>
      </c>
      <c r="F6" s="1286" t="str">
        <f ca="1"/>
        <v>Sport: Indoor
WU/WD: No 
Effort Total: 30 minutes
HR Target: N/A BPM
HR Range: N/A BPM 
Flat Road Equivalent Pace:  min/km</v>
      </c>
      <c r="G6" s="1286" t="str">
        <f ca="1"/>
        <v xml:space="preserve">Release tension that develops in soft tissue from training and non-training stresses. </v>
      </c>
      <c r="H6" s="1301" t="str">
        <f ca="1"/>
        <v/>
      </c>
      <c r="I6" s="1303" t="str">
        <f ca="1"/>
        <v>Maintenance</v>
      </c>
      <c r="J6" s="1287" t="str">
        <f ca="1"/>
        <v>Strength</v>
      </c>
      <c r="K6"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 s="1287">
        <f ca="1"/>
        <v>76</v>
      </c>
      <c r="M6" s="1287">
        <f ca="1"/>
        <v>0.5</v>
      </c>
      <c r="N6" s="1287"/>
      <c r="O6" s="1323" t="str">
        <f ca="1"/>
        <v>2018-10-01 20:00</v>
      </c>
      <c r="P6" s="1287"/>
      <c r="Q6" s="1290" t="str">
        <f ca="1"/>
        <v>Indoor</v>
      </c>
    </row>
    <row r="7" spans="1:17" ht="27.75" hidden="1" customHeight="1" x14ac:dyDescent="0.45">
      <c r="A7" s="1289">
        <v>1</v>
      </c>
      <c r="B7" s="1285">
        <v>2</v>
      </c>
      <c r="C7" s="1285">
        <v>3</v>
      </c>
      <c r="D7" s="1297">
        <v>6</v>
      </c>
      <c r="E7" s="1299" t="str">
        <f ca="1"/>
        <v/>
      </c>
      <c r="F7" s="1286" t="str">
        <f ca="1"/>
        <v/>
      </c>
      <c r="G7" s="1286" t="str">
        <f ca="1"/>
        <v/>
      </c>
      <c r="H7" s="1301" t="str">
        <f ca="1"/>
        <v/>
      </c>
      <c r="I7" s="1303" t="str">
        <f ca="1"/>
        <v/>
      </c>
      <c r="J7" s="1287" t="str">
        <f ca="1"/>
        <v/>
      </c>
      <c r="K7" s="1288" t="str">
        <f ca="1"/>
        <v xml:space="preserve">Description:
Details:
Aim:
</v>
      </c>
      <c r="L7" s="1287" t="str">
        <f ca="1"/>
        <v/>
      </c>
      <c r="M7" s="1287" t="str">
        <f ca="1"/>
        <v/>
      </c>
      <c r="N7" s="1287"/>
      <c r="O7" s="1323" t="str">
        <f ca="1"/>
        <v/>
      </c>
      <c r="P7" s="1287"/>
      <c r="Q7" s="1290" t="str">
        <f ca="1"/>
        <v/>
      </c>
    </row>
    <row r="8" spans="1:17" ht="27.75" hidden="1" customHeight="1" x14ac:dyDescent="0.45">
      <c r="A8" s="1289">
        <v>1</v>
      </c>
      <c r="B8" s="1285">
        <v>3</v>
      </c>
      <c r="C8" s="1285">
        <v>1</v>
      </c>
      <c r="D8" s="1297">
        <v>7</v>
      </c>
      <c r="E8" s="1299" t="str">
        <f ca="1"/>
        <v>Stay at a comfortable and controlled intensity where you should be able to have a conversation without large pauses. Keep an even intensity and accept that your pace may change as the terrain changes.</v>
      </c>
      <c r="F8" s="1286" t="str">
        <f ca="1"/>
        <v>Sport: Ride
WU/WD: No 
Effort Total: 40 minutes
HR Target: 138 BPM
HR Range: 129 - 148 BPM 
Flat Road Equivalent Pace: 4:39 min/km</v>
      </c>
      <c r="G8" s="1286" t="str">
        <f ca="1"/>
        <v xml:space="preserve">Improve aerobic fitness while minimising the chance of injury. </v>
      </c>
      <c r="H8" s="1301" t="str">
        <f ca="1"/>
        <v/>
      </c>
      <c r="I8" s="1303" t="str">
        <f ca="1"/>
        <v>Easy ride: 40 minutes</v>
      </c>
      <c r="J8" s="1287" t="str">
        <f ca="1"/>
        <v>Cycling</v>
      </c>
      <c r="K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8" s="1287">
        <f ca="1"/>
        <v>110</v>
      </c>
      <c r="M8" s="1287">
        <f ca="1"/>
        <v>0.66666666666666663</v>
      </c>
      <c r="N8" s="1287"/>
      <c r="O8" s="1323" t="str">
        <f ca="1"/>
        <v>2018-10-02 06:00</v>
      </c>
      <c r="P8" s="1287"/>
      <c r="Q8" s="1290" t="str">
        <f ca="1"/>
        <v>Ride</v>
      </c>
    </row>
    <row r="9" spans="1:17" ht="27.75" hidden="1" customHeight="1" x14ac:dyDescent="0.45">
      <c r="A9" s="1289">
        <v>1</v>
      </c>
      <c r="B9" s="1285">
        <v>3</v>
      </c>
      <c r="C9" s="1285">
        <v>2.0000000000000004</v>
      </c>
      <c r="D9" s="1297">
        <v>8</v>
      </c>
      <c r="E9" s="1299" t="str">
        <f ca="1"/>
        <v/>
      </c>
      <c r="F9" s="1286" t="str">
        <f ca="1"/>
        <v/>
      </c>
      <c r="G9" s="1286" t="str">
        <f ca="1"/>
        <v/>
      </c>
      <c r="H9" s="1301" t="str">
        <f ca="1"/>
        <v/>
      </c>
      <c r="I9" s="1303" t="str">
        <f ca="1"/>
        <v/>
      </c>
      <c r="J9" s="1287" t="str">
        <f ca="1"/>
        <v/>
      </c>
      <c r="K9" s="1288" t="str">
        <f ca="1"/>
        <v xml:space="preserve">Description:
Details:
Aim:
</v>
      </c>
      <c r="L9" s="1287" t="str">
        <f ca="1"/>
        <v/>
      </c>
      <c r="M9" s="1287" t="str">
        <f ca="1"/>
        <v/>
      </c>
      <c r="N9" s="1287"/>
      <c r="O9" s="1323" t="str">
        <f ca="1"/>
        <v/>
      </c>
      <c r="P9" s="1287"/>
      <c r="Q9" s="1290" t="str">
        <f ca="1"/>
        <v/>
      </c>
    </row>
    <row r="10" spans="1:17" ht="27.75" hidden="1" customHeight="1" x14ac:dyDescent="0.45">
      <c r="A10" s="1289">
        <v>1</v>
      </c>
      <c r="B10" s="1285">
        <v>3</v>
      </c>
      <c r="C10" s="1285">
        <v>2.9999999999999996</v>
      </c>
      <c r="D10" s="1297">
        <v>9</v>
      </c>
      <c r="E10" s="1299" t="str">
        <f ca="1"/>
        <v/>
      </c>
      <c r="F10" s="1286" t="str">
        <f ca="1"/>
        <v/>
      </c>
      <c r="G10" s="1286" t="str">
        <f ca="1"/>
        <v/>
      </c>
      <c r="H10" s="1301" t="str">
        <f ca="1"/>
        <v/>
      </c>
      <c r="I10" s="1303" t="str">
        <f ca="1"/>
        <v/>
      </c>
      <c r="J10" s="1287" t="str">
        <f ca="1"/>
        <v/>
      </c>
      <c r="K10" s="1288" t="str">
        <f ca="1"/>
        <v xml:space="preserve">Description:
Details:
Aim:
</v>
      </c>
      <c r="L10" s="1287" t="str">
        <f ca="1"/>
        <v/>
      </c>
      <c r="M10" s="1287" t="str">
        <f ca="1"/>
        <v/>
      </c>
      <c r="N10" s="1287"/>
      <c r="O10" s="1323" t="str">
        <f ca="1"/>
        <v/>
      </c>
      <c r="P10" s="1287"/>
      <c r="Q10" s="1290" t="str">
        <f ca="1"/>
        <v/>
      </c>
    </row>
    <row r="11" spans="1:17" ht="370.5" hidden="1" x14ac:dyDescent="0.45">
      <c r="A11" s="1289">
        <v>1</v>
      </c>
      <c r="B11" s="1285">
        <v>4</v>
      </c>
      <c r="C11" s="1285">
        <v>1</v>
      </c>
      <c r="D11" s="1297">
        <v>10</v>
      </c>
      <c r="E11" s="1299" t="str">
        <f ca="1"/>
        <v>Accelerate to a fast pace which you should be able to hold for 50 minutes in a race situation. This will take concentration, but it's important to keep the intensity even, so do not start too hard. Warm up and warm down for 10 minutes each.</v>
      </c>
      <c r="F11" s="1286" t="str">
        <f ca="1"/>
        <v>Sport: Hilly Trail Run
WU/WD: 15 minutes 
Effort Total: 25 minutes
HR Target: 177 BPM
HR Range: 173 - 180 BPM 
Flat Road Equivalent Pace: 3:21 min/km</v>
      </c>
      <c r="G11" s="1286" t="str">
        <f ca="1"/>
        <v xml:space="preserve">Improve endurance by increasing lactate threshold and developing mental toughness. </v>
      </c>
      <c r="H11" s="1301" t="str">
        <f ca="1"/>
        <v/>
      </c>
      <c r="I11" s="1303" t="str">
        <f ca="1"/>
        <v>Hilly tempo hilly trail run: 25 minutes + WU/WD</v>
      </c>
      <c r="J11" s="1287" t="str">
        <f ca="1"/>
        <v>Trail Running</v>
      </c>
      <c r="K11"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11" s="1287">
        <f ca="1"/>
        <v>23</v>
      </c>
      <c r="M11" s="1287">
        <f ca="1"/>
        <v>0.41666666666666669</v>
      </c>
      <c r="N11" s="1287"/>
      <c r="O11" s="1323" t="str">
        <f ca="1"/>
        <v>2018-10-02 18:00</v>
      </c>
      <c r="P11" s="1287"/>
      <c r="Q11" s="1290" t="str">
        <f ca="1"/>
        <v>Hilly Trail Run</v>
      </c>
    </row>
    <row r="12" spans="1:17" ht="27.75" hidden="1" customHeight="1" x14ac:dyDescent="0.45">
      <c r="A12" s="1289">
        <v>1</v>
      </c>
      <c r="B12" s="1285">
        <v>4</v>
      </c>
      <c r="C12" s="1285">
        <v>2.0000000000000004</v>
      </c>
      <c r="D12" s="1297">
        <v>11</v>
      </c>
      <c r="E12" s="1299" t="str">
        <f ca="1"/>
        <v/>
      </c>
      <c r="F12" s="1286" t="str">
        <f ca="1"/>
        <v/>
      </c>
      <c r="G12" s="1286" t="str">
        <f ca="1"/>
        <v/>
      </c>
      <c r="H12" s="1301" t="str">
        <f ca="1"/>
        <v/>
      </c>
      <c r="I12" s="1303" t="str">
        <f ca="1"/>
        <v/>
      </c>
      <c r="J12" s="1287" t="str">
        <f ca="1"/>
        <v/>
      </c>
      <c r="K12" s="1288" t="str">
        <f ca="1"/>
        <v xml:space="preserve">Description:
Details:
Aim:
</v>
      </c>
      <c r="L12" s="1287" t="str">
        <f ca="1"/>
        <v/>
      </c>
      <c r="M12" s="1287" t="str">
        <f ca="1"/>
        <v/>
      </c>
      <c r="N12" s="1287"/>
      <c r="O12" s="1323" t="str">
        <f ca="1"/>
        <v/>
      </c>
      <c r="P12" s="1287"/>
      <c r="Q12" s="1290" t="str">
        <f ca="1"/>
        <v/>
      </c>
    </row>
    <row r="13" spans="1:17" ht="27.75" hidden="1" customHeight="1" x14ac:dyDescent="0.45">
      <c r="A13" s="1289">
        <v>1</v>
      </c>
      <c r="B13" s="1285">
        <v>4</v>
      </c>
      <c r="C13" s="1285">
        <v>2.9999999999999996</v>
      </c>
      <c r="D13" s="1297">
        <v>12</v>
      </c>
      <c r="E13" s="1299" t="str">
        <f ca="1"/>
        <v/>
      </c>
      <c r="F13" s="1286" t="str">
        <f ca="1"/>
        <v/>
      </c>
      <c r="G13" s="1286" t="str">
        <f ca="1"/>
        <v/>
      </c>
      <c r="H13" s="1301" t="str">
        <f ca="1"/>
        <v/>
      </c>
      <c r="I13" s="1303" t="str">
        <f ca="1"/>
        <v/>
      </c>
      <c r="J13" s="1287" t="str">
        <f ca="1"/>
        <v/>
      </c>
      <c r="K13" s="1288" t="str">
        <f ca="1"/>
        <v xml:space="preserve">Description:
Details:
Aim:
</v>
      </c>
      <c r="L13" s="1287" t="str">
        <f ca="1"/>
        <v/>
      </c>
      <c r="M13" s="1287" t="str">
        <f ca="1"/>
        <v/>
      </c>
      <c r="N13" s="1287"/>
      <c r="O13" s="1323" t="str">
        <f ca="1"/>
        <v/>
      </c>
      <c r="P13" s="1287"/>
      <c r="Q13" s="1290" t="str">
        <f ca="1"/>
        <v/>
      </c>
    </row>
    <row r="14" spans="1:17" ht="114" hidden="1" x14ac:dyDescent="0.45">
      <c r="A14" s="1289">
        <v>1</v>
      </c>
      <c r="B14" s="1285">
        <v>5</v>
      </c>
      <c r="C14" s="1285">
        <v>1</v>
      </c>
      <c r="D14" s="1297">
        <v>13</v>
      </c>
      <c r="E14" s="1299" t="str">
        <f ca="1"/>
        <v/>
      </c>
      <c r="F14" s="1286" t="str">
        <f ca="1"/>
        <v/>
      </c>
      <c r="G14" s="1286" t="str">
        <f ca="1"/>
        <v/>
      </c>
      <c r="H14" s="1301" t="str">
        <f ca="1"/>
        <v/>
      </c>
      <c r="I14" s="1303" t="str">
        <f ca="1"/>
        <v/>
      </c>
      <c r="J14" s="1287" t="str">
        <f ca="1"/>
        <v/>
      </c>
      <c r="K14" s="1288" t="str">
        <f ca="1"/>
        <v xml:space="preserve">Description:
Details:
Aim:
</v>
      </c>
      <c r="L14" s="1287" t="str">
        <f ca="1"/>
        <v/>
      </c>
      <c r="M14" s="1287" t="str">
        <f ca="1"/>
        <v/>
      </c>
      <c r="N14" s="1287"/>
      <c r="O14" s="1323" t="str">
        <f ca="1"/>
        <v/>
      </c>
      <c r="P14" s="1287"/>
      <c r="Q14" s="1290" t="str">
        <f ca="1"/>
        <v/>
      </c>
    </row>
    <row r="15" spans="1:17" ht="27.75" hidden="1" customHeight="1" x14ac:dyDescent="0.45">
      <c r="A15" s="1289">
        <v>1</v>
      </c>
      <c r="B15" s="1285">
        <v>5</v>
      </c>
      <c r="C15" s="1285">
        <v>1.9999999999999991</v>
      </c>
      <c r="D15" s="1297">
        <v>14</v>
      </c>
      <c r="E15" s="1299" t="str">
        <f ca="1"/>
        <v/>
      </c>
      <c r="F15" s="1286" t="str">
        <f ca="1"/>
        <v/>
      </c>
      <c r="G15" s="1286" t="str">
        <f ca="1"/>
        <v/>
      </c>
      <c r="H15" s="1301" t="str">
        <f ca="1"/>
        <v/>
      </c>
      <c r="I15" s="1303" t="str">
        <f ca="1"/>
        <v/>
      </c>
      <c r="J15" s="1287" t="str">
        <f ca="1"/>
        <v/>
      </c>
      <c r="K15" s="1288" t="str">
        <f ca="1"/>
        <v xml:space="preserve">Description:
Details:
Aim:
</v>
      </c>
      <c r="L15" s="1287" t="str">
        <f ca="1"/>
        <v/>
      </c>
      <c r="M15" s="1287" t="str">
        <f ca="1"/>
        <v/>
      </c>
      <c r="N15" s="1287"/>
      <c r="O15" s="1323" t="str">
        <f ca="1"/>
        <v/>
      </c>
      <c r="P15" s="1287"/>
      <c r="Q15" s="1290" t="str">
        <f ca="1"/>
        <v/>
      </c>
    </row>
    <row r="16" spans="1:17" ht="27.75" hidden="1" customHeight="1" x14ac:dyDescent="0.45">
      <c r="A16" s="1289">
        <v>1</v>
      </c>
      <c r="B16" s="1285">
        <v>5</v>
      </c>
      <c r="C16" s="1285">
        <v>3.0000000000000009</v>
      </c>
      <c r="D16" s="1297">
        <v>15</v>
      </c>
      <c r="E16" s="1299" t="str">
        <f ca="1"/>
        <v/>
      </c>
      <c r="F16" s="1286" t="str">
        <f ca="1"/>
        <v/>
      </c>
      <c r="G16" s="1286" t="str">
        <f ca="1"/>
        <v/>
      </c>
      <c r="H16" s="1301" t="str">
        <f ca="1"/>
        <v/>
      </c>
      <c r="I16" s="1303" t="str">
        <f ca="1"/>
        <v/>
      </c>
      <c r="J16" s="1287" t="str">
        <f ca="1"/>
        <v/>
      </c>
      <c r="K16" s="1288" t="str">
        <f ca="1"/>
        <v xml:space="preserve">Description:
Details:
Aim:
</v>
      </c>
      <c r="L16" s="1287" t="str">
        <f ca="1"/>
        <v/>
      </c>
      <c r="M16" s="1287" t="str">
        <f ca="1"/>
        <v/>
      </c>
      <c r="N16" s="1287"/>
      <c r="O16" s="1323" t="str">
        <f ca="1"/>
        <v/>
      </c>
      <c r="P16" s="1287"/>
      <c r="Q16" s="1290" t="str">
        <f ca="1"/>
        <v/>
      </c>
    </row>
    <row r="17" spans="1:17" ht="27.75" hidden="1" customHeight="1" x14ac:dyDescent="0.45">
      <c r="A17" s="1289">
        <v>1</v>
      </c>
      <c r="B17" s="1285">
        <v>6</v>
      </c>
      <c r="C17" s="1285">
        <v>1</v>
      </c>
      <c r="D17" s="1297">
        <v>16</v>
      </c>
      <c r="E17" s="1299" t="str">
        <f ca="1"/>
        <v>Stay at a comfortable and controlled intensity where you should be able to have a conversation without large pauses. Keep an even intensity and accept that your pace may change as the terrain changes.</v>
      </c>
      <c r="F17" s="1286" t="str">
        <f ca="1"/>
        <v>Sport: Road Ride
WU/WD: No 
Effort Total: 50 minutes
HR Target: 138 BPM
HR Range: 129 - 148 BPM 
Flat Road Equivalent Pace: 4:39 min/km</v>
      </c>
      <c r="G17" s="1286" t="str">
        <f ca="1"/>
        <v xml:space="preserve">Improve aerobic fitness while minimising the chance of injury. </v>
      </c>
      <c r="H17" s="1301" t="str">
        <f ca="1"/>
        <v/>
      </c>
      <c r="I17" s="1303" t="str">
        <f ca="1"/>
        <v>Easy road ride: 50 minutes</v>
      </c>
      <c r="J17" s="1287" t="str">
        <f ca="1"/>
        <v>Cycling</v>
      </c>
      <c r="K17"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50 minutes
HR Target: 138 BPM
HR Range: 129 - 148 BPM 
Flat Road Equivalent Pace: 4:39 min/km
Aim:
Improve aerobic fitness while minimising the chance of injury. </v>
      </c>
      <c r="L17" s="1287">
        <f ca="1"/>
        <v>101</v>
      </c>
      <c r="M17" s="1287">
        <f ca="1"/>
        <v>0.83333333333333337</v>
      </c>
      <c r="N17" s="1287"/>
      <c r="O17" s="1323" t="str">
        <f ca="1"/>
        <v>2018-10-03 18:00</v>
      </c>
      <c r="P17" s="1287"/>
      <c r="Q17" s="1290" t="str">
        <f ca="1"/>
        <v>Road Ride</v>
      </c>
    </row>
    <row r="18" spans="1:17" ht="27.75" hidden="1" customHeight="1" x14ac:dyDescent="0.45">
      <c r="A18" s="1289">
        <v>1</v>
      </c>
      <c r="B18" s="1285">
        <v>6</v>
      </c>
      <c r="C18" s="1285">
        <v>1.9999999999999991</v>
      </c>
      <c r="D18" s="1297">
        <v>17</v>
      </c>
      <c r="E18" s="1299" t="str">
        <f ca="1"/>
        <v/>
      </c>
      <c r="F18" s="1286" t="str">
        <f ca="1"/>
        <v/>
      </c>
      <c r="G18" s="1286" t="str">
        <f ca="1"/>
        <v/>
      </c>
      <c r="H18" s="1301" t="str">
        <f ca="1"/>
        <v/>
      </c>
      <c r="I18" s="1303" t="str">
        <f ca="1"/>
        <v/>
      </c>
      <c r="J18" s="1287" t="str">
        <f ca="1"/>
        <v/>
      </c>
      <c r="K18" s="1288" t="str">
        <f ca="1"/>
        <v xml:space="preserve">Description:
Details:
Aim:
</v>
      </c>
      <c r="L18" s="1287" t="str">
        <f ca="1"/>
        <v/>
      </c>
      <c r="M18" s="1287" t="str">
        <f ca="1"/>
        <v/>
      </c>
      <c r="N18" s="1287"/>
      <c r="O18" s="1323" t="str">
        <f ca="1"/>
        <v/>
      </c>
      <c r="P18" s="1287"/>
      <c r="Q18" s="1290" t="str">
        <f ca="1"/>
        <v/>
      </c>
    </row>
    <row r="19" spans="1:17" ht="27.75" hidden="1" customHeight="1" x14ac:dyDescent="0.45">
      <c r="A19" s="1289">
        <v>1</v>
      </c>
      <c r="B19" s="1285">
        <v>6</v>
      </c>
      <c r="C19" s="1285">
        <v>3.0000000000000009</v>
      </c>
      <c r="D19" s="1297">
        <v>18</v>
      </c>
      <c r="E19" s="1299" t="str">
        <f ca="1"/>
        <v/>
      </c>
      <c r="F19" s="1286" t="str">
        <f ca="1"/>
        <v/>
      </c>
      <c r="G19" s="1286" t="str">
        <f ca="1"/>
        <v/>
      </c>
      <c r="H19" s="1301" t="str">
        <f ca="1"/>
        <v/>
      </c>
      <c r="I19" s="1303" t="str">
        <f ca="1"/>
        <v/>
      </c>
      <c r="J19" s="1287" t="str">
        <f ca="1"/>
        <v/>
      </c>
      <c r="K19" s="1288" t="str">
        <f ca="1"/>
        <v xml:space="preserve">Description:
Details:
Aim:
</v>
      </c>
      <c r="L19" s="1287" t="str">
        <f ca="1"/>
        <v/>
      </c>
      <c r="M19" s="1287" t="str">
        <f ca="1"/>
        <v/>
      </c>
      <c r="N19" s="1287"/>
      <c r="O19" s="1323" t="str">
        <f ca="1"/>
        <v/>
      </c>
      <c r="P19" s="1287"/>
      <c r="Q19" s="1290" t="str">
        <f ca="1"/>
        <v/>
      </c>
    </row>
    <row r="20" spans="1:17" ht="27.75" hidden="1" customHeight="1" x14ac:dyDescent="0.45">
      <c r="A20" s="1289">
        <v>1</v>
      </c>
      <c r="B20" s="1285">
        <v>7</v>
      </c>
      <c r="C20" s="1285">
        <v>1</v>
      </c>
      <c r="D20" s="1297">
        <v>19</v>
      </c>
      <c r="E20" s="1299" t="str">
        <f ca="1"/>
        <v>Stay at a comfortable and controlled intensity where you should be able to have a conversation without large pauses. Keep an even intensity and accept that your pace may change as the terrain changes.</v>
      </c>
      <c r="F20" s="1286" t="str">
        <f ca="1"/>
        <v>Sport: Ride
WU/WD: No 
Effort Total: 40 minutes
HR Target: 138 BPM
HR Range: 129 - 148 BPM 
Flat Road Equivalent Pace: 4:39 min/km</v>
      </c>
      <c r="G20" s="1286" t="str">
        <f ca="1"/>
        <v xml:space="preserve">Improve aerobic fitness while minimising the chance of injury. </v>
      </c>
      <c r="H20" s="1301" t="str">
        <f ca="1"/>
        <v/>
      </c>
      <c r="I20" s="1303" t="str">
        <f ca="1"/>
        <v>Easy ride: 40 minutes</v>
      </c>
      <c r="J20" s="1287" t="str">
        <f ca="1"/>
        <v>Cycling</v>
      </c>
      <c r="K2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0" s="1287">
        <f ca="1"/>
        <v>110</v>
      </c>
      <c r="M20" s="1287">
        <f ca="1"/>
        <v>0.66666666666666663</v>
      </c>
      <c r="N20" s="1287"/>
      <c r="O20" s="1323" t="str">
        <f ca="1"/>
        <v>2018-10-04 06:00</v>
      </c>
      <c r="P20" s="1287"/>
      <c r="Q20" s="1290" t="str">
        <f ca="1"/>
        <v>Ride</v>
      </c>
    </row>
    <row r="21" spans="1:17" ht="27.75" hidden="1" customHeight="1" x14ac:dyDescent="0.45">
      <c r="A21" s="1289">
        <v>1</v>
      </c>
      <c r="B21" s="1285">
        <v>7</v>
      </c>
      <c r="C21" s="1285">
        <v>1.9999999999999991</v>
      </c>
      <c r="D21" s="1297">
        <v>20</v>
      </c>
      <c r="E21" s="1299" t="str">
        <f ca="1"/>
        <v/>
      </c>
      <c r="F21" s="1286" t="str">
        <f ca="1"/>
        <v/>
      </c>
      <c r="G21" s="1286" t="str">
        <f ca="1"/>
        <v/>
      </c>
      <c r="H21" s="1301" t="str">
        <f ca="1"/>
        <v/>
      </c>
      <c r="I21" s="1303" t="str">
        <f ca="1"/>
        <v/>
      </c>
      <c r="J21" s="1287" t="str">
        <f ca="1"/>
        <v/>
      </c>
      <c r="K21" s="1288" t="str">
        <f ca="1"/>
        <v xml:space="preserve">Description:
Details:
Aim:
</v>
      </c>
      <c r="L21" s="1287" t="str">
        <f ca="1"/>
        <v/>
      </c>
      <c r="M21" s="1287" t="str">
        <f ca="1"/>
        <v/>
      </c>
      <c r="N21" s="1287"/>
      <c r="O21" s="1323" t="str">
        <f ca="1"/>
        <v/>
      </c>
      <c r="P21" s="1287"/>
      <c r="Q21" s="1290" t="str">
        <f ca="1"/>
        <v/>
      </c>
    </row>
    <row r="22" spans="1:17" ht="27.75" hidden="1" customHeight="1" x14ac:dyDescent="0.45">
      <c r="A22" s="1289">
        <v>1</v>
      </c>
      <c r="B22" s="1285">
        <v>7</v>
      </c>
      <c r="C22" s="1285">
        <v>3.0000000000000009</v>
      </c>
      <c r="D22" s="1297">
        <v>21</v>
      </c>
      <c r="E22" s="1299" t="str">
        <f ca="1"/>
        <v/>
      </c>
      <c r="F22" s="1286" t="str">
        <f ca="1"/>
        <v/>
      </c>
      <c r="G22" s="1286" t="str">
        <f ca="1"/>
        <v/>
      </c>
      <c r="H22" s="1301" t="str">
        <f ca="1"/>
        <v/>
      </c>
      <c r="I22" s="1303" t="str">
        <f ca="1"/>
        <v/>
      </c>
      <c r="J22" s="1287" t="str">
        <f ca="1"/>
        <v/>
      </c>
      <c r="K22" s="1288" t="str">
        <f ca="1"/>
        <v xml:space="preserve">Description:
Details:
Aim:
</v>
      </c>
      <c r="L22" s="1287" t="str">
        <f ca="1"/>
        <v/>
      </c>
      <c r="M22" s="1287" t="str">
        <f ca="1"/>
        <v/>
      </c>
      <c r="N22" s="1287"/>
      <c r="O22" s="1323" t="str">
        <f ca="1"/>
        <v/>
      </c>
      <c r="P22" s="1287"/>
      <c r="Q22" s="1290" t="str">
        <f ca="1"/>
        <v/>
      </c>
    </row>
    <row r="23" spans="1:17" ht="27.75" hidden="1" customHeight="1" x14ac:dyDescent="0.45">
      <c r="A23" s="1289">
        <v>1</v>
      </c>
      <c r="B23" s="1285">
        <v>8</v>
      </c>
      <c r="C23" s="1285">
        <v>1</v>
      </c>
      <c r="D23" s="1297">
        <v>22</v>
      </c>
      <c r="E23" s="1299" t="str">
        <f ca="1"/>
        <v>Stay at a comfortable and controlled intensity where you should be able to have a conversation without large pauses. Keep an even intensity and accept that your pace may change as the terrain changes.</v>
      </c>
      <c r="F23" s="1286" t="str">
        <f ca="1"/>
        <v>Sport: Hilly Trail Run
WU/WD: No 
Effort Total: 80 minutes
HR Target: 148 BPM
HR Range: 138 - 157 BPM 
Flat Road Equivalent Pace: 4:14 min/km</v>
      </c>
      <c r="G23" s="1286" t="str">
        <f ca="1"/>
        <v>Improve aerobic fitness at an optimal rate.</v>
      </c>
      <c r="H23" s="1301" t="str">
        <f ca="1"/>
        <v/>
      </c>
      <c r="I23" s="1303" t="str">
        <f ca="1"/>
        <v>Steady hilly trail run: 80 minutes</v>
      </c>
      <c r="J23" s="1287" t="str">
        <f ca="1"/>
        <v>Trail Running</v>
      </c>
      <c r="K23"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80 minutes
HR Target: 148 BPM
HR Range: 138 - 157 BPM 
Flat Road Equivalent Pace: 4:14 min/km
Aim:
Improve aerobic fitness at an optimal rate.</v>
      </c>
      <c r="L23" s="1287">
        <f ca="1"/>
        <v>3</v>
      </c>
      <c r="M23" s="1287">
        <f ca="1"/>
        <v>1.3333333333333333</v>
      </c>
      <c r="N23" s="1287"/>
      <c r="O23" s="1323" t="str">
        <f ca="1"/>
        <v>2018-10-04 18:00</v>
      </c>
      <c r="P23" s="1287"/>
      <c r="Q23" s="1290" t="str">
        <f ca="1"/>
        <v>Hilly Trail Run</v>
      </c>
    </row>
    <row r="24" spans="1:17" ht="27.75" hidden="1" customHeight="1" x14ac:dyDescent="0.45">
      <c r="A24" s="1289">
        <v>1</v>
      </c>
      <c r="B24" s="1285">
        <v>8</v>
      </c>
      <c r="C24" s="1285">
        <v>1.9999999999999991</v>
      </c>
      <c r="D24" s="1297">
        <v>23</v>
      </c>
      <c r="E24" s="1299" t="str">
        <f ca="1"/>
        <v/>
      </c>
      <c r="F24" s="1286" t="str">
        <f ca="1"/>
        <v/>
      </c>
      <c r="G24" s="1286" t="str">
        <f ca="1"/>
        <v/>
      </c>
      <c r="H24" s="1301" t="str">
        <f ca="1"/>
        <v/>
      </c>
      <c r="I24" s="1303" t="str">
        <f ca="1"/>
        <v/>
      </c>
      <c r="J24" s="1287" t="str">
        <f ca="1"/>
        <v/>
      </c>
      <c r="K24" s="1288" t="str">
        <f ca="1"/>
        <v xml:space="preserve">Description:
Details:
Aim:
</v>
      </c>
      <c r="L24" s="1287" t="str">
        <f ca="1"/>
        <v/>
      </c>
      <c r="M24" s="1287" t="str">
        <f ca="1"/>
        <v/>
      </c>
      <c r="N24" s="1287"/>
      <c r="O24" s="1323" t="str">
        <f ca="1"/>
        <v/>
      </c>
      <c r="P24" s="1287"/>
      <c r="Q24" s="1290" t="str">
        <f ca="1"/>
        <v/>
      </c>
    </row>
    <row r="25" spans="1:17" ht="27.75" hidden="1" customHeight="1" x14ac:dyDescent="0.45">
      <c r="A25" s="1289">
        <v>1</v>
      </c>
      <c r="B25" s="1285">
        <v>8</v>
      </c>
      <c r="C25" s="1285">
        <v>3.0000000000000009</v>
      </c>
      <c r="D25" s="1297">
        <v>24.000000000000004</v>
      </c>
      <c r="E25" s="1299" t="str">
        <f ca="1"/>
        <v/>
      </c>
      <c r="F25" s="1286" t="str">
        <f ca="1"/>
        <v/>
      </c>
      <c r="G25" s="1286" t="str">
        <f ca="1"/>
        <v/>
      </c>
      <c r="H25" s="1301" t="str">
        <f ca="1"/>
        <v/>
      </c>
      <c r="I25" s="1303" t="str">
        <f ca="1"/>
        <v/>
      </c>
      <c r="J25" s="1287" t="str">
        <f ca="1"/>
        <v/>
      </c>
      <c r="K25" s="1288" t="str">
        <f ca="1"/>
        <v xml:space="preserve">Description:
Details:
Aim:
</v>
      </c>
      <c r="L25" s="1287" t="str">
        <f ca="1"/>
        <v/>
      </c>
      <c r="M25" s="1287" t="str">
        <f ca="1"/>
        <v/>
      </c>
      <c r="N25" s="1287"/>
      <c r="O25" s="1323" t="str">
        <f ca="1"/>
        <v/>
      </c>
      <c r="P25" s="1287"/>
      <c r="Q25" s="1290" t="str">
        <f ca="1"/>
        <v/>
      </c>
    </row>
    <row r="26" spans="1:17" ht="27.75" hidden="1" customHeight="1" x14ac:dyDescent="0.45">
      <c r="A26" s="1289">
        <v>1</v>
      </c>
      <c r="B26" s="1285">
        <v>9</v>
      </c>
      <c r="C26" s="1285">
        <v>1</v>
      </c>
      <c r="D26" s="1297">
        <v>25</v>
      </c>
      <c r="E26" s="1299" t="str">
        <f ca="1"/>
        <v>Stay at a comfortable and controlled intensity where you should be able to have a conversation without large pauses. Keep an even intensity and accept that your pace may change as the terrain changes.</v>
      </c>
      <c r="F26" s="1286" t="str">
        <f ca="1"/>
        <v>Sport: Ride
WU/WD: No 
Effort Total: 40 minutes
HR Target: 138 BPM
HR Range: 129 - 148 BPM 
Flat Road Equivalent Pace: 4:39 min/km</v>
      </c>
      <c r="G26" s="1286" t="str">
        <f ca="1"/>
        <v xml:space="preserve">Improve aerobic fitness while minimising the chance of injury. </v>
      </c>
      <c r="H26" s="1301" t="str">
        <f ca="1"/>
        <v/>
      </c>
      <c r="I26" s="1303" t="str">
        <f ca="1"/>
        <v>Easy ride: 40 minutes</v>
      </c>
      <c r="J26" s="1287" t="str">
        <f ca="1"/>
        <v>Cycling</v>
      </c>
      <c r="K2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6" s="1287">
        <f ca="1"/>
        <v>110</v>
      </c>
      <c r="M26" s="1287">
        <f ca="1"/>
        <v>0.66666666666666663</v>
      </c>
      <c r="N26" s="1287"/>
      <c r="O26" s="1323" t="str">
        <f ca="1"/>
        <v>2018-10-05 06:00</v>
      </c>
      <c r="P26" s="1287"/>
      <c r="Q26" s="1290" t="str">
        <f ca="1"/>
        <v>Ride</v>
      </c>
    </row>
    <row r="27" spans="1:17" ht="27.75" hidden="1" customHeight="1" x14ac:dyDescent="0.45">
      <c r="A27" s="1289">
        <v>1</v>
      </c>
      <c r="B27" s="1285">
        <v>9</v>
      </c>
      <c r="C27" s="1285">
        <v>2.0000000000000018</v>
      </c>
      <c r="D27" s="1297">
        <v>26</v>
      </c>
      <c r="E27" s="1299" t="str">
        <f ca="1"/>
        <v/>
      </c>
      <c r="F27" s="1286" t="str">
        <f ca="1"/>
        <v/>
      </c>
      <c r="G27" s="1286" t="str">
        <f ca="1"/>
        <v/>
      </c>
      <c r="H27" s="1301" t="str">
        <f ca="1"/>
        <v/>
      </c>
      <c r="I27" s="1303" t="str">
        <f ca="1"/>
        <v/>
      </c>
      <c r="J27" s="1287" t="str">
        <f ca="1"/>
        <v/>
      </c>
      <c r="K27" s="1288" t="str">
        <f ca="1"/>
        <v xml:space="preserve">Description:
Details:
Aim:
</v>
      </c>
      <c r="L27" s="1287" t="str">
        <f ca="1"/>
        <v/>
      </c>
      <c r="M27" s="1287" t="str">
        <f ca="1"/>
        <v/>
      </c>
      <c r="N27" s="1287"/>
      <c r="O27" s="1323" t="str">
        <f ca="1"/>
        <v/>
      </c>
      <c r="P27" s="1287"/>
      <c r="Q27" s="1290" t="str">
        <f ca="1"/>
        <v/>
      </c>
    </row>
    <row r="28" spans="1:17" ht="27.75" hidden="1" customHeight="1" x14ac:dyDescent="0.45">
      <c r="A28" s="1289">
        <v>1</v>
      </c>
      <c r="B28" s="1285">
        <v>9</v>
      </c>
      <c r="C28" s="1285">
        <v>2.9999999999999982</v>
      </c>
      <c r="D28" s="1297">
        <v>27</v>
      </c>
      <c r="E28" s="1299" t="str">
        <f ca="1"/>
        <v/>
      </c>
      <c r="F28" s="1286" t="str">
        <f ca="1"/>
        <v/>
      </c>
      <c r="G28" s="1286" t="str">
        <f ca="1"/>
        <v/>
      </c>
      <c r="H28" s="1301" t="str">
        <f ca="1"/>
        <v/>
      </c>
      <c r="I28" s="1303" t="str">
        <f ca="1"/>
        <v/>
      </c>
      <c r="J28" s="1287" t="str">
        <f ca="1"/>
        <v/>
      </c>
      <c r="K28" s="1288" t="str">
        <f ca="1"/>
        <v xml:space="preserve">Description:
Details:
Aim:
</v>
      </c>
      <c r="L28" s="1287" t="str">
        <f ca="1"/>
        <v/>
      </c>
      <c r="M28" s="1287" t="str">
        <f ca="1"/>
        <v/>
      </c>
      <c r="N28" s="1287"/>
      <c r="O28" s="1323" t="str">
        <f ca="1"/>
        <v/>
      </c>
      <c r="P28" s="1287"/>
      <c r="Q28" s="1290" t="str">
        <f ca="1"/>
        <v/>
      </c>
    </row>
    <row r="29" spans="1:17" ht="27.75" hidden="1" customHeight="1" x14ac:dyDescent="0.45">
      <c r="A29" s="1289">
        <v>1</v>
      </c>
      <c r="B29" s="1285">
        <v>10</v>
      </c>
      <c r="C29" s="1285">
        <v>1</v>
      </c>
      <c r="D29" s="1297">
        <v>28.000000000000004</v>
      </c>
      <c r="E29" s="1299" t="str">
        <f ca="1"/>
        <v>Perform a variety of specialised exercises to engage specific muscles. These sessions must be learned with a coach first but are relatively easy to continue with on your own. Demonstrate control and focus on posture and muscle activation.</v>
      </c>
      <c r="F29" s="1286" t="str">
        <f ca="1"/>
        <v>Sport: Indoor
WU/WD: No 
Effort Total: 30 minutes
HR Target: N/A BPM
HR Range: N/A BPM 
Flat Road Equivalent Pace:  min/km</v>
      </c>
      <c r="G29" s="1286" t="str">
        <f ca="1"/>
        <v xml:space="preserve">Increase strength of specific muscle groups, running economy and injury resistance. </v>
      </c>
      <c r="H29" s="1301" t="str">
        <f ca="1"/>
        <v/>
      </c>
      <c r="I29" s="1303" t="str">
        <f ca="1"/>
        <v>Strength and conditioning</v>
      </c>
      <c r="J29" s="1287" t="str">
        <f ca="1"/>
        <v>Strength</v>
      </c>
      <c r="K29"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29" s="1287">
        <f ca="1"/>
        <v>76</v>
      </c>
      <c r="M29" s="1287">
        <f ca="1"/>
        <v>0.5</v>
      </c>
      <c r="N29" s="1287"/>
      <c r="O29" s="1323" t="str">
        <f ca="1"/>
        <v>2018-10-05 18:00</v>
      </c>
      <c r="P29" s="1287"/>
      <c r="Q29" s="1290" t="str">
        <f ca="1"/>
        <v>Indoor</v>
      </c>
    </row>
    <row r="30" spans="1:17" ht="27.75" hidden="1" customHeight="1" x14ac:dyDescent="0.45">
      <c r="A30" s="1289">
        <v>1</v>
      </c>
      <c r="B30" s="1285">
        <v>10</v>
      </c>
      <c r="C30" s="1285">
        <v>2.0000000000000018</v>
      </c>
      <c r="D30" s="1297">
        <v>29</v>
      </c>
      <c r="E30" s="1299" t="str">
        <f ca="1"/>
        <v>Use a hands, rollers, or balls on all major muscle groups with extra time on more sensitive or problematic areas or as guided by a coach or physio. Finish with 20 minutes of lower-limb stretching.</v>
      </c>
      <c r="F30" s="1286" t="str">
        <f ca="1"/>
        <v>Sport: Indoor
WU/WD: No 
Effort Total: 30 minutes
HR Target: N/A BPM
HR Range: N/A BPM 
Flat Road Equivalent Pace:  min/km</v>
      </c>
      <c r="G30" s="1286" t="str">
        <f ca="1"/>
        <v xml:space="preserve">Release tension that develops in soft tissue from training and non-training stresses. </v>
      </c>
      <c r="H30" s="1301" t="str">
        <f ca="1"/>
        <v/>
      </c>
      <c r="I30" s="1303" t="str">
        <f ca="1"/>
        <v>Maintenance</v>
      </c>
      <c r="J30" s="1287" t="str">
        <f ca="1"/>
        <v>Strength</v>
      </c>
      <c r="K3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0" s="1287">
        <f ca="1"/>
        <v>76</v>
      </c>
      <c r="M30" s="1287">
        <f ca="1"/>
        <v>0.5</v>
      </c>
      <c r="N30" s="1287"/>
      <c r="O30" s="1323" t="str">
        <f ca="1"/>
        <v>2018-10-05 20:00</v>
      </c>
      <c r="P30" s="1287"/>
      <c r="Q30" s="1290" t="str">
        <f ca="1"/>
        <v>Indoor</v>
      </c>
    </row>
    <row r="31" spans="1:17" ht="27.75" hidden="1" customHeight="1" x14ac:dyDescent="0.45">
      <c r="A31" s="1289">
        <v>1</v>
      </c>
      <c r="B31" s="1285">
        <v>10</v>
      </c>
      <c r="C31" s="1285">
        <v>2.9999999999999982</v>
      </c>
      <c r="D31" s="1297">
        <v>30</v>
      </c>
      <c r="E31" s="1299" t="str">
        <f ca="1"/>
        <v/>
      </c>
      <c r="F31" s="1286" t="str">
        <f ca="1"/>
        <v/>
      </c>
      <c r="G31" s="1286" t="str">
        <f ca="1"/>
        <v/>
      </c>
      <c r="H31" s="1301" t="str">
        <f ca="1"/>
        <v/>
      </c>
      <c r="I31" s="1303" t="str">
        <f ca="1"/>
        <v/>
      </c>
      <c r="J31" s="1287" t="str">
        <f ca="1"/>
        <v/>
      </c>
      <c r="K31" s="1288" t="str">
        <f ca="1"/>
        <v xml:space="preserve">Description:
Details:
Aim:
</v>
      </c>
      <c r="L31" s="1287" t="str">
        <f ca="1"/>
        <v/>
      </c>
      <c r="M31" s="1287" t="str">
        <f ca="1"/>
        <v/>
      </c>
      <c r="N31" s="1287"/>
      <c r="O31" s="1323" t="str">
        <f ca="1"/>
        <v/>
      </c>
      <c r="P31" s="1287"/>
      <c r="Q31" s="1290" t="str">
        <f ca="1"/>
        <v/>
      </c>
    </row>
    <row r="32" spans="1:17" ht="27.75" hidden="1" customHeight="1" x14ac:dyDescent="0.45">
      <c r="A32" s="1289">
        <v>1</v>
      </c>
      <c r="B32" s="1285">
        <v>11</v>
      </c>
      <c r="C32" s="1285">
        <v>1</v>
      </c>
      <c r="D32" s="1297">
        <v>31</v>
      </c>
      <c r="E32" s="1299" t="str">
        <f ca="1"/>
        <v>Perform a variety of specialised exercises to engage specific muscles and apply them in functional movements. These sessions must be learned with a coach first. Warm up and warm down for 10 minutes each.</v>
      </c>
      <c r="F32" s="1286" t="str">
        <f ca="1"/>
        <v>Sport: Run
WU/WD: 15 minutes 
Effort Total: 30 minutes
HR Target: 148 BPM
HR Range: 129 - 169 BPM 
Flat Road Equivalent Pace: 4:14 min/km</v>
      </c>
      <c r="G32" s="1286" t="str">
        <f ca="1"/>
        <v xml:space="preserve">Improve running economy and injury resistance. </v>
      </c>
      <c r="H32" s="1301" t="str">
        <f ca="1"/>
        <v/>
      </c>
      <c r="I32" s="1303" t="str">
        <f ca="1"/>
        <v>Drills + WU/WD</v>
      </c>
      <c r="J32" s="1287" t="str">
        <f ca="1"/>
        <v>Running</v>
      </c>
      <c r="K32"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32" s="1287">
        <f ca="1"/>
        <v>70</v>
      </c>
      <c r="M32" s="1287">
        <f ca="1"/>
        <v>0.5</v>
      </c>
      <c r="N32" s="1287"/>
      <c r="O32" s="1323" t="str">
        <f ca="1"/>
        <v>2018-10-06 06:00</v>
      </c>
      <c r="P32" s="1287"/>
      <c r="Q32" s="1290" t="str">
        <f ca="1"/>
        <v>Run</v>
      </c>
    </row>
    <row r="33" spans="1:17" ht="27.75" hidden="1" customHeight="1" x14ac:dyDescent="0.45">
      <c r="A33" s="1289">
        <v>1</v>
      </c>
      <c r="B33" s="1285">
        <v>11</v>
      </c>
      <c r="C33" s="1285">
        <v>2.0000000000000018</v>
      </c>
      <c r="D33" s="1297">
        <v>32</v>
      </c>
      <c r="E33" s="1299" t="str">
        <f ca="1"/>
        <v/>
      </c>
      <c r="F33" s="1286" t="str">
        <f ca="1"/>
        <v/>
      </c>
      <c r="G33" s="1286" t="str">
        <f ca="1"/>
        <v/>
      </c>
      <c r="H33" s="1301" t="str">
        <f ca="1"/>
        <v/>
      </c>
      <c r="I33" s="1303" t="str">
        <f ca="1"/>
        <v/>
      </c>
      <c r="J33" s="1287" t="str">
        <f ca="1"/>
        <v/>
      </c>
      <c r="K33" s="1288" t="str">
        <f ca="1"/>
        <v xml:space="preserve">Description:
Details:
Aim:
</v>
      </c>
      <c r="L33" s="1287" t="str">
        <f ca="1"/>
        <v/>
      </c>
      <c r="M33" s="1287" t="str">
        <f ca="1"/>
        <v/>
      </c>
      <c r="N33" s="1287"/>
      <c r="O33" s="1323" t="str">
        <f ca="1"/>
        <v/>
      </c>
      <c r="P33" s="1287"/>
      <c r="Q33" s="1290" t="str">
        <f ca="1"/>
        <v/>
      </c>
    </row>
    <row r="34" spans="1:17" ht="27.75" hidden="1" customHeight="1" x14ac:dyDescent="0.45">
      <c r="A34" s="1289">
        <v>1</v>
      </c>
      <c r="B34" s="1285">
        <v>11</v>
      </c>
      <c r="C34" s="1285">
        <v>2.9999999999999982</v>
      </c>
      <c r="D34" s="1297">
        <v>33</v>
      </c>
      <c r="E34" s="1299" t="str">
        <f ca="1"/>
        <v/>
      </c>
      <c r="F34" s="1286" t="str">
        <f ca="1"/>
        <v/>
      </c>
      <c r="G34" s="1286" t="str">
        <f ca="1"/>
        <v/>
      </c>
      <c r="H34" s="1301" t="str">
        <f ca="1"/>
        <v/>
      </c>
      <c r="I34" s="1303" t="str">
        <f ca="1"/>
        <v/>
      </c>
      <c r="J34" s="1287" t="str">
        <f ca="1"/>
        <v/>
      </c>
      <c r="K34" s="1288" t="str">
        <f ca="1"/>
        <v xml:space="preserve">Description:
Details:
Aim:
</v>
      </c>
      <c r="L34" s="1287" t="str">
        <f ca="1"/>
        <v/>
      </c>
      <c r="M34" s="1287" t="str">
        <f ca="1"/>
        <v/>
      </c>
      <c r="N34" s="1287"/>
      <c r="O34" s="1323" t="str">
        <f ca="1"/>
        <v/>
      </c>
      <c r="P34" s="1287"/>
      <c r="Q34" s="1290" t="str">
        <f ca="1"/>
        <v/>
      </c>
    </row>
    <row r="35" spans="1:17" ht="27.75" hidden="1" customHeight="1" x14ac:dyDescent="0.45">
      <c r="A35" s="1289">
        <v>1</v>
      </c>
      <c r="B35" s="1285">
        <v>12</v>
      </c>
      <c r="C35" s="1285">
        <v>1</v>
      </c>
      <c r="D35" s="1297">
        <v>34</v>
      </c>
      <c r="E35" s="1299" t="str">
        <f ca="1"/>
        <v>Stay at a comfortable and controlled intensity where you should be able to have a conversation without large pauses. Keep an even intensity and accept that your pace may change as the terrain changes.</v>
      </c>
      <c r="F35" s="1286" t="str">
        <f ca="1"/>
        <v>Sport: Run
WU/WD: No 
Effort Total: 55 minutes
HR Target: 138 BPM
HR Range: 129 - 148 BPM 
Flat Road Equivalent Pace: 4:39 min/km</v>
      </c>
      <c r="G35" s="1286" t="str">
        <f ca="1"/>
        <v xml:space="preserve">Improve aerobic fitness while minimising the chance of injury. </v>
      </c>
      <c r="H35" s="1301" t="str">
        <f ca="1"/>
        <v/>
      </c>
      <c r="I35" s="1303" t="str">
        <f ca="1"/>
        <v>Easy run: 55 minutes</v>
      </c>
      <c r="J35" s="1287" t="str">
        <f ca="1"/>
        <v>Running</v>
      </c>
      <c r="K35"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55 minutes
HR Target: 138 BPM
HR Range: 129 - 148 BPM 
Flat Road Equivalent Pace: 4:39 min/km
Aim:
Improve aerobic fitness while minimising the chance of injury. </v>
      </c>
      <c r="L35" s="1287">
        <f ca="1"/>
        <v>2</v>
      </c>
      <c r="M35" s="1287">
        <f ca="1"/>
        <v>0.91666666666666663</v>
      </c>
      <c r="N35" s="1287"/>
      <c r="O35" s="1323" t="str">
        <f ca="1"/>
        <v>2018-10-06 18:00</v>
      </c>
      <c r="P35" s="1287"/>
      <c r="Q35" s="1290" t="str">
        <f ca="1"/>
        <v>Run</v>
      </c>
    </row>
    <row r="36" spans="1:17" ht="27.75" hidden="1" customHeight="1" x14ac:dyDescent="0.45">
      <c r="A36" s="1289">
        <v>1</v>
      </c>
      <c r="B36" s="1285">
        <v>12</v>
      </c>
      <c r="C36" s="1285">
        <v>2.0000000000000018</v>
      </c>
      <c r="D36" s="1297">
        <v>35</v>
      </c>
      <c r="E36" s="1299" t="str">
        <f ca="1"/>
        <v/>
      </c>
      <c r="F36" s="1286" t="str">
        <f ca="1"/>
        <v/>
      </c>
      <c r="G36" s="1286" t="str">
        <f ca="1"/>
        <v/>
      </c>
      <c r="H36" s="1301" t="str">
        <f ca="1"/>
        <v/>
      </c>
      <c r="I36" s="1303" t="str">
        <f ca="1"/>
        <v/>
      </c>
      <c r="J36" s="1287" t="str">
        <f ca="1"/>
        <v/>
      </c>
      <c r="K36" s="1288" t="str">
        <f ca="1"/>
        <v xml:space="preserve">Description:
Details:
Aim:
</v>
      </c>
      <c r="L36" s="1287" t="str">
        <f ca="1"/>
        <v/>
      </c>
      <c r="M36" s="1287" t="str">
        <f ca="1"/>
        <v/>
      </c>
      <c r="N36" s="1287"/>
      <c r="O36" s="1323" t="str">
        <f ca="1"/>
        <v/>
      </c>
      <c r="P36" s="1287"/>
      <c r="Q36" s="1290" t="str">
        <f ca="1"/>
        <v/>
      </c>
    </row>
    <row r="37" spans="1:17" ht="27.75" hidden="1" customHeight="1" x14ac:dyDescent="0.45">
      <c r="A37" s="1289">
        <v>1</v>
      </c>
      <c r="B37" s="1285">
        <v>12</v>
      </c>
      <c r="C37" s="1285">
        <v>2.9999999999999982</v>
      </c>
      <c r="D37" s="1297">
        <v>36</v>
      </c>
      <c r="E37" s="1299" t="str">
        <f ca="1"/>
        <v/>
      </c>
      <c r="F37" s="1286" t="str">
        <f ca="1"/>
        <v/>
      </c>
      <c r="G37" s="1286" t="str">
        <f ca="1"/>
        <v/>
      </c>
      <c r="H37" s="1301" t="str">
        <f ca="1"/>
        <v/>
      </c>
      <c r="I37" s="1303" t="str">
        <f ca="1"/>
        <v/>
      </c>
      <c r="J37" s="1287" t="str">
        <f ca="1"/>
        <v/>
      </c>
      <c r="K37" s="1288" t="str">
        <f ca="1"/>
        <v xml:space="preserve">Description:
Details:
Aim:
</v>
      </c>
      <c r="L37" s="1287" t="str">
        <f ca="1"/>
        <v/>
      </c>
      <c r="M37" s="1287" t="str">
        <f ca="1"/>
        <v/>
      </c>
      <c r="N37" s="1287"/>
      <c r="O37" s="1323" t="str">
        <f ca="1"/>
        <v/>
      </c>
      <c r="P37" s="1287"/>
      <c r="Q37" s="1290" t="str">
        <f ca="1"/>
        <v/>
      </c>
    </row>
    <row r="38" spans="1:17" ht="27.75" hidden="1" customHeight="1" x14ac:dyDescent="0.45">
      <c r="A38" s="1289">
        <v>1</v>
      </c>
      <c r="B38" s="1285">
        <v>13</v>
      </c>
      <c r="C38" s="1285">
        <v>1</v>
      </c>
      <c r="D38" s="1297">
        <v>37</v>
      </c>
      <c r="E38" s="1299" t="str">
        <f ca="1"/>
        <v xml:space="preserve">Fundamentally a steady, but you can be less strict at controlling your intensity as long as your average intensity is close to it's target by the end of the session </v>
      </c>
      <c r="F38" s="1286" t="str">
        <f ca="1"/>
        <v>Sport: Ride
WU/WD: No 
Effort Total: 135 minutes
HR Target: 148 BPM
HR Range: 129 - 169 BPM 
Flat Road Equivalent Pace: 4:14 min/km</v>
      </c>
      <c r="G38" s="1286" t="str">
        <f ca="1"/>
        <v xml:space="preserve">Improve aerobic fitness and energy utilisation. </v>
      </c>
      <c r="H38" s="1301" t="str">
        <f ca="1"/>
        <v/>
      </c>
      <c r="I38" s="1303" t="str">
        <f ca="1"/>
        <v>Long ride: 135 minutes</v>
      </c>
      <c r="J38" s="1287" t="str">
        <f ca="1"/>
        <v>Cycling</v>
      </c>
      <c r="K38" s="1288" t="str">
        <f ca="1"/>
        <v xml:space="preserve">Description:
Fundamentally a steady, but you can be less strict at controlling your intensity as long as your average intensity is close to it's target by the end of the session 
Details:
Sport: Ride
WU/WD: No 
Effort Total: 135 minutes
HR Target: 148 BPM
HR Range: 129 - 169 BPM 
Flat Road Equivalent Pace: 4:14 min/km
Aim:
Improve aerobic fitness and energy utilisation. </v>
      </c>
      <c r="L38" s="1287">
        <f ca="1"/>
        <v>104</v>
      </c>
      <c r="M38" s="1287">
        <f ca="1"/>
        <v>2.25</v>
      </c>
      <c r="N38" s="1287"/>
      <c r="O38" s="1323" t="str">
        <f ca="1"/>
        <v>2018-10-07 06:00</v>
      </c>
      <c r="P38" s="1287"/>
      <c r="Q38" s="1290" t="str">
        <f ca="1"/>
        <v>Ride</v>
      </c>
    </row>
    <row r="39" spans="1:17" ht="27.75" hidden="1" customHeight="1" x14ac:dyDescent="0.45">
      <c r="A39" s="1289">
        <v>1</v>
      </c>
      <c r="B39" s="1285">
        <v>13</v>
      </c>
      <c r="C39" s="1285">
        <v>2.0000000000000018</v>
      </c>
      <c r="D39" s="1297">
        <v>38</v>
      </c>
      <c r="E39" s="1299" t="str">
        <f ca="1"/>
        <v/>
      </c>
      <c r="F39" s="1286" t="str">
        <f ca="1"/>
        <v/>
      </c>
      <c r="G39" s="1286" t="str">
        <f ca="1"/>
        <v/>
      </c>
      <c r="H39" s="1301" t="str">
        <f ca="1"/>
        <v/>
      </c>
      <c r="I39" s="1303" t="str">
        <f ca="1"/>
        <v/>
      </c>
      <c r="J39" s="1287" t="str">
        <f ca="1"/>
        <v/>
      </c>
      <c r="K39" s="1288" t="str">
        <f ca="1"/>
        <v xml:space="preserve">Description:
Details:
Aim:
</v>
      </c>
      <c r="L39" s="1287" t="str">
        <f ca="1"/>
        <v/>
      </c>
      <c r="M39" s="1287" t="str">
        <f ca="1"/>
        <v/>
      </c>
      <c r="N39" s="1287"/>
      <c r="O39" s="1323" t="str">
        <f ca="1"/>
        <v/>
      </c>
      <c r="P39" s="1287"/>
      <c r="Q39" s="1290" t="str">
        <f ca="1"/>
        <v/>
      </c>
    </row>
    <row r="40" spans="1:17" ht="27.75" hidden="1" customHeight="1" x14ac:dyDescent="0.45">
      <c r="A40" s="1289">
        <v>1</v>
      </c>
      <c r="B40" s="1285">
        <v>13</v>
      </c>
      <c r="C40" s="1285">
        <v>2.9999999999999982</v>
      </c>
      <c r="D40" s="1297">
        <v>39</v>
      </c>
      <c r="E40" s="1299" t="str">
        <f ca="1"/>
        <v/>
      </c>
      <c r="F40" s="1286" t="str">
        <f ca="1"/>
        <v/>
      </c>
      <c r="G40" s="1286" t="str">
        <f ca="1"/>
        <v/>
      </c>
      <c r="H40" s="1301" t="str">
        <f ca="1"/>
        <v/>
      </c>
      <c r="I40" s="1303" t="str">
        <f ca="1"/>
        <v/>
      </c>
      <c r="J40" s="1287" t="str">
        <f ca="1"/>
        <v/>
      </c>
      <c r="K40" s="1288" t="str">
        <f ca="1"/>
        <v xml:space="preserve">Description:
Details:
Aim:
</v>
      </c>
      <c r="L40" s="1287" t="str">
        <f ca="1"/>
        <v/>
      </c>
      <c r="M40" s="1287" t="str">
        <f ca="1"/>
        <v/>
      </c>
      <c r="N40" s="1287"/>
      <c r="O40" s="1323" t="str">
        <f ca="1"/>
        <v/>
      </c>
      <c r="P40" s="1287"/>
      <c r="Q40" s="1290" t="str">
        <f ca="1"/>
        <v/>
      </c>
    </row>
    <row r="41" spans="1:17" ht="27.75" hidden="1" customHeight="1" x14ac:dyDescent="0.45">
      <c r="A41" s="1289">
        <v>1</v>
      </c>
      <c r="B41" s="1285">
        <v>14</v>
      </c>
      <c r="C41" s="1285">
        <v>1</v>
      </c>
      <c r="D41" s="1297">
        <v>40</v>
      </c>
      <c r="E41" s="1299" t="str">
        <f ca="1"/>
        <v/>
      </c>
      <c r="F41" s="1286" t="str">
        <f ca="1"/>
        <v/>
      </c>
      <c r="G41" s="1286" t="str">
        <f ca="1"/>
        <v/>
      </c>
      <c r="H41" s="1301" t="str">
        <f ca="1"/>
        <v/>
      </c>
      <c r="I41" s="1303" t="str">
        <f ca="1"/>
        <v/>
      </c>
      <c r="J41" s="1287" t="str">
        <f ca="1"/>
        <v/>
      </c>
      <c r="K41" s="1288" t="str">
        <f ca="1"/>
        <v xml:space="preserve">Description:
Details:
Aim:
</v>
      </c>
      <c r="L41" s="1287" t="str">
        <f ca="1"/>
        <v/>
      </c>
      <c r="M41" s="1287" t="str">
        <f ca="1"/>
        <v/>
      </c>
      <c r="N41" s="1287"/>
      <c r="O41" s="1323" t="str">
        <f ca="1"/>
        <v/>
      </c>
      <c r="P41" s="1287"/>
      <c r="Q41" s="1290" t="str">
        <f ca="1"/>
        <v/>
      </c>
    </row>
    <row r="42" spans="1:17" ht="27.75" hidden="1" customHeight="1" x14ac:dyDescent="0.45">
      <c r="A42" s="1289">
        <v>1</v>
      </c>
      <c r="B42" s="1285">
        <v>14</v>
      </c>
      <c r="C42" s="1285">
        <v>2.0000000000000018</v>
      </c>
      <c r="D42" s="1297">
        <v>41</v>
      </c>
      <c r="E42" s="1299" t="str">
        <f ca="1"/>
        <v/>
      </c>
      <c r="F42" s="1286" t="str">
        <f ca="1"/>
        <v/>
      </c>
      <c r="G42" s="1286" t="str">
        <f ca="1"/>
        <v/>
      </c>
      <c r="H42" s="1301" t="str">
        <f ca="1"/>
        <v/>
      </c>
      <c r="I42" s="1303" t="str">
        <f ca="1"/>
        <v/>
      </c>
      <c r="J42" s="1287" t="str">
        <f ca="1"/>
        <v/>
      </c>
      <c r="K42" s="1288" t="str">
        <f ca="1"/>
        <v xml:space="preserve">Description:
Details:
Aim:
</v>
      </c>
      <c r="L42" s="1287" t="str">
        <f ca="1"/>
        <v/>
      </c>
      <c r="M42" s="1287" t="str">
        <f ca="1"/>
        <v/>
      </c>
      <c r="N42" s="1287"/>
      <c r="O42" s="1323" t="str">
        <f ca="1"/>
        <v/>
      </c>
      <c r="P42" s="1287"/>
      <c r="Q42" s="1290" t="str">
        <f ca="1"/>
        <v/>
      </c>
    </row>
    <row r="43" spans="1:17" ht="27.75" hidden="1" customHeight="1" x14ac:dyDescent="0.45">
      <c r="A43" s="1289">
        <v>1</v>
      </c>
      <c r="B43" s="1285">
        <v>14</v>
      </c>
      <c r="C43" s="1285">
        <v>2.9999999999999982</v>
      </c>
      <c r="D43" s="1297">
        <v>42</v>
      </c>
      <c r="E43" s="1299" t="str">
        <f ca="1"/>
        <v/>
      </c>
      <c r="F43" s="1286" t="str">
        <f ca="1"/>
        <v/>
      </c>
      <c r="G43" s="1286" t="str">
        <f ca="1"/>
        <v/>
      </c>
      <c r="H43" s="1301" t="str">
        <f ca="1"/>
        <v/>
      </c>
      <c r="I43" s="1303" t="str">
        <f ca="1"/>
        <v/>
      </c>
      <c r="J43" s="1287" t="str">
        <f ca="1"/>
        <v/>
      </c>
      <c r="K43" s="1288" t="str">
        <f ca="1"/>
        <v xml:space="preserve">Description:
Details:
Aim:
</v>
      </c>
      <c r="L43" s="1287" t="str">
        <f ca="1"/>
        <v/>
      </c>
      <c r="M43" s="1287" t="str">
        <f ca="1"/>
        <v/>
      </c>
      <c r="N43" s="1287"/>
      <c r="O43" s="1323" t="str">
        <f ca="1"/>
        <v/>
      </c>
      <c r="P43" s="1287"/>
      <c r="Q43" s="1290" t="str">
        <f ca="1"/>
        <v/>
      </c>
    </row>
    <row r="44" spans="1:17" ht="27.75" hidden="1" customHeight="1" x14ac:dyDescent="0.45">
      <c r="A44" s="1289">
        <v>2</v>
      </c>
      <c r="B44" s="1285">
        <v>1</v>
      </c>
      <c r="C44" s="1285">
        <v>1</v>
      </c>
      <c r="D44" s="1297">
        <v>1</v>
      </c>
      <c r="E44" s="1299" t="str">
        <f ca="1"/>
        <v>Stay at a comfortable and controlled intensity where you should be able to have a conversation without large pauses. Keep an even intensity and accept that your pace may change as the terrain changes.</v>
      </c>
      <c r="F44" s="1286" t="str">
        <f ca="1"/>
        <v>Sport: Ride
WU/WD: No 
Effort Total: 40 minutes
HR Target: 138 BPM
HR Range: 129 - 148 BPM 
Flat Road Equivalent Pace: 4:39 min/km</v>
      </c>
      <c r="G44" s="1286" t="str">
        <f ca="1"/>
        <v xml:space="preserve">Improve aerobic fitness while minimising the chance of injury. </v>
      </c>
      <c r="H44" s="1301" t="str">
        <f ca="1"/>
        <v/>
      </c>
      <c r="I44" s="1303" t="str">
        <f ca="1"/>
        <v>Easy ride: 40 minutes</v>
      </c>
      <c r="J44" s="1287" t="str">
        <f ca="1"/>
        <v>Cycling</v>
      </c>
      <c r="K4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4" s="1287">
        <f ca="1"/>
        <v>110</v>
      </c>
      <c r="M44" s="1287">
        <f ca="1"/>
        <v>0.66666666666666663</v>
      </c>
      <c r="N44" s="1287"/>
      <c r="O44" s="1323" t="str">
        <f ca="1"/>
        <v>2018-10-08 06:00</v>
      </c>
      <c r="P44" s="1287"/>
      <c r="Q44" s="1290" t="str">
        <f ca="1"/>
        <v>Ride</v>
      </c>
    </row>
    <row r="45" spans="1:17" ht="27.75" hidden="1" customHeight="1" x14ac:dyDescent="0.45">
      <c r="A45" s="1289">
        <v>2</v>
      </c>
      <c r="B45" s="1285">
        <v>1</v>
      </c>
      <c r="C45" s="1285">
        <v>2.0000000000000018</v>
      </c>
      <c r="D45" s="1297">
        <v>1.9999999999999964</v>
      </c>
      <c r="E45" s="1299" t="str">
        <f ca="1"/>
        <v/>
      </c>
      <c r="F45" s="1286" t="str">
        <f ca="1"/>
        <v/>
      </c>
      <c r="G45" s="1286" t="str">
        <f ca="1"/>
        <v/>
      </c>
      <c r="H45" s="1301" t="str">
        <f ca="1"/>
        <v/>
      </c>
      <c r="I45" s="1303" t="str">
        <f ca="1"/>
        <v/>
      </c>
      <c r="J45" s="1287" t="str">
        <f ca="1"/>
        <v/>
      </c>
      <c r="K45" s="1288" t="str">
        <f ca="1"/>
        <v xml:space="preserve">Description:
Details:
Aim:
</v>
      </c>
      <c r="L45" s="1287" t="str">
        <f ca="1"/>
        <v/>
      </c>
      <c r="M45" s="1287" t="str">
        <f ca="1"/>
        <v/>
      </c>
      <c r="N45" s="1287"/>
      <c r="O45" s="1323" t="str">
        <f ca="1"/>
        <v/>
      </c>
      <c r="P45" s="1287"/>
      <c r="Q45" s="1290" t="str">
        <f ca="1"/>
        <v/>
      </c>
    </row>
    <row r="46" spans="1:17" ht="27.75" hidden="1" customHeight="1" x14ac:dyDescent="0.45">
      <c r="A46" s="1289">
        <v>2</v>
      </c>
      <c r="B46" s="1285">
        <v>1</v>
      </c>
      <c r="C46" s="1285">
        <v>2.9999999999999982</v>
      </c>
      <c r="D46" s="1297">
        <v>3.0000000000000022</v>
      </c>
      <c r="E46" s="1299" t="str">
        <f ca="1"/>
        <v/>
      </c>
      <c r="F46" s="1286" t="str">
        <f ca="1"/>
        <v/>
      </c>
      <c r="G46" s="1286" t="str">
        <f ca="1"/>
        <v/>
      </c>
      <c r="H46" s="1301" t="str">
        <f ca="1"/>
        <v/>
      </c>
      <c r="I46" s="1303" t="str">
        <f ca="1"/>
        <v/>
      </c>
      <c r="J46" s="1287" t="str">
        <f ca="1"/>
        <v/>
      </c>
      <c r="K46" s="1288" t="str">
        <f ca="1"/>
        <v xml:space="preserve">Description:
Details:
Aim:
</v>
      </c>
      <c r="L46" s="1287" t="str">
        <f ca="1"/>
        <v/>
      </c>
      <c r="M46" s="1287" t="str">
        <f ca="1"/>
        <v/>
      </c>
      <c r="N46" s="1287"/>
      <c r="O46" s="1323" t="str">
        <f ca="1"/>
        <v/>
      </c>
      <c r="P46" s="1287"/>
      <c r="Q46" s="1290" t="str">
        <f ca="1"/>
        <v/>
      </c>
    </row>
    <row r="47" spans="1:17" ht="27.75" hidden="1" customHeight="1" x14ac:dyDescent="0.45">
      <c r="A47" s="1289">
        <v>2</v>
      </c>
      <c r="B47" s="1285">
        <v>2</v>
      </c>
      <c r="C47" s="1285">
        <v>1</v>
      </c>
      <c r="D47" s="1297">
        <v>3.9999999999999987</v>
      </c>
      <c r="E47" s="1299" t="str">
        <f ca="1"/>
        <v>Perform a variety of specialised exercises to engage specific muscles. These sessions must be learned with a coach first but are relatively easy to continue with on your own. Demonstrate control and focus on posture and muscle activation.</v>
      </c>
      <c r="F47" s="1286" t="str">
        <f ca="1"/>
        <v>Sport: Indoor
WU/WD: No 
Effort Total: 30 minutes
HR Target: N/A BPM
HR Range: N/A BPM 
Flat Road Equivalent Pace:  min/km</v>
      </c>
      <c r="G47" s="1286" t="str">
        <f ca="1"/>
        <v xml:space="preserve">Increase strength of specific muscle groups, running economy and injury resistance. </v>
      </c>
      <c r="H47" s="1301" t="str">
        <f ca="1"/>
        <v/>
      </c>
      <c r="I47" s="1303" t="str">
        <f ca="1"/>
        <v>Strength and conditioning</v>
      </c>
      <c r="J47" s="1287" t="str">
        <f ca="1"/>
        <v>Strength</v>
      </c>
      <c r="K47"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47" s="1287">
        <f ca="1"/>
        <v>76</v>
      </c>
      <c r="M47" s="1287">
        <f ca="1"/>
        <v>0.5</v>
      </c>
      <c r="N47" s="1287"/>
      <c r="O47" s="1323" t="str">
        <f ca="1"/>
        <v>2018-10-08 18:00</v>
      </c>
      <c r="P47" s="1287"/>
      <c r="Q47" s="1290" t="str">
        <f ca="1"/>
        <v>Indoor</v>
      </c>
    </row>
    <row r="48" spans="1:17" ht="27.75" hidden="1" customHeight="1" x14ac:dyDescent="0.45">
      <c r="A48" s="1289">
        <v>2</v>
      </c>
      <c r="B48" s="1285">
        <v>2</v>
      </c>
      <c r="C48" s="1285">
        <v>2.0000000000000018</v>
      </c>
      <c r="D48" s="1297">
        <v>5.0000000000000044</v>
      </c>
      <c r="E48" s="1299" t="str">
        <f ca="1"/>
        <v>Use a hands, rollers, or balls on all major muscle groups with extra time on more sensitive or problematic areas or as guided by a coach or physio. Finish with 20 minutes of lower-limb stretching.</v>
      </c>
      <c r="F48" s="1286" t="str">
        <f ca="1"/>
        <v>Sport: Indoor
WU/WD: No 
Effort Total: 30 minutes
HR Target: N/A BPM
HR Range: N/A BPM 
Flat Road Equivalent Pace:  min/km</v>
      </c>
      <c r="G48" s="1286" t="str">
        <f ca="1"/>
        <v xml:space="preserve">Release tension that develops in soft tissue from training and non-training stresses. </v>
      </c>
      <c r="H48" s="1301" t="str">
        <f ca="1"/>
        <v/>
      </c>
      <c r="I48" s="1303" t="str">
        <f ca="1"/>
        <v>Maintenance</v>
      </c>
      <c r="J48" s="1287" t="str">
        <f ca="1"/>
        <v>Strength</v>
      </c>
      <c r="K48"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8" s="1287">
        <f ca="1"/>
        <v>76</v>
      </c>
      <c r="M48" s="1287">
        <f ca="1"/>
        <v>0.5</v>
      </c>
      <c r="N48" s="1287"/>
      <c r="O48" s="1323" t="str">
        <f ca="1"/>
        <v>2018-10-08 20:00</v>
      </c>
      <c r="P48" s="1287"/>
      <c r="Q48" s="1290" t="str">
        <f ca="1"/>
        <v>Indoor</v>
      </c>
    </row>
    <row r="49" spans="1:17" ht="27.75" hidden="1" customHeight="1" x14ac:dyDescent="0.45">
      <c r="A49" s="1289">
        <v>2</v>
      </c>
      <c r="B49" s="1285">
        <v>2</v>
      </c>
      <c r="C49" s="1285">
        <v>2.9999999999999982</v>
      </c>
      <c r="D49" s="1297">
        <v>6.0000000000000009</v>
      </c>
      <c r="E49" s="1299" t="str">
        <f ca="1"/>
        <v/>
      </c>
      <c r="F49" s="1286" t="str">
        <f ca="1"/>
        <v/>
      </c>
      <c r="G49" s="1286" t="str">
        <f ca="1"/>
        <v/>
      </c>
      <c r="H49" s="1301" t="str">
        <f ca="1"/>
        <v/>
      </c>
      <c r="I49" s="1303" t="str">
        <f ca="1"/>
        <v/>
      </c>
      <c r="J49" s="1287" t="str">
        <f ca="1"/>
        <v/>
      </c>
      <c r="K49" s="1288" t="str">
        <f ca="1"/>
        <v xml:space="preserve">Description:
Details:
Aim:
</v>
      </c>
      <c r="L49" s="1287" t="str">
        <f ca="1"/>
        <v/>
      </c>
      <c r="M49" s="1287" t="str">
        <f ca="1"/>
        <v/>
      </c>
      <c r="N49" s="1287"/>
      <c r="O49" s="1323" t="str">
        <f ca="1"/>
        <v/>
      </c>
      <c r="P49" s="1287"/>
      <c r="Q49" s="1290" t="str">
        <f ca="1"/>
        <v/>
      </c>
    </row>
    <row r="50" spans="1:17" ht="27.75" hidden="1" customHeight="1" x14ac:dyDescent="0.45">
      <c r="A50" s="1289">
        <v>2</v>
      </c>
      <c r="B50" s="1285">
        <v>3</v>
      </c>
      <c r="C50" s="1285">
        <v>1</v>
      </c>
      <c r="D50" s="1297">
        <v>6.9999999999999973</v>
      </c>
      <c r="E50" s="1299" t="str">
        <f ca="1"/>
        <v>Stay at a comfortable and controlled intensity where you should be able to have a conversation without large pauses. Keep an even intensity and accept that your pace may change as the terrain changes.</v>
      </c>
      <c r="F50" s="1286" t="str">
        <f ca="1"/>
        <v>Sport: Ride
WU/WD: No 
Effort Total: 40 minutes
HR Target: 138 BPM
HR Range: 129 - 148 BPM 
Flat Road Equivalent Pace: 4:39 min/km</v>
      </c>
      <c r="G50" s="1286" t="str">
        <f ca="1"/>
        <v xml:space="preserve">Improve aerobic fitness while minimising the chance of injury. </v>
      </c>
      <c r="H50" s="1301" t="str">
        <f ca="1"/>
        <v/>
      </c>
      <c r="I50" s="1303" t="str">
        <f ca="1"/>
        <v>Easy ride: 40 minutes</v>
      </c>
      <c r="J50" s="1287" t="str">
        <f ca="1"/>
        <v>Cycling</v>
      </c>
      <c r="K5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0" s="1287">
        <f ca="1"/>
        <v>110</v>
      </c>
      <c r="M50" s="1287">
        <f ca="1"/>
        <v>0.66666666666666663</v>
      </c>
      <c r="N50" s="1287"/>
      <c r="O50" s="1323" t="str">
        <f ca="1"/>
        <v>2018-10-09 06:00</v>
      </c>
      <c r="P50" s="1287"/>
      <c r="Q50" s="1290" t="str">
        <f ca="1"/>
        <v>Ride</v>
      </c>
    </row>
    <row r="51" spans="1:17" ht="27.75" hidden="1" customHeight="1" x14ac:dyDescent="0.45">
      <c r="A51" s="1289">
        <v>2</v>
      </c>
      <c r="B51" s="1285">
        <v>3</v>
      </c>
      <c r="C51" s="1285">
        <v>1.9999999999999964</v>
      </c>
      <c r="D51" s="1297">
        <v>8.0000000000000036</v>
      </c>
      <c r="E51" s="1299" t="str">
        <f ca="1"/>
        <v/>
      </c>
      <c r="F51" s="1286" t="str">
        <f ca="1"/>
        <v/>
      </c>
      <c r="G51" s="1286" t="str">
        <f ca="1"/>
        <v/>
      </c>
      <c r="H51" s="1301" t="str">
        <f ca="1"/>
        <v/>
      </c>
      <c r="I51" s="1303" t="str">
        <f ca="1"/>
        <v/>
      </c>
      <c r="J51" s="1287" t="str">
        <f ca="1"/>
        <v/>
      </c>
      <c r="K51" s="1288" t="str">
        <f ca="1"/>
        <v xml:space="preserve">Description:
Details:
Aim:
</v>
      </c>
      <c r="L51" s="1287" t="str">
        <f ca="1"/>
        <v/>
      </c>
      <c r="M51" s="1287" t="str">
        <f ca="1"/>
        <v/>
      </c>
      <c r="N51" s="1287"/>
      <c r="O51" s="1323" t="str">
        <f ca="1"/>
        <v/>
      </c>
      <c r="P51" s="1287"/>
      <c r="Q51" s="1290" t="str">
        <f ca="1"/>
        <v/>
      </c>
    </row>
    <row r="52" spans="1:17" ht="27.75" hidden="1" customHeight="1" x14ac:dyDescent="0.45">
      <c r="A52" s="1289">
        <v>2</v>
      </c>
      <c r="B52" s="1285">
        <v>3</v>
      </c>
      <c r="C52" s="1285">
        <v>3.0000000000000036</v>
      </c>
      <c r="D52" s="1297">
        <v>9</v>
      </c>
      <c r="E52" s="1299" t="str">
        <f ca="1"/>
        <v/>
      </c>
      <c r="F52" s="1286" t="str">
        <f ca="1"/>
        <v/>
      </c>
      <c r="G52" s="1286" t="str">
        <f ca="1"/>
        <v/>
      </c>
      <c r="H52" s="1301" t="str">
        <f ca="1"/>
        <v/>
      </c>
      <c r="I52" s="1303" t="str">
        <f ca="1"/>
        <v/>
      </c>
      <c r="J52" s="1287" t="str">
        <f ca="1"/>
        <v/>
      </c>
      <c r="K52" s="1288" t="str">
        <f ca="1"/>
        <v xml:space="preserve">Description:
Details:
Aim:
</v>
      </c>
      <c r="L52" s="1287" t="str">
        <f ca="1"/>
        <v/>
      </c>
      <c r="M52" s="1287" t="str">
        <f ca="1"/>
        <v/>
      </c>
      <c r="N52" s="1287"/>
      <c r="O52" s="1323" t="str">
        <f ca="1"/>
        <v/>
      </c>
      <c r="P52" s="1287"/>
      <c r="Q52" s="1290" t="str">
        <f ca="1"/>
        <v/>
      </c>
    </row>
    <row r="53" spans="1:17" ht="27.75" hidden="1" customHeight="1" x14ac:dyDescent="0.45">
      <c r="A53" s="1289">
        <v>2</v>
      </c>
      <c r="B53" s="1285">
        <v>4</v>
      </c>
      <c r="C53" s="1285">
        <v>1</v>
      </c>
      <c r="D53" s="1297">
        <v>9.9999999999999964</v>
      </c>
      <c r="E53" s="1299" t="str">
        <f ca="1"/>
        <v>Accelerate to a fast pace which you should be able to hold for 50 minutes in a race situation. This will take concentration, but it's important to keep the intensity even, so do not start too hard. Warm up and warm down for 10 minutes each.</v>
      </c>
      <c r="F53" s="1286" t="str">
        <f ca="1"/>
        <v>Sport: Hilly Trail Run
WU/WD: 15 minutes 
Effort Total: 25 minutes
HR Target: 177 BPM
HR Range: 173 - 180 BPM 
Flat Road Equivalent Pace: 3:21 min/km</v>
      </c>
      <c r="G53" s="1286" t="str">
        <f ca="1"/>
        <v xml:space="preserve">Improve endurance by increasing lactate threshold and developing mental toughness. </v>
      </c>
      <c r="H53" s="1301" t="str">
        <f ca="1"/>
        <v/>
      </c>
      <c r="I53" s="1303" t="str">
        <f ca="1"/>
        <v>Hilly tempo hilly trail run: 25 minutes + WU/WD</v>
      </c>
      <c r="J53" s="1287" t="str">
        <f ca="1"/>
        <v>Trail Running</v>
      </c>
      <c r="K53"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53" s="1287">
        <f ca="1"/>
        <v>23</v>
      </c>
      <c r="M53" s="1287">
        <f ca="1"/>
        <v>0.41666666666666669</v>
      </c>
      <c r="N53" s="1287"/>
      <c r="O53" s="1323" t="str">
        <f ca="1"/>
        <v>2018-10-09 18:00</v>
      </c>
      <c r="P53" s="1287"/>
      <c r="Q53" s="1290" t="str">
        <f ca="1"/>
        <v>Hilly Trail Run</v>
      </c>
    </row>
    <row r="54" spans="1:17" ht="27.75" hidden="1" customHeight="1" x14ac:dyDescent="0.45">
      <c r="A54" s="1289">
        <v>2</v>
      </c>
      <c r="B54" s="1285">
        <v>4</v>
      </c>
      <c r="C54" s="1285">
        <v>1.9999999999999964</v>
      </c>
      <c r="D54" s="1297">
        <v>11.000000000000002</v>
      </c>
      <c r="E54" s="1299" t="str">
        <f ca="1"/>
        <v/>
      </c>
      <c r="F54" s="1286" t="str">
        <f ca="1"/>
        <v/>
      </c>
      <c r="G54" s="1286" t="str">
        <f ca="1"/>
        <v/>
      </c>
      <c r="H54" s="1301" t="str">
        <f ca="1"/>
        <v/>
      </c>
      <c r="I54" s="1303" t="str">
        <f ca="1"/>
        <v/>
      </c>
      <c r="J54" s="1287" t="str">
        <f ca="1"/>
        <v/>
      </c>
      <c r="K54" s="1288" t="str">
        <f ca="1"/>
        <v xml:space="preserve">Description:
Details:
Aim:
</v>
      </c>
      <c r="L54" s="1287" t="str">
        <f ca="1"/>
        <v/>
      </c>
      <c r="M54" s="1287" t="str">
        <f ca="1"/>
        <v/>
      </c>
      <c r="N54" s="1287"/>
      <c r="O54" s="1323" t="str">
        <f ca="1"/>
        <v/>
      </c>
      <c r="P54" s="1287"/>
      <c r="Q54" s="1290" t="str">
        <f ca="1"/>
        <v/>
      </c>
    </row>
    <row r="55" spans="1:17" ht="27.75" hidden="1" customHeight="1" x14ac:dyDescent="0.45">
      <c r="A55" s="1289">
        <v>2</v>
      </c>
      <c r="B55" s="1285">
        <v>4</v>
      </c>
      <c r="C55" s="1285">
        <v>3.0000000000000036</v>
      </c>
      <c r="D55" s="1297">
        <v>11.999999999999998</v>
      </c>
      <c r="E55" s="1299" t="str">
        <f ca="1"/>
        <v/>
      </c>
      <c r="F55" s="1286" t="str">
        <f ca="1"/>
        <v/>
      </c>
      <c r="G55" s="1286" t="str">
        <f ca="1"/>
        <v/>
      </c>
      <c r="H55" s="1301" t="str">
        <f ca="1"/>
        <v/>
      </c>
      <c r="I55" s="1303" t="str">
        <f ca="1"/>
        <v/>
      </c>
      <c r="J55" s="1287" t="str">
        <f ca="1"/>
        <v/>
      </c>
      <c r="K55" s="1288" t="str">
        <f ca="1"/>
        <v xml:space="preserve">Description:
Details:
Aim:
</v>
      </c>
      <c r="L55" s="1287" t="str">
        <f ca="1"/>
        <v/>
      </c>
      <c r="M55" s="1287" t="str">
        <f ca="1"/>
        <v/>
      </c>
      <c r="N55" s="1287"/>
      <c r="O55" s="1323" t="str">
        <f ca="1"/>
        <v/>
      </c>
      <c r="P55" s="1287"/>
      <c r="Q55" s="1290" t="str">
        <f ca="1"/>
        <v/>
      </c>
    </row>
    <row r="56" spans="1:17" ht="27.75" hidden="1" customHeight="1" x14ac:dyDescent="0.45">
      <c r="A56" s="1289">
        <v>2</v>
      </c>
      <c r="B56" s="1285">
        <v>5</v>
      </c>
      <c r="C56" s="1285">
        <v>1</v>
      </c>
      <c r="D56" s="1297">
        <v>13.000000000000004</v>
      </c>
      <c r="E56" s="1299" t="str">
        <f ca="1"/>
        <v/>
      </c>
      <c r="F56" s="1286" t="str">
        <f ca="1"/>
        <v/>
      </c>
      <c r="G56" s="1286" t="str">
        <f ca="1"/>
        <v/>
      </c>
      <c r="H56" s="1301" t="str">
        <f ca="1"/>
        <v/>
      </c>
      <c r="I56" s="1303" t="str">
        <f ca="1"/>
        <v/>
      </c>
      <c r="J56" s="1287" t="str">
        <f ca="1"/>
        <v/>
      </c>
      <c r="K56" s="1288" t="str">
        <f ca="1"/>
        <v xml:space="preserve">Description:
Details:
Aim:
</v>
      </c>
      <c r="L56" s="1287" t="str">
        <f ca="1"/>
        <v/>
      </c>
      <c r="M56" s="1287" t="str">
        <f ca="1"/>
        <v/>
      </c>
      <c r="N56" s="1287"/>
      <c r="O56" s="1323" t="str">
        <f ca="1"/>
        <v/>
      </c>
      <c r="P56" s="1287"/>
      <c r="Q56" s="1290" t="str">
        <f ca="1"/>
        <v/>
      </c>
    </row>
    <row r="57" spans="1:17" ht="27.75" hidden="1" customHeight="1" x14ac:dyDescent="0.45">
      <c r="A57" s="1289">
        <v>2</v>
      </c>
      <c r="B57" s="1285">
        <v>5</v>
      </c>
      <c r="C57" s="1285">
        <v>1.9999999999999964</v>
      </c>
      <c r="D57" s="1297">
        <v>14</v>
      </c>
      <c r="E57" s="1299" t="str">
        <f ca="1"/>
        <v/>
      </c>
      <c r="F57" s="1286" t="str">
        <f ca="1"/>
        <v/>
      </c>
      <c r="G57" s="1286" t="str">
        <f ca="1"/>
        <v/>
      </c>
      <c r="H57" s="1301" t="str">
        <f ca="1"/>
        <v/>
      </c>
      <c r="I57" s="1303" t="str">
        <f ca="1"/>
        <v/>
      </c>
      <c r="J57" s="1287" t="str">
        <f ca="1"/>
        <v/>
      </c>
      <c r="K57" s="1288" t="str">
        <f ca="1"/>
        <v xml:space="preserve">Description:
Details:
Aim:
</v>
      </c>
      <c r="L57" s="1287" t="str">
        <f ca="1"/>
        <v/>
      </c>
      <c r="M57" s="1287" t="str">
        <f ca="1"/>
        <v/>
      </c>
      <c r="N57" s="1287"/>
      <c r="O57" s="1323" t="str">
        <f ca="1"/>
        <v/>
      </c>
      <c r="P57" s="1287"/>
      <c r="Q57" s="1290" t="str">
        <f ca="1"/>
        <v/>
      </c>
    </row>
    <row r="58" spans="1:17" ht="27.75" hidden="1" customHeight="1" x14ac:dyDescent="0.45">
      <c r="A58" s="1289">
        <v>2</v>
      </c>
      <c r="B58" s="1285">
        <v>5</v>
      </c>
      <c r="C58" s="1285">
        <v>3.0000000000000036</v>
      </c>
      <c r="D58" s="1297">
        <v>14.999999999999996</v>
      </c>
      <c r="E58" s="1299" t="str">
        <f ca="1"/>
        <v/>
      </c>
      <c r="F58" s="1286" t="str">
        <f ca="1"/>
        <v/>
      </c>
      <c r="G58" s="1286" t="str">
        <f ca="1"/>
        <v/>
      </c>
      <c r="H58" s="1301" t="str">
        <f ca="1"/>
        <v/>
      </c>
      <c r="I58" s="1303" t="str">
        <f ca="1"/>
        <v/>
      </c>
      <c r="J58" s="1287" t="str">
        <f ca="1"/>
        <v/>
      </c>
      <c r="K58" s="1288" t="str">
        <f ca="1"/>
        <v xml:space="preserve">Description:
Details:
Aim:
</v>
      </c>
      <c r="L58" s="1287" t="str">
        <f ca="1"/>
        <v/>
      </c>
      <c r="M58" s="1287" t="str">
        <f ca="1"/>
        <v/>
      </c>
      <c r="N58" s="1287"/>
      <c r="O58" s="1323" t="str">
        <f ca="1"/>
        <v/>
      </c>
      <c r="P58" s="1287"/>
      <c r="Q58" s="1290" t="str">
        <f ca="1"/>
        <v/>
      </c>
    </row>
    <row r="59" spans="1:17" ht="27.75" hidden="1" customHeight="1" x14ac:dyDescent="0.45">
      <c r="A59" s="1289">
        <v>2</v>
      </c>
      <c r="B59" s="1285">
        <v>6</v>
      </c>
      <c r="C59" s="1285">
        <v>1</v>
      </c>
      <c r="D59" s="1297">
        <v>16.000000000000004</v>
      </c>
      <c r="E59" s="1299" t="str">
        <f ca="1"/>
        <v>Stay at a comfortable and controlled intensity where you should be able to have a conversation without large pauses. Keep an even intensity and accept that your pace may change as the terrain changes.</v>
      </c>
      <c r="F59" s="1286" t="str">
        <f ca="1"/>
        <v>Sport: Road Ride
WU/WD: No 
Effort Total: 70 minutes
HR Target: 138 BPM
HR Range: 129 - 148 BPM 
Flat Road Equivalent Pace: 4:39 min/km</v>
      </c>
      <c r="G59" s="1286" t="str">
        <f ca="1"/>
        <v xml:space="preserve">Improve aerobic fitness while minimising the chance of injury. </v>
      </c>
      <c r="H59" s="1301" t="str">
        <f ca="1"/>
        <v/>
      </c>
      <c r="I59" s="1303" t="str">
        <f ca="1"/>
        <v>Easy road ride: 70 minutes</v>
      </c>
      <c r="J59" s="1287" t="str">
        <f ca="1"/>
        <v>Cycling</v>
      </c>
      <c r="K59"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70 minutes
HR Target: 138 BPM
HR Range: 129 - 148 BPM 
Flat Road Equivalent Pace: 4:39 min/km
Aim:
Improve aerobic fitness while minimising the chance of injury. </v>
      </c>
      <c r="L59" s="1287">
        <f ca="1"/>
        <v>101</v>
      </c>
      <c r="M59" s="1287">
        <f ca="1"/>
        <v>1.1666666666666667</v>
      </c>
      <c r="N59" s="1287"/>
      <c r="O59" s="1323" t="str">
        <f ca="1"/>
        <v>2018-10-10 18:00</v>
      </c>
      <c r="P59" s="1287"/>
      <c r="Q59" s="1290" t="str">
        <f ca="1"/>
        <v>Road Ride</v>
      </c>
    </row>
    <row r="60" spans="1:17" ht="27.75" hidden="1" customHeight="1" x14ac:dyDescent="0.45">
      <c r="A60" s="1289">
        <v>2</v>
      </c>
      <c r="B60" s="1285">
        <v>6</v>
      </c>
      <c r="C60" s="1285">
        <v>1.9999999999999964</v>
      </c>
      <c r="D60" s="1297">
        <v>17</v>
      </c>
      <c r="E60" s="1299" t="str">
        <f ca="1"/>
        <v/>
      </c>
      <c r="F60" s="1286" t="str">
        <f ca="1"/>
        <v/>
      </c>
      <c r="G60" s="1286" t="str">
        <f ca="1"/>
        <v/>
      </c>
      <c r="H60" s="1301" t="str">
        <f ca="1"/>
        <v/>
      </c>
      <c r="I60" s="1303" t="str">
        <f ca="1"/>
        <v/>
      </c>
      <c r="J60" s="1287" t="str">
        <f ca="1"/>
        <v/>
      </c>
      <c r="K60" s="1288" t="str">
        <f ca="1"/>
        <v xml:space="preserve">Description:
Details:
Aim:
</v>
      </c>
      <c r="L60" s="1287" t="str">
        <f ca="1"/>
        <v/>
      </c>
      <c r="M60" s="1287" t="str">
        <f ca="1"/>
        <v/>
      </c>
      <c r="N60" s="1287"/>
      <c r="O60" s="1323" t="str">
        <f ca="1"/>
        <v/>
      </c>
      <c r="P60" s="1287"/>
      <c r="Q60" s="1290" t="str">
        <f ca="1"/>
        <v/>
      </c>
    </row>
    <row r="61" spans="1:17" ht="27.75" hidden="1" customHeight="1" x14ac:dyDescent="0.45">
      <c r="A61" s="1289">
        <v>2</v>
      </c>
      <c r="B61" s="1285">
        <v>6</v>
      </c>
      <c r="C61" s="1285">
        <v>3.0000000000000036</v>
      </c>
      <c r="D61" s="1297">
        <v>17.999999999999996</v>
      </c>
      <c r="E61" s="1299" t="str">
        <f ca="1"/>
        <v/>
      </c>
      <c r="F61" s="1286" t="str">
        <f ca="1"/>
        <v/>
      </c>
      <c r="G61" s="1286" t="str">
        <f ca="1"/>
        <v/>
      </c>
      <c r="H61" s="1301" t="str">
        <f ca="1"/>
        <v/>
      </c>
      <c r="I61" s="1303" t="str">
        <f ca="1"/>
        <v/>
      </c>
      <c r="J61" s="1287" t="str">
        <f ca="1"/>
        <v/>
      </c>
      <c r="K61" s="1288" t="str">
        <f ca="1"/>
        <v xml:space="preserve">Description:
Details:
Aim:
</v>
      </c>
      <c r="L61" s="1287" t="str">
        <f ca="1"/>
        <v/>
      </c>
      <c r="M61" s="1287" t="str">
        <f ca="1"/>
        <v/>
      </c>
      <c r="N61" s="1287"/>
      <c r="O61" s="1323" t="str">
        <f ca="1"/>
        <v/>
      </c>
      <c r="P61" s="1287"/>
      <c r="Q61" s="1290" t="str">
        <f ca="1"/>
        <v/>
      </c>
    </row>
    <row r="62" spans="1:17" ht="27.75" hidden="1" customHeight="1" x14ac:dyDescent="0.45">
      <c r="A62" s="1289">
        <v>2</v>
      </c>
      <c r="B62" s="1285">
        <v>7</v>
      </c>
      <c r="C62" s="1285">
        <v>1</v>
      </c>
      <c r="D62" s="1297">
        <v>19</v>
      </c>
      <c r="E62" s="1299" t="str">
        <f ca="1"/>
        <v>Stay at a comfortable and controlled intensity where you should be able to have a conversation without large pauses. Keep an even intensity and accept that your pace may change as the terrain changes.</v>
      </c>
      <c r="F62" s="1286" t="str">
        <f ca="1"/>
        <v>Sport: Ride
WU/WD: No 
Effort Total: 40 minutes
HR Target: 138 BPM
HR Range: 129 - 148 BPM 
Flat Road Equivalent Pace: 4:39 min/km</v>
      </c>
      <c r="G62" s="1286" t="str">
        <f ca="1"/>
        <v xml:space="preserve">Improve aerobic fitness while minimising the chance of injury. </v>
      </c>
      <c r="H62" s="1301" t="str">
        <f ca="1"/>
        <v/>
      </c>
      <c r="I62" s="1303" t="str">
        <f ca="1"/>
        <v>Easy ride: 40 minutes</v>
      </c>
      <c r="J62" s="1287" t="str">
        <f ca="1"/>
        <v>Cycling</v>
      </c>
      <c r="K6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2" s="1287">
        <f ca="1"/>
        <v>110</v>
      </c>
      <c r="M62" s="1287">
        <f ca="1"/>
        <v>0.66666666666666663</v>
      </c>
      <c r="N62" s="1287"/>
      <c r="O62" s="1323" t="str">
        <f ca="1"/>
        <v>2018-10-11 06:00</v>
      </c>
      <c r="P62" s="1287"/>
      <c r="Q62" s="1290" t="str">
        <f ca="1"/>
        <v>Ride</v>
      </c>
    </row>
    <row r="63" spans="1:17" ht="27.75" hidden="1" customHeight="1" x14ac:dyDescent="0.45">
      <c r="A63" s="1289">
        <v>2</v>
      </c>
      <c r="B63" s="1285">
        <v>7</v>
      </c>
      <c r="C63" s="1285">
        <v>1.9999999999999964</v>
      </c>
      <c r="D63" s="1297">
        <v>19.999999999999996</v>
      </c>
      <c r="E63" s="1299" t="str">
        <f ca="1"/>
        <v/>
      </c>
      <c r="F63" s="1286" t="str">
        <f ca="1"/>
        <v/>
      </c>
      <c r="G63" s="1286" t="str">
        <f ca="1"/>
        <v/>
      </c>
      <c r="H63" s="1301" t="str">
        <f ca="1"/>
        <v/>
      </c>
      <c r="I63" s="1303" t="str">
        <f ca="1"/>
        <v/>
      </c>
      <c r="J63" s="1287" t="str">
        <f ca="1"/>
        <v/>
      </c>
      <c r="K63" s="1288" t="str">
        <f ca="1"/>
        <v xml:space="preserve">Description:
Details:
Aim:
</v>
      </c>
      <c r="L63" s="1287" t="str">
        <f ca="1"/>
        <v/>
      </c>
      <c r="M63" s="1287" t="str">
        <f ca="1"/>
        <v/>
      </c>
      <c r="N63" s="1287"/>
      <c r="O63" s="1323" t="str">
        <f ca="1"/>
        <v/>
      </c>
      <c r="P63" s="1287"/>
      <c r="Q63" s="1290" t="str">
        <f ca="1"/>
        <v/>
      </c>
    </row>
    <row r="64" spans="1:17" ht="27.75" hidden="1" customHeight="1" x14ac:dyDescent="0.45">
      <c r="A64" s="1289">
        <v>2</v>
      </c>
      <c r="B64" s="1285">
        <v>7</v>
      </c>
      <c r="C64" s="1285">
        <v>3.0000000000000036</v>
      </c>
      <c r="D64" s="1297">
        <v>21.000000000000004</v>
      </c>
      <c r="E64" s="1299" t="str">
        <f ca="1"/>
        <v/>
      </c>
      <c r="F64" s="1286" t="str">
        <f ca="1"/>
        <v/>
      </c>
      <c r="G64" s="1286" t="str">
        <f ca="1"/>
        <v/>
      </c>
      <c r="H64" s="1301" t="str">
        <f ca="1"/>
        <v/>
      </c>
      <c r="I64" s="1303" t="str">
        <f ca="1"/>
        <v/>
      </c>
      <c r="J64" s="1287" t="str">
        <f ca="1"/>
        <v/>
      </c>
      <c r="K64" s="1288" t="str">
        <f ca="1"/>
        <v xml:space="preserve">Description:
Details:
Aim:
</v>
      </c>
      <c r="L64" s="1287" t="str">
        <f ca="1"/>
        <v/>
      </c>
      <c r="M64" s="1287" t="str">
        <f ca="1"/>
        <v/>
      </c>
      <c r="N64" s="1287"/>
      <c r="O64" s="1323" t="str">
        <f ca="1"/>
        <v/>
      </c>
      <c r="P64" s="1287"/>
      <c r="Q64" s="1290" t="str">
        <f ca="1"/>
        <v/>
      </c>
    </row>
    <row r="65" spans="1:17" ht="27.75" hidden="1" customHeight="1" x14ac:dyDescent="0.45">
      <c r="A65" s="1289">
        <v>2</v>
      </c>
      <c r="B65" s="1285">
        <v>8</v>
      </c>
      <c r="C65" s="1285">
        <v>1</v>
      </c>
      <c r="D65" s="1297">
        <v>22</v>
      </c>
      <c r="E65" s="1299" t="str">
        <f ca="1"/>
        <v>Stay at a comfortable and controlled intensity where you should be able to have a conversation without large pauses. Keep an even intensity and accept that your pace may change as the terrain changes.</v>
      </c>
      <c r="F65" s="1286" t="str">
        <f ca="1"/>
        <v>Sport: Hilly Trail Run
WU/WD: No 
Effort Total: 85 minutes
HR Target: 148 BPM
HR Range: 138 - 157 BPM 
Flat Road Equivalent Pace: 4:14 min/km</v>
      </c>
      <c r="G65" s="1286" t="str">
        <f ca="1"/>
        <v>Improve aerobic fitness at an optimal rate.</v>
      </c>
      <c r="H65" s="1301" t="str">
        <f ca="1"/>
        <v/>
      </c>
      <c r="I65" s="1303" t="str">
        <f ca="1"/>
        <v>Steady hilly trail run: 85 minutes</v>
      </c>
      <c r="J65" s="1287" t="str">
        <f ca="1"/>
        <v>Trail Running</v>
      </c>
      <c r="K65"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85 minutes
HR Target: 148 BPM
HR Range: 138 - 157 BPM 
Flat Road Equivalent Pace: 4:14 min/km
Aim:
Improve aerobic fitness at an optimal rate.</v>
      </c>
      <c r="L65" s="1287">
        <f ca="1"/>
        <v>3</v>
      </c>
      <c r="M65" s="1287">
        <f ca="1"/>
        <v>1.4166666666666667</v>
      </c>
      <c r="N65" s="1287"/>
      <c r="O65" s="1323" t="str">
        <f ca="1"/>
        <v>2018-10-11 18:00</v>
      </c>
      <c r="P65" s="1287"/>
      <c r="Q65" s="1290" t="str">
        <f ca="1"/>
        <v>Hilly Trail Run</v>
      </c>
    </row>
    <row r="66" spans="1:17" ht="27.75" hidden="1" customHeight="1" x14ac:dyDescent="0.45">
      <c r="A66" s="1289">
        <v>2</v>
      </c>
      <c r="B66" s="1285">
        <v>8</v>
      </c>
      <c r="C66" s="1285">
        <v>1.9999999999999964</v>
      </c>
      <c r="D66" s="1297">
        <v>22.999999999999996</v>
      </c>
      <c r="E66" s="1299" t="str">
        <f ca="1"/>
        <v/>
      </c>
      <c r="F66" s="1286" t="str">
        <f ca="1"/>
        <v/>
      </c>
      <c r="G66" s="1286" t="str">
        <f ca="1"/>
        <v/>
      </c>
      <c r="H66" s="1301" t="str">
        <f ca="1"/>
        <v/>
      </c>
      <c r="I66" s="1303" t="str">
        <f ca="1"/>
        <v/>
      </c>
      <c r="J66" s="1287" t="str">
        <f ca="1"/>
        <v/>
      </c>
      <c r="K66" s="1288" t="str">
        <f ca="1"/>
        <v xml:space="preserve">Description:
Details:
Aim:
</v>
      </c>
      <c r="L66" s="1287" t="str">
        <f ca="1"/>
        <v/>
      </c>
      <c r="M66" s="1287" t="str">
        <f ca="1"/>
        <v/>
      </c>
      <c r="N66" s="1287"/>
      <c r="O66" s="1323" t="str">
        <f ca="1"/>
        <v/>
      </c>
      <c r="P66" s="1287"/>
      <c r="Q66" s="1290" t="str">
        <f ca="1"/>
        <v/>
      </c>
    </row>
    <row r="67" spans="1:17" ht="27.75" hidden="1" customHeight="1" x14ac:dyDescent="0.45">
      <c r="A67" s="1289">
        <v>2</v>
      </c>
      <c r="B67" s="1285">
        <v>8</v>
      </c>
      <c r="C67" s="1285">
        <v>3.0000000000000036</v>
      </c>
      <c r="D67" s="1297">
        <v>24.000000000000004</v>
      </c>
      <c r="E67" s="1299" t="str">
        <f ca="1"/>
        <v/>
      </c>
      <c r="F67" s="1286" t="str">
        <f ca="1"/>
        <v/>
      </c>
      <c r="G67" s="1286" t="str">
        <f ca="1"/>
        <v/>
      </c>
      <c r="H67" s="1301" t="str">
        <f ca="1"/>
        <v/>
      </c>
      <c r="I67" s="1303" t="str">
        <f ca="1"/>
        <v/>
      </c>
      <c r="J67" s="1287" t="str">
        <f ca="1"/>
        <v/>
      </c>
      <c r="K67" s="1288" t="str">
        <f ca="1"/>
        <v xml:space="preserve">Description:
Details:
Aim:
</v>
      </c>
      <c r="L67" s="1287" t="str">
        <f ca="1"/>
        <v/>
      </c>
      <c r="M67" s="1287" t="str">
        <f ca="1"/>
        <v/>
      </c>
      <c r="N67" s="1287"/>
      <c r="O67" s="1323" t="str">
        <f ca="1"/>
        <v/>
      </c>
      <c r="P67" s="1287"/>
      <c r="Q67" s="1290" t="str">
        <f ca="1"/>
        <v/>
      </c>
    </row>
    <row r="68" spans="1:17" ht="27.75" hidden="1" customHeight="1" x14ac:dyDescent="0.45">
      <c r="A68" s="1289">
        <v>2</v>
      </c>
      <c r="B68" s="1285">
        <v>9</v>
      </c>
      <c r="C68" s="1285">
        <v>1</v>
      </c>
      <c r="D68" s="1297">
        <v>25</v>
      </c>
      <c r="E68" s="1299" t="str">
        <f ca="1"/>
        <v>Stay at a comfortable and controlled intensity where you should be able to have a conversation without large pauses. Keep an even intensity and accept that your pace may change as the terrain changes.</v>
      </c>
      <c r="F68" s="1286" t="str">
        <f ca="1"/>
        <v>Sport: Ride
WU/WD: No 
Effort Total: 40 minutes
HR Target: 138 BPM
HR Range: 129 - 148 BPM 
Flat Road Equivalent Pace: 4:39 min/km</v>
      </c>
      <c r="G68" s="1286" t="str">
        <f ca="1"/>
        <v xml:space="preserve">Improve aerobic fitness while minimising the chance of injury. </v>
      </c>
      <c r="H68" s="1301" t="str">
        <f ca="1"/>
        <v/>
      </c>
      <c r="I68" s="1303" t="str">
        <f ca="1"/>
        <v>Easy ride: 40 minutes</v>
      </c>
      <c r="J68" s="1287" t="str">
        <f ca="1"/>
        <v>Cycling</v>
      </c>
      <c r="K6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68" s="1287">
        <f ca="1"/>
        <v>110</v>
      </c>
      <c r="M68" s="1287">
        <f ca="1"/>
        <v>0.66666666666666663</v>
      </c>
      <c r="N68" s="1287"/>
      <c r="O68" s="1323" t="str">
        <f ca="1"/>
        <v>2018-10-12 06:00</v>
      </c>
      <c r="P68" s="1287"/>
      <c r="Q68" s="1290" t="str">
        <f ca="1"/>
        <v>Ride</v>
      </c>
    </row>
    <row r="69" spans="1:17" ht="27.75" hidden="1" customHeight="1" x14ac:dyDescent="0.45">
      <c r="A69" s="1289">
        <v>2</v>
      </c>
      <c r="B69" s="1285">
        <v>9</v>
      </c>
      <c r="C69" s="1285">
        <v>1.9999999999999964</v>
      </c>
      <c r="D69" s="1297">
        <v>26.000000000000004</v>
      </c>
      <c r="E69" s="1299" t="str">
        <f ca="1"/>
        <v/>
      </c>
      <c r="F69" s="1286" t="str">
        <f ca="1"/>
        <v/>
      </c>
      <c r="G69" s="1286" t="str">
        <f ca="1"/>
        <v/>
      </c>
      <c r="H69" s="1301" t="str">
        <f ca="1"/>
        <v/>
      </c>
      <c r="I69" s="1303" t="str">
        <f ca="1"/>
        <v/>
      </c>
      <c r="J69" s="1287" t="str">
        <f ca="1"/>
        <v/>
      </c>
      <c r="K69" s="1288" t="str">
        <f ca="1"/>
        <v xml:space="preserve">Description:
Details:
Aim:
</v>
      </c>
      <c r="L69" s="1287" t="str">
        <f ca="1"/>
        <v/>
      </c>
      <c r="M69" s="1287" t="str">
        <f ca="1"/>
        <v/>
      </c>
      <c r="N69" s="1287"/>
      <c r="O69" s="1323" t="str">
        <f ca="1"/>
        <v/>
      </c>
      <c r="P69" s="1287"/>
      <c r="Q69" s="1290" t="str">
        <f ca="1"/>
        <v/>
      </c>
    </row>
    <row r="70" spans="1:17" ht="27.75" hidden="1" customHeight="1" x14ac:dyDescent="0.45">
      <c r="A70" s="1289">
        <v>2</v>
      </c>
      <c r="B70" s="1285">
        <v>9</v>
      </c>
      <c r="C70" s="1285">
        <v>3.0000000000000036</v>
      </c>
      <c r="D70" s="1297">
        <v>27</v>
      </c>
      <c r="E70" s="1299" t="str">
        <f ca="1"/>
        <v/>
      </c>
      <c r="F70" s="1286" t="str">
        <f ca="1"/>
        <v/>
      </c>
      <c r="G70" s="1286" t="str">
        <f ca="1"/>
        <v/>
      </c>
      <c r="H70" s="1301" t="str">
        <f ca="1"/>
        <v/>
      </c>
      <c r="I70" s="1303" t="str">
        <f ca="1"/>
        <v/>
      </c>
      <c r="J70" s="1287" t="str">
        <f ca="1"/>
        <v/>
      </c>
      <c r="K70" s="1288" t="str">
        <f ca="1"/>
        <v xml:space="preserve">Description:
Details:
Aim:
</v>
      </c>
      <c r="L70" s="1287" t="str">
        <f ca="1"/>
        <v/>
      </c>
      <c r="M70" s="1287" t="str">
        <f ca="1"/>
        <v/>
      </c>
      <c r="N70" s="1287"/>
      <c r="O70" s="1323" t="str">
        <f ca="1"/>
        <v/>
      </c>
      <c r="P70" s="1287"/>
      <c r="Q70" s="1290" t="str">
        <f ca="1"/>
        <v/>
      </c>
    </row>
    <row r="71" spans="1:17" ht="27.75" hidden="1" customHeight="1" x14ac:dyDescent="0.45">
      <c r="A71" s="1289">
        <v>2</v>
      </c>
      <c r="B71" s="1285">
        <v>10</v>
      </c>
      <c r="C71" s="1285">
        <v>1</v>
      </c>
      <c r="D71" s="1297">
        <v>27.999999999999996</v>
      </c>
      <c r="E71" s="1299" t="str">
        <f ca="1"/>
        <v>Perform a variety of specialised exercises to engage specific muscles. These sessions must be learned with a coach first but are relatively easy to continue with on your own. Demonstrate control and focus on posture and muscle activation.</v>
      </c>
      <c r="F71" s="1286" t="str">
        <f ca="1"/>
        <v>Sport: Indoor
WU/WD: No 
Effort Total: 30 minutes
HR Target: N/A BPM
HR Range: N/A BPM 
Flat Road Equivalent Pace:  min/km</v>
      </c>
      <c r="G71" s="1286" t="str">
        <f ca="1"/>
        <v xml:space="preserve">Increase strength of specific muscle groups, running economy and injury resistance. </v>
      </c>
      <c r="H71" s="1301" t="str">
        <f ca="1"/>
        <v/>
      </c>
      <c r="I71" s="1303" t="str">
        <f ca="1"/>
        <v>Strength and conditioning</v>
      </c>
      <c r="J71" s="1287" t="str">
        <f ca="1"/>
        <v>Strength</v>
      </c>
      <c r="K71"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71" s="1287">
        <f ca="1"/>
        <v>76</v>
      </c>
      <c r="M71" s="1287">
        <f ca="1"/>
        <v>0.5</v>
      </c>
      <c r="N71" s="1287"/>
      <c r="O71" s="1323" t="str">
        <f ca="1"/>
        <v>2018-10-12 18:00</v>
      </c>
      <c r="P71" s="1287"/>
      <c r="Q71" s="1290" t="str">
        <f ca="1"/>
        <v>Indoor</v>
      </c>
    </row>
    <row r="72" spans="1:17" ht="27.75" hidden="1" customHeight="1" x14ac:dyDescent="0.45">
      <c r="A72" s="1289">
        <v>2</v>
      </c>
      <c r="B72" s="1285">
        <v>10</v>
      </c>
      <c r="C72" s="1285">
        <v>1.9999999999999964</v>
      </c>
      <c r="D72" s="1297">
        <v>29.000000000000004</v>
      </c>
      <c r="E72" s="1299" t="str">
        <f ca="1"/>
        <v>Use a hands, rollers, or balls on all major muscle groups with extra time on more sensitive or problematic areas or as guided by a coach or physio. Finish with 20 minutes of lower-limb stretching.</v>
      </c>
      <c r="F72" s="1286" t="str">
        <f ca="1"/>
        <v>Sport: Indoor
WU/WD: No 
Effort Total: 30 minutes
HR Target: N/A BPM
HR Range: N/A BPM 
Flat Road Equivalent Pace:  min/km</v>
      </c>
      <c r="G72" s="1286" t="str">
        <f ca="1"/>
        <v xml:space="preserve">Release tension that develops in soft tissue from training and non-training stresses. </v>
      </c>
      <c r="H72" s="1301" t="str">
        <f ca="1"/>
        <v/>
      </c>
      <c r="I72" s="1303" t="str">
        <f ca="1"/>
        <v>Maintenance</v>
      </c>
      <c r="J72" s="1287" t="str">
        <f ca="1"/>
        <v>Strength</v>
      </c>
      <c r="K72"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2" s="1287">
        <f ca="1"/>
        <v>76</v>
      </c>
      <c r="M72" s="1287">
        <f ca="1"/>
        <v>0.5</v>
      </c>
      <c r="N72" s="1287"/>
      <c r="O72" s="1323" t="str">
        <f ca="1"/>
        <v>2018-10-12 20:00</v>
      </c>
      <c r="P72" s="1287"/>
      <c r="Q72" s="1290" t="str">
        <f ca="1"/>
        <v>Indoor</v>
      </c>
    </row>
    <row r="73" spans="1:17" ht="27.75" hidden="1" customHeight="1" x14ac:dyDescent="0.45">
      <c r="A73" s="1289">
        <v>2</v>
      </c>
      <c r="B73" s="1285">
        <v>10</v>
      </c>
      <c r="C73" s="1285">
        <v>3.0000000000000036</v>
      </c>
      <c r="D73" s="1297">
        <v>30</v>
      </c>
      <c r="E73" s="1299" t="str">
        <f ca="1"/>
        <v/>
      </c>
      <c r="F73" s="1286" t="str">
        <f ca="1"/>
        <v/>
      </c>
      <c r="G73" s="1286" t="str">
        <f ca="1"/>
        <v/>
      </c>
      <c r="H73" s="1301" t="str">
        <f ca="1"/>
        <v/>
      </c>
      <c r="I73" s="1303" t="str">
        <f ca="1"/>
        <v/>
      </c>
      <c r="J73" s="1287" t="str">
        <f ca="1"/>
        <v/>
      </c>
      <c r="K73" s="1288" t="str">
        <f ca="1"/>
        <v xml:space="preserve">Description:
Details:
Aim:
</v>
      </c>
      <c r="L73" s="1287" t="str">
        <f ca="1"/>
        <v/>
      </c>
      <c r="M73" s="1287" t="str">
        <f ca="1"/>
        <v/>
      </c>
      <c r="N73" s="1287"/>
      <c r="O73" s="1323" t="str">
        <f ca="1"/>
        <v/>
      </c>
      <c r="P73" s="1287"/>
      <c r="Q73" s="1290" t="str">
        <f ca="1"/>
        <v/>
      </c>
    </row>
    <row r="74" spans="1:17" ht="27.75" hidden="1" customHeight="1" x14ac:dyDescent="0.45">
      <c r="A74" s="1289">
        <v>2</v>
      </c>
      <c r="B74" s="1285">
        <v>11</v>
      </c>
      <c r="C74" s="1285">
        <v>1</v>
      </c>
      <c r="D74" s="1297">
        <v>30.999999999999996</v>
      </c>
      <c r="E74" s="1299" t="str">
        <f ca="1"/>
        <v>Perform a variety of specialised exercises to engage specific muscles and apply them in functional movements. These sessions must be learned with a coach first. Warm up and warm down for 10 minutes each.</v>
      </c>
      <c r="F74" s="1286" t="str">
        <f ca="1"/>
        <v>Sport: Run
WU/WD: 15 minutes 
Effort Total: 30 minutes
HR Target: 148 BPM
HR Range: 129 - 169 BPM 
Flat Road Equivalent Pace: 4:14 min/km</v>
      </c>
      <c r="G74" s="1286" t="str">
        <f ca="1"/>
        <v xml:space="preserve">Improve running economy and injury resistance. </v>
      </c>
      <c r="H74" s="1301" t="str">
        <f ca="1"/>
        <v/>
      </c>
      <c r="I74" s="1303" t="str">
        <f ca="1"/>
        <v>Drills + WU/WD</v>
      </c>
      <c r="J74" s="1287" t="str">
        <f ca="1"/>
        <v>Running</v>
      </c>
      <c r="K74"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74" s="1287">
        <f ca="1"/>
        <v>70</v>
      </c>
      <c r="M74" s="1287">
        <f ca="1"/>
        <v>0.5</v>
      </c>
      <c r="N74" s="1287"/>
      <c r="O74" s="1323" t="str">
        <f ca="1"/>
        <v>2018-10-13 06:00</v>
      </c>
      <c r="P74" s="1287"/>
      <c r="Q74" s="1290" t="str">
        <f ca="1"/>
        <v>Run</v>
      </c>
    </row>
    <row r="75" spans="1:17" ht="27.75" hidden="1" customHeight="1" x14ac:dyDescent="0.45">
      <c r="A75" s="1289">
        <v>2</v>
      </c>
      <c r="B75" s="1285">
        <v>11</v>
      </c>
      <c r="C75" s="1285">
        <v>1.9999999999999964</v>
      </c>
      <c r="D75" s="1297">
        <v>32</v>
      </c>
      <c r="E75" s="1299" t="str">
        <f ca="1"/>
        <v/>
      </c>
      <c r="F75" s="1286" t="str">
        <f ca="1"/>
        <v/>
      </c>
      <c r="G75" s="1286" t="str">
        <f ca="1"/>
        <v/>
      </c>
      <c r="H75" s="1301" t="str">
        <f ca="1"/>
        <v/>
      </c>
      <c r="I75" s="1303" t="str">
        <f ca="1"/>
        <v/>
      </c>
      <c r="J75" s="1287" t="str">
        <f ca="1"/>
        <v/>
      </c>
      <c r="K75" s="1288" t="str">
        <f ca="1"/>
        <v xml:space="preserve">Description:
Details:
Aim:
</v>
      </c>
      <c r="L75" s="1287" t="str">
        <f ca="1"/>
        <v/>
      </c>
      <c r="M75" s="1287" t="str">
        <f ca="1"/>
        <v/>
      </c>
      <c r="N75" s="1287"/>
      <c r="O75" s="1323" t="str">
        <f ca="1"/>
        <v/>
      </c>
      <c r="P75" s="1287"/>
      <c r="Q75" s="1290" t="str">
        <f ca="1"/>
        <v/>
      </c>
    </row>
    <row r="76" spans="1:17" ht="27.75" hidden="1" customHeight="1" x14ac:dyDescent="0.45">
      <c r="A76" s="1289">
        <v>2</v>
      </c>
      <c r="B76" s="1285">
        <v>11</v>
      </c>
      <c r="C76" s="1285">
        <v>3.0000000000000036</v>
      </c>
      <c r="D76" s="1297">
        <v>33</v>
      </c>
      <c r="E76" s="1299" t="str">
        <f ca="1"/>
        <v/>
      </c>
      <c r="F76" s="1286" t="str">
        <f ca="1"/>
        <v/>
      </c>
      <c r="G76" s="1286" t="str">
        <f ca="1"/>
        <v/>
      </c>
      <c r="H76" s="1301" t="str">
        <f ca="1"/>
        <v/>
      </c>
      <c r="I76" s="1303" t="str">
        <f ca="1"/>
        <v/>
      </c>
      <c r="J76" s="1287" t="str">
        <f ca="1"/>
        <v/>
      </c>
      <c r="K76" s="1288" t="str">
        <f ca="1"/>
        <v xml:space="preserve">Description:
Details:
Aim:
</v>
      </c>
      <c r="L76" s="1287" t="str">
        <f ca="1"/>
        <v/>
      </c>
      <c r="M76" s="1287" t="str">
        <f ca="1"/>
        <v/>
      </c>
      <c r="N76" s="1287"/>
      <c r="O76" s="1323" t="str">
        <f ca="1"/>
        <v/>
      </c>
      <c r="P76" s="1287"/>
      <c r="Q76" s="1290" t="str">
        <f ca="1"/>
        <v/>
      </c>
    </row>
    <row r="77" spans="1:17" ht="27.75" hidden="1" customHeight="1" x14ac:dyDescent="0.45">
      <c r="A77" s="1289">
        <v>2</v>
      </c>
      <c r="B77" s="1285">
        <v>12</v>
      </c>
      <c r="C77" s="1285">
        <v>1</v>
      </c>
      <c r="D77" s="1297">
        <v>34.000000000000007</v>
      </c>
      <c r="E77" s="1299" t="str">
        <f ca="1"/>
        <v>Stay at a comfortable and controlled intensity where you should be able to have a conversation without large pauses. Keep an even intensity and accept that your pace may change as the terrain changes.</v>
      </c>
      <c r="F77" s="1286" t="str">
        <f ca="1"/>
        <v>Sport: Run
WU/WD: No 
Effort Total: 55 minutes
HR Target: 138 BPM
HR Range: 129 - 148 BPM 
Flat Road Equivalent Pace: 4:39 min/km</v>
      </c>
      <c r="G77" s="1286" t="str">
        <f ca="1"/>
        <v xml:space="preserve">Improve aerobic fitness while minimising the chance of injury. </v>
      </c>
      <c r="H77" s="1301" t="str">
        <f ca="1"/>
        <v/>
      </c>
      <c r="I77" s="1303" t="str">
        <f ca="1"/>
        <v>Easy run: 55 minutes</v>
      </c>
      <c r="J77" s="1287" t="str">
        <f ca="1"/>
        <v>Running</v>
      </c>
      <c r="K77"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55 minutes
HR Target: 138 BPM
HR Range: 129 - 148 BPM 
Flat Road Equivalent Pace: 4:39 min/km
Aim:
Improve aerobic fitness while minimising the chance of injury. </v>
      </c>
      <c r="L77" s="1287">
        <f ca="1"/>
        <v>2</v>
      </c>
      <c r="M77" s="1287">
        <f ca="1"/>
        <v>0.91666666666666663</v>
      </c>
      <c r="N77" s="1287"/>
      <c r="O77" s="1323" t="str">
        <f ca="1"/>
        <v>2018-10-13 18:00</v>
      </c>
      <c r="P77" s="1287"/>
      <c r="Q77" s="1290" t="str">
        <f ca="1"/>
        <v>Run</v>
      </c>
    </row>
    <row r="78" spans="1:17" ht="27.75" hidden="1" customHeight="1" x14ac:dyDescent="0.45">
      <c r="A78" s="1289">
        <v>2</v>
      </c>
      <c r="B78" s="1285">
        <v>12</v>
      </c>
      <c r="C78" s="1285">
        <v>1.9999999999999964</v>
      </c>
      <c r="D78" s="1297">
        <v>35</v>
      </c>
      <c r="E78" s="1299" t="str">
        <f ca="1"/>
        <v/>
      </c>
      <c r="F78" s="1286" t="str">
        <f ca="1"/>
        <v/>
      </c>
      <c r="G78" s="1286" t="str">
        <f ca="1"/>
        <v/>
      </c>
      <c r="H78" s="1301" t="str">
        <f ca="1"/>
        <v/>
      </c>
      <c r="I78" s="1303" t="str">
        <f ca="1"/>
        <v/>
      </c>
      <c r="J78" s="1287" t="str">
        <f ca="1"/>
        <v/>
      </c>
      <c r="K78" s="1288" t="str">
        <f ca="1"/>
        <v xml:space="preserve">Description:
Details:
Aim:
</v>
      </c>
      <c r="L78" s="1287" t="str">
        <f ca="1"/>
        <v/>
      </c>
      <c r="M78" s="1287" t="str">
        <f ca="1"/>
        <v/>
      </c>
      <c r="N78" s="1287"/>
      <c r="O78" s="1323" t="str">
        <f ca="1"/>
        <v/>
      </c>
      <c r="P78" s="1287"/>
      <c r="Q78" s="1290" t="str">
        <f ca="1"/>
        <v/>
      </c>
    </row>
    <row r="79" spans="1:17" ht="27.75" hidden="1" customHeight="1" x14ac:dyDescent="0.45">
      <c r="A79" s="1289">
        <v>2</v>
      </c>
      <c r="B79" s="1285">
        <v>12</v>
      </c>
      <c r="C79" s="1285">
        <v>3.0000000000000036</v>
      </c>
      <c r="D79" s="1297">
        <v>36</v>
      </c>
      <c r="E79" s="1299" t="str">
        <f ca="1"/>
        <v/>
      </c>
      <c r="F79" s="1286" t="str">
        <f ca="1"/>
        <v/>
      </c>
      <c r="G79" s="1286" t="str">
        <f ca="1"/>
        <v/>
      </c>
      <c r="H79" s="1301" t="str">
        <f ca="1"/>
        <v/>
      </c>
      <c r="I79" s="1303" t="str">
        <f ca="1"/>
        <v/>
      </c>
      <c r="J79" s="1287" t="str">
        <f ca="1"/>
        <v/>
      </c>
      <c r="K79" s="1288" t="str">
        <f ca="1"/>
        <v xml:space="preserve">Description:
Details:
Aim:
</v>
      </c>
      <c r="L79" s="1287" t="str">
        <f ca="1"/>
        <v/>
      </c>
      <c r="M79" s="1287" t="str">
        <f ca="1"/>
        <v/>
      </c>
      <c r="N79" s="1287"/>
      <c r="O79" s="1323" t="str">
        <f ca="1"/>
        <v/>
      </c>
      <c r="P79" s="1287"/>
      <c r="Q79" s="1290" t="str">
        <f ca="1"/>
        <v/>
      </c>
    </row>
    <row r="80" spans="1:17" ht="27.75" hidden="1" customHeight="1" x14ac:dyDescent="0.45">
      <c r="A80" s="1289">
        <v>2</v>
      </c>
      <c r="B80" s="1285">
        <v>13</v>
      </c>
      <c r="C80" s="1285">
        <v>1</v>
      </c>
      <c r="D80" s="1297">
        <v>37</v>
      </c>
      <c r="E80" s="1299" t="str">
        <f ca="1"/>
        <v xml:space="preserve">Fundamentally a steady, but you can be less strict at controlling your intensity as long as your average intensity is close to it's target by the end of the session </v>
      </c>
      <c r="F80" s="1286" t="str">
        <f ca="1"/>
        <v>Sport: Ride
WU/WD: No 
Effort Total: 140 minutes
HR Target: 148 BPM
HR Range: 129 - 169 BPM 
Flat Road Equivalent Pace: 4:14 min/km</v>
      </c>
      <c r="G80" s="1286" t="str">
        <f ca="1"/>
        <v xml:space="preserve">Improve aerobic fitness and energy utilisation. </v>
      </c>
      <c r="H80" s="1301" t="str">
        <f ca="1"/>
        <v/>
      </c>
      <c r="I80" s="1303" t="str">
        <f ca="1"/>
        <v>Long ride: 140 minutes</v>
      </c>
      <c r="J80" s="1287" t="str">
        <f ca="1"/>
        <v>Cycling</v>
      </c>
      <c r="K80" s="1288" t="str">
        <f ca="1"/>
        <v xml:space="preserve">Description:
Fundamentally a steady, but you can be less strict at controlling your intensity as long as your average intensity is close to it's target by the end of the session 
Details:
Sport: Ride
WU/WD: No 
Effort Total: 140 minutes
HR Target: 148 BPM
HR Range: 129 - 169 BPM 
Flat Road Equivalent Pace: 4:14 min/km
Aim:
Improve aerobic fitness and energy utilisation. </v>
      </c>
      <c r="L80" s="1287">
        <f ca="1"/>
        <v>104</v>
      </c>
      <c r="M80" s="1287">
        <f ca="1"/>
        <v>2.3333333333333335</v>
      </c>
      <c r="N80" s="1287"/>
      <c r="O80" s="1323" t="str">
        <f ca="1"/>
        <v>2018-10-14 06:00</v>
      </c>
      <c r="P80" s="1287"/>
      <c r="Q80" s="1290" t="str">
        <f ca="1"/>
        <v>Ride</v>
      </c>
    </row>
    <row r="81" spans="1:17" ht="27.75" hidden="1" customHeight="1" x14ac:dyDescent="0.45">
      <c r="A81" s="1289">
        <v>2</v>
      </c>
      <c r="B81" s="1285">
        <v>13</v>
      </c>
      <c r="C81" s="1285">
        <v>1.9999999999999964</v>
      </c>
      <c r="D81" s="1297">
        <v>38</v>
      </c>
      <c r="E81" s="1299" t="str">
        <f ca="1"/>
        <v/>
      </c>
      <c r="F81" s="1286" t="str">
        <f ca="1"/>
        <v/>
      </c>
      <c r="G81" s="1286" t="str">
        <f ca="1"/>
        <v/>
      </c>
      <c r="H81" s="1301" t="str">
        <f ca="1"/>
        <v/>
      </c>
      <c r="I81" s="1303" t="str">
        <f ca="1"/>
        <v/>
      </c>
      <c r="J81" s="1287" t="str">
        <f ca="1"/>
        <v/>
      </c>
      <c r="K81" s="1288" t="str">
        <f ca="1"/>
        <v xml:space="preserve">Description:
Details:
Aim:
</v>
      </c>
      <c r="L81" s="1287" t="str">
        <f ca="1"/>
        <v/>
      </c>
      <c r="M81" s="1287" t="str">
        <f ca="1"/>
        <v/>
      </c>
      <c r="N81" s="1287"/>
      <c r="O81" s="1323" t="str">
        <f ca="1"/>
        <v/>
      </c>
      <c r="P81" s="1287"/>
      <c r="Q81" s="1290" t="str">
        <f ca="1"/>
        <v/>
      </c>
    </row>
    <row r="82" spans="1:17" ht="27.75" hidden="1" customHeight="1" x14ac:dyDescent="0.45">
      <c r="A82" s="1289">
        <v>2</v>
      </c>
      <c r="B82" s="1285">
        <v>13</v>
      </c>
      <c r="C82" s="1285">
        <v>3.0000000000000036</v>
      </c>
      <c r="D82" s="1297">
        <v>38.999999999999993</v>
      </c>
      <c r="E82" s="1299" t="str">
        <f ca="1"/>
        <v/>
      </c>
      <c r="F82" s="1286" t="str">
        <f ca="1"/>
        <v/>
      </c>
      <c r="G82" s="1286" t="str">
        <f ca="1"/>
        <v/>
      </c>
      <c r="H82" s="1301" t="str">
        <f ca="1"/>
        <v/>
      </c>
      <c r="I82" s="1303" t="str">
        <f ca="1"/>
        <v/>
      </c>
      <c r="J82" s="1287" t="str">
        <f ca="1"/>
        <v/>
      </c>
      <c r="K82" s="1288" t="str">
        <f ca="1"/>
        <v xml:space="preserve">Description:
Details:
Aim:
</v>
      </c>
      <c r="L82" s="1287" t="str">
        <f ca="1"/>
        <v/>
      </c>
      <c r="M82" s="1287" t="str">
        <f ca="1"/>
        <v/>
      </c>
      <c r="N82" s="1287"/>
      <c r="O82" s="1323" t="str">
        <f ca="1"/>
        <v/>
      </c>
      <c r="P82" s="1287"/>
      <c r="Q82" s="1290" t="str">
        <f ca="1"/>
        <v/>
      </c>
    </row>
    <row r="83" spans="1:17" ht="27.75" hidden="1" customHeight="1" x14ac:dyDescent="0.45">
      <c r="A83" s="1289">
        <v>2</v>
      </c>
      <c r="B83" s="1285">
        <v>14</v>
      </c>
      <c r="C83" s="1285">
        <v>1</v>
      </c>
      <c r="D83" s="1297">
        <v>40</v>
      </c>
      <c r="E83" s="1299" t="str">
        <f ca="1"/>
        <v/>
      </c>
      <c r="F83" s="1286" t="str">
        <f ca="1"/>
        <v/>
      </c>
      <c r="G83" s="1286" t="str">
        <f ca="1"/>
        <v/>
      </c>
      <c r="H83" s="1301" t="str">
        <f ca="1"/>
        <v/>
      </c>
      <c r="I83" s="1303" t="str">
        <f ca="1"/>
        <v/>
      </c>
      <c r="J83" s="1287" t="str">
        <f ca="1"/>
        <v/>
      </c>
      <c r="K83" s="1288" t="str">
        <f ca="1"/>
        <v xml:space="preserve">Description:
Details:
Aim:
</v>
      </c>
      <c r="L83" s="1287" t="str">
        <f ca="1"/>
        <v/>
      </c>
      <c r="M83" s="1287" t="str">
        <f ca="1"/>
        <v/>
      </c>
      <c r="N83" s="1287"/>
      <c r="O83" s="1323" t="str">
        <f ca="1"/>
        <v/>
      </c>
      <c r="P83" s="1287"/>
      <c r="Q83" s="1290" t="str">
        <f ca="1"/>
        <v/>
      </c>
    </row>
    <row r="84" spans="1:17" ht="27.75" hidden="1" customHeight="1" x14ac:dyDescent="0.45">
      <c r="A84" s="1289">
        <v>2</v>
      </c>
      <c r="B84" s="1285">
        <v>14</v>
      </c>
      <c r="C84" s="1285">
        <v>1.9999999999999964</v>
      </c>
      <c r="D84" s="1297">
        <v>41</v>
      </c>
      <c r="E84" s="1299" t="str">
        <f ca="1"/>
        <v/>
      </c>
      <c r="F84" s="1286" t="str">
        <f ca="1"/>
        <v/>
      </c>
      <c r="G84" s="1286" t="str">
        <f ca="1"/>
        <v/>
      </c>
      <c r="H84" s="1301" t="str">
        <f ca="1"/>
        <v/>
      </c>
      <c r="I84" s="1303" t="str">
        <f ca="1"/>
        <v/>
      </c>
      <c r="J84" s="1287" t="str">
        <f ca="1"/>
        <v/>
      </c>
      <c r="K84" s="1288" t="str">
        <f ca="1"/>
        <v xml:space="preserve">Description:
Details:
Aim:
</v>
      </c>
      <c r="L84" s="1287" t="str">
        <f ca="1"/>
        <v/>
      </c>
      <c r="M84" s="1287" t="str">
        <f ca="1"/>
        <v/>
      </c>
      <c r="N84" s="1287"/>
      <c r="O84" s="1323" t="str">
        <f ca="1"/>
        <v/>
      </c>
      <c r="P84" s="1287"/>
      <c r="Q84" s="1290" t="str">
        <f ca="1"/>
        <v/>
      </c>
    </row>
    <row r="85" spans="1:17" ht="27.75" hidden="1" customHeight="1" x14ac:dyDescent="0.45">
      <c r="A85" s="1289">
        <v>2</v>
      </c>
      <c r="B85" s="1285">
        <v>14</v>
      </c>
      <c r="C85" s="1285">
        <v>3.0000000000000036</v>
      </c>
      <c r="D85" s="1297">
        <v>42</v>
      </c>
      <c r="E85" s="1299" t="str">
        <f ca="1"/>
        <v/>
      </c>
      <c r="F85" s="1286" t="str">
        <f ca="1"/>
        <v/>
      </c>
      <c r="G85" s="1286" t="str">
        <f ca="1"/>
        <v/>
      </c>
      <c r="H85" s="1301" t="str">
        <f ca="1"/>
        <v/>
      </c>
      <c r="I85" s="1303" t="str">
        <f ca="1"/>
        <v/>
      </c>
      <c r="J85" s="1287" t="str">
        <f ca="1"/>
        <v/>
      </c>
      <c r="K85" s="1288" t="str">
        <f ca="1"/>
        <v xml:space="preserve">Description:
Details:
Aim:
</v>
      </c>
      <c r="L85" s="1287" t="str">
        <f ca="1"/>
        <v/>
      </c>
      <c r="M85" s="1287" t="str">
        <f ca="1"/>
        <v/>
      </c>
      <c r="N85" s="1287"/>
      <c r="O85" s="1323" t="str">
        <f ca="1"/>
        <v/>
      </c>
      <c r="P85" s="1287"/>
      <c r="Q85" s="1290" t="str">
        <f ca="1"/>
        <v/>
      </c>
    </row>
    <row r="86" spans="1:17" ht="27.75" hidden="1" customHeight="1" x14ac:dyDescent="0.45">
      <c r="A86" s="1289">
        <v>3</v>
      </c>
      <c r="B86" s="1285">
        <v>1</v>
      </c>
      <c r="C86" s="1285">
        <v>1</v>
      </c>
      <c r="D86" s="1297">
        <v>1</v>
      </c>
      <c r="E86" s="1299" t="str">
        <f ca="1"/>
        <v>Stay at a comfortable and controlled intensity where you should be able to have a conversation without large pauses. Keep an even intensity and accept that your pace may change as the terrain changes.</v>
      </c>
      <c r="F86" s="1286" t="str">
        <f ca="1"/>
        <v>Sport: Ride
WU/WD: No 
Effort Total: 40 minutes
HR Target: 138 BPM
HR Range: 129 - 148 BPM 
Flat Road Equivalent Pace: 4:39 min/km</v>
      </c>
      <c r="G86" s="1286" t="str">
        <f ca="1"/>
        <v xml:space="preserve">Improve aerobic fitness while minimising the chance of injury. </v>
      </c>
      <c r="H86" s="1301" t="str">
        <f ca="1"/>
        <v/>
      </c>
      <c r="I86" s="1303" t="str">
        <f ca="1"/>
        <v>Easy ride: 40 minutes</v>
      </c>
      <c r="J86" s="1287" t="str">
        <f ca="1"/>
        <v>Cycling</v>
      </c>
      <c r="K8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86" s="1287">
        <f ca="1"/>
        <v>110</v>
      </c>
      <c r="M86" s="1287">
        <f ca="1"/>
        <v>0.66666666666666663</v>
      </c>
      <c r="N86" s="1287"/>
      <c r="O86" s="1323" t="str">
        <f ca="1"/>
        <v>2018-10-15 06:00</v>
      </c>
      <c r="P86" s="1287"/>
      <c r="Q86" s="1290" t="str">
        <f ca="1"/>
        <v>Ride</v>
      </c>
    </row>
    <row r="87" spans="1:17" ht="27.75" hidden="1" customHeight="1" x14ac:dyDescent="0.45">
      <c r="A87" s="1289">
        <v>3</v>
      </c>
      <c r="B87" s="1285">
        <v>1</v>
      </c>
      <c r="C87" s="1285">
        <v>1.9999999999999964</v>
      </c>
      <c r="D87" s="1297">
        <v>1.9999999999999964</v>
      </c>
      <c r="E87" s="1299" t="str">
        <f ca="1"/>
        <v/>
      </c>
      <c r="F87" s="1286" t="str">
        <f ca="1"/>
        <v/>
      </c>
      <c r="G87" s="1286" t="str">
        <f ca="1"/>
        <v/>
      </c>
      <c r="H87" s="1301" t="str">
        <f ca="1"/>
        <v/>
      </c>
      <c r="I87" s="1303" t="str">
        <f ca="1"/>
        <v/>
      </c>
      <c r="J87" s="1287" t="str">
        <f ca="1"/>
        <v/>
      </c>
      <c r="K87" s="1288" t="str">
        <f ca="1"/>
        <v xml:space="preserve">Description:
Details:
Aim:
</v>
      </c>
      <c r="L87" s="1287" t="str">
        <f ca="1"/>
        <v/>
      </c>
      <c r="M87" s="1287" t="str">
        <f ca="1"/>
        <v/>
      </c>
      <c r="N87" s="1287"/>
      <c r="O87" s="1323" t="str">
        <f ca="1"/>
        <v/>
      </c>
      <c r="P87" s="1287"/>
      <c r="Q87" s="1290" t="str">
        <f ca="1"/>
        <v/>
      </c>
    </row>
    <row r="88" spans="1:17" ht="27.75" hidden="1" customHeight="1" x14ac:dyDescent="0.45">
      <c r="A88" s="1289">
        <v>3</v>
      </c>
      <c r="B88" s="1285">
        <v>1</v>
      </c>
      <c r="C88" s="1285">
        <v>3.0000000000000036</v>
      </c>
      <c r="D88" s="1297">
        <v>2.9999999999999929</v>
      </c>
      <c r="E88" s="1299" t="str">
        <f ca="1"/>
        <v/>
      </c>
      <c r="F88" s="1286" t="str">
        <f ca="1"/>
        <v/>
      </c>
      <c r="G88" s="1286" t="str">
        <f ca="1"/>
        <v/>
      </c>
      <c r="H88" s="1301" t="str">
        <f ca="1"/>
        <v/>
      </c>
      <c r="I88" s="1303" t="str">
        <f ca="1"/>
        <v/>
      </c>
      <c r="J88" s="1287" t="str">
        <f ca="1"/>
        <v/>
      </c>
      <c r="K88" s="1288" t="str">
        <f ca="1"/>
        <v xml:space="preserve">Description:
Details:
Aim:
</v>
      </c>
      <c r="L88" s="1287" t="str">
        <f ca="1"/>
        <v/>
      </c>
      <c r="M88" s="1287" t="str">
        <f ca="1"/>
        <v/>
      </c>
      <c r="N88" s="1287"/>
      <c r="O88" s="1323" t="str">
        <f ca="1"/>
        <v/>
      </c>
      <c r="P88" s="1287"/>
      <c r="Q88" s="1290" t="str">
        <f ca="1"/>
        <v/>
      </c>
    </row>
    <row r="89" spans="1:17" ht="27.75" hidden="1" customHeight="1" x14ac:dyDescent="0.45">
      <c r="A89" s="1289">
        <v>3</v>
      </c>
      <c r="B89" s="1285">
        <v>2</v>
      </c>
      <c r="C89" s="1285">
        <v>1</v>
      </c>
      <c r="D89" s="1297">
        <v>4.000000000000008</v>
      </c>
      <c r="E89" s="1299" t="str">
        <f ca="1"/>
        <v>Perform a variety of specialised exercises to engage specific muscles. These sessions must be learned with a coach first but are relatively easy to continue with on your own. Demonstrate control and focus on posture and muscle activation.</v>
      </c>
      <c r="F89" s="1286" t="str">
        <f ca="1"/>
        <v>Sport: Indoor
WU/WD: No 
Effort Total: 30 minutes
HR Target: N/A BPM
HR Range: N/A BPM 
Flat Road Equivalent Pace:  min/km</v>
      </c>
      <c r="G89" s="1286" t="str">
        <f ca="1"/>
        <v xml:space="preserve">Increase strength of specific muscle groups, running economy and injury resistance. </v>
      </c>
      <c r="H89" s="1301" t="str">
        <f ca="1"/>
        <v/>
      </c>
      <c r="I89" s="1303" t="str">
        <f ca="1"/>
        <v>Strength and conditioning</v>
      </c>
      <c r="J89" s="1287" t="str">
        <f ca="1"/>
        <v>Strength</v>
      </c>
      <c r="K89"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89" s="1287">
        <f ca="1"/>
        <v>76</v>
      </c>
      <c r="M89" s="1287">
        <f ca="1"/>
        <v>0.5</v>
      </c>
      <c r="N89" s="1287"/>
      <c r="O89" s="1323" t="str">
        <f ca="1"/>
        <v>2018-10-15 18:00</v>
      </c>
      <c r="P89" s="1287"/>
      <c r="Q89" s="1290" t="str">
        <f ca="1"/>
        <v>Indoor</v>
      </c>
    </row>
    <row r="90" spans="1:17" ht="27.75" hidden="1" customHeight="1" x14ac:dyDescent="0.45">
      <c r="A90" s="1289">
        <v>3</v>
      </c>
      <c r="B90" s="1285">
        <v>2</v>
      </c>
      <c r="C90" s="1285">
        <v>1.9999999999999964</v>
      </c>
      <c r="D90" s="1297">
        <v>5.0000000000000044</v>
      </c>
      <c r="E90" s="1299" t="str">
        <f ca="1"/>
        <v>Use a hands, rollers, or balls on all major muscle groups with extra time on more sensitive or problematic areas or as guided by a coach or physio. Finish with 20 minutes of lower-limb stretching.</v>
      </c>
      <c r="F90" s="1286" t="str">
        <f ca="1"/>
        <v>Sport: Indoor
WU/WD: No 
Effort Total: 30 minutes
HR Target: N/A BPM
HR Range: N/A BPM 
Flat Road Equivalent Pace:  min/km</v>
      </c>
      <c r="G90" s="1286" t="str">
        <f ca="1"/>
        <v xml:space="preserve">Release tension that develops in soft tissue from training and non-training stresses. </v>
      </c>
      <c r="H90" s="1301" t="str">
        <f ca="1"/>
        <v/>
      </c>
      <c r="I90" s="1303" t="str">
        <f ca="1"/>
        <v>Maintenance</v>
      </c>
      <c r="J90" s="1287" t="str">
        <f ca="1"/>
        <v>Strength</v>
      </c>
      <c r="K9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90" s="1287">
        <f ca="1"/>
        <v>76</v>
      </c>
      <c r="M90" s="1287">
        <f ca="1"/>
        <v>0.5</v>
      </c>
      <c r="N90" s="1287"/>
      <c r="O90" s="1323" t="str">
        <f ca="1"/>
        <v>2018-10-15 20:00</v>
      </c>
      <c r="P90" s="1287"/>
      <c r="Q90" s="1290" t="str">
        <f ca="1"/>
        <v>Indoor</v>
      </c>
    </row>
    <row r="91" spans="1:17" ht="27.75" hidden="1" customHeight="1" x14ac:dyDescent="0.45">
      <c r="A91" s="1289">
        <v>3</v>
      </c>
      <c r="B91" s="1285">
        <v>2</v>
      </c>
      <c r="C91" s="1285">
        <v>3.0000000000000036</v>
      </c>
      <c r="D91" s="1297">
        <v>6.0000000000000009</v>
      </c>
      <c r="E91" s="1299" t="str">
        <f ca="1"/>
        <v/>
      </c>
      <c r="F91" s="1286" t="str">
        <f ca="1"/>
        <v/>
      </c>
      <c r="G91" s="1286" t="str">
        <f ca="1"/>
        <v/>
      </c>
      <c r="H91" s="1301" t="str">
        <f ca="1"/>
        <v/>
      </c>
      <c r="I91" s="1303" t="str">
        <f ca="1"/>
        <v/>
      </c>
      <c r="J91" s="1287" t="str">
        <f ca="1"/>
        <v/>
      </c>
      <c r="K91" s="1288" t="str">
        <f ca="1"/>
        <v xml:space="preserve">Description:
Details:
Aim:
</v>
      </c>
      <c r="L91" s="1287" t="str">
        <f ca="1"/>
        <v/>
      </c>
      <c r="M91" s="1287" t="str">
        <f ca="1"/>
        <v/>
      </c>
      <c r="N91" s="1287"/>
      <c r="O91" s="1323" t="str">
        <f ca="1"/>
        <v/>
      </c>
      <c r="P91" s="1287"/>
      <c r="Q91" s="1290" t="str">
        <f ca="1"/>
        <v/>
      </c>
    </row>
    <row r="92" spans="1:17" ht="27.75" hidden="1" customHeight="1" x14ac:dyDescent="0.45">
      <c r="A92" s="1289">
        <v>3</v>
      </c>
      <c r="B92" s="1285">
        <v>3</v>
      </c>
      <c r="C92" s="1285">
        <v>1</v>
      </c>
      <c r="D92" s="1297">
        <v>6.9999999999999973</v>
      </c>
      <c r="E92" s="1299" t="str">
        <f ca="1"/>
        <v>Stay at a comfortable and controlled intensity where you should be able to have a conversation without large pauses. Keep an even intensity and accept that your pace may change as the terrain changes.</v>
      </c>
      <c r="F92" s="1286" t="str">
        <f ca="1"/>
        <v>Sport: Ride
WU/WD: No 
Effort Total: 40 minutes
HR Target: 138 BPM
HR Range: 129 - 148 BPM 
Flat Road Equivalent Pace: 4:39 min/km</v>
      </c>
      <c r="G92" s="1286" t="str">
        <f ca="1"/>
        <v xml:space="preserve">Improve aerobic fitness while minimising the chance of injury. </v>
      </c>
      <c r="H92" s="1301" t="str">
        <f ca="1"/>
        <v/>
      </c>
      <c r="I92" s="1303" t="str">
        <f ca="1"/>
        <v>Easy ride: 40 minutes</v>
      </c>
      <c r="J92" s="1287" t="str">
        <f ca="1"/>
        <v>Cycling</v>
      </c>
      <c r="K9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92" s="1287">
        <f ca="1"/>
        <v>110</v>
      </c>
      <c r="M92" s="1287">
        <f ca="1"/>
        <v>0.66666666666666663</v>
      </c>
      <c r="N92" s="1287"/>
      <c r="O92" s="1323" t="str">
        <f ca="1"/>
        <v>2018-10-16 06:00</v>
      </c>
      <c r="P92" s="1287"/>
      <c r="Q92" s="1290" t="str">
        <f ca="1"/>
        <v>Ride</v>
      </c>
    </row>
    <row r="93" spans="1:17" ht="27.75" hidden="1" customHeight="1" x14ac:dyDescent="0.45">
      <c r="A93" s="1289">
        <v>3</v>
      </c>
      <c r="B93" s="1285">
        <v>3</v>
      </c>
      <c r="C93" s="1285">
        <v>1.9999999999999964</v>
      </c>
      <c r="D93" s="1297">
        <v>7.9999999999999938</v>
      </c>
      <c r="E93" s="1299" t="str">
        <f ca="1"/>
        <v/>
      </c>
      <c r="F93" s="1286" t="str">
        <f ca="1"/>
        <v/>
      </c>
      <c r="G93" s="1286" t="str">
        <f ca="1"/>
        <v/>
      </c>
      <c r="H93" s="1301" t="str">
        <f ca="1"/>
        <v/>
      </c>
      <c r="I93" s="1303" t="str">
        <f ca="1"/>
        <v/>
      </c>
      <c r="J93" s="1287" t="str">
        <f ca="1"/>
        <v/>
      </c>
      <c r="K93" s="1288" t="str">
        <f ca="1"/>
        <v xml:space="preserve">Description:
Details:
Aim:
</v>
      </c>
      <c r="L93" s="1287" t="str">
        <f ca="1"/>
        <v/>
      </c>
      <c r="M93" s="1287" t="str">
        <f ca="1"/>
        <v/>
      </c>
      <c r="N93" s="1287"/>
      <c r="O93" s="1323" t="str">
        <f ca="1"/>
        <v/>
      </c>
      <c r="P93" s="1287"/>
      <c r="Q93" s="1290" t="str">
        <f ca="1"/>
        <v/>
      </c>
    </row>
    <row r="94" spans="1:17" ht="27.75" hidden="1" customHeight="1" x14ac:dyDescent="0.45">
      <c r="A94" s="1289">
        <v>3</v>
      </c>
      <c r="B94" s="1285">
        <v>3</v>
      </c>
      <c r="C94" s="1285">
        <v>3.0000000000000036</v>
      </c>
      <c r="D94" s="1297">
        <v>9.0000000000000089</v>
      </c>
      <c r="E94" s="1299" t="str">
        <f ca="1"/>
        <v/>
      </c>
      <c r="F94" s="1286" t="str">
        <f ca="1"/>
        <v/>
      </c>
      <c r="G94" s="1286" t="str">
        <f ca="1"/>
        <v/>
      </c>
      <c r="H94" s="1301" t="str">
        <f ca="1"/>
        <v/>
      </c>
      <c r="I94" s="1303" t="str">
        <f ca="1"/>
        <v/>
      </c>
      <c r="J94" s="1287" t="str">
        <f ca="1"/>
        <v/>
      </c>
      <c r="K94" s="1288" t="str">
        <f ca="1"/>
        <v xml:space="preserve">Description:
Details:
Aim:
</v>
      </c>
      <c r="L94" s="1287" t="str">
        <f ca="1"/>
        <v/>
      </c>
      <c r="M94" s="1287" t="str">
        <f ca="1"/>
        <v/>
      </c>
      <c r="N94" s="1287"/>
      <c r="O94" s="1323" t="str">
        <f ca="1"/>
        <v/>
      </c>
      <c r="P94" s="1287"/>
      <c r="Q94" s="1290" t="str">
        <f ca="1"/>
        <v/>
      </c>
    </row>
    <row r="95" spans="1:17" ht="370.5" hidden="1" x14ac:dyDescent="0.45">
      <c r="A95" s="1289">
        <v>3</v>
      </c>
      <c r="B95" s="1285">
        <v>4</v>
      </c>
      <c r="C95" s="1285">
        <v>1</v>
      </c>
      <c r="D95" s="1297">
        <v>10.000000000000005</v>
      </c>
      <c r="E95" s="1299" t="str">
        <f ca="1"/>
        <v>Accelerate to a fast pace which you should be able to hold for 50 minutes in a race situation. This will take concentration, but it's important to keep the intensity even, so do not start too hard. Warm up and warm down for 10 minutes each.</v>
      </c>
      <c r="F95" s="1286" t="str">
        <f ca="1"/>
        <v>Sport: Hilly Trail Run
WU/WD: 15 minutes 
Effort Total: 25 minutes
HR Target: 177 BPM
HR Range: 173 - 180 BPM 
Flat Road Equivalent Pace: 3:21 min/km</v>
      </c>
      <c r="G95" s="1286" t="str">
        <f ca="1"/>
        <v xml:space="preserve">Improve endurance by increasing lactate threshold and developing mental toughness. </v>
      </c>
      <c r="H95" s="1301" t="str">
        <f ca="1"/>
        <v/>
      </c>
      <c r="I95" s="1303" t="str">
        <f ca="1"/>
        <v>Hilly tempo hilly trail run: 25 minutes + WU/WD</v>
      </c>
      <c r="J95" s="1287" t="str">
        <f ca="1"/>
        <v>Trail Running</v>
      </c>
      <c r="K95"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95" s="1287">
        <f ca="1"/>
        <v>23</v>
      </c>
      <c r="M95" s="1287">
        <f ca="1"/>
        <v>0.41666666666666669</v>
      </c>
      <c r="N95" s="1287"/>
      <c r="O95" s="1323" t="str">
        <f ca="1"/>
        <v>2018-10-16 18:00</v>
      </c>
      <c r="P95" s="1287"/>
      <c r="Q95" s="1290" t="str">
        <f ca="1"/>
        <v>Hilly Trail Run</v>
      </c>
    </row>
    <row r="96" spans="1:17" ht="27.75" hidden="1" customHeight="1" x14ac:dyDescent="0.45">
      <c r="A96" s="1289">
        <v>3</v>
      </c>
      <c r="B96" s="1285">
        <v>4</v>
      </c>
      <c r="C96" s="1285">
        <v>1.9999999999999964</v>
      </c>
      <c r="D96" s="1297">
        <v>11.000000000000002</v>
      </c>
      <c r="E96" s="1299" t="str">
        <f ca="1"/>
        <v/>
      </c>
      <c r="F96" s="1286" t="str">
        <f ca="1"/>
        <v/>
      </c>
      <c r="G96" s="1286" t="str">
        <f ca="1"/>
        <v/>
      </c>
      <c r="H96" s="1301" t="str">
        <f ca="1"/>
        <v/>
      </c>
      <c r="I96" s="1303" t="str">
        <f ca="1"/>
        <v/>
      </c>
      <c r="J96" s="1287" t="str">
        <f ca="1"/>
        <v/>
      </c>
      <c r="K96" s="1288" t="str">
        <f ca="1"/>
        <v xml:space="preserve">Description:
Details:
Aim:
</v>
      </c>
      <c r="L96" s="1287" t="str">
        <f ca="1"/>
        <v/>
      </c>
      <c r="M96" s="1287" t="str">
        <f ca="1"/>
        <v/>
      </c>
      <c r="N96" s="1287"/>
      <c r="O96" s="1323" t="str">
        <f ca="1"/>
        <v/>
      </c>
      <c r="P96" s="1287"/>
      <c r="Q96" s="1290" t="str">
        <f ca="1"/>
        <v/>
      </c>
    </row>
    <row r="97" spans="1:17" ht="27.75" hidden="1" customHeight="1" x14ac:dyDescent="0.45">
      <c r="A97" s="1289">
        <v>3</v>
      </c>
      <c r="B97" s="1285">
        <v>4</v>
      </c>
      <c r="C97" s="1285">
        <v>3.0000000000000036</v>
      </c>
      <c r="D97" s="1297">
        <v>11.999999999999998</v>
      </c>
      <c r="E97" s="1299" t="str">
        <f ca="1"/>
        <v/>
      </c>
      <c r="F97" s="1286" t="str">
        <f ca="1"/>
        <v/>
      </c>
      <c r="G97" s="1286" t="str">
        <f ca="1"/>
        <v/>
      </c>
      <c r="H97" s="1301" t="str">
        <f ca="1"/>
        <v/>
      </c>
      <c r="I97" s="1303" t="str">
        <f ca="1"/>
        <v/>
      </c>
      <c r="J97" s="1287" t="str">
        <f ca="1"/>
        <v/>
      </c>
      <c r="K97" s="1288" t="str">
        <f ca="1"/>
        <v xml:space="preserve">Description:
Details:
Aim:
</v>
      </c>
      <c r="L97" s="1287" t="str">
        <f ca="1"/>
        <v/>
      </c>
      <c r="M97" s="1287" t="str">
        <f ca="1"/>
        <v/>
      </c>
      <c r="N97" s="1287"/>
      <c r="O97" s="1323" t="str">
        <f ca="1"/>
        <v/>
      </c>
      <c r="P97" s="1287"/>
      <c r="Q97" s="1290" t="str">
        <f ca="1"/>
        <v/>
      </c>
    </row>
    <row r="98" spans="1:17" ht="27.75" hidden="1" customHeight="1" x14ac:dyDescent="0.45">
      <c r="A98" s="1289">
        <v>3</v>
      </c>
      <c r="B98" s="1285">
        <v>5</v>
      </c>
      <c r="C98" s="1285">
        <v>1</v>
      </c>
      <c r="D98" s="1297">
        <v>12.999999999999995</v>
      </c>
      <c r="E98" s="1299" t="str">
        <f ca="1"/>
        <v/>
      </c>
      <c r="F98" s="1286" t="str">
        <f ca="1"/>
        <v/>
      </c>
      <c r="G98" s="1286" t="str">
        <f ca="1"/>
        <v/>
      </c>
      <c r="H98" s="1301" t="str">
        <f ca="1"/>
        <v/>
      </c>
      <c r="I98" s="1303" t="str">
        <f ca="1"/>
        <v/>
      </c>
      <c r="J98" s="1287" t="str">
        <f ca="1"/>
        <v/>
      </c>
      <c r="K98" s="1288" t="str">
        <f ca="1"/>
        <v xml:space="preserve">Description:
Details:
Aim:
</v>
      </c>
      <c r="L98" s="1287" t="str">
        <f ca="1"/>
        <v/>
      </c>
      <c r="M98" s="1287" t="str">
        <f ca="1"/>
        <v/>
      </c>
      <c r="N98" s="1287"/>
      <c r="O98" s="1323" t="str">
        <f ca="1"/>
        <v/>
      </c>
      <c r="P98" s="1287"/>
      <c r="Q98" s="1290" t="str">
        <f ca="1"/>
        <v/>
      </c>
    </row>
    <row r="99" spans="1:17" ht="27.75" hidden="1" customHeight="1" x14ac:dyDescent="0.45">
      <c r="A99" s="1289">
        <v>3</v>
      </c>
      <c r="B99" s="1285">
        <v>5</v>
      </c>
      <c r="C99" s="1285">
        <v>2.0000000000000071</v>
      </c>
      <c r="D99" s="1297">
        <v>13.999999999999991</v>
      </c>
      <c r="E99" s="1299" t="str">
        <f ca="1"/>
        <v/>
      </c>
      <c r="F99" s="1286" t="str">
        <f ca="1"/>
        <v/>
      </c>
      <c r="G99" s="1286" t="str">
        <f ca="1"/>
        <v/>
      </c>
      <c r="H99" s="1301" t="str">
        <f ca="1"/>
        <v/>
      </c>
      <c r="I99" s="1303" t="str">
        <f ca="1"/>
        <v/>
      </c>
      <c r="J99" s="1287" t="str">
        <f ca="1"/>
        <v/>
      </c>
      <c r="K99" s="1288" t="str">
        <f ca="1"/>
        <v xml:space="preserve">Description:
Details:
Aim:
</v>
      </c>
      <c r="L99" s="1287" t="str">
        <f ca="1"/>
        <v/>
      </c>
      <c r="M99" s="1287" t="str">
        <f ca="1"/>
        <v/>
      </c>
      <c r="N99" s="1287"/>
      <c r="O99" s="1323" t="str">
        <f ca="1"/>
        <v/>
      </c>
      <c r="P99" s="1287"/>
      <c r="Q99" s="1290" t="str">
        <f ca="1"/>
        <v/>
      </c>
    </row>
    <row r="100" spans="1:17" ht="27.75" hidden="1" customHeight="1" x14ac:dyDescent="0.45">
      <c r="A100" s="1289">
        <v>3</v>
      </c>
      <c r="B100" s="1285">
        <v>5</v>
      </c>
      <c r="C100" s="1285">
        <v>2.9999999999999929</v>
      </c>
      <c r="D100" s="1297">
        <v>15.000000000000007</v>
      </c>
      <c r="E100" s="1299" t="str">
        <f ca="1"/>
        <v/>
      </c>
      <c r="F100" s="1286" t="str">
        <f ca="1"/>
        <v/>
      </c>
      <c r="G100" s="1286" t="str">
        <f ca="1"/>
        <v/>
      </c>
      <c r="H100" s="1301" t="str">
        <f ca="1"/>
        <v/>
      </c>
      <c r="I100" s="1303" t="str">
        <f ca="1"/>
        <v/>
      </c>
      <c r="J100" s="1287" t="str">
        <f ca="1"/>
        <v/>
      </c>
      <c r="K100" s="1288" t="str">
        <f ca="1"/>
        <v xml:space="preserve">Description:
Details:
Aim:
</v>
      </c>
      <c r="L100" s="1287" t="str">
        <f ca="1"/>
        <v/>
      </c>
      <c r="M100" s="1287" t="str">
        <f ca="1"/>
        <v/>
      </c>
      <c r="N100" s="1287"/>
      <c r="O100" s="1323" t="str">
        <f ca="1"/>
        <v/>
      </c>
      <c r="P100" s="1287"/>
      <c r="Q100" s="1290" t="str">
        <f ca="1"/>
        <v/>
      </c>
    </row>
    <row r="101" spans="1:17" ht="27.75" hidden="1" customHeight="1" x14ac:dyDescent="0.45">
      <c r="A101" s="1289">
        <v>3</v>
      </c>
      <c r="B101" s="1285">
        <v>6</v>
      </c>
      <c r="C101" s="1285">
        <v>1</v>
      </c>
      <c r="D101" s="1297">
        <v>16.000000000000004</v>
      </c>
      <c r="E101" s="1299" t="str">
        <f ca="1"/>
        <v>Stay at a comfortable and controlled intensity where you should be able to have a conversation without large pauses. Keep an even intensity and accept that your pace may change as the terrain changes.</v>
      </c>
      <c r="F101" s="1286" t="str">
        <f ca="1"/>
        <v>Sport: Road Ride
WU/WD: No 
Effort Total: 85 minutes
HR Target: 138 BPM
HR Range: 129 - 148 BPM 
Flat Road Equivalent Pace: 4:39 min/km</v>
      </c>
      <c r="G101" s="1286" t="str">
        <f ca="1"/>
        <v xml:space="preserve">Improve aerobic fitness while minimising the chance of injury. </v>
      </c>
      <c r="H101" s="1301" t="str">
        <f ca="1"/>
        <v/>
      </c>
      <c r="I101" s="1303" t="str">
        <f ca="1"/>
        <v>Easy road ride: 85 minutes</v>
      </c>
      <c r="J101" s="1287" t="str">
        <f ca="1"/>
        <v>Cycling</v>
      </c>
      <c r="K101"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85 minutes
HR Target: 138 BPM
HR Range: 129 - 148 BPM 
Flat Road Equivalent Pace: 4:39 min/km
Aim:
Improve aerobic fitness while minimising the chance of injury. </v>
      </c>
      <c r="L101" s="1287">
        <f ca="1"/>
        <v>101</v>
      </c>
      <c r="M101" s="1287">
        <f ca="1"/>
        <v>1.4166666666666667</v>
      </c>
      <c r="N101" s="1287"/>
      <c r="O101" s="1323" t="str">
        <f ca="1"/>
        <v>2018-10-17 18:00</v>
      </c>
      <c r="P101" s="1287"/>
      <c r="Q101" s="1290" t="str">
        <f ca="1"/>
        <v>Road Ride</v>
      </c>
    </row>
    <row r="102" spans="1:17" ht="27.75" hidden="1" customHeight="1" x14ac:dyDescent="0.45">
      <c r="A102" s="1289">
        <v>3</v>
      </c>
      <c r="B102" s="1285">
        <v>6</v>
      </c>
      <c r="C102" s="1285">
        <v>2.0000000000000071</v>
      </c>
      <c r="D102" s="1297">
        <v>17</v>
      </c>
      <c r="E102" s="1299" t="str">
        <f ca="1"/>
        <v/>
      </c>
      <c r="F102" s="1286" t="str">
        <f ca="1"/>
        <v/>
      </c>
      <c r="G102" s="1286" t="str">
        <f ca="1"/>
        <v/>
      </c>
      <c r="H102" s="1301" t="str">
        <f ca="1"/>
        <v/>
      </c>
      <c r="I102" s="1303" t="str">
        <f ca="1"/>
        <v/>
      </c>
      <c r="J102" s="1287" t="str">
        <f ca="1"/>
        <v/>
      </c>
      <c r="K102" s="1288" t="str">
        <f ca="1"/>
        <v xml:space="preserve">Description:
Details:
Aim:
</v>
      </c>
      <c r="L102" s="1287" t="str">
        <f ca="1"/>
        <v/>
      </c>
      <c r="M102" s="1287" t="str">
        <f ca="1"/>
        <v/>
      </c>
      <c r="N102" s="1287"/>
      <c r="O102" s="1323" t="str">
        <f ca="1"/>
        <v/>
      </c>
      <c r="P102" s="1287"/>
      <c r="Q102" s="1290" t="str">
        <f ca="1"/>
        <v/>
      </c>
    </row>
    <row r="103" spans="1:17" ht="27.75" hidden="1" customHeight="1" x14ac:dyDescent="0.45">
      <c r="A103" s="1289">
        <v>3</v>
      </c>
      <c r="B103" s="1285">
        <v>6</v>
      </c>
      <c r="C103" s="1285">
        <v>2.9999999999999929</v>
      </c>
      <c r="D103" s="1297">
        <v>17.999999999999996</v>
      </c>
      <c r="E103" s="1299" t="str">
        <f ca="1"/>
        <v/>
      </c>
      <c r="F103" s="1286" t="str">
        <f ca="1"/>
        <v/>
      </c>
      <c r="G103" s="1286" t="str">
        <f ca="1"/>
        <v/>
      </c>
      <c r="H103" s="1301" t="str">
        <f ca="1"/>
        <v/>
      </c>
      <c r="I103" s="1303" t="str">
        <f ca="1"/>
        <v/>
      </c>
      <c r="J103" s="1287" t="str">
        <f ca="1"/>
        <v/>
      </c>
      <c r="K103" s="1288" t="str">
        <f ca="1"/>
        <v xml:space="preserve">Description:
Details:
Aim:
</v>
      </c>
      <c r="L103" s="1287" t="str">
        <f ca="1"/>
        <v/>
      </c>
      <c r="M103" s="1287" t="str">
        <f ca="1"/>
        <v/>
      </c>
      <c r="N103" s="1287"/>
      <c r="O103" s="1323" t="str">
        <f ca="1"/>
        <v/>
      </c>
      <c r="P103" s="1287"/>
      <c r="Q103" s="1290" t="str">
        <f ca="1"/>
        <v/>
      </c>
    </row>
    <row r="104" spans="1:17" ht="27.75" hidden="1" customHeight="1" x14ac:dyDescent="0.45">
      <c r="A104" s="1289">
        <v>3</v>
      </c>
      <c r="B104" s="1285">
        <v>7</v>
      </c>
      <c r="C104" s="1285">
        <v>1</v>
      </c>
      <c r="D104" s="1297">
        <v>18.999999999999993</v>
      </c>
      <c r="E104" s="1299" t="str">
        <f ca="1"/>
        <v>Stay at a comfortable and controlled intensity where you should be able to have a conversation without large pauses. Keep an even intensity and accept that your pace may change as the terrain changes.</v>
      </c>
      <c r="F104" s="1286" t="str">
        <f ca="1"/>
        <v>Sport: Ride
WU/WD: No 
Effort Total: 40 minutes
HR Target: 138 BPM
HR Range: 129 - 148 BPM 
Flat Road Equivalent Pace: 4:39 min/km</v>
      </c>
      <c r="G104" s="1286" t="str">
        <f ca="1"/>
        <v xml:space="preserve">Improve aerobic fitness while minimising the chance of injury. </v>
      </c>
      <c r="H104" s="1301" t="str">
        <f ca="1"/>
        <v/>
      </c>
      <c r="I104" s="1303" t="str">
        <f ca="1"/>
        <v>Easy ride: 40 minutes</v>
      </c>
      <c r="J104" s="1287" t="str">
        <f ca="1"/>
        <v>Cycling</v>
      </c>
      <c r="K10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04" s="1287">
        <f ca="1"/>
        <v>110</v>
      </c>
      <c r="M104" s="1287">
        <f ca="1"/>
        <v>0.66666666666666663</v>
      </c>
      <c r="N104" s="1287"/>
      <c r="O104" s="1323" t="str">
        <f ca="1"/>
        <v>2018-10-18 06:00</v>
      </c>
      <c r="P104" s="1287"/>
      <c r="Q104" s="1290" t="str">
        <f ca="1"/>
        <v>Ride</v>
      </c>
    </row>
    <row r="105" spans="1:17" ht="27.75" hidden="1" customHeight="1" x14ac:dyDescent="0.45">
      <c r="A105" s="1289">
        <v>3</v>
      </c>
      <c r="B105" s="1285">
        <v>7</v>
      </c>
      <c r="C105" s="1285">
        <v>2.0000000000000071</v>
      </c>
      <c r="D105" s="1297">
        <v>20.000000000000007</v>
      </c>
      <c r="E105" s="1299" t="str">
        <f ca="1"/>
        <v/>
      </c>
      <c r="F105" s="1286" t="str">
        <f ca="1"/>
        <v/>
      </c>
      <c r="G105" s="1286" t="str">
        <f ca="1"/>
        <v/>
      </c>
      <c r="H105" s="1301" t="str">
        <f ca="1"/>
        <v/>
      </c>
      <c r="I105" s="1303" t="str">
        <f ca="1"/>
        <v/>
      </c>
      <c r="J105" s="1287" t="str">
        <f ca="1"/>
        <v/>
      </c>
      <c r="K105" s="1288" t="str">
        <f ca="1"/>
        <v xml:space="preserve">Description:
Details:
Aim:
</v>
      </c>
      <c r="L105" s="1287" t="str">
        <f ca="1"/>
        <v/>
      </c>
      <c r="M105" s="1287" t="str">
        <f ca="1"/>
        <v/>
      </c>
      <c r="N105" s="1287"/>
      <c r="O105" s="1323" t="str">
        <f ca="1"/>
        <v/>
      </c>
      <c r="P105" s="1287"/>
      <c r="Q105" s="1290" t="str">
        <f ca="1"/>
        <v/>
      </c>
    </row>
    <row r="106" spans="1:17" ht="27.75" hidden="1" customHeight="1" x14ac:dyDescent="0.45">
      <c r="A106" s="1289">
        <v>3</v>
      </c>
      <c r="B106" s="1285">
        <v>7</v>
      </c>
      <c r="C106" s="1285">
        <v>2.9999999999999929</v>
      </c>
      <c r="D106" s="1297">
        <v>21.000000000000004</v>
      </c>
      <c r="E106" s="1299" t="str">
        <f ca="1"/>
        <v/>
      </c>
      <c r="F106" s="1286" t="str">
        <f ca="1"/>
        <v/>
      </c>
      <c r="G106" s="1286" t="str">
        <f ca="1"/>
        <v/>
      </c>
      <c r="H106" s="1301" t="str">
        <f ca="1"/>
        <v/>
      </c>
      <c r="I106" s="1303" t="str">
        <f ca="1"/>
        <v/>
      </c>
      <c r="J106" s="1287" t="str">
        <f ca="1"/>
        <v/>
      </c>
      <c r="K106" s="1288" t="str">
        <f ca="1"/>
        <v xml:space="preserve">Description:
Details:
Aim:
</v>
      </c>
      <c r="L106" s="1287" t="str">
        <f ca="1"/>
        <v/>
      </c>
      <c r="M106" s="1287" t="str">
        <f ca="1"/>
        <v/>
      </c>
      <c r="N106" s="1287"/>
      <c r="O106" s="1323" t="str">
        <f ca="1"/>
        <v/>
      </c>
      <c r="P106" s="1287"/>
      <c r="Q106" s="1290" t="str">
        <f ca="1"/>
        <v/>
      </c>
    </row>
    <row r="107" spans="1:17" ht="27.75" hidden="1" customHeight="1" x14ac:dyDescent="0.45">
      <c r="A107" s="1289">
        <v>3</v>
      </c>
      <c r="B107" s="1285">
        <v>8</v>
      </c>
      <c r="C107" s="1285">
        <v>1</v>
      </c>
      <c r="D107" s="1297">
        <v>22</v>
      </c>
      <c r="E107" s="1299" t="str">
        <f ca="1"/>
        <v>Stay at a comfortable and controlled intensity where you should be able to have a conversation without large pauses. Keep an even intensity and accept that your pace may change as the terrain changes.</v>
      </c>
      <c r="F107" s="1286" t="str">
        <f ca="1"/>
        <v>Sport: Hilly Trail Run
WU/WD: No 
Effort Total: 90 minutes
HR Target: 148 BPM
HR Range: 138 - 157 BPM 
Flat Road Equivalent Pace: 4:14 min/km</v>
      </c>
      <c r="G107" s="1286" t="str">
        <f ca="1"/>
        <v>Improve aerobic fitness at an optimal rate.</v>
      </c>
      <c r="H107" s="1301" t="str">
        <f ca="1"/>
        <v/>
      </c>
      <c r="I107" s="1303" t="str">
        <f ca="1"/>
        <v>Steady hilly trail run: 90 minutes</v>
      </c>
      <c r="J107" s="1287" t="str">
        <f ca="1"/>
        <v>Trail Running</v>
      </c>
      <c r="K107"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90 minutes
HR Target: 148 BPM
HR Range: 138 - 157 BPM 
Flat Road Equivalent Pace: 4:14 min/km
Aim:
Improve aerobic fitness at an optimal rate.</v>
      </c>
      <c r="L107" s="1287">
        <f ca="1"/>
        <v>3</v>
      </c>
      <c r="M107" s="1287">
        <f ca="1"/>
        <v>1.5</v>
      </c>
      <c r="N107" s="1287"/>
      <c r="O107" s="1323" t="str">
        <f ca="1"/>
        <v>2018-10-18 18:00</v>
      </c>
      <c r="P107" s="1287"/>
      <c r="Q107" s="1290" t="str">
        <f ca="1"/>
        <v>Hilly Trail Run</v>
      </c>
    </row>
    <row r="108" spans="1:17" ht="27.75" hidden="1" customHeight="1" x14ac:dyDescent="0.45">
      <c r="A108" s="1289">
        <v>3</v>
      </c>
      <c r="B108" s="1285">
        <v>8</v>
      </c>
      <c r="C108" s="1285">
        <v>2.0000000000000071</v>
      </c>
      <c r="D108" s="1297">
        <v>22.999999999999996</v>
      </c>
      <c r="E108" s="1299" t="str">
        <f ca="1"/>
        <v/>
      </c>
      <c r="F108" s="1286" t="str">
        <f ca="1"/>
        <v/>
      </c>
      <c r="G108" s="1286" t="str">
        <f ca="1"/>
        <v/>
      </c>
      <c r="H108" s="1301" t="str">
        <f ca="1"/>
        <v/>
      </c>
      <c r="I108" s="1303" t="str">
        <f ca="1"/>
        <v/>
      </c>
      <c r="J108" s="1287" t="str">
        <f ca="1"/>
        <v/>
      </c>
      <c r="K108" s="1288" t="str">
        <f ca="1"/>
        <v xml:space="preserve">Description:
Details:
Aim:
</v>
      </c>
      <c r="L108" s="1287" t="str">
        <f ca="1"/>
        <v/>
      </c>
      <c r="M108" s="1287" t="str">
        <f ca="1"/>
        <v/>
      </c>
      <c r="N108" s="1287"/>
      <c r="O108" s="1323" t="str">
        <f ca="1"/>
        <v/>
      </c>
      <c r="P108" s="1287"/>
      <c r="Q108" s="1290" t="str">
        <f ca="1"/>
        <v/>
      </c>
    </row>
    <row r="109" spans="1:17" ht="27.75" hidden="1" customHeight="1" x14ac:dyDescent="0.45">
      <c r="A109" s="1289">
        <v>3</v>
      </c>
      <c r="B109" s="1285">
        <v>8</v>
      </c>
      <c r="C109" s="1285">
        <v>2.9999999999999929</v>
      </c>
      <c r="D109" s="1297">
        <v>23.999999999999993</v>
      </c>
      <c r="E109" s="1299" t="str">
        <f ca="1"/>
        <v/>
      </c>
      <c r="F109" s="1286" t="str">
        <f ca="1"/>
        <v/>
      </c>
      <c r="G109" s="1286" t="str">
        <f ca="1"/>
        <v/>
      </c>
      <c r="H109" s="1301" t="str">
        <f ca="1"/>
        <v/>
      </c>
      <c r="I109" s="1303" t="str">
        <f ca="1"/>
        <v/>
      </c>
      <c r="J109" s="1287" t="str">
        <f ca="1"/>
        <v/>
      </c>
      <c r="K109" s="1288" t="str">
        <f ca="1"/>
        <v xml:space="preserve">Description:
Details:
Aim:
</v>
      </c>
      <c r="L109" s="1287" t="str">
        <f ca="1"/>
        <v/>
      </c>
      <c r="M109" s="1287" t="str">
        <f ca="1"/>
        <v/>
      </c>
      <c r="N109" s="1287"/>
      <c r="O109" s="1323" t="str">
        <f ca="1"/>
        <v/>
      </c>
      <c r="P109" s="1287"/>
      <c r="Q109" s="1290" t="str">
        <f ca="1"/>
        <v/>
      </c>
    </row>
    <row r="110" spans="1:17" ht="27.75" hidden="1" customHeight="1" x14ac:dyDescent="0.45">
      <c r="A110" s="1289">
        <v>3</v>
      </c>
      <c r="B110" s="1285">
        <v>9</v>
      </c>
      <c r="C110" s="1285">
        <v>1</v>
      </c>
      <c r="D110" s="1297">
        <v>25.000000000000007</v>
      </c>
      <c r="E110" s="1299" t="str">
        <f ca="1"/>
        <v>Stay at a comfortable and controlled intensity where you should be able to have a conversation without large pauses. Keep an even intensity and accept that your pace may change as the terrain changes.</v>
      </c>
      <c r="F110" s="1286" t="str">
        <f ca="1"/>
        <v>Sport: Ride
WU/WD: No 
Effort Total: 40 minutes
HR Target: 138 BPM
HR Range: 129 - 148 BPM 
Flat Road Equivalent Pace: 4:39 min/km</v>
      </c>
      <c r="G110" s="1286" t="str">
        <f ca="1"/>
        <v xml:space="preserve">Improve aerobic fitness while minimising the chance of injury. </v>
      </c>
      <c r="H110" s="1301" t="str">
        <f ca="1"/>
        <v/>
      </c>
      <c r="I110" s="1303" t="str">
        <f ca="1"/>
        <v>Easy ride: 40 minutes</v>
      </c>
      <c r="J110" s="1287" t="str">
        <f ca="1"/>
        <v>Cycling</v>
      </c>
      <c r="K11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10" s="1287">
        <f ca="1"/>
        <v>110</v>
      </c>
      <c r="M110" s="1287">
        <f ca="1"/>
        <v>0.66666666666666663</v>
      </c>
      <c r="N110" s="1287"/>
      <c r="O110" s="1323" t="str">
        <f ca="1"/>
        <v>2018-10-19 06:00</v>
      </c>
      <c r="P110" s="1287"/>
      <c r="Q110" s="1290" t="str">
        <f ca="1"/>
        <v>Ride</v>
      </c>
    </row>
    <row r="111" spans="1:17" ht="27.75" hidden="1" customHeight="1" x14ac:dyDescent="0.45">
      <c r="A111" s="1289">
        <v>3</v>
      </c>
      <c r="B111" s="1285">
        <v>9</v>
      </c>
      <c r="C111" s="1285">
        <v>2.0000000000000071</v>
      </c>
      <c r="D111" s="1297">
        <v>26.000000000000004</v>
      </c>
      <c r="E111" s="1299" t="str">
        <f ca="1"/>
        <v/>
      </c>
      <c r="F111" s="1286" t="str">
        <f ca="1"/>
        <v/>
      </c>
      <c r="G111" s="1286" t="str">
        <f ca="1"/>
        <v/>
      </c>
      <c r="H111" s="1301" t="str">
        <f ca="1"/>
        <v/>
      </c>
      <c r="I111" s="1303" t="str">
        <f ca="1"/>
        <v/>
      </c>
      <c r="J111" s="1287" t="str">
        <f ca="1"/>
        <v/>
      </c>
      <c r="K111" s="1288" t="str">
        <f ca="1"/>
        <v xml:space="preserve">Description:
Details:
Aim:
</v>
      </c>
      <c r="L111" s="1287" t="str">
        <f ca="1"/>
        <v/>
      </c>
      <c r="M111" s="1287" t="str">
        <f ca="1"/>
        <v/>
      </c>
      <c r="N111" s="1287"/>
      <c r="O111" s="1323" t="str">
        <f ca="1"/>
        <v/>
      </c>
      <c r="P111" s="1287"/>
      <c r="Q111" s="1290" t="str">
        <f ca="1"/>
        <v/>
      </c>
    </row>
    <row r="112" spans="1:17" ht="27.75" hidden="1" customHeight="1" x14ac:dyDescent="0.45">
      <c r="A112" s="1289">
        <v>3</v>
      </c>
      <c r="B112" s="1285">
        <v>9</v>
      </c>
      <c r="C112" s="1285">
        <v>2.9999999999999929</v>
      </c>
      <c r="D112" s="1297">
        <v>27</v>
      </c>
      <c r="E112" s="1299" t="str">
        <f ca="1"/>
        <v/>
      </c>
      <c r="F112" s="1286" t="str">
        <f ca="1"/>
        <v/>
      </c>
      <c r="G112" s="1286" t="str">
        <f ca="1"/>
        <v/>
      </c>
      <c r="H112" s="1301" t="str">
        <f ca="1"/>
        <v/>
      </c>
      <c r="I112" s="1303" t="str">
        <f ca="1"/>
        <v/>
      </c>
      <c r="J112" s="1287" t="str">
        <f ca="1"/>
        <v/>
      </c>
      <c r="K112" s="1288" t="str">
        <f ca="1"/>
        <v xml:space="preserve">Description:
Details:
Aim:
</v>
      </c>
      <c r="L112" s="1287" t="str">
        <f ca="1"/>
        <v/>
      </c>
      <c r="M112" s="1287" t="str">
        <f ca="1"/>
        <v/>
      </c>
      <c r="N112" s="1287"/>
      <c r="O112" s="1323" t="str">
        <f ca="1"/>
        <v/>
      </c>
      <c r="P112" s="1287"/>
      <c r="Q112" s="1290" t="str">
        <f ca="1"/>
        <v/>
      </c>
    </row>
    <row r="113" spans="1:17" ht="27.75" hidden="1" customHeight="1" x14ac:dyDescent="0.45">
      <c r="A113" s="1289">
        <v>3</v>
      </c>
      <c r="B113" s="1285">
        <v>10</v>
      </c>
      <c r="C113" s="1285">
        <v>1</v>
      </c>
      <c r="D113" s="1297">
        <v>27.999999999999996</v>
      </c>
      <c r="E113" s="1299" t="str">
        <f ca="1"/>
        <v>Perform a variety of specialised exercises to engage specific muscles. These sessions must be learned with a coach first but are relatively easy to continue with on your own. Demonstrate control and focus on posture and muscle activation.</v>
      </c>
      <c r="F113" s="1286" t="str">
        <f ca="1"/>
        <v>Sport: Indoor
WU/WD: No 
Effort Total: 30 minutes
HR Target: N/A BPM
HR Range: N/A BPM 
Flat Road Equivalent Pace:  min/km</v>
      </c>
      <c r="G113" s="1286" t="str">
        <f ca="1"/>
        <v xml:space="preserve">Increase strength of specific muscle groups, running economy and injury resistance. </v>
      </c>
      <c r="H113" s="1301" t="str">
        <f ca="1"/>
        <v/>
      </c>
      <c r="I113" s="1303" t="str">
        <f ca="1"/>
        <v>Strength and conditioning</v>
      </c>
      <c r="J113" s="1287" t="str">
        <f ca="1"/>
        <v>Strength</v>
      </c>
      <c r="K113"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113" s="1287">
        <f ca="1"/>
        <v>76</v>
      </c>
      <c r="M113" s="1287">
        <f ca="1"/>
        <v>0.5</v>
      </c>
      <c r="N113" s="1287"/>
      <c r="O113" s="1323" t="str">
        <f ca="1"/>
        <v>2018-10-19 18:00</v>
      </c>
      <c r="P113" s="1287"/>
      <c r="Q113" s="1290" t="str">
        <f ca="1"/>
        <v>Indoor</v>
      </c>
    </row>
    <row r="114" spans="1:17" ht="27.75" hidden="1" customHeight="1" x14ac:dyDescent="0.45">
      <c r="A114" s="1289">
        <v>3</v>
      </c>
      <c r="B114" s="1285">
        <v>10</v>
      </c>
      <c r="C114" s="1285">
        <v>2.0000000000000071</v>
      </c>
      <c r="D114" s="1297">
        <v>28.999999999999993</v>
      </c>
      <c r="E114" s="1299" t="str">
        <f ca="1"/>
        <v>Use a hands, rollers, or balls on all major muscle groups with extra time on more sensitive or problematic areas or as guided by a coach or physio. Finish with 20 minutes of lower-limb stretching.</v>
      </c>
      <c r="F114" s="1286" t="str">
        <f ca="1"/>
        <v>Sport: Indoor
WU/WD: No 
Effort Total: 30 minutes
HR Target: N/A BPM
HR Range: N/A BPM 
Flat Road Equivalent Pace:  min/km</v>
      </c>
      <c r="G114" s="1286" t="str">
        <f ca="1"/>
        <v xml:space="preserve">Release tension that develops in soft tissue from training and non-training stresses. </v>
      </c>
      <c r="H114" s="1301" t="str">
        <f ca="1"/>
        <v/>
      </c>
      <c r="I114" s="1303" t="str">
        <f ca="1"/>
        <v>Maintenance</v>
      </c>
      <c r="J114" s="1287" t="str">
        <f ca="1"/>
        <v>Strength</v>
      </c>
      <c r="K114"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14" s="1287">
        <f ca="1"/>
        <v>76</v>
      </c>
      <c r="M114" s="1287">
        <f ca="1"/>
        <v>0.5</v>
      </c>
      <c r="N114" s="1287"/>
      <c r="O114" s="1323" t="str">
        <f ca="1"/>
        <v>2018-10-19 20:00</v>
      </c>
      <c r="P114" s="1287"/>
      <c r="Q114" s="1290" t="str">
        <f ca="1"/>
        <v>Indoor</v>
      </c>
    </row>
    <row r="115" spans="1:17" ht="27.75" hidden="1" customHeight="1" x14ac:dyDescent="0.45">
      <c r="A115" s="1289">
        <v>3</v>
      </c>
      <c r="B115" s="1285">
        <v>10</v>
      </c>
      <c r="C115" s="1285">
        <v>2.9999999999999929</v>
      </c>
      <c r="D115" s="1297">
        <v>30.000000000000007</v>
      </c>
      <c r="E115" s="1299" t="str">
        <f ca="1"/>
        <v/>
      </c>
      <c r="F115" s="1286" t="str">
        <f ca="1"/>
        <v/>
      </c>
      <c r="G115" s="1286" t="str">
        <f ca="1"/>
        <v/>
      </c>
      <c r="H115" s="1301" t="str">
        <f ca="1"/>
        <v/>
      </c>
      <c r="I115" s="1303" t="str">
        <f ca="1"/>
        <v/>
      </c>
      <c r="J115" s="1287" t="str">
        <f ca="1"/>
        <v/>
      </c>
      <c r="K115" s="1288" t="str">
        <f ca="1"/>
        <v xml:space="preserve">Description:
Details:
Aim:
</v>
      </c>
      <c r="L115" s="1287" t="str">
        <f ca="1"/>
        <v/>
      </c>
      <c r="M115" s="1287" t="str">
        <f ca="1"/>
        <v/>
      </c>
      <c r="N115" s="1287"/>
      <c r="O115" s="1323" t="str">
        <f ca="1"/>
        <v/>
      </c>
      <c r="P115" s="1287"/>
      <c r="Q115" s="1290" t="str">
        <f ca="1"/>
        <v/>
      </c>
    </row>
    <row r="116" spans="1:17" ht="327.75" hidden="1" x14ac:dyDescent="0.45">
      <c r="A116" s="1289">
        <v>3</v>
      </c>
      <c r="B116" s="1285">
        <v>11</v>
      </c>
      <c r="C116" s="1285">
        <v>1</v>
      </c>
      <c r="D116" s="1297">
        <v>31.000000000000007</v>
      </c>
      <c r="E116" s="1299" t="str">
        <f ca="1"/>
        <v>Perform a variety of specialised exercises to engage specific muscles and apply them in functional movements. These sessions must be learned with a coach first. Warm up and warm down for 10 minutes each.</v>
      </c>
      <c r="F116" s="1286" t="str">
        <f ca="1"/>
        <v>Sport: Run
WU/WD: 15 minutes 
Effort Total: 30 minutes
HR Target: 148 BPM
HR Range: 129 - 169 BPM 
Flat Road Equivalent Pace: 4:14 min/km</v>
      </c>
      <c r="G116" s="1286" t="str">
        <f ca="1"/>
        <v xml:space="preserve">Improve running economy and injury resistance. </v>
      </c>
      <c r="H116" s="1301" t="str">
        <f ca="1"/>
        <v/>
      </c>
      <c r="I116" s="1303" t="str">
        <f ca="1"/>
        <v>Drills + WU/WD</v>
      </c>
      <c r="J116" s="1287" t="str">
        <f ca="1"/>
        <v>Running</v>
      </c>
      <c r="K116"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116" s="1287">
        <f ca="1"/>
        <v>70</v>
      </c>
      <c r="M116" s="1287">
        <f ca="1"/>
        <v>0.5</v>
      </c>
      <c r="N116" s="1287"/>
      <c r="O116" s="1323" t="str">
        <f ca="1"/>
        <v>2018-10-20 06:00</v>
      </c>
      <c r="P116" s="1287"/>
      <c r="Q116" s="1290" t="str">
        <f ca="1"/>
        <v>Run</v>
      </c>
    </row>
    <row r="117" spans="1:17" ht="27.75" hidden="1" customHeight="1" x14ac:dyDescent="0.45">
      <c r="A117" s="1289">
        <v>3</v>
      </c>
      <c r="B117" s="1285">
        <v>11</v>
      </c>
      <c r="C117" s="1285">
        <v>2.0000000000000071</v>
      </c>
      <c r="D117" s="1297">
        <v>32</v>
      </c>
      <c r="E117" s="1299" t="str">
        <f ca="1"/>
        <v/>
      </c>
      <c r="F117" s="1286" t="str">
        <f ca="1"/>
        <v/>
      </c>
      <c r="G117" s="1286" t="str">
        <f ca="1"/>
        <v/>
      </c>
      <c r="H117" s="1301" t="str">
        <f ca="1"/>
        <v/>
      </c>
      <c r="I117" s="1303" t="str">
        <f ca="1"/>
        <v/>
      </c>
      <c r="J117" s="1287" t="str">
        <f ca="1"/>
        <v/>
      </c>
      <c r="K117" s="1288" t="str">
        <f ca="1"/>
        <v xml:space="preserve">Description:
Details:
Aim:
</v>
      </c>
      <c r="L117" s="1287" t="str">
        <f ca="1"/>
        <v/>
      </c>
      <c r="M117" s="1287" t="str">
        <f ca="1"/>
        <v/>
      </c>
      <c r="N117" s="1287"/>
      <c r="O117" s="1323" t="str">
        <f ca="1"/>
        <v/>
      </c>
      <c r="P117" s="1287"/>
      <c r="Q117" s="1290" t="str">
        <f ca="1"/>
        <v/>
      </c>
    </row>
    <row r="118" spans="1:17" ht="27.75" hidden="1" customHeight="1" x14ac:dyDescent="0.45">
      <c r="A118" s="1289">
        <v>3</v>
      </c>
      <c r="B118" s="1285">
        <v>11</v>
      </c>
      <c r="C118" s="1285">
        <v>2.9999999999999929</v>
      </c>
      <c r="D118" s="1297">
        <v>33</v>
      </c>
      <c r="E118" s="1299" t="str">
        <f ca="1"/>
        <v/>
      </c>
      <c r="F118" s="1286" t="str">
        <f ca="1"/>
        <v/>
      </c>
      <c r="G118" s="1286" t="str">
        <f ca="1"/>
        <v/>
      </c>
      <c r="H118" s="1301" t="str">
        <f ca="1"/>
        <v/>
      </c>
      <c r="I118" s="1303" t="str">
        <f ca="1"/>
        <v/>
      </c>
      <c r="J118" s="1287" t="str">
        <f ca="1"/>
        <v/>
      </c>
      <c r="K118" s="1288" t="str">
        <f ca="1"/>
        <v xml:space="preserve">Description:
Details:
Aim:
</v>
      </c>
      <c r="L118" s="1287" t="str">
        <f ca="1"/>
        <v/>
      </c>
      <c r="M118" s="1287" t="str">
        <f ca="1"/>
        <v/>
      </c>
      <c r="N118" s="1287"/>
      <c r="O118" s="1323" t="str">
        <f ca="1"/>
        <v/>
      </c>
      <c r="P118" s="1287"/>
      <c r="Q118" s="1290" t="str">
        <f ca="1"/>
        <v/>
      </c>
    </row>
    <row r="119" spans="1:17" ht="27.75" hidden="1" customHeight="1" x14ac:dyDescent="0.45">
      <c r="A119" s="1289">
        <v>3</v>
      </c>
      <c r="B119" s="1285">
        <v>12</v>
      </c>
      <c r="C119" s="1285">
        <v>1</v>
      </c>
      <c r="D119" s="1297">
        <v>33.999999999999993</v>
      </c>
      <c r="E119" s="1299" t="str">
        <f ca="1"/>
        <v>Stay at a comfortable and controlled intensity where you should be able to have a conversation without large pauses. Keep an even intensity and accept that your pace may change as the terrain changes.</v>
      </c>
      <c r="F119" s="1286" t="str">
        <f ca="1"/>
        <v>Sport: Run
WU/WD: No 
Effort Total: 60 minutes
HR Target: 138 BPM
HR Range: 129 - 148 BPM 
Flat Road Equivalent Pace: 4:39 min/km</v>
      </c>
      <c r="G119" s="1286" t="str">
        <f ca="1"/>
        <v xml:space="preserve">Improve aerobic fitness while minimising the chance of injury. </v>
      </c>
      <c r="H119" s="1301" t="str">
        <f ca="1"/>
        <v/>
      </c>
      <c r="I119" s="1303" t="str">
        <f ca="1"/>
        <v>Easy run: 60 minutes</v>
      </c>
      <c r="J119" s="1287" t="str">
        <f ca="1"/>
        <v>Running</v>
      </c>
      <c r="K119"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60 minutes
HR Target: 138 BPM
HR Range: 129 - 148 BPM 
Flat Road Equivalent Pace: 4:39 min/km
Aim:
Improve aerobic fitness while minimising the chance of injury. </v>
      </c>
      <c r="L119" s="1287">
        <f ca="1"/>
        <v>2</v>
      </c>
      <c r="M119" s="1287">
        <f ca="1"/>
        <v>1</v>
      </c>
      <c r="N119" s="1287"/>
      <c r="O119" s="1323" t="str">
        <f ca="1"/>
        <v>2018-10-20 18:00</v>
      </c>
      <c r="P119" s="1287"/>
      <c r="Q119" s="1290" t="str">
        <f ca="1"/>
        <v>Run</v>
      </c>
    </row>
    <row r="120" spans="1:17" ht="27.75" hidden="1" customHeight="1" x14ac:dyDescent="0.45">
      <c r="A120" s="1289">
        <v>3</v>
      </c>
      <c r="B120" s="1285">
        <v>12</v>
      </c>
      <c r="C120" s="1285">
        <v>2.0000000000000071</v>
      </c>
      <c r="D120" s="1297">
        <v>34.999999999999993</v>
      </c>
      <c r="E120" s="1299" t="str">
        <f ca="1"/>
        <v/>
      </c>
      <c r="F120" s="1286" t="str">
        <f ca="1"/>
        <v/>
      </c>
      <c r="G120" s="1286" t="str">
        <f ca="1"/>
        <v/>
      </c>
      <c r="H120" s="1301" t="str">
        <f ca="1"/>
        <v/>
      </c>
      <c r="I120" s="1303" t="str">
        <f ca="1"/>
        <v/>
      </c>
      <c r="J120" s="1287" t="str">
        <f ca="1"/>
        <v/>
      </c>
      <c r="K120" s="1288" t="str">
        <f ca="1"/>
        <v xml:space="preserve">Description:
Details:
Aim:
</v>
      </c>
      <c r="L120" s="1287" t="str">
        <f ca="1"/>
        <v/>
      </c>
      <c r="M120" s="1287" t="str">
        <f ca="1"/>
        <v/>
      </c>
      <c r="N120" s="1287"/>
      <c r="O120" s="1323" t="str">
        <f ca="1"/>
        <v/>
      </c>
      <c r="P120" s="1287"/>
      <c r="Q120" s="1290" t="str">
        <f ca="1"/>
        <v/>
      </c>
    </row>
    <row r="121" spans="1:17" ht="27.75" hidden="1" customHeight="1" x14ac:dyDescent="0.45">
      <c r="A121" s="1289">
        <v>3</v>
      </c>
      <c r="B121" s="1285">
        <v>12</v>
      </c>
      <c r="C121" s="1285">
        <v>2.9999999999999929</v>
      </c>
      <c r="D121" s="1297">
        <v>36.000000000000007</v>
      </c>
      <c r="E121" s="1299" t="str">
        <f ca="1"/>
        <v/>
      </c>
      <c r="F121" s="1286" t="str">
        <f ca="1"/>
        <v/>
      </c>
      <c r="G121" s="1286" t="str">
        <f ca="1"/>
        <v/>
      </c>
      <c r="H121" s="1301" t="str">
        <f ca="1"/>
        <v/>
      </c>
      <c r="I121" s="1303" t="str">
        <f ca="1"/>
        <v/>
      </c>
      <c r="J121" s="1287" t="str">
        <f ca="1"/>
        <v/>
      </c>
      <c r="K121" s="1288" t="str">
        <f ca="1"/>
        <v xml:space="preserve">Description:
Details:
Aim:
</v>
      </c>
      <c r="L121" s="1287" t="str">
        <f ca="1"/>
        <v/>
      </c>
      <c r="M121" s="1287" t="str">
        <f ca="1"/>
        <v/>
      </c>
      <c r="N121" s="1287"/>
      <c r="O121" s="1323" t="str">
        <f ca="1"/>
        <v/>
      </c>
      <c r="P121" s="1287"/>
      <c r="Q121" s="1290" t="str">
        <f ca="1"/>
        <v/>
      </c>
    </row>
    <row r="122" spans="1:17" ht="27.75" hidden="1" customHeight="1" x14ac:dyDescent="0.45">
      <c r="A122" s="1289">
        <v>3</v>
      </c>
      <c r="B122" s="1285">
        <v>13</v>
      </c>
      <c r="C122" s="1285">
        <v>1</v>
      </c>
      <c r="D122" s="1297">
        <v>37</v>
      </c>
      <c r="E122" s="1299" t="str">
        <f ca="1"/>
        <v xml:space="preserve">Fundamentally a steady, but you can be less strict at controlling your intensity as long as your average intensity is close to it's target by the end of the session </v>
      </c>
      <c r="F122" s="1286" t="str">
        <f ca="1"/>
        <v>Sport: Ride
WU/WD: No 
Effort Total: 145 minutes
HR Target: 148 BPM
HR Range: 129 - 169 BPM 
Flat Road Equivalent Pace: 4:14 min/km</v>
      </c>
      <c r="G122" s="1286" t="str">
        <f ca="1"/>
        <v xml:space="preserve">Improve aerobic fitness and energy utilisation. </v>
      </c>
      <c r="H122" s="1301" t="str">
        <f ca="1"/>
        <v/>
      </c>
      <c r="I122" s="1303" t="str">
        <f ca="1"/>
        <v>Long ride: 145 minutes</v>
      </c>
      <c r="J122" s="1287" t="str">
        <f ca="1"/>
        <v>Cycling</v>
      </c>
      <c r="K122" s="1288" t="str">
        <f ca="1"/>
        <v xml:space="preserve">Description:
Fundamentally a steady, but you can be less strict at controlling your intensity as long as your average intensity is close to it's target by the end of the session 
Details:
Sport: Ride
WU/WD: No 
Effort Total: 145 minutes
HR Target: 148 BPM
HR Range: 129 - 169 BPM 
Flat Road Equivalent Pace: 4:14 min/km
Aim:
Improve aerobic fitness and energy utilisation. </v>
      </c>
      <c r="L122" s="1287">
        <f ca="1"/>
        <v>104</v>
      </c>
      <c r="M122" s="1287">
        <f ca="1"/>
        <v>2.4166666666666665</v>
      </c>
      <c r="N122" s="1287"/>
      <c r="O122" s="1323" t="str">
        <f ca="1"/>
        <v>2018-10-21 06:00</v>
      </c>
      <c r="P122" s="1287"/>
      <c r="Q122" s="1290" t="str">
        <f ca="1"/>
        <v>Ride</v>
      </c>
    </row>
    <row r="123" spans="1:17" ht="27.75" hidden="1" customHeight="1" x14ac:dyDescent="0.45">
      <c r="A123" s="1289">
        <v>3</v>
      </c>
      <c r="B123" s="1285">
        <v>13</v>
      </c>
      <c r="C123" s="1285">
        <v>2.0000000000000071</v>
      </c>
      <c r="D123" s="1297">
        <v>38</v>
      </c>
      <c r="E123" s="1299" t="str">
        <f ca="1"/>
        <v/>
      </c>
      <c r="F123" s="1286" t="str">
        <f ca="1"/>
        <v/>
      </c>
      <c r="G123" s="1286" t="str">
        <f ca="1"/>
        <v/>
      </c>
      <c r="H123" s="1301" t="str">
        <f ca="1"/>
        <v/>
      </c>
      <c r="I123" s="1303" t="str">
        <f ca="1"/>
        <v/>
      </c>
      <c r="J123" s="1287" t="str">
        <f ca="1"/>
        <v/>
      </c>
      <c r="K123" s="1288" t="str">
        <f ca="1"/>
        <v xml:space="preserve">Description:
Details:
Aim:
</v>
      </c>
      <c r="L123" s="1287" t="str">
        <f ca="1"/>
        <v/>
      </c>
      <c r="M123" s="1287" t="str">
        <f ca="1"/>
        <v/>
      </c>
      <c r="N123" s="1287"/>
      <c r="O123" s="1323" t="str">
        <f ca="1"/>
        <v/>
      </c>
      <c r="P123" s="1287"/>
      <c r="Q123" s="1290" t="str">
        <f ca="1"/>
        <v/>
      </c>
    </row>
    <row r="124" spans="1:17" ht="27.75" hidden="1" customHeight="1" x14ac:dyDescent="0.45">
      <c r="A124" s="1289">
        <v>3</v>
      </c>
      <c r="B124" s="1285">
        <v>13</v>
      </c>
      <c r="C124" s="1285">
        <v>2.9999999999999929</v>
      </c>
      <c r="D124" s="1297">
        <v>38.999999999999993</v>
      </c>
      <c r="E124" s="1299" t="str">
        <f ca="1"/>
        <v/>
      </c>
      <c r="F124" s="1286" t="str">
        <f ca="1"/>
        <v/>
      </c>
      <c r="G124" s="1286" t="str">
        <f ca="1"/>
        <v/>
      </c>
      <c r="H124" s="1301" t="str">
        <f ca="1"/>
        <v/>
      </c>
      <c r="I124" s="1303" t="str">
        <f ca="1"/>
        <v/>
      </c>
      <c r="J124" s="1287" t="str">
        <f ca="1"/>
        <v/>
      </c>
      <c r="K124" s="1288" t="str">
        <f ca="1"/>
        <v xml:space="preserve">Description:
Details:
Aim:
</v>
      </c>
      <c r="L124" s="1287" t="str">
        <f ca="1"/>
        <v/>
      </c>
      <c r="M124" s="1287" t="str">
        <f ca="1"/>
        <v/>
      </c>
      <c r="N124" s="1287"/>
      <c r="O124" s="1323" t="str">
        <f ca="1"/>
        <v/>
      </c>
      <c r="P124" s="1287"/>
      <c r="Q124" s="1290" t="str">
        <f ca="1"/>
        <v/>
      </c>
    </row>
    <row r="125" spans="1:17" ht="27.75" hidden="1" customHeight="1" x14ac:dyDescent="0.45">
      <c r="A125" s="1289">
        <v>3</v>
      </c>
      <c r="B125" s="1285">
        <v>14</v>
      </c>
      <c r="C125" s="1285">
        <v>1</v>
      </c>
      <c r="D125" s="1297">
        <v>39.999999999999993</v>
      </c>
      <c r="E125" s="1299" t="str">
        <f ca="1"/>
        <v/>
      </c>
      <c r="F125" s="1286" t="str">
        <f ca="1"/>
        <v/>
      </c>
      <c r="G125" s="1286" t="str">
        <f ca="1"/>
        <v/>
      </c>
      <c r="H125" s="1301" t="str">
        <f ca="1"/>
        <v/>
      </c>
      <c r="I125" s="1303" t="str">
        <f ca="1"/>
        <v/>
      </c>
      <c r="J125" s="1287" t="str">
        <f ca="1"/>
        <v/>
      </c>
      <c r="K125" s="1288" t="str">
        <f ca="1"/>
        <v xml:space="preserve">Description:
Details:
Aim:
</v>
      </c>
      <c r="L125" s="1287" t="str">
        <f ca="1"/>
        <v/>
      </c>
      <c r="M125" s="1287" t="str">
        <f ca="1"/>
        <v/>
      </c>
      <c r="N125" s="1287"/>
      <c r="O125" s="1323" t="str">
        <f ca="1"/>
        <v/>
      </c>
      <c r="P125" s="1287"/>
      <c r="Q125" s="1290" t="str">
        <f ca="1"/>
        <v/>
      </c>
    </row>
    <row r="126" spans="1:17" ht="27.75" hidden="1" customHeight="1" x14ac:dyDescent="0.45">
      <c r="A126" s="1289">
        <v>3</v>
      </c>
      <c r="B126" s="1285">
        <v>14</v>
      </c>
      <c r="C126" s="1285">
        <v>2.0000000000000071</v>
      </c>
      <c r="D126" s="1297">
        <v>41.000000000000007</v>
      </c>
      <c r="E126" s="1299" t="str">
        <f ca="1"/>
        <v/>
      </c>
      <c r="F126" s="1286" t="str">
        <f ca="1"/>
        <v/>
      </c>
      <c r="G126" s="1286" t="str">
        <f ca="1"/>
        <v/>
      </c>
      <c r="H126" s="1301" t="str">
        <f ca="1"/>
        <v/>
      </c>
      <c r="I126" s="1303" t="str">
        <f ca="1"/>
        <v/>
      </c>
      <c r="J126" s="1287" t="str">
        <f ca="1"/>
        <v/>
      </c>
      <c r="K126" s="1288" t="str">
        <f ca="1"/>
        <v xml:space="preserve">Description:
Details:
Aim:
</v>
      </c>
      <c r="L126" s="1287" t="str">
        <f ca="1"/>
        <v/>
      </c>
      <c r="M126" s="1287" t="str">
        <f ca="1"/>
        <v/>
      </c>
      <c r="N126" s="1287"/>
      <c r="O126" s="1323" t="str">
        <f ca="1"/>
        <v/>
      </c>
      <c r="P126" s="1287"/>
      <c r="Q126" s="1290" t="str">
        <f ca="1"/>
        <v/>
      </c>
    </row>
    <row r="127" spans="1:17" ht="27.75" hidden="1" customHeight="1" x14ac:dyDescent="0.45">
      <c r="A127" s="1289">
        <v>3</v>
      </c>
      <c r="B127" s="1285">
        <v>14</v>
      </c>
      <c r="C127" s="1285">
        <v>2.9999999999999929</v>
      </c>
      <c r="D127" s="1297">
        <v>42</v>
      </c>
      <c r="E127" s="1299" t="str">
        <f ca="1"/>
        <v/>
      </c>
      <c r="F127" s="1286" t="str">
        <f ca="1"/>
        <v/>
      </c>
      <c r="G127" s="1286" t="str">
        <f ca="1"/>
        <v/>
      </c>
      <c r="H127" s="1301" t="str">
        <f ca="1"/>
        <v/>
      </c>
      <c r="I127" s="1303" t="str">
        <f ca="1"/>
        <v/>
      </c>
      <c r="J127" s="1287" t="str">
        <f ca="1"/>
        <v/>
      </c>
      <c r="K127" s="1288" t="str">
        <f ca="1"/>
        <v xml:space="preserve">Description:
Details:
Aim:
</v>
      </c>
      <c r="L127" s="1287" t="str">
        <f ca="1"/>
        <v/>
      </c>
      <c r="M127" s="1287" t="str">
        <f ca="1"/>
        <v/>
      </c>
      <c r="N127" s="1287"/>
      <c r="O127" s="1323" t="str">
        <f ca="1"/>
        <v/>
      </c>
      <c r="P127" s="1287"/>
      <c r="Q127" s="1290" t="str">
        <f ca="1"/>
        <v/>
      </c>
    </row>
    <row r="128" spans="1:17" ht="27.75" hidden="1" customHeight="1" x14ac:dyDescent="0.45">
      <c r="A128" s="1289">
        <v>4</v>
      </c>
      <c r="B128" s="1285">
        <v>1</v>
      </c>
      <c r="C128" s="1285">
        <v>1</v>
      </c>
      <c r="D128" s="1297">
        <v>1</v>
      </c>
      <c r="E128" s="1299" t="str">
        <f ca="1"/>
        <v>Stay at a comfortable and controlled intensity where you should be able to have a conversation without large pauses. Keep an even intensity and accept that your pace may change as the terrain changes.</v>
      </c>
      <c r="F128" s="1286" t="str">
        <f ca="1"/>
        <v>Sport: Ride
WU/WD: No 
Effort Total: 40 minutes
HR Target: 138 BPM
HR Range: 129 - 148 BPM 
Flat Road Equivalent Pace: 4:39 min/km</v>
      </c>
      <c r="G128" s="1286" t="str">
        <f ca="1"/>
        <v xml:space="preserve">Improve aerobic fitness while minimising the chance of injury. </v>
      </c>
      <c r="H128" s="1301" t="str">
        <f ca="1"/>
        <v/>
      </c>
      <c r="I128" s="1303" t="str">
        <f ca="1"/>
        <v>Easy ride: 40 minutes</v>
      </c>
      <c r="J128" s="1287" t="str">
        <f ca="1"/>
        <v>Cycling</v>
      </c>
      <c r="K12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28" s="1287">
        <f ca="1"/>
        <v>110</v>
      </c>
      <c r="M128" s="1287">
        <f ca="1"/>
        <v>0.66666666666666663</v>
      </c>
      <c r="N128" s="1287"/>
      <c r="O128" s="1323" t="str">
        <f ca="1"/>
        <v>2018-10-22 06:00</v>
      </c>
      <c r="P128" s="1287"/>
      <c r="Q128" s="1290" t="str">
        <f ca="1"/>
        <v>Ride</v>
      </c>
    </row>
    <row r="129" spans="1:17" ht="27.75" hidden="1" customHeight="1" x14ac:dyDescent="0.45">
      <c r="A129" s="1289">
        <v>4</v>
      </c>
      <c r="B129" s="1285">
        <v>1</v>
      </c>
      <c r="C129" s="1285">
        <v>2.0000000000000071</v>
      </c>
      <c r="D129" s="1297">
        <v>1.9999999999999964</v>
      </c>
      <c r="E129" s="1299" t="str">
        <f ca="1"/>
        <v/>
      </c>
      <c r="F129" s="1286" t="str">
        <f ca="1"/>
        <v/>
      </c>
      <c r="G129" s="1286" t="str">
        <f ca="1"/>
        <v/>
      </c>
      <c r="H129" s="1301" t="str">
        <f ca="1"/>
        <v/>
      </c>
      <c r="I129" s="1303" t="str">
        <f ca="1"/>
        <v/>
      </c>
      <c r="J129" s="1287" t="str">
        <f ca="1"/>
        <v/>
      </c>
      <c r="K129" s="1288" t="str">
        <f ca="1"/>
        <v xml:space="preserve">Description:
Details:
Aim:
</v>
      </c>
      <c r="L129" s="1287" t="str">
        <f ca="1"/>
        <v/>
      </c>
      <c r="M129" s="1287" t="str">
        <f ca="1"/>
        <v/>
      </c>
      <c r="N129" s="1287"/>
      <c r="O129" s="1323" t="str">
        <f ca="1"/>
        <v/>
      </c>
      <c r="P129" s="1287"/>
      <c r="Q129" s="1290" t="str">
        <f ca="1"/>
        <v/>
      </c>
    </row>
    <row r="130" spans="1:17" ht="27.75" hidden="1" customHeight="1" x14ac:dyDescent="0.45">
      <c r="A130" s="1289">
        <v>4</v>
      </c>
      <c r="B130" s="1285">
        <v>1</v>
      </c>
      <c r="C130" s="1285">
        <v>2.9999999999999929</v>
      </c>
      <c r="D130" s="1297">
        <v>2.9999999999999929</v>
      </c>
      <c r="E130" s="1299" t="str">
        <f ca="1"/>
        <v/>
      </c>
      <c r="F130" s="1286" t="str">
        <f ca="1"/>
        <v/>
      </c>
      <c r="G130" s="1286" t="str">
        <f ca="1"/>
        <v/>
      </c>
      <c r="H130" s="1301" t="str">
        <f ca="1"/>
        <v/>
      </c>
      <c r="I130" s="1303" t="str">
        <f ca="1"/>
        <v/>
      </c>
      <c r="J130" s="1287" t="str">
        <f ca="1"/>
        <v/>
      </c>
      <c r="K130" s="1288" t="str">
        <f ca="1"/>
        <v xml:space="preserve">Description:
Details:
Aim:
</v>
      </c>
      <c r="L130" s="1287" t="str">
        <f ca="1"/>
        <v/>
      </c>
      <c r="M130" s="1287" t="str">
        <f ca="1"/>
        <v/>
      </c>
      <c r="N130" s="1287"/>
      <c r="O130" s="1323" t="str">
        <f ca="1"/>
        <v/>
      </c>
      <c r="P130" s="1287"/>
      <c r="Q130" s="1290" t="str">
        <f ca="1"/>
        <v/>
      </c>
    </row>
    <row r="131" spans="1:17" ht="27.75" hidden="1" customHeight="1" x14ac:dyDescent="0.45">
      <c r="A131" s="1289">
        <v>4</v>
      </c>
      <c r="B131" s="1285">
        <v>2</v>
      </c>
      <c r="C131" s="1285">
        <v>1</v>
      </c>
      <c r="D131" s="1297">
        <v>4.000000000000008</v>
      </c>
      <c r="E131" s="1299" t="str">
        <f ca="1"/>
        <v>Perform a variety of specialised exercises to engage specific muscles. These sessions must be learned with a coach first but are relatively easy to continue with on your own. Demonstrate control and focus on posture and muscle activation.</v>
      </c>
      <c r="F131" s="1286" t="str">
        <f ca="1"/>
        <v>Sport: Indoor
WU/WD: No 
Effort Total: 30 minutes
HR Target: N/A BPM
HR Range: N/A BPM 
Flat Road Equivalent Pace:  min/km</v>
      </c>
      <c r="G131" s="1286" t="str">
        <f ca="1"/>
        <v xml:space="preserve">Increase strength of specific muscle groups, running economy and injury resistance. </v>
      </c>
      <c r="H131" s="1301" t="str">
        <f ca="1"/>
        <v/>
      </c>
      <c r="I131" s="1303" t="str">
        <f ca="1"/>
        <v>Strength and conditioning</v>
      </c>
      <c r="J131" s="1287" t="str">
        <f ca="1"/>
        <v>Strength</v>
      </c>
      <c r="K131"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131" s="1287">
        <f ca="1"/>
        <v>76</v>
      </c>
      <c r="M131" s="1287">
        <f ca="1"/>
        <v>0.5</v>
      </c>
      <c r="N131" s="1287"/>
      <c r="O131" s="1323" t="str">
        <f ca="1"/>
        <v>2018-10-22 18:00</v>
      </c>
      <c r="P131" s="1287"/>
      <c r="Q131" s="1290" t="str">
        <f ca="1"/>
        <v>Indoor</v>
      </c>
    </row>
    <row r="132" spans="1:17" ht="27.75" hidden="1" customHeight="1" x14ac:dyDescent="0.45">
      <c r="A132" s="1289">
        <v>4</v>
      </c>
      <c r="B132" s="1285">
        <v>2</v>
      </c>
      <c r="C132" s="1285">
        <v>2.0000000000000071</v>
      </c>
      <c r="D132" s="1297">
        <v>5.0000000000000044</v>
      </c>
      <c r="E132" s="1299" t="str">
        <f ca="1"/>
        <v>Use a hands, rollers, or balls on all major muscle groups with extra time on more sensitive or problematic areas or as guided by a coach or physio. Finish with 20 minutes of lower-limb stretching.</v>
      </c>
      <c r="F132" s="1286" t="str">
        <f ca="1"/>
        <v>Sport: Indoor
WU/WD: No 
Effort Total: 30 minutes
HR Target: N/A BPM
HR Range: N/A BPM 
Flat Road Equivalent Pace:  min/km</v>
      </c>
      <c r="G132" s="1286" t="str">
        <f ca="1"/>
        <v xml:space="preserve">Release tension that develops in soft tissue from training and non-training stresses. </v>
      </c>
      <c r="H132" s="1301" t="str">
        <f ca="1"/>
        <v/>
      </c>
      <c r="I132" s="1303" t="str">
        <f ca="1"/>
        <v>Maintenance</v>
      </c>
      <c r="J132" s="1287" t="str">
        <f ca="1"/>
        <v>Strength</v>
      </c>
      <c r="K132"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32" s="1287">
        <f ca="1"/>
        <v>76</v>
      </c>
      <c r="M132" s="1287">
        <f ca="1"/>
        <v>0.5</v>
      </c>
      <c r="N132" s="1287"/>
      <c r="O132" s="1323" t="str">
        <f ca="1"/>
        <v>2018-10-22 20:00</v>
      </c>
      <c r="P132" s="1287"/>
      <c r="Q132" s="1290" t="str">
        <f ca="1"/>
        <v>Indoor</v>
      </c>
    </row>
    <row r="133" spans="1:17" ht="27.75" hidden="1" customHeight="1" x14ac:dyDescent="0.45">
      <c r="A133" s="1289">
        <v>4</v>
      </c>
      <c r="B133" s="1285">
        <v>2</v>
      </c>
      <c r="C133" s="1285">
        <v>2.9999999999999929</v>
      </c>
      <c r="D133" s="1297">
        <v>6.0000000000000009</v>
      </c>
      <c r="E133" s="1299" t="str">
        <f ca="1"/>
        <v/>
      </c>
      <c r="F133" s="1286" t="str">
        <f ca="1"/>
        <v/>
      </c>
      <c r="G133" s="1286" t="str">
        <f ca="1"/>
        <v/>
      </c>
      <c r="H133" s="1301" t="str">
        <f ca="1"/>
        <v/>
      </c>
      <c r="I133" s="1303" t="str">
        <f ca="1"/>
        <v/>
      </c>
      <c r="J133" s="1287" t="str">
        <f ca="1"/>
        <v/>
      </c>
      <c r="K133" s="1288" t="str">
        <f ca="1"/>
        <v xml:space="preserve">Description:
Details:
Aim:
</v>
      </c>
      <c r="L133" s="1287" t="str">
        <f ca="1"/>
        <v/>
      </c>
      <c r="M133" s="1287" t="str">
        <f ca="1"/>
        <v/>
      </c>
      <c r="N133" s="1287"/>
      <c r="O133" s="1323" t="str">
        <f ca="1"/>
        <v/>
      </c>
      <c r="P133" s="1287"/>
      <c r="Q133" s="1290" t="str">
        <f ca="1"/>
        <v/>
      </c>
    </row>
    <row r="134" spans="1:17" ht="27.75" hidden="1" customHeight="1" x14ac:dyDescent="0.45">
      <c r="A134" s="1289">
        <v>4</v>
      </c>
      <c r="B134" s="1285">
        <v>3</v>
      </c>
      <c r="C134" s="1285">
        <v>1</v>
      </c>
      <c r="D134" s="1297">
        <v>6.9999999999999973</v>
      </c>
      <c r="E134" s="1299" t="str">
        <f ca="1"/>
        <v>Stay at a comfortable and controlled intensity where you should be able to have a conversation without large pauses. Keep an even intensity and accept that your pace may change as the terrain changes.</v>
      </c>
      <c r="F134" s="1286" t="str">
        <f ca="1"/>
        <v>Sport: Ride
WU/WD: No 
Effort Total: 40 minutes
HR Target: 138 BPM
HR Range: 129 - 148 BPM 
Flat Road Equivalent Pace: 4:39 min/km</v>
      </c>
      <c r="G134" s="1286" t="str">
        <f ca="1"/>
        <v xml:space="preserve">Improve aerobic fitness while minimising the chance of injury. </v>
      </c>
      <c r="H134" s="1301" t="str">
        <f ca="1"/>
        <v/>
      </c>
      <c r="I134" s="1303" t="str">
        <f ca="1"/>
        <v>Easy ride: 40 minutes</v>
      </c>
      <c r="J134" s="1287" t="str">
        <f ca="1"/>
        <v>Cycling</v>
      </c>
      <c r="K13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34" s="1287">
        <f ca="1"/>
        <v>110</v>
      </c>
      <c r="M134" s="1287">
        <f ca="1"/>
        <v>0.66666666666666663</v>
      </c>
      <c r="N134" s="1287"/>
      <c r="O134" s="1323" t="str">
        <f ca="1"/>
        <v>2018-10-23 06:00</v>
      </c>
      <c r="P134" s="1287"/>
      <c r="Q134" s="1290" t="str">
        <f ca="1"/>
        <v>Ride</v>
      </c>
    </row>
    <row r="135" spans="1:17" ht="27.75" hidden="1" customHeight="1" x14ac:dyDescent="0.45">
      <c r="A135" s="1289">
        <v>4</v>
      </c>
      <c r="B135" s="1285">
        <v>3</v>
      </c>
      <c r="C135" s="1285">
        <v>2.0000000000000071</v>
      </c>
      <c r="D135" s="1297">
        <v>7.9999999999999938</v>
      </c>
      <c r="E135" s="1299" t="str">
        <f ca="1"/>
        <v/>
      </c>
      <c r="F135" s="1286" t="str">
        <f ca="1"/>
        <v/>
      </c>
      <c r="G135" s="1286" t="str">
        <f ca="1"/>
        <v/>
      </c>
      <c r="H135" s="1301" t="str">
        <f ca="1"/>
        <v/>
      </c>
      <c r="I135" s="1303" t="str">
        <f ca="1"/>
        <v/>
      </c>
      <c r="J135" s="1287" t="str">
        <f ca="1"/>
        <v/>
      </c>
      <c r="K135" s="1288" t="str">
        <f ca="1"/>
        <v xml:space="preserve">Description:
Details:
Aim:
</v>
      </c>
      <c r="L135" s="1287" t="str">
        <f ca="1"/>
        <v/>
      </c>
      <c r="M135" s="1287" t="str">
        <f ca="1"/>
        <v/>
      </c>
      <c r="N135" s="1287"/>
      <c r="O135" s="1323" t="str">
        <f ca="1"/>
        <v/>
      </c>
      <c r="P135" s="1287"/>
      <c r="Q135" s="1290" t="str">
        <f ca="1"/>
        <v/>
      </c>
    </row>
    <row r="136" spans="1:17" ht="27.75" hidden="1" customHeight="1" x14ac:dyDescent="0.45">
      <c r="A136" s="1289">
        <v>4</v>
      </c>
      <c r="B136" s="1285">
        <v>3</v>
      </c>
      <c r="C136" s="1285">
        <v>2.9999999999999929</v>
      </c>
      <c r="D136" s="1297">
        <v>9.0000000000000089</v>
      </c>
      <c r="E136" s="1299" t="str">
        <f ca="1"/>
        <v/>
      </c>
      <c r="F136" s="1286" t="str">
        <f ca="1"/>
        <v/>
      </c>
      <c r="G136" s="1286" t="str">
        <f ca="1"/>
        <v/>
      </c>
      <c r="H136" s="1301" t="str">
        <f ca="1"/>
        <v/>
      </c>
      <c r="I136" s="1303" t="str">
        <f ca="1"/>
        <v/>
      </c>
      <c r="J136" s="1287" t="str">
        <f ca="1"/>
        <v/>
      </c>
      <c r="K136" s="1288" t="str">
        <f ca="1"/>
        <v xml:space="preserve">Description:
Details:
Aim:
</v>
      </c>
      <c r="L136" s="1287" t="str">
        <f ca="1"/>
        <v/>
      </c>
      <c r="M136" s="1287" t="str">
        <f ca="1"/>
        <v/>
      </c>
      <c r="N136" s="1287"/>
      <c r="O136" s="1323" t="str">
        <f ca="1"/>
        <v/>
      </c>
      <c r="P136" s="1287"/>
      <c r="Q136" s="1290" t="str">
        <f ca="1"/>
        <v/>
      </c>
    </row>
    <row r="137" spans="1:17" ht="27.75" hidden="1" customHeight="1" x14ac:dyDescent="0.45">
      <c r="A137" s="1289">
        <v>4</v>
      </c>
      <c r="B137" s="1285">
        <v>4</v>
      </c>
      <c r="C137" s="1285">
        <v>1</v>
      </c>
      <c r="D137" s="1297">
        <v>10.000000000000005</v>
      </c>
      <c r="E137" s="1299" t="str">
        <f ca="1"/>
        <v>Accelerate to a fast pace which you should be able to hold for 50 minutes in a race situation. This will take concentration, but it's important to keep the intensity even, so do not start too hard. Warm up and warm down for 10 minutes each.</v>
      </c>
      <c r="F137" s="1286" t="str">
        <f ca="1"/>
        <v>Sport: Hilly Trail Run
WU/WD: 15 minutes 
Effort Total: 25 minutes
HR Target: 177 BPM
HR Range: 173 - 180 BPM 
Flat Road Equivalent Pace: 3:21 min/km</v>
      </c>
      <c r="G137" s="1286" t="str">
        <f ca="1"/>
        <v xml:space="preserve">Improve endurance by increasing lactate threshold and developing mental toughness. </v>
      </c>
      <c r="H137" s="1301" t="str">
        <f ca="1"/>
        <v/>
      </c>
      <c r="I137" s="1303" t="str">
        <f ca="1"/>
        <v>Hilly tempo hilly trail run: 25 minutes + WU/WD</v>
      </c>
      <c r="J137" s="1287" t="str">
        <f ca="1"/>
        <v>Trail Running</v>
      </c>
      <c r="K137"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137" s="1287">
        <f ca="1"/>
        <v>23</v>
      </c>
      <c r="M137" s="1287">
        <f ca="1"/>
        <v>0.41666666666666669</v>
      </c>
      <c r="N137" s="1287"/>
      <c r="O137" s="1323" t="str">
        <f ca="1"/>
        <v>2018-10-23 18:00</v>
      </c>
      <c r="P137" s="1287"/>
      <c r="Q137" s="1290" t="str">
        <f ca="1"/>
        <v>Hilly Trail Run</v>
      </c>
    </row>
    <row r="138" spans="1:17" ht="27.75" hidden="1" customHeight="1" x14ac:dyDescent="0.45">
      <c r="A138" s="1289">
        <v>4</v>
      </c>
      <c r="B138" s="1285">
        <v>4</v>
      </c>
      <c r="C138" s="1285">
        <v>2.0000000000000071</v>
      </c>
      <c r="D138" s="1297">
        <v>11.000000000000002</v>
      </c>
      <c r="E138" s="1299" t="str">
        <f ca="1"/>
        <v/>
      </c>
      <c r="F138" s="1286" t="str">
        <f ca="1"/>
        <v/>
      </c>
      <c r="G138" s="1286" t="str">
        <f ca="1"/>
        <v/>
      </c>
      <c r="H138" s="1301" t="str">
        <f ca="1"/>
        <v/>
      </c>
      <c r="I138" s="1303" t="str">
        <f ca="1"/>
        <v/>
      </c>
      <c r="J138" s="1287" t="str">
        <f ca="1"/>
        <v/>
      </c>
      <c r="K138" s="1288" t="str">
        <f ca="1"/>
        <v xml:space="preserve">Description:
Details:
Aim:
</v>
      </c>
      <c r="L138" s="1287" t="str">
        <f ca="1"/>
        <v/>
      </c>
      <c r="M138" s="1287" t="str">
        <f ca="1"/>
        <v/>
      </c>
      <c r="N138" s="1287"/>
      <c r="O138" s="1323" t="str">
        <f ca="1"/>
        <v/>
      </c>
      <c r="P138" s="1287"/>
      <c r="Q138" s="1290" t="str">
        <f ca="1"/>
        <v/>
      </c>
    </row>
    <row r="139" spans="1:17" ht="27.75" hidden="1" customHeight="1" x14ac:dyDescent="0.45">
      <c r="A139" s="1289">
        <v>4</v>
      </c>
      <c r="B139" s="1285">
        <v>4</v>
      </c>
      <c r="C139" s="1285">
        <v>2.9999999999999929</v>
      </c>
      <c r="D139" s="1297">
        <v>11.999999999999998</v>
      </c>
      <c r="E139" s="1299" t="str">
        <f ca="1"/>
        <v/>
      </c>
      <c r="F139" s="1286" t="str">
        <f ca="1"/>
        <v/>
      </c>
      <c r="G139" s="1286" t="str">
        <f ca="1"/>
        <v/>
      </c>
      <c r="H139" s="1301" t="str">
        <f ca="1"/>
        <v/>
      </c>
      <c r="I139" s="1303" t="str">
        <f ca="1"/>
        <v/>
      </c>
      <c r="J139" s="1287" t="str">
        <f ca="1"/>
        <v/>
      </c>
      <c r="K139" s="1288" t="str">
        <f ca="1"/>
        <v xml:space="preserve">Description:
Details:
Aim:
</v>
      </c>
      <c r="L139" s="1287" t="str">
        <f ca="1"/>
        <v/>
      </c>
      <c r="M139" s="1287" t="str">
        <f ca="1"/>
        <v/>
      </c>
      <c r="N139" s="1287"/>
      <c r="O139" s="1323" t="str">
        <f ca="1"/>
        <v/>
      </c>
      <c r="P139" s="1287"/>
      <c r="Q139" s="1290" t="str">
        <f ca="1"/>
        <v/>
      </c>
    </row>
    <row r="140" spans="1:17" ht="27.75" hidden="1" customHeight="1" x14ac:dyDescent="0.45">
      <c r="A140" s="1289">
        <v>4</v>
      </c>
      <c r="B140" s="1285">
        <v>5</v>
      </c>
      <c r="C140" s="1285">
        <v>1</v>
      </c>
      <c r="D140" s="1297">
        <v>12.999999999999995</v>
      </c>
      <c r="E140" s="1299" t="str">
        <f ca="1"/>
        <v/>
      </c>
      <c r="F140" s="1286" t="str">
        <f ca="1"/>
        <v/>
      </c>
      <c r="G140" s="1286" t="str">
        <f ca="1"/>
        <v/>
      </c>
      <c r="H140" s="1301" t="str">
        <f ca="1"/>
        <v/>
      </c>
      <c r="I140" s="1303" t="str">
        <f ca="1"/>
        <v/>
      </c>
      <c r="J140" s="1287" t="str">
        <f ca="1"/>
        <v/>
      </c>
      <c r="K140" s="1288" t="str">
        <f ca="1"/>
        <v xml:space="preserve">Description:
Details:
Aim:
</v>
      </c>
      <c r="L140" s="1287" t="str">
        <f ca="1"/>
        <v/>
      </c>
      <c r="M140" s="1287" t="str">
        <f ca="1"/>
        <v/>
      </c>
      <c r="N140" s="1287"/>
      <c r="O140" s="1323" t="str">
        <f ca="1"/>
        <v/>
      </c>
      <c r="P140" s="1287"/>
      <c r="Q140" s="1290" t="str">
        <f ca="1"/>
        <v/>
      </c>
    </row>
    <row r="141" spans="1:17" ht="27.75" hidden="1" customHeight="1" x14ac:dyDescent="0.45">
      <c r="A141" s="1289">
        <v>4</v>
      </c>
      <c r="B141" s="1285">
        <v>5</v>
      </c>
      <c r="C141" s="1285">
        <v>2.0000000000000071</v>
      </c>
      <c r="D141" s="1297">
        <v>13.999999999999991</v>
      </c>
      <c r="E141" s="1299" t="str">
        <f ca="1"/>
        <v/>
      </c>
      <c r="F141" s="1286" t="str">
        <f ca="1"/>
        <v/>
      </c>
      <c r="G141" s="1286" t="str">
        <f ca="1"/>
        <v/>
      </c>
      <c r="H141" s="1301" t="str">
        <f ca="1"/>
        <v/>
      </c>
      <c r="I141" s="1303" t="str">
        <f ca="1"/>
        <v/>
      </c>
      <c r="J141" s="1287" t="str">
        <f ca="1"/>
        <v/>
      </c>
      <c r="K141" s="1288" t="str">
        <f ca="1"/>
        <v xml:space="preserve">Description:
Details:
Aim:
</v>
      </c>
      <c r="L141" s="1287" t="str">
        <f ca="1"/>
        <v/>
      </c>
      <c r="M141" s="1287" t="str">
        <f ca="1"/>
        <v/>
      </c>
      <c r="N141" s="1287"/>
      <c r="O141" s="1323" t="str">
        <f ca="1"/>
        <v/>
      </c>
      <c r="P141" s="1287"/>
      <c r="Q141" s="1290" t="str">
        <f ca="1"/>
        <v/>
      </c>
    </row>
    <row r="142" spans="1:17" ht="27.75" hidden="1" customHeight="1" x14ac:dyDescent="0.45">
      <c r="A142" s="1289">
        <v>4</v>
      </c>
      <c r="B142" s="1285">
        <v>5</v>
      </c>
      <c r="C142" s="1285">
        <v>2.9999999999999929</v>
      </c>
      <c r="D142" s="1297">
        <v>15.000000000000007</v>
      </c>
      <c r="E142" s="1299" t="str">
        <f ca="1"/>
        <v/>
      </c>
      <c r="F142" s="1286" t="str">
        <f ca="1"/>
        <v/>
      </c>
      <c r="G142" s="1286" t="str">
        <f ca="1"/>
        <v/>
      </c>
      <c r="H142" s="1301" t="str">
        <f ca="1"/>
        <v/>
      </c>
      <c r="I142" s="1303" t="str">
        <f ca="1"/>
        <v/>
      </c>
      <c r="J142" s="1287" t="str">
        <f ca="1"/>
        <v/>
      </c>
      <c r="K142" s="1288" t="str">
        <f ca="1"/>
        <v xml:space="preserve">Description:
Details:
Aim:
</v>
      </c>
      <c r="L142" s="1287" t="str">
        <f ca="1"/>
        <v/>
      </c>
      <c r="M142" s="1287" t="str">
        <f ca="1"/>
        <v/>
      </c>
      <c r="N142" s="1287"/>
      <c r="O142" s="1323" t="str">
        <f ca="1"/>
        <v/>
      </c>
      <c r="P142" s="1287"/>
      <c r="Q142" s="1290" t="str">
        <f ca="1"/>
        <v/>
      </c>
    </row>
    <row r="143" spans="1:17" ht="27.75" hidden="1" customHeight="1" x14ac:dyDescent="0.45">
      <c r="A143" s="1289">
        <v>4</v>
      </c>
      <c r="B143" s="1285">
        <v>6</v>
      </c>
      <c r="C143" s="1285">
        <v>1</v>
      </c>
      <c r="D143" s="1297">
        <v>16.000000000000004</v>
      </c>
      <c r="E143" s="1299" t="str">
        <f ca="1"/>
        <v>Stay at a comfortable and controlled intensity where you should be able to have a conversation without large pauses. Keep an even intensity and accept that your pace may change as the terrain changes.</v>
      </c>
      <c r="F143" s="1286" t="str">
        <f ca="1"/>
        <v>Sport: Road Ride
WU/WD: No 
Effort Total: 75 minutes
HR Target: 138 BPM
HR Range: 129 - 148 BPM 
Flat Road Equivalent Pace: 4:39 min/km</v>
      </c>
      <c r="G143" s="1286" t="str">
        <f ca="1"/>
        <v xml:space="preserve">Improve aerobic fitness while minimising the chance of injury. </v>
      </c>
      <c r="H143" s="1301" t="str">
        <f ca="1"/>
        <v/>
      </c>
      <c r="I143" s="1303" t="str">
        <f ca="1"/>
        <v>Easy road ride: 75 minutes</v>
      </c>
      <c r="J143" s="1287" t="str">
        <f ca="1"/>
        <v>Cycling</v>
      </c>
      <c r="K143"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75 minutes
HR Target: 138 BPM
HR Range: 129 - 148 BPM 
Flat Road Equivalent Pace: 4:39 min/km
Aim:
Improve aerobic fitness while minimising the chance of injury. </v>
      </c>
      <c r="L143" s="1287">
        <f ca="1"/>
        <v>101</v>
      </c>
      <c r="M143" s="1287">
        <f ca="1"/>
        <v>1.25</v>
      </c>
      <c r="N143" s="1287"/>
      <c r="O143" s="1323" t="str">
        <f ca="1"/>
        <v>2018-10-24 18:00</v>
      </c>
      <c r="P143" s="1287"/>
      <c r="Q143" s="1290" t="str">
        <f ca="1"/>
        <v>Road Ride</v>
      </c>
    </row>
    <row r="144" spans="1:17" ht="27.75" hidden="1" customHeight="1" x14ac:dyDescent="0.45">
      <c r="A144" s="1289">
        <v>4</v>
      </c>
      <c r="B144" s="1285">
        <v>6</v>
      </c>
      <c r="C144" s="1285">
        <v>2.0000000000000071</v>
      </c>
      <c r="D144" s="1297">
        <v>17</v>
      </c>
      <c r="E144" s="1299" t="str">
        <f ca="1"/>
        <v/>
      </c>
      <c r="F144" s="1286" t="str">
        <f ca="1"/>
        <v/>
      </c>
      <c r="G144" s="1286" t="str">
        <f ca="1"/>
        <v/>
      </c>
      <c r="H144" s="1301" t="str">
        <f ca="1"/>
        <v/>
      </c>
      <c r="I144" s="1303" t="str">
        <f ca="1"/>
        <v/>
      </c>
      <c r="J144" s="1287" t="str">
        <f ca="1"/>
        <v/>
      </c>
      <c r="K144" s="1288" t="str">
        <f ca="1"/>
        <v xml:space="preserve">Description:
Details:
Aim:
</v>
      </c>
      <c r="L144" s="1287" t="str">
        <f ca="1"/>
        <v/>
      </c>
      <c r="M144" s="1287" t="str">
        <f ca="1"/>
        <v/>
      </c>
      <c r="N144" s="1287"/>
      <c r="O144" s="1323" t="str">
        <f ca="1"/>
        <v/>
      </c>
      <c r="P144" s="1287"/>
      <c r="Q144" s="1290" t="str">
        <f ca="1"/>
        <v/>
      </c>
    </row>
    <row r="145" spans="1:17" ht="27.75" hidden="1" customHeight="1" x14ac:dyDescent="0.45">
      <c r="A145" s="1289">
        <v>4</v>
      </c>
      <c r="B145" s="1285">
        <v>6</v>
      </c>
      <c r="C145" s="1285">
        <v>2.9999999999999929</v>
      </c>
      <c r="D145" s="1297">
        <v>17.999999999999996</v>
      </c>
      <c r="E145" s="1299" t="str">
        <f ca="1"/>
        <v/>
      </c>
      <c r="F145" s="1286" t="str">
        <f ca="1"/>
        <v/>
      </c>
      <c r="G145" s="1286" t="str">
        <f ca="1"/>
        <v/>
      </c>
      <c r="H145" s="1301" t="str">
        <f ca="1"/>
        <v/>
      </c>
      <c r="I145" s="1303" t="str">
        <f ca="1"/>
        <v/>
      </c>
      <c r="J145" s="1287" t="str">
        <f ca="1"/>
        <v/>
      </c>
      <c r="K145" s="1288" t="str">
        <f ca="1"/>
        <v xml:space="preserve">Description:
Details:
Aim:
</v>
      </c>
      <c r="L145" s="1287" t="str">
        <f ca="1"/>
        <v/>
      </c>
      <c r="M145" s="1287" t="str">
        <f ca="1"/>
        <v/>
      </c>
      <c r="N145" s="1287"/>
      <c r="O145" s="1323" t="str">
        <f ca="1"/>
        <v/>
      </c>
      <c r="P145" s="1287"/>
      <c r="Q145" s="1290" t="str">
        <f ca="1"/>
        <v/>
      </c>
    </row>
    <row r="146" spans="1:17" ht="27.75" hidden="1" customHeight="1" x14ac:dyDescent="0.45">
      <c r="A146" s="1289">
        <v>4</v>
      </c>
      <c r="B146" s="1285">
        <v>7</v>
      </c>
      <c r="C146" s="1285">
        <v>1</v>
      </c>
      <c r="D146" s="1297">
        <v>18.999999999999993</v>
      </c>
      <c r="E146" s="1299" t="str">
        <f ca="1"/>
        <v>Stay at a comfortable and controlled intensity where you should be able to have a conversation without large pauses. Keep an even intensity and accept that your pace may change as the terrain changes.</v>
      </c>
      <c r="F146" s="1286" t="str">
        <f ca="1"/>
        <v>Sport: Ride
WU/WD: No 
Effort Total: 40 minutes
HR Target: 138 BPM
HR Range: 129 - 148 BPM 
Flat Road Equivalent Pace: 4:39 min/km</v>
      </c>
      <c r="G146" s="1286" t="str">
        <f ca="1"/>
        <v xml:space="preserve">Improve aerobic fitness while minimising the chance of injury. </v>
      </c>
      <c r="H146" s="1301" t="str">
        <f ca="1"/>
        <v/>
      </c>
      <c r="I146" s="1303" t="str">
        <f ca="1"/>
        <v>Easy ride: 40 minutes</v>
      </c>
      <c r="J146" s="1287" t="str">
        <f ca="1"/>
        <v>Cycling</v>
      </c>
      <c r="K14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46" s="1287">
        <f ca="1"/>
        <v>110</v>
      </c>
      <c r="M146" s="1287">
        <f ca="1"/>
        <v>0.66666666666666663</v>
      </c>
      <c r="N146" s="1287"/>
      <c r="O146" s="1323" t="str">
        <f ca="1"/>
        <v>2018-10-25 06:00</v>
      </c>
      <c r="P146" s="1287"/>
      <c r="Q146" s="1290" t="str">
        <f ca="1"/>
        <v>Ride</v>
      </c>
    </row>
    <row r="147" spans="1:17" ht="27.75" hidden="1" customHeight="1" x14ac:dyDescent="0.45">
      <c r="A147" s="1289">
        <v>4</v>
      </c>
      <c r="B147" s="1285">
        <v>7</v>
      </c>
      <c r="C147" s="1285">
        <v>2.0000000000000071</v>
      </c>
      <c r="D147" s="1297">
        <v>20.000000000000007</v>
      </c>
      <c r="E147" s="1299" t="str">
        <f ca="1"/>
        <v/>
      </c>
      <c r="F147" s="1286" t="str">
        <f ca="1"/>
        <v/>
      </c>
      <c r="G147" s="1286" t="str">
        <f ca="1"/>
        <v/>
      </c>
      <c r="H147" s="1301" t="str">
        <f ca="1"/>
        <v/>
      </c>
      <c r="I147" s="1303" t="str">
        <f ca="1"/>
        <v/>
      </c>
      <c r="J147" s="1287" t="str">
        <f ca="1"/>
        <v/>
      </c>
      <c r="K147" s="1288" t="str">
        <f ca="1"/>
        <v xml:space="preserve">Description:
Details:
Aim:
</v>
      </c>
      <c r="L147" s="1287" t="str">
        <f ca="1"/>
        <v/>
      </c>
      <c r="M147" s="1287" t="str">
        <f ca="1"/>
        <v/>
      </c>
      <c r="N147" s="1287"/>
      <c r="O147" s="1323" t="str">
        <f ca="1"/>
        <v/>
      </c>
      <c r="P147" s="1287"/>
      <c r="Q147" s="1290" t="str">
        <f ca="1"/>
        <v/>
      </c>
    </row>
    <row r="148" spans="1:17" ht="27.75" hidden="1" customHeight="1" x14ac:dyDescent="0.45">
      <c r="A148" s="1289">
        <v>4</v>
      </c>
      <c r="B148" s="1285">
        <v>7</v>
      </c>
      <c r="C148" s="1285">
        <v>2.9999999999999929</v>
      </c>
      <c r="D148" s="1297">
        <v>21.000000000000004</v>
      </c>
      <c r="E148" s="1299" t="str">
        <f ca="1"/>
        <v/>
      </c>
      <c r="F148" s="1286" t="str">
        <f ca="1"/>
        <v/>
      </c>
      <c r="G148" s="1286" t="str">
        <f ca="1"/>
        <v/>
      </c>
      <c r="H148" s="1301" t="str">
        <f ca="1"/>
        <v/>
      </c>
      <c r="I148" s="1303" t="str">
        <f ca="1"/>
        <v/>
      </c>
      <c r="J148" s="1287" t="str">
        <f ca="1"/>
        <v/>
      </c>
      <c r="K148" s="1288" t="str">
        <f ca="1"/>
        <v xml:space="preserve">Description:
Details:
Aim:
</v>
      </c>
      <c r="L148" s="1287" t="str">
        <f ca="1"/>
        <v/>
      </c>
      <c r="M148" s="1287" t="str">
        <f ca="1"/>
        <v/>
      </c>
      <c r="N148" s="1287"/>
      <c r="O148" s="1323" t="str">
        <f ca="1"/>
        <v/>
      </c>
      <c r="P148" s="1287"/>
      <c r="Q148" s="1290" t="str">
        <f ca="1"/>
        <v/>
      </c>
    </row>
    <row r="149" spans="1:17" ht="27.75" hidden="1" customHeight="1" x14ac:dyDescent="0.45">
      <c r="A149" s="1289">
        <v>4</v>
      </c>
      <c r="B149" s="1285">
        <v>8</v>
      </c>
      <c r="C149" s="1285">
        <v>1</v>
      </c>
      <c r="D149" s="1297">
        <v>22</v>
      </c>
      <c r="E149" s="1299" t="str">
        <f ca="1"/>
        <v>Stay at a comfortable and controlled intensity where you should be able to have a conversation without large pauses. Keep an even intensity and accept that your pace may change as the terrain changes.</v>
      </c>
      <c r="F149" s="1286" t="str">
        <f ca="1"/>
        <v>Sport: Hilly Trail Run
WU/WD: No 
Effort Total: 90 minutes
HR Target: 148 BPM
HR Range: 138 - 157 BPM 
Flat Road Equivalent Pace: 4:14 min/km</v>
      </c>
      <c r="G149" s="1286" t="str">
        <f ca="1"/>
        <v>Improve aerobic fitness at an optimal rate.</v>
      </c>
      <c r="H149" s="1301" t="str">
        <f ca="1"/>
        <v/>
      </c>
      <c r="I149" s="1303" t="str">
        <f ca="1"/>
        <v>Steady hilly trail run: 90 minutes</v>
      </c>
      <c r="J149" s="1287" t="str">
        <f ca="1"/>
        <v>Trail Running</v>
      </c>
      <c r="K149"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90 minutes
HR Target: 148 BPM
HR Range: 138 - 157 BPM 
Flat Road Equivalent Pace: 4:14 min/km
Aim:
Improve aerobic fitness at an optimal rate.</v>
      </c>
      <c r="L149" s="1287">
        <f ca="1"/>
        <v>3</v>
      </c>
      <c r="M149" s="1287">
        <f ca="1"/>
        <v>1.5</v>
      </c>
      <c r="N149" s="1287"/>
      <c r="O149" s="1323" t="str">
        <f ca="1"/>
        <v>2018-10-25 18:00</v>
      </c>
      <c r="P149" s="1287"/>
      <c r="Q149" s="1290" t="str">
        <f ca="1"/>
        <v>Hilly Trail Run</v>
      </c>
    </row>
    <row r="150" spans="1:17" ht="27.75" hidden="1" customHeight="1" x14ac:dyDescent="0.45">
      <c r="A150" s="1289">
        <v>4</v>
      </c>
      <c r="B150" s="1285">
        <v>8</v>
      </c>
      <c r="C150" s="1285">
        <v>2.0000000000000071</v>
      </c>
      <c r="D150" s="1297">
        <v>22.999999999999996</v>
      </c>
      <c r="E150" s="1299" t="str">
        <f ca="1"/>
        <v/>
      </c>
      <c r="F150" s="1286" t="str">
        <f ca="1"/>
        <v/>
      </c>
      <c r="G150" s="1286" t="str">
        <f ca="1"/>
        <v/>
      </c>
      <c r="H150" s="1301" t="str">
        <f ca="1"/>
        <v/>
      </c>
      <c r="I150" s="1303" t="str">
        <f ca="1"/>
        <v/>
      </c>
      <c r="J150" s="1287" t="str">
        <f ca="1"/>
        <v/>
      </c>
      <c r="K150" s="1288" t="str">
        <f ca="1"/>
        <v xml:space="preserve">Description:
Details:
Aim:
</v>
      </c>
      <c r="L150" s="1287" t="str">
        <f ca="1"/>
        <v/>
      </c>
      <c r="M150" s="1287" t="str">
        <f ca="1"/>
        <v/>
      </c>
      <c r="N150" s="1287"/>
      <c r="O150" s="1323" t="str">
        <f ca="1"/>
        <v/>
      </c>
      <c r="P150" s="1287"/>
      <c r="Q150" s="1290" t="str">
        <f ca="1"/>
        <v/>
      </c>
    </row>
    <row r="151" spans="1:17" ht="27.75" hidden="1" customHeight="1" x14ac:dyDescent="0.45">
      <c r="A151" s="1289">
        <v>4</v>
      </c>
      <c r="B151" s="1285">
        <v>8</v>
      </c>
      <c r="C151" s="1285">
        <v>2.9999999999999929</v>
      </c>
      <c r="D151" s="1297">
        <v>23.999999999999993</v>
      </c>
      <c r="E151" s="1299" t="str">
        <f ca="1"/>
        <v/>
      </c>
      <c r="F151" s="1286" t="str">
        <f ca="1"/>
        <v/>
      </c>
      <c r="G151" s="1286" t="str">
        <f ca="1"/>
        <v/>
      </c>
      <c r="H151" s="1301" t="str">
        <f ca="1"/>
        <v/>
      </c>
      <c r="I151" s="1303" t="str">
        <f ca="1"/>
        <v/>
      </c>
      <c r="J151" s="1287" t="str">
        <f ca="1"/>
        <v/>
      </c>
      <c r="K151" s="1288" t="str">
        <f ca="1"/>
        <v xml:space="preserve">Description:
Details:
Aim:
</v>
      </c>
      <c r="L151" s="1287" t="str">
        <f ca="1"/>
        <v/>
      </c>
      <c r="M151" s="1287" t="str">
        <f ca="1"/>
        <v/>
      </c>
      <c r="N151" s="1287"/>
      <c r="O151" s="1323" t="str">
        <f ca="1"/>
        <v/>
      </c>
      <c r="P151" s="1287"/>
      <c r="Q151" s="1290" t="str">
        <f ca="1"/>
        <v/>
      </c>
    </row>
    <row r="152" spans="1:17" ht="27.75" hidden="1" customHeight="1" x14ac:dyDescent="0.45">
      <c r="A152" s="1289">
        <v>4</v>
      </c>
      <c r="B152" s="1285">
        <v>9</v>
      </c>
      <c r="C152" s="1285">
        <v>1</v>
      </c>
      <c r="D152" s="1297">
        <v>25.000000000000007</v>
      </c>
      <c r="E152" s="1299" t="str">
        <f ca="1"/>
        <v>Stay at a comfortable and controlled intensity where you should be able to have a conversation without large pauses. Keep an even intensity and accept that your pace may change as the terrain changes.</v>
      </c>
      <c r="F152" s="1286" t="str">
        <f ca="1"/>
        <v>Sport: Ride
WU/WD: No 
Effort Total: 40 minutes
HR Target: 138 BPM
HR Range: 129 - 148 BPM 
Flat Road Equivalent Pace: 4:39 min/km</v>
      </c>
      <c r="G152" s="1286" t="str">
        <f ca="1"/>
        <v xml:space="preserve">Improve aerobic fitness while minimising the chance of injury. </v>
      </c>
      <c r="H152" s="1301" t="str">
        <f ca="1"/>
        <v/>
      </c>
      <c r="I152" s="1303" t="str">
        <f ca="1"/>
        <v>Easy ride: 40 minutes</v>
      </c>
      <c r="J152" s="1287" t="str">
        <f ca="1"/>
        <v>Cycling</v>
      </c>
      <c r="K15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52" s="1287">
        <f ca="1"/>
        <v>110</v>
      </c>
      <c r="M152" s="1287">
        <f ca="1"/>
        <v>0.66666666666666663</v>
      </c>
      <c r="N152" s="1287"/>
      <c r="O152" s="1323" t="str">
        <f ca="1"/>
        <v>2018-10-26 06:00</v>
      </c>
      <c r="P152" s="1287"/>
      <c r="Q152" s="1290" t="str">
        <f ca="1"/>
        <v>Ride</v>
      </c>
    </row>
    <row r="153" spans="1:17" ht="27.75" hidden="1" customHeight="1" x14ac:dyDescent="0.45">
      <c r="A153" s="1289">
        <v>4</v>
      </c>
      <c r="B153" s="1285">
        <v>9</v>
      </c>
      <c r="C153" s="1285">
        <v>2.0000000000000071</v>
      </c>
      <c r="D153" s="1297">
        <v>26.000000000000004</v>
      </c>
      <c r="E153" s="1299" t="str">
        <f ca="1"/>
        <v/>
      </c>
      <c r="F153" s="1286" t="str">
        <f ca="1"/>
        <v/>
      </c>
      <c r="G153" s="1286" t="str">
        <f ca="1"/>
        <v/>
      </c>
      <c r="H153" s="1301" t="str">
        <f ca="1"/>
        <v/>
      </c>
      <c r="I153" s="1303" t="str">
        <f ca="1"/>
        <v/>
      </c>
      <c r="J153" s="1287" t="str">
        <f ca="1"/>
        <v/>
      </c>
      <c r="K153" s="1288" t="str">
        <f ca="1"/>
        <v xml:space="preserve">Description:
Details:
Aim:
</v>
      </c>
      <c r="L153" s="1287" t="str">
        <f ca="1"/>
        <v/>
      </c>
      <c r="M153" s="1287" t="str">
        <f ca="1"/>
        <v/>
      </c>
      <c r="N153" s="1287"/>
      <c r="O153" s="1323" t="str">
        <f ca="1"/>
        <v/>
      </c>
      <c r="P153" s="1287"/>
      <c r="Q153" s="1290" t="str">
        <f ca="1"/>
        <v/>
      </c>
    </row>
    <row r="154" spans="1:17" ht="27.75" hidden="1" customHeight="1" x14ac:dyDescent="0.45">
      <c r="A154" s="1289">
        <v>4</v>
      </c>
      <c r="B154" s="1285">
        <v>9</v>
      </c>
      <c r="C154" s="1285">
        <v>2.9999999999999929</v>
      </c>
      <c r="D154" s="1297">
        <v>27</v>
      </c>
      <c r="E154" s="1299" t="str">
        <f ca="1"/>
        <v/>
      </c>
      <c r="F154" s="1286" t="str">
        <f ca="1"/>
        <v/>
      </c>
      <c r="G154" s="1286" t="str">
        <f ca="1"/>
        <v/>
      </c>
      <c r="H154" s="1301" t="str">
        <f ca="1"/>
        <v/>
      </c>
      <c r="I154" s="1303" t="str">
        <f ca="1"/>
        <v/>
      </c>
      <c r="J154" s="1287" t="str">
        <f ca="1"/>
        <v/>
      </c>
      <c r="K154" s="1288" t="str">
        <f ca="1"/>
        <v xml:space="preserve">Description:
Details:
Aim:
</v>
      </c>
      <c r="L154" s="1287" t="str">
        <f ca="1"/>
        <v/>
      </c>
      <c r="M154" s="1287" t="str">
        <f ca="1"/>
        <v/>
      </c>
      <c r="N154" s="1287"/>
      <c r="O154" s="1323" t="str">
        <f ca="1"/>
        <v/>
      </c>
      <c r="P154" s="1287"/>
      <c r="Q154" s="1290" t="str">
        <f ca="1"/>
        <v/>
      </c>
    </row>
    <row r="155" spans="1:17" ht="27.75" hidden="1" customHeight="1" x14ac:dyDescent="0.45">
      <c r="A155" s="1289">
        <v>4</v>
      </c>
      <c r="B155" s="1285">
        <v>10</v>
      </c>
      <c r="C155" s="1285">
        <v>1</v>
      </c>
      <c r="D155" s="1297">
        <v>27.999999999999996</v>
      </c>
      <c r="E155" s="1299" t="str">
        <f ca="1"/>
        <v>Perform a variety of specialised exercises to engage specific muscles. These sessions must be learned with a coach first but are relatively easy to continue with on your own. Demonstrate control and focus on posture and muscle activation.</v>
      </c>
      <c r="F155" s="1286" t="str">
        <f ca="1"/>
        <v>Sport: Indoor
WU/WD: No 
Effort Total: 30 minutes
HR Target: N/A BPM
HR Range: N/A BPM 
Flat Road Equivalent Pace:  min/km</v>
      </c>
      <c r="G155" s="1286" t="str">
        <f ca="1"/>
        <v xml:space="preserve">Increase strength of specific muscle groups, running economy and injury resistance. </v>
      </c>
      <c r="H155" s="1301" t="str">
        <f ca="1"/>
        <v/>
      </c>
      <c r="I155" s="1303" t="str">
        <f ca="1"/>
        <v>Strength and conditioning</v>
      </c>
      <c r="J155" s="1287" t="str">
        <f ca="1"/>
        <v>Strength</v>
      </c>
      <c r="K155"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155" s="1287">
        <f ca="1"/>
        <v>76</v>
      </c>
      <c r="M155" s="1287">
        <f ca="1"/>
        <v>0.5</v>
      </c>
      <c r="N155" s="1287"/>
      <c r="O155" s="1323" t="str">
        <f ca="1"/>
        <v>2018-10-26 18:00</v>
      </c>
      <c r="P155" s="1287"/>
      <c r="Q155" s="1290" t="str">
        <f ca="1"/>
        <v>Indoor</v>
      </c>
    </row>
    <row r="156" spans="1:17" ht="27.75" hidden="1" customHeight="1" x14ac:dyDescent="0.45">
      <c r="A156" s="1289">
        <v>4</v>
      </c>
      <c r="B156" s="1285">
        <v>10</v>
      </c>
      <c r="C156" s="1285">
        <v>2.0000000000000071</v>
      </c>
      <c r="D156" s="1297">
        <v>28.999999999999993</v>
      </c>
      <c r="E156" s="1299" t="str">
        <f ca="1"/>
        <v>Use a hands, rollers, or balls on all major muscle groups with extra time on more sensitive or problematic areas or as guided by a coach or physio. Finish with 20 minutes of lower-limb stretching.</v>
      </c>
      <c r="F156" s="1286" t="str">
        <f ca="1"/>
        <v>Sport: Indoor
WU/WD: No 
Effort Total: 30 minutes
HR Target: N/A BPM
HR Range: N/A BPM 
Flat Road Equivalent Pace:  min/km</v>
      </c>
      <c r="G156" s="1286" t="str">
        <f ca="1"/>
        <v xml:space="preserve">Release tension that develops in soft tissue from training and non-training stresses. </v>
      </c>
      <c r="H156" s="1301" t="str">
        <f ca="1"/>
        <v/>
      </c>
      <c r="I156" s="1303" t="str">
        <f ca="1"/>
        <v>Maintenance</v>
      </c>
      <c r="J156" s="1287" t="str">
        <f ca="1"/>
        <v>Strength</v>
      </c>
      <c r="K156"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56" s="1287">
        <f ca="1"/>
        <v>76</v>
      </c>
      <c r="M156" s="1287">
        <f ca="1"/>
        <v>0.5</v>
      </c>
      <c r="N156" s="1287"/>
      <c r="O156" s="1323" t="str">
        <f ca="1"/>
        <v>2018-10-26 20:00</v>
      </c>
      <c r="P156" s="1287"/>
      <c r="Q156" s="1290" t="str">
        <f ca="1"/>
        <v>Indoor</v>
      </c>
    </row>
    <row r="157" spans="1:17" ht="27.75" hidden="1" customHeight="1" x14ac:dyDescent="0.45">
      <c r="A157" s="1289">
        <v>4</v>
      </c>
      <c r="B157" s="1285">
        <v>10</v>
      </c>
      <c r="C157" s="1285">
        <v>2.9999999999999929</v>
      </c>
      <c r="D157" s="1297">
        <v>30.000000000000007</v>
      </c>
      <c r="E157" s="1299" t="str">
        <f ca="1"/>
        <v/>
      </c>
      <c r="F157" s="1286" t="str">
        <f ca="1"/>
        <v/>
      </c>
      <c r="G157" s="1286" t="str">
        <f ca="1"/>
        <v/>
      </c>
      <c r="H157" s="1301" t="str">
        <f ca="1"/>
        <v/>
      </c>
      <c r="I157" s="1303" t="str">
        <f ca="1"/>
        <v/>
      </c>
      <c r="J157" s="1287" t="str">
        <f ca="1"/>
        <v/>
      </c>
      <c r="K157" s="1288" t="str">
        <f ca="1"/>
        <v xml:space="preserve">Description:
Details:
Aim:
</v>
      </c>
      <c r="L157" s="1287" t="str">
        <f ca="1"/>
        <v/>
      </c>
      <c r="M157" s="1287" t="str">
        <f ca="1"/>
        <v/>
      </c>
      <c r="N157" s="1287"/>
      <c r="O157" s="1323" t="str">
        <f ca="1"/>
        <v/>
      </c>
      <c r="P157" s="1287"/>
      <c r="Q157" s="1290" t="str">
        <f ca="1"/>
        <v/>
      </c>
    </row>
    <row r="158" spans="1:17" ht="27.75" hidden="1" customHeight="1" x14ac:dyDescent="0.45">
      <c r="A158" s="1289">
        <v>4</v>
      </c>
      <c r="B158" s="1285">
        <v>11</v>
      </c>
      <c r="C158" s="1285">
        <v>1</v>
      </c>
      <c r="D158" s="1297">
        <v>31.000000000000007</v>
      </c>
      <c r="E158" s="1299" t="str">
        <f ca="1"/>
        <v>Perform a variety of specialised exercises to engage specific muscles and apply them in functional movements. These sessions must be learned with a coach first. Warm up and warm down for 10 minutes each.</v>
      </c>
      <c r="F158" s="1286" t="str">
        <f ca="1"/>
        <v>Sport: Run
WU/WD: 15 minutes 
Effort Total: 30 minutes
HR Target: 148 BPM
HR Range: 129 - 169 BPM 
Flat Road Equivalent Pace: 4:14 min/km</v>
      </c>
      <c r="G158" s="1286" t="str">
        <f ca="1"/>
        <v xml:space="preserve">Improve running economy and injury resistance. </v>
      </c>
      <c r="H158" s="1301" t="str">
        <f ca="1"/>
        <v/>
      </c>
      <c r="I158" s="1303" t="str">
        <f ca="1"/>
        <v>Drills + WU</v>
      </c>
      <c r="J158" s="1287" t="str">
        <f ca="1"/>
        <v>Running</v>
      </c>
      <c r="K158"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158" s="1287">
        <f ca="1"/>
        <v>73</v>
      </c>
      <c r="M158" s="1287">
        <f ca="1"/>
        <v>0.5</v>
      </c>
      <c r="N158" s="1287"/>
      <c r="O158" s="1323" t="str">
        <f ca="1"/>
        <v>2018-10-27 06:00</v>
      </c>
      <c r="P158" s="1287"/>
      <c r="Q158" s="1290" t="str">
        <f ca="1"/>
        <v>Run</v>
      </c>
    </row>
    <row r="159" spans="1:17" ht="27.75" hidden="1" customHeight="1" x14ac:dyDescent="0.45">
      <c r="A159" s="1289">
        <v>4</v>
      </c>
      <c r="B159" s="1285">
        <v>11</v>
      </c>
      <c r="C159" s="1285">
        <v>2.0000000000000071</v>
      </c>
      <c r="D159" s="1297">
        <v>32</v>
      </c>
      <c r="E159" s="1299" t="str">
        <f ca="1"/>
        <v>Stay at a comfortable and controlled intensity where you should be able to have a conversation without large pauses. Keep an even intensity and accept that your pace may change as the terrain changes.</v>
      </c>
      <c r="F159" s="1286" t="str">
        <f ca="1"/>
        <v>Sport: Run
WU/WD: No 
Effort Total: 35 minutes
HR Target: 138 BPM
HR Range: 129 - 148 BPM 
Flat Road Equivalent Pace: 4:39 min/km</v>
      </c>
      <c r="G159" s="1286" t="str">
        <f ca="1"/>
        <v xml:space="preserve">Improve aerobic fitness while minimising the chance of injury. </v>
      </c>
      <c r="H159" s="1301" t="str">
        <f ca="1"/>
        <v/>
      </c>
      <c r="I159" s="1303" t="str">
        <f ca="1"/>
        <v>Easy run: 35 minutes</v>
      </c>
      <c r="J159" s="1287" t="str">
        <f ca="1"/>
        <v>Running</v>
      </c>
      <c r="K159"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35 minutes
HR Target: 138 BPM
HR Range: 129 - 148 BPM 
Flat Road Equivalent Pace: 4:39 min/km
Aim:
Improve aerobic fitness while minimising the chance of injury. </v>
      </c>
      <c r="L159" s="1287">
        <f ca="1"/>
        <v>73</v>
      </c>
      <c r="M159" s="1287">
        <f ca="1"/>
        <v>0.58333333333333337</v>
      </c>
      <c r="N159" s="1287"/>
      <c r="O159" s="1323" t="str">
        <f ca="1"/>
        <v>2018-10-27 08:00</v>
      </c>
      <c r="P159" s="1287"/>
      <c r="Q159" s="1290" t="str">
        <f ca="1"/>
        <v>Run</v>
      </c>
    </row>
    <row r="160" spans="1:17" ht="27.75" hidden="1" customHeight="1" x14ac:dyDescent="0.45">
      <c r="A160" s="1289">
        <v>4</v>
      </c>
      <c r="B160" s="1285">
        <v>11</v>
      </c>
      <c r="C160" s="1285">
        <v>2.9999999999999929</v>
      </c>
      <c r="D160" s="1297">
        <v>33</v>
      </c>
      <c r="E160" s="1299" t="str">
        <f ca="1"/>
        <v/>
      </c>
      <c r="F160" s="1286" t="str">
        <f ca="1"/>
        <v/>
      </c>
      <c r="G160" s="1286" t="str">
        <f ca="1"/>
        <v/>
      </c>
      <c r="H160" s="1301" t="str">
        <f ca="1"/>
        <v/>
      </c>
      <c r="I160" s="1303" t="str">
        <f ca="1"/>
        <v/>
      </c>
      <c r="J160" s="1287" t="str">
        <f ca="1"/>
        <v/>
      </c>
      <c r="K160" s="1288" t="str">
        <f ca="1"/>
        <v xml:space="preserve">Description:
Details:
Aim:
</v>
      </c>
      <c r="L160" s="1287" t="str">
        <f ca="1"/>
        <v/>
      </c>
      <c r="M160" s="1287" t="str">
        <f ca="1"/>
        <v/>
      </c>
      <c r="N160" s="1287"/>
      <c r="O160" s="1323" t="str">
        <f ca="1"/>
        <v/>
      </c>
      <c r="P160" s="1287"/>
      <c r="Q160" s="1290" t="str">
        <f ca="1"/>
        <v/>
      </c>
    </row>
    <row r="161" spans="1:17" ht="27.75" hidden="1" customHeight="1" x14ac:dyDescent="0.45">
      <c r="A161" s="1289">
        <v>4</v>
      </c>
      <c r="B161" s="1285">
        <v>12</v>
      </c>
      <c r="C161" s="1285">
        <v>1</v>
      </c>
      <c r="D161" s="1297">
        <v>33.999999999999993</v>
      </c>
      <c r="E161" s="1299" t="str">
        <f ca="1"/>
        <v>Stay at a comfortable and controlled intensity where you should be able to have a conversation without large pauses. Keep an even intensity and accept that your pace may change as the terrain changes.</v>
      </c>
      <c r="F161" s="1286" t="str">
        <f ca="1"/>
        <v>Sport: Run
WU/WD: No 
Effort Total: 60 minutes
HR Target: 138 BPM
HR Range: 129 - 148 BPM 
Flat Road Equivalent Pace: 4:39 min/km</v>
      </c>
      <c r="G161" s="1286" t="str">
        <f ca="1"/>
        <v xml:space="preserve">Improve aerobic fitness while minimising the chance of injury. </v>
      </c>
      <c r="H161" s="1301" t="str">
        <f ca="1"/>
        <v/>
      </c>
      <c r="I161" s="1303" t="str">
        <f ca="1"/>
        <v>Easy run: 60 minutes</v>
      </c>
      <c r="J161" s="1287" t="str">
        <f ca="1"/>
        <v>Running</v>
      </c>
      <c r="K161"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60 minutes
HR Target: 138 BPM
HR Range: 129 - 148 BPM 
Flat Road Equivalent Pace: 4:39 min/km
Aim:
Improve aerobic fitness while minimising the chance of injury. </v>
      </c>
      <c r="L161" s="1287">
        <f ca="1"/>
        <v>2</v>
      </c>
      <c r="M161" s="1287">
        <f ca="1"/>
        <v>1</v>
      </c>
      <c r="N161" s="1287"/>
      <c r="O161" s="1323" t="str">
        <f ca="1"/>
        <v>2018-10-27 18:00</v>
      </c>
      <c r="P161" s="1287"/>
      <c r="Q161" s="1290" t="str">
        <f ca="1"/>
        <v>Run</v>
      </c>
    </row>
    <row r="162" spans="1:17" ht="27.75" hidden="1" customHeight="1" x14ac:dyDescent="0.45">
      <c r="A162" s="1289">
        <v>4</v>
      </c>
      <c r="B162" s="1285">
        <v>12</v>
      </c>
      <c r="C162" s="1285">
        <v>2.0000000000000071</v>
      </c>
      <c r="D162" s="1297">
        <v>34.999999999999993</v>
      </c>
      <c r="E162" s="1299" t="str">
        <f ca="1"/>
        <v/>
      </c>
      <c r="F162" s="1286" t="str">
        <f ca="1"/>
        <v/>
      </c>
      <c r="G162" s="1286" t="str">
        <f ca="1"/>
        <v/>
      </c>
      <c r="H162" s="1301" t="str">
        <f ca="1"/>
        <v/>
      </c>
      <c r="I162" s="1303" t="str">
        <f ca="1"/>
        <v/>
      </c>
      <c r="J162" s="1287" t="str">
        <f ca="1"/>
        <v/>
      </c>
      <c r="K162" s="1288" t="str">
        <f ca="1"/>
        <v xml:space="preserve">Description:
Details:
Aim:
</v>
      </c>
      <c r="L162" s="1287" t="str">
        <f ca="1"/>
        <v/>
      </c>
      <c r="M162" s="1287" t="str">
        <f ca="1"/>
        <v/>
      </c>
      <c r="N162" s="1287"/>
      <c r="O162" s="1323" t="str">
        <f ca="1"/>
        <v/>
      </c>
      <c r="P162" s="1287"/>
      <c r="Q162" s="1290" t="str">
        <f ca="1"/>
        <v/>
      </c>
    </row>
    <row r="163" spans="1:17" ht="27.75" hidden="1" customHeight="1" x14ac:dyDescent="0.45">
      <c r="A163" s="1289">
        <v>4</v>
      </c>
      <c r="B163" s="1285">
        <v>12</v>
      </c>
      <c r="C163" s="1285">
        <v>2.9999999999999929</v>
      </c>
      <c r="D163" s="1297">
        <v>36.000000000000007</v>
      </c>
      <c r="E163" s="1299" t="str">
        <f ca="1"/>
        <v/>
      </c>
      <c r="F163" s="1286" t="str">
        <f ca="1"/>
        <v/>
      </c>
      <c r="G163" s="1286" t="str">
        <f ca="1"/>
        <v/>
      </c>
      <c r="H163" s="1301" t="str">
        <f ca="1"/>
        <v/>
      </c>
      <c r="I163" s="1303" t="str">
        <f ca="1"/>
        <v/>
      </c>
      <c r="J163" s="1287" t="str">
        <f ca="1"/>
        <v/>
      </c>
      <c r="K163" s="1288" t="str">
        <f ca="1"/>
        <v xml:space="preserve">Description:
Details:
Aim:
</v>
      </c>
      <c r="L163" s="1287" t="str">
        <f ca="1"/>
        <v/>
      </c>
      <c r="M163" s="1287" t="str">
        <f ca="1"/>
        <v/>
      </c>
      <c r="N163" s="1287"/>
      <c r="O163" s="1323" t="str">
        <f ca="1"/>
        <v/>
      </c>
      <c r="P163" s="1287"/>
      <c r="Q163" s="1290" t="str">
        <f ca="1"/>
        <v/>
      </c>
    </row>
    <row r="164" spans="1:17" ht="27.75" hidden="1" customHeight="1" x14ac:dyDescent="0.45">
      <c r="A164" s="1289">
        <v>4</v>
      </c>
      <c r="B164" s="1285">
        <v>13</v>
      </c>
      <c r="C164" s="1285">
        <v>1</v>
      </c>
      <c r="D164" s="1297">
        <v>37</v>
      </c>
      <c r="E164" s="1299" t="str">
        <f ca="1"/>
        <v xml:space="preserve">Fundamentally a steady, but you can be less strict at controlling your intensity as long as your average intensity is close to it's target by the end of the session </v>
      </c>
      <c r="F164" s="1286" t="str">
        <f ca="1"/>
        <v>Sport: Hilly Trail Run
WU/WD: No 
Effort Total: 155 minutes
HR Target: 148 BPM
HR Range: 129 - 169 BPM 
Flat Road Equivalent Pace: 4:14 min/km</v>
      </c>
      <c r="G164" s="1286" t="str">
        <f ca="1"/>
        <v xml:space="preserve">Improve aerobic fitness and energy utilisation. </v>
      </c>
      <c r="H164" s="1301" t="str">
        <f ca="1"/>
        <v/>
      </c>
      <c r="I164" s="1303" t="str">
        <f ca="1"/>
        <v>Long hilly trail run: 155 minutes</v>
      </c>
      <c r="J164" s="1287" t="str">
        <f ca="1"/>
        <v>Trail Running</v>
      </c>
      <c r="K164" s="1288" t="str">
        <f ca="1"/>
        <v xml:space="preserve">Description:
Fundamentally a steady, but you can be less strict at controlling your intensity as long as your average intensity is close to it's target by the end of the session 
Details:
Sport: Hilly Trail Run
WU/WD: No 
Effort Total: 155 minutes
HR Target: 148 BPM
HR Range: 129 - 169 BPM 
Flat Road Equivalent Pace: 4:14 min/km
Aim:
Improve aerobic fitness and energy utilisation. </v>
      </c>
      <c r="L164" s="1287">
        <f ca="1"/>
        <v>4</v>
      </c>
      <c r="M164" s="1287">
        <f ca="1"/>
        <v>2.5833333333333335</v>
      </c>
      <c r="N164" s="1287"/>
      <c r="O164" s="1323" t="str">
        <f ca="1"/>
        <v>2018-10-28 06:00</v>
      </c>
      <c r="P164" s="1287"/>
      <c r="Q164" s="1290" t="str">
        <f ca="1"/>
        <v>Hilly Trail Run</v>
      </c>
    </row>
    <row r="165" spans="1:17" ht="27.75" hidden="1" customHeight="1" x14ac:dyDescent="0.45">
      <c r="A165" s="1289">
        <v>4</v>
      </c>
      <c r="B165" s="1285">
        <v>13</v>
      </c>
      <c r="C165" s="1285">
        <v>2.0000000000000071</v>
      </c>
      <c r="D165" s="1297">
        <v>38</v>
      </c>
      <c r="E165" s="1299" t="str">
        <f ca="1"/>
        <v/>
      </c>
      <c r="F165" s="1286" t="str">
        <f ca="1"/>
        <v/>
      </c>
      <c r="G165" s="1286" t="str">
        <f ca="1"/>
        <v/>
      </c>
      <c r="H165" s="1301" t="str">
        <f ca="1"/>
        <v/>
      </c>
      <c r="I165" s="1303" t="str">
        <f ca="1"/>
        <v/>
      </c>
      <c r="J165" s="1287" t="str">
        <f ca="1"/>
        <v/>
      </c>
      <c r="K165" s="1288" t="str">
        <f ca="1"/>
        <v xml:space="preserve">Description:
Details:
Aim:
</v>
      </c>
      <c r="L165" s="1287" t="str">
        <f ca="1"/>
        <v/>
      </c>
      <c r="M165" s="1287" t="str">
        <f ca="1"/>
        <v/>
      </c>
      <c r="N165" s="1287"/>
      <c r="O165" s="1323" t="str">
        <f ca="1"/>
        <v/>
      </c>
      <c r="P165" s="1287"/>
      <c r="Q165" s="1290" t="str">
        <f ca="1"/>
        <v/>
      </c>
    </row>
    <row r="166" spans="1:17" ht="27.75" hidden="1" customHeight="1" x14ac:dyDescent="0.45">
      <c r="A166" s="1289">
        <v>4</v>
      </c>
      <c r="B166" s="1285">
        <v>13</v>
      </c>
      <c r="C166" s="1285">
        <v>2.9999999999999929</v>
      </c>
      <c r="D166" s="1297">
        <v>38.999999999999993</v>
      </c>
      <c r="E166" s="1299" t="str">
        <f ca="1"/>
        <v/>
      </c>
      <c r="F166" s="1286" t="str">
        <f ca="1"/>
        <v/>
      </c>
      <c r="G166" s="1286" t="str">
        <f ca="1"/>
        <v/>
      </c>
      <c r="H166" s="1301" t="str">
        <f ca="1"/>
        <v/>
      </c>
      <c r="I166" s="1303" t="str">
        <f ca="1"/>
        <v/>
      </c>
      <c r="J166" s="1287" t="str">
        <f ca="1"/>
        <v/>
      </c>
      <c r="K166" s="1288" t="str">
        <f ca="1"/>
        <v xml:space="preserve">Description:
Details:
Aim:
</v>
      </c>
      <c r="L166" s="1287" t="str">
        <f ca="1"/>
        <v/>
      </c>
      <c r="M166" s="1287" t="str">
        <f ca="1"/>
        <v/>
      </c>
      <c r="N166" s="1287"/>
      <c r="O166" s="1323" t="str">
        <f ca="1"/>
        <v/>
      </c>
      <c r="P166" s="1287"/>
      <c r="Q166" s="1290" t="str">
        <f ca="1"/>
        <v/>
      </c>
    </row>
    <row r="167" spans="1:17" ht="27.75" hidden="1" customHeight="1" x14ac:dyDescent="0.45">
      <c r="A167" s="1289">
        <v>4</v>
      </c>
      <c r="B167" s="1285">
        <v>14</v>
      </c>
      <c r="C167" s="1285">
        <v>1</v>
      </c>
      <c r="D167" s="1297">
        <v>39.999999999999993</v>
      </c>
      <c r="E167" s="1299" t="str">
        <f ca="1"/>
        <v/>
      </c>
      <c r="F167" s="1286" t="str">
        <f ca="1"/>
        <v/>
      </c>
      <c r="G167" s="1286" t="str">
        <f ca="1"/>
        <v/>
      </c>
      <c r="H167" s="1301" t="str">
        <f ca="1"/>
        <v/>
      </c>
      <c r="I167" s="1303" t="str">
        <f ca="1"/>
        <v/>
      </c>
      <c r="J167" s="1287" t="str">
        <f ca="1"/>
        <v/>
      </c>
      <c r="K167" s="1288" t="str">
        <f ca="1"/>
        <v xml:space="preserve">Description:
Details:
Aim:
</v>
      </c>
      <c r="L167" s="1287" t="str">
        <f ca="1"/>
        <v/>
      </c>
      <c r="M167" s="1287" t="str">
        <f ca="1"/>
        <v/>
      </c>
      <c r="N167" s="1287"/>
      <c r="O167" s="1323" t="str">
        <f ca="1"/>
        <v/>
      </c>
      <c r="P167" s="1287"/>
      <c r="Q167" s="1290" t="str">
        <f ca="1"/>
        <v/>
      </c>
    </row>
    <row r="168" spans="1:17" ht="27.75" hidden="1" customHeight="1" x14ac:dyDescent="0.45">
      <c r="A168" s="1289">
        <v>4</v>
      </c>
      <c r="B168" s="1285">
        <v>14</v>
      </c>
      <c r="C168" s="1285">
        <v>2.0000000000000071</v>
      </c>
      <c r="D168" s="1297">
        <v>41.000000000000007</v>
      </c>
      <c r="E168" s="1299" t="str">
        <f ca="1"/>
        <v/>
      </c>
      <c r="F168" s="1286" t="str">
        <f ca="1"/>
        <v/>
      </c>
      <c r="G168" s="1286" t="str">
        <f ca="1"/>
        <v/>
      </c>
      <c r="H168" s="1301" t="str">
        <f ca="1"/>
        <v/>
      </c>
      <c r="I168" s="1303" t="str">
        <f ca="1"/>
        <v/>
      </c>
      <c r="J168" s="1287" t="str">
        <f ca="1"/>
        <v/>
      </c>
      <c r="K168" s="1288" t="str">
        <f ca="1"/>
        <v xml:space="preserve">Description:
Details:
Aim:
</v>
      </c>
      <c r="L168" s="1287" t="str">
        <f ca="1"/>
        <v/>
      </c>
      <c r="M168" s="1287" t="str">
        <f ca="1"/>
        <v/>
      </c>
      <c r="N168" s="1287"/>
      <c r="O168" s="1323" t="str">
        <f ca="1"/>
        <v/>
      </c>
      <c r="P168" s="1287"/>
      <c r="Q168" s="1290" t="str">
        <f ca="1"/>
        <v/>
      </c>
    </row>
    <row r="169" spans="1:17" ht="27.75" hidden="1" customHeight="1" x14ac:dyDescent="0.45">
      <c r="A169" s="1289">
        <v>4</v>
      </c>
      <c r="B169" s="1285">
        <v>14</v>
      </c>
      <c r="C169" s="1285">
        <v>2.9999999999999929</v>
      </c>
      <c r="D169" s="1297">
        <v>42</v>
      </c>
      <c r="E169" s="1299" t="str">
        <f ca="1"/>
        <v/>
      </c>
      <c r="F169" s="1286" t="str">
        <f ca="1"/>
        <v/>
      </c>
      <c r="G169" s="1286" t="str">
        <f ca="1"/>
        <v/>
      </c>
      <c r="H169" s="1301" t="str">
        <f ca="1"/>
        <v/>
      </c>
      <c r="I169" s="1303" t="str">
        <f ca="1"/>
        <v/>
      </c>
      <c r="J169" s="1287" t="str">
        <f ca="1"/>
        <v/>
      </c>
      <c r="K169" s="1288" t="str">
        <f ca="1"/>
        <v xml:space="preserve">Description:
Details:
Aim:
</v>
      </c>
      <c r="L169" s="1287" t="str">
        <f ca="1"/>
        <v/>
      </c>
      <c r="M169" s="1287" t="str">
        <f ca="1"/>
        <v/>
      </c>
      <c r="N169" s="1287"/>
      <c r="O169" s="1323" t="str">
        <f ca="1"/>
        <v/>
      </c>
      <c r="P169" s="1287"/>
      <c r="Q169" s="1290" t="str">
        <f ca="1"/>
        <v/>
      </c>
    </row>
    <row r="170" spans="1:17" ht="27.75" hidden="1" customHeight="1" x14ac:dyDescent="0.45">
      <c r="A170" s="1289">
        <v>5</v>
      </c>
      <c r="B170" s="1285">
        <v>1</v>
      </c>
      <c r="C170" s="1285">
        <v>1</v>
      </c>
      <c r="D170" s="1297">
        <v>1</v>
      </c>
      <c r="E170" s="1299" t="str">
        <f ca="1"/>
        <v>Stay at a comfortable and controlled intensity where you should be able to have a conversation without large pauses. Keep an even intensity and accept that your pace may change as the terrain changes.</v>
      </c>
      <c r="F170" s="1286" t="str">
        <f ca="1"/>
        <v>Sport: Ride
WU/WD: No 
Effort Total: 40 minutes
HR Target: 138 BPM
HR Range: 129 - 148 BPM 
Flat Road Equivalent Pace: 4:39 min/km</v>
      </c>
      <c r="G170" s="1286" t="str">
        <f ca="1"/>
        <v xml:space="preserve">Improve aerobic fitness while minimising the chance of injury. </v>
      </c>
      <c r="H170" s="1301" t="str">
        <f ca="1"/>
        <v/>
      </c>
      <c r="I170" s="1303" t="str">
        <f ca="1"/>
        <v>Easy ride: 40 minutes</v>
      </c>
      <c r="J170" s="1287" t="str">
        <f ca="1"/>
        <v>Cycling</v>
      </c>
      <c r="K17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70" s="1287">
        <f ca="1"/>
        <v>110</v>
      </c>
      <c r="M170" s="1287">
        <f ca="1"/>
        <v>0.66666666666666663</v>
      </c>
      <c r="N170" s="1287"/>
      <c r="O170" s="1323" t="str">
        <f ca="1"/>
        <v>2018-10-29 06:00</v>
      </c>
      <c r="P170" s="1287"/>
      <c r="Q170" s="1290" t="str">
        <f ca="1"/>
        <v>Ride</v>
      </c>
    </row>
    <row r="171" spans="1:17" ht="27.75" hidden="1" customHeight="1" x14ac:dyDescent="0.45">
      <c r="A171" s="1289">
        <v>5</v>
      </c>
      <c r="B171" s="1285">
        <v>1</v>
      </c>
      <c r="C171" s="1285">
        <v>2.0000000000000071</v>
      </c>
      <c r="D171" s="1297">
        <v>1.9999999999999964</v>
      </c>
      <c r="E171" s="1299" t="str">
        <f ca="1"/>
        <v/>
      </c>
      <c r="F171" s="1286" t="str">
        <f ca="1"/>
        <v/>
      </c>
      <c r="G171" s="1286" t="str">
        <f ca="1"/>
        <v/>
      </c>
      <c r="H171" s="1301" t="str">
        <f ca="1"/>
        <v/>
      </c>
      <c r="I171" s="1303" t="str">
        <f ca="1"/>
        <v/>
      </c>
      <c r="J171" s="1287" t="str">
        <f ca="1"/>
        <v/>
      </c>
      <c r="K171" s="1288" t="str">
        <f ca="1"/>
        <v xml:space="preserve">Description:
Details:
Aim:
</v>
      </c>
      <c r="L171" s="1287" t="str">
        <f ca="1"/>
        <v/>
      </c>
      <c r="M171" s="1287" t="str">
        <f ca="1"/>
        <v/>
      </c>
      <c r="N171" s="1287"/>
      <c r="O171" s="1323" t="str">
        <f ca="1"/>
        <v/>
      </c>
      <c r="P171" s="1287"/>
      <c r="Q171" s="1290" t="str">
        <f ca="1"/>
        <v/>
      </c>
    </row>
    <row r="172" spans="1:17" ht="27.75" hidden="1" customHeight="1" x14ac:dyDescent="0.45">
      <c r="A172" s="1289">
        <v>5</v>
      </c>
      <c r="B172" s="1285">
        <v>1</v>
      </c>
      <c r="C172" s="1285">
        <v>2.9999999999999929</v>
      </c>
      <c r="D172" s="1297">
        <v>2.9999999999999929</v>
      </c>
      <c r="E172" s="1299" t="str">
        <f ca="1"/>
        <v/>
      </c>
      <c r="F172" s="1286" t="str">
        <f ca="1"/>
        <v/>
      </c>
      <c r="G172" s="1286" t="str">
        <f ca="1"/>
        <v/>
      </c>
      <c r="H172" s="1301" t="str">
        <f ca="1"/>
        <v/>
      </c>
      <c r="I172" s="1303" t="str">
        <f ca="1"/>
        <v/>
      </c>
      <c r="J172" s="1287" t="str">
        <f ca="1"/>
        <v/>
      </c>
      <c r="K172" s="1288" t="str">
        <f ca="1"/>
        <v xml:space="preserve">Description:
Details:
Aim:
</v>
      </c>
      <c r="L172" s="1287" t="str">
        <f ca="1"/>
        <v/>
      </c>
      <c r="M172" s="1287" t="str">
        <f ca="1"/>
        <v/>
      </c>
      <c r="N172" s="1287"/>
      <c r="O172" s="1323" t="str">
        <f ca="1"/>
        <v/>
      </c>
      <c r="P172" s="1287"/>
      <c r="Q172" s="1290" t="str">
        <f ca="1"/>
        <v/>
      </c>
    </row>
    <row r="173" spans="1:17" ht="27.75" hidden="1" customHeight="1" x14ac:dyDescent="0.45">
      <c r="A173" s="1289">
        <v>5</v>
      </c>
      <c r="B173" s="1285">
        <v>1</v>
      </c>
      <c r="C173" s="1285">
        <v>1</v>
      </c>
      <c r="D173" s="1297">
        <v>3.9999999999999893</v>
      </c>
      <c r="E173" s="1299" t="str">
        <f ca="1"/>
        <v>Stay at a comfortable and controlled intensity where you should be able to have a conversation without large pauses. Keep an even intensity and accept that your pace may change as the terrain changes.</v>
      </c>
      <c r="F173" s="1286" t="str">
        <f ca="1"/>
        <v>Sport: Ride
WU/WD: No 
Effort Total: 30 minutes
HR Target: 138 BPM
HR Range: 129 - 148 BPM 
Flat Road Equivalent Pace: 4:39 min/km</v>
      </c>
      <c r="G173" s="1286" t="str">
        <f ca="1"/>
        <v xml:space="preserve">Improve aerobic fitness while minimising the chance of injury. </v>
      </c>
      <c r="H173" s="1301" t="str">
        <f ca="1"/>
        <v/>
      </c>
      <c r="I173" s="1303" t="str">
        <f ca="1"/>
        <v>Strength and conditioning</v>
      </c>
      <c r="J173" s="1287" t="str">
        <f ca="1"/>
        <v>Cycling</v>
      </c>
      <c r="K173"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173" s="1287">
        <f ca="1"/>
        <v>110</v>
      </c>
      <c r="M173" s="1287">
        <f ca="1"/>
        <v>0.5</v>
      </c>
      <c r="N173" s="1287"/>
      <c r="O173" s="1323" t="str">
        <f ca="1"/>
        <v>2018-10-29 06:00</v>
      </c>
      <c r="P173" s="1287"/>
      <c r="Q173" s="1290" t="str">
        <f ca="1"/>
        <v>Ride</v>
      </c>
    </row>
    <row r="174" spans="1:17" ht="27.75" hidden="1" customHeight="1" x14ac:dyDescent="0.45">
      <c r="A174" s="1289">
        <v>5</v>
      </c>
      <c r="B174" s="1285">
        <v>2</v>
      </c>
      <c r="C174" s="1285">
        <v>2.0000000000000071</v>
      </c>
      <c r="D174" s="1297">
        <v>4.9999999999999858</v>
      </c>
      <c r="E174" s="1299" t="str">
        <f ca="1"/>
        <v>Use a hands, rollers, or balls on all major muscle groups with extra time on more sensitive or problematic areas or as guided by a coach or physio. Finish with 20 minutes of lower-limb stretching.</v>
      </c>
      <c r="F174" s="1286" t="str">
        <f ca="1"/>
        <v>Sport: Indoor
WU/WD: No 
Effort Total: 30 minutes
HR Target: N/A BPM
HR Range: N/A BPM 
Flat Road Equivalent Pace:  min/km</v>
      </c>
      <c r="G174" s="1286" t="str">
        <f ca="1"/>
        <v xml:space="preserve">Release tension that develops in soft tissue from training and non-training stresses. </v>
      </c>
      <c r="H174" s="1301" t="str">
        <f ca="1"/>
        <v/>
      </c>
      <c r="I174" s="1303" t="str">
        <f ca="1"/>
        <v>Maintenance</v>
      </c>
      <c r="J174" s="1287" t="str">
        <f ca="1"/>
        <v>Strength</v>
      </c>
      <c r="K174"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74" s="1287">
        <f ca="1"/>
        <v>76</v>
      </c>
      <c r="M174" s="1287">
        <f ca="1"/>
        <v>0.5</v>
      </c>
      <c r="N174" s="1287"/>
      <c r="O174" s="1323" t="str">
        <f ca="1"/>
        <v>2018-10-29 20:00</v>
      </c>
      <c r="P174" s="1287"/>
      <c r="Q174" s="1290" t="str">
        <f ca="1"/>
        <v>Indoor</v>
      </c>
    </row>
    <row r="175" spans="1:17" ht="27.75" hidden="1" customHeight="1" x14ac:dyDescent="0.45">
      <c r="A175" s="1289">
        <v>5</v>
      </c>
      <c r="B175" s="1285">
        <v>2</v>
      </c>
      <c r="C175" s="1285">
        <v>2.9999999999999929</v>
      </c>
      <c r="D175" s="1297">
        <v>5.9999999999999822</v>
      </c>
      <c r="E175" s="1299" t="str">
        <f ca="1"/>
        <v/>
      </c>
      <c r="F175" s="1286" t="str">
        <f ca="1"/>
        <v/>
      </c>
      <c r="G175" s="1286" t="str">
        <f ca="1"/>
        <v/>
      </c>
      <c r="H175" s="1301" t="str">
        <f ca="1"/>
        <v/>
      </c>
      <c r="I175" s="1303" t="str">
        <f ca="1"/>
        <v/>
      </c>
      <c r="J175" s="1287" t="str">
        <f ca="1"/>
        <v/>
      </c>
      <c r="K175" s="1288" t="str">
        <f ca="1"/>
        <v xml:space="preserve">Description:
Details:
Aim:
</v>
      </c>
      <c r="L175" s="1287" t="str">
        <f ca="1"/>
        <v/>
      </c>
      <c r="M175" s="1287" t="str">
        <f ca="1"/>
        <v/>
      </c>
      <c r="N175" s="1287"/>
      <c r="O175" s="1323" t="str">
        <f ca="1"/>
        <v/>
      </c>
      <c r="P175" s="1287"/>
      <c r="Q175" s="1290" t="str">
        <f ca="1"/>
        <v/>
      </c>
    </row>
    <row r="176" spans="1:17" ht="27.75" hidden="1" customHeight="1" x14ac:dyDescent="0.45">
      <c r="A176" s="1289">
        <v>5</v>
      </c>
      <c r="B176" s="1285">
        <v>3</v>
      </c>
      <c r="C176" s="1285">
        <v>1</v>
      </c>
      <c r="D176" s="1297">
        <v>7.000000000000016</v>
      </c>
      <c r="E176" s="1299" t="str">
        <f ca="1"/>
        <v>Stay at a comfortable and controlled intensity where you should be able to have a conversation without large pauses. Keep an even intensity and accept that your pace may change as the terrain changes.</v>
      </c>
      <c r="F176" s="1286" t="str">
        <f ca="1"/>
        <v>Sport: Ride
WU/WD: No 
Effort Total: 40 minutes
HR Target: 138 BPM
HR Range: 129 - 148 BPM 
Flat Road Equivalent Pace: 4:39 min/km</v>
      </c>
      <c r="G176" s="1286" t="str">
        <f ca="1"/>
        <v xml:space="preserve">Improve aerobic fitness while minimising the chance of injury. </v>
      </c>
      <c r="H176" s="1301" t="str">
        <f ca="1"/>
        <v/>
      </c>
      <c r="I176" s="1303" t="str">
        <f ca="1"/>
        <v>Easy ride: 40 minutes</v>
      </c>
      <c r="J176" s="1287" t="str">
        <f ca="1"/>
        <v>Cycling</v>
      </c>
      <c r="K17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76" s="1287">
        <f ca="1"/>
        <v>110</v>
      </c>
      <c r="M176" s="1287">
        <f ca="1"/>
        <v>0.66666666666666663</v>
      </c>
      <c r="N176" s="1287"/>
      <c r="O176" s="1323" t="str">
        <f ca="1"/>
        <v>2018-10-30 06:00</v>
      </c>
      <c r="P176" s="1287"/>
      <c r="Q176" s="1290" t="str">
        <f ca="1"/>
        <v>Ride</v>
      </c>
    </row>
    <row r="177" spans="1:17" ht="27.75" hidden="1" customHeight="1" x14ac:dyDescent="0.45">
      <c r="A177" s="1289">
        <v>5</v>
      </c>
      <c r="B177" s="1285">
        <v>3</v>
      </c>
      <c r="C177" s="1285">
        <v>2.0000000000000071</v>
      </c>
      <c r="D177" s="1297">
        <v>8.0000000000000124</v>
      </c>
      <c r="E177" s="1299" t="str">
        <f ca="1"/>
        <v/>
      </c>
      <c r="F177" s="1286" t="str">
        <f ca="1"/>
        <v/>
      </c>
      <c r="G177" s="1286" t="str">
        <f ca="1"/>
        <v/>
      </c>
      <c r="H177" s="1301" t="str">
        <f ca="1"/>
        <v/>
      </c>
      <c r="I177" s="1303" t="str">
        <f ca="1"/>
        <v/>
      </c>
      <c r="J177" s="1287" t="str">
        <f ca="1"/>
        <v/>
      </c>
      <c r="K177" s="1288" t="str">
        <f ca="1"/>
        <v xml:space="preserve">Description:
Details:
Aim:
</v>
      </c>
      <c r="L177" s="1287" t="str">
        <f ca="1"/>
        <v/>
      </c>
      <c r="M177" s="1287" t="str">
        <f ca="1"/>
        <v/>
      </c>
      <c r="N177" s="1287"/>
      <c r="O177" s="1323" t="str">
        <f ca="1"/>
        <v/>
      </c>
      <c r="P177" s="1287"/>
      <c r="Q177" s="1290" t="str">
        <f ca="1"/>
        <v/>
      </c>
    </row>
    <row r="178" spans="1:17" ht="27.75" hidden="1" customHeight="1" x14ac:dyDescent="0.45">
      <c r="A178" s="1289">
        <v>5</v>
      </c>
      <c r="B178" s="1285">
        <v>3</v>
      </c>
      <c r="C178" s="1285">
        <v>2.9999999999999929</v>
      </c>
      <c r="D178" s="1297">
        <v>9.0000000000000089</v>
      </c>
      <c r="E178" s="1299" t="str">
        <f ca="1"/>
        <v/>
      </c>
      <c r="F178" s="1286" t="str">
        <f ca="1"/>
        <v/>
      </c>
      <c r="G178" s="1286" t="str">
        <f ca="1"/>
        <v/>
      </c>
      <c r="H178" s="1301" t="str">
        <f ca="1"/>
        <v/>
      </c>
      <c r="I178" s="1303" t="str">
        <f ca="1"/>
        <v/>
      </c>
      <c r="J178" s="1287" t="str">
        <f ca="1"/>
        <v/>
      </c>
      <c r="K178" s="1288" t="str">
        <f ca="1"/>
        <v xml:space="preserve">Description:
Details:
Aim:
</v>
      </c>
      <c r="L178" s="1287" t="str">
        <f ca="1"/>
        <v/>
      </c>
      <c r="M178" s="1287" t="str">
        <f ca="1"/>
        <v/>
      </c>
      <c r="N178" s="1287"/>
      <c r="O178" s="1323" t="str">
        <f ca="1"/>
        <v/>
      </c>
      <c r="P178" s="1287"/>
      <c r="Q178" s="1290" t="str">
        <f ca="1"/>
        <v/>
      </c>
    </row>
    <row r="179" spans="1:17" ht="27.75" hidden="1" customHeight="1" x14ac:dyDescent="0.45">
      <c r="A179" s="1289">
        <v>5</v>
      </c>
      <c r="B179" s="1285">
        <v>4</v>
      </c>
      <c r="C179" s="1285">
        <v>1</v>
      </c>
      <c r="D179" s="1297">
        <v>10.000000000000005</v>
      </c>
      <c r="E179" s="1299" t="str">
        <f ca="1"/>
        <v>Accelerate to a fast pace which you should be able to hold for 50 minutes in a race situation. This will take concentration, but it's important to keep the intensity even, so do not start too hard. Warm up and warm down for 10 minutes each.</v>
      </c>
      <c r="F179" s="1286" t="str">
        <f ca="1"/>
        <v>Sport: Hilly Trail Run
WU/WD: 15 minutes 
Effort Total: 25 minutes
HR Target: 177 BPM
HR Range: 173 - 180 BPM 
Flat Road Equivalent Pace: 3:21 min/km</v>
      </c>
      <c r="G179" s="1286" t="str">
        <f ca="1"/>
        <v xml:space="preserve">Improve endurance by increasing lactate threshold and developing mental toughness. </v>
      </c>
      <c r="H179" s="1301" t="str">
        <f ca="1"/>
        <v/>
      </c>
      <c r="I179" s="1303" t="str">
        <f ca="1"/>
        <v>Hilly tempo hilly trail run: 25 minutes + WU/WD</v>
      </c>
      <c r="J179" s="1287" t="str">
        <f ca="1"/>
        <v>Trail Running</v>
      </c>
      <c r="K179"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179" s="1287">
        <f ca="1"/>
        <v>23</v>
      </c>
      <c r="M179" s="1287">
        <f ca="1"/>
        <v>0.41666666666666669</v>
      </c>
      <c r="N179" s="1287"/>
      <c r="O179" s="1323" t="str">
        <f ca="1"/>
        <v>2018-10-30 18:00</v>
      </c>
      <c r="P179" s="1287"/>
      <c r="Q179" s="1290" t="str">
        <f ca="1"/>
        <v>Hilly Trail Run</v>
      </c>
    </row>
    <row r="180" spans="1:17" ht="27.75" hidden="1" customHeight="1" x14ac:dyDescent="0.45">
      <c r="A180" s="1289">
        <v>5</v>
      </c>
      <c r="B180" s="1285">
        <v>4</v>
      </c>
      <c r="C180" s="1285">
        <v>2.0000000000000071</v>
      </c>
      <c r="D180" s="1297">
        <v>11.000000000000002</v>
      </c>
      <c r="E180" s="1299" t="str">
        <f ca="1"/>
        <v/>
      </c>
      <c r="F180" s="1286" t="str">
        <f ca="1"/>
        <v/>
      </c>
      <c r="G180" s="1286" t="str">
        <f ca="1"/>
        <v/>
      </c>
      <c r="H180" s="1301" t="str">
        <f ca="1"/>
        <v/>
      </c>
      <c r="I180" s="1303" t="str">
        <f ca="1"/>
        <v/>
      </c>
      <c r="J180" s="1287" t="str">
        <f ca="1"/>
        <v/>
      </c>
      <c r="K180" s="1288" t="str">
        <f ca="1"/>
        <v xml:space="preserve">Description:
Details:
Aim:
</v>
      </c>
      <c r="L180" s="1287" t="str">
        <f ca="1"/>
        <v/>
      </c>
      <c r="M180" s="1287" t="str">
        <f ca="1"/>
        <v/>
      </c>
      <c r="N180" s="1287"/>
      <c r="O180" s="1323" t="str">
        <f ca="1"/>
        <v/>
      </c>
      <c r="P180" s="1287"/>
      <c r="Q180" s="1290" t="str">
        <f ca="1"/>
        <v/>
      </c>
    </row>
    <row r="181" spans="1:17" ht="27.75" hidden="1" customHeight="1" x14ac:dyDescent="0.45">
      <c r="A181" s="1289">
        <v>5</v>
      </c>
      <c r="B181" s="1285">
        <v>4</v>
      </c>
      <c r="C181" s="1285">
        <v>2.9999999999999929</v>
      </c>
      <c r="D181" s="1297">
        <v>11.999999999999998</v>
      </c>
      <c r="E181" s="1299" t="str">
        <f ca="1"/>
        <v/>
      </c>
      <c r="F181" s="1286" t="str">
        <f ca="1"/>
        <v/>
      </c>
      <c r="G181" s="1286" t="str">
        <f ca="1"/>
        <v/>
      </c>
      <c r="H181" s="1301" t="str">
        <f ca="1"/>
        <v/>
      </c>
      <c r="I181" s="1303" t="str">
        <f ca="1"/>
        <v/>
      </c>
      <c r="J181" s="1287" t="str">
        <f ca="1"/>
        <v/>
      </c>
      <c r="K181" s="1288" t="str">
        <f ca="1"/>
        <v xml:space="preserve">Description:
Details:
Aim:
</v>
      </c>
      <c r="L181" s="1287" t="str">
        <f ca="1"/>
        <v/>
      </c>
      <c r="M181" s="1287" t="str">
        <f ca="1"/>
        <v/>
      </c>
      <c r="N181" s="1287"/>
      <c r="O181" s="1323" t="str">
        <f ca="1"/>
        <v/>
      </c>
      <c r="P181" s="1287"/>
      <c r="Q181" s="1290" t="str">
        <f ca="1"/>
        <v/>
      </c>
    </row>
    <row r="182" spans="1:17" ht="27.75" hidden="1" customHeight="1" x14ac:dyDescent="0.45">
      <c r="A182" s="1289">
        <v>5</v>
      </c>
      <c r="B182" s="1285">
        <v>5</v>
      </c>
      <c r="C182" s="1285">
        <v>1</v>
      </c>
      <c r="D182" s="1297">
        <v>12.999999999999995</v>
      </c>
      <c r="E182" s="1299" t="str">
        <f ca="1"/>
        <v/>
      </c>
      <c r="F182" s="1286" t="str">
        <f ca="1"/>
        <v/>
      </c>
      <c r="G182" s="1286" t="str">
        <f ca="1"/>
        <v/>
      </c>
      <c r="H182" s="1301" t="str">
        <f ca="1"/>
        <v/>
      </c>
      <c r="I182" s="1303" t="str">
        <f ca="1"/>
        <v/>
      </c>
      <c r="J182" s="1287" t="str">
        <f ca="1"/>
        <v/>
      </c>
      <c r="K182" s="1288" t="str">
        <f ca="1"/>
        <v xml:space="preserve">Description:
Details:
Aim:
</v>
      </c>
      <c r="L182" s="1287" t="str">
        <f ca="1"/>
        <v/>
      </c>
      <c r="M182" s="1287" t="str">
        <f ca="1"/>
        <v/>
      </c>
      <c r="N182" s="1287"/>
      <c r="O182" s="1323" t="str">
        <f ca="1"/>
        <v/>
      </c>
      <c r="P182" s="1287"/>
      <c r="Q182" s="1290" t="str">
        <f ca="1"/>
        <v/>
      </c>
    </row>
    <row r="183" spans="1:17" ht="27.75" hidden="1" customHeight="1" x14ac:dyDescent="0.45">
      <c r="A183" s="1289">
        <v>5</v>
      </c>
      <c r="B183" s="1285">
        <v>5</v>
      </c>
      <c r="C183" s="1285">
        <v>2.0000000000000071</v>
      </c>
      <c r="D183" s="1297">
        <v>13.999999999999991</v>
      </c>
      <c r="E183" s="1299" t="str">
        <f ca="1"/>
        <v/>
      </c>
      <c r="F183" s="1286" t="str">
        <f ca="1"/>
        <v/>
      </c>
      <c r="G183" s="1286" t="str">
        <f ca="1"/>
        <v/>
      </c>
      <c r="H183" s="1301" t="str">
        <f ca="1"/>
        <v/>
      </c>
      <c r="I183" s="1303" t="str">
        <f ca="1"/>
        <v/>
      </c>
      <c r="J183" s="1287" t="str">
        <f ca="1"/>
        <v/>
      </c>
      <c r="K183" s="1288" t="str">
        <f ca="1"/>
        <v xml:space="preserve">Description:
Details:
Aim:
</v>
      </c>
      <c r="L183" s="1287" t="str">
        <f ca="1"/>
        <v/>
      </c>
      <c r="M183" s="1287" t="str">
        <f ca="1"/>
        <v/>
      </c>
      <c r="N183" s="1287"/>
      <c r="O183" s="1323" t="str">
        <f ca="1"/>
        <v/>
      </c>
      <c r="P183" s="1287"/>
      <c r="Q183" s="1290" t="str">
        <f ca="1"/>
        <v/>
      </c>
    </row>
    <row r="184" spans="1:17" ht="27.75" hidden="1" customHeight="1" x14ac:dyDescent="0.45">
      <c r="A184" s="1289">
        <v>5</v>
      </c>
      <c r="B184" s="1285">
        <v>5</v>
      </c>
      <c r="C184" s="1285">
        <v>2.9999999999999929</v>
      </c>
      <c r="D184" s="1297">
        <v>14.999999999999988</v>
      </c>
      <c r="E184" s="1299" t="str">
        <f ca="1"/>
        <v/>
      </c>
      <c r="F184" s="1286" t="str">
        <f ca="1"/>
        <v/>
      </c>
      <c r="G184" s="1286" t="str">
        <f ca="1"/>
        <v/>
      </c>
      <c r="H184" s="1301" t="str">
        <f ca="1"/>
        <v/>
      </c>
      <c r="I184" s="1303" t="str">
        <f ca="1"/>
        <v/>
      </c>
      <c r="J184" s="1287" t="str">
        <f ca="1"/>
        <v/>
      </c>
      <c r="K184" s="1288" t="str">
        <f ca="1"/>
        <v xml:space="preserve">Description:
Details:
Aim:
</v>
      </c>
      <c r="L184" s="1287" t="str">
        <f ca="1"/>
        <v/>
      </c>
      <c r="M184" s="1287" t="str">
        <f ca="1"/>
        <v/>
      </c>
      <c r="N184" s="1287"/>
      <c r="O184" s="1323" t="str">
        <f ca="1"/>
        <v/>
      </c>
      <c r="P184" s="1287"/>
      <c r="Q184" s="1290" t="str">
        <f ca="1"/>
        <v/>
      </c>
    </row>
    <row r="185" spans="1:17" ht="27.75" hidden="1" customHeight="1" x14ac:dyDescent="0.45">
      <c r="A185" s="1289">
        <v>5</v>
      </c>
      <c r="B185" s="1285">
        <v>5</v>
      </c>
      <c r="C185" s="1285">
        <v>1</v>
      </c>
      <c r="D185" s="1297">
        <v>15.999999999999984</v>
      </c>
      <c r="E185" s="1299" t="str">
        <f ca="1"/>
        <v>Rest from continuous exercise.</v>
      </c>
      <c r="F185" s="1286" t="str">
        <f ca="1"/>
        <v>Sport: Run
WU/WD: No 
Effort Total: 80 minutes
HR Target: N/A BPM
HR Range: N/A BPM 
Flat Road Equivalent Pace:  min/km</v>
      </c>
      <c r="G185" s="1286" t="str">
        <f ca="1"/>
        <v xml:space="preserve">Allow safest recovery of the whole body. </v>
      </c>
      <c r="H185" s="1301" t="str">
        <f ca="1"/>
        <v/>
      </c>
      <c r="I185" s="1303" t="str">
        <f ca="1"/>
        <v>Easy road ride: 80 minutes</v>
      </c>
      <c r="J185" s="1287" t="str">
        <f ca="1"/>
        <v>Running</v>
      </c>
      <c r="K185" s="1288" t="str">
        <f ca="1"/>
        <v xml:space="preserve">Description:
Rest from continuous exercise.
Details:
Sport: Run
WU/WD: No 
Effort Total: 80 minutes
HR Target: N/A BPM
HR Range: N/A BPM 
Flat Road Equivalent Pace:  min/km
Aim:
Allow safest recovery of the whole body. </v>
      </c>
      <c r="L185" s="1287">
        <f ca="1"/>
        <v>0</v>
      </c>
      <c r="M185" s="1287">
        <f ca="1"/>
        <v>1.3333333333333333</v>
      </c>
      <c r="N185" s="1287"/>
      <c r="O185" s="1323" t="str">
        <f ca="1"/>
        <v>2018-10-31 06:00</v>
      </c>
      <c r="P185" s="1287"/>
      <c r="Q185" s="1290" t="str">
        <f ca="1"/>
        <v>Run</v>
      </c>
    </row>
    <row r="186" spans="1:17" ht="27.75" hidden="1" customHeight="1" x14ac:dyDescent="0.45">
      <c r="A186" s="1289">
        <v>5</v>
      </c>
      <c r="B186" s="1285">
        <v>6</v>
      </c>
      <c r="C186" s="1285">
        <v>2.0000000000000071</v>
      </c>
      <c r="D186" s="1297">
        <v>17.000000000000018</v>
      </c>
      <c r="E186" s="1299" t="str">
        <f ca="1"/>
        <v/>
      </c>
      <c r="F186" s="1286" t="str">
        <f ca="1"/>
        <v/>
      </c>
      <c r="G186" s="1286" t="str">
        <f ca="1"/>
        <v/>
      </c>
      <c r="H186" s="1301" t="str">
        <f ca="1"/>
        <v/>
      </c>
      <c r="I186" s="1303" t="str">
        <f ca="1"/>
        <v/>
      </c>
      <c r="J186" s="1287" t="str">
        <f ca="1"/>
        <v/>
      </c>
      <c r="K186" s="1288" t="str">
        <f ca="1"/>
        <v xml:space="preserve">Description:
Details:
Aim:
</v>
      </c>
      <c r="L186" s="1287" t="str">
        <f ca="1"/>
        <v/>
      </c>
      <c r="M186" s="1287" t="str">
        <f ca="1"/>
        <v/>
      </c>
      <c r="N186" s="1287"/>
      <c r="O186" s="1323" t="str">
        <f ca="1"/>
        <v/>
      </c>
      <c r="P186" s="1287"/>
      <c r="Q186" s="1290" t="str">
        <f ca="1"/>
        <v/>
      </c>
    </row>
    <row r="187" spans="1:17" ht="27.75" hidden="1" customHeight="1" x14ac:dyDescent="0.45">
      <c r="A187" s="1289">
        <v>5</v>
      </c>
      <c r="B187" s="1285">
        <v>6</v>
      </c>
      <c r="C187" s="1285">
        <v>2.9999999999999929</v>
      </c>
      <c r="D187" s="1297">
        <v>18.000000000000014</v>
      </c>
      <c r="E187" s="1299" t="str">
        <f ca="1"/>
        <v/>
      </c>
      <c r="F187" s="1286" t="str">
        <f ca="1"/>
        <v/>
      </c>
      <c r="G187" s="1286" t="str">
        <f ca="1"/>
        <v/>
      </c>
      <c r="H187" s="1301" t="str">
        <f ca="1"/>
        <v/>
      </c>
      <c r="I187" s="1303" t="str">
        <f ca="1"/>
        <v/>
      </c>
      <c r="J187" s="1287" t="str">
        <f ca="1"/>
        <v/>
      </c>
      <c r="K187" s="1288" t="str">
        <f ca="1"/>
        <v xml:space="preserve">Description:
Details:
Aim:
</v>
      </c>
      <c r="L187" s="1287" t="str">
        <f ca="1"/>
        <v/>
      </c>
      <c r="M187" s="1287" t="str">
        <f ca="1"/>
        <v/>
      </c>
      <c r="N187" s="1287"/>
      <c r="O187" s="1323" t="str">
        <f ca="1"/>
        <v/>
      </c>
      <c r="P187" s="1287"/>
      <c r="Q187" s="1290" t="str">
        <f ca="1"/>
        <v/>
      </c>
    </row>
    <row r="188" spans="1:17" ht="27.75" hidden="1" customHeight="1" x14ac:dyDescent="0.45">
      <c r="A188" s="1289">
        <v>5</v>
      </c>
      <c r="B188" s="1285">
        <v>7</v>
      </c>
      <c r="C188" s="1285">
        <v>1</v>
      </c>
      <c r="D188" s="1297">
        <v>19.000000000000011</v>
      </c>
      <c r="E188" s="1299" t="str">
        <f ca="1"/>
        <v>Stay at a comfortable and controlled intensity where you should be able to have a conversation without large pauses. Keep an even intensity and accept that your pace may change as the terrain changes.</v>
      </c>
      <c r="F188" s="1286" t="str">
        <f ca="1"/>
        <v>Sport: Ride
WU/WD: No 
Effort Total: 40 minutes
HR Target: 138 BPM
HR Range: 129 - 148 BPM 
Flat Road Equivalent Pace: 4:39 min/km</v>
      </c>
      <c r="G188" s="1286" t="str">
        <f ca="1"/>
        <v xml:space="preserve">Improve aerobic fitness while minimising the chance of injury. </v>
      </c>
      <c r="H188" s="1301" t="str">
        <f ca="1"/>
        <v/>
      </c>
      <c r="I188" s="1303" t="str">
        <f ca="1"/>
        <v>Easy ride: 40 minutes</v>
      </c>
      <c r="J188" s="1287" t="str">
        <f ca="1"/>
        <v>Cycling</v>
      </c>
      <c r="K18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88" s="1287">
        <f ca="1"/>
        <v>110</v>
      </c>
      <c r="M188" s="1287">
        <f ca="1"/>
        <v>0.66666666666666663</v>
      </c>
      <c r="N188" s="1287"/>
      <c r="O188" s="1323" t="str">
        <f ca="1"/>
        <v>2018-11-01 06:00</v>
      </c>
      <c r="P188" s="1287"/>
      <c r="Q188" s="1290" t="str">
        <f ca="1"/>
        <v>Ride</v>
      </c>
    </row>
    <row r="189" spans="1:17" ht="27.75" hidden="1" customHeight="1" x14ac:dyDescent="0.45">
      <c r="A189" s="1289">
        <v>5</v>
      </c>
      <c r="B189" s="1285">
        <v>7</v>
      </c>
      <c r="C189" s="1285">
        <v>2.0000000000000071</v>
      </c>
      <c r="D189" s="1297">
        <v>20.000000000000007</v>
      </c>
      <c r="E189" s="1299" t="str">
        <f ca="1"/>
        <v/>
      </c>
      <c r="F189" s="1286" t="str">
        <f ca="1"/>
        <v/>
      </c>
      <c r="G189" s="1286" t="str">
        <f ca="1"/>
        <v/>
      </c>
      <c r="H189" s="1301" t="str">
        <f ca="1"/>
        <v/>
      </c>
      <c r="I189" s="1303" t="str">
        <f ca="1"/>
        <v/>
      </c>
      <c r="J189" s="1287" t="str">
        <f ca="1"/>
        <v/>
      </c>
      <c r="K189" s="1288" t="str">
        <f ca="1"/>
        <v xml:space="preserve">Description:
Details:
Aim:
</v>
      </c>
      <c r="L189" s="1287" t="str">
        <f ca="1"/>
        <v/>
      </c>
      <c r="M189" s="1287" t="str">
        <f ca="1"/>
        <v/>
      </c>
      <c r="N189" s="1287"/>
      <c r="O189" s="1323" t="str">
        <f ca="1"/>
        <v/>
      </c>
      <c r="P189" s="1287"/>
      <c r="Q189" s="1290" t="str">
        <f ca="1"/>
        <v/>
      </c>
    </row>
    <row r="190" spans="1:17" ht="27.75" hidden="1" customHeight="1" x14ac:dyDescent="0.45">
      <c r="A190" s="1289">
        <v>5</v>
      </c>
      <c r="B190" s="1285">
        <v>7</v>
      </c>
      <c r="C190" s="1285">
        <v>2.9999999999999929</v>
      </c>
      <c r="D190" s="1297">
        <v>21.000000000000004</v>
      </c>
      <c r="E190" s="1299" t="str">
        <f ca="1"/>
        <v/>
      </c>
      <c r="F190" s="1286" t="str">
        <f ca="1"/>
        <v/>
      </c>
      <c r="G190" s="1286" t="str">
        <f ca="1"/>
        <v/>
      </c>
      <c r="H190" s="1301" t="str">
        <f ca="1"/>
        <v/>
      </c>
      <c r="I190" s="1303" t="str">
        <f ca="1"/>
        <v/>
      </c>
      <c r="J190" s="1287" t="str">
        <f ca="1"/>
        <v/>
      </c>
      <c r="K190" s="1288" t="str">
        <f ca="1"/>
        <v xml:space="preserve">Description:
Details:
Aim:
</v>
      </c>
      <c r="L190" s="1287" t="str">
        <f ca="1"/>
        <v/>
      </c>
      <c r="M190" s="1287" t="str">
        <f ca="1"/>
        <v/>
      </c>
      <c r="N190" s="1287"/>
      <c r="O190" s="1323" t="str">
        <f ca="1"/>
        <v/>
      </c>
      <c r="P190" s="1287"/>
      <c r="Q190" s="1290" t="str">
        <f ca="1"/>
        <v/>
      </c>
    </row>
    <row r="191" spans="1:17" ht="27.75" hidden="1" customHeight="1" x14ac:dyDescent="0.45">
      <c r="A191" s="1289">
        <v>5</v>
      </c>
      <c r="B191" s="1285">
        <v>8</v>
      </c>
      <c r="C191" s="1285">
        <v>1</v>
      </c>
      <c r="D191" s="1297">
        <v>22</v>
      </c>
      <c r="E191" s="1299" t="str">
        <f ca="1"/>
        <v>Stay at a comfortable and controlled intensity where you should be able to have a conversation without large pauses. Keep an even intensity and accept that your pace may change as the terrain changes.</v>
      </c>
      <c r="F191" s="1286" t="str">
        <f ca="1"/>
        <v>Sport: Hilly Trail Run
WU/WD: No 
Effort Total: 95 minutes
HR Target: 148 BPM
HR Range: 138 - 157 BPM 
Flat Road Equivalent Pace: 4:14 min/km</v>
      </c>
      <c r="G191" s="1286" t="str">
        <f ca="1"/>
        <v>Improve aerobic fitness at an optimal rate.</v>
      </c>
      <c r="H191" s="1301" t="str">
        <f ca="1"/>
        <v/>
      </c>
      <c r="I191" s="1303" t="str">
        <f ca="1"/>
        <v>Steady hilly trail run: 95 minutes</v>
      </c>
      <c r="J191" s="1287" t="str">
        <f ca="1"/>
        <v>Trail Running</v>
      </c>
      <c r="K191"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95 minutes
HR Target: 148 BPM
HR Range: 138 - 157 BPM 
Flat Road Equivalent Pace: 4:14 min/km
Aim:
Improve aerobic fitness at an optimal rate.</v>
      </c>
      <c r="L191" s="1287">
        <f ca="1"/>
        <v>3</v>
      </c>
      <c r="M191" s="1287">
        <f ca="1"/>
        <v>1.5833333333333333</v>
      </c>
      <c r="N191" s="1287"/>
      <c r="O191" s="1323" t="str">
        <f ca="1"/>
        <v>2018-11-01 18:00</v>
      </c>
      <c r="P191" s="1287"/>
      <c r="Q191" s="1290" t="str">
        <f ca="1"/>
        <v>Hilly Trail Run</v>
      </c>
    </row>
    <row r="192" spans="1:17" ht="27.75" hidden="1" customHeight="1" x14ac:dyDescent="0.45">
      <c r="A192" s="1289">
        <v>5</v>
      </c>
      <c r="B192" s="1285">
        <v>8</v>
      </c>
      <c r="C192" s="1285">
        <v>2.0000000000000071</v>
      </c>
      <c r="D192" s="1297">
        <v>22.999999999999996</v>
      </c>
      <c r="E192" s="1299" t="str">
        <f ca="1"/>
        <v/>
      </c>
      <c r="F192" s="1286" t="str">
        <f ca="1"/>
        <v/>
      </c>
      <c r="G192" s="1286" t="str">
        <f ca="1"/>
        <v/>
      </c>
      <c r="H192" s="1301" t="str">
        <f ca="1"/>
        <v/>
      </c>
      <c r="I192" s="1303" t="str">
        <f ca="1"/>
        <v/>
      </c>
      <c r="J192" s="1287" t="str">
        <f ca="1"/>
        <v/>
      </c>
      <c r="K192" s="1288" t="str">
        <f ca="1"/>
        <v xml:space="preserve">Description:
Details:
Aim:
</v>
      </c>
      <c r="L192" s="1287" t="str">
        <f ca="1"/>
        <v/>
      </c>
      <c r="M192" s="1287" t="str">
        <f ca="1"/>
        <v/>
      </c>
      <c r="N192" s="1287"/>
      <c r="O192" s="1323" t="str">
        <f ca="1"/>
        <v/>
      </c>
      <c r="P192" s="1287"/>
      <c r="Q192" s="1290" t="str">
        <f ca="1"/>
        <v/>
      </c>
    </row>
    <row r="193" spans="1:17" ht="27.75" hidden="1" customHeight="1" x14ac:dyDescent="0.45">
      <c r="A193" s="1289">
        <v>5</v>
      </c>
      <c r="B193" s="1285">
        <v>8</v>
      </c>
      <c r="C193" s="1285">
        <v>2.9999999999999929</v>
      </c>
      <c r="D193" s="1297">
        <v>23.999999999999993</v>
      </c>
      <c r="E193" s="1299" t="str">
        <f ca="1"/>
        <v/>
      </c>
      <c r="F193" s="1286" t="str">
        <f ca="1"/>
        <v/>
      </c>
      <c r="G193" s="1286" t="str">
        <f ca="1"/>
        <v/>
      </c>
      <c r="H193" s="1301" t="str">
        <f ca="1"/>
        <v/>
      </c>
      <c r="I193" s="1303" t="str">
        <f ca="1"/>
        <v/>
      </c>
      <c r="J193" s="1287" t="str">
        <f ca="1"/>
        <v/>
      </c>
      <c r="K193" s="1288" t="str">
        <f ca="1"/>
        <v xml:space="preserve">Description:
Details:
Aim:
</v>
      </c>
      <c r="L193" s="1287" t="str">
        <f ca="1"/>
        <v/>
      </c>
      <c r="M193" s="1287" t="str">
        <f ca="1"/>
        <v/>
      </c>
      <c r="N193" s="1287"/>
      <c r="O193" s="1323" t="str">
        <f ca="1"/>
        <v/>
      </c>
      <c r="P193" s="1287"/>
      <c r="Q193" s="1290" t="str">
        <f ca="1"/>
        <v/>
      </c>
    </row>
    <row r="194" spans="1:17" ht="27.75" hidden="1" customHeight="1" x14ac:dyDescent="0.45">
      <c r="A194" s="1289">
        <v>5</v>
      </c>
      <c r="B194" s="1285">
        <v>9</v>
      </c>
      <c r="C194" s="1285">
        <v>1</v>
      </c>
      <c r="D194" s="1297">
        <v>24.999999999999989</v>
      </c>
      <c r="E194" s="1299" t="str">
        <f ca="1"/>
        <v>Stay at a comfortable and controlled intensity where you should be able to have a conversation without large pauses. Keep an even intensity and accept that your pace may change as the terrain changes.</v>
      </c>
      <c r="F194" s="1286" t="str">
        <f ca="1"/>
        <v>Sport: Ride
WU/WD: No 
Effort Total: 40 minutes
HR Target: 138 BPM
HR Range: 129 - 148 BPM 
Flat Road Equivalent Pace: 4:39 min/km</v>
      </c>
      <c r="G194" s="1286" t="str">
        <f ca="1"/>
        <v xml:space="preserve">Improve aerobic fitness while minimising the chance of injury. </v>
      </c>
      <c r="H194" s="1301" t="str">
        <f ca="1"/>
        <v/>
      </c>
      <c r="I194" s="1303" t="str">
        <f ca="1"/>
        <v>Easy ride: 40 minutes</v>
      </c>
      <c r="J194" s="1287" t="str">
        <f ca="1"/>
        <v>Cycling</v>
      </c>
      <c r="K19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194" s="1287">
        <f ca="1"/>
        <v>110</v>
      </c>
      <c r="M194" s="1287">
        <f ca="1"/>
        <v>0.66666666666666663</v>
      </c>
      <c r="N194" s="1287"/>
      <c r="O194" s="1323" t="str">
        <f ca="1"/>
        <v>2018-11-02 06:00</v>
      </c>
      <c r="P194" s="1287"/>
      <c r="Q194" s="1290" t="str">
        <f ca="1"/>
        <v>Ride</v>
      </c>
    </row>
    <row r="195" spans="1:17" ht="27.75" hidden="1" customHeight="1" x14ac:dyDescent="0.45">
      <c r="A195" s="1289">
        <v>5</v>
      </c>
      <c r="B195" s="1285">
        <v>9</v>
      </c>
      <c r="C195" s="1285">
        <v>1.9999999999999858</v>
      </c>
      <c r="D195" s="1297">
        <v>25.999999999999986</v>
      </c>
      <c r="E195" s="1299" t="str">
        <f ca="1"/>
        <v/>
      </c>
      <c r="F195" s="1286" t="str">
        <f ca="1"/>
        <v/>
      </c>
      <c r="G195" s="1286" t="str">
        <f ca="1"/>
        <v/>
      </c>
      <c r="H195" s="1301" t="str">
        <f ca="1"/>
        <v/>
      </c>
      <c r="I195" s="1303" t="str">
        <f ca="1"/>
        <v/>
      </c>
      <c r="J195" s="1287" t="str">
        <f ca="1"/>
        <v/>
      </c>
      <c r="K195" s="1288" t="str">
        <f ca="1"/>
        <v xml:space="preserve">Description:
Details:
Aim:
</v>
      </c>
      <c r="L195" s="1287" t="str">
        <f ca="1"/>
        <v/>
      </c>
      <c r="M195" s="1287" t="str">
        <f ca="1"/>
        <v/>
      </c>
      <c r="N195" s="1287"/>
      <c r="O195" s="1323" t="str">
        <f ca="1"/>
        <v/>
      </c>
      <c r="P195" s="1287"/>
      <c r="Q195" s="1290" t="str">
        <f ca="1"/>
        <v/>
      </c>
    </row>
    <row r="196" spans="1:17" ht="27.75" hidden="1" customHeight="1" x14ac:dyDescent="0.45">
      <c r="A196" s="1289">
        <v>5</v>
      </c>
      <c r="B196" s="1285">
        <v>9</v>
      </c>
      <c r="C196" s="1285">
        <v>3.0000000000000142</v>
      </c>
      <c r="D196" s="1297">
        <v>26.999999999999982</v>
      </c>
      <c r="E196" s="1299" t="str">
        <f ca="1"/>
        <v/>
      </c>
      <c r="F196" s="1286" t="str">
        <f ca="1"/>
        <v/>
      </c>
      <c r="G196" s="1286" t="str">
        <f ca="1"/>
        <v/>
      </c>
      <c r="H196" s="1301" t="str">
        <f ca="1"/>
        <v/>
      </c>
      <c r="I196" s="1303" t="str">
        <f ca="1"/>
        <v/>
      </c>
      <c r="J196" s="1287" t="str">
        <f ca="1"/>
        <v/>
      </c>
      <c r="K196" s="1288" t="str">
        <f ca="1"/>
        <v xml:space="preserve">Description:
Details:
Aim:
</v>
      </c>
      <c r="L196" s="1287" t="str">
        <f ca="1"/>
        <v/>
      </c>
      <c r="M196" s="1287" t="str">
        <f ca="1"/>
        <v/>
      </c>
      <c r="N196" s="1287"/>
      <c r="O196" s="1323" t="str">
        <f ca="1"/>
        <v/>
      </c>
      <c r="P196" s="1287"/>
      <c r="Q196" s="1290" t="str">
        <f ca="1"/>
        <v/>
      </c>
    </row>
    <row r="197" spans="1:17" ht="27.75" hidden="1" customHeight="1" x14ac:dyDescent="0.45">
      <c r="A197" s="1289">
        <v>5</v>
      </c>
      <c r="B197" s="1285">
        <v>10</v>
      </c>
      <c r="C197" s="1285">
        <v>1</v>
      </c>
      <c r="D197" s="1297">
        <v>28.000000000000014</v>
      </c>
      <c r="E197" s="1299" t="str">
        <f ca="1"/>
        <v>Perform a variety of specialised exercises to engage specific muscles. These sessions must be learned with a coach first but are relatively easy to continue with on your own. Demonstrate control and focus on posture and muscle activation.</v>
      </c>
      <c r="F197" s="1286" t="str">
        <f ca="1"/>
        <v>Sport: Indoor
WU/WD: No 
Effort Total: 30 minutes
HR Target: N/A BPM
HR Range: N/A BPM 
Flat Road Equivalent Pace:  min/km</v>
      </c>
      <c r="G197" s="1286" t="str">
        <f ca="1"/>
        <v xml:space="preserve">Increase strength of specific muscle groups, running economy and injury resistance. </v>
      </c>
      <c r="H197" s="1301" t="str">
        <f ca="1"/>
        <v/>
      </c>
      <c r="I197" s="1303" t="str">
        <f ca="1"/>
        <v>Strength and conditioning</v>
      </c>
      <c r="J197" s="1287" t="str">
        <f ca="1"/>
        <v>Strength</v>
      </c>
      <c r="K197"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197" s="1287">
        <f ca="1"/>
        <v>76</v>
      </c>
      <c r="M197" s="1287">
        <f ca="1"/>
        <v>0.5</v>
      </c>
      <c r="N197" s="1287"/>
      <c r="O197" s="1323" t="str">
        <f ca="1"/>
        <v>2018-11-02 18:00</v>
      </c>
      <c r="P197" s="1287"/>
      <c r="Q197" s="1290" t="str">
        <f ca="1"/>
        <v>Indoor</v>
      </c>
    </row>
    <row r="198" spans="1:17" ht="27.75" hidden="1" customHeight="1" x14ac:dyDescent="0.45">
      <c r="A198" s="1289">
        <v>5</v>
      </c>
      <c r="B198" s="1285">
        <v>10</v>
      </c>
      <c r="C198" s="1285">
        <v>1.9999999999999858</v>
      </c>
      <c r="D198" s="1297">
        <v>29.000000000000014</v>
      </c>
      <c r="E198" s="1299" t="str">
        <f ca="1"/>
        <v>Use a hands, rollers, or balls on all major muscle groups with extra time on more sensitive or problematic areas or as guided by a coach or physio. Finish with 20 minutes of lower-limb stretching.</v>
      </c>
      <c r="F198" s="1286" t="str">
        <f ca="1"/>
        <v>Sport: Indoor
WU/WD: No 
Effort Total: 30 minutes
HR Target: N/A BPM
HR Range: N/A BPM 
Flat Road Equivalent Pace:  min/km</v>
      </c>
      <c r="G198" s="1286" t="str">
        <f ca="1"/>
        <v xml:space="preserve">Release tension that develops in soft tissue from training and non-training stresses. </v>
      </c>
      <c r="H198" s="1301" t="str">
        <f ca="1"/>
        <v/>
      </c>
      <c r="I198" s="1303" t="str">
        <f ca="1"/>
        <v>Maintenance</v>
      </c>
      <c r="J198" s="1287" t="str">
        <f ca="1"/>
        <v>Strength</v>
      </c>
      <c r="K198"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198" s="1287">
        <f ca="1"/>
        <v>76</v>
      </c>
      <c r="M198" s="1287">
        <f ca="1"/>
        <v>0.5</v>
      </c>
      <c r="N198" s="1287"/>
      <c r="O198" s="1323" t="str">
        <f ca="1"/>
        <v>2018-11-02 20:00</v>
      </c>
      <c r="P198" s="1287"/>
      <c r="Q198" s="1290" t="str">
        <f ca="1"/>
        <v>Indoor</v>
      </c>
    </row>
    <row r="199" spans="1:17" ht="27.75" hidden="1" customHeight="1" x14ac:dyDescent="0.45">
      <c r="A199" s="1289">
        <v>5</v>
      </c>
      <c r="B199" s="1285">
        <v>10</v>
      </c>
      <c r="C199" s="1285">
        <v>3.0000000000000142</v>
      </c>
      <c r="D199" s="1297">
        <v>30.000000000000007</v>
      </c>
      <c r="E199" s="1299" t="str">
        <f ca="1"/>
        <v/>
      </c>
      <c r="F199" s="1286" t="str">
        <f ca="1"/>
        <v/>
      </c>
      <c r="G199" s="1286" t="str">
        <f ca="1"/>
        <v/>
      </c>
      <c r="H199" s="1301" t="str">
        <f ca="1"/>
        <v/>
      </c>
      <c r="I199" s="1303" t="str">
        <f ca="1"/>
        <v/>
      </c>
      <c r="J199" s="1287" t="str">
        <f ca="1"/>
        <v/>
      </c>
      <c r="K199" s="1288" t="str">
        <f ca="1"/>
        <v xml:space="preserve">Description:
Details:
Aim:
</v>
      </c>
      <c r="L199" s="1287" t="str">
        <f ca="1"/>
        <v/>
      </c>
      <c r="M199" s="1287" t="str">
        <f ca="1"/>
        <v/>
      </c>
      <c r="N199" s="1287"/>
      <c r="O199" s="1323" t="str">
        <f ca="1"/>
        <v/>
      </c>
      <c r="P199" s="1287"/>
      <c r="Q199" s="1290" t="str">
        <f ca="1"/>
        <v/>
      </c>
    </row>
    <row r="200" spans="1:17" ht="27.75" hidden="1" customHeight="1" x14ac:dyDescent="0.45">
      <c r="A200" s="1289">
        <v>5</v>
      </c>
      <c r="B200" s="1285">
        <v>11</v>
      </c>
      <c r="C200" s="1285">
        <v>1</v>
      </c>
      <c r="D200" s="1297">
        <v>31.000000000000007</v>
      </c>
      <c r="E200" s="1299" t="str">
        <f ca="1"/>
        <v>Perform a variety of specialised exercises to engage specific muscles and apply them in functional movements. These sessions must be learned with a coach first. Warm up and warm down for 10 minutes each.</v>
      </c>
      <c r="F200" s="1286" t="str">
        <f ca="1"/>
        <v>Sport: Run
WU/WD: 15 minutes 
Effort Total: 30 minutes
HR Target: 148 BPM
HR Range: 129 - 169 BPM 
Flat Road Equivalent Pace: 4:14 min/km</v>
      </c>
      <c r="G200" s="1286" t="str">
        <f ca="1"/>
        <v xml:space="preserve">Improve running economy and injury resistance. </v>
      </c>
      <c r="H200" s="1301" t="str">
        <f ca="1"/>
        <v/>
      </c>
      <c r="I200" s="1303" t="str">
        <f ca="1"/>
        <v>Drills + WU</v>
      </c>
      <c r="J200" s="1287" t="str">
        <f ca="1"/>
        <v>Running</v>
      </c>
      <c r="K200"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200" s="1287">
        <f ca="1"/>
        <v>73</v>
      </c>
      <c r="M200" s="1287">
        <f ca="1"/>
        <v>0.5</v>
      </c>
      <c r="N200" s="1287"/>
      <c r="O200" s="1323" t="str">
        <f ca="1"/>
        <v>2018-11-03 06:00</v>
      </c>
      <c r="P200" s="1287"/>
      <c r="Q200" s="1290" t="str">
        <f ca="1"/>
        <v>Run</v>
      </c>
    </row>
    <row r="201" spans="1:17" ht="27.75" hidden="1" customHeight="1" x14ac:dyDescent="0.45">
      <c r="A201" s="1289">
        <v>5</v>
      </c>
      <c r="B201" s="1285">
        <v>11</v>
      </c>
      <c r="C201" s="1285">
        <v>1.9999999999999858</v>
      </c>
      <c r="D201" s="1297">
        <v>32</v>
      </c>
      <c r="E201" s="1299" t="str">
        <f ca="1"/>
        <v>Stay at a comfortable and controlled intensity where you should be able to have a conversation without large pauses. Keep an even intensity and accept that your pace may change as the terrain changes.</v>
      </c>
      <c r="F201" s="1286" t="str">
        <f ca="1"/>
        <v>Sport: Run
WU/WD: No 
Effort Total: 40 minutes
HR Target: 138 BPM
HR Range: 129 - 148 BPM 
Flat Road Equivalent Pace: 4:39 min/km</v>
      </c>
      <c r="G201" s="1286" t="str">
        <f ca="1"/>
        <v xml:space="preserve">Improve aerobic fitness while minimising the chance of injury. </v>
      </c>
      <c r="H201" s="1301" t="str">
        <f ca="1"/>
        <v/>
      </c>
      <c r="I201" s="1303" t="str">
        <f ca="1"/>
        <v>Easy run: 40 minutes</v>
      </c>
      <c r="J201" s="1287" t="str">
        <f ca="1"/>
        <v>Running</v>
      </c>
      <c r="K201"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40 minutes
HR Target: 138 BPM
HR Range: 129 - 148 BPM 
Flat Road Equivalent Pace: 4:39 min/km
Aim:
Improve aerobic fitness while minimising the chance of injury. </v>
      </c>
      <c r="L201" s="1287">
        <f ca="1"/>
        <v>73</v>
      </c>
      <c r="M201" s="1287">
        <f ca="1"/>
        <v>0.66666666666666663</v>
      </c>
      <c r="N201" s="1287"/>
      <c r="O201" s="1323" t="str">
        <f ca="1"/>
        <v>2018-11-03 08:00</v>
      </c>
      <c r="P201" s="1287"/>
      <c r="Q201" s="1290" t="str">
        <f ca="1"/>
        <v>Run</v>
      </c>
    </row>
    <row r="202" spans="1:17" ht="27.75" hidden="1" customHeight="1" x14ac:dyDescent="0.45">
      <c r="A202" s="1289">
        <v>5</v>
      </c>
      <c r="B202" s="1285">
        <v>11</v>
      </c>
      <c r="C202" s="1285">
        <v>3.0000000000000142</v>
      </c>
      <c r="D202" s="1297">
        <v>33</v>
      </c>
      <c r="E202" s="1299" t="str">
        <f ca="1"/>
        <v/>
      </c>
      <c r="F202" s="1286" t="str">
        <f ca="1"/>
        <v/>
      </c>
      <c r="G202" s="1286" t="str">
        <f ca="1"/>
        <v/>
      </c>
      <c r="H202" s="1301" t="str">
        <f ca="1"/>
        <v/>
      </c>
      <c r="I202" s="1303" t="str">
        <f ca="1"/>
        <v/>
      </c>
      <c r="J202" s="1287" t="str">
        <f ca="1"/>
        <v/>
      </c>
      <c r="K202" s="1288" t="str">
        <f ca="1"/>
        <v xml:space="preserve">Description:
Details:
Aim:
</v>
      </c>
      <c r="L202" s="1287" t="str">
        <f ca="1"/>
        <v/>
      </c>
      <c r="M202" s="1287" t="str">
        <f ca="1"/>
        <v/>
      </c>
      <c r="N202" s="1287"/>
      <c r="O202" s="1323" t="str">
        <f ca="1"/>
        <v/>
      </c>
      <c r="P202" s="1287"/>
      <c r="Q202" s="1290" t="str">
        <f ca="1"/>
        <v/>
      </c>
    </row>
    <row r="203" spans="1:17" ht="27.75" hidden="1" customHeight="1" x14ac:dyDescent="0.45">
      <c r="A203" s="1289">
        <v>5</v>
      </c>
      <c r="B203" s="1285">
        <v>12</v>
      </c>
      <c r="C203" s="1285">
        <v>1</v>
      </c>
      <c r="D203" s="1297">
        <v>33.999999999999993</v>
      </c>
      <c r="E203" s="1299" t="str">
        <f ca="1"/>
        <v>Stay at a comfortable and controlled intensity where you should be able to have a conversation without large pauses. Keep an even intensity and accept that your pace may change as the terrain changes.</v>
      </c>
      <c r="F203" s="1286" t="str">
        <f ca="1"/>
        <v>Sport: Run
WU/WD: No 
Effort Total: 65 minutes
HR Target: 138 BPM
HR Range: 129 - 148 BPM 
Flat Road Equivalent Pace: 4:39 min/km</v>
      </c>
      <c r="G203" s="1286" t="str">
        <f ca="1"/>
        <v xml:space="preserve">Improve aerobic fitness while minimising the chance of injury. </v>
      </c>
      <c r="H203" s="1301" t="str">
        <f ca="1"/>
        <v/>
      </c>
      <c r="I203" s="1303" t="str">
        <f ca="1"/>
        <v>Easy run: 65 minutes</v>
      </c>
      <c r="J203" s="1287" t="str">
        <f ca="1"/>
        <v>Running</v>
      </c>
      <c r="K203"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65 minutes
HR Target: 138 BPM
HR Range: 129 - 148 BPM 
Flat Road Equivalent Pace: 4:39 min/km
Aim:
Improve aerobic fitness while minimising the chance of injury. </v>
      </c>
      <c r="L203" s="1287">
        <f ca="1"/>
        <v>2</v>
      </c>
      <c r="M203" s="1287">
        <f ca="1"/>
        <v>1.0833333333333333</v>
      </c>
      <c r="N203" s="1287"/>
      <c r="O203" s="1323" t="str">
        <f ca="1"/>
        <v>2018-11-03 18:00</v>
      </c>
      <c r="P203" s="1287"/>
      <c r="Q203" s="1290" t="str">
        <f ca="1"/>
        <v>Run</v>
      </c>
    </row>
    <row r="204" spans="1:17" ht="27.75" hidden="1" customHeight="1" x14ac:dyDescent="0.45">
      <c r="A204" s="1289">
        <v>5</v>
      </c>
      <c r="B204" s="1285">
        <v>12</v>
      </c>
      <c r="C204" s="1285">
        <v>1.9999999999999858</v>
      </c>
      <c r="D204" s="1297">
        <v>34.999999999999993</v>
      </c>
      <c r="E204" s="1299" t="str">
        <f ca="1"/>
        <v/>
      </c>
      <c r="F204" s="1286" t="str">
        <f ca="1"/>
        <v/>
      </c>
      <c r="G204" s="1286" t="str">
        <f ca="1"/>
        <v/>
      </c>
      <c r="H204" s="1301" t="str">
        <f ca="1"/>
        <v/>
      </c>
      <c r="I204" s="1303" t="str">
        <f ca="1"/>
        <v/>
      </c>
      <c r="J204" s="1287" t="str">
        <f ca="1"/>
        <v/>
      </c>
      <c r="K204" s="1288" t="str">
        <f ca="1"/>
        <v xml:space="preserve">Description:
Details:
Aim:
</v>
      </c>
      <c r="L204" s="1287" t="str">
        <f ca="1"/>
        <v/>
      </c>
      <c r="M204" s="1287" t="str">
        <f ca="1"/>
        <v/>
      </c>
      <c r="N204" s="1287"/>
      <c r="O204" s="1323" t="str">
        <f ca="1"/>
        <v/>
      </c>
      <c r="P204" s="1287"/>
      <c r="Q204" s="1290" t="str">
        <f ca="1"/>
        <v/>
      </c>
    </row>
    <row r="205" spans="1:17" ht="27.75" hidden="1" customHeight="1" x14ac:dyDescent="0.45">
      <c r="A205" s="1289">
        <v>5</v>
      </c>
      <c r="B205" s="1285">
        <v>12</v>
      </c>
      <c r="C205" s="1285">
        <v>3.0000000000000142</v>
      </c>
      <c r="D205" s="1297">
        <v>35.999999999999986</v>
      </c>
      <c r="E205" s="1299" t="str">
        <f ca="1"/>
        <v/>
      </c>
      <c r="F205" s="1286" t="str">
        <f ca="1"/>
        <v/>
      </c>
      <c r="G205" s="1286" t="str">
        <f ca="1"/>
        <v/>
      </c>
      <c r="H205" s="1301" t="str">
        <f ca="1"/>
        <v/>
      </c>
      <c r="I205" s="1303" t="str">
        <f ca="1"/>
        <v/>
      </c>
      <c r="J205" s="1287" t="str">
        <f ca="1"/>
        <v/>
      </c>
      <c r="K205" s="1288" t="str">
        <f ca="1"/>
        <v xml:space="preserve">Description:
Details:
Aim:
</v>
      </c>
      <c r="L205" s="1287" t="str">
        <f ca="1"/>
        <v/>
      </c>
      <c r="M205" s="1287" t="str">
        <f ca="1"/>
        <v/>
      </c>
      <c r="N205" s="1287"/>
      <c r="O205" s="1323" t="str">
        <f ca="1"/>
        <v/>
      </c>
      <c r="P205" s="1287"/>
      <c r="Q205" s="1290" t="str">
        <f ca="1"/>
        <v/>
      </c>
    </row>
    <row r="206" spans="1:17" ht="27.75" hidden="1" customHeight="1" x14ac:dyDescent="0.45">
      <c r="A206" s="1289">
        <v>5</v>
      </c>
      <c r="B206" s="1285">
        <v>13</v>
      </c>
      <c r="C206" s="1285">
        <v>1</v>
      </c>
      <c r="D206" s="1297">
        <v>36.999999999999986</v>
      </c>
      <c r="E206" s="1299" t="str">
        <f ca="1"/>
        <v xml:space="preserve">Fundamentally a steady, but you can be less strict at controlling your intensity as long as your average intensity is close to it's target by the end of the session </v>
      </c>
      <c r="F206" s="1286" t="str">
        <f ca="1"/>
        <v>Sport: Hilly Trail Run
WU/WD: No 
Effort Total: 160 minutes
HR Target: 148 BPM
HR Range: 129 - 169 BPM 
Flat Road Equivalent Pace: 4:14 min/km</v>
      </c>
      <c r="G206" s="1286" t="str">
        <f ca="1"/>
        <v xml:space="preserve">Improve aerobic fitness and energy utilisation. </v>
      </c>
      <c r="H206" s="1301" t="str">
        <f ca="1"/>
        <v/>
      </c>
      <c r="I206" s="1303" t="str">
        <f ca="1"/>
        <v>Long hilly trail run: 160 minutes</v>
      </c>
      <c r="J206" s="1287" t="str">
        <f ca="1"/>
        <v>Trail Running</v>
      </c>
      <c r="K206" s="1288" t="str">
        <f ca="1"/>
        <v xml:space="preserve">Description:
Fundamentally a steady, but you can be less strict at controlling your intensity as long as your average intensity is close to it's target by the end of the session 
Details:
Sport: Hilly Trail Run
WU/WD: No 
Effort Total: 160 minutes
HR Target: 148 BPM
HR Range: 129 - 169 BPM 
Flat Road Equivalent Pace: 4:14 min/km
Aim:
Improve aerobic fitness and energy utilisation. </v>
      </c>
      <c r="L206" s="1287">
        <f ca="1"/>
        <v>4</v>
      </c>
      <c r="M206" s="1287">
        <f ca="1"/>
        <v>2.6666666666666665</v>
      </c>
      <c r="N206" s="1287"/>
      <c r="O206" s="1323" t="str">
        <f ca="1"/>
        <v>2018-11-04 06:00</v>
      </c>
      <c r="P206" s="1287"/>
      <c r="Q206" s="1290" t="str">
        <f ca="1"/>
        <v>Hilly Trail Run</v>
      </c>
    </row>
    <row r="207" spans="1:17" ht="27.75" hidden="1" customHeight="1" x14ac:dyDescent="0.45">
      <c r="A207" s="1289">
        <v>5</v>
      </c>
      <c r="B207" s="1285">
        <v>13</v>
      </c>
      <c r="C207" s="1285">
        <v>1.9999999999999858</v>
      </c>
      <c r="D207" s="1297">
        <v>38.000000000000014</v>
      </c>
      <c r="E207" s="1299" t="str">
        <f ca="1"/>
        <v/>
      </c>
      <c r="F207" s="1286" t="str">
        <f ca="1"/>
        <v/>
      </c>
      <c r="G207" s="1286" t="str">
        <f ca="1"/>
        <v/>
      </c>
      <c r="H207" s="1301" t="str">
        <f ca="1"/>
        <v/>
      </c>
      <c r="I207" s="1303" t="str">
        <f ca="1"/>
        <v/>
      </c>
      <c r="J207" s="1287" t="str">
        <f ca="1"/>
        <v/>
      </c>
      <c r="K207" s="1288" t="str">
        <f ca="1"/>
        <v xml:space="preserve">Description:
Details:
Aim:
</v>
      </c>
      <c r="L207" s="1287" t="str">
        <f ca="1"/>
        <v/>
      </c>
      <c r="M207" s="1287" t="str">
        <f ca="1"/>
        <v/>
      </c>
      <c r="N207" s="1287"/>
      <c r="O207" s="1323" t="str">
        <f ca="1"/>
        <v/>
      </c>
      <c r="P207" s="1287"/>
      <c r="Q207" s="1290" t="str">
        <f ca="1"/>
        <v/>
      </c>
    </row>
    <row r="208" spans="1:17" ht="27.75" hidden="1" customHeight="1" x14ac:dyDescent="0.45">
      <c r="A208" s="1289">
        <v>5</v>
      </c>
      <c r="B208" s="1285">
        <v>13</v>
      </c>
      <c r="C208" s="1285">
        <v>3.0000000000000142</v>
      </c>
      <c r="D208" s="1297">
        <v>39.000000000000014</v>
      </c>
      <c r="E208" s="1299" t="str">
        <f ca="1"/>
        <v/>
      </c>
      <c r="F208" s="1286" t="str">
        <f ca="1"/>
        <v/>
      </c>
      <c r="G208" s="1286" t="str">
        <f ca="1"/>
        <v/>
      </c>
      <c r="H208" s="1301" t="str">
        <f ca="1"/>
        <v/>
      </c>
      <c r="I208" s="1303" t="str">
        <f ca="1"/>
        <v/>
      </c>
      <c r="J208" s="1287" t="str">
        <f ca="1"/>
        <v/>
      </c>
      <c r="K208" s="1288" t="str">
        <f ca="1"/>
        <v xml:space="preserve">Description:
Details:
Aim:
</v>
      </c>
      <c r="L208" s="1287" t="str">
        <f ca="1"/>
        <v/>
      </c>
      <c r="M208" s="1287" t="str">
        <f ca="1"/>
        <v/>
      </c>
      <c r="N208" s="1287"/>
      <c r="O208" s="1323" t="str">
        <f ca="1"/>
        <v/>
      </c>
      <c r="P208" s="1287"/>
      <c r="Q208" s="1290" t="str">
        <f ca="1"/>
        <v/>
      </c>
    </row>
    <row r="209" spans="1:17" ht="27.75" hidden="1" customHeight="1" x14ac:dyDescent="0.45">
      <c r="A209" s="1289">
        <v>5</v>
      </c>
      <c r="B209" s="1285">
        <v>14</v>
      </c>
      <c r="C209" s="1285">
        <v>1</v>
      </c>
      <c r="D209" s="1297">
        <v>40.000000000000014</v>
      </c>
      <c r="E209" s="1299" t="str">
        <f ca="1"/>
        <v/>
      </c>
      <c r="F209" s="1286" t="str">
        <f ca="1"/>
        <v/>
      </c>
      <c r="G209" s="1286" t="str">
        <f ca="1"/>
        <v/>
      </c>
      <c r="H209" s="1301" t="str">
        <f ca="1"/>
        <v/>
      </c>
      <c r="I209" s="1303" t="str">
        <f ca="1"/>
        <v/>
      </c>
      <c r="J209" s="1287" t="str">
        <f ca="1"/>
        <v/>
      </c>
      <c r="K209" s="1288" t="str">
        <f ca="1"/>
        <v xml:space="preserve">Description:
Details:
Aim:
</v>
      </c>
      <c r="L209" s="1287" t="str">
        <f ca="1"/>
        <v/>
      </c>
      <c r="M209" s="1287" t="str">
        <f ca="1"/>
        <v/>
      </c>
      <c r="N209" s="1287"/>
      <c r="O209" s="1323" t="str">
        <f ca="1"/>
        <v/>
      </c>
      <c r="P209" s="1287"/>
      <c r="Q209" s="1290" t="str">
        <f ca="1"/>
        <v/>
      </c>
    </row>
    <row r="210" spans="1:17" ht="27.75" hidden="1" customHeight="1" x14ac:dyDescent="0.45">
      <c r="A210" s="1289">
        <v>5</v>
      </c>
      <c r="B210" s="1285">
        <v>14</v>
      </c>
      <c r="C210" s="1285">
        <v>1.9999999999999858</v>
      </c>
      <c r="D210" s="1297">
        <v>41.000000000000007</v>
      </c>
      <c r="E210" s="1299" t="str">
        <f ca="1"/>
        <v/>
      </c>
      <c r="F210" s="1286" t="str">
        <f ca="1"/>
        <v/>
      </c>
      <c r="G210" s="1286" t="str">
        <f ca="1"/>
        <v/>
      </c>
      <c r="H210" s="1301" t="str">
        <f ca="1"/>
        <v/>
      </c>
      <c r="I210" s="1303" t="str">
        <f ca="1"/>
        <v/>
      </c>
      <c r="J210" s="1287" t="str">
        <f ca="1"/>
        <v/>
      </c>
      <c r="K210" s="1288" t="str">
        <f ca="1"/>
        <v xml:space="preserve">Description:
Details:
Aim:
</v>
      </c>
      <c r="L210" s="1287" t="str">
        <f ca="1"/>
        <v/>
      </c>
      <c r="M210" s="1287" t="str">
        <f ca="1"/>
        <v/>
      </c>
      <c r="N210" s="1287"/>
      <c r="O210" s="1323" t="str">
        <f ca="1"/>
        <v/>
      </c>
      <c r="P210" s="1287"/>
      <c r="Q210" s="1290" t="str">
        <f ca="1"/>
        <v/>
      </c>
    </row>
    <row r="211" spans="1:17" ht="27.75" hidden="1" customHeight="1" x14ac:dyDescent="0.45">
      <c r="A211" s="1289">
        <v>5</v>
      </c>
      <c r="B211" s="1285">
        <v>14</v>
      </c>
      <c r="C211" s="1285">
        <v>3.0000000000000142</v>
      </c>
      <c r="D211" s="1297">
        <v>42</v>
      </c>
      <c r="E211" s="1299" t="str">
        <f ca="1"/>
        <v/>
      </c>
      <c r="F211" s="1286" t="str">
        <f ca="1"/>
        <v/>
      </c>
      <c r="G211" s="1286" t="str">
        <f ca="1"/>
        <v/>
      </c>
      <c r="H211" s="1301" t="str">
        <f ca="1"/>
        <v/>
      </c>
      <c r="I211" s="1303" t="str">
        <f ca="1"/>
        <v/>
      </c>
      <c r="J211" s="1287" t="str">
        <f ca="1"/>
        <v/>
      </c>
      <c r="K211" s="1288" t="str">
        <f ca="1"/>
        <v xml:space="preserve">Description:
Details:
Aim:
</v>
      </c>
      <c r="L211" s="1287" t="str">
        <f ca="1"/>
        <v/>
      </c>
      <c r="M211" s="1287" t="str">
        <f ca="1"/>
        <v/>
      </c>
      <c r="N211" s="1287"/>
      <c r="O211" s="1323" t="str">
        <f ca="1"/>
        <v/>
      </c>
      <c r="P211" s="1287"/>
      <c r="Q211" s="1290" t="str">
        <f ca="1"/>
        <v/>
      </c>
    </row>
    <row r="212" spans="1:17" ht="27.75" hidden="1" customHeight="1" x14ac:dyDescent="0.45">
      <c r="A212" s="1289">
        <v>6</v>
      </c>
      <c r="B212" s="1285">
        <v>1</v>
      </c>
      <c r="C212" s="1285">
        <v>1</v>
      </c>
      <c r="D212" s="1297">
        <v>1</v>
      </c>
      <c r="E212" s="1299" t="str">
        <f ca="1"/>
        <v>Stay at a comfortable and controlled intensity where you should be able to have a conversation without large pauses. Keep an even intensity and accept that your pace may change as the terrain changes.</v>
      </c>
      <c r="F212" s="1286" t="str">
        <f ca="1"/>
        <v>Sport: Ride
WU/WD: No 
Effort Total: 40 minutes
HR Target: 138 BPM
HR Range: 129 - 148 BPM 
Flat Road Equivalent Pace: 4:39 min/km</v>
      </c>
      <c r="G212" s="1286" t="str">
        <f ca="1"/>
        <v xml:space="preserve">Improve aerobic fitness while minimising the chance of injury. </v>
      </c>
      <c r="H212" s="1301" t="str">
        <f ca="1"/>
        <v/>
      </c>
      <c r="I212" s="1303" t="str">
        <f ca="1"/>
        <v>Easy ride: 40 minutes</v>
      </c>
      <c r="J212" s="1287" t="str">
        <f ca="1"/>
        <v>Cycling</v>
      </c>
      <c r="K21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12" s="1287">
        <f ca="1"/>
        <v>110</v>
      </c>
      <c r="M212" s="1287">
        <f ca="1"/>
        <v>0.66666666666666663</v>
      </c>
      <c r="N212" s="1287"/>
      <c r="O212" s="1323" t="str">
        <f ca="1"/>
        <v>2018-11-05 06:00</v>
      </c>
      <c r="P212" s="1287"/>
      <c r="Q212" s="1290" t="str">
        <f ca="1"/>
        <v>Ride</v>
      </c>
    </row>
    <row r="213" spans="1:17" ht="27.75" hidden="1" customHeight="1" x14ac:dyDescent="0.45">
      <c r="A213" s="1289">
        <v>6</v>
      </c>
      <c r="B213" s="1285">
        <v>1</v>
      </c>
      <c r="C213" s="1285">
        <v>1.9999999999999858</v>
      </c>
      <c r="D213" s="1297">
        <v>1.9999999999999964</v>
      </c>
      <c r="E213" s="1299" t="str">
        <f ca="1"/>
        <v/>
      </c>
      <c r="F213" s="1286" t="str">
        <f ca="1"/>
        <v/>
      </c>
      <c r="G213" s="1286" t="str">
        <f ca="1"/>
        <v/>
      </c>
      <c r="H213" s="1301" t="str">
        <f ca="1"/>
        <v/>
      </c>
      <c r="I213" s="1303" t="str">
        <f ca="1"/>
        <v/>
      </c>
      <c r="J213" s="1287" t="str">
        <f ca="1"/>
        <v/>
      </c>
      <c r="K213" s="1288" t="str">
        <f ca="1"/>
        <v xml:space="preserve">Description:
Details:
Aim:
</v>
      </c>
      <c r="L213" s="1287" t="str">
        <f ca="1"/>
        <v/>
      </c>
      <c r="M213" s="1287" t="str">
        <f ca="1"/>
        <v/>
      </c>
      <c r="N213" s="1287"/>
      <c r="O213" s="1323" t="str">
        <f ca="1"/>
        <v/>
      </c>
      <c r="P213" s="1287"/>
      <c r="Q213" s="1290" t="str">
        <f ca="1"/>
        <v/>
      </c>
    </row>
    <row r="214" spans="1:17" ht="27.75" hidden="1" customHeight="1" x14ac:dyDescent="0.45">
      <c r="A214" s="1289">
        <v>6</v>
      </c>
      <c r="B214" s="1285">
        <v>1</v>
      </c>
      <c r="C214" s="1285">
        <v>3.0000000000000142</v>
      </c>
      <c r="D214" s="1297">
        <v>2.9999999999999929</v>
      </c>
      <c r="E214" s="1299" t="str">
        <f ca="1"/>
        <v/>
      </c>
      <c r="F214" s="1286" t="str">
        <f ca="1"/>
        <v/>
      </c>
      <c r="G214" s="1286" t="str">
        <f ca="1"/>
        <v/>
      </c>
      <c r="H214" s="1301" t="str">
        <f ca="1"/>
        <v/>
      </c>
      <c r="I214" s="1303" t="str">
        <f ca="1"/>
        <v/>
      </c>
      <c r="J214" s="1287" t="str">
        <f ca="1"/>
        <v/>
      </c>
      <c r="K214" s="1288" t="str">
        <f ca="1"/>
        <v xml:space="preserve">Description:
Details:
Aim:
</v>
      </c>
      <c r="L214" s="1287" t="str">
        <f ca="1"/>
        <v/>
      </c>
      <c r="M214" s="1287" t="str">
        <f ca="1"/>
        <v/>
      </c>
      <c r="N214" s="1287"/>
      <c r="O214" s="1323" t="str">
        <f ca="1"/>
        <v/>
      </c>
      <c r="P214" s="1287"/>
      <c r="Q214" s="1290" t="str">
        <f ca="1"/>
        <v/>
      </c>
    </row>
    <row r="215" spans="1:17" ht="27.75" hidden="1" customHeight="1" x14ac:dyDescent="0.45">
      <c r="A215" s="1289">
        <v>6</v>
      </c>
      <c r="B215" s="1285">
        <v>1</v>
      </c>
      <c r="C215" s="1285">
        <v>1</v>
      </c>
      <c r="D215" s="1297">
        <v>3.9999999999999893</v>
      </c>
      <c r="E215" s="1299" t="str">
        <f ca="1"/>
        <v>Stay at a comfortable and controlled intensity where you should be able to have a conversation without large pauses. Keep an even intensity and accept that your pace may change as the terrain changes.</v>
      </c>
      <c r="F215" s="1286" t="str">
        <f ca="1"/>
        <v>Sport: Ride
WU/WD: No 
Effort Total: 30 minutes
HR Target: 138 BPM
HR Range: 129 - 148 BPM 
Flat Road Equivalent Pace: 4:39 min/km</v>
      </c>
      <c r="G215" s="1286" t="str">
        <f ca="1"/>
        <v xml:space="preserve">Improve aerobic fitness while minimising the chance of injury. </v>
      </c>
      <c r="H215" s="1301" t="str">
        <f ca="1"/>
        <v/>
      </c>
      <c r="I215" s="1303" t="str">
        <f ca="1"/>
        <v>Strength and conditioning</v>
      </c>
      <c r="J215" s="1287" t="str">
        <f ca="1"/>
        <v>Cycling</v>
      </c>
      <c r="K215"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15" s="1287">
        <f ca="1"/>
        <v>110</v>
      </c>
      <c r="M215" s="1287">
        <f ca="1"/>
        <v>0.5</v>
      </c>
      <c r="N215" s="1287"/>
      <c r="O215" s="1323" t="str">
        <f ca="1"/>
        <v>2018-11-05 06:00</v>
      </c>
      <c r="P215" s="1287"/>
      <c r="Q215" s="1290" t="str">
        <f ca="1"/>
        <v>Ride</v>
      </c>
    </row>
    <row r="216" spans="1:17" ht="27.75" hidden="1" customHeight="1" x14ac:dyDescent="0.45">
      <c r="A216" s="1289">
        <v>6</v>
      </c>
      <c r="B216" s="1285">
        <v>2</v>
      </c>
      <c r="C216" s="1285">
        <v>1.9999999999999858</v>
      </c>
      <c r="D216" s="1297">
        <v>4.9999999999999858</v>
      </c>
      <c r="E216" s="1299" t="str">
        <f ca="1"/>
        <v>Use a hands, rollers, or balls on all major muscle groups with extra time on more sensitive or problematic areas or as guided by a coach or physio. Finish with 20 minutes of lower-limb stretching.</v>
      </c>
      <c r="F216" s="1286" t="str">
        <f ca="1"/>
        <v>Sport: Indoor
WU/WD: No 
Effort Total: 30 minutes
HR Target: N/A BPM
HR Range: N/A BPM 
Flat Road Equivalent Pace:  min/km</v>
      </c>
      <c r="G216" s="1286" t="str">
        <f ca="1"/>
        <v xml:space="preserve">Release tension that develops in soft tissue from training and non-training stresses. </v>
      </c>
      <c r="H216" s="1301" t="str">
        <f ca="1"/>
        <v/>
      </c>
      <c r="I216" s="1303" t="str">
        <f ca="1"/>
        <v>Maintenance</v>
      </c>
      <c r="J216" s="1287" t="str">
        <f ca="1"/>
        <v>Strength</v>
      </c>
      <c r="K216"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16" s="1287">
        <f ca="1"/>
        <v>76</v>
      </c>
      <c r="M216" s="1287">
        <f ca="1"/>
        <v>0.5</v>
      </c>
      <c r="N216" s="1287"/>
      <c r="O216" s="1323" t="str">
        <f ca="1"/>
        <v>2018-11-05 20:00</v>
      </c>
      <c r="P216" s="1287"/>
      <c r="Q216" s="1290" t="str">
        <f ca="1"/>
        <v>Indoor</v>
      </c>
    </row>
    <row r="217" spans="1:17" ht="27.75" hidden="1" customHeight="1" x14ac:dyDescent="0.45">
      <c r="A217" s="1289">
        <v>6</v>
      </c>
      <c r="B217" s="1285">
        <v>2</v>
      </c>
      <c r="C217" s="1285">
        <v>3.0000000000000142</v>
      </c>
      <c r="D217" s="1297">
        <v>5.9999999999999822</v>
      </c>
      <c r="E217" s="1299" t="str">
        <f ca="1"/>
        <v/>
      </c>
      <c r="F217" s="1286" t="str">
        <f ca="1"/>
        <v/>
      </c>
      <c r="G217" s="1286" t="str">
        <f ca="1"/>
        <v/>
      </c>
      <c r="H217" s="1301" t="str">
        <f ca="1"/>
        <v/>
      </c>
      <c r="I217" s="1303" t="str">
        <f ca="1"/>
        <v/>
      </c>
      <c r="J217" s="1287" t="str">
        <f ca="1"/>
        <v/>
      </c>
      <c r="K217" s="1288" t="str">
        <f ca="1"/>
        <v xml:space="preserve">Description:
Details:
Aim:
</v>
      </c>
      <c r="L217" s="1287" t="str">
        <f ca="1"/>
        <v/>
      </c>
      <c r="M217" s="1287" t="str">
        <f ca="1"/>
        <v/>
      </c>
      <c r="N217" s="1287"/>
      <c r="O217" s="1323" t="str">
        <f ca="1"/>
        <v/>
      </c>
      <c r="P217" s="1287"/>
      <c r="Q217" s="1290" t="str">
        <f ca="1"/>
        <v/>
      </c>
    </row>
    <row r="218" spans="1:17" ht="27.75" hidden="1" customHeight="1" x14ac:dyDescent="0.45">
      <c r="A218" s="1289">
        <v>6</v>
      </c>
      <c r="B218" s="1285">
        <v>3</v>
      </c>
      <c r="C218" s="1285">
        <v>1</v>
      </c>
      <c r="D218" s="1297">
        <v>7.000000000000016</v>
      </c>
      <c r="E218" s="1299" t="str">
        <f ca="1"/>
        <v>Stay at a comfortable and controlled intensity where you should be able to have a conversation without large pauses. Keep an even intensity and accept that your pace may change as the terrain changes.</v>
      </c>
      <c r="F218" s="1286" t="str">
        <f ca="1"/>
        <v>Sport: Ride
WU/WD: No 
Effort Total: 40 minutes
HR Target: 138 BPM
HR Range: 129 - 148 BPM 
Flat Road Equivalent Pace: 4:39 min/km</v>
      </c>
      <c r="G218" s="1286" t="str">
        <f ca="1"/>
        <v xml:space="preserve">Improve aerobic fitness while minimising the chance of injury. </v>
      </c>
      <c r="H218" s="1301" t="str">
        <f ca="1"/>
        <v/>
      </c>
      <c r="I218" s="1303" t="str">
        <f ca="1"/>
        <v>Easy ride: 40 minutes</v>
      </c>
      <c r="J218" s="1287" t="str">
        <f ca="1"/>
        <v>Cycling</v>
      </c>
      <c r="K21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18" s="1287">
        <f ca="1"/>
        <v>110</v>
      </c>
      <c r="M218" s="1287">
        <f ca="1"/>
        <v>0.66666666666666663</v>
      </c>
      <c r="N218" s="1287"/>
      <c r="O218" s="1323" t="str">
        <f ca="1"/>
        <v>2018-11-06 06:00</v>
      </c>
      <c r="P218" s="1287"/>
      <c r="Q218" s="1290" t="str">
        <f ca="1"/>
        <v>Ride</v>
      </c>
    </row>
    <row r="219" spans="1:17" ht="27.75" hidden="1" customHeight="1" x14ac:dyDescent="0.45">
      <c r="A219" s="1289">
        <v>6</v>
      </c>
      <c r="B219" s="1285">
        <v>3</v>
      </c>
      <c r="C219" s="1285">
        <v>1.9999999999999858</v>
      </c>
      <c r="D219" s="1297">
        <v>8.0000000000000124</v>
      </c>
      <c r="E219" s="1299" t="str">
        <f ca="1"/>
        <v/>
      </c>
      <c r="F219" s="1286" t="str">
        <f ca="1"/>
        <v/>
      </c>
      <c r="G219" s="1286" t="str">
        <f ca="1"/>
        <v/>
      </c>
      <c r="H219" s="1301" t="str">
        <f ca="1"/>
        <v/>
      </c>
      <c r="I219" s="1303" t="str">
        <f ca="1"/>
        <v/>
      </c>
      <c r="J219" s="1287" t="str">
        <f ca="1"/>
        <v/>
      </c>
      <c r="K219" s="1288" t="str">
        <f ca="1"/>
        <v xml:space="preserve">Description:
Details:
Aim:
</v>
      </c>
      <c r="L219" s="1287" t="str">
        <f ca="1"/>
        <v/>
      </c>
      <c r="M219" s="1287" t="str">
        <f ca="1"/>
        <v/>
      </c>
      <c r="N219" s="1287"/>
      <c r="O219" s="1323" t="str">
        <f ca="1"/>
        <v/>
      </c>
      <c r="P219" s="1287"/>
      <c r="Q219" s="1290" t="str">
        <f ca="1"/>
        <v/>
      </c>
    </row>
    <row r="220" spans="1:17" ht="27.75" hidden="1" customHeight="1" x14ac:dyDescent="0.45">
      <c r="A220" s="1289">
        <v>6</v>
      </c>
      <c r="B220" s="1285">
        <v>3</v>
      </c>
      <c r="C220" s="1285">
        <v>3.0000000000000142</v>
      </c>
      <c r="D220" s="1297">
        <v>9.0000000000000089</v>
      </c>
      <c r="E220" s="1299" t="str">
        <f ca="1"/>
        <v/>
      </c>
      <c r="F220" s="1286" t="str">
        <f ca="1"/>
        <v/>
      </c>
      <c r="G220" s="1286" t="str">
        <f ca="1"/>
        <v/>
      </c>
      <c r="H220" s="1301" t="str">
        <f ca="1"/>
        <v/>
      </c>
      <c r="I220" s="1303" t="str">
        <f ca="1"/>
        <v/>
      </c>
      <c r="J220" s="1287" t="str">
        <f ca="1"/>
        <v/>
      </c>
      <c r="K220" s="1288" t="str">
        <f ca="1"/>
        <v xml:space="preserve">Description:
Details:
Aim:
</v>
      </c>
      <c r="L220" s="1287" t="str">
        <f ca="1"/>
        <v/>
      </c>
      <c r="M220" s="1287" t="str">
        <f ca="1"/>
        <v/>
      </c>
      <c r="N220" s="1287"/>
      <c r="O220" s="1323" t="str">
        <f ca="1"/>
        <v/>
      </c>
      <c r="P220" s="1287"/>
      <c r="Q220" s="1290" t="str">
        <f ca="1"/>
        <v/>
      </c>
    </row>
    <row r="221" spans="1:17" ht="27.75" hidden="1" customHeight="1" x14ac:dyDescent="0.45">
      <c r="A221" s="1289">
        <v>6</v>
      </c>
      <c r="B221" s="1285">
        <v>4</v>
      </c>
      <c r="C221" s="1285">
        <v>1</v>
      </c>
      <c r="D221" s="1297">
        <v>10.000000000000005</v>
      </c>
      <c r="E221" s="1299" t="str">
        <f ca="1"/>
        <v>Accelerate to a fast pace which you should be able to hold for 50 minutes in a race situation. This will take concentration, but it's important to keep the intensity even, so do not start too hard. Warm up and warm down for 10 minutes each.</v>
      </c>
      <c r="F221" s="1286" t="str">
        <f ca="1"/>
        <v>Sport: Hilly Trail Run
WU/WD: 15 minutes 
Effort Total: 25 minutes
HR Target: 177 BPM
HR Range: 173 - 180 BPM 
Flat Road Equivalent Pace: 3:21 min/km</v>
      </c>
      <c r="G221" s="1286" t="str">
        <f ca="1"/>
        <v xml:space="preserve">Improve endurance by increasing lactate threshold and developing mental toughness. </v>
      </c>
      <c r="H221" s="1301" t="str">
        <f ca="1"/>
        <v/>
      </c>
      <c r="I221" s="1303" t="str">
        <f ca="1"/>
        <v>Hilly tempo hilly trail run: 25 minutes + WU/WD</v>
      </c>
      <c r="J221" s="1287" t="str">
        <f ca="1"/>
        <v>Trail Running</v>
      </c>
      <c r="K221"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221" s="1287">
        <f ca="1"/>
        <v>23</v>
      </c>
      <c r="M221" s="1287">
        <f ca="1"/>
        <v>0.41666666666666669</v>
      </c>
      <c r="N221" s="1287"/>
      <c r="O221" s="1323" t="str">
        <f ca="1"/>
        <v>2018-11-06 18:00</v>
      </c>
      <c r="P221" s="1287"/>
      <c r="Q221" s="1290" t="str">
        <f ca="1"/>
        <v>Hilly Trail Run</v>
      </c>
    </row>
    <row r="222" spans="1:17" ht="27.75" hidden="1" customHeight="1" x14ac:dyDescent="0.45">
      <c r="A222" s="1289">
        <v>6</v>
      </c>
      <c r="B222" s="1285">
        <v>4</v>
      </c>
      <c r="C222" s="1285">
        <v>1.9999999999999858</v>
      </c>
      <c r="D222" s="1297">
        <v>11.000000000000002</v>
      </c>
      <c r="E222" s="1299" t="str">
        <f ca="1"/>
        <v/>
      </c>
      <c r="F222" s="1286" t="str">
        <f ca="1"/>
        <v/>
      </c>
      <c r="G222" s="1286" t="str">
        <f ca="1"/>
        <v/>
      </c>
      <c r="H222" s="1301" t="str">
        <f ca="1"/>
        <v/>
      </c>
      <c r="I222" s="1303" t="str">
        <f ca="1"/>
        <v/>
      </c>
      <c r="J222" s="1287" t="str">
        <f ca="1"/>
        <v/>
      </c>
      <c r="K222" s="1288" t="str">
        <f ca="1"/>
        <v xml:space="preserve">Description:
Details:
Aim:
</v>
      </c>
      <c r="L222" s="1287" t="str">
        <f ca="1"/>
        <v/>
      </c>
      <c r="M222" s="1287" t="str">
        <f ca="1"/>
        <v/>
      </c>
      <c r="N222" s="1287"/>
      <c r="O222" s="1323" t="str">
        <f ca="1"/>
        <v/>
      </c>
      <c r="P222" s="1287"/>
      <c r="Q222" s="1290" t="str">
        <f ca="1"/>
        <v/>
      </c>
    </row>
    <row r="223" spans="1:17" ht="27.75" hidden="1" customHeight="1" x14ac:dyDescent="0.45">
      <c r="A223" s="1289">
        <v>6</v>
      </c>
      <c r="B223" s="1285">
        <v>4</v>
      </c>
      <c r="C223" s="1285">
        <v>3.0000000000000142</v>
      </c>
      <c r="D223" s="1297">
        <v>11.999999999999998</v>
      </c>
      <c r="E223" s="1299" t="str">
        <f ca="1"/>
        <v/>
      </c>
      <c r="F223" s="1286" t="str">
        <f ca="1"/>
        <v/>
      </c>
      <c r="G223" s="1286" t="str">
        <f ca="1"/>
        <v/>
      </c>
      <c r="H223" s="1301" t="str">
        <f ca="1"/>
        <v/>
      </c>
      <c r="I223" s="1303" t="str">
        <f ca="1"/>
        <v/>
      </c>
      <c r="J223" s="1287" t="str">
        <f ca="1"/>
        <v/>
      </c>
      <c r="K223" s="1288" t="str">
        <f ca="1"/>
        <v xml:space="preserve">Description:
Details:
Aim:
</v>
      </c>
      <c r="L223" s="1287" t="str">
        <f ca="1"/>
        <v/>
      </c>
      <c r="M223" s="1287" t="str">
        <f ca="1"/>
        <v/>
      </c>
      <c r="N223" s="1287"/>
      <c r="O223" s="1323" t="str">
        <f ca="1"/>
        <v/>
      </c>
      <c r="P223" s="1287"/>
      <c r="Q223" s="1290" t="str">
        <f ca="1"/>
        <v/>
      </c>
    </row>
    <row r="224" spans="1:17" ht="27.75" hidden="1" customHeight="1" x14ac:dyDescent="0.45">
      <c r="A224" s="1289">
        <v>6</v>
      </c>
      <c r="B224" s="1285">
        <v>5</v>
      </c>
      <c r="C224" s="1285">
        <v>1</v>
      </c>
      <c r="D224" s="1297">
        <v>12.999999999999995</v>
      </c>
      <c r="E224" s="1299" t="str">
        <f ca="1"/>
        <v/>
      </c>
      <c r="F224" s="1286" t="str">
        <f ca="1"/>
        <v/>
      </c>
      <c r="G224" s="1286" t="str">
        <f ca="1"/>
        <v/>
      </c>
      <c r="H224" s="1301" t="str">
        <f ca="1"/>
        <v/>
      </c>
      <c r="I224" s="1303" t="str">
        <f ca="1"/>
        <v/>
      </c>
      <c r="J224" s="1287" t="str">
        <f ca="1"/>
        <v/>
      </c>
      <c r="K224" s="1288" t="str">
        <f ca="1"/>
        <v xml:space="preserve">Description:
Details:
Aim:
</v>
      </c>
      <c r="L224" s="1287" t="str">
        <f ca="1"/>
        <v/>
      </c>
      <c r="M224" s="1287" t="str">
        <f ca="1"/>
        <v/>
      </c>
      <c r="N224" s="1287"/>
      <c r="O224" s="1323" t="str">
        <f ca="1"/>
        <v/>
      </c>
      <c r="P224" s="1287"/>
      <c r="Q224" s="1290" t="str">
        <f ca="1"/>
        <v/>
      </c>
    </row>
    <row r="225" spans="1:17" ht="27.75" hidden="1" customHeight="1" x14ac:dyDescent="0.45">
      <c r="A225" s="1289">
        <v>6</v>
      </c>
      <c r="B225" s="1285">
        <v>5</v>
      </c>
      <c r="C225" s="1285">
        <v>1.9999999999999858</v>
      </c>
      <c r="D225" s="1297">
        <v>13.999999999999991</v>
      </c>
      <c r="E225" s="1299" t="str">
        <f ca="1"/>
        <v/>
      </c>
      <c r="F225" s="1286" t="str">
        <f ca="1"/>
        <v/>
      </c>
      <c r="G225" s="1286" t="str">
        <f ca="1"/>
        <v/>
      </c>
      <c r="H225" s="1301" t="str">
        <f ca="1"/>
        <v/>
      </c>
      <c r="I225" s="1303" t="str">
        <f ca="1"/>
        <v/>
      </c>
      <c r="J225" s="1287" t="str">
        <f ca="1"/>
        <v/>
      </c>
      <c r="K225" s="1288" t="str">
        <f ca="1"/>
        <v xml:space="preserve">Description:
Details:
Aim:
</v>
      </c>
      <c r="L225" s="1287" t="str">
        <f ca="1"/>
        <v/>
      </c>
      <c r="M225" s="1287" t="str">
        <f ca="1"/>
        <v/>
      </c>
      <c r="N225" s="1287"/>
      <c r="O225" s="1323" t="str">
        <f ca="1"/>
        <v/>
      </c>
      <c r="P225" s="1287"/>
      <c r="Q225" s="1290" t="str">
        <f ca="1"/>
        <v/>
      </c>
    </row>
    <row r="226" spans="1:17" ht="27.75" hidden="1" customHeight="1" x14ac:dyDescent="0.45">
      <c r="A226" s="1289">
        <v>6</v>
      </c>
      <c r="B226" s="1285">
        <v>5</v>
      </c>
      <c r="C226" s="1285">
        <v>3.0000000000000142</v>
      </c>
      <c r="D226" s="1297">
        <v>14.999999999999988</v>
      </c>
      <c r="E226" s="1299" t="str">
        <f ca="1"/>
        <v/>
      </c>
      <c r="F226" s="1286" t="str">
        <f ca="1"/>
        <v/>
      </c>
      <c r="G226" s="1286" t="str">
        <f ca="1"/>
        <v/>
      </c>
      <c r="H226" s="1301" t="str">
        <f ca="1"/>
        <v/>
      </c>
      <c r="I226" s="1303" t="str">
        <f ca="1"/>
        <v/>
      </c>
      <c r="J226" s="1287" t="str">
        <f ca="1"/>
        <v/>
      </c>
      <c r="K226" s="1288" t="str">
        <f ca="1"/>
        <v xml:space="preserve">Description:
Details:
Aim:
</v>
      </c>
      <c r="L226" s="1287" t="str">
        <f ca="1"/>
        <v/>
      </c>
      <c r="M226" s="1287" t="str">
        <f ca="1"/>
        <v/>
      </c>
      <c r="N226" s="1287"/>
      <c r="O226" s="1323" t="str">
        <f ca="1"/>
        <v/>
      </c>
      <c r="P226" s="1287"/>
      <c r="Q226" s="1290" t="str">
        <f ca="1"/>
        <v/>
      </c>
    </row>
    <row r="227" spans="1:17" ht="27.75" hidden="1" customHeight="1" x14ac:dyDescent="0.45">
      <c r="A227" s="1289">
        <v>6</v>
      </c>
      <c r="B227" s="1285">
        <v>5</v>
      </c>
      <c r="C227" s="1285">
        <v>1</v>
      </c>
      <c r="D227" s="1297">
        <v>15.999999999999984</v>
      </c>
      <c r="E227" s="1299" t="str">
        <f ca="1"/>
        <v>Rest from continuous exercise.</v>
      </c>
      <c r="F227" s="1286" t="str">
        <f ca="1"/>
        <v>Sport: Run
WU/WD: No 
Effort Total: 95 minutes
HR Target: N/A BPM
HR Range: N/A BPM 
Flat Road Equivalent Pace:  min/km</v>
      </c>
      <c r="G227" s="1286" t="str">
        <f ca="1"/>
        <v xml:space="preserve">Allow safest recovery of the whole body. </v>
      </c>
      <c r="H227" s="1301" t="str">
        <f ca="1"/>
        <v/>
      </c>
      <c r="I227" s="1303" t="str">
        <f ca="1"/>
        <v>Easy road ride: 95 minutes</v>
      </c>
      <c r="J227" s="1287" t="str">
        <f ca="1"/>
        <v>Running</v>
      </c>
      <c r="K227" s="1288" t="str">
        <f ca="1"/>
        <v xml:space="preserve">Description:
Rest from continuous exercise.
Details:
Sport: Run
WU/WD: No 
Effort Total: 95 minutes
HR Target: N/A BPM
HR Range: N/A BPM 
Flat Road Equivalent Pace:  min/km
Aim:
Allow safest recovery of the whole body. </v>
      </c>
      <c r="L227" s="1287">
        <f ca="1"/>
        <v>0</v>
      </c>
      <c r="M227" s="1287">
        <f ca="1"/>
        <v>1.5833333333333333</v>
      </c>
      <c r="N227" s="1287"/>
      <c r="O227" s="1323" t="str">
        <f ca="1"/>
        <v>2018-11-07 06:00</v>
      </c>
      <c r="P227" s="1287"/>
      <c r="Q227" s="1290" t="str">
        <f ca="1"/>
        <v>Run</v>
      </c>
    </row>
    <row r="228" spans="1:17" ht="27.75" hidden="1" customHeight="1" x14ac:dyDescent="0.45">
      <c r="A228" s="1289">
        <v>6</v>
      </c>
      <c r="B228" s="1285">
        <v>6</v>
      </c>
      <c r="C228" s="1285">
        <v>1.9999999999999858</v>
      </c>
      <c r="D228" s="1297">
        <v>17.000000000000018</v>
      </c>
      <c r="E228" s="1299" t="str">
        <f ca="1"/>
        <v/>
      </c>
      <c r="F228" s="1286" t="str">
        <f ca="1"/>
        <v/>
      </c>
      <c r="G228" s="1286" t="str">
        <f ca="1"/>
        <v/>
      </c>
      <c r="H228" s="1301" t="str">
        <f ca="1"/>
        <v/>
      </c>
      <c r="I228" s="1303" t="str">
        <f ca="1"/>
        <v/>
      </c>
      <c r="J228" s="1287" t="str">
        <f ca="1"/>
        <v/>
      </c>
      <c r="K228" s="1288" t="str">
        <f ca="1"/>
        <v xml:space="preserve">Description:
Details:
Aim:
</v>
      </c>
      <c r="L228" s="1287" t="str">
        <f ca="1"/>
        <v/>
      </c>
      <c r="M228" s="1287" t="str">
        <f ca="1"/>
        <v/>
      </c>
      <c r="N228" s="1287"/>
      <c r="O228" s="1323" t="str">
        <f ca="1"/>
        <v/>
      </c>
      <c r="P228" s="1287"/>
      <c r="Q228" s="1290" t="str">
        <f ca="1"/>
        <v/>
      </c>
    </row>
    <row r="229" spans="1:17" ht="27.75" hidden="1" customHeight="1" x14ac:dyDescent="0.45">
      <c r="A229" s="1289">
        <v>6</v>
      </c>
      <c r="B229" s="1285">
        <v>6</v>
      </c>
      <c r="C229" s="1285">
        <v>3.0000000000000142</v>
      </c>
      <c r="D229" s="1297">
        <v>18.000000000000014</v>
      </c>
      <c r="E229" s="1299" t="str">
        <f ca="1"/>
        <v/>
      </c>
      <c r="F229" s="1286" t="str">
        <f ca="1"/>
        <v/>
      </c>
      <c r="G229" s="1286" t="str">
        <f ca="1"/>
        <v/>
      </c>
      <c r="H229" s="1301" t="str">
        <f ca="1"/>
        <v/>
      </c>
      <c r="I229" s="1303" t="str">
        <f ca="1"/>
        <v/>
      </c>
      <c r="J229" s="1287" t="str">
        <f ca="1"/>
        <v/>
      </c>
      <c r="K229" s="1288" t="str">
        <f ca="1"/>
        <v xml:space="preserve">Description:
Details:
Aim:
</v>
      </c>
      <c r="L229" s="1287" t="str">
        <f ca="1"/>
        <v/>
      </c>
      <c r="M229" s="1287" t="str">
        <f ca="1"/>
        <v/>
      </c>
      <c r="N229" s="1287"/>
      <c r="O229" s="1323" t="str">
        <f ca="1"/>
        <v/>
      </c>
      <c r="P229" s="1287"/>
      <c r="Q229" s="1290" t="str">
        <f ca="1"/>
        <v/>
      </c>
    </row>
    <row r="230" spans="1:17" ht="27.75" hidden="1" customHeight="1" x14ac:dyDescent="0.45">
      <c r="A230" s="1289">
        <v>6</v>
      </c>
      <c r="B230" s="1285">
        <v>7</v>
      </c>
      <c r="C230" s="1285">
        <v>1</v>
      </c>
      <c r="D230" s="1297">
        <v>19.000000000000011</v>
      </c>
      <c r="E230" s="1299" t="str">
        <f ca="1"/>
        <v>Stay at a comfortable and controlled intensity where you should be able to have a conversation without large pauses. Keep an even intensity and accept that your pace may change as the terrain changes.</v>
      </c>
      <c r="F230" s="1286" t="str">
        <f ca="1"/>
        <v>Sport: Ride
WU/WD: No 
Effort Total: 40 minutes
HR Target: 138 BPM
HR Range: 129 - 148 BPM 
Flat Road Equivalent Pace: 4:39 min/km</v>
      </c>
      <c r="G230" s="1286" t="str">
        <f ca="1"/>
        <v xml:space="preserve">Improve aerobic fitness while minimising the chance of injury. </v>
      </c>
      <c r="H230" s="1301" t="str">
        <f ca="1"/>
        <v/>
      </c>
      <c r="I230" s="1303" t="str">
        <f ca="1"/>
        <v>Easy ride: 40 minutes</v>
      </c>
      <c r="J230" s="1287" t="str">
        <f ca="1"/>
        <v>Cycling</v>
      </c>
      <c r="K23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30" s="1287">
        <f ca="1"/>
        <v>110</v>
      </c>
      <c r="M230" s="1287">
        <f ca="1"/>
        <v>0.66666666666666663</v>
      </c>
      <c r="N230" s="1287"/>
      <c r="O230" s="1323" t="str">
        <f ca="1"/>
        <v>2018-11-08 06:00</v>
      </c>
      <c r="P230" s="1287"/>
      <c r="Q230" s="1290" t="str">
        <f ca="1"/>
        <v>Ride</v>
      </c>
    </row>
    <row r="231" spans="1:17" ht="27.75" hidden="1" customHeight="1" x14ac:dyDescent="0.45">
      <c r="A231" s="1289">
        <v>6</v>
      </c>
      <c r="B231" s="1285">
        <v>7</v>
      </c>
      <c r="C231" s="1285">
        <v>1.9999999999999858</v>
      </c>
      <c r="D231" s="1297">
        <v>20.000000000000007</v>
      </c>
      <c r="E231" s="1299" t="str">
        <f ca="1"/>
        <v/>
      </c>
      <c r="F231" s="1286" t="str">
        <f ca="1"/>
        <v/>
      </c>
      <c r="G231" s="1286" t="str">
        <f ca="1"/>
        <v/>
      </c>
      <c r="H231" s="1301" t="str">
        <f ca="1"/>
        <v/>
      </c>
      <c r="I231" s="1303" t="str">
        <f ca="1"/>
        <v/>
      </c>
      <c r="J231" s="1287" t="str">
        <f ca="1"/>
        <v/>
      </c>
      <c r="K231" s="1288" t="str">
        <f ca="1"/>
        <v xml:space="preserve">Description:
Details:
Aim:
</v>
      </c>
      <c r="L231" s="1287" t="str">
        <f ca="1"/>
        <v/>
      </c>
      <c r="M231" s="1287" t="str">
        <f ca="1"/>
        <v/>
      </c>
      <c r="N231" s="1287"/>
      <c r="O231" s="1323" t="str">
        <f ca="1"/>
        <v/>
      </c>
      <c r="P231" s="1287"/>
      <c r="Q231" s="1290" t="str">
        <f ca="1"/>
        <v/>
      </c>
    </row>
    <row r="232" spans="1:17" ht="27.75" hidden="1" customHeight="1" x14ac:dyDescent="0.45">
      <c r="A232" s="1289">
        <v>6</v>
      </c>
      <c r="B232" s="1285">
        <v>7</v>
      </c>
      <c r="C232" s="1285">
        <v>3.0000000000000142</v>
      </c>
      <c r="D232" s="1297">
        <v>21.000000000000004</v>
      </c>
      <c r="E232" s="1299" t="str">
        <f ca="1"/>
        <v/>
      </c>
      <c r="F232" s="1286" t="str">
        <f ca="1"/>
        <v/>
      </c>
      <c r="G232" s="1286" t="str">
        <f ca="1"/>
        <v/>
      </c>
      <c r="H232" s="1301" t="str">
        <f ca="1"/>
        <v/>
      </c>
      <c r="I232" s="1303" t="str">
        <f ca="1"/>
        <v/>
      </c>
      <c r="J232" s="1287" t="str">
        <f ca="1"/>
        <v/>
      </c>
      <c r="K232" s="1288" t="str">
        <f ca="1"/>
        <v xml:space="preserve">Description:
Details:
Aim:
</v>
      </c>
      <c r="L232" s="1287" t="str">
        <f ca="1"/>
        <v/>
      </c>
      <c r="M232" s="1287" t="str">
        <f ca="1"/>
        <v/>
      </c>
      <c r="N232" s="1287"/>
      <c r="O232" s="1323" t="str">
        <f ca="1"/>
        <v/>
      </c>
      <c r="P232" s="1287"/>
      <c r="Q232" s="1290" t="str">
        <f ca="1"/>
        <v/>
      </c>
    </row>
    <row r="233" spans="1:17" ht="27.75" hidden="1" customHeight="1" x14ac:dyDescent="0.45">
      <c r="A233" s="1289">
        <v>6</v>
      </c>
      <c r="B233" s="1285">
        <v>8</v>
      </c>
      <c r="C233" s="1285">
        <v>1</v>
      </c>
      <c r="D233" s="1297">
        <v>22</v>
      </c>
      <c r="E233" s="1299" t="str">
        <f ca="1"/>
        <v>Stay at a comfortable and controlled intensity where you should be able to have a conversation without large pauses. Keep an even intensity and accept that your pace may change as the terrain changes.</v>
      </c>
      <c r="F233" s="1286" t="str">
        <f ca="1"/>
        <v>Sport: Hilly Trail Run
WU/WD: No 
Effort Total: 100 minutes
HR Target: 148 BPM
HR Range: 138 - 157 BPM 
Flat Road Equivalent Pace: 4:14 min/km</v>
      </c>
      <c r="G233" s="1286" t="str">
        <f ca="1"/>
        <v>Improve aerobic fitness at an optimal rate.</v>
      </c>
      <c r="H233" s="1301" t="str">
        <f ca="1"/>
        <v/>
      </c>
      <c r="I233" s="1303" t="str">
        <f ca="1"/>
        <v>Steady hilly trail run: 100 minutes</v>
      </c>
      <c r="J233" s="1287" t="str">
        <f ca="1"/>
        <v>Trail Running</v>
      </c>
      <c r="K233"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100 minutes
HR Target: 148 BPM
HR Range: 138 - 157 BPM 
Flat Road Equivalent Pace: 4:14 min/km
Aim:
Improve aerobic fitness at an optimal rate.</v>
      </c>
      <c r="L233" s="1287">
        <f ca="1"/>
        <v>3</v>
      </c>
      <c r="M233" s="1287">
        <f ca="1"/>
        <v>1.6666666666666667</v>
      </c>
      <c r="N233" s="1287"/>
      <c r="O233" s="1323" t="str">
        <f ca="1"/>
        <v>2018-11-08 18:00</v>
      </c>
      <c r="P233" s="1287"/>
      <c r="Q233" s="1290" t="str">
        <f ca="1"/>
        <v>Hilly Trail Run</v>
      </c>
    </row>
    <row r="234" spans="1:17" ht="27.75" hidden="1" customHeight="1" x14ac:dyDescent="0.45">
      <c r="A234" s="1289">
        <v>6</v>
      </c>
      <c r="B234" s="1285">
        <v>8</v>
      </c>
      <c r="C234" s="1285">
        <v>1.9999999999999858</v>
      </c>
      <c r="D234" s="1297">
        <v>22.999999999999996</v>
      </c>
      <c r="E234" s="1299" t="str">
        <f ca="1"/>
        <v/>
      </c>
      <c r="F234" s="1286" t="str">
        <f ca="1"/>
        <v/>
      </c>
      <c r="G234" s="1286" t="str">
        <f ca="1"/>
        <v/>
      </c>
      <c r="H234" s="1301" t="str">
        <f ca="1"/>
        <v/>
      </c>
      <c r="I234" s="1303" t="str">
        <f ca="1"/>
        <v/>
      </c>
      <c r="J234" s="1287" t="str">
        <f ca="1"/>
        <v/>
      </c>
      <c r="K234" s="1288" t="str">
        <f ca="1"/>
        <v xml:space="preserve">Description:
Details:
Aim:
</v>
      </c>
      <c r="L234" s="1287" t="str">
        <f ca="1"/>
        <v/>
      </c>
      <c r="M234" s="1287" t="str">
        <f ca="1"/>
        <v/>
      </c>
      <c r="N234" s="1287"/>
      <c r="O234" s="1323" t="str">
        <f ca="1"/>
        <v/>
      </c>
      <c r="P234" s="1287"/>
      <c r="Q234" s="1290" t="str">
        <f ca="1"/>
        <v/>
      </c>
    </row>
    <row r="235" spans="1:17" ht="27.75" hidden="1" customHeight="1" x14ac:dyDescent="0.45">
      <c r="A235" s="1289">
        <v>6</v>
      </c>
      <c r="B235" s="1285">
        <v>8</v>
      </c>
      <c r="C235" s="1285">
        <v>3.0000000000000142</v>
      </c>
      <c r="D235" s="1297">
        <v>23.999999999999993</v>
      </c>
      <c r="E235" s="1299" t="str">
        <f ca="1"/>
        <v/>
      </c>
      <c r="F235" s="1286" t="str">
        <f ca="1"/>
        <v/>
      </c>
      <c r="G235" s="1286" t="str">
        <f ca="1"/>
        <v/>
      </c>
      <c r="H235" s="1301" t="str">
        <f ca="1"/>
        <v/>
      </c>
      <c r="I235" s="1303" t="str">
        <f ca="1"/>
        <v/>
      </c>
      <c r="J235" s="1287" t="str">
        <f ca="1"/>
        <v/>
      </c>
      <c r="K235" s="1288" t="str">
        <f ca="1"/>
        <v xml:space="preserve">Description:
Details:
Aim:
</v>
      </c>
      <c r="L235" s="1287" t="str">
        <f ca="1"/>
        <v/>
      </c>
      <c r="M235" s="1287" t="str">
        <f ca="1"/>
        <v/>
      </c>
      <c r="N235" s="1287"/>
      <c r="O235" s="1323" t="str">
        <f ca="1"/>
        <v/>
      </c>
      <c r="P235" s="1287"/>
      <c r="Q235" s="1290" t="str">
        <f ca="1"/>
        <v/>
      </c>
    </row>
    <row r="236" spans="1:17" ht="27.75" hidden="1" customHeight="1" x14ac:dyDescent="0.45">
      <c r="A236" s="1289">
        <v>6</v>
      </c>
      <c r="B236" s="1285">
        <v>9</v>
      </c>
      <c r="C236" s="1285">
        <v>1</v>
      </c>
      <c r="D236" s="1297">
        <v>24.999999999999989</v>
      </c>
      <c r="E236" s="1299" t="str">
        <f ca="1"/>
        <v>Stay at a comfortable and controlled intensity where you should be able to have a conversation without large pauses. Keep an even intensity and accept that your pace may change as the terrain changes.</v>
      </c>
      <c r="F236" s="1286" t="str">
        <f ca="1"/>
        <v>Sport: Ride
WU/WD: No 
Effort Total: 40 minutes
HR Target: 138 BPM
HR Range: 129 - 148 BPM 
Flat Road Equivalent Pace: 4:39 min/km</v>
      </c>
      <c r="G236" s="1286" t="str">
        <f ca="1"/>
        <v xml:space="preserve">Improve aerobic fitness while minimising the chance of injury. </v>
      </c>
      <c r="H236" s="1301" t="str">
        <f ca="1"/>
        <v/>
      </c>
      <c r="I236" s="1303" t="str">
        <f ca="1"/>
        <v>Easy ride: 40 minutes</v>
      </c>
      <c r="J236" s="1287" t="str">
        <f ca="1"/>
        <v>Cycling</v>
      </c>
      <c r="K23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36" s="1287">
        <f ca="1"/>
        <v>110</v>
      </c>
      <c r="M236" s="1287">
        <f ca="1"/>
        <v>0.66666666666666663</v>
      </c>
      <c r="N236" s="1287"/>
      <c r="O236" s="1323" t="str">
        <f ca="1"/>
        <v>2018-11-09 06:00</v>
      </c>
      <c r="P236" s="1287"/>
      <c r="Q236" s="1290" t="str">
        <f ca="1"/>
        <v>Ride</v>
      </c>
    </row>
    <row r="237" spans="1:17" ht="27.75" hidden="1" customHeight="1" x14ac:dyDescent="0.45">
      <c r="A237" s="1289">
        <v>6</v>
      </c>
      <c r="B237" s="1285">
        <v>9</v>
      </c>
      <c r="C237" s="1285">
        <v>1.9999999999999858</v>
      </c>
      <c r="D237" s="1297">
        <v>25.999999999999986</v>
      </c>
      <c r="E237" s="1299" t="str">
        <f ca="1"/>
        <v/>
      </c>
      <c r="F237" s="1286" t="str">
        <f ca="1"/>
        <v/>
      </c>
      <c r="G237" s="1286" t="str">
        <f ca="1"/>
        <v/>
      </c>
      <c r="H237" s="1301" t="str">
        <f ca="1"/>
        <v/>
      </c>
      <c r="I237" s="1303" t="str">
        <f ca="1"/>
        <v/>
      </c>
      <c r="J237" s="1287" t="str">
        <f ca="1"/>
        <v/>
      </c>
      <c r="K237" s="1288" t="str">
        <f ca="1"/>
        <v xml:space="preserve">Description:
Details:
Aim:
</v>
      </c>
      <c r="L237" s="1287" t="str">
        <f ca="1"/>
        <v/>
      </c>
      <c r="M237" s="1287" t="str">
        <f ca="1"/>
        <v/>
      </c>
      <c r="N237" s="1287"/>
      <c r="O237" s="1323" t="str">
        <f ca="1"/>
        <v/>
      </c>
      <c r="P237" s="1287"/>
      <c r="Q237" s="1290" t="str">
        <f ca="1"/>
        <v/>
      </c>
    </row>
    <row r="238" spans="1:17" ht="27.75" hidden="1" customHeight="1" x14ac:dyDescent="0.45">
      <c r="A238" s="1289">
        <v>6</v>
      </c>
      <c r="B238" s="1285">
        <v>9</v>
      </c>
      <c r="C238" s="1285">
        <v>3.0000000000000142</v>
      </c>
      <c r="D238" s="1297">
        <v>26.999999999999982</v>
      </c>
      <c r="E238" s="1299" t="str">
        <f ca="1"/>
        <v/>
      </c>
      <c r="F238" s="1286" t="str">
        <f ca="1"/>
        <v/>
      </c>
      <c r="G238" s="1286" t="str">
        <f ca="1"/>
        <v/>
      </c>
      <c r="H238" s="1301" t="str">
        <f ca="1"/>
        <v/>
      </c>
      <c r="I238" s="1303" t="str">
        <f ca="1"/>
        <v/>
      </c>
      <c r="J238" s="1287" t="str">
        <f ca="1"/>
        <v/>
      </c>
      <c r="K238" s="1288" t="str">
        <f ca="1"/>
        <v xml:space="preserve">Description:
Details:
Aim:
</v>
      </c>
      <c r="L238" s="1287" t="str">
        <f ca="1"/>
        <v/>
      </c>
      <c r="M238" s="1287" t="str">
        <f ca="1"/>
        <v/>
      </c>
      <c r="N238" s="1287"/>
      <c r="O238" s="1323" t="str">
        <f ca="1"/>
        <v/>
      </c>
      <c r="P238" s="1287"/>
      <c r="Q238" s="1290" t="str">
        <f ca="1"/>
        <v/>
      </c>
    </row>
    <row r="239" spans="1:17" ht="27.75" hidden="1" customHeight="1" x14ac:dyDescent="0.45">
      <c r="A239" s="1289">
        <v>6</v>
      </c>
      <c r="B239" s="1285">
        <v>10</v>
      </c>
      <c r="C239" s="1285">
        <v>1</v>
      </c>
      <c r="D239" s="1297">
        <v>28.000000000000014</v>
      </c>
      <c r="E239" s="1299" t="str">
        <f ca="1"/>
        <v>Perform a variety of specialised exercises to engage specific muscles. These sessions must be learned with a coach first but are relatively easy to continue with on your own. Demonstrate control and focus on posture and muscle activation.</v>
      </c>
      <c r="F239" s="1286" t="str">
        <f ca="1"/>
        <v>Sport: Indoor
WU/WD: No 
Effort Total: 30 minutes
HR Target: N/A BPM
HR Range: N/A BPM 
Flat Road Equivalent Pace:  min/km</v>
      </c>
      <c r="G239" s="1286" t="str">
        <f ca="1"/>
        <v xml:space="preserve">Increase strength of specific muscle groups, running economy and injury resistance. </v>
      </c>
      <c r="H239" s="1301" t="str">
        <f ca="1"/>
        <v/>
      </c>
      <c r="I239" s="1303" t="str">
        <f ca="1"/>
        <v>Strength and conditioning</v>
      </c>
      <c r="J239" s="1287" t="str">
        <f ca="1"/>
        <v>Strength</v>
      </c>
      <c r="K239"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239" s="1287">
        <f ca="1"/>
        <v>76</v>
      </c>
      <c r="M239" s="1287">
        <f ca="1"/>
        <v>0.5</v>
      </c>
      <c r="N239" s="1287"/>
      <c r="O239" s="1323" t="str">
        <f ca="1"/>
        <v>2018-11-09 18:00</v>
      </c>
      <c r="P239" s="1287"/>
      <c r="Q239" s="1290" t="str">
        <f ca="1"/>
        <v>Indoor</v>
      </c>
    </row>
    <row r="240" spans="1:17" ht="27.75" hidden="1" customHeight="1" x14ac:dyDescent="0.45">
      <c r="A240" s="1289">
        <v>6</v>
      </c>
      <c r="B240" s="1285">
        <v>10</v>
      </c>
      <c r="C240" s="1285">
        <v>1.9999999999999858</v>
      </c>
      <c r="D240" s="1297">
        <v>29.000000000000014</v>
      </c>
      <c r="E240" s="1299" t="str">
        <f ca="1"/>
        <v>Use a hands, rollers, or balls on all major muscle groups with extra time on more sensitive or problematic areas or as guided by a coach or physio. Finish with 20 minutes of lower-limb stretching.</v>
      </c>
      <c r="F240" s="1286" t="str">
        <f ca="1"/>
        <v>Sport: Indoor
WU/WD: No 
Effort Total: 30 minutes
HR Target: N/A BPM
HR Range: N/A BPM 
Flat Road Equivalent Pace:  min/km</v>
      </c>
      <c r="G240" s="1286" t="str">
        <f ca="1"/>
        <v xml:space="preserve">Release tension that develops in soft tissue from training and non-training stresses. </v>
      </c>
      <c r="H240" s="1301" t="str">
        <f ca="1"/>
        <v/>
      </c>
      <c r="I240" s="1303" t="str">
        <f ca="1"/>
        <v>Maintenance</v>
      </c>
      <c r="J240" s="1287" t="str">
        <f ca="1"/>
        <v>Strength</v>
      </c>
      <c r="K24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40" s="1287">
        <f ca="1"/>
        <v>76</v>
      </c>
      <c r="M240" s="1287">
        <f ca="1"/>
        <v>0.5</v>
      </c>
      <c r="N240" s="1287"/>
      <c r="O240" s="1323" t="str">
        <f ca="1"/>
        <v>2018-11-09 20:00</v>
      </c>
      <c r="P240" s="1287"/>
      <c r="Q240" s="1290" t="str">
        <f ca="1"/>
        <v>Indoor</v>
      </c>
    </row>
    <row r="241" spans="1:17" ht="27.75" hidden="1" customHeight="1" x14ac:dyDescent="0.45">
      <c r="A241" s="1289">
        <v>6</v>
      </c>
      <c r="B241" s="1285">
        <v>10</v>
      </c>
      <c r="C241" s="1285">
        <v>3.0000000000000142</v>
      </c>
      <c r="D241" s="1297">
        <v>30.000000000000007</v>
      </c>
      <c r="E241" s="1299" t="str">
        <f ca="1"/>
        <v/>
      </c>
      <c r="F241" s="1286" t="str">
        <f ca="1"/>
        <v/>
      </c>
      <c r="G241" s="1286" t="str">
        <f ca="1"/>
        <v/>
      </c>
      <c r="H241" s="1301" t="str">
        <f ca="1"/>
        <v/>
      </c>
      <c r="I241" s="1303" t="str">
        <f ca="1"/>
        <v/>
      </c>
      <c r="J241" s="1287" t="str">
        <f ca="1"/>
        <v/>
      </c>
      <c r="K241" s="1288" t="str">
        <f ca="1"/>
        <v xml:space="preserve">Description:
Details:
Aim:
</v>
      </c>
      <c r="L241" s="1287" t="str">
        <f ca="1"/>
        <v/>
      </c>
      <c r="M241" s="1287" t="str">
        <f ca="1"/>
        <v/>
      </c>
      <c r="N241" s="1287"/>
      <c r="O241" s="1323" t="str">
        <f ca="1"/>
        <v/>
      </c>
      <c r="P241" s="1287"/>
      <c r="Q241" s="1290" t="str">
        <f ca="1"/>
        <v/>
      </c>
    </row>
    <row r="242" spans="1:17" ht="27.75" hidden="1" customHeight="1" x14ac:dyDescent="0.45">
      <c r="A242" s="1289">
        <v>6</v>
      </c>
      <c r="B242" s="1285">
        <v>11</v>
      </c>
      <c r="C242" s="1285">
        <v>1</v>
      </c>
      <c r="D242" s="1297">
        <v>31.000000000000007</v>
      </c>
      <c r="E242" s="1299" t="str">
        <f ca="1"/>
        <v xml:space="preserve">Fundamentally a steady, but you can be less strict at controlling your intensity as long as your average intensity is close to it's target by the end of the session </v>
      </c>
      <c r="F242" s="1286" t="str">
        <f ca="1"/>
        <v>Sport: Hilly Trail Run
WU/WD: No 
Effort Total: 240 minutes
HR Target: 148 BPM
HR Range: 129 - 169 BPM 
Flat Road Equivalent Pace: 4:14 min/km</v>
      </c>
      <c r="G242" s="1286" t="str">
        <f ca="1"/>
        <v xml:space="preserve">Improve aerobic fitness and energy utilisation. </v>
      </c>
      <c r="H242" s="1301" t="str">
        <f ca="1"/>
        <v/>
      </c>
      <c r="I242" s="1303" t="str">
        <f ca="1"/>
        <v>Long hilly trail run: 240 minutes</v>
      </c>
      <c r="J242" s="1287" t="str">
        <f ca="1"/>
        <v>Trail Running</v>
      </c>
      <c r="K242" s="1288" t="str">
        <f ca="1"/>
        <v xml:space="preserve">Description:
Fundamentally a steady, but you can be less strict at controlling your intensity as long as your average intensity is close to it's target by the end of the session 
Details:
Sport: Hilly Trail Run
WU/WD: No 
Effort Total: 240 minutes
HR Target: 148 BPM
HR Range: 129 - 169 BPM 
Flat Road Equivalent Pace: 4:14 min/km
Aim:
Improve aerobic fitness and energy utilisation. </v>
      </c>
      <c r="L242" s="1287">
        <f ca="1"/>
        <v>19</v>
      </c>
      <c r="M242" s="1287">
        <f ca="1"/>
        <v>4</v>
      </c>
      <c r="N242" s="1287"/>
      <c r="O242" s="1323" t="str">
        <f ca="1"/>
        <v>2018-11-10 06:00</v>
      </c>
      <c r="P242" s="1287"/>
      <c r="Q242" s="1290" t="str">
        <f ca="1"/>
        <v>Hilly Trail Run</v>
      </c>
    </row>
    <row r="243" spans="1:17" ht="27.75" hidden="1" customHeight="1" x14ac:dyDescent="0.45">
      <c r="A243" s="1289">
        <v>6</v>
      </c>
      <c r="B243" s="1285">
        <v>11</v>
      </c>
      <c r="C243" s="1285">
        <v>1.9999999999999858</v>
      </c>
      <c r="D243" s="1297">
        <v>32</v>
      </c>
      <c r="E243" s="1299" t="str">
        <f ca="1"/>
        <v/>
      </c>
      <c r="F243" s="1286" t="str">
        <f ca="1"/>
        <v/>
      </c>
      <c r="G243" s="1286" t="str">
        <f ca="1"/>
        <v/>
      </c>
      <c r="H243" s="1301" t="str">
        <f ca="1"/>
        <v/>
      </c>
      <c r="I243" s="1303" t="str">
        <f ca="1"/>
        <v/>
      </c>
      <c r="J243" s="1287" t="str">
        <f ca="1"/>
        <v/>
      </c>
      <c r="K243" s="1288" t="str">
        <f ca="1"/>
        <v xml:space="preserve">Description:
Details:
Aim:
</v>
      </c>
      <c r="L243" s="1287" t="str">
        <f ca="1"/>
        <v/>
      </c>
      <c r="M243" s="1287" t="str">
        <f ca="1"/>
        <v/>
      </c>
      <c r="N243" s="1287"/>
      <c r="O243" s="1323" t="str">
        <f ca="1"/>
        <v/>
      </c>
      <c r="P243" s="1287"/>
      <c r="Q243" s="1290" t="str">
        <f ca="1"/>
        <v/>
      </c>
    </row>
    <row r="244" spans="1:17" ht="27.75" hidden="1" customHeight="1" x14ac:dyDescent="0.45">
      <c r="A244" s="1289">
        <v>6</v>
      </c>
      <c r="B244" s="1285">
        <v>11</v>
      </c>
      <c r="C244" s="1285">
        <v>3.0000000000000142</v>
      </c>
      <c r="D244" s="1297">
        <v>33</v>
      </c>
      <c r="E244" s="1299" t="str">
        <f ca="1"/>
        <v/>
      </c>
      <c r="F244" s="1286" t="str">
        <f ca="1"/>
        <v/>
      </c>
      <c r="G244" s="1286" t="str">
        <f ca="1"/>
        <v/>
      </c>
      <c r="H244" s="1301" t="str">
        <f ca="1"/>
        <v/>
      </c>
      <c r="I244" s="1303" t="str">
        <f ca="1"/>
        <v/>
      </c>
      <c r="J244" s="1287" t="str">
        <f ca="1"/>
        <v/>
      </c>
      <c r="K244" s="1288" t="str">
        <f ca="1"/>
        <v xml:space="preserve">Description:
Details:
Aim:
</v>
      </c>
      <c r="L244" s="1287" t="str">
        <f ca="1"/>
        <v/>
      </c>
      <c r="M244" s="1287" t="str">
        <f ca="1"/>
        <v/>
      </c>
      <c r="N244" s="1287"/>
      <c r="O244" s="1323" t="str">
        <f ca="1"/>
        <v/>
      </c>
      <c r="P244" s="1287"/>
      <c r="Q244" s="1290" t="str">
        <f ca="1"/>
        <v/>
      </c>
    </row>
    <row r="245" spans="1:17" ht="27.75" hidden="1" customHeight="1" x14ac:dyDescent="0.45">
      <c r="A245" s="1289">
        <v>6</v>
      </c>
      <c r="B245" s="1285">
        <v>12</v>
      </c>
      <c r="C245" s="1285">
        <v>1</v>
      </c>
      <c r="D245" s="1297">
        <v>33.999999999999993</v>
      </c>
      <c r="E245" s="1299" t="str">
        <f ca="1"/>
        <v/>
      </c>
      <c r="F245" s="1286" t="str">
        <f ca="1"/>
        <v/>
      </c>
      <c r="G245" s="1286" t="str">
        <f ca="1"/>
        <v/>
      </c>
      <c r="H245" s="1301" t="str">
        <f ca="1"/>
        <v/>
      </c>
      <c r="I245" s="1303" t="str">
        <f ca="1"/>
        <v/>
      </c>
      <c r="J245" s="1287" t="str">
        <f ca="1"/>
        <v/>
      </c>
      <c r="K245" s="1288" t="str">
        <f ca="1"/>
        <v xml:space="preserve">Description:
Details:
Aim:
</v>
      </c>
      <c r="L245" s="1287" t="str">
        <f ca="1"/>
        <v/>
      </c>
      <c r="M245" s="1287" t="str">
        <f ca="1"/>
        <v/>
      </c>
      <c r="N245" s="1287"/>
      <c r="O245" s="1323" t="str">
        <f ca="1"/>
        <v/>
      </c>
      <c r="P245" s="1287"/>
      <c r="Q245" s="1290" t="str">
        <f ca="1"/>
        <v/>
      </c>
    </row>
    <row r="246" spans="1:17" ht="27.75" hidden="1" customHeight="1" x14ac:dyDescent="0.45">
      <c r="A246" s="1289">
        <v>6</v>
      </c>
      <c r="B246" s="1285">
        <v>12</v>
      </c>
      <c r="C246" s="1285">
        <v>1.9999999999999858</v>
      </c>
      <c r="D246" s="1297">
        <v>34.999999999999993</v>
      </c>
      <c r="E246" s="1299" t="str">
        <f ca="1"/>
        <v/>
      </c>
      <c r="F246" s="1286" t="str">
        <f ca="1"/>
        <v/>
      </c>
      <c r="G246" s="1286" t="str">
        <f ca="1"/>
        <v/>
      </c>
      <c r="H246" s="1301" t="str">
        <f ca="1"/>
        <v/>
      </c>
      <c r="I246" s="1303" t="str">
        <f ca="1"/>
        <v/>
      </c>
      <c r="J246" s="1287" t="str">
        <f ca="1"/>
        <v/>
      </c>
      <c r="K246" s="1288" t="str">
        <f ca="1"/>
        <v xml:space="preserve">Description:
Details:
Aim:
</v>
      </c>
      <c r="L246" s="1287" t="str">
        <f ca="1"/>
        <v/>
      </c>
      <c r="M246" s="1287" t="str">
        <f ca="1"/>
        <v/>
      </c>
      <c r="N246" s="1287"/>
      <c r="O246" s="1323" t="str">
        <f ca="1"/>
        <v/>
      </c>
      <c r="P246" s="1287"/>
      <c r="Q246" s="1290" t="str">
        <f ca="1"/>
        <v/>
      </c>
    </row>
    <row r="247" spans="1:17" ht="27.75" hidden="1" customHeight="1" x14ac:dyDescent="0.45">
      <c r="A247" s="1289">
        <v>6</v>
      </c>
      <c r="B247" s="1285">
        <v>12</v>
      </c>
      <c r="C247" s="1285">
        <v>3.0000000000000142</v>
      </c>
      <c r="D247" s="1297">
        <v>35.999999999999986</v>
      </c>
      <c r="E247" s="1299" t="str">
        <f ca="1"/>
        <v/>
      </c>
      <c r="F247" s="1286" t="str">
        <f ca="1"/>
        <v/>
      </c>
      <c r="G247" s="1286" t="str">
        <f ca="1"/>
        <v/>
      </c>
      <c r="H247" s="1301" t="str">
        <f ca="1"/>
        <v/>
      </c>
      <c r="I247" s="1303" t="str">
        <f ca="1"/>
        <v/>
      </c>
      <c r="J247" s="1287" t="str">
        <f ca="1"/>
        <v/>
      </c>
      <c r="K247" s="1288" t="str">
        <f ca="1"/>
        <v xml:space="preserve">Description:
Details:
Aim:
</v>
      </c>
      <c r="L247" s="1287" t="str">
        <f ca="1"/>
        <v/>
      </c>
      <c r="M247" s="1287" t="str">
        <f ca="1"/>
        <v/>
      </c>
      <c r="N247" s="1287"/>
      <c r="O247" s="1323" t="str">
        <f ca="1"/>
        <v/>
      </c>
      <c r="P247" s="1287"/>
      <c r="Q247" s="1290" t="str">
        <f ca="1"/>
        <v/>
      </c>
    </row>
    <row r="248" spans="1:17" ht="27.75" hidden="1" customHeight="1" x14ac:dyDescent="0.45">
      <c r="A248" s="1289">
        <v>6</v>
      </c>
      <c r="B248" s="1285">
        <v>13</v>
      </c>
      <c r="C248" s="1285">
        <v>1</v>
      </c>
      <c r="D248" s="1297">
        <v>36.999999999999986</v>
      </c>
      <c r="E248" s="1299" t="str">
        <f ca="1"/>
        <v>Stay at a comfortable and controlled intensity where you should be able to have a conversation without large pauses. Keep an even intensity and accept that your pace may change as the terrain changes.</v>
      </c>
      <c r="F248" s="1286" t="str">
        <f ca="1"/>
        <v>Sport: Road Run
WU/WD: No 
Effort Total: 60 minutes
HR Target: 138 BPM
HR Range: 129 - 148 BPM 
Flat Road Equivalent Pace: 4:39 min/km</v>
      </c>
      <c r="G248" s="1286" t="str">
        <f ca="1"/>
        <v xml:space="preserve">Improve aerobic fitness while minimising the chance of injury. </v>
      </c>
      <c r="H248" s="1301" t="str">
        <f ca="1"/>
        <v/>
      </c>
      <c r="I248" s="1303" t="str">
        <f ca="1"/>
        <v>Easy road run: 60 minutes</v>
      </c>
      <c r="J248" s="1287" t="str">
        <f ca="1"/>
        <v>Running</v>
      </c>
      <c r="K248" s="1288" t="str">
        <f ca="1"/>
        <v xml:space="preserve">Description:
Stay at a comfortable and controlled intensity where you should be able to have a conversation without large pauses. Keep an even intensity and accept that your pace may change as the terrain changes.
Details:
Sport: Road Run
WU/WD: No 
Effort Total: 60 minutes
HR Target: 138 BPM
HR Range: 129 - 148 BPM 
Flat Road Equivalent Pace: 4:39 min/km
Aim:
Improve aerobic fitness while minimising the chance of injury. </v>
      </c>
      <c r="L248" s="1287">
        <f ca="1"/>
        <v>11</v>
      </c>
      <c r="M248" s="1287">
        <f ca="1"/>
        <v>1</v>
      </c>
      <c r="N248" s="1287"/>
      <c r="O248" s="1323" t="str">
        <f ca="1"/>
        <v>2018-11-11 06:00</v>
      </c>
      <c r="P248" s="1287"/>
      <c r="Q248" s="1290" t="str">
        <f ca="1"/>
        <v>Road Run</v>
      </c>
    </row>
    <row r="249" spans="1:17" ht="27.75" hidden="1" customHeight="1" x14ac:dyDescent="0.45">
      <c r="A249" s="1289">
        <v>6</v>
      </c>
      <c r="B249" s="1285">
        <v>13</v>
      </c>
      <c r="C249" s="1285">
        <v>1.9999999999999858</v>
      </c>
      <c r="D249" s="1297">
        <v>38.000000000000014</v>
      </c>
      <c r="E249" s="1299" t="str">
        <f ca="1"/>
        <v/>
      </c>
      <c r="F249" s="1286" t="str">
        <f ca="1"/>
        <v/>
      </c>
      <c r="G249" s="1286" t="str">
        <f ca="1"/>
        <v/>
      </c>
      <c r="H249" s="1301" t="str">
        <f ca="1"/>
        <v/>
      </c>
      <c r="I249" s="1303" t="str">
        <f ca="1"/>
        <v/>
      </c>
      <c r="J249" s="1287" t="str">
        <f ca="1"/>
        <v/>
      </c>
      <c r="K249" s="1288" t="str">
        <f ca="1"/>
        <v xml:space="preserve">Description:
Details:
Aim:
</v>
      </c>
      <c r="L249" s="1287" t="str">
        <f ca="1"/>
        <v/>
      </c>
      <c r="M249" s="1287" t="str">
        <f ca="1"/>
        <v/>
      </c>
      <c r="N249" s="1287"/>
      <c r="O249" s="1323" t="str">
        <f ca="1"/>
        <v/>
      </c>
      <c r="P249" s="1287"/>
      <c r="Q249" s="1290" t="str">
        <f ca="1"/>
        <v/>
      </c>
    </row>
    <row r="250" spans="1:17" ht="27.75" hidden="1" customHeight="1" x14ac:dyDescent="0.45">
      <c r="A250" s="1289">
        <v>6</v>
      </c>
      <c r="B250" s="1285">
        <v>13</v>
      </c>
      <c r="C250" s="1285">
        <v>3.0000000000000142</v>
      </c>
      <c r="D250" s="1297">
        <v>39.000000000000014</v>
      </c>
      <c r="E250" s="1299" t="str">
        <f ca="1"/>
        <v/>
      </c>
      <c r="F250" s="1286" t="str">
        <f ca="1"/>
        <v/>
      </c>
      <c r="G250" s="1286" t="str">
        <f ca="1"/>
        <v/>
      </c>
      <c r="H250" s="1301" t="str">
        <f ca="1"/>
        <v/>
      </c>
      <c r="I250" s="1303" t="str">
        <f ca="1"/>
        <v/>
      </c>
      <c r="J250" s="1287" t="str">
        <f ca="1"/>
        <v/>
      </c>
      <c r="K250" s="1288" t="str">
        <f ca="1"/>
        <v xml:space="preserve">Description:
Details:
Aim:
</v>
      </c>
      <c r="L250" s="1287" t="str">
        <f ca="1"/>
        <v/>
      </c>
      <c r="M250" s="1287" t="str">
        <f ca="1"/>
        <v/>
      </c>
      <c r="N250" s="1287"/>
      <c r="O250" s="1323" t="str">
        <f ca="1"/>
        <v/>
      </c>
      <c r="P250" s="1287"/>
      <c r="Q250" s="1290" t="str">
        <f ca="1"/>
        <v/>
      </c>
    </row>
    <row r="251" spans="1:17" ht="27.75" hidden="1" customHeight="1" x14ac:dyDescent="0.45">
      <c r="A251" s="1289">
        <v>6</v>
      </c>
      <c r="B251" s="1285">
        <v>14</v>
      </c>
      <c r="C251" s="1285">
        <v>1</v>
      </c>
      <c r="D251" s="1297">
        <v>40.000000000000014</v>
      </c>
      <c r="E251" s="1299" t="str">
        <f ca="1"/>
        <v/>
      </c>
      <c r="F251" s="1286" t="str">
        <f ca="1"/>
        <v/>
      </c>
      <c r="G251" s="1286" t="str">
        <f ca="1"/>
        <v/>
      </c>
      <c r="H251" s="1301" t="str">
        <f ca="1"/>
        <v/>
      </c>
      <c r="I251" s="1303" t="str">
        <f ca="1"/>
        <v/>
      </c>
      <c r="J251" s="1287" t="str">
        <f ca="1"/>
        <v/>
      </c>
      <c r="K251" s="1288" t="str">
        <f ca="1"/>
        <v xml:space="preserve">Description:
Details:
Aim:
</v>
      </c>
      <c r="L251" s="1287" t="str">
        <f ca="1"/>
        <v/>
      </c>
      <c r="M251" s="1287" t="str">
        <f ca="1"/>
        <v/>
      </c>
      <c r="N251" s="1287"/>
      <c r="O251" s="1323" t="str">
        <f ca="1"/>
        <v/>
      </c>
      <c r="P251" s="1287"/>
      <c r="Q251" s="1290" t="str">
        <f ca="1"/>
        <v/>
      </c>
    </row>
    <row r="252" spans="1:17" ht="27.75" hidden="1" customHeight="1" x14ac:dyDescent="0.45">
      <c r="A252" s="1289">
        <v>6</v>
      </c>
      <c r="B252" s="1285">
        <v>14</v>
      </c>
      <c r="C252" s="1285">
        <v>1.9999999999999858</v>
      </c>
      <c r="D252" s="1297">
        <v>41.000000000000007</v>
      </c>
      <c r="E252" s="1299" t="str">
        <f ca="1"/>
        <v/>
      </c>
      <c r="F252" s="1286" t="str">
        <f ca="1"/>
        <v/>
      </c>
      <c r="G252" s="1286" t="str">
        <f ca="1"/>
        <v/>
      </c>
      <c r="H252" s="1301" t="str">
        <f ca="1"/>
        <v/>
      </c>
      <c r="I252" s="1303" t="str">
        <f ca="1"/>
        <v/>
      </c>
      <c r="J252" s="1287" t="str">
        <f ca="1"/>
        <v/>
      </c>
      <c r="K252" s="1288" t="str">
        <f ca="1"/>
        <v xml:space="preserve">Description:
Details:
Aim:
</v>
      </c>
      <c r="L252" s="1287" t="str">
        <f ca="1"/>
        <v/>
      </c>
      <c r="M252" s="1287" t="str">
        <f ca="1"/>
        <v/>
      </c>
      <c r="N252" s="1287"/>
      <c r="O252" s="1323" t="str">
        <f ca="1"/>
        <v/>
      </c>
      <c r="P252" s="1287"/>
      <c r="Q252" s="1290" t="str">
        <f ca="1"/>
        <v/>
      </c>
    </row>
    <row r="253" spans="1:17" ht="27.75" hidden="1" customHeight="1" x14ac:dyDescent="0.45">
      <c r="A253" s="1289">
        <v>6</v>
      </c>
      <c r="B253" s="1285">
        <v>14</v>
      </c>
      <c r="C253" s="1285">
        <v>3.0000000000000142</v>
      </c>
      <c r="D253" s="1297">
        <v>42</v>
      </c>
      <c r="E253" s="1299" t="str">
        <f ca="1"/>
        <v/>
      </c>
      <c r="F253" s="1286" t="str">
        <f ca="1"/>
        <v/>
      </c>
      <c r="G253" s="1286" t="str">
        <f ca="1"/>
        <v/>
      </c>
      <c r="H253" s="1301" t="str">
        <f ca="1"/>
        <v/>
      </c>
      <c r="I253" s="1303" t="str">
        <f ca="1"/>
        <v/>
      </c>
      <c r="J253" s="1287" t="str">
        <f ca="1"/>
        <v/>
      </c>
      <c r="K253" s="1288" t="str">
        <f ca="1"/>
        <v xml:space="preserve">Description:
Details:
Aim:
</v>
      </c>
      <c r="L253" s="1287" t="str">
        <f ca="1"/>
        <v/>
      </c>
      <c r="M253" s="1287" t="str">
        <f ca="1"/>
        <v/>
      </c>
      <c r="N253" s="1287"/>
      <c r="O253" s="1323" t="str">
        <f ca="1"/>
        <v/>
      </c>
      <c r="P253" s="1287"/>
      <c r="Q253" s="1290" t="str">
        <f ca="1"/>
        <v/>
      </c>
    </row>
    <row r="254" spans="1:17" ht="27.75" hidden="1" customHeight="1" x14ac:dyDescent="0.45">
      <c r="A254" s="1289">
        <v>7</v>
      </c>
      <c r="B254" s="1285">
        <v>1</v>
      </c>
      <c r="C254" s="1285">
        <v>1</v>
      </c>
      <c r="D254" s="1297">
        <v>1</v>
      </c>
      <c r="E254" s="1299" t="str">
        <f ca="1"/>
        <v>Stay at a comfortable and controlled intensity where you should be able to have a conversation without large pauses. Keep an even intensity and accept that your pace may change as the terrain changes.</v>
      </c>
      <c r="F254" s="1286" t="str">
        <f ca="1"/>
        <v>Sport: Ride
WU/WD: No 
Effort Total: 40 minutes
HR Target: 138 BPM
HR Range: 129 - 148 BPM 
Flat Road Equivalent Pace: 4:39 min/km</v>
      </c>
      <c r="G254" s="1286" t="str">
        <f ca="1"/>
        <v xml:space="preserve">Improve aerobic fitness while minimising the chance of injury. </v>
      </c>
      <c r="H254" s="1301" t="str">
        <f ca="1"/>
        <v/>
      </c>
      <c r="I254" s="1303" t="str">
        <f ca="1"/>
        <v>Easy ride: 40 minutes</v>
      </c>
      <c r="J254" s="1287" t="str">
        <f ca="1"/>
        <v>Cycling</v>
      </c>
      <c r="K25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54" s="1287">
        <f ca="1"/>
        <v>110</v>
      </c>
      <c r="M254" s="1287">
        <f ca="1"/>
        <v>0.66666666666666663</v>
      </c>
      <c r="N254" s="1287"/>
      <c r="O254" s="1323" t="str">
        <f ca="1"/>
        <v>2018-11-12 06:00</v>
      </c>
      <c r="P254" s="1287"/>
      <c r="Q254" s="1290" t="str">
        <f ca="1"/>
        <v>Ride</v>
      </c>
    </row>
    <row r="255" spans="1:17" ht="27.75" hidden="1" customHeight="1" x14ac:dyDescent="0.45">
      <c r="A255" s="1289">
        <v>7</v>
      </c>
      <c r="B255" s="1285">
        <v>1</v>
      </c>
      <c r="C255" s="1285">
        <v>1.9999999999999858</v>
      </c>
      <c r="D255" s="1297">
        <v>1.9999999999999964</v>
      </c>
      <c r="E255" s="1299" t="str">
        <f ca="1"/>
        <v/>
      </c>
      <c r="F255" s="1286" t="str">
        <f ca="1"/>
        <v/>
      </c>
      <c r="G255" s="1286" t="str">
        <f ca="1"/>
        <v/>
      </c>
      <c r="H255" s="1301" t="str">
        <f ca="1"/>
        <v/>
      </c>
      <c r="I255" s="1303" t="str">
        <f ca="1"/>
        <v/>
      </c>
      <c r="J255" s="1287" t="str">
        <f ca="1"/>
        <v/>
      </c>
      <c r="K255" s="1288" t="str">
        <f ca="1"/>
        <v xml:space="preserve">Description:
Details:
Aim:
</v>
      </c>
      <c r="L255" s="1287" t="str">
        <f ca="1"/>
        <v/>
      </c>
      <c r="M255" s="1287" t="str">
        <f ca="1"/>
        <v/>
      </c>
      <c r="N255" s="1287"/>
      <c r="O255" s="1323" t="str">
        <f ca="1"/>
        <v/>
      </c>
      <c r="P255" s="1287"/>
      <c r="Q255" s="1290" t="str">
        <f ca="1"/>
        <v/>
      </c>
    </row>
    <row r="256" spans="1:17" ht="27.75" hidden="1" customHeight="1" x14ac:dyDescent="0.45">
      <c r="A256" s="1289">
        <v>7</v>
      </c>
      <c r="B256" s="1285">
        <v>1</v>
      </c>
      <c r="C256" s="1285">
        <v>3.0000000000000142</v>
      </c>
      <c r="D256" s="1297">
        <v>2.9999999999999929</v>
      </c>
      <c r="E256" s="1299" t="str">
        <f ca="1"/>
        <v/>
      </c>
      <c r="F256" s="1286" t="str">
        <f ca="1"/>
        <v/>
      </c>
      <c r="G256" s="1286" t="str">
        <f ca="1"/>
        <v/>
      </c>
      <c r="H256" s="1301" t="str">
        <f ca="1"/>
        <v/>
      </c>
      <c r="I256" s="1303" t="str">
        <f ca="1"/>
        <v/>
      </c>
      <c r="J256" s="1287" t="str">
        <f ca="1"/>
        <v/>
      </c>
      <c r="K256" s="1288" t="str">
        <f ca="1"/>
        <v xml:space="preserve">Description:
Details:
Aim:
</v>
      </c>
      <c r="L256" s="1287" t="str">
        <f ca="1"/>
        <v/>
      </c>
      <c r="M256" s="1287" t="str">
        <f ca="1"/>
        <v/>
      </c>
      <c r="N256" s="1287"/>
      <c r="O256" s="1323" t="str">
        <f ca="1"/>
        <v/>
      </c>
      <c r="P256" s="1287"/>
      <c r="Q256" s="1290" t="str">
        <f ca="1"/>
        <v/>
      </c>
    </row>
    <row r="257" spans="1:17" ht="27.75" hidden="1" customHeight="1" x14ac:dyDescent="0.45">
      <c r="A257" s="1289">
        <v>7</v>
      </c>
      <c r="B257" s="1285">
        <v>1</v>
      </c>
      <c r="C257" s="1285">
        <v>1</v>
      </c>
      <c r="D257" s="1297">
        <v>3.9999999999999893</v>
      </c>
      <c r="E257" s="1299" t="str">
        <f ca="1"/>
        <v>Stay at a comfortable and controlled intensity where you should be able to have a conversation without large pauses. Keep an even intensity and accept that your pace may change as the terrain changes.</v>
      </c>
      <c r="F257" s="1286" t="str">
        <f ca="1"/>
        <v>Sport: Ride
WU/WD: No 
Effort Total: 30 minutes
HR Target: 138 BPM
HR Range: 129 - 148 BPM 
Flat Road Equivalent Pace: 4:39 min/km</v>
      </c>
      <c r="G257" s="1286" t="str">
        <f ca="1"/>
        <v xml:space="preserve">Improve aerobic fitness while minimising the chance of injury. </v>
      </c>
      <c r="H257" s="1301" t="str">
        <f ca="1"/>
        <v/>
      </c>
      <c r="I257" s="1303" t="str">
        <f ca="1"/>
        <v>Strength and conditioning</v>
      </c>
      <c r="J257" s="1287" t="str">
        <f ca="1"/>
        <v>Cycling</v>
      </c>
      <c r="K257"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57" s="1287">
        <f ca="1"/>
        <v>110</v>
      </c>
      <c r="M257" s="1287">
        <f ca="1"/>
        <v>0.5</v>
      </c>
      <c r="N257" s="1287"/>
      <c r="O257" s="1323" t="str">
        <f ca="1"/>
        <v>2018-11-12 06:00</v>
      </c>
      <c r="P257" s="1287"/>
      <c r="Q257" s="1290" t="str">
        <f ca="1"/>
        <v>Ride</v>
      </c>
    </row>
    <row r="258" spans="1:17" ht="27.75" hidden="1" customHeight="1" x14ac:dyDescent="0.45">
      <c r="A258" s="1289">
        <v>7</v>
      </c>
      <c r="B258" s="1285">
        <v>2</v>
      </c>
      <c r="C258" s="1285">
        <v>1.9999999999999858</v>
      </c>
      <c r="D258" s="1297">
        <v>4.9999999999999858</v>
      </c>
      <c r="E258" s="1299" t="str">
        <f ca="1"/>
        <v>Use a hands, rollers, or balls on all major muscle groups with extra time on more sensitive or problematic areas or as guided by a coach or physio. Finish with 20 minutes of lower-limb stretching.</v>
      </c>
      <c r="F258" s="1286" t="str">
        <f ca="1"/>
        <v>Sport: Indoor
WU/WD: No 
Effort Total: 30 minutes
HR Target: N/A BPM
HR Range: N/A BPM 
Flat Road Equivalent Pace:  min/km</v>
      </c>
      <c r="G258" s="1286" t="str">
        <f ca="1"/>
        <v xml:space="preserve">Release tension that develops in soft tissue from training and non-training stresses. </v>
      </c>
      <c r="H258" s="1301" t="str">
        <f ca="1"/>
        <v/>
      </c>
      <c r="I258" s="1303" t="str">
        <f ca="1"/>
        <v>Maintenance</v>
      </c>
      <c r="J258" s="1287" t="str">
        <f ca="1"/>
        <v>Strength</v>
      </c>
      <c r="K258"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58" s="1287">
        <f ca="1"/>
        <v>76</v>
      </c>
      <c r="M258" s="1287">
        <f ca="1"/>
        <v>0.5</v>
      </c>
      <c r="N258" s="1287"/>
      <c r="O258" s="1323" t="str">
        <f ca="1"/>
        <v>2018-11-12 20:00</v>
      </c>
      <c r="P258" s="1287"/>
      <c r="Q258" s="1290" t="str">
        <f ca="1"/>
        <v>Indoor</v>
      </c>
    </row>
    <row r="259" spans="1:17" ht="27.75" hidden="1" customHeight="1" x14ac:dyDescent="0.45">
      <c r="A259" s="1289">
        <v>7</v>
      </c>
      <c r="B259" s="1285">
        <v>2</v>
      </c>
      <c r="C259" s="1285">
        <v>3.0000000000000142</v>
      </c>
      <c r="D259" s="1297">
        <v>5.9999999999999822</v>
      </c>
      <c r="E259" s="1299" t="str">
        <f ca="1"/>
        <v/>
      </c>
      <c r="F259" s="1286" t="str">
        <f ca="1"/>
        <v/>
      </c>
      <c r="G259" s="1286" t="str">
        <f ca="1"/>
        <v/>
      </c>
      <c r="H259" s="1301" t="str">
        <f ca="1"/>
        <v/>
      </c>
      <c r="I259" s="1303" t="str">
        <f ca="1"/>
        <v/>
      </c>
      <c r="J259" s="1287" t="str">
        <f ca="1"/>
        <v/>
      </c>
      <c r="K259" s="1288" t="str">
        <f ca="1"/>
        <v xml:space="preserve">Description:
Details:
Aim:
</v>
      </c>
      <c r="L259" s="1287" t="str">
        <f ca="1"/>
        <v/>
      </c>
      <c r="M259" s="1287" t="str">
        <f ca="1"/>
        <v/>
      </c>
      <c r="N259" s="1287"/>
      <c r="O259" s="1323" t="str">
        <f ca="1"/>
        <v/>
      </c>
      <c r="P259" s="1287"/>
      <c r="Q259" s="1290" t="str">
        <f ca="1"/>
        <v/>
      </c>
    </row>
    <row r="260" spans="1:17" ht="27.75" hidden="1" customHeight="1" x14ac:dyDescent="0.45">
      <c r="A260" s="1289">
        <v>7</v>
      </c>
      <c r="B260" s="1285">
        <v>3</v>
      </c>
      <c r="C260" s="1285">
        <v>1</v>
      </c>
      <c r="D260" s="1297">
        <v>7.000000000000016</v>
      </c>
      <c r="E260" s="1299" t="str">
        <f ca="1"/>
        <v>Stay at a comfortable and controlled intensity where you should be able to have a conversation without large pauses. Keep an even intensity and accept that your pace may change as the terrain changes.</v>
      </c>
      <c r="F260" s="1286" t="str">
        <f ca="1"/>
        <v>Sport: Ride
WU/WD: No 
Effort Total: 40 minutes
HR Target: 138 BPM
HR Range: 129 - 148 BPM 
Flat Road Equivalent Pace: 4:39 min/km</v>
      </c>
      <c r="G260" s="1286" t="str">
        <f ca="1"/>
        <v xml:space="preserve">Improve aerobic fitness while minimising the chance of injury. </v>
      </c>
      <c r="H260" s="1301" t="str">
        <f ca="1"/>
        <v/>
      </c>
      <c r="I260" s="1303" t="str">
        <f ca="1"/>
        <v>Easy ride: 40 minutes</v>
      </c>
      <c r="J260" s="1287" t="str">
        <f ca="1"/>
        <v>Cycling</v>
      </c>
      <c r="K26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60" s="1287">
        <f ca="1"/>
        <v>110</v>
      </c>
      <c r="M260" s="1287">
        <f ca="1"/>
        <v>0.66666666666666663</v>
      </c>
      <c r="N260" s="1287"/>
      <c r="O260" s="1323" t="str">
        <f ca="1"/>
        <v>2018-11-13 06:00</v>
      </c>
      <c r="P260" s="1287"/>
      <c r="Q260" s="1290" t="str">
        <f ca="1"/>
        <v>Ride</v>
      </c>
    </row>
    <row r="261" spans="1:17" ht="27.75" hidden="1" customHeight="1" x14ac:dyDescent="0.45">
      <c r="A261" s="1289">
        <v>7</v>
      </c>
      <c r="B261" s="1285">
        <v>3</v>
      </c>
      <c r="C261" s="1285">
        <v>1.9999999999999858</v>
      </c>
      <c r="D261" s="1297">
        <v>8.0000000000000124</v>
      </c>
      <c r="E261" s="1299" t="str">
        <f ca="1"/>
        <v/>
      </c>
      <c r="F261" s="1286" t="str">
        <f ca="1"/>
        <v/>
      </c>
      <c r="G261" s="1286" t="str">
        <f ca="1"/>
        <v/>
      </c>
      <c r="H261" s="1301" t="str">
        <f ca="1"/>
        <v/>
      </c>
      <c r="I261" s="1303" t="str">
        <f ca="1"/>
        <v/>
      </c>
      <c r="J261" s="1287" t="str">
        <f ca="1"/>
        <v/>
      </c>
      <c r="K261" s="1288" t="str">
        <f ca="1"/>
        <v xml:space="preserve">Description:
Details:
Aim:
</v>
      </c>
      <c r="L261" s="1287" t="str">
        <f ca="1"/>
        <v/>
      </c>
      <c r="M261" s="1287" t="str">
        <f ca="1"/>
        <v/>
      </c>
      <c r="N261" s="1287"/>
      <c r="O261" s="1323" t="str">
        <f ca="1"/>
        <v/>
      </c>
      <c r="P261" s="1287"/>
      <c r="Q261" s="1290" t="str">
        <f ca="1"/>
        <v/>
      </c>
    </row>
    <row r="262" spans="1:17" ht="27.75" hidden="1" customHeight="1" x14ac:dyDescent="0.45">
      <c r="A262" s="1289">
        <v>7</v>
      </c>
      <c r="B262" s="1285">
        <v>3</v>
      </c>
      <c r="C262" s="1285">
        <v>3.0000000000000142</v>
      </c>
      <c r="D262" s="1297">
        <v>9.0000000000000089</v>
      </c>
      <c r="E262" s="1299" t="str">
        <f ca="1"/>
        <v/>
      </c>
      <c r="F262" s="1286" t="str">
        <f ca="1"/>
        <v/>
      </c>
      <c r="G262" s="1286" t="str">
        <f ca="1"/>
        <v/>
      </c>
      <c r="H262" s="1301" t="str">
        <f ca="1"/>
        <v/>
      </c>
      <c r="I262" s="1303" t="str">
        <f ca="1"/>
        <v/>
      </c>
      <c r="J262" s="1287" t="str">
        <f ca="1"/>
        <v/>
      </c>
      <c r="K262" s="1288" t="str">
        <f ca="1"/>
        <v xml:space="preserve">Description:
Details:
Aim:
</v>
      </c>
      <c r="L262" s="1287" t="str">
        <f ca="1"/>
        <v/>
      </c>
      <c r="M262" s="1287" t="str">
        <f ca="1"/>
        <v/>
      </c>
      <c r="N262" s="1287"/>
      <c r="O262" s="1323" t="str">
        <f ca="1"/>
        <v/>
      </c>
      <c r="P262" s="1287"/>
      <c r="Q262" s="1290" t="str">
        <f ca="1"/>
        <v/>
      </c>
    </row>
    <row r="263" spans="1:17" ht="27.75" hidden="1" customHeight="1" x14ac:dyDescent="0.45">
      <c r="A263" s="1289">
        <v>7</v>
      </c>
      <c r="B263" s="1285">
        <v>4</v>
      </c>
      <c r="C263" s="1285">
        <v>1</v>
      </c>
      <c r="D263" s="1297">
        <v>10.000000000000005</v>
      </c>
      <c r="E263" s="1299" t="str">
        <f ca="1"/>
        <v>Accelerate to a fast pace which you should be able to hold for 50 minutes in a race situation. This will take concentration, but it's important to keep the intensity even, so do not start too hard. Warm up and warm down for 10 minutes each.</v>
      </c>
      <c r="F263" s="1286" t="str">
        <f ca="1"/>
        <v>Sport: Hilly Trail Run
WU/WD: 15 minutes 
Effort Total: 25 minutes
HR Target: 177 BPM
HR Range: 173 - 180 BPM 
Flat Road Equivalent Pace: 3:21 min/km</v>
      </c>
      <c r="G263" s="1286" t="str">
        <f ca="1"/>
        <v xml:space="preserve">Improve endurance by increasing lactate threshold and developing mental toughness. </v>
      </c>
      <c r="H263" s="1301" t="str">
        <f ca="1"/>
        <v/>
      </c>
      <c r="I263" s="1303" t="str">
        <f ca="1"/>
        <v>Hilly tempo hilly trail run: 25 minutes + WU/WD</v>
      </c>
      <c r="J263" s="1287" t="str">
        <f ca="1"/>
        <v>Trail Running</v>
      </c>
      <c r="K263"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263" s="1287">
        <f ca="1"/>
        <v>23</v>
      </c>
      <c r="M263" s="1287">
        <f ca="1"/>
        <v>0.41666666666666669</v>
      </c>
      <c r="N263" s="1287"/>
      <c r="O263" s="1323" t="str">
        <f ca="1"/>
        <v>2018-11-13 18:00</v>
      </c>
      <c r="P263" s="1287"/>
      <c r="Q263" s="1290" t="str">
        <f ca="1"/>
        <v>Hilly Trail Run</v>
      </c>
    </row>
    <row r="264" spans="1:17" ht="27.75" hidden="1" customHeight="1" x14ac:dyDescent="0.45">
      <c r="A264" s="1289">
        <v>7</v>
      </c>
      <c r="B264" s="1285">
        <v>4</v>
      </c>
      <c r="C264" s="1285">
        <v>1.9999999999999858</v>
      </c>
      <c r="D264" s="1297">
        <v>11.000000000000002</v>
      </c>
      <c r="E264" s="1299" t="str">
        <f ca="1"/>
        <v/>
      </c>
      <c r="F264" s="1286" t="str">
        <f ca="1"/>
        <v/>
      </c>
      <c r="G264" s="1286" t="str">
        <f ca="1"/>
        <v/>
      </c>
      <c r="H264" s="1301" t="str">
        <f ca="1"/>
        <v/>
      </c>
      <c r="I264" s="1303" t="str">
        <f ca="1"/>
        <v/>
      </c>
      <c r="J264" s="1287" t="str">
        <f ca="1"/>
        <v/>
      </c>
      <c r="K264" s="1288" t="str">
        <f ca="1"/>
        <v xml:space="preserve">Description:
Details:
Aim:
</v>
      </c>
      <c r="L264" s="1287" t="str">
        <f ca="1"/>
        <v/>
      </c>
      <c r="M264" s="1287" t="str">
        <f ca="1"/>
        <v/>
      </c>
      <c r="N264" s="1287"/>
      <c r="O264" s="1323" t="str">
        <f ca="1"/>
        <v/>
      </c>
      <c r="P264" s="1287"/>
      <c r="Q264" s="1290" t="str">
        <f ca="1"/>
        <v/>
      </c>
    </row>
    <row r="265" spans="1:17" ht="27.75" hidden="1" customHeight="1" x14ac:dyDescent="0.45">
      <c r="A265" s="1289">
        <v>7</v>
      </c>
      <c r="B265" s="1285">
        <v>4</v>
      </c>
      <c r="C265" s="1285">
        <v>3.0000000000000142</v>
      </c>
      <c r="D265" s="1297">
        <v>11.999999999999998</v>
      </c>
      <c r="E265" s="1299" t="str">
        <f ca="1"/>
        <v/>
      </c>
      <c r="F265" s="1286" t="str">
        <f ca="1"/>
        <v/>
      </c>
      <c r="G265" s="1286" t="str">
        <f ca="1"/>
        <v/>
      </c>
      <c r="H265" s="1301" t="str">
        <f ca="1"/>
        <v/>
      </c>
      <c r="I265" s="1303" t="str">
        <f ca="1"/>
        <v/>
      </c>
      <c r="J265" s="1287" t="str">
        <f ca="1"/>
        <v/>
      </c>
      <c r="K265" s="1288" t="str">
        <f ca="1"/>
        <v xml:space="preserve">Description:
Details:
Aim:
</v>
      </c>
      <c r="L265" s="1287" t="str">
        <f ca="1"/>
        <v/>
      </c>
      <c r="M265" s="1287" t="str">
        <f ca="1"/>
        <v/>
      </c>
      <c r="N265" s="1287"/>
      <c r="O265" s="1323" t="str">
        <f ca="1"/>
        <v/>
      </c>
      <c r="P265" s="1287"/>
      <c r="Q265" s="1290" t="str">
        <f ca="1"/>
        <v/>
      </c>
    </row>
    <row r="266" spans="1:17" ht="27.75" hidden="1" customHeight="1" x14ac:dyDescent="0.45">
      <c r="A266" s="1289">
        <v>7</v>
      </c>
      <c r="B266" s="1285">
        <v>5</v>
      </c>
      <c r="C266" s="1285">
        <v>1</v>
      </c>
      <c r="D266" s="1297">
        <v>12.999999999999995</v>
      </c>
      <c r="E266" s="1299" t="str">
        <f ca="1"/>
        <v/>
      </c>
      <c r="F266" s="1286" t="str">
        <f ca="1"/>
        <v/>
      </c>
      <c r="G266" s="1286" t="str">
        <f ca="1"/>
        <v/>
      </c>
      <c r="H266" s="1301" t="str">
        <f ca="1"/>
        <v/>
      </c>
      <c r="I266" s="1303" t="str">
        <f ca="1"/>
        <v/>
      </c>
      <c r="J266" s="1287" t="str">
        <f ca="1"/>
        <v/>
      </c>
      <c r="K266" s="1288" t="str">
        <f ca="1"/>
        <v xml:space="preserve">Description:
Details:
Aim:
</v>
      </c>
      <c r="L266" s="1287" t="str">
        <f ca="1"/>
        <v/>
      </c>
      <c r="M266" s="1287" t="str">
        <f ca="1"/>
        <v/>
      </c>
      <c r="N266" s="1287"/>
      <c r="O266" s="1323" t="str">
        <f ca="1"/>
        <v/>
      </c>
      <c r="P266" s="1287"/>
      <c r="Q266" s="1290" t="str">
        <f ca="1"/>
        <v/>
      </c>
    </row>
    <row r="267" spans="1:17" ht="27.75" hidden="1" customHeight="1" x14ac:dyDescent="0.45">
      <c r="A267" s="1289">
        <v>7</v>
      </c>
      <c r="B267" s="1285">
        <v>5</v>
      </c>
      <c r="C267" s="1285">
        <v>1.9999999999999858</v>
      </c>
      <c r="D267" s="1297">
        <v>13.999999999999991</v>
      </c>
      <c r="E267" s="1299" t="str">
        <f ca="1"/>
        <v/>
      </c>
      <c r="F267" s="1286" t="str">
        <f ca="1"/>
        <v/>
      </c>
      <c r="G267" s="1286" t="str">
        <f ca="1"/>
        <v/>
      </c>
      <c r="H267" s="1301" t="str">
        <f ca="1"/>
        <v/>
      </c>
      <c r="I267" s="1303" t="str">
        <f ca="1"/>
        <v/>
      </c>
      <c r="J267" s="1287" t="str">
        <f ca="1"/>
        <v/>
      </c>
      <c r="K267" s="1288" t="str">
        <f ca="1"/>
        <v xml:space="preserve">Description:
Details:
Aim:
</v>
      </c>
      <c r="L267" s="1287" t="str">
        <f ca="1"/>
        <v/>
      </c>
      <c r="M267" s="1287" t="str">
        <f ca="1"/>
        <v/>
      </c>
      <c r="N267" s="1287"/>
      <c r="O267" s="1323" t="str">
        <f ca="1"/>
        <v/>
      </c>
      <c r="P267" s="1287"/>
      <c r="Q267" s="1290" t="str">
        <f ca="1"/>
        <v/>
      </c>
    </row>
    <row r="268" spans="1:17" ht="27.75" hidden="1" customHeight="1" x14ac:dyDescent="0.45">
      <c r="A268" s="1289">
        <v>7</v>
      </c>
      <c r="B268" s="1285">
        <v>5</v>
      </c>
      <c r="C268" s="1285">
        <v>3.0000000000000142</v>
      </c>
      <c r="D268" s="1297">
        <v>14.999999999999988</v>
      </c>
      <c r="E268" s="1299" t="str">
        <f ca="1"/>
        <v/>
      </c>
      <c r="F268" s="1286" t="str">
        <f ca="1"/>
        <v/>
      </c>
      <c r="G268" s="1286" t="str">
        <f ca="1"/>
        <v/>
      </c>
      <c r="H268" s="1301" t="str">
        <f ca="1"/>
        <v/>
      </c>
      <c r="I268" s="1303" t="str">
        <f ca="1"/>
        <v/>
      </c>
      <c r="J268" s="1287" t="str">
        <f ca="1"/>
        <v/>
      </c>
      <c r="K268" s="1288" t="str">
        <f ca="1"/>
        <v xml:space="preserve">Description:
Details:
Aim:
</v>
      </c>
      <c r="L268" s="1287" t="str">
        <f ca="1"/>
        <v/>
      </c>
      <c r="M268" s="1287" t="str">
        <f ca="1"/>
        <v/>
      </c>
      <c r="N268" s="1287"/>
      <c r="O268" s="1323" t="str">
        <f ca="1"/>
        <v/>
      </c>
      <c r="P268" s="1287"/>
      <c r="Q268" s="1290" t="str">
        <f ca="1"/>
        <v/>
      </c>
    </row>
    <row r="269" spans="1:17" ht="27.75" hidden="1" customHeight="1" x14ac:dyDescent="0.45">
      <c r="A269" s="1289">
        <v>7</v>
      </c>
      <c r="B269" s="1285">
        <v>5</v>
      </c>
      <c r="C269" s="1285">
        <v>1</v>
      </c>
      <c r="D269" s="1297">
        <v>15.999999999999984</v>
      </c>
      <c r="E269" s="1299" t="str">
        <f ca="1"/>
        <v>Rest from continuous exercise.</v>
      </c>
      <c r="F269" s="1286" t="str">
        <f ca="1"/>
        <v>Sport: Run
WU/WD: No 
Effort Total: 60 minutes
HR Target: N/A BPM
HR Range: N/A BPM 
Flat Road Equivalent Pace:  min/km</v>
      </c>
      <c r="G269" s="1286" t="str">
        <f ca="1"/>
        <v xml:space="preserve">Allow safest recovery of the whole body. </v>
      </c>
      <c r="H269" s="1301" t="str">
        <f ca="1"/>
        <v/>
      </c>
      <c r="I269" s="1303" t="str">
        <f ca="1"/>
        <v>Easy road ride: 60 minutes</v>
      </c>
      <c r="J269" s="1287" t="str">
        <f ca="1"/>
        <v>Running</v>
      </c>
      <c r="K269" s="1288" t="str">
        <f ca="1"/>
        <v xml:space="preserve">Description:
Rest from continuous exercise.
Details:
Sport: Run
WU/WD: No 
Effort Total: 60 minutes
HR Target: N/A BPM
HR Range: N/A BPM 
Flat Road Equivalent Pace:  min/km
Aim:
Allow safest recovery of the whole body. </v>
      </c>
      <c r="L269" s="1287">
        <f ca="1"/>
        <v>0</v>
      </c>
      <c r="M269" s="1287">
        <f ca="1"/>
        <v>1</v>
      </c>
      <c r="N269" s="1287"/>
      <c r="O269" s="1323" t="str">
        <f ca="1"/>
        <v>2018-11-14 06:00</v>
      </c>
      <c r="P269" s="1287"/>
      <c r="Q269" s="1290" t="str">
        <f ca="1"/>
        <v>Run</v>
      </c>
    </row>
    <row r="270" spans="1:17" ht="27.75" hidden="1" customHeight="1" x14ac:dyDescent="0.45">
      <c r="A270" s="1289">
        <v>7</v>
      </c>
      <c r="B270" s="1285">
        <v>6</v>
      </c>
      <c r="C270" s="1285">
        <v>1.9999999999999858</v>
      </c>
      <c r="D270" s="1297">
        <v>17.000000000000018</v>
      </c>
      <c r="E270" s="1299" t="str">
        <f ca="1"/>
        <v/>
      </c>
      <c r="F270" s="1286" t="str">
        <f ca="1"/>
        <v/>
      </c>
      <c r="G270" s="1286" t="str">
        <f ca="1"/>
        <v/>
      </c>
      <c r="H270" s="1301" t="str">
        <f ca="1"/>
        <v/>
      </c>
      <c r="I270" s="1303" t="str">
        <f ca="1"/>
        <v/>
      </c>
      <c r="J270" s="1287" t="str">
        <f ca="1"/>
        <v/>
      </c>
      <c r="K270" s="1288" t="str">
        <f ca="1"/>
        <v xml:space="preserve">Description:
Details:
Aim:
</v>
      </c>
      <c r="L270" s="1287" t="str">
        <f ca="1"/>
        <v/>
      </c>
      <c r="M270" s="1287" t="str">
        <f ca="1"/>
        <v/>
      </c>
      <c r="N270" s="1287"/>
      <c r="O270" s="1323" t="str">
        <f ca="1"/>
        <v/>
      </c>
      <c r="P270" s="1287"/>
      <c r="Q270" s="1290" t="str">
        <f ca="1"/>
        <v/>
      </c>
    </row>
    <row r="271" spans="1:17" ht="27.75" hidden="1" customHeight="1" x14ac:dyDescent="0.45">
      <c r="A271" s="1289">
        <v>7</v>
      </c>
      <c r="B271" s="1285">
        <v>6</v>
      </c>
      <c r="C271" s="1285">
        <v>3.0000000000000142</v>
      </c>
      <c r="D271" s="1297">
        <v>18.000000000000014</v>
      </c>
      <c r="E271" s="1299" t="str">
        <f ca="1"/>
        <v/>
      </c>
      <c r="F271" s="1286" t="str">
        <f ca="1"/>
        <v/>
      </c>
      <c r="G271" s="1286" t="str">
        <f ca="1"/>
        <v/>
      </c>
      <c r="H271" s="1301" t="str">
        <f ca="1"/>
        <v/>
      </c>
      <c r="I271" s="1303" t="str">
        <f ca="1"/>
        <v/>
      </c>
      <c r="J271" s="1287" t="str">
        <f ca="1"/>
        <v/>
      </c>
      <c r="K271" s="1288" t="str">
        <f ca="1"/>
        <v xml:space="preserve">Description:
Details:
Aim:
</v>
      </c>
      <c r="L271" s="1287" t="str">
        <f ca="1"/>
        <v/>
      </c>
      <c r="M271" s="1287" t="str">
        <f ca="1"/>
        <v/>
      </c>
      <c r="N271" s="1287"/>
      <c r="O271" s="1323" t="str">
        <f ca="1"/>
        <v/>
      </c>
      <c r="P271" s="1287"/>
      <c r="Q271" s="1290" t="str">
        <f ca="1"/>
        <v/>
      </c>
    </row>
    <row r="272" spans="1:17" ht="27.75" hidden="1" customHeight="1" x14ac:dyDescent="0.45">
      <c r="A272" s="1289">
        <v>7</v>
      </c>
      <c r="B272" s="1285">
        <v>7</v>
      </c>
      <c r="C272" s="1285">
        <v>1</v>
      </c>
      <c r="D272" s="1297">
        <v>19.000000000000011</v>
      </c>
      <c r="E272" s="1299" t="str">
        <f ca="1"/>
        <v/>
      </c>
      <c r="F272" s="1286" t="str">
        <f ca="1"/>
        <v/>
      </c>
      <c r="G272" s="1286" t="str">
        <f ca="1"/>
        <v/>
      </c>
      <c r="H272" s="1301" t="str">
        <f ca="1"/>
        <v/>
      </c>
      <c r="I272" s="1303" t="str">
        <f ca="1"/>
        <v/>
      </c>
      <c r="J272" s="1287" t="str">
        <f ca="1"/>
        <v/>
      </c>
      <c r="K272" s="1288" t="str">
        <f ca="1"/>
        <v xml:space="preserve">Description:
Details:
Aim:
</v>
      </c>
      <c r="L272" s="1287" t="str">
        <f ca="1"/>
        <v/>
      </c>
      <c r="M272" s="1287" t="str">
        <f ca="1"/>
        <v/>
      </c>
      <c r="N272" s="1287"/>
      <c r="O272" s="1323" t="str">
        <f ca="1"/>
        <v/>
      </c>
      <c r="P272" s="1287"/>
      <c r="Q272" s="1290" t="str">
        <f ca="1"/>
        <v/>
      </c>
    </row>
    <row r="273" spans="1:17" ht="27.75" hidden="1" customHeight="1" x14ac:dyDescent="0.45">
      <c r="A273" s="1289">
        <v>7</v>
      </c>
      <c r="B273" s="1285">
        <v>7</v>
      </c>
      <c r="C273" s="1285">
        <v>1.9999999999999858</v>
      </c>
      <c r="D273" s="1297">
        <v>20.000000000000007</v>
      </c>
      <c r="E273" s="1299" t="str">
        <f ca="1"/>
        <v/>
      </c>
      <c r="F273" s="1286" t="str">
        <f ca="1"/>
        <v/>
      </c>
      <c r="G273" s="1286" t="str">
        <f ca="1"/>
        <v/>
      </c>
      <c r="H273" s="1301" t="str">
        <f ca="1"/>
        <v/>
      </c>
      <c r="I273" s="1303" t="str">
        <f ca="1"/>
        <v/>
      </c>
      <c r="J273" s="1287" t="str">
        <f ca="1"/>
        <v/>
      </c>
      <c r="K273" s="1288" t="str">
        <f ca="1"/>
        <v xml:space="preserve">Description:
Details:
Aim:
</v>
      </c>
      <c r="L273" s="1287" t="str">
        <f ca="1"/>
        <v/>
      </c>
      <c r="M273" s="1287" t="str">
        <f ca="1"/>
        <v/>
      </c>
      <c r="N273" s="1287"/>
      <c r="O273" s="1323" t="str">
        <f ca="1"/>
        <v/>
      </c>
      <c r="P273" s="1287"/>
      <c r="Q273" s="1290" t="str">
        <f ca="1"/>
        <v/>
      </c>
    </row>
    <row r="274" spans="1:17" ht="27.75" hidden="1" customHeight="1" x14ac:dyDescent="0.45">
      <c r="A274" s="1289">
        <v>7</v>
      </c>
      <c r="B274" s="1285">
        <v>7</v>
      </c>
      <c r="C274" s="1285">
        <v>3.0000000000000142</v>
      </c>
      <c r="D274" s="1297">
        <v>21.000000000000004</v>
      </c>
      <c r="E274" s="1299" t="str">
        <f ca="1"/>
        <v/>
      </c>
      <c r="F274" s="1286" t="str">
        <f ca="1"/>
        <v/>
      </c>
      <c r="G274" s="1286" t="str">
        <f ca="1"/>
        <v/>
      </c>
      <c r="H274" s="1301" t="str">
        <f ca="1"/>
        <v/>
      </c>
      <c r="I274" s="1303" t="str">
        <f ca="1"/>
        <v/>
      </c>
      <c r="J274" s="1287" t="str">
        <f ca="1"/>
        <v/>
      </c>
      <c r="K274" s="1288" t="str">
        <f ca="1"/>
        <v xml:space="preserve">Description:
Details:
Aim:
</v>
      </c>
      <c r="L274" s="1287" t="str">
        <f ca="1"/>
        <v/>
      </c>
      <c r="M274" s="1287" t="str">
        <f ca="1"/>
        <v/>
      </c>
      <c r="N274" s="1287"/>
      <c r="O274" s="1323" t="str">
        <f ca="1"/>
        <v/>
      </c>
      <c r="P274" s="1287"/>
      <c r="Q274" s="1290" t="str">
        <f ca="1"/>
        <v/>
      </c>
    </row>
    <row r="275" spans="1:17" ht="27.75" hidden="1" customHeight="1" x14ac:dyDescent="0.45">
      <c r="A275" s="1289">
        <v>7</v>
      </c>
      <c r="B275" s="1285">
        <v>8</v>
      </c>
      <c r="C275" s="1285">
        <v>1</v>
      </c>
      <c r="D275" s="1297">
        <v>22</v>
      </c>
      <c r="E275" s="1299" t="str">
        <f ca="1"/>
        <v>Stay at a comfortable and controlled intensity where you should be able to have a conversation without large pauses. Keep an even intensity and accept that your pace may change as the terrain changes.</v>
      </c>
      <c r="F275" s="1286" t="str">
        <f ca="1"/>
        <v>Sport: Hilly Trail Run
WU/WD: No 
Effort Total: 80 minutes
HR Target: 148 BPM
HR Range: 138 - 157 BPM 
Flat Road Equivalent Pace: 4:14 min/km</v>
      </c>
      <c r="G275" s="1286" t="str">
        <f ca="1"/>
        <v>Improve aerobic fitness at an optimal rate.</v>
      </c>
      <c r="H275" s="1301" t="str">
        <f ca="1"/>
        <v/>
      </c>
      <c r="I275" s="1303" t="str">
        <f ca="1"/>
        <v>Steady hilly trail run: 80 minutes</v>
      </c>
      <c r="J275" s="1287" t="str">
        <f ca="1"/>
        <v>Trail Running</v>
      </c>
      <c r="K275"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80 minutes
HR Target: 148 BPM
HR Range: 138 - 157 BPM 
Flat Road Equivalent Pace: 4:14 min/km
Aim:
Improve aerobic fitness at an optimal rate.</v>
      </c>
      <c r="L275" s="1287">
        <f ca="1"/>
        <v>3</v>
      </c>
      <c r="M275" s="1287">
        <f ca="1"/>
        <v>1.3333333333333333</v>
      </c>
      <c r="N275" s="1287"/>
      <c r="O275" s="1323" t="str">
        <f ca="1"/>
        <v>2018-11-15 18:00</v>
      </c>
      <c r="P275" s="1287"/>
      <c r="Q275" s="1290" t="str">
        <f ca="1"/>
        <v>Hilly Trail Run</v>
      </c>
    </row>
    <row r="276" spans="1:17" ht="27.75" hidden="1" customHeight="1" x14ac:dyDescent="0.45">
      <c r="A276" s="1289">
        <v>7</v>
      </c>
      <c r="B276" s="1285">
        <v>8</v>
      </c>
      <c r="C276" s="1285">
        <v>1.9999999999999858</v>
      </c>
      <c r="D276" s="1297">
        <v>22.999999999999996</v>
      </c>
      <c r="E276" s="1299" t="str">
        <f ca="1"/>
        <v/>
      </c>
      <c r="F276" s="1286" t="str">
        <f ca="1"/>
        <v/>
      </c>
      <c r="G276" s="1286" t="str">
        <f ca="1"/>
        <v/>
      </c>
      <c r="H276" s="1301" t="str">
        <f ca="1"/>
        <v/>
      </c>
      <c r="I276" s="1303" t="str">
        <f ca="1"/>
        <v/>
      </c>
      <c r="J276" s="1287" t="str">
        <f ca="1"/>
        <v/>
      </c>
      <c r="K276" s="1288" t="str">
        <f ca="1"/>
        <v xml:space="preserve">Description:
Details:
Aim:
</v>
      </c>
      <c r="L276" s="1287" t="str">
        <f ca="1"/>
        <v/>
      </c>
      <c r="M276" s="1287" t="str">
        <f ca="1"/>
        <v/>
      </c>
      <c r="N276" s="1287"/>
      <c r="O276" s="1323" t="str">
        <f ca="1"/>
        <v/>
      </c>
      <c r="P276" s="1287"/>
      <c r="Q276" s="1290" t="str">
        <f ca="1"/>
        <v/>
      </c>
    </row>
    <row r="277" spans="1:17" ht="27.75" hidden="1" customHeight="1" x14ac:dyDescent="0.45">
      <c r="A277" s="1289">
        <v>7</v>
      </c>
      <c r="B277" s="1285">
        <v>8</v>
      </c>
      <c r="C277" s="1285">
        <v>3.0000000000000142</v>
      </c>
      <c r="D277" s="1297">
        <v>23.999999999999993</v>
      </c>
      <c r="E277" s="1299" t="str">
        <f ca="1"/>
        <v/>
      </c>
      <c r="F277" s="1286" t="str">
        <f ca="1"/>
        <v/>
      </c>
      <c r="G277" s="1286" t="str">
        <f ca="1"/>
        <v/>
      </c>
      <c r="H277" s="1301" t="str">
        <f ca="1"/>
        <v/>
      </c>
      <c r="I277" s="1303" t="str">
        <f ca="1"/>
        <v/>
      </c>
      <c r="J277" s="1287" t="str">
        <f ca="1"/>
        <v/>
      </c>
      <c r="K277" s="1288" t="str">
        <f ca="1"/>
        <v xml:space="preserve">Description:
Details:
Aim:
</v>
      </c>
      <c r="L277" s="1287" t="str">
        <f ca="1"/>
        <v/>
      </c>
      <c r="M277" s="1287" t="str">
        <f ca="1"/>
        <v/>
      </c>
      <c r="N277" s="1287"/>
      <c r="O277" s="1323" t="str">
        <f ca="1"/>
        <v/>
      </c>
      <c r="P277" s="1287"/>
      <c r="Q277" s="1290" t="str">
        <f ca="1"/>
        <v/>
      </c>
    </row>
    <row r="278" spans="1:17" ht="27.75" hidden="1" customHeight="1" x14ac:dyDescent="0.45">
      <c r="A278" s="1289">
        <v>7</v>
      </c>
      <c r="B278" s="1285">
        <v>9</v>
      </c>
      <c r="C278" s="1285">
        <v>1</v>
      </c>
      <c r="D278" s="1297">
        <v>24.999999999999989</v>
      </c>
      <c r="E278" s="1299" t="str">
        <f ca="1"/>
        <v>Stay at a comfortable and controlled intensity where you should be able to have a conversation without large pauses. Keep an even intensity and accept that your pace may change as the terrain changes.</v>
      </c>
      <c r="F278" s="1286" t="str">
        <f ca="1"/>
        <v>Sport: Ride
WU/WD: No 
Effort Total: 40 minutes
HR Target: 138 BPM
HR Range: 129 - 148 BPM 
Flat Road Equivalent Pace: 4:39 min/km</v>
      </c>
      <c r="G278" s="1286" t="str">
        <f ca="1"/>
        <v xml:space="preserve">Improve aerobic fitness while minimising the chance of injury. </v>
      </c>
      <c r="H278" s="1301" t="str">
        <f ca="1"/>
        <v/>
      </c>
      <c r="I278" s="1303" t="str">
        <f ca="1"/>
        <v>Easy ride: 40 minutes</v>
      </c>
      <c r="J278" s="1287" t="str">
        <f ca="1"/>
        <v>Cycling</v>
      </c>
      <c r="K27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78" s="1287">
        <f ca="1"/>
        <v>110</v>
      </c>
      <c r="M278" s="1287">
        <f ca="1"/>
        <v>0.66666666666666663</v>
      </c>
      <c r="N278" s="1287"/>
      <c r="O278" s="1323" t="str">
        <f ca="1"/>
        <v>2018-11-16 06:00</v>
      </c>
      <c r="P278" s="1287"/>
      <c r="Q278" s="1290" t="str">
        <f ca="1"/>
        <v>Ride</v>
      </c>
    </row>
    <row r="279" spans="1:17" ht="27.75" hidden="1" customHeight="1" x14ac:dyDescent="0.45">
      <c r="A279" s="1289">
        <v>7</v>
      </c>
      <c r="B279" s="1285">
        <v>9</v>
      </c>
      <c r="C279" s="1285">
        <v>1.9999999999999858</v>
      </c>
      <c r="D279" s="1297">
        <v>25.999999999999986</v>
      </c>
      <c r="E279" s="1299" t="str">
        <f ca="1"/>
        <v/>
      </c>
      <c r="F279" s="1286" t="str">
        <f ca="1"/>
        <v/>
      </c>
      <c r="G279" s="1286" t="str">
        <f ca="1"/>
        <v/>
      </c>
      <c r="H279" s="1301" t="str">
        <f ca="1"/>
        <v/>
      </c>
      <c r="I279" s="1303" t="str">
        <f ca="1"/>
        <v/>
      </c>
      <c r="J279" s="1287" t="str">
        <f ca="1"/>
        <v/>
      </c>
      <c r="K279" s="1288" t="str">
        <f ca="1"/>
        <v xml:space="preserve">Description:
Details:
Aim:
</v>
      </c>
      <c r="L279" s="1287" t="str">
        <f ca="1"/>
        <v/>
      </c>
      <c r="M279" s="1287" t="str">
        <f ca="1"/>
        <v/>
      </c>
      <c r="N279" s="1287"/>
      <c r="O279" s="1323" t="str">
        <f ca="1"/>
        <v/>
      </c>
      <c r="P279" s="1287"/>
      <c r="Q279" s="1290" t="str">
        <f ca="1"/>
        <v/>
      </c>
    </row>
    <row r="280" spans="1:17" ht="27.75" hidden="1" customHeight="1" x14ac:dyDescent="0.45">
      <c r="A280" s="1289">
        <v>7</v>
      </c>
      <c r="B280" s="1285">
        <v>9</v>
      </c>
      <c r="C280" s="1285">
        <v>3.0000000000000142</v>
      </c>
      <c r="D280" s="1297">
        <v>26.999999999999982</v>
      </c>
      <c r="E280" s="1299" t="str">
        <f ca="1"/>
        <v/>
      </c>
      <c r="F280" s="1286" t="str">
        <f ca="1"/>
        <v/>
      </c>
      <c r="G280" s="1286" t="str">
        <f ca="1"/>
        <v/>
      </c>
      <c r="H280" s="1301" t="str">
        <f ca="1"/>
        <v/>
      </c>
      <c r="I280" s="1303" t="str">
        <f ca="1"/>
        <v/>
      </c>
      <c r="J280" s="1287" t="str">
        <f ca="1"/>
        <v/>
      </c>
      <c r="K280" s="1288" t="str">
        <f ca="1"/>
        <v xml:space="preserve">Description:
Details:
Aim:
</v>
      </c>
      <c r="L280" s="1287" t="str">
        <f ca="1"/>
        <v/>
      </c>
      <c r="M280" s="1287" t="str">
        <f ca="1"/>
        <v/>
      </c>
      <c r="N280" s="1287"/>
      <c r="O280" s="1323" t="str">
        <f ca="1"/>
        <v/>
      </c>
      <c r="P280" s="1287"/>
      <c r="Q280" s="1290" t="str">
        <f ca="1"/>
        <v/>
      </c>
    </row>
    <row r="281" spans="1:17" ht="27.75" hidden="1" customHeight="1" x14ac:dyDescent="0.45">
      <c r="A281" s="1289">
        <v>7</v>
      </c>
      <c r="B281" s="1285">
        <v>10</v>
      </c>
      <c r="C281" s="1285">
        <v>1</v>
      </c>
      <c r="D281" s="1297">
        <v>28.000000000000014</v>
      </c>
      <c r="E281" s="1299" t="str">
        <f ca="1"/>
        <v>Perform a variety of specialised exercises to engage specific muscles. These sessions must be learned with a coach first but are relatively easy to continue with on your own. Demonstrate control and focus on posture and muscle activation.</v>
      </c>
      <c r="F281" s="1286" t="str">
        <f ca="1"/>
        <v>Sport: Indoor
WU/WD: No 
Effort Total: 30 minutes
HR Target: N/A BPM
HR Range: N/A BPM 
Flat Road Equivalent Pace:  min/km</v>
      </c>
      <c r="G281" s="1286" t="str">
        <f ca="1"/>
        <v xml:space="preserve">Increase strength of specific muscle groups, running economy and injury resistance. </v>
      </c>
      <c r="H281" s="1301" t="str">
        <f ca="1"/>
        <v/>
      </c>
      <c r="I281" s="1303" t="str">
        <f ca="1"/>
        <v>Strength and conditioning</v>
      </c>
      <c r="J281" s="1287" t="str">
        <f ca="1"/>
        <v>Strength</v>
      </c>
      <c r="K281"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281" s="1287">
        <f ca="1"/>
        <v>76</v>
      </c>
      <c r="M281" s="1287">
        <f ca="1"/>
        <v>0.5</v>
      </c>
      <c r="N281" s="1287"/>
      <c r="O281" s="1323" t="str">
        <f ca="1"/>
        <v>2018-11-16 18:00</v>
      </c>
      <c r="P281" s="1287"/>
      <c r="Q281" s="1290" t="str">
        <f ca="1"/>
        <v>Indoor</v>
      </c>
    </row>
    <row r="282" spans="1:17" ht="27.75" hidden="1" customHeight="1" x14ac:dyDescent="0.45">
      <c r="A282" s="1289">
        <v>7</v>
      </c>
      <c r="B282" s="1285">
        <v>10</v>
      </c>
      <c r="C282" s="1285">
        <v>1.9999999999999858</v>
      </c>
      <c r="D282" s="1297">
        <v>29.000000000000014</v>
      </c>
      <c r="E282" s="1299" t="str">
        <f ca="1"/>
        <v>Use a hands, rollers, or balls on all major muscle groups with extra time on more sensitive or problematic areas or as guided by a coach or physio. Finish with 20 minutes of lower-limb stretching.</v>
      </c>
      <c r="F282" s="1286" t="str">
        <f ca="1"/>
        <v>Sport: Indoor
WU/WD: No 
Effort Total: 30 minutes
HR Target: N/A BPM
HR Range: N/A BPM 
Flat Road Equivalent Pace:  min/km</v>
      </c>
      <c r="G282" s="1286" t="str">
        <f ca="1"/>
        <v xml:space="preserve">Release tension that develops in soft tissue from training and non-training stresses. </v>
      </c>
      <c r="H282" s="1301" t="str">
        <f ca="1"/>
        <v/>
      </c>
      <c r="I282" s="1303" t="str">
        <f ca="1"/>
        <v>Maintenance</v>
      </c>
      <c r="J282" s="1287" t="str">
        <f ca="1"/>
        <v>Strength</v>
      </c>
      <c r="K282"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282" s="1287">
        <f ca="1"/>
        <v>76</v>
      </c>
      <c r="M282" s="1287">
        <f ca="1"/>
        <v>0.5</v>
      </c>
      <c r="N282" s="1287"/>
      <c r="O282" s="1323" t="str">
        <f ca="1"/>
        <v>2018-11-16 20:00</v>
      </c>
      <c r="P282" s="1287"/>
      <c r="Q282" s="1290" t="str">
        <f ca="1"/>
        <v>Indoor</v>
      </c>
    </row>
    <row r="283" spans="1:17" ht="27.75" hidden="1" customHeight="1" x14ac:dyDescent="0.45">
      <c r="A283" s="1289">
        <v>7</v>
      </c>
      <c r="B283" s="1285">
        <v>10</v>
      </c>
      <c r="C283" s="1285">
        <v>3.0000000000000142</v>
      </c>
      <c r="D283" s="1297">
        <v>30.000000000000007</v>
      </c>
      <c r="E283" s="1299" t="str">
        <f ca="1"/>
        <v/>
      </c>
      <c r="F283" s="1286" t="str">
        <f ca="1"/>
        <v/>
      </c>
      <c r="G283" s="1286" t="str">
        <f ca="1"/>
        <v/>
      </c>
      <c r="H283" s="1301" t="str">
        <f ca="1"/>
        <v/>
      </c>
      <c r="I283" s="1303" t="str">
        <f ca="1"/>
        <v/>
      </c>
      <c r="J283" s="1287" t="str">
        <f ca="1"/>
        <v/>
      </c>
      <c r="K283" s="1288" t="str">
        <f ca="1"/>
        <v xml:space="preserve">Description:
Details:
Aim:
</v>
      </c>
      <c r="L283" s="1287" t="str">
        <f ca="1"/>
        <v/>
      </c>
      <c r="M283" s="1287" t="str">
        <f ca="1"/>
        <v/>
      </c>
      <c r="N283" s="1287"/>
      <c r="O283" s="1323" t="str">
        <f ca="1"/>
        <v/>
      </c>
      <c r="P283" s="1287"/>
      <c r="Q283" s="1290" t="str">
        <f ca="1"/>
        <v/>
      </c>
    </row>
    <row r="284" spans="1:17" ht="27.75" hidden="1" customHeight="1" x14ac:dyDescent="0.45">
      <c r="A284" s="1289">
        <v>7</v>
      </c>
      <c r="B284" s="1285">
        <v>11</v>
      </c>
      <c r="C284" s="1285">
        <v>1</v>
      </c>
      <c r="D284" s="1297">
        <v>31.000000000000007</v>
      </c>
      <c r="E284" s="1299" t="str">
        <f ca="1"/>
        <v>Perform a variety of specialised exercises to engage specific muscles and apply them in functional movements. These sessions must be learned with a coach first. Warm up and warm down for 10 minutes each.</v>
      </c>
      <c r="F284" s="1286" t="str">
        <f ca="1"/>
        <v>Sport: Run
WU/WD: 15 minutes 
Effort Total: 30 minutes
HR Target: 148 BPM
HR Range: 129 - 169 BPM 
Flat Road Equivalent Pace: 4:14 min/km</v>
      </c>
      <c r="G284" s="1286" t="str">
        <f ca="1"/>
        <v xml:space="preserve">Improve running economy and injury resistance. </v>
      </c>
      <c r="H284" s="1301" t="str">
        <f ca="1"/>
        <v/>
      </c>
      <c r="I284" s="1303" t="str">
        <f ca="1"/>
        <v>Drills + WU</v>
      </c>
      <c r="J284" s="1287" t="str">
        <f ca="1"/>
        <v>Running</v>
      </c>
      <c r="K284"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284" s="1287">
        <f ca="1"/>
        <v>73</v>
      </c>
      <c r="M284" s="1287">
        <f ca="1"/>
        <v>0.5</v>
      </c>
      <c r="N284" s="1287"/>
      <c r="O284" s="1323" t="str">
        <f ca="1"/>
        <v>2018-11-17 06:00</v>
      </c>
      <c r="P284" s="1287"/>
      <c r="Q284" s="1290" t="str">
        <f ca="1"/>
        <v>Run</v>
      </c>
    </row>
    <row r="285" spans="1:17" ht="27.75" hidden="1" customHeight="1" x14ac:dyDescent="0.45">
      <c r="A285" s="1289">
        <v>7</v>
      </c>
      <c r="B285" s="1285">
        <v>11</v>
      </c>
      <c r="C285" s="1285">
        <v>1.9999999999999858</v>
      </c>
      <c r="D285" s="1297">
        <v>32</v>
      </c>
      <c r="E285" s="1299" t="str">
        <f ca="1"/>
        <v>Stay at a comfortable and controlled intensity where you should be able to have a conversation without large pauses. Keep an even intensity and accept that your pace may change as the terrain changes.</v>
      </c>
      <c r="F285" s="1286" t="str">
        <f ca="1"/>
        <v>Sport: Run
WU/WD: No 
Effort Total: 30 minutes
HR Target: 138 BPM
HR Range: 129 - 148 BPM 
Flat Road Equivalent Pace: 4:39 min/km</v>
      </c>
      <c r="G285" s="1286" t="str">
        <f ca="1"/>
        <v xml:space="preserve">Improve aerobic fitness while minimising the chance of injury. </v>
      </c>
      <c r="H285" s="1301" t="str">
        <f ca="1"/>
        <v/>
      </c>
      <c r="I285" s="1303" t="str">
        <f ca="1"/>
        <v>Easy run: 30 minutes</v>
      </c>
      <c r="J285" s="1287" t="str">
        <f ca="1"/>
        <v>Running</v>
      </c>
      <c r="K285"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30 minutes
HR Target: 138 BPM
HR Range: 129 - 148 BPM 
Flat Road Equivalent Pace: 4:39 min/km
Aim:
Improve aerobic fitness while minimising the chance of injury. </v>
      </c>
      <c r="L285" s="1287">
        <f ca="1"/>
        <v>73</v>
      </c>
      <c r="M285" s="1287">
        <f ca="1"/>
        <v>0.5</v>
      </c>
      <c r="N285" s="1287"/>
      <c r="O285" s="1323" t="str">
        <f ca="1"/>
        <v>2018-11-17 08:00</v>
      </c>
      <c r="P285" s="1287"/>
      <c r="Q285" s="1290" t="str">
        <f ca="1"/>
        <v>Run</v>
      </c>
    </row>
    <row r="286" spans="1:17" ht="27.75" hidden="1" customHeight="1" x14ac:dyDescent="0.45">
      <c r="A286" s="1289">
        <v>7</v>
      </c>
      <c r="B286" s="1285">
        <v>11</v>
      </c>
      <c r="C286" s="1285">
        <v>3.0000000000000142</v>
      </c>
      <c r="D286" s="1297">
        <v>33</v>
      </c>
      <c r="E286" s="1299" t="str">
        <f ca="1"/>
        <v/>
      </c>
      <c r="F286" s="1286" t="str">
        <f ca="1"/>
        <v/>
      </c>
      <c r="G286" s="1286" t="str">
        <f ca="1"/>
        <v/>
      </c>
      <c r="H286" s="1301" t="str">
        <f ca="1"/>
        <v/>
      </c>
      <c r="I286" s="1303" t="str">
        <f ca="1"/>
        <v/>
      </c>
      <c r="J286" s="1287" t="str">
        <f ca="1"/>
        <v/>
      </c>
      <c r="K286" s="1288" t="str">
        <f ca="1"/>
        <v xml:space="preserve">Description:
Details:
Aim:
</v>
      </c>
      <c r="L286" s="1287" t="str">
        <f ca="1"/>
        <v/>
      </c>
      <c r="M286" s="1287" t="str">
        <f ca="1"/>
        <v/>
      </c>
      <c r="N286" s="1287"/>
      <c r="O286" s="1323" t="str">
        <f ca="1"/>
        <v/>
      </c>
      <c r="P286" s="1287"/>
      <c r="Q286" s="1290" t="str">
        <f ca="1"/>
        <v/>
      </c>
    </row>
    <row r="287" spans="1:17" ht="27.75" hidden="1" customHeight="1" x14ac:dyDescent="0.45">
      <c r="A287" s="1289">
        <v>7</v>
      </c>
      <c r="B287" s="1285">
        <v>12</v>
      </c>
      <c r="C287" s="1285">
        <v>1</v>
      </c>
      <c r="D287" s="1297">
        <v>33.999999999999993</v>
      </c>
      <c r="E287" s="1299" t="str">
        <f ca="1"/>
        <v>Stay at a comfortable and controlled intensity where you should be able to have a conversation without large pauses. Keep an even intensity and accept that your pace may change as the terrain changes.</v>
      </c>
      <c r="F287" s="1286" t="str">
        <f ca="1"/>
        <v>Sport: Run
WU/WD: No 
Effort Total: 50 minutes
HR Target: 138 BPM
HR Range: 129 - 148 BPM 
Flat Road Equivalent Pace: 4:39 min/km</v>
      </c>
      <c r="G287" s="1286" t="str">
        <f ca="1"/>
        <v xml:space="preserve">Improve aerobic fitness while minimising the chance of injury. </v>
      </c>
      <c r="H287" s="1301" t="str">
        <f ca="1"/>
        <v/>
      </c>
      <c r="I287" s="1303" t="str">
        <f ca="1"/>
        <v>Easy run: 50 minutes</v>
      </c>
      <c r="J287" s="1287" t="str">
        <f ca="1"/>
        <v>Running</v>
      </c>
      <c r="K287"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50 minutes
HR Target: 138 BPM
HR Range: 129 - 148 BPM 
Flat Road Equivalent Pace: 4:39 min/km
Aim:
Improve aerobic fitness while minimising the chance of injury. </v>
      </c>
      <c r="L287" s="1287">
        <f ca="1"/>
        <v>2</v>
      </c>
      <c r="M287" s="1287">
        <f ca="1"/>
        <v>0.83333333333333337</v>
      </c>
      <c r="N287" s="1287"/>
      <c r="O287" s="1323" t="str">
        <f ca="1"/>
        <v>2018-11-17 18:00</v>
      </c>
      <c r="P287" s="1287"/>
      <c r="Q287" s="1290" t="str">
        <f ca="1"/>
        <v>Run</v>
      </c>
    </row>
    <row r="288" spans="1:17" ht="27.75" hidden="1" customHeight="1" x14ac:dyDescent="0.45">
      <c r="A288" s="1289">
        <v>7</v>
      </c>
      <c r="B288" s="1285">
        <v>12</v>
      </c>
      <c r="C288" s="1285">
        <v>1.9999999999999858</v>
      </c>
      <c r="D288" s="1297">
        <v>34.999999999999993</v>
      </c>
      <c r="E288" s="1299" t="str">
        <f ca="1"/>
        <v/>
      </c>
      <c r="F288" s="1286" t="str">
        <f ca="1"/>
        <v/>
      </c>
      <c r="G288" s="1286" t="str">
        <f ca="1"/>
        <v/>
      </c>
      <c r="H288" s="1301" t="str">
        <f ca="1"/>
        <v/>
      </c>
      <c r="I288" s="1303" t="str">
        <f ca="1"/>
        <v/>
      </c>
      <c r="J288" s="1287" t="str">
        <f ca="1"/>
        <v/>
      </c>
      <c r="K288" s="1288" t="str">
        <f ca="1"/>
        <v xml:space="preserve">Description:
Details:
Aim:
</v>
      </c>
      <c r="L288" s="1287" t="str">
        <f ca="1"/>
        <v/>
      </c>
      <c r="M288" s="1287" t="str">
        <f ca="1"/>
        <v/>
      </c>
      <c r="N288" s="1287"/>
      <c r="O288" s="1323" t="str">
        <f ca="1"/>
        <v/>
      </c>
      <c r="P288" s="1287"/>
      <c r="Q288" s="1290" t="str">
        <f ca="1"/>
        <v/>
      </c>
    </row>
    <row r="289" spans="1:17" ht="27.75" hidden="1" customHeight="1" x14ac:dyDescent="0.45">
      <c r="A289" s="1289">
        <v>7</v>
      </c>
      <c r="B289" s="1285">
        <v>12</v>
      </c>
      <c r="C289" s="1285">
        <v>3.0000000000000142</v>
      </c>
      <c r="D289" s="1297">
        <v>35.999999999999986</v>
      </c>
      <c r="E289" s="1299" t="str">
        <f ca="1"/>
        <v/>
      </c>
      <c r="F289" s="1286" t="str">
        <f ca="1"/>
        <v/>
      </c>
      <c r="G289" s="1286" t="str">
        <f ca="1"/>
        <v/>
      </c>
      <c r="H289" s="1301" t="str">
        <f ca="1"/>
        <v/>
      </c>
      <c r="I289" s="1303" t="str">
        <f ca="1"/>
        <v/>
      </c>
      <c r="J289" s="1287" t="str">
        <f ca="1"/>
        <v/>
      </c>
      <c r="K289" s="1288" t="str">
        <f ca="1"/>
        <v xml:space="preserve">Description:
Details:
Aim:
</v>
      </c>
      <c r="L289" s="1287" t="str">
        <f ca="1"/>
        <v/>
      </c>
      <c r="M289" s="1287" t="str">
        <f ca="1"/>
        <v/>
      </c>
      <c r="N289" s="1287"/>
      <c r="O289" s="1323" t="str">
        <f ca="1"/>
        <v/>
      </c>
      <c r="P289" s="1287"/>
      <c r="Q289" s="1290" t="str">
        <f ca="1"/>
        <v/>
      </c>
    </row>
    <row r="290" spans="1:17" ht="27.75" hidden="1" customHeight="1" x14ac:dyDescent="0.45">
      <c r="A290" s="1289">
        <v>7</v>
      </c>
      <c r="B290" s="1285">
        <v>13</v>
      </c>
      <c r="C290" s="1285">
        <v>1</v>
      </c>
      <c r="D290" s="1297">
        <v>36.999999999999986</v>
      </c>
      <c r="E290" s="1299" t="str">
        <f ca="1"/>
        <v xml:space="preserve">Fundamentally a steady, but you can be less strict at controlling your intensity as long as your average intensity is close to it's target by the end of the session </v>
      </c>
      <c r="F290" s="1286" t="str">
        <f ca="1"/>
        <v>Sport: Hilly Trail Run
WU/WD: No 
Effort Total: 130 minutes
HR Target: 148 BPM
HR Range: 129 - 169 BPM 
Flat Road Equivalent Pace: 4:14 min/km</v>
      </c>
      <c r="G290" s="1286" t="str">
        <f ca="1"/>
        <v xml:space="preserve">Improve aerobic fitness and energy utilisation. </v>
      </c>
      <c r="H290" s="1301" t="str">
        <f ca="1"/>
        <v/>
      </c>
      <c r="I290" s="1303" t="str">
        <f ca="1"/>
        <v>Long hilly trail run: 130 minutes</v>
      </c>
      <c r="J290" s="1287" t="str">
        <f ca="1"/>
        <v>Trail Running</v>
      </c>
      <c r="K290" s="1288" t="str">
        <f ca="1"/>
        <v xml:space="preserve">Description:
Fundamentally a steady, but you can be less strict at controlling your intensity as long as your average intensity is close to it's target by the end of the session 
Details:
Sport: Hilly Trail Run
WU/WD: No 
Effort Total: 130 minutes
HR Target: 148 BPM
HR Range: 129 - 169 BPM 
Flat Road Equivalent Pace: 4:14 min/km
Aim:
Improve aerobic fitness and energy utilisation. </v>
      </c>
      <c r="L290" s="1287">
        <f ca="1"/>
        <v>4</v>
      </c>
      <c r="M290" s="1287">
        <f ca="1"/>
        <v>2.1666666666666665</v>
      </c>
      <c r="N290" s="1287"/>
      <c r="O290" s="1323" t="str">
        <f ca="1"/>
        <v>2018-11-18 06:00</v>
      </c>
      <c r="P290" s="1287"/>
      <c r="Q290" s="1290" t="str">
        <f ca="1"/>
        <v>Hilly Trail Run</v>
      </c>
    </row>
    <row r="291" spans="1:17" ht="27.75" hidden="1" customHeight="1" x14ac:dyDescent="0.45">
      <c r="A291" s="1289">
        <v>7</v>
      </c>
      <c r="B291" s="1285">
        <v>13</v>
      </c>
      <c r="C291" s="1285">
        <v>1.9999999999999858</v>
      </c>
      <c r="D291" s="1297">
        <v>38.000000000000014</v>
      </c>
      <c r="E291" s="1299" t="str">
        <f ca="1"/>
        <v/>
      </c>
      <c r="F291" s="1286" t="str">
        <f ca="1"/>
        <v/>
      </c>
      <c r="G291" s="1286" t="str">
        <f ca="1"/>
        <v/>
      </c>
      <c r="H291" s="1301" t="str">
        <f ca="1"/>
        <v/>
      </c>
      <c r="I291" s="1303" t="str">
        <f ca="1"/>
        <v/>
      </c>
      <c r="J291" s="1287" t="str">
        <f ca="1"/>
        <v/>
      </c>
      <c r="K291" s="1288" t="str">
        <f ca="1"/>
        <v xml:space="preserve">Description:
Details:
Aim:
</v>
      </c>
      <c r="L291" s="1287" t="str">
        <f ca="1"/>
        <v/>
      </c>
      <c r="M291" s="1287" t="str">
        <f ca="1"/>
        <v/>
      </c>
      <c r="N291" s="1287"/>
      <c r="O291" s="1323" t="str">
        <f ca="1"/>
        <v/>
      </c>
      <c r="P291" s="1287"/>
      <c r="Q291" s="1290" t="str">
        <f ca="1"/>
        <v/>
      </c>
    </row>
    <row r="292" spans="1:17" ht="27.75" hidden="1" customHeight="1" x14ac:dyDescent="0.45">
      <c r="A292" s="1289">
        <v>7</v>
      </c>
      <c r="B292" s="1285">
        <v>13</v>
      </c>
      <c r="C292" s="1285">
        <v>3.0000000000000142</v>
      </c>
      <c r="D292" s="1297">
        <v>39.000000000000014</v>
      </c>
      <c r="E292" s="1299" t="str">
        <f ca="1"/>
        <v/>
      </c>
      <c r="F292" s="1286" t="str">
        <f ca="1"/>
        <v/>
      </c>
      <c r="G292" s="1286" t="str">
        <f ca="1"/>
        <v/>
      </c>
      <c r="H292" s="1301" t="str">
        <f ca="1"/>
        <v/>
      </c>
      <c r="I292" s="1303" t="str">
        <f ca="1"/>
        <v/>
      </c>
      <c r="J292" s="1287" t="str">
        <f ca="1"/>
        <v/>
      </c>
      <c r="K292" s="1288" t="str">
        <f ca="1"/>
        <v xml:space="preserve">Description:
Details:
Aim:
</v>
      </c>
      <c r="L292" s="1287" t="str">
        <f ca="1"/>
        <v/>
      </c>
      <c r="M292" s="1287" t="str">
        <f ca="1"/>
        <v/>
      </c>
      <c r="N292" s="1287"/>
      <c r="O292" s="1323" t="str">
        <f ca="1"/>
        <v/>
      </c>
      <c r="P292" s="1287"/>
      <c r="Q292" s="1290" t="str">
        <f ca="1"/>
        <v/>
      </c>
    </row>
    <row r="293" spans="1:17" ht="27.75" hidden="1" customHeight="1" x14ac:dyDescent="0.45">
      <c r="A293" s="1289">
        <v>7</v>
      </c>
      <c r="B293" s="1285">
        <v>14</v>
      </c>
      <c r="C293" s="1285">
        <v>1</v>
      </c>
      <c r="D293" s="1297">
        <v>40.000000000000014</v>
      </c>
      <c r="E293" s="1299" t="str">
        <f ca="1"/>
        <v/>
      </c>
      <c r="F293" s="1286" t="str">
        <f ca="1"/>
        <v/>
      </c>
      <c r="G293" s="1286" t="str">
        <f ca="1"/>
        <v/>
      </c>
      <c r="H293" s="1301" t="str">
        <f ca="1"/>
        <v/>
      </c>
      <c r="I293" s="1303" t="str">
        <f ca="1"/>
        <v/>
      </c>
      <c r="J293" s="1287" t="str">
        <f ca="1"/>
        <v/>
      </c>
      <c r="K293" s="1288" t="str">
        <f ca="1"/>
        <v xml:space="preserve">Description:
Details:
Aim:
</v>
      </c>
      <c r="L293" s="1287" t="str">
        <f ca="1"/>
        <v/>
      </c>
      <c r="M293" s="1287" t="str">
        <f ca="1"/>
        <v/>
      </c>
      <c r="N293" s="1287"/>
      <c r="O293" s="1323" t="str">
        <f ca="1"/>
        <v/>
      </c>
      <c r="P293" s="1287"/>
      <c r="Q293" s="1290" t="str">
        <f ca="1"/>
        <v/>
      </c>
    </row>
    <row r="294" spans="1:17" ht="27.75" hidden="1" customHeight="1" x14ac:dyDescent="0.45">
      <c r="A294" s="1289">
        <v>7</v>
      </c>
      <c r="B294" s="1285">
        <v>14</v>
      </c>
      <c r="C294" s="1285">
        <v>1.9999999999999858</v>
      </c>
      <c r="D294" s="1297">
        <v>41.000000000000007</v>
      </c>
      <c r="E294" s="1299" t="str">
        <f ca="1"/>
        <v/>
      </c>
      <c r="F294" s="1286" t="str">
        <f ca="1"/>
        <v/>
      </c>
      <c r="G294" s="1286" t="str">
        <f ca="1"/>
        <v/>
      </c>
      <c r="H294" s="1301" t="str">
        <f ca="1"/>
        <v/>
      </c>
      <c r="I294" s="1303" t="str">
        <f ca="1"/>
        <v/>
      </c>
      <c r="J294" s="1287" t="str">
        <f ca="1"/>
        <v/>
      </c>
      <c r="K294" s="1288" t="str">
        <f ca="1"/>
        <v xml:space="preserve">Description:
Details:
Aim:
</v>
      </c>
      <c r="L294" s="1287" t="str">
        <f ca="1"/>
        <v/>
      </c>
      <c r="M294" s="1287" t="str">
        <f ca="1"/>
        <v/>
      </c>
      <c r="N294" s="1287"/>
      <c r="O294" s="1323" t="str">
        <f ca="1"/>
        <v/>
      </c>
      <c r="P294" s="1287"/>
      <c r="Q294" s="1290" t="str">
        <f ca="1"/>
        <v/>
      </c>
    </row>
    <row r="295" spans="1:17" ht="27.75" hidden="1" customHeight="1" x14ac:dyDescent="0.45">
      <c r="A295" s="1289">
        <v>7</v>
      </c>
      <c r="B295" s="1285">
        <v>14</v>
      </c>
      <c r="C295" s="1285">
        <v>3.0000000000000142</v>
      </c>
      <c r="D295" s="1297">
        <v>42</v>
      </c>
      <c r="E295" s="1299" t="str">
        <f ca="1"/>
        <v/>
      </c>
      <c r="F295" s="1286" t="str">
        <f ca="1"/>
        <v/>
      </c>
      <c r="G295" s="1286" t="str">
        <f ca="1"/>
        <v/>
      </c>
      <c r="H295" s="1301" t="str">
        <f ca="1"/>
        <v/>
      </c>
      <c r="I295" s="1303" t="str">
        <f ca="1"/>
        <v/>
      </c>
      <c r="J295" s="1287" t="str">
        <f ca="1"/>
        <v/>
      </c>
      <c r="K295" s="1288" t="str">
        <f ca="1"/>
        <v xml:space="preserve">Description:
Details:
Aim:
</v>
      </c>
      <c r="L295" s="1287" t="str">
        <f ca="1"/>
        <v/>
      </c>
      <c r="M295" s="1287" t="str">
        <f ca="1"/>
        <v/>
      </c>
      <c r="N295" s="1287"/>
      <c r="O295" s="1323" t="str">
        <f ca="1"/>
        <v/>
      </c>
      <c r="P295" s="1287"/>
      <c r="Q295" s="1290" t="str">
        <f ca="1"/>
        <v/>
      </c>
    </row>
    <row r="296" spans="1:17" ht="27.75" hidden="1" customHeight="1" x14ac:dyDescent="0.45">
      <c r="A296" s="1289">
        <v>8</v>
      </c>
      <c r="B296" s="1285">
        <v>1</v>
      </c>
      <c r="C296" s="1285">
        <v>1</v>
      </c>
      <c r="D296" s="1297">
        <v>1</v>
      </c>
      <c r="E296" s="1299" t="str">
        <f ca="1"/>
        <v>Stay at a comfortable and controlled intensity where you should be able to have a conversation without large pauses. Keep an even intensity and accept that your pace may change as the terrain changes.</v>
      </c>
      <c r="F296" s="1286" t="str">
        <f ca="1"/>
        <v>Sport: Ride
WU/WD: No 
Effort Total: 40 minutes
HR Target: 138 BPM
HR Range: 129 - 148 BPM 
Flat Road Equivalent Pace: 4:39 min/km</v>
      </c>
      <c r="G296" s="1286" t="str">
        <f ca="1"/>
        <v xml:space="preserve">Improve aerobic fitness while minimising the chance of injury. </v>
      </c>
      <c r="H296" s="1301" t="str">
        <f ca="1"/>
        <v/>
      </c>
      <c r="I296" s="1303" t="str">
        <f ca="1"/>
        <v>Easy ride: 40 minutes</v>
      </c>
      <c r="J296" s="1287" t="str">
        <f ca="1"/>
        <v>Cycling</v>
      </c>
      <c r="K29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296" s="1287">
        <f ca="1"/>
        <v>110</v>
      </c>
      <c r="M296" s="1287">
        <f ca="1"/>
        <v>0.66666666666666663</v>
      </c>
      <c r="N296" s="1287"/>
      <c r="O296" s="1323" t="str">
        <f ca="1"/>
        <v>2018-11-19 06:00</v>
      </c>
      <c r="P296" s="1287"/>
      <c r="Q296" s="1290" t="str">
        <f ca="1"/>
        <v>Ride</v>
      </c>
    </row>
    <row r="297" spans="1:17" ht="27.75" hidden="1" customHeight="1" x14ac:dyDescent="0.45">
      <c r="A297" s="1289">
        <v>8</v>
      </c>
      <c r="B297" s="1285">
        <v>1</v>
      </c>
      <c r="C297" s="1285">
        <v>1.9999999999999858</v>
      </c>
      <c r="D297" s="1297">
        <v>1.9999999999999964</v>
      </c>
      <c r="E297" s="1299" t="str">
        <f ca="1"/>
        <v/>
      </c>
      <c r="F297" s="1286" t="str">
        <f ca="1"/>
        <v/>
      </c>
      <c r="G297" s="1286" t="str">
        <f ca="1"/>
        <v/>
      </c>
      <c r="H297" s="1301" t="str">
        <f ca="1"/>
        <v/>
      </c>
      <c r="I297" s="1303" t="str">
        <f ca="1"/>
        <v/>
      </c>
      <c r="J297" s="1287" t="str">
        <f ca="1"/>
        <v/>
      </c>
      <c r="K297" s="1288" t="str">
        <f ca="1"/>
        <v xml:space="preserve">Description:
Details:
Aim:
</v>
      </c>
      <c r="L297" s="1287" t="str">
        <f ca="1"/>
        <v/>
      </c>
      <c r="M297" s="1287" t="str">
        <f ca="1"/>
        <v/>
      </c>
      <c r="N297" s="1287"/>
      <c r="O297" s="1323" t="str">
        <f ca="1"/>
        <v/>
      </c>
      <c r="P297" s="1287"/>
      <c r="Q297" s="1290" t="str">
        <f ca="1"/>
        <v/>
      </c>
    </row>
    <row r="298" spans="1:17" ht="27.75" hidden="1" customHeight="1" x14ac:dyDescent="0.45">
      <c r="A298" s="1289">
        <v>8</v>
      </c>
      <c r="B298" s="1285">
        <v>1</v>
      </c>
      <c r="C298" s="1285">
        <v>3.0000000000000142</v>
      </c>
      <c r="D298" s="1297">
        <v>2.9999999999999929</v>
      </c>
      <c r="E298" s="1299" t="str">
        <f ca="1"/>
        <v/>
      </c>
      <c r="F298" s="1286" t="str">
        <f ca="1"/>
        <v/>
      </c>
      <c r="G298" s="1286" t="str">
        <f ca="1"/>
        <v/>
      </c>
      <c r="H298" s="1301" t="str">
        <f ca="1"/>
        <v/>
      </c>
      <c r="I298" s="1303" t="str">
        <f ca="1"/>
        <v/>
      </c>
      <c r="J298" s="1287" t="str">
        <f ca="1"/>
        <v/>
      </c>
      <c r="K298" s="1288" t="str">
        <f ca="1"/>
        <v xml:space="preserve">Description:
Details:
Aim:
</v>
      </c>
      <c r="L298" s="1287" t="str">
        <f ca="1"/>
        <v/>
      </c>
      <c r="M298" s="1287" t="str">
        <f ca="1"/>
        <v/>
      </c>
      <c r="N298" s="1287"/>
      <c r="O298" s="1323" t="str">
        <f ca="1"/>
        <v/>
      </c>
      <c r="P298" s="1287"/>
      <c r="Q298" s="1290" t="str">
        <f ca="1"/>
        <v/>
      </c>
    </row>
    <row r="299" spans="1:17" ht="27.75" hidden="1" customHeight="1" x14ac:dyDescent="0.45">
      <c r="A299" s="1289">
        <v>8</v>
      </c>
      <c r="B299" s="1285">
        <v>1</v>
      </c>
      <c r="C299" s="1285">
        <v>1</v>
      </c>
      <c r="D299" s="1297">
        <v>3.9999999999999893</v>
      </c>
      <c r="E299" s="1299" t="str">
        <f ca="1"/>
        <v>Stay at a comfortable and controlled intensity where you should be able to have a conversation without large pauses. Keep an even intensity and accept that your pace may change as the terrain changes.</v>
      </c>
      <c r="F299" s="1286" t="str">
        <f ca="1"/>
        <v>Sport: Ride
WU/WD: No 
Effort Total: 30 minutes
HR Target: 138 BPM
HR Range: 129 - 148 BPM 
Flat Road Equivalent Pace: 4:39 min/km</v>
      </c>
      <c r="G299" s="1286" t="str">
        <f ca="1"/>
        <v xml:space="preserve">Improve aerobic fitness while minimising the chance of injury. </v>
      </c>
      <c r="H299" s="1301" t="str">
        <f ca="1"/>
        <v/>
      </c>
      <c r="I299" s="1303" t="str">
        <f ca="1"/>
        <v>Strength and conditioning</v>
      </c>
      <c r="J299" s="1287" t="str">
        <f ca="1"/>
        <v>Cycling</v>
      </c>
      <c r="K299"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299" s="1287">
        <f ca="1"/>
        <v>110</v>
      </c>
      <c r="M299" s="1287">
        <f ca="1"/>
        <v>0.5</v>
      </c>
      <c r="N299" s="1287"/>
      <c r="O299" s="1323" t="str">
        <f ca="1"/>
        <v>2018-11-19 06:00</v>
      </c>
      <c r="P299" s="1287"/>
      <c r="Q299" s="1290" t="str">
        <f ca="1"/>
        <v>Ride</v>
      </c>
    </row>
    <row r="300" spans="1:17" ht="27.75" hidden="1" customHeight="1" x14ac:dyDescent="0.45">
      <c r="A300" s="1289">
        <v>8</v>
      </c>
      <c r="B300" s="1285">
        <v>2</v>
      </c>
      <c r="C300" s="1285">
        <v>1.9999999999999858</v>
      </c>
      <c r="D300" s="1297">
        <v>4.9999999999999858</v>
      </c>
      <c r="E300" s="1299" t="str">
        <f ca="1"/>
        <v>Use a hands, rollers, or balls on all major muscle groups with extra time on more sensitive or problematic areas or as guided by a coach or physio. Finish with 20 minutes of lower-limb stretching.</v>
      </c>
      <c r="F300" s="1286" t="str">
        <f ca="1"/>
        <v>Sport: Indoor
WU/WD: No 
Effort Total: 30 minutes
HR Target: N/A BPM
HR Range: N/A BPM 
Flat Road Equivalent Pace:  min/km</v>
      </c>
      <c r="G300" s="1286" t="str">
        <f ca="1"/>
        <v xml:space="preserve">Release tension that develops in soft tissue from training and non-training stresses. </v>
      </c>
      <c r="H300" s="1301" t="str">
        <f ca="1"/>
        <v/>
      </c>
      <c r="I300" s="1303" t="str">
        <f ca="1"/>
        <v>Maintenance</v>
      </c>
      <c r="J300" s="1287" t="str">
        <f ca="1"/>
        <v>Strength</v>
      </c>
      <c r="K30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00" s="1287">
        <f ca="1"/>
        <v>76</v>
      </c>
      <c r="M300" s="1287">
        <f ca="1"/>
        <v>0.5</v>
      </c>
      <c r="N300" s="1287"/>
      <c r="O300" s="1323" t="str">
        <f ca="1"/>
        <v>2018-11-19 20:00</v>
      </c>
      <c r="P300" s="1287"/>
      <c r="Q300" s="1290" t="str">
        <f ca="1"/>
        <v>Indoor</v>
      </c>
    </row>
    <row r="301" spans="1:17" ht="27.75" hidden="1" customHeight="1" x14ac:dyDescent="0.45">
      <c r="A301" s="1289">
        <v>8</v>
      </c>
      <c r="B301" s="1285">
        <v>2</v>
      </c>
      <c r="C301" s="1285">
        <v>3.0000000000000142</v>
      </c>
      <c r="D301" s="1297">
        <v>5.9999999999999822</v>
      </c>
      <c r="E301" s="1299" t="str">
        <f ca="1"/>
        <v/>
      </c>
      <c r="F301" s="1286" t="str">
        <f ca="1"/>
        <v/>
      </c>
      <c r="G301" s="1286" t="str">
        <f ca="1"/>
        <v/>
      </c>
      <c r="H301" s="1301" t="str">
        <f ca="1"/>
        <v/>
      </c>
      <c r="I301" s="1303" t="str">
        <f ca="1"/>
        <v/>
      </c>
      <c r="J301" s="1287" t="str">
        <f ca="1"/>
        <v/>
      </c>
      <c r="K301" s="1288" t="str">
        <f ca="1"/>
        <v xml:space="preserve">Description:
Details:
Aim:
</v>
      </c>
      <c r="L301" s="1287" t="str">
        <f ca="1"/>
        <v/>
      </c>
      <c r="M301" s="1287" t="str">
        <f ca="1"/>
        <v/>
      </c>
      <c r="N301" s="1287"/>
      <c r="O301" s="1323" t="str">
        <f ca="1"/>
        <v/>
      </c>
      <c r="P301" s="1287"/>
      <c r="Q301" s="1290" t="str">
        <f ca="1"/>
        <v/>
      </c>
    </row>
    <row r="302" spans="1:17" ht="27.75" hidden="1" customHeight="1" x14ac:dyDescent="0.45">
      <c r="A302" s="1289">
        <v>8</v>
      </c>
      <c r="B302" s="1285">
        <v>3</v>
      </c>
      <c r="C302" s="1285">
        <v>1</v>
      </c>
      <c r="D302" s="1297">
        <v>7.000000000000016</v>
      </c>
      <c r="E302" s="1299" t="str">
        <f ca="1"/>
        <v/>
      </c>
      <c r="F302" s="1286" t="str">
        <f ca="1"/>
        <v/>
      </c>
      <c r="G302" s="1286" t="str">
        <f ca="1"/>
        <v/>
      </c>
      <c r="H302" s="1301" t="str">
        <f ca="1"/>
        <v/>
      </c>
      <c r="I302" s="1303" t="str">
        <f ca="1"/>
        <v/>
      </c>
      <c r="J302" s="1287" t="str">
        <f ca="1"/>
        <v/>
      </c>
      <c r="K302" s="1288" t="str">
        <f ca="1"/>
        <v xml:space="preserve">Description:
Details:
Aim:
</v>
      </c>
      <c r="L302" s="1287" t="str">
        <f ca="1"/>
        <v/>
      </c>
      <c r="M302" s="1287" t="str">
        <f ca="1"/>
        <v/>
      </c>
      <c r="N302" s="1287"/>
      <c r="O302" s="1323" t="str">
        <f ca="1"/>
        <v/>
      </c>
      <c r="P302" s="1287"/>
      <c r="Q302" s="1290" t="str">
        <f ca="1"/>
        <v/>
      </c>
    </row>
    <row r="303" spans="1:17" ht="27.75" hidden="1" customHeight="1" x14ac:dyDescent="0.45">
      <c r="A303" s="1289">
        <v>8</v>
      </c>
      <c r="B303" s="1285">
        <v>3</v>
      </c>
      <c r="C303" s="1285">
        <v>1.9999999999999858</v>
      </c>
      <c r="D303" s="1297">
        <v>8.0000000000000124</v>
      </c>
      <c r="E303" s="1299" t="str">
        <f ca="1"/>
        <v/>
      </c>
      <c r="F303" s="1286" t="str">
        <f ca="1"/>
        <v/>
      </c>
      <c r="G303" s="1286" t="str">
        <f ca="1"/>
        <v/>
      </c>
      <c r="H303" s="1301" t="str">
        <f ca="1"/>
        <v/>
      </c>
      <c r="I303" s="1303" t="str">
        <f ca="1"/>
        <v/>
      </c>
      <c r="J303" s="1287" t="str">
        <f ca="1"/>
        <v/>
      </c>
      <c r="K303" s="1288" t="str">
        <f ca="1"/>
        <v xml:space="preserve">Description:
Details:
Aim:
</v>
      </c>
      <c r="L303" s="1287" t="str">
        <f ca="1"/>
        <v/>
      </c>
      <c r="M303" s="1287" t="str">
        <f ca="1"/>
        <v/>
      </c>
      <c r="N303" s="1287"/>
      <c r="O303" s="1323" t="str">
        <f ca="1"/>
        <v/>
      </c>
      <c r="P303" s="1287"/>
      <c r="Q303" s="1290" t="str">
        <f ca="1"/>
        <v/>
      </c>
    </row>
    <row r="304" spans="1:17" ht="27.75" hidden="1" customHeight="1" x14ac:dyDescent="0.45">
      <c r="A304" s="1289">
        <v>8</v>
      </c>
      <c r="B304" s="1285">
        <v>3</v>
      </c>
      <c r="C304" s="1285">
        <v>3.0000000000000142</v>
      </c>
      <c r="D304" s="1297">
        <v>9.0000000000000089</v>
      </c>
      <c r="E304" s="1299" t="str">
        <f ca="1"/>
        <v/>
      </c>
      <c r="F304" s="1286" t="str">
        <f ca="1"/>
        <v/>
      </c>
      <c r="G304" s="1286" t="str">
        <f ca="1"/>
        <v/>
      </c>
      <c r="H304" s="1301" t="str">
        <f ca="1"/>
        <v/>
      </c>
      <c r="I304" s="1303" t="str">
        <f ca="1"/>
        <v/>
      </c>
      <c r="J304" s="1287" t="str">
        <f ca="1"/>
        <v/>
      </c>
      <c r="K304" s="1288" t="str">
        <f ca="1"/>
        <v xml:space="preserve">Description:
Details:
Aim:
</v>
      </c>
      <c r="L304" s="1287" t="str">
        <f ca="1"/>
        <v/>
      </c>
      <c r="M304" s="1287" t="str">
        <f ca="1"/>
        <v/>
      </c>
      <c r="N304" s="1287"/>
      <c r="O304" s="1323" t="str">
        <f ca="1"/>
        <v/>
      </c>
      <c r="P304" s="1287"/>
      <c r="Q304" s="1290" t="str">
        <f ca="1"/>
        <v/>
      </c>
    </row>
    <row r="305" spans="1:17" ht="27.75" hidden="1" customHeight="1" x14ac:dyDescent="0.45">
      <c r="A305" s="1289">
        <v>8</v>
      </c>
      <c r="B305" s="1285">
        <v>4</v>
      </c>
      <c r="C305" s="1285">
        <v>1</v>
      </c>
      <c r="D305" s="1297">
        <v>10.000000000000005</v>
      </c>
      <c r="E305" s="1299" t="str">
        <f ca="1"/>
        <v>Accelerate to a fast pace which you should be able to hold for 50 minutes in a race situation. This will take concentration, but it's important to keep the intensity even, so do not start too hard. Warm up and warm down for 10 minutes each.</v>
      </c>
      <c r="F305" s="1286" t="str">
        <f ca="1"/>
        <v>Sport: Road Run
WU/WD: 15 minutes 
Effort Total: 25 minutes
HR Target: 177 BPM
HR Range: 173 - 180 BPM 
Flat Road Equivalent Pace: 3:21 min/km</v>
      </c>
      <c r="G305" s="1286" t="str">
        <f ca="1"/>
        <v xml:space="preserve">Improve endurance by increasing lactate threshold and developing mental toughness. </v>
      </c>
      <c r="H305" s="1301" t="str">
        <f ca="1"/>
        <v/>
      </c>
      <c r="I305" s="1303" t="str">
        <f ca="1"/>
        <v>Tempo road run: 25 minutes + WU/WD</v>
      </c>
      <c r="J305" s="1287" t="str">
        <f ca="1"/>
        <v>Running</v>
      </c>
      <c r="K305"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Road Run
WU/WD: 15 minutes 
Effort Total: 25 minutes
HR Target: 177 BPM
HR Range: 173 - 180 BPM 
Flat Road Equivalent Pace: 3:21 min/km
Aim:
Improve endurance by increasing lactate threshold and developing mental toughness. </v>
      </c>
      <c r="L305" s="1287">
        <f ca="1"/>
        <v>22</v>
      </c>
      <c r="M305" s="1287">
        <f ca="1"/>
        <v>0.41666666666666669</v>
      </c>
      <c r="N305" s="1287"/>
      <c r="O305" s="1323" t="str">
        <f ca="1"/>
        <v>2018-11-20 18:00</v>
      </c>
      <c r="P305" s="1287"/>
      <c r="Q305" s="1290" t="str">
        <f ca="1"/>
        <v>Road Run</v>
      </c>
    </row>
    <row r="306" spans="1:17" ht="27.75" hidden="1" customHeight="1" x14ac:dyDescent="0.45">
      <c r="A306" s="1289">
        <v>8</v>
      </c>
      <c r="B306" s="1285">
        <v>4</v>
      </c>
      <c r="C306" s="1285">
        <v>1.9999999999999858</v>
      </c>
      <c r="D306" s="1297">
        <v>11.000000000000002</v>
      </c>
      <c r="E306" s="1299" t="str">
        <f ca="1"/>
        <v/>
      </c>
      <c r="F306" s="1286" t="str">
        <f ca="1"/>
        <v/>
      </c>
      <c r="G306" s="1286" t="str">
        <f ca="1"/>
        <v/>
      </c>
      <c r="H306" s="1301" t="str">
        <f ca="1"/>
        <v/>
      </c>
      <c r="I306" s="1303" t="str">
        <f ca="1"/>
        <v/>
      </c>
      <c r="J306" s="1287" t="str">
        <f ca="1"/>
        <v/>
      </c>
      <c r="K306" s="1288" t="str">
        <f ca="1"/>
        <v xml:space="preserve">Description:
Details:
Aim:
</v>
      </c>
      <c r="L306" s="1287" t="str">
        <f ca="1"/>
        <v/>
      </c>
      <c r="M306" s="1287" t="str">
        <f ca="1"/>
        <v/>
      </c>
      <c r="N306" s="1287"/>
      <c r="O306" s="1323" t="str">
        <f ca="1"/>
        <v/>
      </c>
      <c r="P306" s="1287"/>
      <c r="Q306" s="1290" t="str">
        <f ca="1"/>
        <v/>
      </c>
    </row>
    <row r="307" spans="1:17" ht="27.75" hidden="1" customHeight="1" x14ac:dyDescent="0.45">
      <c r="A307" s="1289">
        <v>8</v>
      </c>
      <c r="B307" s="1285">
        <v>4</v>
      </c>
      <c r="C307" s="1285">
        <v>3.0000000000000142</v>
      </c>
      <c r="D307" s="1297">
        <v>11.999999999999998</v>
      </c>
      <c r="E307" s="1299" t="str">
        <f ca="1"/>
        <v/>
      </c>
      <c r="F307" s="1286" t="str">
        <f ca="1"/>
        <v/>
      </c>
      <c r="G307" s="1286" t="str">
        <f ca="1"/>
        <v/>
      </c>
      <c r="H307" s="1301" t="str">
        <f ca="1"/>
        <v/>
      </c>
      <c r="I307" s="1303" t="str">
        <f ca="1"/>
        <v/>
      </c>
      <c r="J307" s="1287" t="str">
        <f ca="1"/>
        <v/>
      </c>
      <c r="K307" s="1288" t="str">
        <f ca="1"/>
        <v xml:space="preserve">Description:
Details:
Aim:
</v>
      </c>
      <c r="L307" s="1287" t="str">
        <f ca="1"/>
        <v/>
      </c>
      <c r="M307" s="1287" t="str">
        <f ca="1"/>
        <v/>
      </c>
      <c r="N307" s="1287"/>
      <c r="O307" s="1323" t="str">
        <f ca="1"/>
        <v/>
      </c>
      <c r="P307" s="1287"/>
      <c r="Q307" s="1290" t="str">
        <f ca="1"/>
        <v/>
      </c>
    </row>
    <row r="308" spans="1:17" ht="27.75" hidden="1" customHeight="1" x14ac:dyDescent="0.45">
      <c r="A308" s="1289">
        <v>8</v>
      </c>
      <c r="B308" s="1285">
        <v>5</v>
      </c>
      <c r="C308" s="1285">
        <v>1</v>
      </c>
      <c r="D308" s="1297">
        <v>12.999999999999995</v>
      </c>
      <c r="E308" s="1299" t="str">
        <f ca="1"/>
        <v/>
      </c>
      <c r="F308" s="1286" t="str">
        <f ca="1"/>
        <v/>
      </c>
      <c r="G308" s="1286" t="str">
        <f ca="1"/>
        <v/>
      </c>
      <c r="H308" s="1301" t="str">
        <f ca="1"/>
        <v/>
      </c>
      <c r="I308" s="1303" t="str">
        <f ca="1"/>
        <v/>
      </c>
      <c r="J308" s="1287" t="str">
        <f ca="1"/>
        <v/>
      </c>
      <c r="K308" s="1288" t="str">
        <f ca="1"/>
        <v xml:space="preserve">Description:
Details:
Aim:
</v>
      </c>
      <c r="L308" s="1287" t="str">
        <f ca="1"/>
        <v/>
      </c>
      <c r="M308" s="1287" t="str">
        <f ca="1"/>
        <v/>
      </c>
      <c r="N308" s="1287"/>
      <c r="O308" s="1323" t="str">
        <f ca="1"/>
        <v/>
      </c>
      <c r="P308" s="1287"/>
      <c r="Q308" s="1290" t="str">
        <f ca="1"/>
        <v/>
      </c>
    </row>
    <row r="309" spans="1:17" ht="27.75" hidden="1" customHeight="1" x14ac:dyDescent="0.45">
      <c r="A309" s="1289">
        <v>8</v>
      </c>
      <c r="B309" s="1285">
        <v>5</v>
      </c>
      <c r="C309" s="1285">
        <v>1.9999999999999858</v>
      </c>
      <c r="D309" s="1297">
        <v>13.999999999999991</v>
      </c>
      <c r="E309" s="1299" t="str">
        <f ca="1"/>
        <v/>
      </c>
      <c r="F309" s="1286" t="str">
        <f ca="1"/>
        <v/>
      </c>
      <c r="G309" s="1286" t="str">
        <f ca="1"/>
        <v/>
      </c>
      <c r="H309" s="1301" t="str">
        <f ca="1"/>
        <v/>
      </c>
      <c r="I309" s="1303" t="str">
        <f ca="1"/>
        <v/>
      </c>
      <c r="J309" s="1287" t="str">
        <f ca="1"/>
        <v/>
      </c>
      <c r="K309" s="1288" t="str">
        <f ca="1"/>
        <v xml:space="preserve">Description:
Details:
Aim:
</v>
      </c>
      <c r="L309" s="1287" t="str">
        <f ca="1"/>
        <v/>
      </c>
      <c r="M309" s="1287" t="str">
        <f ca="1"/>
        <v/>
      </c>
      <c r="N309" s="1287"/>
      <c r="O309" s="1323" t="str">
        <f ca="1"/>
        <v/>
      </c>
      <c r="P309" s="1287"/>
      <c r="Q309" s="1290" t="str">
        <f ca="1"/>
        <v/>
      </c>
    </row>
    <row r="310" spans="1:17" ht="27.75" hidden="1" customHeight="1" x14ac:dyDescent="0.45">
      <c r="A310" s="1289">
        <v>8</v>
      </c>
      <c r="B310" s="1285">
        <v>5</v>
      </c>
      <c r="C310" s="1285">
        <v>3.0000000000000142</v>
      </c>
      <c r="D310" s="1297">
        <v>14.999999999999988</v>
      </c>
      <c r="E310" s="1299" t="str">
        <f ca="1"/>
        <v/>
      </c>
      <c r="F310" s="1286" t="str">
        <f ca="1"/>
        <v/>
      </c>
      <c r="G310" s="1286" t="str">
        <f ca="1"/>
        <v/>
      </c>
      <c r="H310" s="1301" t="str">
        <f ca="1"/>
        <v/>
      </c>
      <c r="I310" s="1303" t="str">
        <f ca="1"/>
        <v/>
      </c>
      <c r="J310" s="1287" t="str">
        <f ca="1"/>
        <v/>
      </c>
      <c r="K310" s="1288" t="str">
        <f ca="1"/>
        <v xml:space="preserve">Description:
Details:
Aim:
</v>
      </c>
      <c r="L310" s="1287" t="str">
        <f ca="1"/>
        <v/>
      </c>
      <c r="M310" s="1287" t="str">
        <f ca="1"/>
        <v/>
      </c>
      <c r="N310" s="1287"/>
      <c r="O310" s="1323" t="str">
        <f ca="1"/>
        <v/>
      </c>
      <c r="P310" s="1287"/>
      <c r="Q310" s="1290" t="str">
        <f ca="1"/>
        <v/>
      </c>
    </row>
    <row r="311" spans="1:17" ht="27.75" hidden="1" customHeight="1" x14ac:dyDescent="0.45">
      <c r="A311" s="1289">
        <v>8</v>
      </c>
      <c r="B311" s="1285">
        <v>5</v>
      </c>
      <c r="C311" s="1285">
        <v>1</v>
      </c>
      <c r="D311" s="1297">
        <v>15.999999999999984</v>
      </c>
      <c r="E311" s="1299" t="str">
        <f ca="1"/>
        <v>Rest from continuous exercise.</v>
      </c>
      <c r="F311" s="1286" t="str">
        <f ca="1"/>
        <v>Sport: Run
WU/WD: No 
Effort Total: 55 minutes
HR Target: N/A BPM
HR Range: N/A BPM 
Flat Road Equivalent Pace:  min/km</v>
      </c>
      <c r="G311" s="1286" t="str">
        <f ca="1"/>
        <v xml:space="preserve">Allow safest recovery of the whole body. </v>
      </c>
      <c r="H311" s="1301" t="str">
        <f ca="1"/>
        <v/>
      </c>
      <c r="I311" s="1303" t="str">
        <f ca="1"/>
        <v>Easy road ride: 55 minutes</v>
      </c>
      <c r="J311" s="1287" t="str">
        <f ca="1"/>
        <v>Running</v>
      </c>
      <c r="K311" s="1288" t="str">
        <f ca="1"/>
        <v xml:space="preserve">Description:
Rest from continuous exercise.
Details:
Sport: Run
WU/WD: No 
Effort Total: 55 minutes
HR Target: N/A BPM
HR Range: N/A BPM 
Flat Road Equivalent Pace:  min/km
Aim:
Allow safest recovery of the whole body. </v>
      </c>
      <c r="L311" s="1287">
        <f ca="1"/>
        <v>0</v>
      </c>
      <c r="M311" s="1287">
        <f ca="1"/>
        <v>0.91666666666666663</v>
      </c>
      <c r="N311" s="1287"/>
      <c r="O311" s="1323" t="str">
        <f ca="1"/>
        <v>2018-11-21 06:00</v>
      </c>
      <c r="P311" s="1287"/>
      <c r="Q311" s="1290" t="str">
        <f ca="1"/>
        <v>Run</v>
      </c>
    </row>
    <row r="312" spans="1:17" ht="27.75" hidden="1" customHeight="1" x14ac:dyDescent="0.45">
      <c r="A312" s="1289">
        <v>8</v>
      </c>
      <c r="B312" s="1285">
        <v>6</v>
      </c>
      <c r="C312" s="1285">
        <v>1.9999999999999858</v>
      </c>
      <c r="D312" s="1297">
        <v>17.000000000000018</v>
      </c>
      <c r="E312" s="1299" t="str">
        <f ca="1"/>
        <v/>
      </c>
      <c r="F312" s="1286" t="str">
        <f ca="1"/>
        <v/>
      </c>
      <c r="G312" s="1286" t="str">
        <f ca="1"/>
        <v/>
      </c>
      <c r="H312" s="1301" t="str">
        <f ca="1"/>
        <v/>
      </c>
      <c r="I312" s="1303" t="str">
        <f ca="1"/>
        <v/>
      </c>
      <c r="J312" s="1287" t="str">
        <f ca="1"/>
        <v/>
      </c>
      <c r="K312" s="1288" t="str">
        <f ca="1"/>
        <v xml:space="preserve">Description:
Details:
Aim:
</v>
      </c>
      <c r="L312" s="1287" t="str">
        <f ca="1"/>
        <v/>
      </c>
      <c r="M312" s="1287" t="str">
        <f ca="1"/>
        <v/>
      </c>
      <c r="N312" s="1287"/>
      <c r="O312" s="1323" t="str">
        <f ca="1"/>
        <v/>
      </c>
      <c r="P312" s="1287"/>
      <c r="Q312" s="1290" t="str">
        <f ca="1"/>
        <v/>
      </c>
    </row>
    <row r="313" spans="1:17" ht="27.75" hidden="1" customHeight="1" x14ac:dyDescent="0.45">
      <c r="A313" s="1289">
        <v>8</v>
      </c>
      <c r="B313" s="1285">
        <v>6</v>
      </c>
      <c r="C313" s="1285">
        <v>3.0000000000000142</v>
      </c>
      <c r="D313" s="1297">
        <v>18.000000000000014</v>
      </c>
      <c r="E313" s="1299" t="str">
        <f ca="1"/>
        <v/>
      </c>
      <c r="F313" s="1286" t="str">
        <f ca="1"/>
        <v/>
      </c>
      <c r="G313" s="1286" t="str">
        <f ca="1"/>
        <v/>
      </c>
      <c r="H313" s="1301" t="str">
        <f ca="1"/>
        <v/>
      </c>
      <c r="I313" s="1303" t="str">
        <f ca="1"/>
        <v/>
      </c>
      <c r="J313" s="1287" t="str">
        <f ca="1"/>
        <v/>
      </c>
      <c r="K313" s="1288" t="str">
        <f ca="1"/>
        <v xml:space="preserve">Description:
Details:
Aim:
</v>
      </c>
      <c r="L313" s="1287" t="str">
        <f ca="1"/>
        <v/>
      </c>
      <c r="M313" s="1287" t="str">
        <f ca="1"/>
        <v/>
      </c>
      <c r="N313" s="1287"/>
      <c r="O313" s="1323" t="str">
        <f ca="1"/>
        <v/>
      </c>
      <c r="P313" s="1287"/>
      <c r="Q313" s="1290" t="str">
        <f ca="1"/>
        <v/>
      </c>
    </row>
    <row r="314" spans="1:17" ht="27.75" hidden="1" customHeight="1" x14ac:dyDescent="0.45">
      <c r="A314" s="1289">
        <v>8</v>
      </c>
      <c r="B314" s="1285">
        <v>7</v>
      </c>
      <c r="C314" s="1285">
        <v>1</v>
      </c>
      <c r="D314" s="1297">
        <v>19.000000000000011</v>
      </c>
      <c r="E314" s="1299" t="str">
        <f ca="1"/>
        <v/>
      </c>
      <c r="F314" s="1286" t="str">
        <f ca="1"/>
        <v/>
      </c>
      <c r="G314" s="1286" t="str">
        <f ca="1"/>
        <v/>
      </c>
      <c r="H314" s="1301" t="str">
        <f ca="1"/>
        <v/>
      </c>
      <c r="I314" s="1303" t="str">
        <f ca="1"/>
        <v/>
      </c>
      <c r="J314" s="1287" t="str">
        <f ca="1"/>
        <v/>
      </c>
      <c r="K314" s="1288" t="str">
        <f ca="1"/>
        <v xml:space="preserve">Description:
Details:
Aim:
</v>
      </c>
      <c r="L314" s="1287" t="str">
        <f ca="1"/>
        <v/>
      </c>
      <c r="M314" s="1287" t="str">
        <f ca="1"/>
        <v/>
      </c>
      <c r="N314" s="1287"/>
      <c r="O314" s="1323" t="str">
        <f ca="1"/>
        <v/>
      </c>
      <c r="P314" s="1287"/>
      <c r="Q314" s="1290" t="str">
        <f ca="1"/>
        <v/>
      </c>
    </row>
    <row r="315" spans="1:17" ht="27.75" hidden="1" customHeight="1" x14ac:dyDescent="0.45">
      <c r="A315" s="1289">
        <v>8</v>
      </c>
      <c r="B315" s="1285">
        <v>7</v>
      </c>
      <c r="C315" s="1285">
        <v>1.9999999999999858</v>
      </c>
      <c r="D315" s="1297">
        <v>20.000000000000007</v>
      </c>
      <c r="E315" s="1299" t="str">
        <f ca="1"/>
        <v/>
      </c>
      <c r="F315" s="1286" t="str">
        <f ca="1"/>
        <v/>
      </c>
      <c r="G315" s="1286" t="str">
        <f ca="1"/>
        <v/>
      </c>
      <c r="H315" s="1301" t="str">
        <f ca="1"/>
        <v/>
      </c>
      <c r="I315" s="1303" t="str">
        <f ca="1"/>
        <v/>
      </c>
      <c r="J315" s="1287" t="str">
        <f ca="1"/>
        <v/>
      </c>
      <c r="K315" s="1288" t="str">
        <f ca="1"/>
        <v xml:space="preserve">Description:
Details:
Aim:
</v>
      </c>
      <c r="L315" s="1287" t="str">
        <f ca="1"/>
        <v/>
      </c>
      <c r="M315" s="1287" t="str">
        <f ca="1"/>
        <v/>
      </c>
      <c r="N315" s="1287"/>
      <c r="O315" s="1323" t="str">
        <f ca="1"/>
        <v/>
      </c>
      <c r="P315" s="1287"/>
      <c r="Q315" s="1290" t="str">
        <f ca="1"/>
        <v/>
      </c>
    </row>
    <row r="316" spans="1:17" ht="27.75" hidden="1" customHeight="1" x14ac:dyDescent="0.45">
      <c r="A316" s="1289">
        <v>8</v>
      </c>
      <c r="B316" s="1285">
        <v>7</v>
      </c>
      <c r="C316" s="1285">
        <v>3.0000000000000142</v>
      </c>
      <c r="D316" s="1297">
        <v>21.000000000000004</v>
      </c>
      <c r="E316" s="1299" t="str">
        <f ca="1"/>
        <v/>
      </c>
      <c r="F316" s="1286" t="str">
        <f ca="1"/>
        <v/>
      </c>
      <c r="G316" s="1286" t="str">
        <f ca="1"/>
        <v/>
      </c>
      <c r="H316" s="1301" t="str">
        <f ca="1"/>
        <v/>
      </c>
      <c r="I316" s="1303" t="str">
        <f ca="1"/>
        <v/>
      </c>
      <c r="J316" s="1287" t="str">
        <f ca="1"/>
        <v/>
      </c>
      <c r="K316" s="1288" t="str">
        <f ca="1"/>
        <v xml:space="preserve">Description:
Details:
Aim:
</v>
      </c>
      <c r="L316" s="1287" t="str">
        <f ca="1"/>
        <v/>
      </c>
      <c r="M316" s="1287" t="str">
        <f ca="1"/>
        <v/>
      </c>
      <c r="N316" s="1287"/>
      <c r="O316" s="1323" t="str">
        <f ca="1"/>
        <v/>
      </c>
      <c r="P316" s="1287"/>
      <c r="Q316" s="1290" t="str">
        <f ca="1"/>
        <v/>
      </c>
    </row>
    <row r="317" spans="1:17" ht="27.75" hidden="1" customHeight="1" x14ac:dyDescent="0.45">
      <c r="A317" s="1289">
        <v>8</v>
      </c>
      <c r="B317" s="1285">
        <v>8</v>
      </c>
      <c r="C317" s="1285">
        <v>1</v>
      </c>
      <c r="D317" s="1297">
        <v>22</v>
      </c>
      <c r="E317" s="1299" t="str">
        <f ca="1"/>
        <v>Stay at a comfortable and controlled intensity where you should be able to have a conversation without large pauses. Keep an even intensity and accept that your pace may change as the terrain changes.</v>
      </c>
      <c r="F317" s="1286" t="str">
        <f ca="1"/>
        <v>Sport: Hilly Trail Run
WU/WD: No 
Effort Total: 65 minutes
HR Target: 148 BPM
HR Range: 138 - 157 BPM 
Flat Road Equivalent Pace: 4:14 min/km</v>
      </c>
      <c r="G317" s="1286" t="str">
        <f ca="1"/>
        <v>Improve aerobic fitness at an optimal rate.</v>
      </c>
      <c r="H317" s="1301" t="str">
        <f ca="1"/>
        <v/>
      </c>
      <c r="I317" s="1303" t="str">
        <f ca="1"/>
        <v>Steady hilly trail run: 65 minutes</v>
      </c>
      <c r="J317" s="1287" t="str">
        <f ca="1"/>
        <v>Trail Running</v>
      </c>
      <c r="K317"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65 minutes
HR Target: 148 BPM
HR Range: 138 - 157 BPM 
Flat Road Equivalent Pace: 4:14 min/km
Aim:
Improve aerobic fitness at an optimal rate.</v>
      </c>
      <c r="L317" s="1287">
        <f ca="1"/>
        <v>3</v>
      </c>
      <c r="M317" s="1287">
        <f ca="1"/>
        <v>1.0833333333333333</v>
      </c>
      <c r="N317" s="1287"/>
      <c r="O317" s="1323" t="str">
        <f ca="1"/>
        <v>2018-11-22 18:00</v>
      </c>
      <c r="P317" s="1287"/>
      <c r="Q317" s="1290" t="str">
        <f ca="1"/>
        <v>Hilly Trail Run</v>
      </c>
    </row>
    <row r="318" spans="1:17" ht="27.75" hidden="1" customHeight="1" x14ac:dyDescent="0.45">
      <c r="A318" s="1289">
        <v>8</v>
      </c>
      <c r="B318" s="1285">
        <v>8</v>
      </c>
      <c r="C318" s="1285">
        <v>1.9999999999999858</v>
      </c>
      <c r="D318" s="1297">
        <v>22.999999999999996</v>
      </c>
      <c r="E318" s="1299" t="str">
        <f ca="1"/>
        <v/>
      </c>
      <c r="F318" s="1286" t="str">
        <f ca="1"/>
        <v/>
      </c>
      <c r="G318" s="1286" t="str">
        <f ca="1"/>
        <v/>
      </c>
      <c r="H318" s="1301" t="str">
        <f ca="1"/>
        <v/>
      </c>
      <c r="I318" s="1303" t="str">
        <f ca="1"/>
        <v/>
      </c>
      <c r="J318" s="1287" t="str">
        <f ca="1"/>
        <v/>
      </c>
      <c r="K318" s="1288" t="str">
        <f ca="1"/>
        <v xml:space="preserve">Description:
Details:
Aim:
</v>
      </c>
      <c r="L318" s="1287" t="str">
        <f ca="1"/>
        <v/>
      </c>
      <c r="M318" s="1287" t="str">
        <f ca="1"/>
        <v/>
      </c>
      <c r="N318" s="1287"/>
      <c r="O318" s="1323" t="str">
        <f ca="1"/>
        <v/>
      </c>
      <c r="P318" s="1287"/>
      <c r="Q318" s="1290" t="str">
        <f ca="1"/>
        <v/>
      </c>
    </row>
    <row r="319" spans="1:17" ht="27.75" hidden="1" customHeight="1" x14ac:dyDescent="0.45">
      <c r="A319" s="1289">
        <v>8</v>
      </c>
      <c r="B319" s="1285">
        <v>8</v>
      </c>
      <c r="C319" s="1285">
        <v>3.0000000000000142</v>
      </c>
      <c r="D319" s="1297">
        <v>23.999999999999993</v>
      </c>
      <c r="E319" s="1299" t="str">
        <f ca="1"/>
        <v/>
      </c>
      <c r="F319" s="1286" t="str">
        <f ca="1"/>
        <v/>
      </c>
      <c r="G319" s="1286" t="str">
        <f ca="1"/>
        <v/>
      </c>
      <c r="H319" s="1301" t="str">
        <f ca="1"/>
        <v/>
      </c>
      <c r="I319" s="1303" t="str">
        <f ca="1"/>
        <v/>
      </c>
      <c r="J319" s="1287" t="str">
        <f ca="1"/>
        <v/>
      </c>
      <c r="K319" s="1288" t="str">
        <f ca="1"/>
        <v xml:space="preserve">Description:
Details:
Aim:
</v>
      </c>
      <c r="L319" s="1287" t="str">
        <f ca="1"/>
        <v/>
      </c>
      <c r="M319" s="1287" t="str">
        <f ca="1"/>
        <v/>
      </c>
      <c r="N319" s="1287"/>
      <c r="O319" s="1323" t="str">
        <f ca="1"/>
        <v/>
      </c>
      <c r="P319" s="1287"/>
      <c r="Q319" s="1290" t="str">
        <f ca="1"/>
        <v/>
      </c>
    </row>
    <row r="320" spans="1:17" ht="27.75" hidden="1" customHeight="1" x14ac:dyDescent="0.45">
      <c r="A320" s="1289">
        <v>8</v>
      </c>
      <c r="B320" s="1285">
        <v>9</v>
      </c>
      <c r="C320" s="1285">
        <v>1</v>
      </c>
      <c r="D320" s="1297">
        <v>24.999999999999989</v>
      </c>
      <c r="E320" s="1299" t="str">
        <f ca="1"/>
        <v>Stay at a comfortable and controlled intensity where you should be able to have a conversation without large pauses. Keep an even intensity and accept that your pace may change as the terrain changes.</v>
      </c>
      <c r="F320" s="1286" t="str">
        <f ca="1"/>
        <v>Sport: Ride
WU/WD: No 
Effort Total: 40 minutes
HR Target: 138 BPM
HR Range: 129 - 148 BPM 
Flat Road Equivalent Pace: 4:39 min/km</v>
      </c>
      <c r="G320" s="1286" t="str">
        <f ca="1"/>
        <v xml:space="preserve">Improve aerobic fitness while minimising the chance of injury. </v>
      </c>
      <c r="H320" s="1301" t="str">
        <f ca="1"/>
        <v/>
      </c>
      <c r="I320" s="1303" t="str">
        <f ca="1"/>
        <v>Easy ride: 40 minutes</v>
      </c>
      <c r="J320" s="1287" t="str">
        <f ca="1"/>
        <v>Cycling</v>
      </c>
      <c r="K32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320" s="1287">
        <f ca="1"/>
        <v>110</v>
      </c>
      <c r="M320" s="1287">
        <f ca="1"/>
        <v>0.66666666666666663</v>
      </c>
      <c r="N320" s="1287"/>
      <c r="O320" s="1323" t="str">
        <f ca="1"/>
        <v>2018-11-23 06:00</v>
      </c>
      <c r="P320" s="1287"/>
      <c r="Q320" s="1290" t="str">
        <f ca="1"/>
        <v>Ride</v>
      </c>
    </row>
    <row r="321" spans="1:17" ht="27.75" hidden="1" customHeight="1" x14ac:dyDescent="0.45">
      <c r="A321" s="1289">
        <v>8</v>
      </c>
      <c r="B321" s="1285">
        <v>9</v>
      </c>
      <c r="C321" s="1285">
        <v>1.9999999999999858</v>
      </c>
      <c r="D321" s="1297">
        <v>25.999999999999986</v>
      </c>
      <c r="E321" s="1299" t="str">
        <f ca="1"/>
        <v/>
      </c>
      <c r="F321" s="1286" t="str">
        <f ca="1"/>
        <v/>
      </c>
      <c r="G321" s="1286" t="str">
        <f ca="1"/>
        <v/>
      </c>
      <c r="H321" s="1301" t="str">
        <f ca="1"/>
        <v/>
      </c>
      <c r="I321" s="1303" t="str">
        <f ca="1"/>
        <v/>
      </c>
      <c r="J321" s="1287" t="str">
        <f ca="1"/>
        <v/>
      </c>
      <c r="K321" s="1288" t="str">
        <f ca="1"/>
        <v xml:space="preserve">Description:
Details:
Aim:
</v>
      </c>
      <c r="L321" s="1287" t="str">
        <f ca="1"/>
        <v/>
      </c>
      <c r="M321" s="1287" t="str">
        <f ca="1"/>
        <v/>
      </c>
      <c r="N321" s="1287"/>
      <c r="O321" s="1323" t="str">
        <f ca="1"/>
        <v/>
      </c>
      <c r="P321" s="1287"/>
      <c r="Q321" s="1290" t="str">
        <f ca="1"/>
        <v/>
      </c>
    </row>
    <row r="322" spans="1:17" ht="27.75" hidden="1" customHeight="1" x14ac:dyDescent="0.45">
      <c r="A322" s="1289">
        <v>8</v>
      </c>
      <c r="B322" s="1285">
        <v>9</v>
      </c>
      <c r="C322" s="1285">
        <v>3.0000000000000142</v>
      </c>
      <c r="D322" s="1297">
        <v>26.999999999999982</v>
      </c>
      <c r="E322" s="1299" t="str">
        <f ca="1"/>
        <v/>
      </c>
      <c r="F322" s="1286" t="str">
        <f ca="1"/>
        <v/>
      </c>
      <c r="G322" s="1286" t="str">
        <f ca="1"/>
        <v/>
      </c>
      <c r="H322" s="1301" t="str">
        <f ca="1"/>
        <v/>
      </c>
      <c r="I322" s="1303" t="str">
        <f ca="1"/>
        <v/>
      </c>
      <c r="J322" s="1287" t="str">
        <f ca="1"/>
        <v/>
      </c>
      <c r="K322" s="1288" t="str">
        <f ca="1"/>
        <v xml:space="preserve">Description:
Details:
Aim:
</v>
      </c>
      <c r="L322" s="1287" t="str">
        <f ca="1"/>
        <v/>
      </c>
      <c r="M322" s="1287" t="str">
        <f ca="1"/>
        <v/>
      </c>
      <c r="N322" s="1287"/>
      <c r="O322" s="1323" t="str">
        <f ca="1"/>
        <v/>
      </c>
      <c r="P322" s="1287"/>
      <c r="Q322" s="1290" t="str">
        <f ca="1"/>
        <v/>
      </c>
    </row>
    <row r="323" spans="1:17" ht="27.75" hidden="1" customHeight="1" x14ac:dyDescent="0.45">
      <c r="A323" s="1289">
        <v>8</v>
      </c>
      <c r="B323" s="1285">
        <v>10</v>
      </c>
      <c r="C323" s="1285">
        <v>1</v>
      </c>
      <c r="D323" s="1297">
        <v>28.000000000000014</v>
      </c>
      <c r="E323" s="1299" t="str">
        <f ca="1"/>
        <v>Perform a variety of specialised exercises to engage specific muscles. These sessions must be learned with a coach first but are relatively easy to continue with on your own. Demonstrate control and focus on posture and muscle activation.</v>
      </c>
      <c r="F323" s="1286" t="str">
        <f ca="1"/>
        <v>Sport: Indoor
WU/WD: No 
Effort Total: 30 minutes
HR Target: N/A BPM
HR Range: N/A BPM 
Flat Road Equivalent Pace:  min/km</v>
      </c>
      <c r="G323" s="1286" t="str">
        <f ca="1"/>
        <v xml:space="preserve">Increase strength of specific muscle groups, running economy and injury resistance. </v>
      </c>
      <c r="H323" s="1301" t="str">
        <f ca="1"/>
        <v/>
      </c>
      <c r="I323" s="1303" t="str">
        <f ca="1"/>
        <v>Strength and conditioning</v>
      </c>
      <c r="J323" s="1287" t="str">
        <f ca="1"/>
        <v>Strength</v>
      </c>
      <c r="K323"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323" s="1287">
        <f ca="1"/>
        <v>76</v>
      </c>
      <c r="M323" s="1287">
        <f ca="1"/>
        <v>0.5</v>
      </c>
      <c r="N323" s="1287"/>
      <c r="O323" s="1323" t="str">
        <f ca="1"/>
        <v>2018-11-23 18:00</v>
      </c>
      <c r="P323" s="1287"/>
      <c r="Q323" s="1290" t="str">
        <f ca="1"/>
        <v>Indoor</v>
      </c>
    </row>
    <row r="324" spans="1:17" ht="27.75" hidden="1" customHeight="1" x14ac:dyDescent="0.45">
      <c r="A324" s="1289">
        <v>8</v>
      </c>
      <c r="B324" s="1285">
        <v>10</v>
      </c>
      <c r="C324" s="1285">
        <v>1.9999999999999858</v>
      </c>
      <c r="D324" s="1297">
        <v>29.000000000000014</v>
      </c>
      <c r="E324" s="1299" t="str">
        <f ca="1"/>
        <v>Use a hands, rollers, or balls on all major muscle groups with extra time on more sensitive or problematic areas or as guided by a coach or physio. Finish with 20 minutes of lower-limb stretching.</v>
      </c>
      <c r="F324" s="1286" t="str">
        <f ca="1"/>
        <v>Sport: Indoor
WU/WD: No 
Effort Total: 30 minutes
HR Target: N/A BPM
HR Range: N/A BPM 
Flat Road Equivalent Pace:  min/km</v>
      </c>
      <c r="G324" s="1286" t="str">
        <f ca="1"/>
        <v xml:space="preserve">Release tension that develops in soft tissue from training and non-training stresses. </v>
      </c>
      <c r="H324" s="1301" t="str">
        <f ca="1"/>
        <v/>
      </c>
      <c r="I324" s="1303" t="str">
        <f ca="1"/>
        <v>Maintenance</v>
      </c>
      <c r="J324" s="1287" t="str">
        <f ca="1"/>
        <v>Strength</v>
      </c>
      <c r="K324"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24" s="1287">
        <f ca="1"/>
        <v>76</v>
      </c>
      <c r="M324" s="1287">
        <f ca="1"/>
        <v>0.5</v>
      </c>
      <c r="N324" s="1287"/>
      <c r="O324" s="1323" t="str">
        <f ca="1"/>
        <v>2018-11-23 20:00</v>
      </c>
      <c r="P324" s="1287"/>
      <c r="Q324" s="1290" t="str">
        <f ca="1"/>
        <v>Indoor</v>
      </c>
    </row>
    <row r="325" spans="1:17" ht="27.75" hidden="1" customHeight="1" x14ac:dyDescent="0.45">
      <c r="A325" s="1289">
        <v>8</v>
      </c>
      <c r="B325" s="1285">
        <v>10</v>
      </c>
      <c r="C325" s="1285">
        <v>3.0000000000000142</v>
      </c>
      <c r="D325" s="1297">
        <v>30.000000000000007</v>
      </c>
      <c r="E325" s="1299" t="str">
        <f ca="1"/>
        <v/>
      </c>
      <c r="F325" s="1286" t="str">
        <f ca="1"/>
        <v/>
      </c>
      <c r="G325" s="1286" t="str">
        <f ca="1"/>
        <v/>
      </c>
      <c r="H325" s="1301" t="str">
        <f ca="1"/>
        <v/>
      </c>
      <c r="I325" s="1303" t="str">
        <f ca="1"/>
        <v/>
      </c>
      <c r="J325" s="1287" t="str">
        <f ca="1"/>
        <v/>
      </c>
      <c r="K325" s="1288" t="str">
        <f ca="1"/>
        <v xml:space="preserve">Description:
Details:
Aim:
</v>
      </c>
      <c r="L325" s="1287" t="str">
        <f ca="1"/>
        <v/>
      </c>
      <c r="M325" s="1287" t="str">
        <f ca="1"/>
        <v/>
      </c>
      <c r="N325" s="1287"/>
      <c r="O325" s="1323" t="str">
        <f ca="1"/>
        <v/>
      </c>
      <c r="P325" s="1287"/>
      <c r="Q325" s="1290" t="str">
        <f ca="1"/>
        <v/>
      </c>
    </row>
    <row r="326" spans="1:17" ht="27.75" hidden="1" customHeight="1" x14ac:dyDescent="0.45">
      <c r="A326" s="1289">
        <v>8</v>
      </c>
      <c r="B326" s="1285">
        <v>11</v>
      </c>
      <c r="C326" s="1285">
        <v>1</v>
      </c>
      <c r="D326" s="1297">
        <v>31.000000000000007</v>
      </c>
      <c r="E326" s="1299" t="str">
        <f ca="1"/>
        <v>Perform a variety of specialised exercises to engage specific muscles and apply them in functional movements. These sessions must be learned with a coach first. Warm up and warm down for 10 minutes each.</v>
      </c>
      <c r="F326" s="1286" t="str">
        <f ca="1"/>
        <v>Sport: Run
WU/WD: 15 minutes 
Effort Total: 30 minutes
HR Target: 148 BPM
HR Range: 129 - 169 BPM 
Flat Road Equivalent Pace: 4:14 min/km</v>
      </c>
      <c r="G326" s="1286" t="str">
        <f ca="1"/>
        <v xml:space="preserve">Improve running economy and injury resistance. </v>
      </c>
      <c r="H326" s="1301" t="str">
        <f ca="1"/>
        <v/>
      </c>
      <c r="I326" s="1303" t="str">
        <f ca="1"/>
        <v>Drills + WU</v>
      </c>
      <c r="J326" s="1287" t="str">
        <f ca="1"/>
        <v>Running</v>
      </c>
      <c r="K326" s="1288" t="str">
        <f ca="1"/>
        <v xml:space="preserve">Description:
Perform a variety of specialised exercises to engage specific muscles and apply them in functional movements. These sessions must be learned with a coach first. Warm up and warm down for 10 minutes each.
Details:
Sport: Run
WU/WD: 15 minutes 
Effort Total: 30 minutes
HR Target: 148 BPM
HR Range: 129 - 169 BPM 
Flat Road Equivalent Pace: 4:14 min/km
Aim:
Improve running economy and injury resistance. </v>
      </c>
      <c r="L326" s="1287">
        <f ca="1"/>
        <v>73</v>
      </c>
      <c r="M326" s="1287">
        <f ca="1"/>
        <v>0.5</v>
      </c>
      <c r="N326" s="1287"/>
      <c r="O326" s="1323" t="str">
        <f ca="1"/>
        <v>2018-11-24 06:00</v>
      </c>
      <c r="P326" s="1287"/>
      <c r="Q326" s="1290" t="str">
        <f ca="1"/>
        <v>Run</v>
      </c>
    </row>
    <row r="327" spans="1:17" ht="27.75" hidden="1" customHeight="1" x14ac:dyDescent="0.45">
      <c r="A327" s="1289">
        <v>8</v>
      </c>
      <c r="B327" s="1285">
        <v>11</v>
      </c>
      <c r="C327" s="1285">
        <v>1.9999999999999858</v>
      </c>
      <c r="D327" s="1297">
        <v>32</v>
      </c>
      <c r="E327" s="1299" t="str">
        <f ca="1"/>
        <v>Stay at a comfortable and controlled intensity where you should be able to have a conversation without large pauses. Keep an even intensity and accept that your pace may change as the terrain changes.</v>
      </c>
      <c r="F327" s="1286" t="str">
        <f ca="1"/>
        <v>Sport: Run
WU/WD: No 
Effort Total: 25 minutes
HR Target: 138 BPM
HR Range: 129 - 148 BPM 
Flat Road Equivalent Pace: 4:39 min/km</v>
      </c>
      <c r="G327" s="1286" t="str">
        <f ca="1"/>
        <v xml:space="preserve">Improve aerobic fitness while minimising the chance of injury. </v>
      </c>
      <c r="H327" s="1301" t="str">
        <f ca="1"/>
        <v/>
      </c>
      <c r="I327" s="1303" t="str">
        <f ca="1"/>
        <v>Easy run: 25 minutes</v>
      </c>
      <c r="J327" s="1287" t="str">
        <f ca="1"/>
        <v>Running</v>
      </c>
      <c r="K327"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25 minutes
HR Target: 138 BPM
HR Range: 129 - 148 BPM 
Flat Road Equivalent Pace: 4:39 min/km
Aim:
Improve aerobic fitness while minimising the chance of injury. </v>
      </c>
      <c r="L327" s="1287">
        <f ca="1"/>
        <v>73</v>
      </c>
      <c r="M327" s="1287">
        <f ca="1"/>
        <v>0.41666666666666669</v>
      </c>
      <c r="N327" s="1287"/>
      <c r="O327" s="1323" t="str">
        <f ca="1"/>
        <v>2018-11-24 08:00</v>
      </c>
      <c r="P327" s="1287"/>
      <c r="Q327" s="1290" t="str">
        <f ca="1"/>
        <v>Run</v>
      </c>
    </row>
    <row r="328" spans="1:17" ht="27.75" hidden="1" customHeight="1" x14ac:dyDescent="0.45">
      <c r="A328" s="1289">
        <v>8</v>
      </c>
      <c r="B328" s="1285">
        <v>11</v>
      </c>
      <c r="C328" s="1285">
        <v>3.0000000000000142</v>
      </c>
      <c r="D328" s="1297">
        <v>33</v>
      </c>
      <c r="E328" s="1299" t="str">
        <f ca="1"/>
        <v/>
      </c>
      <c r="F328" s="1286" t="str">
        <f ca="1"/>
        <v/>
      </c>
      <c r="G328" s="1286" t="str">
        <f ca="1"/>
        <v/>
      </c>
      <c r="H328" s="1301" t="str">
        <f ca="1"/>
        <v/>
      </c>
      <c r="I328" s="1303" t="str">
        <f ca="1"/>
        <v/>
      </c>
      <c r="J328" s="1287" t="str">
        <f ca="1"/>
        <v/>
      </c>
      <c r="K328" s="1288" t="str">
        <f ca="1"/>
        <v xml:space="preserve">Description:
Details:
Aim:
</v>
      </c>
      <c r="L328" s="1287" t="str">
        <f ca="1"/>
        <v/>
      </c>
      <c r="M328" s="1287" t="str">
        <f ca="1"/>
        <v/>
      </c>
      <c r="N328" s="1287"/>
      <c r="O328" s="1323" t="str">
        <f ca="1"/>
        <v/>
      </c>
      <c r="P328" s="1287"/>
      <c r="Q328" s="1290" t="str">
        <f ca="1"/>
        <v/>
      </c>
    </row>
    <row r="329" spans="1:17" ht="27.75" hidden="1" customHeight="1" x14ac:dyDescent="0.45">
      <c r="A329" s="1289">
        <v>8</v>
      </c>
      <c r="B329" s="1285">
        <v>12</v>
      </c>
      <c r="C329" s="1285">
        <v>1</v>
      </c>
      <c r="D329" s="1297">
        <v>33.999999999999993</v>
      </c>
      <c r="E329" s="1299" t="str">
        <f ca="1"/>
        <v>Stay at a comfortable and controlled intensity where you should be able to have a conversation without large pauses. Keep an even intensity and accept that your pace may change as the terrain changes.</v>
      </c>
      <c r="F329" s="1286" t="str">
        <f ca="1"/>
        <v>Sport: Run
WU/WD: No 
Effort Total: 45 minutes
HR Target: 138 BPM
HR Range: 129 - 148 BPM 
Flat Road Equivalent Pace: 4:39 min/km</v>
      </c>
      <c r="G329" s="1286" t="str">
        <f ca="1"/>
        <v xml:space="preserve">Improve aerobic fitness while minimising the chance of injury. </v>
      </c>
      <c r="H329" s="1301" t="str">
        <f ca="1"/>
        <v/>
      </c>
      <c r="I329" s="1303" t="str">
        <f ca="1"/>
        <v>Easy run: 45 minutes</v>
      </c>
      <c r="J329" s="1287" t="str">
        <f ca="1"/>
        <v>Running</v>
      </c>
      <c r="K329"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45 minutes
HR Target: 138 BPM
HR Range: 129 - 148 BPM 
Flat Road Equivalent Pace: 4:39 min/km
Aim:
Improve aerobic fitness while minimising the chance of injury. </v>
      </c>
      <c r="L329" s="1287">
        <f ca="1"/>
        <v>2</v>
      </c>
      <c r="M329" s="1287">
        <f ca="1"/>
        <v>0.75</v>
      </c>
      <c r="N329" s="1287"/>
      <c r="O329" s="1323" t="str">
        <f ca="1"/>
        <v>2018-11-24 18:00</v>
      </c>
      <c r="P329" s="1287"/>
      <c r="Q329" s="1290" t="str">
        <f ca="1"/>
        <v>Run</v>
      </c>
    </row>
    <row r="330" spans="1:17" ht="27.75" hidden="1" customHeight="1" x14ac:dyDescent="0.45">
      <c r="A330" s="1289">
        <v>8</v>
      </c>
      <c r="B330" s="1285">
        <v>12</v>
      </c>
      <c r="C330" s="1285">
        <v>1.9999999999999858</v>
      </c>
      <c r="D330" s="1297">
        <v>34.999999999999993</v>
      </c>
      <c r="E330" s="1299" t="str">
        <f ca="1"/>
        <v/>
      </c>
      <c r="F330" s="1286" t="str">
        <f ca="1"/>
        <v/>
      </c>
      <c r="G330" s="1286" t="str">
        <f ca="1"/>
        <v/>
      </c>
      <c r="H330" s="1301" t="str">
        <f ca="1"/>
        <v/>
      </c>
      <c r="I330" s="1303" t="str">
        <f ca="1"/>
        <v/>
      </c>
      <c r="J330" s="1287" t="str">
        <f ca="1"/>
        <v/>
      </c>
      <c r="K330" s="1288" t="str">
        <f ca="1"/>
        <v xml:space="preserve">Description:
Details:
Aim:
</v>
      </c>
      <c r="L330" s="1287" t="str">
        <f ca="1"/>
        <v/>
      </c>
      <c r="M330" s="1287" t="str">
        <f ca="1"/>
        <v/>
      </c>
      <c r="N330" s="1287"/>
      <c r="O330" s="1323" t="str">
        <f ca="1"/>
        <v/>
      </c>
      <c r="P330" s="1287"/>
      <c r="Q330" s="1290" t="str">
        <f ca="1"/>
        <v/>
      </c>
    </row>
    <row r="331" spans="1:17" ht="27.75" hidden="1" customHeight="1" x14ac:dyDescent="0.45">
      <c r="A331" s="1289">
        <v>8</v>
      </c>
      <c r="B331" s="1285">
        <v>12</v>
      </c>
      <c r="C331" s="1285">
        <v>3.0000000000000142</v>
      </c>
      <c r="D331" s="1297">
        <v>35.999999999999986</v>
      </c>
      <c r="E331" s="1299" t="str">
        <f ca="1"/>
        <v/>
      </c>
      <c r="F331" s="1286" t="str">
        <f ca="1"/>
        <v/>
      </c>
      <c r="G331" s="1286" t="str">
        <f ca="1"/>
        <v/>
      </c>
      <c r="H331" s="1301" t="str">
        <f ca="1"/>
        <v/>
      </c>
      <c r="I331" s="1303" t="str">
        <f ca="1"/>
        <v/>
      </c>
      <c r="J331" s="1287" t="str">
        <f ca="1"/>
        <v/>
      </c>
      <c r="K331" s="1288" t="str">
        <f ca="1"/>
        <v xml:space="preserve">Description:
Details:
Aim:
</v>
      </c>
      <c r="L331" s="1287" t="str">
        <f ca="1"/>
        <v/>
      </c>
      <c r="M331" s="1287" t="str">
        <f ca="1"/>
        <v/>
      </c>
      <c r="N331" s="1287"/>
      <c r="O331" s="1323" t="str">
        <f ca="1"/>
        <v/>
      </c>
      <c r="P331" s="1287"/>
      <c r="Q331" s="1290" t="str">
        <f ca="1"/>
        <v/>
      </c>
    </row>
    <row r="332" spans="1:17" ht="27.75" hidden="1" customHeight="1" x14ac:dyDescent="0.45">
      <c r="A332" s="1289">
        <v>8</v>
      </c>
      <c r="B332" s="1285">
        <v>13</v>
      </c>
      <c r="C332" s="1285">
        <v>1</v>
      </c>
      <c r="D332" s="1297">
        <v>36.999999999999986</v>
      </c>
      <c r="E332" s="1299" t="str">
        <f ca="1"/>
        <v xml:space="preserve">Fundamentally a steady, but you can be less strict at controlling your intensity as long as your average intensity is close to it's target by the end of the session </v>
      </c>
      <c r="F332" s="1286" t="str">
        <f ca="1"/>
        <v>Sport: Hilly Trail Run
WU/WD: No 
Effort Total: 110 minutes
HR Target: 148 BPM
HR Range: 129 - 169 BPM 
Flat Road Equivalent Pace: 4:14 min/km</v>
      </c>
      <c r="G332" s="1286" t="str">
        <f ca="1"/>
        <v xml:space="preserve">Improve aerobic fitness and energy utilisation. </v>
      </c>
      <c r="H332" s="1301" t="str">
        <f ca="1"/>
        <v/>
      </c>
      <c r="I332" s="1303" t="str">
        <f ca="1"/>
        <v>Long hilly trail run: 110 minutes</v>
      </c>
      <c r="J332" s="1287" t="str">
        <f ca="1"/>
        <v>Trail Running</v>
      </c>
      <c r="K332" s="1288" t="str">
        <f ca="1"/>
        <v xml:space="preserve">Description:
Fundamentally a steady, but you can be less strict at controlling your intensity as long as your average intensity is close to it's target by the end of the session 
Details:
Sport: Hilly Trail Run
WU/WD: No 
Effort Total: 110 minutes
HR Target: 148 BPM
HR Range: 129 - 169 BPM 
Flat Road Equivalent Pace: 4:14 min/km
Aim:
Improve aerobic fitness and energy utilisation. </v>
      </c>
      <c r="L332" s="1287">
        <f ca="1"/>
        <v>4</v>
      </c>
      <c r="M332" s="1287">
        <f ca="1"/>
        <v>1.8333333333333333</v>
      </c>
      <c r="N332" s="1287"/>
      <c r="O332" s="1323" t="str">
        <f ca="1"/>
        <v>2018-11-25 06:00</v>
      </c>
      <c r="P332" s="1287"/>
      <c r="Q332" s="1290" t="str">
        <f ca="1"/>
        <v>Hilly Trail Run</v>
      </c>
    </row>
    <row r="333" spans="1:17" ht="27.75" hidden="1" customHeight="1" x14ac:dyDescent="0.45">
      <c r="A333" s="1289">
        <v>8</v>
      </c>
      <c r="B333" s="1285">
        <v>13</v>
      </c>
      <c r="C333" s="1285">
        <v>1.9999999999999858</v>
      </c>
      <c r="D333" s="1297">
        <v>38.000000000000014</v>
      </c>
      <c r="E333" s="1299" t="str">
        <f ca="1"/>
        <v/>
      </c>
      <c r="F333" s="1286" t="str">
        <f ca="1"/>
        <v/>
      </c>
      <c r="G333" s="1286" t="str">
        <f ca="1"/>
        <v/>
      </c>
      <c r="H333" s="1301" t="str">
        <f ca="1"/>
        <v/>
      </c>
      <c r="I333" s="1303" t="str">
        <f ca="1"/>
        <v/>
      </c>
      <c r="J333" s="1287" t="str">
        <f ca="1"/>
        <v/>
      </c>
      <c r="K333" s="1288" t="str">
        <f ca="1"/>
        <v xml:space="preserve">Description:
Details:
Aim:
</v>
      </c>
      <c r="L333" s="1287" t="str">
        <f ca="1"/>
        <v/>
      </c>
      <c r="M333" s="1287" t="str">
        <f ca="1"/>
        <v/>
      </c>
      <c r="N333" s="1287"/>
      <c r="O333" s="1323" t="str">
        <f ca="1"/>
        <v/>
      </c>
      <c r="P333" s="1287"/>
      <c r="Q333" s="1290" t="str">
        <f ca="1"/>
        <v/>
      </c>
    </row>
    <row r="334" spans="1:17" ht="27.75" hidden="1" customHeight="1" x14ac:dyDescent="0.45">
      <c r="A334" s="1289">
        <v>8</v>
      </c>
      <c r="B334" s="1285">
        <v>13</v>
      </c>
      <c r="C334" s="1285">
        <v>3.0000000000000142</v>
      </c>
      <c r="D334" s="1297">
        <v>39.000000000000014</v>
      </c>
      <c r="E334" s="1299" t="str">
        <f ca="1"/>
        <v/>
      </c>
      <c r="F334" s="1286" t="str">
        <f ca="1"/>
        <v/>
      </c>
      <c r="G334" s="1286" t="str">
        <f ca="1"/>
        <v/>
      </c>
      <c r="H334" s="1301" t="str">
        <f ca="1"/>
        <v/>
      </c>
      <c r="I334" s="1303" t="str">
        <f ca="1"/>
        <v/>
      </c>
      <c r="J334" s="1287" t="str">
        <f ca="1"/>
        <v/>
      </c>
      <c r="K334" s="1288" t="str">
        <f ca="1"/>
        <v xml:space="preserve">Description:
Details:
Aim:
</v>
      </c>
      <c r="L334" s="1287" t="str">
        <f ca="1"/>
        <v/>
      </c>
      <c r="M334" s="1287" t="str">
        <f ca="1"/>
        <v/>
      </c>
      <c r="N334" s="1287"/>
      <c r="O334" s="1323" t="str">
        <f ca="1"/>
        <v/>
      </c>
      <c r="P334" s="1287"/>
      <c r="Q334" s="1290" t="str">
        <f ca="1"/>
        <v/>
      </c>
    </row>
    <row r="335" spans="1:17" ht="27.75" hidden="1" customHeight="1" x14ac:dyDescent="0.45">
      <c r="A335" s="1289">
        <v>8</v>
      </c>
      <c r="B335" s="1285">
        <v>14</v>
      </c>
      <c r="C335" s="1285">
        <v>1</v>
      </c>
      <c r="D335" s="1297">
        <v>40.000000000000014</v>
      </c>
      <c r="E335" s="1299" t="str">
        <f ca="1"/>
        <v/>
      </c>
      <c r="F335" s="1286" t="str">
        <f ca="1"/>
        <v/>
      </c>
      <c r="G335" s="1286" t="str">
        <f ca="1"/>
        <v/>
      </c>
      <c r="H335" s="1301" t="str">
        <f ca="1"/>
        <v/>
      </c>
      <c r="I335" s="1303" t="str">
        <f ca="1"/>
        <v/>
      </c>
      <c r="J335" s="1287" t="str">
        <f ca="1"/>
        <v/>
      </c>
      <c r="K335" s="1288" t="str">
        <f ca="1"/>
        <v xml:space="preserve">Description:
Details:
Aim:
</v>
      </c>
      <c r="L335" s="1287" t="str">
        <f ca="1"/>
        <v/>
      </c>
      <c r="M335" s="1287" t="str">
        <f ca="1"/>
        <v/>
      </c>
      <c r="N335" s="1287"/>
      <c r="O335" s="1323" t="str">
        <f ca="1"/>
        <v/>
      </c>
      <c r="P335" s="1287"/>
      <c r="Q335" s="1290" t="str">
        <f ca="1"/>
        <v/>
      </c>
    </row>
    <row r="336" spans="1:17" ht="27.75" hidden="1" customHeight="1" x14ac:dyDescent="0.45">
      <c r="A336" s="1289">
        <v>8</v>
      </c>
      <c r="B336" s="1285">
        <v>14</v>
      </c>
      <c r="C336" s="1285">
        <v>1.9999999999999858</v>
      </c>
      <c r="D336" s="1297">
        <v>41.000000000000007</v>
      </c>
      <c r="E336" s="1299" t="str">
        <f ca="1"/>
        <v/>
      </c>
      <c r="F336" s="1286" t="str">
        <f ca="1"/>
        <v/>
      </c>
      <c r="G336" s="1286" t="str">
        <f ca="1"/>
        <v/>
      </c>
      <c r="H336" s="1301" t="str">
        <f ca="1"/>
        <v/>
      </c>
      <c r="I336" s="1303" t="str">
        <f ca="1"/>
        <v/>
      </c>
      <c r="J336" s="1287" t="str">
        <f ca="1"/>
        <v/>
      </c>
      <c r="K336" s="1288" t="str">
        <f ca="1"/>
        <v xml:space="preserve">Description:
Details:
Aim:
</v>
      </c>
      <c r="L336" s="1287" t="str">
        <f ca="1"/>
        <v/>
      </c>
      <c r="M336" s="1287" t="str">
        <f ca="1"/>
        <v/>
      </c>
      <c r="N336" s="1287"/>
      <c r="O336" s="1323" t="str">
        <f ca="1"/>
        <v/>
      </c>
      <c r="P336" s="1287"/>
      <c r="Q336" s="1290" t="str">
        <f ca="1"/>
        <v/>
      </c>
    </row>
    <row r="337" spans="1:17" ht="27.75" hidden="1" customHeight="1" x14ac:dyDescent="0.45">
      <c r="A337" s="1289">
        <v>8</v>
      </c>
      <c r="B337" s="1285">
        <v>14</v>
      </c>
      <c r="C337" s="1285">
        <v>3.0000000000000142</v>
      </c>
      <c r="D337" s="1297">
        <v>42</v>
      </c>
      <c r="E337" s="1299" t="str">
        <f ca="1"/>
        <v/>
      </c>
      <c r="F337" s="1286" t="str">
        <f ca="1"/>
        <v/>
      </c>
      <c r="G337" s="1286" t="str">
        <f ca="1"/>
        <v/>
      </c>
      <c r="H337" s="1301" t="str">
        <f ca="1"/>
        <v/>
      </c>
      <c r="I337" s="1303" t="str">
        <f ca="1"/>
        <v/>
      </c>
      <c r="J337" s="1287" t="str">
        <f ca="1"/>
        <v/>
      </c>
      <c r="K337" s="1288" t="str">
        <f ca="1"/>
        <v xml:space="preserve">Description:
Details:
Aim:
</v>
      </c>
      <c r="L337" s="1287" t="str">
        <f ca="1"/>
        <v/>
      </c>
      <c r="M337" s="1287" t="str">
        <f ca="1"/>
        <v/>
      </c>
      <c r="N337" s="1287"/>
      <c r="O337" s="1323" t="str">
        <f ca="1"/>
        <v/>
      </c>
      <c r="P337" s="1287"/>
      <c r="Q337" s="1290" t="str">
        <f ca="1"/>
        <v/>
      </c>
    </row>
    <row r="338" spans="1:17" ht="27.75" hidden="1" customHeight="1" x14ac:dyDescent="0.45">
      <c r="A338" s="1289">
        <v>9</v>
      </c>
      <c r="B338" s="1285">
        <v>1</v>
      </c>
      <c r="C338" s="1285">
        <v>1</v>
      </c>
      <c r="D338" s="1297">
        <v>1</v>
      </c>
      <c r="E338" s="1299" t="str">
        <f ca="1"/>
        <v>Stay at a comfortable and controlled intensity where you should be able to have a conversation without large pauses. Keep an even intensity and accept that your pace may change as the terrain changes.</v>
      </c>
      <c r="F338" s="1286" t="str">
        <f ca="1"/>
        <v>Sport: Ride
WU/WD: No 
Effort Total: 40 minutes
HR Target: 138 BPM
HR Range: 129 - 148 BPM 
Flat Road Equivalent Pace: 4:39 min/km</v>
      </c>
      <c r="G338" s="1286" t="str">
        <f ca="1"/>
        <v xml:space="preserve">Improve aerobic fitness while minimising the chance of injury. </v>
      </c>
      <c r="H338" s="1301" t="str">
        <f ca="1"/>
        <v/>
      </c>
      <c r="I338" s="1303" t="str">
        <f ca="1"/>
        <v>Easy ride: 40 minutes</v>
      </c>
      <c r="J338" s="1287" t="str">
        <f ca="1"/>
        <v>Cycling</v>
      </c>
      <c r="K33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338" s="1287">
        <f ca="1"/>
        <v>110</v>
      </c>
      <c r="M338" s="1287">
        <f ca="1"/>
        <v>0.66666666666666663</v>
      </c>
      <c r="N338" s="1287"/>
      <c r="O338" s="1323" t="str">
        <f ca="1"/>
        <v>2018-11-26 06:00</v>
      </c>
      <c r="P338" s="1287"/>
      <c r="Q338" s="1290" t="str">
        <f ca="1"/>
        <v>Ride</v>
      </c>
    </row>
    <row r="339" spans="1:17" ht="27.75" hidden="1" customHeight="1" x14ac:dyDescent="0.45">
      <c r="A339" s="1289">
        <v>9</v>
      </c>
      <c r="B339" s="1285">
        <v>1</v>
      </c>
      <c r="C339" s="1285">
        <v>1.9999999999999858</v>
      </c>
      <c r="D339" s="1297">
        <v>1.9999999999999964</v>
      </c>
      <c r="E339" s="1299" t="str">
        <f ca="1"/>
        <v/>
      </c>
      <c r="F339" s="1286" t="str">
        <f ca="1"/>
        <v/>
      </c>
      <c r="G339" s="1286" t="str">
        <f ca="1"/>
        <v/>
      </c>
      <c r="H339" s="1301" t="str">
        <f ca="1"/>
        <v/>
      </c>
      <c r="I339" s="1303" t="str">
        <f ca="1"/>
        <v/>
      </c>
      <c r="J339" s="1287" t="str">
        <f ca="1"/>
        <v/>
      </c>
      <c r="K339" s="1288" t="str">
        <f ca="1"/>
        <v xml:space="preserve">Description:
Details:
Aim:
</v>
      </c>
      <c r="L339" s="1287" t="str">
        <f ca="1"/>
        <v/>
      </c>
      <c r="M339" s="1287" t="str">
        <f ca="1"/>
        <v/>
      </c>
      <c r="N339" s="1287"/>
      <c r="O339" s="1323" t="str">
        <f ca="1"/>
        <v/>
      </c>
      <c r="P339" s="1287"/>
      <c r="Q339" s="1290" t="str">
        <f ca="1"/>
        <v/>
      </c>
    </row>
    <row r="340" spans="1:17" ht="27.75" hidden="1" customHeight="1" x14ac:dyDescent="0.45">
      <c r="A340" s="1289">
        <v>9</v>
      </c>
      <c r="B340" s="1285">
        <v>1</v>
      </c>
      <c r="C340" s="1285">
        <v>3.0000000000000142</v>
      </c>
      <c r="D340" s="1297">
        <v>2.9999999999999929</v>
      </c>
      <c r="E340" s="1299" t="str">
        <f ca="1"/>
        <v/>
      </c>
      <c r="F340" s="1286" t="str">
        <f ca="1"/>
        <v/>
      </c>
      <c r="G340" s="1286" t="str">
        <f ca="1"/>
        <v/>
      </c>
      <c r="H340" s="1301" t="str">
        <f ca="1"/>
        <v/>
      </c>
      <c r="I340" s="1303" t="str">
        <f ca="1"/>
        <v/>
      </c>
      <c r="J340" s="1287" t="str">
        <f ca="1"/>
        <v/>
      </c>
      <c r="K340" s="1288" t="str">
        <f ca="1"/>
        <v xml:space="preserve">Description:
Details:
Aim:
</v>
      </c>
      <c r="L340" s="1287" t="str">
        <f ca="1"/>
        <v/>
      </c>
      <c r="M340" s="1287" t="str">
        <f ca="1"/>
        <v/>
      </c>
      <c r="N340" s="1287"/>
      <c r="O340" s="1323" t="str">
        <f ca="1"/>
        <v/>
      </c>
      <c r="P340" s="1287"/>
      <c r="Q340" s="1290" t="str">
        <f ca="1"/>
        <v/>
      </c>
    </row>
    <row r="341" spans="1:17" ht="27.75" hidden="1" customHeight="1" x14ac:dyDescent="0.45">
      <c r="A341" s="1289">
        <v>9</v>
      </c>
      <c r="B341" s="1285">
        <v>1</v>
      </c>
      <c r="C341" s="1285">
        <v>1</v>
      </c>
      <c r="D341" s="1297">
        <v>3.9999999999999893</v>
      </c>
      <c r="E341" s="1299" t="str">
        <f ca="1"/>
        <v>Stay at a comfortable and controlled intensity where you should be able to have a conversation without large pauses. Keep an even intensity and accept that your pace may change as the terrain changes.</v>
      </c>
      <c r="F341" s="1286" t="str">
        <f ca="1"/>
        <v>Sport: Ride
WU/WD: No 
Effort Total: 30 minutes
HR Target: 138 BPM
HR Range: 129 - 148 BPM 
Flat Road Equivalent Pace: 4:39 min/km</v>
      </c>
      <c r="G341" s="1286" t="str">
        <f ca="1"/>
        <v xml:space="preserve">Improve aerobic fitness while minimising the chance of injury. </v>
      </c>
      <c r="H341" s="1301" t="str">
        <f ca="1"/>
        <v/>
      </c>
      <c r="I341" s="1303" t="str">
        <f ca="1"/>
        <v>Strength and conditioning</v>
      </c>
      <c r="J341" s="1287" t="str">
        <f ca="1"/>
        <v>Cycling</v>
      </c>
      <c r="K341"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341" s="1287">
        <f ca="1"/>
        <v>110</v>
      </c>
      <c r="M341" s="1287">
        <f ca="1"/>
        <v>0.5</v>
      </c>
      <c r="N341" s="1287"/>
      <c r="O341" s="1323" t="str">
        <f ca="1"/>
        <v>2018-11-26 06:00</v>
      </c>
      <c r="P341" s="1287"/>
      <c r="Q341" s="1290" t="str">
        <f ca="1"/>
        <v>Ride</v>
      </c>
    </row>
    <row r="342" spans="1:17" ht="27.75" hidden="1" customHeight="1" x14ac:dyDescent="0.45">
      <c r="A342" s="1289">
        <v>9</v>
      </c>
      <c r="B342" s="1285">
        <v>2</v>
      </c>
      <c r="C342" s="1285">
        <v>1.9999999999999858</v>
      </c>
      <c r="D342" s="1297">
        <v>4.9999999999999858</v>
      </c>
      <c r="E342" s="1299" t="str">
        <f ca="1"/>
        <v>Use a hands, rollers, or balls on all major muscle groups with extra time on more sensitive or problematic areas or as guided by a coach or physio. Finish with 20 minutes of lower-limb stretching.</v>
      </c>
      <c r="F342" s="1286" t="str">
        <f ca="1"/>
        <v>Sport: Indoor
WU/WD: No 
Effort Total: 30 minutes
HR Target: N/A BPM
HR Range: N/A BPM 
Flat Road Equivalent Pace:  min/km</v>
      </c>
      <c r="G342" s="1286" t="str">
        <f ca="1"/>
        <v xml:space="preserve">Release tension that develops in soft tissue from training and non-training stresses. </v>
      </c>
      <c r="H342" s="1301" t="str">
        <f ca="1"/>
        <v/>
      </c>
      <c r="I342" s="1303" t="str">
        <f ca="1"/>
        <v>Maintenance</v>
      </c>
      <c r="J342" s="1287" t="str">
        <f ca="1"/>
        <v>Strength</v>
      </c>
      <c r="K342"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342" s="1287">
        <f ca="1"/>
        <v>76</v>
      </c>
      <c r="M342" s="1287">
        <f ca="1"/>
        <v>0.5</v>
      </c>
      <c r="N342" s="1287"/>
      <c r="O342" s="1323" t="str">
        <f ca="1"/>
        <v>2018-11-26 20:00</v>
      </c>
      <c r="P342" s="1287"/>
      <c r="Q342" s="1290" t="str">
        <f ca="1"/>
        <v>Indoor</v>
      </c>
    </row>
    <row r="343" spans="1:17" ht="27.75" hidden="1" customHeight="1" x14ac:dyDescent="0.45">
      <c r="A343" s="1289">
        <v>9</v>
      </c>
      <c r="B343" s="1285">
        <v>2</v>
      </c>
      <c r="C343" s="1285">
        <v>3.0000000000000142</v>
      </c>
      <c r="D343" s="1297">
        <v>5.9999999999999822</v>
      </c>
      <c r="E343" s="1299" t="str">
        <f ca="1"/>
        <v/>
      </c>
      <c r="F343" s="1286" t="str">
        <f ca="1"/>
        <v/>
      </c>
      <c r="G343" s="1286" t="str">
        <f ca="1"/>
        <v/>
      </c>
      <c r="H343" s="1301" t="str">
        <f ca="1"/>
        <v/>
      </c>
      <c r="I343" s="1303" t="str">
        <f ca="1"/>
        <v/>
      </c>
      <c r="J343" s="1287" t="str">
        <f ca="1"/>
        <v/>
      </c>
      <c r="K343" s="1288" t="str">
        <f ca="1"/>
        <v xml:space="preserve">Description:
Details:
Aim:
</v>
      </c>
      <c r="L343" s="1287" t="str">
        <f ca="1"/>
        <v/>
      </c>
      <c r="M343" s="1287" t="str">
        <f ca="1"/>
        <v/>
      </c>
      <c r="N343" s="1287"/>
      <c r="O343" s="1323" t="str">
        <f ca="1"/>
        <v/>
      </c>
      <c r="P343" s="1287"/>
      <c r="Q343" s="1290" t="str">
        <f ca="1"/>
        <v/>
      </c>
    </row>
    <row r="344" spans="1:17" ht="27.75" hidden="1" customHeight="1" x14ac:dyDescent="0.45">
      <c r="A344" s="1289">
        <v>9</v>
      </c>
      <c r="B344" s="1285">
        <v>2</v>
      </c>
      <c r="C344" s="1285">
        <v>1</v>
      </c>
      <c r="D344" s="1297">
        <v>6.9999999999999787</v>
      </c>
      <c r="E344" s="1299" t="str">
        <f ca="1"/>
        <v/>
      </c>
      <c r="F344" s="1286" t="str">
        <f ca="1"/>
        <v/>
      </c>
      <c r="G344" s="1286" t="str">
        <f ca="1"/>
        <v/>
      </c>
      <c r="H344" s="1301" t="str">
        <f ca="1"/>
        <v/>
      </c>
      <c r="I344" s="1303" t="str">
        <f ca="1"/>
        <v/>
      </c>
      <c r="J344" s="1287" t="str">
        <f ca="1"/>
        <v/>
      </c>
      <c r="K344" s="1288" t="str">
        <f ca="1"/>
        <v xml:space="preserve">Description:
Details:
Aim:
</v>
      </c>
      <c r="L344" s="1287" t="str">
        <f ca="1"/>
        <v/>
      </c>
      <c r="M344" s="1287" t="str">
        <f ca="1"/>
        <v/>
      </c>
      <c r="N344" s="1287"/>
      <c r="O344" s="1323" t="str">
        <f ca="1"/>
        <v/>
      </c>
      <c r="P344" s="1287"/>
      <c r="Q344" s="1290" t="str">
        <f ca="1"/>
        <v/>
      </c>
    </row>
    <row r="345" spans="1:17" ht="27.75" hidden="1" customHeight="1" x14ac:dyDescent="0.45">
      <c r="A345" s="1289">
        <v>9</v>
      </c>
      <c r="B345" s="1285">
        <v>3</v>
      </c>
      <c r="C345" s="1285">
        <v>1.9999999999999858</v>
      </c>
      <c r="D345" s="1297">
        <v>7.9999999999999751</v>
      </c>
      <c r="E345" s="1299" t="str">
        <f ca="1"/>
        <v/>
      </c>
      <c r="F345" s="1286" t="str">
        <f ca="1"/>
        <v/>
      </c>
      <c r="G345" s="1286" t="str">
        <f ca="1"/>
        <v/>
      </c>
      <c r="H345" s="1301" t="str">
        <f ca="1"/>
        <v/>
      </c>
      <c r="I345" s="1303" t="str">
        <f ca="1"/>
        <v/>
      </c>
      <c r="J345" s="1287" t="str">
        <f ca="1"/>
        <v/>
      </c>
      <c r="K345" s="1288" t="str">
        <f ca="1"/>
        <v xml:space="preserve">Description:
Details:
Aim:
</v>
      </c>
      <c r="L345" s="1287" t="str">
        <f ca="1"/>
        <v/>
      </c>
      <c r="M345" s="1287" t="str">
        <f ca="1"/>
        <v/>
      </c>
      <c r="N345" s="1287"/>
      <c r="O345" s="1323" t="str">
        <f ca="1"/>
        <v/>
      </c>
      <c r="P345" s="1287"/>
      <c r="Q345" s="1290" t="str">
        <f ca="1"/>
        <v/>
      </c>
    </row>
    <row r="346" spans="1:17" ht="27.75" hidden="1" customHeight="1" x14ac:dyDescent="0.45">
      <c r="A346" s="1289">
        <v>9</v>
      </c>
      <c r="B346" s="1285">
        <v>3</v>
      </c>
      <c r="C346" s="1285">
        <v>3.0000000000000142</v>
      </c>
      <c r="D346" s="1297">
        <v>8.9999999999999716</v>
      </c>
      <c r="E346" s="1299" t="str">
        <f ca="1"/>
        <v/>
      </c>
      <c r="F346" s="1286" t="str">
        <f ca="1"/>
        <v/>
      </c>
      <c r="G346" s="1286" t="str">
        <f ca="1"/>
        <v/>
      </c>
      <c r="H346" s="1301" t="str">
        <f ca="1"/>
        <v/>
      </c>
      <c r="I346" s="1303" t="str">
        <f ca="1"/>
        <v/>
      </c>
      <c r="J346" s="1287" t="str">
        <f ca="1"/>
        <v/>
      </c>
      <c r="K346" s="1288" t="str">
        <f ca="1"/>
        <v xml:space="preserve">Description:
Details:
Aim:
</v>
      </c>
      <c r="L346" s="1287" t="str">
        <f ca="1"/>
        <v/>
      </c>
      <c r="M346" s="1287" t="str">
        <f ca="1"/>
        <v/>
      </c>
      <c r="N346" s="1287"/>
      <c r="O346" s="1323" t="str">
        <f ca="1"/>
        <v/>
      </c>
      <c r="P346" s="1287"/>
      <c r="Q346" s="1290" t="str">
        <f ca="1"/>
        <v/>
      </c>
    </row>
    <row r="347" spans="1:17" ht="27.75" hidden="1" customHeight="1" x14ac:dyDescent="0.45">
      <c r="A347" s="1289">
        <v>9</v>
      </c>
      <c r="B347" s="1285">
        <v>3</v>
      </c>
      <c r="C347" s="1285">
        <v>1</v>
      </c>
      <c r="D347" s="1297">
        <v>9.999999999999968</v>
      </c>
      <c r="E347" s="1299" t="str">
        <f ca="1"/>
        <v>Rest from continuous exercise.</v>
      </c>
      <c r="F347" s="1286" t="str">
        <f ca="1"/>
        <v>Sport: Run
WU/WD: No 
Effort Total: 25 minutes
HR Target: N/A BPM
HR Range: N/A BPM 
Flat Road Equivalent Pace:  min/km</v>
      </c>
      <c r="G347" s="1286" t="str">
        <f ca="1"/>
        <v xml:space="preserve">Allow safest recovery of the whole body. </v>
      </c>
      <c r="H347" s="1301" t="str">
        <f ca="1"/>
        <v/>
      </c>
      <c r="I347" s="1303" t="str">
        <f ca="1"/>
        <v>Tempo road run: 25 minutes + WU/WD</v>
      </c>
      <c r="J347" s="1287" t="str">
        <f ca="1"/>
        <v>Running</v>
      </c>
      <c r="K347" s="1288" t="str">
        <f ca="1"/>
        <v xml:space="preserve">Description:
Rest from continuous exercise.
Details:
Sport: Run
WU/WD: No 
Effort Total: 25 minutes
HR Target: N/A BPM
HR Range: N/A BPM 
Flat Road Equivalent Pace:  min/km
Aim:
Allow safest recovery of the whole body. </v>
      </c>
      <c r="L347" s="1287">
        <f ca="1"/>
        <v>0</v>
      </c>
      <c r="M347" s="1287">
        <f ca="1"/>
        <v>0.41666666666666669</v>
      </c>
      <c r="N347" s="1287"/>
      <c r="O347" s="1323" t="str">
        <f ca="1"/>
        <v>2018-11-27 06:00</v>
      </c>
      <c r="P347" s="1287"/>
      <c r="Q347" s="1290" t="str">
        <f ca="1"/>
        <v>Run</v>
      </c>
    </row>
    <row r="348" spans="1:17" ht="27.75" hidden="1" customHeight="1" x14ac:dyDescent="0.45">
      <c r="A348" s="1289">
        <v>9</v>
      </c>
      <c r="B348" s="1285">
        <v>4</v>
      </c>
      <c r="C348" s="1285">
        <v>1.9999999999999858</v>
      </c>
      <c r="D348" s="1297">
        <v>10.999999999999964</v>
      </c>
      <c r="E348" s="1299" t="str">
        <f ca="1"/>
        <v/>
      </c>
      <c r="F348" s="1286" t="str">
        <f ca="1"/>
        <v/>
      </c>
      <c r="G348" s="1286" t="str">
        <f ca="1"/>
        <v/>
      </c>
      <c r="H348" s="1301" t="str">
        <f ca="1"/>
        <v/>
      </c>
      <c r="I348" s="1303" t="str">
        <f ca="1"/>
        <v/>
      </c>
      <c r="J348" s="1287" t="str">
        <f ca="1"/>
        <v/>
      </c>
      <c r="K348" s="1288" t="str">
        <f ca="1"/>
        <v xml:space="preserve">Description:
Details:
Aim:
</v>
      </c>
      <c r="L348" s="1287" t="str">
        <f ca="1"/>
        <v/>
      </c>
      <c r="M348" s="1287" t="str">
        <f ca="1"/>
        <v/>
      </c>
      <c r="N348" s="1287"/>
      <c r="O348" s="1323" t="str">
        <f ca="1"/>
        <v/>
      </c>
      <c r="P348" s="1287"/>
      <c r="Q348" s="1290" t="str">
        <f ca="1"/>
        <v/>
      </c>
    </row>
    <row r="349" spans="1:17" ht="27.75" hidden="1" customHeight="1" x14ac:dyDescent="0.45">
      <c r="A349" s="1289">
        <v>9</v>
      </c>
      <c r="B349" s="1285">
        <v>4</v>
      </c>
      <c r="C349" s="1285">
        <v>3.0000000000000142</v>
      </c>
      <c r="D349" s="1297">
        <v>12.000000000000036</v>
      </c>
      <c r="E349" s="1299" t="str">
        <f ca="1"/>
        <v/>
      </c>
      <c r="F349" s="1286" t="str">
        <f ca="1"/>
        <v/>
      </c>
      <c r="G349" s="1286" t="str">
        <f ca="1"/>
        <v/>
      </c>
      <c r="H349" s="1301" t="str">
        <f ca="1"/>
        <v/>
      </c>
      <c r="I349" s="1303" t="str">
        <f ca="1"/>
        <v/>
      </c>
      <c r="J349" s="1287" t="str">
        <f ca="1"/>
        <v/>
      </c>
      <c r="K349" s="1288" t="str">
        <f ca="1"/>
        <v xml:space="preserve">Description:
Details:
Aim:
</v>
      </c>
      <c r="L349" s="1287" t="str">
        <f ca="1"/>
        <v/>
      </c>
      <c r="M349" s="1287" t="str">
        <f ca="1"/>
        <v/>
      </c>
      <c r="N349" s="1287"/>
      <c r="O349" s="1323" t="str">
        <f ca="1"/>
        <v/>
      </c>
      <c r="P349" s="1287"/>
      <c r="Q349" s="1290" t="str">
        <f ca="1"/>
        <v/>
      </c>
    </row>
    <row r="350" spans="1:17" ht="27.75" hidden="1" customHeight="1" x14ac:dyDescent="0.45">
      <c r="A350" s="1289">
        <v>9</v>
      </c>
      <c r="B350" s="1285">
        <v>5</v>
      </c>
      <c r="C350" s="1285">
        <v>1</v>
      </c>
      <c r="D350" s="1297">
        <v>13.000000000000032</v>
      </c>
      <c r="E350" s="1299" t="str">
        <f ca="1"/>
        <v/>
      </c>
      <c r="F350" s="1286" t="str">
        <f ca="1"/>
        <v/>
      </c>
      <c r="G350" s="1286" t="str">
        <f ca="1"/>
        <v/>
      </c>
      <c r="H350" s="1301" t="str">
        <f ca="1"/>
        <v/>
      </c>
      <c r="I350" s="1303" t="str">
        <f ca="1"/>
        <v/>
      </c>
      <c r="J350" s="1287" t="str">
        <f ca="1"/>
        <v/>
      </c>
      <c r="K350" s="1288" t="str">
        <f ca="1"/>
        <v xml:space="preserve">Description:
Details:
Aim:
</v>
      </c>
      <c r="L350" s="1287" t="str">
        <f ca="1"/>
        <v/>
      </c>
      <c r="M350" s="1287" t="str">
        <f ca="1"/>
        <v/>
      </c>
      <c r="N350" s="1287"/>
      <c r="O350" s="1323" t="str">
        <f ca="1"/>
        <v/>
      </c>
      <c r="P350" s="1287"/>
      <c r="Q350" s="1290" t="str">
        <f ca="1"/>
        <v/>
      </c>
    </row>
    <row r="351" spans="1:17" ht="27.75" hidden="1" customHeight="1" x14ac:dyDescent="0.45">
      <c r="A351" s="1289">
        <v>9</v>
      </c>
      <c r="B351" s="1285">
        <v>5</v>
      </c>
      <c r="C351" s="1285">
        <v>1.9999999999999858</v>
      </c>
      <c r="D351" s="1297">
        <v>14.000000000000028</v>
      </c>
      <c r="E351" s="1299" t="str">
        <f ca="1"/>
        <v/>
      </c>
      <c r="F351" s="1286" t="str">
        <f ca="1"/>
        <v/>
      </c>
      <c r="G351" s="1286" t="str">
        <f ca="1"/>
        <v/>
      </c>
      <c r="H351" s="1301" t="str">
        <f ca="1"/>
        <v/>
      </c>
      <c r="I351" s="1303" t="str">
        <f ca="1"/>
        <v/>
      </c>
      <c r="J351" s="1287" t="str">
        <f ca="1"/>
        <v/>
      </c>
      <c r="K351" s="1288" t="str">
        <f ca="1"/>
        <v xml:space="preserve">Description:
Details:
Aim:
</v>
      </c>
      <c r="L351" s="1287" t="str">
        <f ca="1"/>
        <v/>
      </c>
      <c r="M351" s="1287" t="str">
        <f ca="1"/>
        <v/>
      </c>
      <c r="N351" s="1287"/>
      <c r="O351" s="1323" t="str">
        <f ca="1"/>
        <v/>
      </c>
      <c r="P351" s="1287"/>
      <c r="Q351" s="1290" t="str">
        <f ca="1"/>
        <v/>
      </c>
    </row>
    <row r="352" spans="1:17" ht="27.75" hidden="1" customHeight="1" x14ac:dyDescent="0.45">
      <c r="A352" s="1289">
        <v>9</v>
      </c>
      <c r="B352" s="1285">
        <v>5</v>
      </c>
      <c r="C352" s="1285">
        <v>3.0000000000000142</v>
      </c>
      <c r="D352" s="1297">
        <v>15.000000000000025</v>
      </c>
      <c r="E352" s="1299" t="str">
        <f ca="1"/>
        <v/>
      </c>
      <c r="F352" s="1286" t="str">
        <f ca="1"/>
        <v/>
      </c>
      <c r="G352" s="1286" t="str">
        <f ca="1"/>
        <v/>
      </c>
      <c r="H352" s="1301" t="str">
        <f ca="1"/>
        <v/>
      </c>
      <c r="I352" s="1303" t="str">
        <f ca="1"/>
        <v/>
      </c>
      <c r="J352" s="1287" t="str">
        <f ca="1"/>
        <v/>
      </c>
      <c r="K352" s="1288" t="str">
        <f ca="1"/>
        <v xml:space="preserve">Description:
Details:
Aim:
</v>
      </c>
      <c r="L352" s="1287" t="str">
        <f ca="1"/>
        <v/>
      </c>
      <c r="M352" s="1287" t="str">
        <f ca="1"/>
        <v/>
      </c>
      <c r="N352" s="1287"/>
      <c r="O352" s="1323" t="str">
        <f ca="1"/>
        <v/>
      </c>
      <c r="P352" s="1287"/>
      <c r="Q352" s="1290" t="str">
        <f ca="1"/>
        <v/>
      </c>
    </row>
    <row r="353" spans="1:17" ht="27.75" hidden="1" customHeight="1" x14ac:dyDescent="0.45">
      <c r="A353" s="1289">
        <v>9</v>
      </c>
      <c r="B353" s="1285">
        <v>6</v>
      </c>
      <c r="C353" s="1285">
        <v>1</v>
      </c>
      <c r="D353" s="1297">
        <v>16.000000000000021</v>
      </c>
      <c r="E353" s="1299" t="str">
        <f ca="1"/>
        <v>Stay at a comfortable and controlled intensity where you should be able to have a conversation without large pauses. Keep an even intensity and accept that your pace may change as the terrain changes.</v>
      </c>
      <c r="F353" s="1286" t="str">
        <f ca="1"/>
        <v>Sport: Road Ride
WU/WD: No 
Effort Total: 45 minutes
HR Target: 138 BPM
HR Range: 129 - 148 BPM 
Flat Road Equivalent Pace: 4:39 min/km</v>
      </c>
      <c r="G353" s="1286" t="str">
        <f ca="1"/>
        <v xml:space="preserve">Improve aerobic fitness while minimising the chance of injury. </v>
      </c>
      <c r="H353" s="1301" t="str">
        <f ca="1"/>
        <v/>
      </c>
      <c r="I353" s="1303" t="str">
        <f ca="1"/>
        <v>Easy road ride: 45 minutes</v>
      </c>
      <c r="J353" s="1287" t="str">
        <f ca="1"/>
        <v>Cycling</v>
      </c>
      <c r="K353"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45 minutes
HR Target: 138 BPM
HR Range: 129 - 148 BPM 
Flat Road Equivalent Pace: 4:39 min/km
Aim:
Improve aerobic fitness while minimising the chance of injury. </v>
      </c>
      <c r="L353" s="1287">
        <f ca="1"/>
        <v>102</v>
      </c>
      <c r="M353" s="1287">
        <f ca="1"/>
        <v>0.75</v>
      </c>
      <c r="N353" s="1287"/>
      <c r="O353" s="1323" t="str">
        <f ca="1"/>
        <v>2018-11-28 18:00</v>
      </c>
      <c r="P353" s="1287"/>
      <c r="Q353" s="1290" t="str">
        <f ca="1"/>
        <v>Road Ride</v>
      </c>
    </row>
    <row r="354" spans="1:17" ht="27.75" hidden="1" customHeight="1" x14ac:dyDescent="0.45">
      <c r="A354" s="1289">
        <v>9</v>
      </c>
      <c r="B354" s="1285">
        <v>6</v>
      </c>
      <c r="C354" s="1285">
        <v>1.9999999999999858</v>
      </c>
      <c r="D354" s="1297">
        <v>17.000000000000018</v>
      </c>
      <c r="E354" s="1299" t="str">
        <f ca="1"/>
        <v/>
      </c>
      <c r="F354" s="1286" t="str">
        <f ca="1"/>
        <v/>
      </c>
      <c r="G354" s="1286" t="str">
        <f ca="1"/>
        <v/>
      </c>
      <c r="H354" s="1301" t="str">
        <f ca="1"/>
        <v/>
      </c>
      <c r="I354" s="1303" t="str">
        <f ca="1"/>
        <v/>
      </c>
      <c r="J354" s="1287" t="str">
        <f ca="1"/>
        <v/>
      </c>
      <c r="K354" s="1288" t="str">
        <f ca="1"/>
        <v xml:space="preserve">Description:
Details:
Aim:
</v>
      </c>
      <c r="L354" s="1287" t="str">
        <f ca="1"/>
        <v/>
      </c>
      <c r="M354" s="1287" t="str">
        <f ca="1"/>
        <v/>
      </c>
      <c r="N354" s="1287"/>
      <c r="O354" s="1323" t="str">
        <f ca="1"/>
        <v/>
      </c>
      <c r="P354" s="1287"/>
      <c r="Q354" s="1290" t="str">
        <f ca="1"/>
        <v/>
      </c>
    </row>
    <row r="355" spans="1:17" ht="27.75" hidden="1" customHeight="1" x14ac:dyDescent="0.45">
      <c r="A355" s="1289">
        <v>9</v>
      </c>
      <c r="B355" s="1285">
        <v>6</v>
      </c>
      <c r="C355" s="1285">
        <v>3.0000000000000142</v>
      </c>
      <c r="D355" s="1297">
        <v>18.000000000000014</v>
      </c>
      <c r="E355" s="1299" t="str">
        <f ca="1"/>
        <v/>
      </c>
      <c r="F355" s="1286" t="str">
        <f ca="1"/>
        <v/>
      </c>
      <c r="G355" s="1286" t="str">
        <f ca="1"/>
        <v/>
      </c>
      <c r="H355" s="1301" t="str">
        <f ca="1"/>
        <v/>
      </c>
      <c r="I355" s="1303" t="str">
        <f ca="1"/>
        <v/>
      </c>
      <c r="J355" s="1287" t="str">
        <f ca="1"/>
        <v/>
      </c>
      <c r="K355" s="1288" t="str">
        <f ca="1"/>
        <v xml:space="preserve">Description:
Details:
Aim:
</v>
      </c>
      <c r="L355" s="1287" t="str">
        <f ca="1"/>
        <v/>
      </c>
      <c r="M355" s="1287" t="str">
        <f ca="1"/>
        <v/>
      </c>
      <c r="N355" s="1287"/>
      <c r="O355" s="1323" t="str">
        <f ca="1"/>
        <v/>
      </c>
      <c r="P355" s="1287"/>
      <c r="Q355" s="1290" t="str">
        <f ca="1"/>
        <v/>
      </c>
    </row>
    <row r="356" spans="1:17" ht="27.75" hidden="1" customHeight="1" x14ac:dyDescent="0.45">
      <c r="A356" s="1289">
        <v>9</v>
      </c>
      <c r="B356" s="1285">
        <v>7</v>
      </c>
      <c r="C356" s="1285">
        <v>1</v>
      </c>
      <c r="D356" s="1297">
        <v>19.000000000000011</v>
      </c>
      <c r="E356" s="1299" t="str">
        <f ca="1"/>
        <v/>
      </c>
      <c r="F356" s="1286" t="str">
        <f ca="1"/>
        <v/>
      </c>
      <c r="G356" s="1286" t="str">
        <f ca="1"/>
        <v/>
      </c>
      <c r="H356" s="1301" t="str">
        <f ca="1"/>
        <v/>
      </c>
      <c r="I356" s="1303" t="str">
        <f ca="1"/>
        <v/>
      </c>
      <c r="J356" s="1287" t="str">
        <f ca="1"/>
        <v/>
      </c>
      <c r="K356" s="1288" t="str">
        <f ca="1"/>
        <v xml:space="preserve">Description:
Details:
Aim:
</v>
      </c>
      <c r="L356" s="1287" t="str">
        <f ca="1"/>
        <v/>
      </c>
      <c r="M356" s="1287" t="str">
        <f ca="1"/>
        <v/>
      </c>
      <c r="N356" s="1287"/>
      <c r="O356" s="1323" t="str">
        <f ca="1"/>
        <v/>
      </c>
      <c r="P356" s="1287"/>
      <c r="Q356" s="1290" t="str">
        <f ca="1"/>
        <v/>
      </c>
    </row>
    <row r="357" spans="1:17" ht="27.75" hidden="1" customHeight="1" x14ac:dyDescent="0.45">
      <c r="A357" s="1289">
        <v>9</v>
      </c>
      <c r="B357" s="1285">
        <v>7</v>
      </c>
      <c r="C357" s="1285">
        <v>1.9999999999999858</v>
      </c>
      <c r="D357" s="1297">
        <v>20.000000000000007</v>
      </c>
      <c r="E357" s="1299" t="str">
        <f ca="1"/>
        <v/>
      </c>
      <c r="F357" s="1286" t="str">
        <f ca="1"/>
        <v/>
      </c>
      <c r="G357" s="1286" t="str">
        <f ca="1"/>
        <v/>
      </c>
      <c r="H357" s="1301" t="str">
        <f ca="1"/>
        <v/>
      </c>
      <c r="I357" s="1303" t="str">
        <f ca="1"/>
        <v/>
      </c>
      <c r="J357" s="1287" t="str">
        <f ca="1"/>
        <v/>
      </c>
      <c r="K357" s="1288" t="str">
        <f ca="1"/>
        <v xml:space="preserve">Description:
Details:
Aim:
</v>
      </c>
      <c r="L357" s="1287" t="str">
        <f ca="1"/>
        <v/>
      </c>
      <c r="M357" s="1287" t="str">
        <f ca="1"/>
        <v/>
      </c>
      <c r="N357" s="1287"/>
      <c r="O357" s="1323" t="str">
        <f ca="1"/>
        <v/>
      </c>
      <c r="P357" s="1287"/>
      <c r="Q357" s="1290" t="str">
        <f ca="1"/>
        <v/>
      </c>
    </row>
    <row r="358" spans="1:17" ht="27.75" hidden="1" customHeight="1" x14ac:dyDescent="0.45">
      <c r="A358" s="1289">
        <v>9</v>
      </c>
      <c r="B358" s="1285">
        <v>7</v>
      </c>
      <c r="C358" s="1285">
        <v>3.0000000000000142</v>
      </c>
      <c r="D358" s="1297">
        <v>21.000000000000004</v>
      </c>
      <c r="E358" s="1299" t="str">
        <f ca="1"/>
        <v/>
      </c>
      <c r="F358" s="1286" t="str">
        <f ca="1"/>
        <v/>
      </c>
      <c r="G358" s="1286" t="str">
        <f ca="1"/>
        <v/>
      </c>
      <c r="H358" s="1301" t="str">
        <f ca="1"/>
        <v/>
      </c>
      <c r="I358" s="1303" t="str">
        <f ca="1"/>
        <v/>
      </c>
      <c r="J358" s="1287" t="str">
        <f ca="1"/>
        <v/>
      </c>
      <c r="K358" s="1288" t="str">
        <f ca="1"/>
        <v xml:space="preserve">Description:
Details:
Aim:
</v>
      </c>
      <c r="L358" s="1287" t="str">
        <f ca="1"/>
        <v/>
      </c>
      <c r="M358" s="1287" t="str">
        <f ca="1"/>
        <v/>
      </c>
      <c r="N358" s="1287"/>
      <c r="O358" s="1323" t="str">
        <f ca="1"/>
        <v/>
      </c>
      <c r="P358" s="1287"/>
      <c r="Q358" s="1290" t="str">
        <f ca="1"/>
        <v/>
      </c>
    </row>
    <row r="359" spans="1:17" ht="27.75" hidden="1" customHeight="1" x14ac:dyDescent="0.45">
      <c r="A359" s="1289">
        <v>9</v>
      </c>
      <c r="B359" s="1285">
        <v>8</v>
      </c>
      <c r="C359" s="1285">
        <v>1</v>
      </c>
      <c r="D359" s="1297">
        <v>22</v>
      </c>
      <c r="E359" s="1299" t="str">
        <f ca="1"/>
        <v/>
      </c>
      <c r="F359" s="1286" t="str">
        <f ca="1"/>
        <v/>
      </c>
      <c r="G359" s="1286" t="str">
        <f ca="1"/>
        <v/>
      </c>
      <c r="H359" s="1301" t="str">
        <f ca="1"/>
        <v/>
      </c>
      <c r="I359" s="1303" t="str">
        <f ca="1"/>
        <v/>
      </c>
      <c r="J359" s="1287" t="str">
        <f ca="1"/>
        <v/>
      </c>
      <c r="K359" s="1288" t="str">
        <f ca="1"/>
        <v xml:space="preserve">Description:
Details:
Aim:
</v>
      </c>
      <c r="L359" s="1287" t="str">
        <f ca="1"/>
        <v/>
      </c>
      <c r="M359" s="1287" t="str">
        <f ca="1"/>
        <v/>
      </c>
      <c r="N359" s="1287"/>
      <c r="O359" s="1323" t="str">
        <f ca="1"/>
        <v/>
      </c>
      <c r="P359" s="1287"/>
      <c r="Q359" s="1290" t="str">
        <f ca="1"/>
        <v/>
      </c>
    </row>
    <row r="360" spans="1:17" ht="27.75" hidden="1" customHeight="1" x14ac:dyDescent="0.45">
      <c r="A360" s="1289">
        <v>9</v>
      </c>
      <c r="B360" s="1285">
        <v>8</v>
      </c>
      <c r="C360" s="1285">
        <v>1.9999999999999858</v>
      </c>
      <c r="D360" s="1297">
        <v>22.999999999999996</v>
      </c>
      <c r="E360" s="1299" t="str">
        <f ca="1"/>
        <v/>
      </c>
      <c r="F360" s="1286" t="str">
        <f ca="1"/>
        <v/>
      </c>
      <c r="G360" s="1286" t="str">
        <f ca="1"/>
        <v/>
      </c>
      <c r="H360" s="1301" t="str">
        <f ca="1"/>
        <v/>
      </c>
      <c r="I360" s="1303" t="str">
        <f ca="1"/>
        <v/>
      </c>
      <c r="J360" s="1287" t="str">
        <f ca="1"/>
        <v/>
      </c>
      <c r="K360" s="1288" t="str">
        <f ca="1"/>
        <v xml:space="preserve">Description:
Details:
Aim:
</v>
      </c>
      <c r="L360" s="1287" t="str">
        <f ca="1"/>
        <v/>
      </c>
      <c r="M360" s="1287" t="str">
        <f ca="1"/>
        <v/>
      </c>
      <c r="N360" s="1287"/>
      <c r="O360" s="1323" t="str">
        <f ca="1"/>
        <v/>
      </c>
      <c r="P360" s="1287"/>
      <c r="Q360" s="1290" t="str">
        <f ca="1"/>
        <v/>
      </c>
    </row>
    <row r="361" spans="1:17" ht="27.75" hidden="1" customHeight="1" x14ac:dyDescent="0.45">
      <c r="A361" s="1289">
        <v>9</v>
      </c>
      <c r="B361" s="1285">
        <v>8</v>
      </c>
      <c r="C361" s="1285">
        <v>3.0000000000000142</v>
      </c>
      <c r="D361" s="1297">
        <v>23.999999999999993</v>
      </c>
      <c r="E361" s="1299" t="str">
        <f ca="1"/>
        <v/>
      </c>
      <c r="F361" s="1286" t="str">
        <f ca="1"/>
        <v/>
      </c>
      <c r="G361" s="1286" t="str">
        <f ca="1"/>
        <v/>
      </c>
      <c r="H361" s="1301" t="str">
        <f ca="1"/>
        <v/>
      </c>
      <c r="I361" s="1303" t="str">
        <f ca="1"/>
        <v/>
      </c>
      <c r="J361" s="1287" t="str">
        <f ca="1"/>
        <v/>
      </c>
      <c r="K361" s="1288" t="str">
        <f ca="1"/>
        <v xml:space="preserve">Description:
Details:
Aim:
</v>
      </c>
      <c r="L361" s="1287" t="str">
        <f ca="1"/>
        <v/>
      </c>
      <c r="M361" s="1287" t="str">
        <f ca="1"/>
        <v/>
      </c>
      <c r="N361" s="1287"/>
      <c r="O361" s="1323" t="str">
        <f ca="1"/>
        <v/>
      </c>
      <c r="P361" s="1287"/>
      <c r="Q361" s="1290" t="str">
        <f ca="1"/>
        <v/>
      </c>
    </row>
    <row r="362" spans="1:17" ht="27.75" hidden="1" customHeight="1" x14ac:dyDescent="0.45">
      <c r="A362" s="1289">
        <v>9</v>
      </c>
      <c r="B362" s="1285">
        <v>9</v>
      </c>
      <c r="C362" s="1285">
        <v>1</v>
      </c>
      <c r="D362" s="1297">
        <v>24.999999999999989</v>
      </c>
      <c r="E362" s="1299" t="str">
        <f ca="1"/>
        <v>Stay at a comfortable and controlled intensity where you should be able to have a conversation without large pauses. Keep an even intensity and accept that your pace may change as the terrain changes.</v>
      </c>
      <c r="F362" s="1286" t="str">
        <f ca="1"/>
        <v>Sport: Road Run
WU/WD: No 
Effort Total: 20 minutes
HR Target: 138 BPM
HR Range: 129 - 148 BPM 
Flat Road Equivalent Pace: 4:39 min/km</v>
      </c>
      <c r="G362" s="1286" t="str">
        <f ca="1"/>
        <v xml:space="preserve">Improve aerobic fitness while minimising the chance of injury. </v>
      </c>
      <c r="H362" s="1301" t="str">
        <f ca="1"/>
        <v/>
      </c>
      <c r="I362" s="1303" t="str">
        <f ca="1"/>
        <v>Easy road run: 20 minutes</v>
      </c>
      <c r="J362" s="1287" t="str">
        <f ca="1"/>
        <v>Running</v>
      </c>
      <c r="K362" s="1288" t="str">
        <f ca="1"/>
        <v xml:space="preserve">Description:
Stay at a comfortable and controlled intensity where you should be able to have a conversation without large pauses. Keep an even intensity and accept that your pace may change as the terrain changes.
Details:
Sport: Road Run
WU/WD: No 
Effort Total: 20 minutes
HR Target: 138 BPM
HR Range: 129 - 148 BPM 
Flat Road Equivalent Pace: 4:39 min/km
Aim:
Improve aerobic fitness while minimising the chance of injury. </v>
      </c>
      <c r="L362" s="1287">
        <f ca="1"/>
        <v>8</v>
      </c>
      <c r="M362" s="1287">
        <f ca="1"/>
        <v>0.33333333333333331</v>
      </c>
      <c r="N362" s="1287"/>
      <c r="O362" s="1323" t="str">
        <f ca="1"/>
        <v>2018-11-30 06:00</v>
      </c>
      <c r="P362" s="1287"/>
      <c r="Q362" s="1290" t="str">
        <f ca="1"/>
        <v>Road Run</v>
      </c>
    </row>
    <row r="363" spans="1:17" ht="27.75" hidden="1" customHeight="1" x14ac:dyDescent="0.45">
      <c r="A363" s="1289">
        <v>9</v>
      </c>
      <c r="B363" s="1285">
        <v>9</v>
      </c>
      <c r="C363" s="1285">
        <v>1.9999999999999858</v>
      </c>
      <c r="D363" s="1297">
        <v>25.999999999999986</v>
      </c>
      <c r="E363" s="1299" t="str">
        <f ca="1"/>
        <v>Do these either in the middlle or at the end of the session. Accelerate to just below sprint speed for 50 - 100 meters and use form focuses to enhance your technique. Walk back to the start before starting the next stride out.</v>
      </c>
      <c r="F363" s="1286" t="str">
        <f ca="1"/>
        <v>Sport: Road Run
WU/WD: 15 minutes 
Effort Total: 5 minutes
HR Target: 148 BPM
HR Range: 138 - 157 BPM 
Flat Road Equivalent Pace: 4:14 min/km</v>
      </c>
      <c r="G363" s="1286" t="str">
        <f ca="1"/>
        <v>Improve running mechanics.</v>
      </c>
      <c r="H363" s="1301" t="str">
        <f ca="1"/>
        <v/>
      </c>
      <c r="I363" s="1303" t="str">
        <f ca="1"/>
        <v>5 stride outs</v>
      </c>
      <c r="J363" s="1287" t="str">
        <f ca="1"/>
        <v>Running</v>
      </c>
      <c r="K363" s="1288" t="str">
        <f ca="1"/>
        <v>Description:
Do these either in the middlle or at the end of the session. Accelerate to just below sprint speed for 50 - 100 meters and use form focuses to enhance your technique. Walk back to the start before starting the next stride out.
Details:
Sport: Road Run
WU/WD: 15 minutes 
Effort Total: 5 minutes
HR Target: 148 BPM
HR Range: 138 - 157 BPM 
Flat Road Equivalent Pace: 4:14 min/km
Aim:
Improve running mechanics.</v>
      </c>
      <c r="L363" s="1287">
        <f ca="1"/>
        <v>8</v>
      </c>
      <c r="M363" s="1287">
        <f ca="1"/>
        <v>8.3333333333333329E-2</v>
      </c>
      <c r="N363" s="1287"/>
      <c r="O363" s="1323" t="str">
        <f ca="1"/>
        <v>2018-11-30 08:00</v>
      </c>
      <c r="P363" s="1287"/>
      <c r="Q363" s="1290" t="str">
        <f ca="1"/>
        <v>Road Run</v>
      </c>
    </row>
    <row r="364" spans="1:17" ht="27.75" hidden="1" customHeight="1" x14ac:dyDescent="0.45">
      <c r="A364" s="1289">
        <v>9</v>
      </c>
      <c r="B364" s="1285">
        <v>9</v>
      </c>
      <c r="C364" s="1285">
        <v>3.0000000000000142</v>
      </c>
      <c r="D364" s="1297">
        <v>26.999999999999982</v>
      </c>
      <c r="E364" s="1299" t="str">
        <f ca="1"/>
        <v/>
      </c>
      <c r="F364" s="1286" t="str">
        <f ca="1"/>
        <v/>
      </c>
      <c r="G364" s="1286" t="str">
        <f ca="1"/>
        <v/>
      </c>
      <c r="H364" s="1301" t="str">
        <f ca="1"/>
        <v/>
      </c>
      <c r="I364" s="1303" t="str">
        <f ca="1"/>
        <v/>
      </c>
      <c r="J364" s="1287" t="str">
        <f ca="1"/>
        <v/>
      </c>
      <c r="K364" s="1288" t="str">
        <f ca="1"/>
        <v xml:space="preserve">Description:
Details:
Aim:
</v>
      </c>
      <c r="L364" s="1287" t="str">
        <f ca="1"/>
        <v/>
      </c>
      <c r="M364" s="1287" t="str">
        <f ca="1"/>
        <v/>
      </c>
      <c r="N364" s="1287"/>
      <c r="O364" s="1323" t="str">
        <f ca="1"/>
        <v/>
      </c>
      <c r="P364" s="1287"/>
      <c r="Q364" s="1290" t="str">
        <f ca="1"/>
        <v/>
      </c>
    </row>
    <row r="365" spans="1:17" ht="27.75" hidden="1" customHeight="1" x14ac:dyDescent="0.45">
      <c r="A365" s="1289">
        <v>9</v>
      </c>
      <c r="B365" s="1285">
        <v>9</v>
      </c>
      <c r="C365" s="1285">
        <v>1</v>
      </c>
      <c r="D365" s="1297">
        <v>27.999999999999979</v>
      </c>
      <c r="E365" s="1299" t="str">
        <f ca="1"/>
        <v/>
      </c>
      <c r="F365" s="1286" t="str">
        <f ca="1"/>
        <v/>
      </c>
      <c r="G365" s="1286" t="str">
        <f ca="1"/>
        <v/>
      </c>
      <c r="H365" s="1301" t="str">
        <f ca="1"/>
        <v/>
      </c>
      <c r="I365" s="1303" t="str">
        <f ca="1"/>
        <v/>
      </c>
      <c r="J365" s="1287" t="str">
        <f ca="1"/>
        <v/>
      </c>
      <c r="K365" s="1288" t="str">
        <f ca="1"/>
        <v xml:space="preserve">Description:
Details:
Aim:
</v>
      </c>
      <c r="L365" s="1287" t="str">
        <f ca="1"/>
        <v/>
      </c>
      <c r="M365" s="1287" t="str">
        <f ca="1"/>
        <v/>
      </c>
      <c r="N365" s="1287"/>
      <c r="O365" s="1323" t="str">
        <f ca="1"/>
        <v/>
      </c>
      <c r="P365" s="1287"/>
      <c r="Q365" s="1290" t="str">
        <f ca="1"/>
        <v/>
      </c>
    </row>
    <row r="366" spans="1:17" ht="27.75" hidden="1" customHeight="1" x14ac:dyDescent="0.45">
      <c r="A366" s="1289">
        <v>9</v>
      </c>
      <c r="B366" s="1285">
        <v>10</v>
      </c>
      <c r="C366" s="1285">
        <v>1.9999999999999858</v>
      </c>
      <c r="D366" s="1297">
        <v>28.999999999999975</v>
      </c>
      <c r="E366" s="1299" t="str">
        <f ca="1"/>
        <v/>
      </c>
      <c r="F366" s="1286" t="str">
        <f ca="1"/>
        <v/>
      </c>
      <c r="G366" s="1286" t="str">
        <f ca="1"/>
        <v/>
      </c>
      <c r="H366" s="1301" t="str">
        <f ca="1"/>
        <v/>
      </c>
      <c r="I366" s="1303" t="str">
        <f ca="1"/>
        <v/>
      </c>
      <c r="J366" s="1287" t="str">
        <f ca="1"/>
        <v/>
      </c>
      <c r="K366" s="1288" t="str">
        <f ca="1"/>
        <v xml:space="preserve">Description:
Details:
Aim:
</v>
      </c>
      <c r="L366" s="1287" t="str">
        <f ca="1"/>
        <v/>
      </c>
      <c r="M366" s="1287" t="str">
        <f ca="1"/>
        <v/>
      </c>
      <c r="N366" s="1287"/>
      <c r="O366" s="1323" t="str">
        <f ca="1"/>
        <v/>
      </c>
      <c r="P366" s="1287"/>
      <c r="Q366" s="1290" t="str">
        <f ca="1"/>
        <v/>
      </c>
    </row>
    <row r="367" spans="1:17" ht="27.75" hidden="1" customHeight="1" x14ac:dyDescent="0.45">
      <c r="A367" s="1289">
        <v>9</v>
      </c>
      <c r="B367" s="1285">
        <v>10</v>
      </c>
      <c r="C367" s="1285">
        <v>3.0000000000000142</v>
      </c>
      <c r="D367" s="1297">
        <v>29.999999999999972</v>
      </c>
      <c r="E367" s="1299" t="str">
        <f ca="1"/>
        <v/>
      </c>
      <c r="F367" s="1286" t="str">
        <f ca="1"/>
        <v/>
      </c>
      <c r="G367" s="1286" t="str">
        <f ca="1"/>
        <v/>
      </c>
      <c r="H367" s="1301" t="str">
        <f ca="1"/>
        <v/>
      </c>
      <c r="I367" s="1303" t="str">
        <f ca="1"/>
        <v/>
      </c>
      <c r="J367" s="1287" t="str">
        <f ca="1"/>
        <v/>
      </c>
      <c r="K367" s="1288" t="str">
        <f ca="1"/>
        <v xml:space="preserve">Description:
Details:
Aim:
</v>
      </c>
      <c r="L367" s="1287" t="str">
        <f ca="1"/>
        <v/>
      </c>
      <c r="M367" s="1287" t="str">
        <f ca="1"/>
        <v/>
      </c>
      <c r="N367" s="1287"/>
      <c r="O367" s="1323" t="str">
        <f ca="1"/>
        <v/>
      </c>
      <c r="P367" s="1287"/>
      <c r="Q367" s="1290" t="str">
        <f ca="1"/>
        <v/>
      </c>
    </row>
    <row r="368" spans="1:17" ht="27.75" hidden="1" customHeight="1" x14ac:dyDescent="0.45">
      <c r="A368" s="1289">
        <v>9</v>
      </c>
      <c r="B368" s="1285">
        <v>10</v>
      </c>
      <c r="C368" s="1285">
        <v>1</v>
      </c>
      <c r="D368" s="1297">
        <v>30.999999999999968</v>
      </c>
      <c r="E368" s="1299" t="str">
        <f ca="1"/>
        <v>Rest from continuous exercise.</v>
      </c>
      <c r="F368" s="1286" t="str">
        <f ca="1"/>
        <v>Sport: Run
WU/WD: No 
Effort Total: 300 minutes
HR Target: N/A BPM
HR Range: N/A BPM 
Flat Road Equivalent Pace:  min/km</v>
      </c>
      <c r="G368" s="1286" t="str">
        <f ca="1"/>
        <v xml:space="preserve">Allow safest recovery of the whole body. </v>
      </c>
      <c r="H368" s="1301" t="str">
        <f ca="1"/>
        <v/>
      </c>
      <c r="I368" s="1303" t="str">
        <f ca="1"/>
        <v>Race: 300 minutes + WU/WD</v>
      </c>
      <c r="J368" s="1287" t="str">
        <f ca="1"/>
        <v>Running</v>
      </c>
      <c r="K368" s="1288" t="str">
        <f ca="1"/>
        <v xml:space="preserve">Description:
Rest from continuous exercise.
Details:
Sport: Run
WU/WD: No 
Effort Total: 300 minutes
HR Target: N/A BPM
HR Range: N/A BPM 
Flat Road Equivalent Pace:  min/km
Aim:
Allow safest recovery of the whole body. </v>
      </c>
      <c r="L368" s="1287">
        <f ca="1"/>
        <v>0</v>
      </c>
      <c r="M368" s="1287">
        <f ca="1"/>
        <v>5</v>
      </c>
      <c r="N368" s="1287"/>
      <c r="O368" s="1323" t="str">
        <f ca="1"/>
        <v>2018-11-30 18:00</v>
      </c>
      <c r="P368" s="1287"/>
      <c r="Q368" s="1290" t="str">
        <f ca="1"/>
        <v>Run</v>
      </c>
    </row>
    <row r="369" spans="1:17" ht="27.75" hidden="1" customHeight="1" x14ac:dyDescent="0.45">
      <c r="A369" s="1289">
        <v>9</v>
      </c>
      <c r="B369" s="1285">
        <v>11</v>
      </c>
      <c r="C369" s="1285">
        <v>1.9999999999999858</v>
      </c>
      <c r="D369" s="1297">
        <v>31.999999999999964</v>
      </c>
      <c r="E369" s="1299" t="str">
        <f ca="1"/>
        <v/>
      </c>
      <c r="F369" s="1286" t="str">
        <f ca="1"/>
        <v/>
      </c>
      <c r="G369" s="1286" t="str">
        <f ca="1"/>
        <v/>
      </c>
      <c r="H369" s="1301" t="str">
        <f ca="1"/>
        <v/>
      </c>
      <c r="I369" s="1303" t="str">
        <f ca="1"/>
        <v/>
      </c>
      <c r="J369" s="1287" t="str">
        <f ca="1"/>
        <v/>
      </c>
      <c r="K369" s="1288" t="str">
        <f ca="1"/>
        <v xml:space="preserve">Description:
Details:
Aim:
</v>
      </c>
      <c r="L369" s="1287" t="str">
        <f ca="1"/>
        <v/>
      </c>
      <c r="M369" s="1287" t="str">
        <f ca="1"/>
        <v/>
      </c>
      <c r="N369" s="1287"/>
      <c r="O369" s="1323" t="str">
        <f ca="1"/>
        <v/>
      </c>
      <c r="P369" s="1287"/>
      <c r="Q369" s="1290" t="str">
        <f ca="1"/>
        <v/>
      </c>
    </row>
    <row r="370" spans="1:17" ht="27.75" hidden="1" customHeight="1" x14ac:dyDescent="0.45">
      <c r="A370" s="1289">
        <v>9</v>
      </c>
      <c r="B370" s="1285">
        <v>11</v>
      </c>
      <c r="C370" s="1285">
        <v>3.0000000000000142</v>
      </c>
      <c r="D370" s="1297">
        <v>33.000000000000036</v>
      </c>
      <c r="E370" s="1299" t="str">
        <f ca="1"/>
        <v/>
      </c>
      <c r="F370" s="1286" t="str">
        <f ca="1"/>
        <v/>
      </c>
      <c r="G370" s="1286" t="str">
        <f ca="1"/>
        <v/>
      </c>
      <c r="H370" s="1301" t="str">
        <f ca="1"/>
        <v/>
      </c>
      <c r="I370" s="1303" t="str">
        <f ca="1"/>
        <v/>
      </c>
      <c r="J370" s="1287" t="str">
        <f ca="1"/>
        <v/>
      </c>
      <c r="K370" s="1288" t="str">
        <f ca="1"/>
        <v xml:space="preserve">Description:
Details:
Aim:
</v>
      </c>
      <c r="L370" s="1287" t="str">
        <f ca="1"/>
        <v/>
      </c>
      <c r="M370" s="1287" t="str">
        <f ca="1"/>
        <v/>
      </c>
      <c r="N370" s="1287"/>
      <c r="O370" s="1323" t="str">
        <f ca="1"/>
        <v/>
      </c>
      <c r="P370" s="1287"/>
      <c r="Q370" s="1290" t="str">
        <f ca="1"/>
        <v/>
      </c>
    </row>
    <row r="371" spans="1:17" ht="27.75" hidden="1" customHeight="1" x14ac:dyDescent="0.45">
      <c r="A371" s="1289">
        <v>9</v>
      </c>
      <c r="B371" s="1285">
        <v>12</v>
      </c>
      <c r="C371" s="1285">
        <v>1</v>
      </c>
      <c r="D371" s="1297">
        <v>34.000000000000028</v>
      </c>
      <c r="E371" s="1299" t="str">
        <f ca="1"/>
        <v/>
      </c>
      <c r="F371" s="1286" t="str">
        <f ca="1"/>
        <v/>
      </c>
      <c r="G371" s="1286" t="str">
        <f ca="1"/>
        <v/>
      </c>
      <c r="H371" s="1301" t="str">
        <f ca="1"/>
        <v/>
      </c>
      <c r="I371" s="1303" t="str">
        <f ca="1"/>
        <v/>
      </c>
      <c r="J371" s="1287" t="str">
        <f ca="1"/>
        <v/>
      </c>
      <c r="K371" s="1288" t="str">
        <f ca="1"/>
        <v xml:space="preserve">Description:
Details:
Aim:
</v>
      </c>
      <c r="L371" s="1287" t="str">
        <f ca="1"/>
        <v/>
      </c>
      <c r="M371" s="1287" t="str">
        <f ca="1"/>
        <v/>
      </c>
      <c r="N371" s="1287"/>
      <c r="O371" s="1323" t="str">
        <f ca="1"/>
        <v/>
      </c>
      <c r="P371" s="1287"/>
      <c r="Q371" s="1290" t="str">
        <f ca="1"/>
        <v/>
      </c>
    </row>
    <row r="372" spans="1:17" ht="27.75" hidden="1" customHeight="1" x14ac:dyDescent="0.45">
      <c r="A372" s="1289">
        <v>9</v>
      </c>
      <c r="B372" s="1285">
        <v>12</v>
      </c>
      <c r="C372" s="1285">
        <v>1.9999999999999858</v>
      </c>
      <c r="D372" s="1297">
        <v>35.000000000000028</v>
      </c>
      <c r="E372" s="1299" t="str">
        <f ca="1"/>
        <v/>
      </c>
      <c r="F372" s="1286" t="str">
        <f ca="1"/>
        <v/>
      </c>
      <c r="G372" s="1286" t="str">
        <f ca="1"/>
        <v/>
      </c>
      <c r="H372" s="1301" t="str">
        <f ca="1"/>
        <v/>
      </c>
      <c r="I372" s="1303" t="str">
        <f ca="1"/>
        <v/>
      </c>
      <c r="J372" s="1287" t="str">
        <f ca="1"/>
        <v/>
      </c>
      <c r="K372" s="1288" t="str">
        <f ca="1"/>
        <v xml:space="preserve">Description:
Details:
Aim:
</v>
      </c>
      <c r="L372" s="1287" t="str">
        <f ca="1"/>
        <v/>
      </c>
      <c r="M372" s="1287" t="str">
        <f ca="1"/>
        <v/>
      </c>
      <c r="N372" s="1287"/>
      <c r="O372" s="1323" t="str">
        <f ca="1"/>
        <v/>
      </c>
      <c r="P372" s="1287"/>
      <c r="Q372" s="1290" t="str">
        <f ca="1"/>
        <v/>
      </c>
    </row>
    <row r="373" spans="1:17" ht="27.75" hidden="1" customHeight="1" x14ac:dyDescent="0.45">
      <c r="A373" s="1289">
        <v>9</v>
      </c>
      <c r="B373" s="1285">
        <v>12</v>
      </c>
      <c r="C373" s="1285">
        <v>3.0000000000000142</v>
      </c>
      <c r="D373" s="1297">
        <v>36.000000000000028</v>
      </c>
      <c r="E373" s="1299" t="str">
        <f ca="1"/>
        <v/>
      </c>
      <c r="F373" s="1286" t="str">
        <f ca="1"/>
        <v/>
      </c>
      <c r="G373" s="1286" t="str">
        <f ca="1"/>
        <v/>
      </c>
      <c r="H373" s="1301" t="str">
        <f ca="1"/>
        <v/>
      </c>
      <c r="I373" s="1303" t="str">
        <f ca="1"/>
        <v/>
      </c>
      <c r="J373" s="1287" t="str">
        <f ca="1"/>
        <v/>
      </c>
      <c r="K373" s="1288" t="str">
        <f ca="1"/>
        <v xml:space="preserve">Description:
Details:
Aim:
</v>
      </c>
      <c r="L373" s="1287" t="str">
        <f ca="1"/>
        <v/>
      </c>
      <c r="M373" s="1287" t="str">
        <f ca="1"/>
        <v/>
      </c>
      <c r="N373" s="1287"/>
      <c r="O373" s="1323" t="str">
        <f ca="1"/>
        <v/>
      </c>
      <c r="P373" s="1287"/>
      <c r="Q373" s="1290" t="str">
        <f ca="1"/>
        <v/>
      </c>
    </row>
    <row r="374" spans="1:17" ht="27.75" hidden="1" customHeight="1" x14ac:dyDescent="0.45">
      <c r="A374" s="1289">
        <v>9</v>
      </c>
      <c r="B374" s="1285">
        <v>13</v>
      </c>
      <c r="C374" s="1285">
        <v>1</v>
      </c>
      <c r="D374" s="1297">
        <v>37.000000000000021</v>
      </c>
      <c r="E374" s="1299" t="str">
        <f ca="1"/>
        <v/>
      </c>
      <c r="F374" s="1286" t="str">
        <f ca="1"/>
        <v/>
      </c>
      <c r="G374" s="1286" t="str">
        <f ca="1"/>
        <v/>
      </c>
      <c r="H374" s="1301" t="str">
        <f ca="1"/>
        <v/>
      </c>
      <c r="I374" s="1303" t="str">
        <f ca="1"/>
        <v/>
      </c>
      <c r="J374" s="1287" t="str">
        <f ca="1"/>
        <v/>
      </c>
      <c r="K374" s="1288" t="str">
        <f ca="1"/>
        <v xml:space="preserve">Description:
Details:
Aim:
</v>
      </c>
      <c r="L374" s="1287" t="str">
        <f ca="1"/>
        <v/>
      </c>
      <c r="M374" s="1287" t="str">
        <f ca="1"/>
        <v/>
      </c>
      <c r="N374" s="1287"/>
      <c r="O374" s="1323" t="str">
        <f ca="1"/>
        <v/>
      </c>
      <c r="P374" s="1287"/>
      <c r="Q374" s="1290" t="str">
        <f ca="1"/>
        <v/>
      </c>
    </row>
    <row r="375" spans="1:17" ht="27.75" hidden="1" customHeight="1" x14ac:dyDescent="0.45">
      <c r="A375" s="1289">
        <v>9</v>
      </c>
      <c r="B375" s="1285">
        <v>13</v>
      </c>
      <c r="C375" s="1285">
        <v>1.9999999999999858</v>
      </c>
      <c r="D375" s="1297">
        <v>38.000000000000014</v>
      </c>
      <c r="E375" s="1299" t="str">
        <f ca="1"/>
        <v/>
      </c>
      <c r="F375" s="1286" t="str">
        <f ca="1"/>
        <v/>
      </c>
      <c r="G375" s="1286" t="str">
        <f ca="1"/>
        <v/>
      </c>
      <c r="H375" s="1301" t="str">
        <f ca="1"/>
        <v/>
      </c>
      <c r="I375" s="1303" t="str">
        <f ca="1"/>
        <v/>
      </c>
      <c r="J375" s="1287" t="str">
        <f ca="1"/>
        <v/>
      </c>
      <c r="K375" s="1288" t="str">
        <f ca="1"/>
        <v xml:space="preserve">Description:
Details:
Aim:
</v>
      </c>
      <c r="L375" s="1287" t="str">
        <f ca="1"/>
        <v/>
      </c>
      <c r="M375" s="1287" t="str">
        <f ca="1"/>
        <v/>
      </c>
      <c r="N375" s="1287"/>
      <c r="O375" s="1323" t="str">
        <f ca="1"/>
        <v/>
      </c>
      <c r="P375" s="1287"/>
      <c r="Q375" s="1290" t="str">
        <f ca="1"/>
        <v/>
      </c>
    </row>
    <row r="376" spans="1:17" ht="27.75" hidden="1" customHeight="1" x14ac:dyDescent="0.45">
      <c r="A376" s="1289">
        <v>9</v>
      </c>
      <c r="B376" s="1285">
        <v>13</v>
      </c>
      <c r="C376" s="1285">
        <v>3.0000000000000142</v>
      </c>
      <c r="D376" s="1297">
        <v>39.000000000000014</v>
      </c>
      <c r="E376" s="1299" t="str">
        <f ca="1"/>
        <v/>
      </c>
      <c r="F376" s="1286" t="str">
        <f ca="1"/>
        <v/>
      </c>
      <c r="G376" s="1286" t="str">
        <f ca="1"/>
        <v/>
      </c>
      <c r="H376" s="1301" t="str">
        <f ca="1"/>
        <v/>
      </c>
      <c r="I376" s="1303" t="str">
        <f ca="1"/>
        <v/>
      </c>
      <c r="J376" s="1287" t="str">
        <f ca="1"/>
        <v/>
      </c>
      <c r="K376" s="1288" t="str">
        <f ca="1"/>
        <v xml:space="preserve">Description:
Details:
Aim:
</v>
      </c>
      <c r="L376" s="1287" t="str">
        <f ca="1"/>
        <v/>
      </c>
      <c r="M376" s="1287" t="str">
        <f ca="1"/>
        <v/>
      </c>
      <c r="N376" s="1287"/>
      <c r="O376" s="1323" t="str">
        <f ca="1"/>
        <v/>
      </c>
      <c r="P376" s="1287"/>
      <c r="Q376" s="1290" t="str">
        <f ca="1"/>
        <v/>
      </c>
    </row>
    <row r="377" spans="1:17" ht="27.75" hidden="1" customHeight="1" x14ac:dyDescent="0.45">
      <c r="A377" s="1289">
        <v>9</v>
      </c>
      <c r="B377" s="1285">
        <v>14</v>
      </c>
      <c r="C377" s="1285">
        <v>1</v>
      </c>
      <c r="D377" s="1297">
        <v>40.000000000000014</v>
      </c>
      <c r="E377" s="1299" t="str">
        <f ca="1"/>
        <v/>
      </c>
      <c r="F377" s="1286" t="str">
        <f ca="1"/>
        <v/>
      </c>
      <c r="G377" s="1286" t="str">
        <f ca="1"/>
        <v/>
      </c>
      <c r="H377" s="1301" t="str">
        <f ca="1"/>
        <v/>
      </c>
      <c r="I377" s="1303" t="str">
        <f ca="1"/>
        <v/>
      </c>
      <c r="J377" s="1287" t="str">
        <f ca="1"/>
        <v/>
      </c>
      <c r="K377" s="1288" t="str">
        <f ca="1"/>
        <v xml:space="preserve">Description:
Details:
Aim:
</v>
      </c>
      <c r="L377" s="1287" t="str">
        <f ca="1"/>
        <v/>
      </c>
      <c r="M377" s="1287" t="str">
        <f ca="1"/>
        <v/>
      </c>
      <c r="N377" s="1287"/>
      <c r="O377" s="1323" t="str">
        <f ca="1"/>
        <v/>
      </c>
      <c r="P377" s="1287"/>
      <c r="Q377" s="1290" t="str">
        <f ca="1"/>
        <v/>
      </c>
    </row>
    <row r="378" spans="1:17" ht="27.75" hidden="1" customHeight="1" x14ac:dyDescent="0.45">
      <c r="A378" s="1289">
        <v>9</v>
      </c>
      <c r="B378" s="1285">
        <v>14</v>
      </c>
      <c r="C378" s="1285">
        <v>1.9999999999999858</v>
      </c>
      <c r="D378" s="1297">
        <v>41.000000000000007</v>
      </c>
      <c r="E378" s="1299" t="str">
        <f ca="1"/>
        <v/>
      </c>
      <c r="F378" s="1286" t="str">
        <f ca="1"/>
        <v/>
      </c>
      <c r="G378" s="1286" t="str">
        <f ca="1"/>
        <v/>
      </c>
      <c r="H378" s="1301" t="str">
        <f ca="1"/>
        <v/>
      </c>
      <c r="I378" s="1303" t="str">
        <f ca="1"/>
        <v/>
      </c>
      <c r="J378" s="1287" t="str">
        <f ca="1"/>
        <v/>
      </c>
      <c r="K378" s="1288" t="str">
        <f ca="1"/>
        <v xml:space="preserve">Description:
Details:
Aim:
</v>
      </c>
      <c r="L378" s="1287" t="str">
        <f ca="1"/>
        <v/>
      </c>
      <c r="M378" s="1287" t="str">
        <f ca="1"/>
        <v/>
      </c>
      <c r="N378" s="1287"/>
      <c r="O378" s="1323" t="str">
        <f ca="1"/>
        <v/>
      </c>
      <c r="P378" s="1287"/>
      <c r="Q378" s="1290" t="str">
        <f ca="1"/>
        <v/>
      </c>
    </row>
    <row r="379" spans="1:17" ht="27.75" hidden="1" customHeight="1" x14ac:dyDescent="0.45">
      <c r="A379" s="1289">
        <v>9</v>
      </c>
      <c r="B379" s="1285">
        <v>14</v>
      </c>
      <c r="C379" s="1285">
        <v>3.0000000000000142</v>
      </c>
      <c r="D379" s="1297">
        <v>42</v>
      </c>
      <c r="E379" s="1299" t="str">
        <f ca="1"/>
        <v/>
      </c>
      <c r="F379" s="1286" t="str">
        <f ca="1"/>
        <v/>
      </c>
      <c r="G379" s="1286" t="str">
        <f ca="1"/>
        <v/>
      </c>
      <c r="H379" s="1301" t="str">
        <f ca="1"/>
        <v/>
      </c>
      <c r="I379" s="1303" t="str">
        <f ca="1"/>
        <v/>
      </c>
      <c r="J379" s="1287" t="str">
        <f ca="1"/>
        <v/>
      </c>
      <c r="K379" s="1288" t="str">
        <f ca="1"/>
        <v xml:space="preserve">Description:
Details:
Aim:
</v>
      </c>
      <c r="L379" s="1287" t="str">
        <f ca="1"/>
        <v/>
      </c>
      <c r="M379" s="1287" t="str">
        <f ca="1"/>
        <v/>
      </c>
      <c r="N379" s="1287"/>
      <c r="O379" s="1323" t="str">
        <f ca="1"/>
        <v/>
      </c>
      <c r="P379" s="1287"/>
      <c r="Q379" s="1290" t="str">
        <f ca="1"/>
        <v/>
      </c>
    </row>
    <row r="380" spans="1:17" ht="27.75" hidden="1" customHeight="1" x14ac:dyDescent="0.45">
      <c r="A380" s="1289">
        <v>10</v>
      </c>
      <c r="B380" s="1285">
        <v>1</v>
      </c>
      <c r="C380" s="1285">
        <v>1</v>
      </c>
      <c r="D380" s="1297">
        <v>1</v>
      </c>
      <c r="E380" s="1299" t="str">
        <f ca="1"/>
        <v/>
      </c>
      <c r="F380" s="1286" t="str">
        <f ca="1"/>
        <v/>
      </c>
      <c r="G380" s="1286" t="str">
        <f ca="1"/>
        <v/>
      </c>
      <c r="H380" s="1301" t="str">
        <f ca="1"/>
        <v/>
      </c>
      <c r="I380" s="1303" t="str">
        <f ca="1"/>
        <v/>
      </c>
      <c r="J380" s="1287" t="str">
        <f ca="1"/>
        <v/>
      </c>
      <c r="K380" s="1288" t="str">
        <f ca="1"/>
        <v xml:space="preserve">Description:
Details:
Aim:
</v>
      </c>
      <c r="L380" s="1287" t="str">
        <f ca="1"/>
        <v/>
      </c>
      <c r="M380" s="1287" t="str">
        <f ca="1"/>
        <v/>
      </c>
      <c r="N380" s="1287"/>
      <c r="O380" s="1323" t="str">
        <f ca="1"/>
        <v/>
      </c>
      <c r="P380" s="1287"/>
      <c r="Q380" s="1290" t="str">
        <f ca="1"/>
        <v/>
      </c>
    </row>
    <row r="381" spans="1:17" ht="27.75" hidden="1" customHeight="1" x14ac:dyDescent="0.45">
      <c r="A381" s="1289">
        <v>10</v>
      </c>
      <c r="B381" s="1285">
        <v>1</v>
      </c>
      <c r="C381" s="1285">
        <v>1.9999999999999858</v>
      </c>
      <c r="D381" s="1297">
        <v>1.9999999999999964</v>
      </c>
      <c r="E381" s="1299" t="str">
        <f ca="1"/>
        <v/>
      </c>
      <c r="F381" s="1286" t="str">
        <f ca="1"/>
        <v/>
      </c>
      <c r="G381" s="1286" t="str">
        <f ca="1"/>
        <v/>
      </c>
      <c r="H381" s="1301" t="str">
        <f ca="1"/>
        <v/>
      </c>
      <c r="I381" s="1303" t="str">
        <f ca="1"/>
        <v/>
      </c>
      <c r="J381" s="1287" t="str">
        <f ca="1"/>
        <v/>
      </c>
      <c r="K381" s="1288" t="str">
        <f ca="1"/>
        <v xml:space="preserve">Description:
Details:
Aim:
</v>
      </c>
      <c r="L381" s="1287" t="str">
        <f ca="1"/>
        <v/>
      </c>
      <c r="M381" s="1287" t="str">
        <f ca="1"/>
        <v/>
      </c>
      <c r="N381" s="1287"/>
      <c r="O381" s="1323" t="str">
        <f ca="1"/>
        <v/>
      </c>
      <c r="P381" s="1287"/>
      <c r="Q381" s="1290" t="str">
        <f ca="1"/>
        <v/>
      </c>
    </row>
    <row r="382" spans="1:17" ht="27.75" hidden="1" customHeight="1" x14ac:dyDescent="0.45">
      <c r="A382" s="1289">
        <v>10</v>
      </c>
      <c r="B382" s="1285">
        <v>1</v>
      </c>
      <c r="C382" s="1285">
        <v>3.0000000000000142</v>
      </c>
      <c r="D382" s="1297">
        <v>2.9999999999999929</v>
      </c>
      <c r="E382" s="1299" t="str">
        <f ca="1"/>
        <v/>
      </c>
      <c r="F382" s="1286" t="str">
        <f ca="1"/>
        <v/>
      </c>
      <c r="G382" s="1286" t="str">
        <f ca="1"/>
        <v/>
      </c>
      <c r="H382" s="1301" t="str">
        <f ca="1"/>
        <v/>
      </c>
      <c r="I382" s="1303" t="str">
        <f ca="1"/>
        <v/>
      </c>
      <c r="J382" s="1287" t="str">
        <f ca="1"/>
        <v/>
      </c>
      <c r="K382" s="1288" t="str">
        <f ca="1"/>
        <v xml:space="preserve">Description:
Details:
Aim:
</v>
      </c>
      <c r="L382" s="1287" t="str">
        <f ca="1"/>
        <v/>
      </c>
      <c r="M382" s="1287" t="str">
        <f ca="1"/>
        <v/>
      </c>
      <c r="N382" s="1287"/>
      <c r="O382" s="1323" t="str">
        <f ca="1"/>
        <v/>
      </c>
      <c r="P382" s="1287"/>
      <c r="Q382" s="1290" t="str">
        <f ca="1"/>
        <v/>
      </c>
    </row>
    <row r="383" spans="1:17" ht="27.75" hidden="1" customHeight="1" x14ac:dyDescent="0.45">
      <c r="A383" s="1289">
        <v>10</v>
      </c>
      <c r="B383" s="1285">
        <v>1</v>
      </c>
      <c r="C383" s="1285">
        <v>1</v>
      </c>
      <c r="D383" s="1297">
        <v>3.9999999999999893</v>
      </c>
      <c r="E383" s="1299" t="str">
        <f ca="1"/>
        <v/>
      </c>
      <c r="F383" s="1286" t="str">
        <f ca="1"/>
        <v/>
      </c>
      <c r="G383" s="1286" t="str">
        <f ca="1"/>
        <v/>
      </c>
      <c r="H383" s="1301" t="str">
        <f ca="1"/>
        <v/>
      </c>
      <c r="I383" s="1303" t="str">
        <f ca="1"/>
        <v/>
      </c>
      <c r="J383" s="1287" t="str">
        <f ca="1"/>
        <v/>
      </c>
      <c r="K383" s="1288" t="str">
        <f ca="1"/>
        <v xml:space="preserve">Description:
Details:
Aim:
</v>
      </c>
      <c r="L383" s="1287" t="str">
        <f ca="1"/>
        <v/>
      </c>
      <c r="M383" s="1287" t="str">
        <f ca="1"/>
        <v/>
      </c>
      <c r="N383" s="1287"/>
      <c r="O383" s="1323" t="str">
        <f ca="1"/>
        <v/>
      </c>
      <c r="P383" s="1287"/>
      <c r="Q383" s="1290" t="str">
        <f ca="1"/>
        <v/>
      </c>
    </row>
    <row r="384" spans="1:17" ht="27.75" hidden="1" customHeight="1" x14ac:dyDescent="0.45">
      <c r="A384" s="1289">
        <v>10</v>
      </c>
      <c r="B384" s="1285">
        <v>2</v>
      </c>
      <c r="C384" s="1285">
        <v>1.9999999999999858</v>
      </c>
      <c r="D384" s="1297">
        <v>4.9999999999999858</v>
      </c>
      <c r="E384" s="1299" t="str">
        <f ca="1"/>
        <v/>
      </c>
      <c r="F384" s="1286" t="str">
        <f ca="1"/>
        <v/>
      </c>
      <c r="G384" s="1286" t="str">
        <f ca="1"/>
        <v/>
      </c>
      <c r="H384" s="1301" t="str">
        <f ca="1"/>
        <v/>
      </c>
      <c r="I384" s="1303" t="str">
        <f ca="1"/>
        <v/>
      </c>
      <c r="J384" s="1287" t="str">
        <f ca="1"/>
        <v/>
      </c>
      <c r="K384" s="1288" t="str">
        <f ca="1"/>
        <v xml:space="preserve">Description:
Details:
Aim:
</v>
      </c>
      <c r="L384" s="1287" t="str">
        <f ca="1"/>
        <v/>
      </c>
      <c r="M384" s="1287" t="str">
        <f ca="1"/>
        <v/>
      </c>
      <c r="N384" s="1287"/>
      <c r="O384" s="1323" t="str">
        <f ca="1"/>
        <v/>
      </c>
      <c r="P384" s="1287"/>
      <c r="Q384" s="1290" t="str">
        <f ca="1"/>
        <v/>
      </c>
    </row>
    <row r="385" spans="1:17" ht="27.75" hidden="1" customHeight="1" x14ac:dyDescent="0.45">
      <c r="A385" s="1289">
        <v>10</v>
      </c>
      <c r="B385" s="1285">
        <v>2</v>
      </c>
      <c r="C385" s="1285">
        <v>3.0000000000000142</v>
      </c>
      <c r="D385" s="1297">
        <v>5.9999999999999822</v>
      </c>
      <c r="E385" s="1299" t="str">
        <f ca="1"/>
        <v/>
      </c>
      <c r="F385" s="1286" t="str">
        <f ca="1"/>
        <v/>
      </c>
      <c r="G385" s="1286" t="str">
        <f ca="1"/>
        <v/>
      </c>
      <c r="H385" s="1301" t="str">
        <f ca="1"/>
        <v/>
      </c>
      <c r="I385" s="1303" t="str">
        <f ca="1"/>
        <v/>
      </c>
      <c r="J385" s="1287" t="str">
        <f ca="1"/>
        <v/>
      </c>
      <c r="K385" s="1288" t="str">
        <f ca="1"/>
        <v xml:space="preserve">Description:
Details:
Aim:
</v>
      </c>
      <c r="L385" s="1287" t="str">
        <f ca="1"/>
        <v/>
      </c>
      <c r="M385" s="1287" t="str">
        <f ca="1"/>
        <v/>
      </c>
      <c r="N385" s="1287"/>
      <c r="O385" s="1323" t="str">
        <f ca="1"/>
        <v/>
      </c>
      <c r="P385" s="1287"/>
      <c r="Q385" s="1290" t="str">
        <f ca="1"/>
        <v/>
      </c>
    </row>
    <row r="386" spans="1:17" ht="27.75" hidden="1" customHeight="1" x14ac:dyDescent="0.45">
      <c r="A386" s="1289">
        <v>10</v>
      </c>
      <c r="B386" s="1285">
        <v>2</v>
      </c>
      <c r="C386" s="1285">
        <v>1</v>
      </c>
      <c r="D386" s="1297">
        <v>6.9999999999999787</v>
      </c>
      <c r="E386" s="1299" t="str">
        <f ca="1"/>
        <v/>
      </c>
      <c r="F386" s="1286" t="str">
        <f ca="1"/>
        <v/>
      </c>
      <c r="G386" s="1286" t="str">
        <f ca="1"/>
        <v/>
      </c>
      <c r="H386" s="1301" t="str">
        <f ca="1"/>
        <v/>
      </c>
      <c r="I386" s="1303" t="str">
        <f ca="1"/>
        <v/>
      </c>
      <c r="J386" s="1287" t="str">
        <f ca="1"/>
        <v/>
      </c>
      <c r="K386" s="1288" t="str">
        <f ca="1"/>
        <v xml:space="preserve">Description:
Details:
Aim:
</v>
      </c>
      <c r="L386" s="1287" t="str">
        <f ca="1"/>
        <v/>
      </c>
      <c r="M386" s="1287" t="str">
        <f ca="1"/>
        <v/>
      </c>
      <c r="N386" s="1287"/>
      <c r="O386" s="1323" t="str">
        <f ca="1"/>
        <v/>
      </c>
      <c r="P386" s="1287"/>
      <c r="Q386" s="1290" t="str">
        <f ca="1"/>
        <v/>
      </c>
    </row>
    <row r="387" spans="1:17" ht="27.75" hidden="1" customHeight="1" x14ac:dyDescent="0.45">
      <c r="A387" s="1289">
        <v>10</v>
      </c>
      <c r="B387" s="1285">
        <v>3</v>
      </c>
      <c r="C387" s="1285">
        <v>2.0000000000000284</v>
      </c>
      <c r="D387" s="1297">
        <v>7.9999999999999751</v>
      </c>
      <c r="E387" s="1299" t="str">
        <f ca="1"/>
        <v/>
      </c>
      <c r="F387" s="1286" t="str">
        <f ca="1"/>
        <v/>
      </c>
      <c r="G387" s="1286" t="str">
        <f ca="1"/>
        <v/>
      </c>
      <c r="H387" s="1301" t="str">
        <f ca="1"/>
        <v/>
      </c>
      <c r="I387" s="1303" t="str">
        <f ca="1"/>
        <v/>
      </c>
      <c r="J387" s="1287" t="str">
        <f ca="1"/>
        <v/>
      </c>
      <c r="K387" s="1288" t="str">
        <f ca="1"/>
        <v xml:space="preserve">Description:
Details:
Aim:
</v>
      </c>
      <c r="L387" s="1287" t="str">
        <f ca="1"/>
        <v/>
      </c>
      <c r="M387" s="1287" t="str">
        <f ca="1"/>
        <v/>
      </c>
      <c r="N387" s="1287"/>
      <c r="O387" s="1323" t="str">
        <f ca="1"/>
        <v/>
      </c>
      <c r="P387" s="1287"/>
      <c r="Q387" s="1290" t="str">
        <f ca="1"/>
        <v/>
      </c>
    </row>
    <row r="388" spans="1:17" ht="27.75" hidden="1" customHeight="1" x14ac:dyDescent="0.45">
      <c r="A388" s="1289">
        <v>10</v>
      </c>
      <c r="B388" s="1285">
        <v>3</v>
      </c>
      <c r="C388" s="1285">
        <v>2.9999999999999716</v>
      </c>
      <c r="D388" s="1297">
        <v>8.9999999999999716</v>
      </c>
      <c r="E388" s="1299" t="str">
        <f ca="1"/>
        <v/>
      </c>
      <c r="F388" s="1286" t="str">
        <f ca="1"/>
        <v/>
      </c>
      <c r="G388" s="1286" t="str">
        <f ca="1"/>
        <v/>
      </c>
      <c r="H388" s="1301" t="str">
        <f ca="1"/>
        <v/>
      </c>
      <c r="I388" s="1303" t="str">
        <f ca="1"/>
        <v/>
      </c>
      <c r="J388" s="1287" t="str">
        <f ca="1"/>
        <v/>
      </c>
      <c r="K388" s="1288" t="str">
        <f ca="1"/>
        <v xml:space="preserve">Description:
Details:
Aim:
</v>
      </c>
      <c r="L388" s="1287" t="str">
        <f ca="1"/>
        <v/>
      </c>
      <c r="M388" s="1287" t="str">
        <f ca="1"/>
        <v/>
      </c>
      <c r="N388" s="1287"/>
      <c r="O388" s="1323" t="str">
        <f ca="1"/>
        <v/>
      </c>
      <c r="P388" s="1287"/>
      <c r="Q388" s="1290" t="str">
        <f ca="1"/>
        <v/>
      </c>
    </row>
    <row r="389" spans="1:17" ht="27.75" hidden="1" customHeight="1" x14ac:dyDescent="0.45">
      <c r="A389" s="1289">
        <v>10</v>
      </c>
      <c r="B389" s="1285">
        <v>3</v>
      </c>
      <c r="C389" s="1285">
        <v>1</v>
      </c>
      <c r="D389" s="1297">
        <v>9.999999999999968</v>
      </c>
      <c r="E389" s="1299" t="str">
        <f ca="1"/>
        <v/>
      </c>
      <c r="F389" s="1286" t="str">
        <f ca="1"/>
        <v/>
      </c>
      <c r="G389" s="1286" t="str">
        <f ca="1"/>
        <v/>
      </c>
      <c r="H389" s="1301" t="str">
        <f ca="1"/>
        <v/>
      </c>
      <c r="I389" s="1303" t="str">
        <f ca="1"/>
        <v/>
      </c>
      <c r="J389" s="1287" t="str">
        <f ca="1"/>
        <v/>
      </c>
      <c r="K389" s="1288" t="str">
        <f ca="1"/>
        <v xml:space="preserve">Description:
Details:
Aim:
</v>
      </c>
      <c r="L389" s="1287" t="str">
        <f ca="1"/>
        <v/>
      </c>
      <c r="M389" s="1287" t="str">
        <f ca="1"/>
        <v/>
      </c>
      <c r="N389" s="1287"/>
      <c r="O389" s="1323" t="str">
        <f ca="1"/>
        <v/>
      </c>
      <c r="P389" s="1287"/>
      <c r="Q389" s="1290" t="str">
        <f ca="1"/>
        <v/>
      </c>
    </row>
    <row r="390" spans="1:17" ht="27.75" hidden="1" customHeight="1" x14ac:dyDescent="0.45">
      <c r="A390" s="1289">
        <v>10</v>
      </c>
      <c r="B390" s="1285">
        <v>4</v>
      </c>
      <c r="C390" s="1285">
        <v>2.0000000000000284</v>
      </c>
      <c r="D390" s="1297">
        <v>10.999999999999964</v>
      </c>
      <c r="E390" s="1299" t="str">
        <f ca="1"/>
        <v/>
      </c>
      <c r="F390" s="1286" t="str">
        <f ca="1"/>
        <v/>
      </c>
      <c r="G390" s="1286" t="str">
        <f ca="1"/>
        <v/>
      </c>
      <c r="H390" s="1301" t="str">
        <f ca="1"/>
        <v/>
      </c>
      <c r="I390" s="1303" t="str">
        <f ca="1"/>
        <v/>
      </c>
      <c r="J390" s="1287" t="str">
        <f ca="1"/>
        <v/>
      </c>
      <c r="K390" s="1288" t="str">
        <f ca="1"/>
        <v xml:space="preserve">Description:
Details:
Aim:
</v>
      </c>
      <c r="L390" s="1287" t="str">
        <f ca="1"/>
        <v/>
      </c>
      <c r="M390" s="1287" t="str">
        <f ca="1"/>
        <v/>
      </c>
      <c r="N390" s="1287"/>
      <c r="O390" s="1323" t="str">
        <f ca="1"/>
        <v/>
      </c>
      <c r="P390" s="1287"/>
      <c r="Q390" s="1290" t="str">
        <f ca="1"/>
        <v/>
      </c>
    </row>
    <row r="391" spans="1:17" ht="27.75" hidden="1" customHeight="1" x14ac:dyDescent="0.45">
      <c r="A391" s="1289">
        <v>10</v>
      </c>
      <c r="B391" s="1285">
        <v>4</v>
      </c>
      <c r="C391" s="1285">
        <v>2.9999999999999716</v>
      </c>
      <c r="D391" s="1297">
        <v>12.000000000000036</v>
      </c>
      <c r="E391" s="1299" t="str">
        <f ca="1"/>
        <v/>
      </c>
      <c r="F391" s="1286" t="str">
        <f ca="1"/>
        <v/>
      </c>
      <c r="G391" s="1286" t="str">
        <f ca="1"/>
        <v/>
      </c>
      <c r="H391" s="1301" t="str">
        <f ca="1"/>
        <v/>
      </c>
      <c r="I391" s="1303" t="str">
        <f ca="1"/>
        <v/>
      </c>
      <c r="J391" s="1287" t="str">
        <f ca="1"/>
        <v/>
      </c>
      <c r="K391" s="1288" t="str">
        <f ca="1"/>
        <v xml:space="preserve">Description:
Details:
Aim:
</v>
      </c>
      <c r="L391" s="1287" t="str">
        <f ca="1"/>
        <v/>
      </c>
      <c r="M391" s="1287" t="str">
        <f ca="1"/>
        <v/>
      </c>
      <c r="N391" s="1287"/>
      <c r="O391" s="1323" t="str">
        <f ca="1"/>
        <v/>
      </c>
      <c r="P391" s="1287"/>
      <c r="Q391" s="1290" t="str">
        <f ca="1"/>
        <v/>
      </c>
    </row>
    <row r="392" spans="1:17" ht="27.75" hidden="1" customHeight="1" x14ac:dyDescent="0.45">
      <c r="A392" s="1289">
        <v>10</v>
      </c>
      <c r="B392" s="1285">
        <v>5</v>
      </c>
      <c r="C392" s="1285">
        <v>1</v>
      </c>
      <c r="D392" s="1297">
        <v>13.000000000000032</v>
      </c>
      <c r="E392" s="1299" t="str">
        <f ca="1"/>
        <v/>
      </c>
      <c r="F392" s="1286" t="str">
        <f ca="1"/>
        <v/>
      </c>
      <c r="G392" s="1286" t="str">
        <f ca="1"/>
        <v/>
      </c>
      <c r="H392" s="1301" t="str">
        <f ca="1"/>
        <v/>
      </c>
      <c r="I392" s="1303" t="str">
        <f ca="1"/>
        <v/>
      </c>
      <c r="J392" s="1287" t="str">
        <f ca="1"/>
        <v/>
      </c>
      <c r="K392" s="1288" t="str">
        <f ca="1"/>
        <v xml:space="preserve">Description:
Details:
Aim:
</v>
      </c>
      <c r="L392" s="1287" t="str">
        <f ca="1"/>
        <v/>
      </c>
      <c r="M392" s="1287" t="str">
        <f ca="1"/>
        <v/>
      </c>
      <c r="N392" s="1287"/>
      <c r="O392" s="1323" t="str">
        <f ca="1"/>
        <v/>
      </c>
      <c r="P392" s="1287"/>
      <c r="Q392" s="1290" t="str">
        <f ca="1"/>
        <v/>
      </c>
    </row>
    <row r="393" spans="1:17" ht="27.75" hidden="1" customHeight="1" x14ac:dyDescent="0.45">
      <c r="A393" s="1289">
        <v>10</v>
      </c>
      <c r="B393" s="1285">
        <v>5</v>
      </c>
      <c r="C393" s="1285">
        <v>2.0000000000000284</v>
      </c>
      <c r="D393" s="1297">
        <v>14.000000000000028</v>
      </c>
      <c r="E393" s="1299" t="str">
        <f ca="1"/>
        <v/>
      </c>
      <c r="F393" s="1286" t="str">
        <f ca="1"/>
        <v/>
      </c>
      <c r="G393" s="1286" t="str">
        <f ca="1"/>
        <v/>
      </c>
      <c r="H393" s="1301" t="str">
        <f ca="1"/>
        <v/>
      </c>
      <c r="I393" s="1303" t="str">
        <f ca="1"/>
        <v/>
      </c>
      <c r="J393" s="1287" t="str">
        <f ca="1"/>
        <v/>
      </c>
      <c r="K393" s="1288" t="str">
        <f ca="1"/>
        <v xml:space="preserve">Description:
Details:
Aim:
</v>
      </c>
      <c r="L393" s="1287" t="str">
        <f ca="1"/>
        <v/>
      </c>
      <c r="M393" s="1287" t="str">
        <f ca="1"/>
        <v/>
      </c>
      <c r="N393" s="1287"/>
      <c r="O393" s="1323" t="str">
        <f ca="1"/>
        <v/>
      </c>
      <c r="P393" s="1287"/>
      <c r="Q393" s="1290" t="str">
        <f ca="1"/>
        <v/>
      </c>
    </row>
    <row r="394" spans="1:17" ht="27.75" hidden="1" customHeight="1" x14ac:dyDescent="0.45">
      <c r="A394" s="1289">
        <v>10</v>
      </c>
      <c r="B394" s="1285">
        <v>5</v>
      </c>
      <c r="C394" s="1285">
        <v>2.9999999999999716</v>
      </c>
      <c r="D394" s="1297">
        <v>15.000000000000025</v>
      </c>
      <c r="E394" s="1299" t="str">
        <f ca="1"/>
        <v/>
      </c>
      <c r="F394" s="1286" t="str">
        <f ca="1"/>
        <v/>
      </c>
      <c r="G394" s="1286" t="str">
        <f ca="1"/>
        <v/>
      </c>
      <c r="H394" s="1301" t="str">
        <f ca="1"/>
        <v/>
      </c>
      <c r="I394" s="1303" t="str">
        <f ca="1"/>
        <v/>
      </c>
      <c r="J394" s="1287" t="str">
        <f ca="1"/>
        <v/>
      </c>
      <c r="K394" s="1288" t="str">
        <f ca="1"/>
        <v xml:space="preserve">Description:
Details:
Aim:
</v>
      </c>
      <c r="L394" s="1287" t="str">
        <f ca="1"/>
        <v/>
      </c>
      <c r="M394" s="1287" t="str">
        <f ca="1"/>
        <v/>
      </c>
      <c r="N394" s="1287"/>
      <c r="O394" s="1323" t="str">
        <f ca="1"/>
        <v/>
      </c>
      <c r="P394" s="1287"/>
      <c r="Q394" s="1290" t="str">
        <f ca="1"/>
        <v/>
      </c>
    </row>
    <row r="395" spans="1:17" ht="27.75" hidden="1" customHeight="1" x14ac:dyDescent="0.45">
      <c r="A395" s="1289">
        <v>10</v>
      </c>
      <c r="B395" s="1285">
        <v>6</v>
      </c>
      <c r="C395" s="1285">
        <v>1</v>
      </c>
      <c r="D395" s="1297">
        <v>16.000000000000021</v>
      </c>
      <c r="E395" s="1299" t="str">
        <f ca="1"/>
        <v/>
      </c>
      <c r="F395" s="1286" t="str">
        <f ca="1"/>
        <v/>
      </c>
      <c r="G395" s="1286" t="str">
        <f ca="1"/>
        <v/>
      </c>
      <c r="H395" s="1301" t="str">
        <f ca="1"/>
        <v/>
      </c>
      <c r="I395" s="1303" t="str">
        <f ca="1"/>
        <v/>
      </c>
      <c r="J395" s="1287" t="str">
        <f ca="1"/>
        <v/>
      </c>
      <c r="K395" s="1288" t="str">
        <f ca="1"/>
        <v xml:space="preserve">Description:
Details:
Aim:
</v>
      </c>
      <c r="L395" s="1287" t="str">
        <f ca="1"/>
        <v/>
      </c>
      <c r="M395" s="1287" t="str">
        <f ca="1"/>
        <v/>
      </c>
      <c r="N395" s="1287"/>
      <c r="O395" s="1323" t="str">
        <f ca="1"/>
        <v/>
      </c>
      <c r="P395" s="1287"/>
      <c r="Q395" s="1290" t="str">
        <f ca="1"/>
        <v/>
      </c>
    </row>
    <row r="396" spans="1:17" ht="27.75" hidden="1" customHeight="1" x14ac:dyDescent="0.45">
      <c r="A396" s="1289">
        <v>10</v>
      </c>
      <c r="B396" s="1285">
        <v>6</v>
      </c>
      <c r="C396" s="1285">
        <v>2.0000000000000284</v>
      </c>
      <c r="D396" s="1297">
        <v>17.000000000000018</v>
      </c>
      <c r="E396" s="1299" t="str">
        <f ca="1"/>
        <v/>
      </c>
      <c r="F396" s="1286" t="str">
        <f ca="1"/>
        <v/>
      </c>
      <c r="G396" s="1286" t="str">
        <f ca="1"/>
        <v/>
      </c>
      <c r="H396" s="1301" t="str">
        <f ca="1"/>
        <v/>
      </c>
      <c r="I396" s="1303" t="str">
        <f ca="1"/>
        <v/>
      </c>
      <c r="J396" s="1287" t="str">
        <f ca="1"/>
        <v/>
      </c>
      <c r="K396" s="1288" t="str">
        <f ca="1"/>
        <v xml:space="preserve">Description:
Details:
Aim:
</v>
      </c>
      <c r="L396" s="1287" t="str">
        <f ca="1"/>
        <v/>
      </c>
      <c r="M396" s="1287" t="str">
        <f ca="1"/>
        <v/>
      </c>
      <c r="N396" s="1287"/>
      <c r="O396" s="1323" t="str">
        <f ca="1"/>
        <v/>
      </c>
      <c r="P396" s="1287"/>
      <c r="Q396" s="1290" t="str">
        <f ca="1"/>
        <v/>
      </c>
    </row>
    <row r="397" spans="1:17" ht="27.75" hidden="1" customHeight="1" x14ac:dyDescent="0.45">
      <c r="A397" s="1289">
        <v>10</v>
      </c>
      <c r="B397" s="1285">
        <v>6</v>
      </c>
      <c r="C397" s="1285">
        <v>2.9999999999999716</v>
      </c>
      <c r="D397" s="1297">
        <v>18.000000000000014</v>
      </c>
      <c r="E397" s="1299" t="str">
        <f ca="1"/>
        <v/>
      </c>
      <c r="F397" s="1286" t="str">
        <f ca="1"/>
        <v/>
      </c>
      <c r="G397" s="1286" t="str">
        <f ca="1"/>
        <v/>
      </c>
      <c r="H397" s="1301" t="str">
        <f ca="1"/>
        <v/>
      </c>
      <c r="I397" s="1303" t="str">
        <f ca="1"/>
        <v/>
      </c>
      <c r="J397" s="1287" t="str">
        <f ca="1"/>
        <v/>
      </c>
      <c r="K397" s="1288" t="str">
        <f ca="1"/>
        <v xml:space="preserve">Description:
Details:
Aim:
</v>
      </c>
      <c r="L397" s="1287" t="str">
        <f ca="1"/>
        <v/>
      </c>
      <c r="M397" s="1287" t="str">
        <f ca="1"/>
        <v/>
      </c>
      <c r="N397" s="1287"/>
      <c r="O397" s="1323" t="str">
        <f ca="1"/>
        <v/>
      </c>
      <c r="P397" s="1287"/>
      <c r="Q397" s="1290" t="str">
        <f ca="1"/>
        <v/>
      </c>
    </row>
    <row r="398" spans="1:17" ht="27.75" hidden="1" customHeight="1" x14ac:dyDescent="0.45">
      <c r="A398" s="1289">
        <v>10</v>
      </c>
      <c r="B398" s="1285">
        <v>7</v>
      </c>
      <c r="C398" s="1285">
        <v>1</v>
      </c>
      <c r="D398" s="1297">
        <v>19.000000000000011</v>
      </c>
      <c r="E398" s="1299" t="str">
        <f ca="1"/>
        <v/>
      </c>
      <c r="F398" s="1286" t="str">
        <f ca="1"/>
        <v/>
      </c>
      <c r="G398" s="1286" t="str">
        <f ca="1"/>
        <v/>
      </c>
      <c r="H398" s="1301" t="str">
        <f ca="1"/>
        <v/>
      </c>
      <c r="I398" s="1303" t="str">
        <f ca="1"/>
        <v/>
      </c>
      <c r="J398" s="1287" t="str">
        <f ca="1"/>
        <v/>
      </c>
      <c r="K398" s="1288" t="str">
        <f ca="1"/>
        <v xml:space="preserve">Description:
Details:
Aim:
</v>
      </c>
      <c r="L398" s="1287" t="str">
        <f ca="1"/>
        <v/>
      </c>
      <c r="M398" s="1287" t="str">
        <f ca="1"/>
        <v/>
      </c>
      <c r="N398" s="1287"/>
      <c r="O398" s="1323" t="str">
        <f ca="1"/>
        <v/>
      </c>
      <c r="P398" s="1287"/>
      <c r="Q398" s="1290" t="str">
        <f ca="1"/>
        <v/>
      </c>
    </row>
    <row r="399" spans="1:17" ht="27.75" hidden="1" customHeight="1" x14ac:dyDescent="0.45">
      <c r="A399" s="1289">
        <v>10</v>
      </c>
      <c r="B399" s="1285">
        <v>7</v>
      </c>
      <c r="C399" s="1285">
        <v>2.0000000000000284</v>
      </c>
      <c r="D399" s="1297">
        <v>20.000000000000007</v>
      </c>
      <c r="E399" s="1299" t="str">
        <f ca="1"/>
        <v/>
      </c>
      <c r="F399" s="1286" t="str">
        <f ca="1"/>
        <v/>
      </c>
      <c r="G399" s="1286" t="str">
        <f ca="1"/>
        <v/>
      </c>
      <c r="H399" s="1301" t="str">
        <f ca="1"/>
        <v/>
      </c>
      <c r="I399" s="1303" t="str">
        <f ca="1"/>
        <v/>
      </c>
      <c r="J399" s="1287" t="str">
        <f ca="1"/>
        <v/>
      </c>
      <c r="K399" s="1288" t="str">
        <f ca="1"/>
        <v xml:space="preserve">Description:
Details:
Aim:
</v>
      </c>
      <c r="L399" s="1287" t="str">
        <f ca="1"/>
        <v/>
      </c>
      <c r="M399" s="1287" t="str">
        <f ca="1"/>
        <v/>
      </c>
      <c r="N399" s="1287"/>
      <c r="O399" s="1323" t="str">
        <f ca="1"/>
        <v/>
      </c>
      <c r="P399" s="1287"/>
      <c r="Q399" s="1290" t="str">
        <f ca="1"/>
        <v/>
      </c>
    </row>
    <row r="400" spans="1:17" ht="27.75" hidden="1" customHeight="1" x14ac:dyDescent="0.45">
      <c r="A400" s="1289">
        <v>10</v>
      </c>
      <c r="B400" s="1285">
        <v>7</v>
      </c>
      <c r="C400" s="1285">
        <v>2.9999999999999716</v>
      </c>
      <c r="D400" s="1297">
        <v>21.000000000000004</v>
      </c>
      <c r="E400" s="1299" t="str">
        <f ca="1"/>
        <v/>
      </c>
      <c r="F400" s="1286" t="str">
        <f ca="1"/>
        <v/>
      </c>
      <c r="G400" s="1286" t="str">
        <f ca="1"/>
        <v/>
      </c>
      <c r="H400" s="1301" t="str">
        <f ca="1"/>
        <v/>
      </c>
      <c r="I400" s="1303" t="str">
        <f ca="1"/>
        <v/>
      </c>
      <c r="J400" s="1287" t="str">
        <f ca="1"/>
        <v/>
      </c>
      <c r="K400" s="1288" t="str">
        <f ca="1"/>
        <v xml:space="preserve">Description:
Details:
Aim:
</v>
      </c>
      <c r="L400" s="1287" t="str">
        <f ca="1"/>
        <v/>
      </c>
      <c r="M400" s="1287" t="str">
        <f ca="1"/>
        <v/>
      </c>
      <c r="N400" s="1287"/>
      <c r="O400" s="1323" t="str">
        <f ca="1"/>
        <v/>
      </c>
      <c r="P400" s="1287"/>
      <c r="Q400" s="1290" t="str">
        <f ca="1"/>
        <v/>
      </c>
    </row>
    <row r="401" spans="1:17" ht="27.75" hidden="1" customHeight="1" x14ac:dyDescent="0.45">
      <c r="A401" s="1289">
        <v>10</v>
      </c>
      <c r="B401" s="1285">
        <v>8</v>
      </c>
      <c r="C401" s="1285">
        <v>1</v>
      </c>
      <c r="D401" s="1297">
        <v>22</v>
      </c>
      <c r="E401" s="1299" t="str">
        <f ca="1"/>
        <v/>
      </c>
      <c r="F401" s="1286" t="str">
        <f ca="1"/>
        <v/>
      </c>
      <c r="G401" s="1286" t="str">
        <f ca="1"/>
        <v/>
      </c>
      <c r="H401" s="1301" t="str">
        <f ca="1"/>
        <v/>
      </c>
      <c r="I401" s="1303" t="str">
        <f ca="1"/>
        <v/>
      </c>
      <c r="J401" s="1287" t="str">
        <f ca="1"/>
        <v/>
      </c>
      <c r="K401" s="1288" t="str">
        <f ca="1"/>
        <v xml:space="preserve">Description:
Details:
Aim:
</v>
      </c>
      <c r="L401" s="1287" t="str">
        <f ca="1"/>
        <v/>
      </c>
      <c r="M401" s="1287" t="str">
        <f ca="1"/>
        <v/>
      </c>
      <c r="N401" s="1287"/>
      <c r="O401" s="1323" t="str">
        <f ca="1"/>
        <v/>
      </c>
      <c r="P401" s="1287"/>
      <c r="Q401" s="1290" t="str">
        <f ca="1"/>
        <v/>
      </c>
    </row>
    <row r="402" spans="1:17" ht="27.75" hidden="1" customHeight="1" x14ac:dyDescent="0.45">
      <c r="A402" s="1289">
        <v>10</v>
      </c>
      <c r="B402" s="1285">
        <v>8</v>
      </c>
      <c r="C402" s="1285">
        <v>2.0000000000000284</v>
      </c>
      <c r="D402" s="1297">
        <v>22.999999999999996</v>
      </c>
      <c r="E402" s="1299" t="str">
        <f ca="1"/>
        <v/>
      </c>
      <c r="F402" s="1286" t="str">
        <f ca="1"/>
        <v/>
      </c>
      <c r="G402" s="1286" t="str">
        <f ca="1"/>
        <v/>
      </c>
      <c r="H402" s="1301" t="str">
        <f ca="1"/>
        <v/>
      </c>
      <c r="I402" s="1303" t="str">
        <f ca="1"/>
        <v/>
      </c>
      <c r="J402" s="1287" t="str">
        <f ca="1"/>
        <v/>
      </c>
      <c r="K402" s="1288" t="str">
        <f ca="1"/>
        <v xml:space="preserve">Description:
Details:
Aim:
</v>
      </c>
      <c r="L402" s="1287" t="str">
        <f ca="1"/>
        <v/>
      </c>
      <c r="M402" s="1287" t="str">
        <f ca="1"/>
        <v/>
      </c>
      <c r="N402" s="1287"/>
      <c r="O402" s="1323" t="str">
        <f ca="1"/>
        <v/>
      </c>
      <c r="P402" s="1287"/>
      <c r="Q402" s="1290" t="str">
        <f ca="1"/>
        <v/>
      </c>
    </row>
    <row r="403" spans="1:17" ht="27.75" hidden="1" customHeight="1" x14ac:dyDescent="0.45">
      <c r="A403" s="1289">
        <v>10</v>
      </c>
      <c r="B403" s="1285">
        <v>8</v>
      </c>
      <c r="C403" s="1285">
        <v>2.9999999999999716</v>
      </c>
      <c r="D403" s="1297">
        <v>23.999999999999993</v>
      </c>
      <c r="E403" s="1299" t="str">
        <f ca="1"/>
        <v/>
      </c>
      <c r="F403" s="1286" t="str">
        <f ca="1"/>
        <v/>
      </c>
      <c r="G403" s="1286" t="str">
        <f ca="1"/>
        <v/>
      </c>
      <c r="H403" s="1301" t="str">
        <f ca="1"/>
        <v/>
      </c>
      <c r="I403" s="1303" t="str">
        <f ca="1"/>
        <v/>
      </c>
      <c r="J403" s="1287" t="str">
        <f ca="1"/>
        <v/>
      </c>
      <c r="K403" s="1288" t="str">
        <f ca="1"/>
        <v xml:space="preserve">Description:
Details:
Aim:
</v>
      </c>
      <c r="L403" s="1287" t="str">
        <f ca="1"/>
        <v/>
      </c>
      <c r="M403" s="1287" t="str">
        <f ca="1"/>
        <v/>
      </c>
      <c r="N403" s="1287"/>
      <c r="O403" s="1323" t="str">
        <f ca="1"/>
        <v/>
      </c>
      <c r="P403" s="1287"/>
      <c r="Q403" s="1290" t="str">
        <f ca="1"/>
        <v/>
      </c>
    </row>
    <row r="404" spans="1:17" ht="27.75" hidden="1" customHeight="1" x14ac:dyDescent="0.45">
      <c r="A404" s="1289">
        <v>10</v>
      </c>
      <c r="B404" s="1285">
        <v>9</v>
      </c>
      <c r="C404" s="1285">
        <v>1</v>
      </c>
      <c r="D404" s="1297">
        <v>24.999999999999989</v>
      </c>
      <c r="E404" s="1299" t="str">
        <f ca="1"/>
        <v/>
      </c>
      <c r="F404" s="1286" t="str">
        <f ca="1"/>
        <v/>
      </c>
      <c r="G404" s="1286" t="str">
        <f ca="1"/>
        <v/>
      </c>
      <c r="H404" s="1301" t="str">
        <f ca="1"/>
        <v/>
      </c>
      <c r="I404" s="1303" t="str">
        <f ca="1"/>
        <v/>
      </c>
      <c r="J404" s="1287" t="str">
        <f ca="1"/>
        <v/>
      </c>
      <c r="K404" s="1288" t="str">
        <f ca="1"/>
        <v xml:space="preserve">Description:
Details:
Aim:
</v>
      </c>
      <c r="L404" s="1287" t="str">
        <f ca="1"/>
        <v/>
      </c>
      <c r="M404" s="1287" t="str">
        <f ca="1"/>
        <v/>
      </c>
      <c r="N404" s="1287"/>
      <c r="O404" s="1323" t="str">
        <f ca="1"/>
        <v/>
      </c>
      <c r="P404" s="1287"/>
      <c r="Q404" s="1290" t="str">
        <f ca="1"/>
        <v/>
      </c>
    </row>
    <row r="405" spans="1:17" ht="27.75" hidden="1" customHeight="1" x14ac:dyDescent="0.45">
      <c r="A405" s="1289">
        <v>10</v>
      </c>
      <c r="B405" s="1285">
        <v>9</v>
      </c>
      <c r="C405" s="1285">
        <v>2.0000000000000284</v>
      </c>
      <c r="D405" s="1297">
        <v>25.999999999999986</v>
      </c>
      <c r="E405" s="1299" t="str">
        <f ca="1"/>
        <v/>
      </c>
      <c r="F405" s="1286" t="str">
        <f ca="1"/>
        <v/>
      </c>
      <c r="G405" s="1286" t="str">
        <f ca="1"/>
        <v/>
      </c>
      <c r="H405" s="1301" t="str">
        <f ca="1"/>
        <v/>
      </c>
      <c r="I405" s="1303" t="str">
        <f ca="1"/>
        <v/>
      </c>
      <c r="J405" s="1287" t="str">
        <f ca="1"/>
        <v/>
      </c>
      <c r="K405" s="1288" t="str">
        <f ca="1"/>
        <v xml:space="preserve">Description:
Details:
Aim:
</v>
      </c>
      <c r="L405" s="1287" t="str">
        <f ca="1"/>
        <v/>
      </c>
      <c r="M405" s="1287" t="str">
        <f ca="1"/>
        <v/>
      </c>
      <c r="N405" s="1287"/>
      <c r="O405" s="1323" t="str">
        <f ca="1"/>
        <v/>
      </c>
      <c r="P405" s="1287"/>
      <c r="Q405" s="1290" t="str">
        <f ca="1"/>
        <v/>
      </c>
    </row>
    <row r="406" spans="1:17" ht="27.75" hidden="1" customHeight="1" x14ac:dyDescent="0.45">
      <c r="A406" s="1289">
        <v>10</v>
      </c>
      <c r="B406" s="1285">
        <v>9</v>
      </c>
      <c r="C406" s="1285">
        <v>2.9999999999999716</v>
      </c>
      <c r="D406" s="1297">
        <v>26.999999999999982</v>
      </c>
      <c r="E406" s="1299" t="str">
        <f ca="1"/>
        <v/>
      </c>
      <c r="F406" s="1286" t="str">
        <f ca="1"/>
        <v/>
      </c>
      <c r="G406" s="1286" t="str">
        <f ca="1"/>
        <v/>
      </c>
      <c r="H406" s="1301" t="str">
        <f ca="1"/>
        <v/>
      </c>
      <c r="I406" s="1303" t="str">
        <f ca="1"/>
        <v/>
      </c>
      <c r="J406" s="1287" t="str">
        <f ca="1"/>
        <v/>
      </c>
      <c r="K406" s="1288" t="str">
        <f ca="1"/>
        <v xml:space="preserve">Description:
Details:
Aim:
</v>
      </c>
      <c r="L406" s="1287" t="str">
        <f ca="1"/>
        <v/>
      </c>
      <c r="M406" s="1287" t="str">
        <f ca="1"/>
        <v/>
      </c>
      <c r="N406" s="1287"/>
      <c r="O406" s="1323" t="str">
        <f ca="1"/>
        <v/>
      </c>
      <c r="P406" s="1287"/>
      <c r="Q406" s="1290" t="str">
        <f ca="1"/>
        <v/>
      </c>
    </row>
    <row r="407" spans="1:17" ht="27.75" hidden="1" customHeight="1" x14ac:dyDescent="0.45">
      <c r="A407" s="1289">
        <v>10</v>
      </c>
      <c r="B407" s="1285">
        <v>9</v>
      </c>
      <c r="C407" s="1285">
        <v>1</v>
      </c>
      <c r="D407" s="1297">
        <v>27.999999999999979</v>
      </c>
      <c r="E407" s="1299" t="str">
        <f ca="1"/>
        <v/>
      </c>
      <c r="F407" s="1286" t="str">
        <f ca="1"/>
        <v/>
      </c>
      <c r="G407" s="1286" t="str">
        <f ca="1"/>
        <v/>
      </c>
      <c r="H407" s="1301" t="str">
        <f ca="1"/>
        <v/>
      </c>
      <c r="I407" s="1303" t="str">
        <f ca="1"/>
        <v/>
      </c>
      <c r="J407" s="1287" t="str">
        <f ca="1"/>
        <v/>
      </c>
      <c r="K407" s="1288" t="str">
        <f ca="1"/>
        <v xml:space="preserve">Description:
Details:
Aim:
</v>
      </c>
      <c r="L407" s="1287" t="str">
        <f ca="1"/>
        <v/>
      </c>
      <c r="M407" s="1287" t="str">
        <f ca="1"/>
        <v/>
      </c>
      <c r="N407" s="1287"/>
      <c r="O407" s="1323" t="str">
        <f ca="1"/>
        <v/>
      </c>
      <c r="P407" s="1287"/>
      <c r="Q407" s="1290" t="str">
        <f ca="1"/>
        <v/>
      </c>
    </row>
    <row r="408" spans="1:17" ht="27.75" hidden="1" customHeight="1" x14ac:dyDescent="0.45">
      <c r="A408" s="1289">
        <v>10</v>
      </c>
      <c r="B408" s="1285">
        <v>10</v>
      </c>
      <c r="C408" s="1285">
        <v>2.0000000000000284</v>
      </c>
      <c r="D408" s="1297">
        <v>28.999999999999975</v>
      </c>
      <c r="E408" s="1299" t="str">
        <f ca="1"/>
        <v/>
      </c>
      <c r="F408" s="1286" t="str">
        <f ca="1"/>
        <v/>
      </c>
      <c r="G408" s="1286" t="str">
        <f ca="1"/>
        <v/>
      </c>
      <c r="H408" s="1301" t="str">
        <f ca="1"/>
        <v/>
      </c>
      <c r="I408" s="1303" t="str">
        <f ca="1"/>
        <v/>
      </c>
      <c r="J408" s="1287" t="str">
        <f ca="1"/>
        <v/>
      </c>
      <c r="K408" s="1288" t="str">
        <f ca="1"/>
        <v xml:space="preserve">Description:
Details:
Aim:
</v>
      </c>
      <c r="L408" s="1287" t="str">
        <f ca="1"/>
        <v/>
      </c>
      <c r="M408" s="1287" t="str">
        <f ca="1"/>
        <v/>
      </c>
      <c r="N408" s="1287"/>
      <c r="O408" s="1323" t="str">
        <f ca="1"/>
        <v/>
      </c>
      <c r="P408" s="1287"/>
      <c r="Q408" s="1290" t="str">
        <f ca="1"/>
        <v/>
      </c>
    </row>
    <row r="409" spans="1:17" ht="27.75" hidden="1" customHeight="1" x14ac:dyDescent="0.45">
      <c r="A409" s="1289">
        <v>10</v>
      </c>
      <c r="B409" s="1285">
        <v>10</v>
      </c>
      <c r="C409" s="1285">
        <v>2.9999999999999716</v>
      </c>
      <c r="D409" s="1297">
        <v>29.999999999999972</v>
      </c>
      <c r="E409" s="1299" t="str">
        <f ca="1"/>
        <v/>
      </c>
      <c r="F409" s="1286" t="str">
        <f ca="1"/>
        <v/>
      </c>
      <c r="G409" s="1286" t="str">
        <f ca="1"/>
        <v/>
      </c>
      <c r="H409" s="1301" t="str">
        <f ca="1"/>
        <v/>
      </c>
      <c r="I409" s="1303" t="str">
        <f ca="1"/>
        <v/>
      </c>
      <c r="J409" s="1287" t="str">
        <f ca="1"/>
        <v/>
      </c>
      <c r="K409" s="1288" t="str">
        <f ca="1"/>
        <v xml:space="preserve">Description:
Details:
Aim:
</v>
      </c>
      <c r="L409" s="1287" t="str">
        <f ca="1"/>
        <v/>
      </c>
      <c r="M409" s="1287" t="str">
        <f ca="1"/>
        <v/>
      </c>
      <c r="N409" s="1287"/>
      <c r="O409" s="1323" t="str">
        <f ca="1"/>
        <v/>
      </c>
      <c r="P409" s="1287"/>
      <c r="Q409" s="1290" t="str">
        <f ca="1"/>
        <v/>
      </c>
    </row>
    <row r="410" spans="1:17" ht="27.75" hidden="1" customHeight="1" x14ac:dyDescent="0.45">
      <c r="A410" s="1289">
        <v>10</v>
      </c>
      <c r="B410" s="1285">
        <v>10</v>
      </c>
      <c r="C410" s="1285">
        <v>1</v>
      </c>
      <c r="D410" s="1297">
        <v>30.999999999999968</v>
      </c>
      <c r="E410" s="1299" t="str">
        <f ca="1"/>
        <v/>
      </c>
      <c r="F410" s="1286" t="str">
        <f ca="1"/>
        <v/>
      </c>
      <c r="G410" s="1286" t="str">
        <f ca="1"/>
        <v/>
      </c>
      <c r="H410" s="1301" t="str">
        <f ca="1"/>
        <v/>
      </c>
      <c r="I410" s="1303" t="str">
        <f ca="1"/>
        <v/>
      </c>
      <c r="J410" s="1287" t="str">
        <f ca="1"/>
        <v/>
      </c>
      <c r="K410" s="1288" t="str">
        <f ca="1"/>
        <v xml:space="preserve">Description:
Details:
Aim:
</v>
      </c>
      <c r="L410" s="1287" t="str">
        <f ca="1"/>
        <v/>
      </c>
      <c r="M410" s="1287" t="str">
        <f ca="1"/>
        <v/>
      </c>
      <c r="N410" s="1287"/>
      <c r="O410" s="1323" t="str">
        <f ca="1"/>
        <v/>
      </c>
      <c r="P410" s="1287"/>
      <c r="Q410" s="1290" t="str">
        <f ca="1"/>
        <v/>
      </c>
    </row>
    <row r="411" spans="1:17" ht="27.75" hidden="1" customHeight="1" x14ac:dyDescent="0.45">
      <c r="A411" s="1289">
        <v>10</v>
      </c>
      <c r="B411" s="1285">
        <v>11</v>
      </c>
      <c r="C411" s="1285">
        <v>2.0000000000000284</v>
      </c>
      <c r="D411" s="1297">
        <v>31.999999999999964</v>
      </c>
      <c r="E411" s="1299" t="str">
        <f ca="1"/>
        <v/>
      </c>
      <c r="F411" s="1286" t="str">
        <f ca="1"/>
        <v/>
      </c>
      <c r="G411" s="1286" t="str">
        <f ca="1"/>
        <v/>
      </c>
      <c r="H411" s="1301" t="str">
        <f ca="1"/>
        <v/>
      </c>
      <c r="I411" s="1303" t="str">
        <f ca="1"/>
        <v/>
      </c>
      <c r="J411" s="1287" t="str">
        <f ca="1"/>
        <v/>
      </c>
      <c r="K411" s="1288" t="str">
        <f ca="1"/>
        <v xml:space="preserve">Description:
Details:
Aim:
</v>
      </c>
      <c r="L411" s="1287" t="str">
        <f ca="1"/>
        <v/>
      </c>
      <c r="M411" s="1287" t="str">
        <f ca="1"/>
        <v/>
      </c>
      <c r="N411" s="1287"/>
      <c r="O411" s="1323" t="str">
        <f ca="1"/>
        <v/>
      </c>
      <c r="P411" s="1287"/>
      <c r="Q411" s="1290" t="str">
        <f ca="1"/>
        <v/>
      </c>
    </row>
    <row r="412" spans="1:17" ht="27.75" hidden="1" customHeight="1" x14ac:dyDescent="0.45">
      <c r="A412" s="1289">
        <v>10</v>
      </c>
      <c r="B412" s="1285">
        <v>11</v>
      </c>
      <c r="C412" s="1285">
        <v>2.9999999999999716</v>
      </c>
      <c r="D412" s="1297">
        <v>33.000000000000036</v>
      </c>
      <c r="E412" s="1299" t="str">
        <f ca="1"/>
        <v/>
      </c>
      <c r="F412" s="1286" t="str">
        <f ca="1"/>
        <v/>
      </c>
      <c r="G412" s="1286" t="str">
        <f ca="1"/>
        <v/>
      </c>
      <c r="H412" s="1301" t="str">
        <f ca="1"/>
        <v/>
      </c>
      <c r="I412" s="1303" t="str">
        <f ca="1"/>
        <v/>
      </c>
      <c r="J412" s="1287" t="str">
        <f ca="1"/>
        <v/>
      </c>
      <c r="K412" s="1288" t="str">
        <f ca="1"/>
        <v xml:space="preserve">Description:
Details:
Aim:
</v>
      </c>
      <c r="L412" s="1287" t="str">
        <f ca="1"/>
        <v/>
      </c>
      <c r="M412" s="1287" t="str">
        <f ca="1"/>
        <v/>
      </c>
      <c r="N412" s="1287"/>
      <c r="O412" s="1323" t="str">
        <f ca="1"/>
        <v/>
      </c>
      <c r="P412" s="1287"/>
      <c r="Q412" s="1290" t="str">
        <f ca="1"/>
        <v/>
      </c>
    </row>
    <row r="413" spans="1:17" ht="27.75" hidden="1" customHeight="1" x14ac:dyDescent="0.45">
      <c r="A413" s="1289">
        <v>10</v>
      </c>
      <c r="B413" s="1285">
        <v>12</v>
      </c>
      <c r="C413" s="1285">
        <v>1</v>
      </c>
      <c r="D413" s="1297">
        <v>34.000000000000028</v>
      </c>
      <c r="E413" s="1299" t="str">
        <f ca="1"/>
        <v/>
      </c>
      <c r="F413" s="1286" t="str">
        <f ca="1"/>
        <v/>
      </c>
      <c r="G413" s="1286" t="str">
        <f ca="1"/>
        <v/>
      </c>
      <c r="H413" s="1301" t="str">
        <f ca="1"/>
        <v/>
      </c>
      <c r="I413" s="1303" t="str">
        <f ca="1"/>
        <v/>
      </c>
      <c r="J413" s="1287" t="str">
        <f ca="1"/>
        <v/>
      </c>
      <c r="K413" s="1288" t="str">
        <f ca="1"/>
        <v xml:space="preserve">Description:
Details:
Aim:
</v>
      </c>
      <c r="L413" s="1287" t="str">
        <f ca="1"/>
        <v/>
      </c>
      <c r="M413" s="1287" t="str">
        <f ca="1"/>
        <v/>
      </c>
      <c r="N413" s="1287"/>
      <c r="O413" s="1323" t="str">
        <f ca="1"/>
        <v/>
      </c>
      <c r="P413" s="1287"/>
      <c r="Q413" s="1290" t="str">
        <f ca="1"/>
        <v/>
      </c>
    </row>
    <row r="414" spans="1:17" ht="27.75" hidden="1" customHeight="1" x14ac:dyDescent="0.45">
      <c r="A414" s="1289">
        <v>10</v>
      </c>
      <c r="B414" s="1285">
        <v>12</v>
      </c>
      <c r="C414" s="1285">
        <v>2.0000000000000284</v>
      </c>
      <c r="D414" s="1297">
        <v>35.000000000000028</v>
      </c>
      <c r="E414" s="1299" t="str">
        <f ca="1"/>
        <v/>
      </c>
      <c r="F414" s="1286" t="str">
        <f ca="1"/>
        <v/>
      </c>
      <c r="G414" s="1286" t="str">
        <f ca="1"/>
        <v/>
      </c>
      <c r="H414" s="1301" t="str">
        <f ca="1"/>
        <v/>
      </c>
      <c r="I414" s="1303" t="str">
        <f ca="1"/>
        <v/>
      </c>
      <c r="J414" s="1287" t="str">
        <f ca="1"/>
        <v/>
      </c>
      <c r="K414" s="1288" t="str">
        <f ca="1"/>
        <v xml:space="preserve">Description:
Details:
Aim:
</v>
      </c>
      <c r="L414" s="1287" t="str">
        <f ca="1"/>
        <v/>
      </c>
      <c r="M414" s="1287" t="str">
        <f ca="1"/>
        <v/>
      </c>
      <c r="N414" s="1287"/>
      <c r="O414" s="1323" t="str">
        <f ca="1"/>
        <v/>
      </c>
      <c r="P414" s="1287"/>
      <c r="Q414" s="1290" t="str">
        <f ca="1"/>
        <v/>
      </c>
    </row>
    <row r="415" spans="1:17" ht="27.75" hidden="1" customHeight="1" x14ac:dyDescent="0.45">
      <c r="A415" s="1289">
        <v>10</v>
      </c>
      <c r="B415" s="1285">
        <v>12</v>
      </c>
      <c r="C415" s="1285">
        <v>2.9999999999999716</v>
      </c>
      <c r="D415" s="1297">
        <v>36.000000000000028</v>
      </c>
      <c r="E415" s="1299" t="str">
        <f ca="1"/>
        <v/>
      </c>
      <c r="F415" s="1286" t="str">
        <f ca="1"/>
        <v/>
      </c>
      <c r="G415" s="1286" t="str">
        <f ca="1"/>
        <v/>
      </c>
      <c r="H415" s="1301" t="str">
        <f ca="1"/>
        <v/>
      </c>
      <c r="I415" s="1303" t="str">
        <f ca="1"/>
        <v/>
      </c>
      <c r="J415" s="1287" t="str">
        <f ca="1"/>
        <v/>
      </c>
      <c r="K415" s="1288" t="str">
        <f ca="1"/>
        <v xml:space="preserve">Description:
Details:
Aim:
</v>
      </c>
      <c r="L415" s="1287" t="str">
        <f ca="1"/>
        <v/>
      </c>
      <c r="M415" s="1287" t="str">
        <f ca="1"/>
        <v/>
      </c>
      <c r="N415" s="1287"/>
      <c r="O415" s="1323" t="str">
        <f ca="1"/>
        <v/>
      </c>
      <c r="P415" s="1287"/>
      <c r="Q415" s="1290" t="str">
        <f ca="1"/>
        <v/>
      </c>
    </row>
    <row r="416" spans="1:17" ht="27.75" hidden="1" customHeight="1" x14ac:dyDescent="0.45">
      <c r="A416" s="1289">
        <v>10</v>
      </c>
      <c r="B416" s="1285">
        <v>13</v>
      </c>
      <c r="C416" s="1285">
        <v>1</v>
      </c>
      <c r="D416" s="1297">
        <v>37.000000000000021</v>
      </c>
      <c r="E416" s="1299" t="str">
        <f ca="1"/>
        <v/>
      </c>
      <c r="F416" s="1286" t="str">
        <f ca="1"/>
        <v/>
      </c>
      <c r="G416" s="1286" t="str">
        <f ca="1"/>
        <v/>
      </c>
      <c r="H416" s="1301" t="str">
        <f ca="1"/>
        <v/>
      </c>
      <c r="I416" s="1303" t="str">
        <f ca="1"/>
        <v/>
      </c>
      <c r="J416" s="1287" t="str">
        <f ca="1"/>
        <v/>
      </c>
      <c r="K416" s="1288" t="str">
        <f ca="1"/>
        <v xml:space="preserve">Description:
Details:
Aim:
</v>
      </c>
      <c r="L416" s="1287" t="str">
        <f ca="1"/>
        <v/>
      </c>
      <c r="M416" s="1287" t="str">
        <f ca="1"/>
        <v/>
      </c>
      <c r="N416" s="1287"/>
      <c r="O416" s="1323" t="str">
        <f ca="1"/>
        <v/>
      </c>
      <c r="P416" s="1287"/>
      <c r="Q416" s="1290" t="str">
        <f ca="1"/>
        <v/>
      </c>
    </row>
    <row r="417" spans="1:17" ht="27.75" hidden="1" customHeight="1" x14ac:dyDescent="0.45">
      <c r="A417" s="1289">
        <v>10</v>
      </c>
      <c r="B417" s="1285">
        <v>13</v>
      </c>
      <c r="C417" s="1285">
        <v>2.0000000000000284</v>
      </c>
      <c r="D417" s="1297">
        <v>38.000000000000014</v>
      </c>
      <c r="E417" s="1299" t="str">
        <f ca="1"/>
        <v/>
      </c>
      <c r="F417" s="1286" t="str">
        <f ca="1"/>
        <v/>
      </c>
      <c r="G417" s="1286" t="str">
        <f ca="1"/>
        <v/>
      </c>
      <c r="H417" s="1301" t="str">
        <f ca="1"/>
        <v/>
      </c>
      <c r="I417" s="1303" t="str">
        <f ca="1"/>
        <v/>
      </c>
      <c r="J417" s="1287" t="str">
        <f ca="1"/>
        <v/>
      </c>
      <c r="K417" s="1288" t="str">
        <f ca="1"/>
        <v xml:space="preserve">Description:
Details:
Aim:
</v>
      </c>
      <c r="L417" s="1287" t="str">
        <f ca="1"/>
        <v/>
      </c>
      <c r="M417" s="1287" t="str">
        <f ca="1"/>
        <v/>
      </c>
      <c r="N417" s="1287"/>
      <c r="O417" s="1323" t="str">
        <f ca="1"/>
        <v/>
      </c>
      <c r="P417" s="1287"/>
      <c r="Q417" s="1290" t="str">
        <f ca="1"/>
        <v/>
      </c>
    </row>
    <row r="418" spans="1:17" ht="27.75" hidden="1" customHeight="1" x14ac:dyDescent="0.45">
      <c r="A418" s="1289">
        <v>10</v>
      </c>
      <c r="B418" s="1285">
        <v>13</v>
      </c>
      <c r="C418" s="1285">
        <v>2.9999999999999716</v>
      </c>
      <c r="D418" s="1297">
        <v>39.000000000000014</v>
      </c>
      <c r="E418" s="1299" t="str">
        <f ca="1"/>
        <v/>
      </c>
      <c r="F418" s="1286" t="str">
        <f ca="1"/>
        <v/>
      </c>
      <c r="G418" s="1286" t="str">
        <f ca="1"/>
        <v/>
      </c>
      <c r="H418" s="1301" t="str">
        <f ca="1"/>
        <v/>
      </c>
      <c r="I418" s="1303" t="str">
        <f ca="1"/>
        <v/>
      </c>
      <c r="J418" s="1287" t="str">
        <f ca="1"/>
        <v/>
      </c>
      <c r="K418" s="1288" t="str">
        <f ca="1"/>
        <v xml:space="preserve">Description:
Details:
Aim:
</v>
      </c>
      <c r="L418" s="1287" t="str">
        <f ca="1"/>
        <v/>
      </c>
      <c r="M418" s="1287" t="str">
        <f ca="1"/>
        <v/>
      </c>
      <c r="N418" s="1287"/>
      <c r="O418" s="1323" t="str">
        <f ca="1"/>
        <v/>
      </c>
      <c r="P418" s="1287"/>
      <c r="Q418" s="1290" t="str">
        <f ca="1"/>
        <v/>
      </c>
    </row>
    <row r="419" spans="1:17" ht="27.75" hidden="1" customHeight="1" x14ac:dyDescent="0.45">
      <c r="A419" s="1289">
        <v>10</v>
      </c>
      <c r="B419" s="1285">
        <v>14</v>
      </c>
      <c r="C419" s="1285">
        <v>1</v>
      </c>
      <c r="D419" s="1297">
        <v>40.000000000000014</v>
      </c>
      <c r="E419" s="1299" t="str">
        <f ca="1"/>
        <v>Stay at a comfortable and controlled intensity where you should be able to have a conversation without large pauses. Keep an even intensity and accept that your pace may change as the terrain changes.</v>
      </c>
      <c r="F419" s="1286" t="str">
        <f ca="1"/>
        <v>Sport: Hilly Trail Run
WU/WD: No 
Effort Total: 50 minutes
HR Target: 148 BPM
HR Range: 138 - 157 BPM 
Flat Road Equivalent Pace: 4:14 min/km</v>
      </c>
      <c r="G419" s="1286" t="str">
        <f ca="1"/>
        <v>Improve aerobic fitness at an optimal rate.</v>
      </c>
      <c r="H419" s="1301" t="str">
        <f ca="1"/>
        <v/>
      </c>
      <c r="I419" s="1303" t="str">
        <f ca="1"/>
        <v>Steady hilly trail run: 50 minutes</v>
      </c>
      <c r="J419" s="1287" t="str">
        <f ca="1"/>
        <v>Trail Running</v>
      </c>
      <c r="K419"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50 minutes
HR Target: 148 BPM
HR Range: 138 - 157 BPM 
Flat Road Equivalent Pace: 4:14 min/km
Aim:
Improve aerobic fitness at an optimal rate.</v>
      </c>
      <c r="L419" s="1287">
        <f ca="1"/>
        <v>3</v>
      </c>
      <c r="M419" s="1287">
        <f ca="1"/>
        <v>0.83333333333333337</v>
      </c>
      <c r="N419" s="1287"/>
      <c r="O419" s="1323" t="str">
        <f ca="1"/>
        <v>2018-12-09 18:00</v>
      </c>
      <c r="P419" s="1287"/>
      <c r="Q419" s="1290" t="str">
        <f ca="1"/>
        <v>Hilly Trail Run</v>
      </c>
    </row>
    <row r="420" spans="1:17" ht="27.75" hidden="1" customHeight="1" x14ac:dyDescent="0.45">
      <c r="A420" s="1289">
        <v>10</v>
      </c>
      <c r="B420" s="1285">
        <v>14</v>
      </c>
      <c r="C420" s="1285">
        <v>2.0000000000000284</v>
      </c>
      <c r="D420" s="1297">
        <v>41.000000000000007</v>
      </c>
      <c r="E420" s="1299" t="str">
        <f ca="1"/>
        <v/>
      </c>
      <c r="F420" s="1286" t="str">
        <f ca="1"/>
        <v/>
      </c>
      <c r="G420" s="1286" t="str">
        <f ca="1"/>
        <v/>
      </c>
      <c r="H420" s="1301" t="str">
        <f ca="1"/>
        <v/>
      </c>
      <c r="I420" s="1303" t="str">
        <f ca="1"/>
        <v/>
      </c>
      <c r="J420" s="1287" t="str">
        <f ca="1"/>
        <v/>
      </c>
      <c r="K420" s="1288" t="str">
        <f ca="1"/>
        <v xml:space="preserve">Description:
Details:
Aim:
</v>
      </c>
      <c r="L420" s="1287" t="str">
        <f ca="1"/>
        <v/>
      </c>
      <c r="M420" s="1287" t="str">
        <f ca="1"/>
        <v/>
      </c>
      <c r="N420" s="1287"/>
      <c r="O420" s="1323" t="str">
        <f ca="1"/>
        <v/>
      </c>
      <c r="P420" s="1287"/>
      <c r="Q420" s="1290" t="str">
        <f ca="1"/>
        <v/>
      </c>
    </row>
    <row r="421" spans="1:17" ht="27.75" hidden="1" customHeight="1" x14ac:dyDescent="0.45">
      <c r="A421" s="1289">
        <v>10</v>
      </c>
      <c r="B421" s="1285">
        <v>14</v>
      </c>
      <c r="C421" s="1285">
        <v>2.9999999999999716</v>
      </c>
      <c r="D421" s="1297">
        <v>42</v>
      </c>
      <c r="E421" s="1299" t="str">
        <f ca="1"/>
        <v/>
      </c>
      <c r="F421" s="1286" t="str">
        <f ca="1"/>
        <v/>
      </c>
      <c r="G421" s="1286" t="str">
        <f ca="1"/>
        <v/>
      </c>
      <c r="H421" s="1301" t="str">
        <f ca="1"/>
        <v/>
      </c>
      <c r="I421" s="1303" t="str">
        <f ca="1"/>
        <v/>
      </c>
      <c r="J421" s="1287" t="str">
        <f ca="1"/>
        <v/>
      </c>
      <c r="K421" s="1288" t="str">
        <f ca="1"/>
        <v xml:space="preserve">Description:
Details:
Aim:
</v>
      </c>
      <c r="L421" s="1287" t="str">
        <f ca="1"/>
        <v/>
      </c>
      <c r="M421" s="1287" t="str">
        <f ca="1"/>
        <v/>
      </c>
      <c r="N421" s="1287"/>
      <c r="O421" s="1323" t="str">
        <f ca="1"/>
        <v/>
      </c>
      <c r="P421" s="1287"/>
      <c r="Q421" s="1290" t="str">
        <f ca="1"/>
        <v/>
      </c>
    </row>
    <row r="422" spans="1:17" ht="27.75" hidden="1" customHeight="1" x14ac:dyDescent="0.45">
      <c r="A422" s="1289">
        <v>11</v>
      </c>
      <c r="B422" s="1285">
        <v>1</v>
      </c>
      <c r="C422" s="1285">
        <v>1</v>
      </c>
      <c r="D422" s="1297">
        <v>1</v>
      </c>
      <c r="E422" s="1299" t="str">
        <f ca="1"/>
        <v/>
      </c>
      <c r="F422" s="1286" t="str">
        <f ca="1"/>
        <v/>
      </c>
      <c r="G422" s="1286" t="str">
        <f ca="1"/>
        <v/>
      </c>
      <c r="H422" s="1301" t="str">
        <f ca="1"/>
        <v/>
      </c>
      <c r="I422" s="1303" t="str">
        <f ca="1"/>
        <v/>
      </c>
      <c r="J422" s="1287" t="str">
        <f ca="1"/>
        <v/>
      </c>
      <c r="K422" s="1288" t="str">
        <f ca="1"/>
        <v xml:space="preserve">Description:
Details:
Aim:
</v>
      </c>
      <c r="L422" s="1287" t="str">
        <f ca="1"/>
        <v/>
      </c>
      <c r="M422" s="1287" t="str">
        <f ca="1"/>
        <v/>
      </c>
      <c r="N422" s="1287"/>
      <c r="O422" s="1323" t="str">
        <f ca="1"/>
        <v/>
      </c>
      <c r="P422" s="1287"/>
      <c r="Q422" s="1290" t="str">
        <f ca="1"/>
        <v/>
      </c>
    </row>
    <row r="423" spans="1:17" ht="27.75" hidden="1" customHeight="1" x14ac:dyDescent="0.45">
      <c r="A423" s="1289">
        <v>11</v>
      </c>
      <c r="B423" s="1285">
        <v>1</v>
      </c>
      <c r="C423" s="1285">
        <v>2.0000000000000284</v>
      </c>
      <c r="D423" s="1297">
        <v>1.9999999999999964</v>
      </c>
      <c r="E423" s="1299" t="str">
        <f ca="1"/>
        <v/>
      </c>
      <c r="F423" s="1286" t="str">
        <f ca="1"/>
        <v/>
      </c>
      <c r="G423" s="1286" t="str">
        <f ca="1"/>
        <v/>
      </c>
      <c r="H423" s="1301" t="str">
        <f ca="1"/>
        <v/>
      </c>
      <c r="I423" s="1303" t="str">
        <f ca="1"/>
        <v/>
      </c>
      <c r="J423" s="1287" t="str">
        <f ca="1"/>
        <v/>
      </c>
      <c r="K423" s="1288" t="str">
        <f ca="1"/>
        <v xml:space="preserve">Description:
Details:
Aim:
</v>
      </c>
      <c r="L423" s="1287" t="str">
        <f ca="1"/>
        <v/>
      </c>
      <c r="M423" s="1287" t="str">
        <f ca="1"/>
        <v/>
      </c>
      <c r="N423" s="1287"/>
      <c r="O423" s="1323" t="str">
        <f ca="1"/>
        <v/>
      </c>
      <c r="P423" s="1287"/>
      <c r="Q423" s="1290" t="str">
        <f ca="1"/>
        <v/>
      </c>
    </row>
    <row r="424" spans="1:17" ht="27.75" hidden="1" customHeight="1" x14ac:dyDescent="0.45">
      <c r="A424" s="1289">
        <v>11</v>
      </c>
      <c r="B424" s="1285">
        <v>1</v>
      </c>
      <c r="C424" s="1285">
        <v>2.9999999999999716</v>
      </c>
      <c r="D424" s="1297">
        <v>2.9999999999999929</v>
      </c>
      <c r="E424" s="1299" t="str">
        <f ca="1"/>
        <v/>
      </c>
      <c r="F424" s="1286" t="str">
        <f ca="1"/>
        <v/>
      </c>
      <c r="G424" s="1286" t="str">
        <f ca="1"/>
        <v/>
      </c>
      <c r="H424" s="1301" t="str">
        <f ca="1"/>
        <v/>
      </c>
      <c r="I424" s="1303" t="str">
        <f ca="1"/>
        <v/>
      </c>
      <c r="J424" s="1287" t="str">
        <f ca="1"/>
        <v/>
      </c>
      <c r="K424" s="1288" t="str">
        <f ca="1"/>
        <v xml:space="preserve">Description:
Details:
Aim:
</v>
      </c>
      <c r="L424" s="1287" t="str">
        <f ca="1"/>
        <v/>
      </c>
      <c r="M424" s="1287" t="str">
        <f ca="1"/>
        <v/>
      </c>
      <c r="N424" s="1287"/>
      <c r="O424" s="1323" t="str">
        <f ca="1"/>
        <v/>
      </c>
      <c r="P424" s="1287"/>
      <c r="Q424" s="1290" t="str">
        <f ca="1"/>
        <v/>
      </c>
    </row>
    <row r="425" spans="1:17" ht="27.75" hidden="1" customHeight="1" x14ac:dyDescent="0.45">
      <c r="A425" s="1289">
        <v>11</v>
      </c>
      <c r="B425" s="1285">
        <v>1</v>
      </c>
      <c r="C425" s="1285">
        <v>1</v>
      </c>
      <c r="D425" s="1297">
        <v>3.9999999999999893</v>
      </c>
      <c r="E425" s="1299" t="str">
        <f ca="1"/>
        <v>Rest from continuous exercise.</v>
      </c>
      <c r="F425" s="1286" t="str">
        <f ca="1"/>
        <v>Sport: Run
WU/WD: No 
Effort Total: 85 minutes
HR Target: N/A BPM
HR Range: N/A BPM 
Flat Road Equivalent Pace:  min/km</v>
      </c>
      <c r="G425" s="1286" t="str">
        <f ca="1"/>
        <v xml:space="preserve">Allow safest recovery of the whole body. </v>
      </c>
      <c r="H425" s="1301" t="str">
        <f ca="1"/>
        <v/>
      </c>
      <c r="I425" s="1303" t="str">
        <f ca="1"/>
        <v>Steady hilly trail run: 85 minutes</v>
      </c>
      <c r="J425" s="1287" t="str">
        <f ca="1"/>
        <v>Running</v>
      </c>
      <c r="K425" s="1288" t="str">
        <f ca="1"/>
        <v xml:space="preserve">Description:
Rest from continuous exercise.
Details:
Sport: Run
WU/WD: No 
Effort Total: 85 minutes
HR Target: N/A BPM
HR Range: N/A BPM 
Flat Road Equivalent Pace:  min/km
Aim:
Allow safest recovery of the whole body. </v>
      </c>
      <c r="L425" s="1287">
        <f ca="1"/>
        <v>0</v>
      </c>
      <c r="M425" s="1287">
        <f ca="1"/>
        <v>1.4166666666666667</v>
      </c>
      <c r="N425" s="1287"/>
      <c r="O425" s="1323" t="str">
        <f ca="1"/>
        <v>2018-12-10 06:00</v>
      </c>
      <c r="P425" s="1287"/>
      <c r="Q425" s="1290" t="str">
        <f ca="1"/>
        <v>Run</v>
      </c>
    </row>
    <row r="426" spans="1:17" ht="27.75" hidden="1" customHeight="1" x14ac:dyDescent="0.45">
      <c r="A426" s="1289">
        <v>11</v>
      </c>
      <c r="B426" s="1285">
        <v>2</v>
      </c>
      <c r="C426" s="1285">
        <v>2.0000000000000284</v>
      </c>
      <c r="D426" s="1297">
        <v>4.9999999999999858</v>
      </c>
      <c r="E426" s="1299" t="str">
        <f ca="1"/>
        <v/>
      </c>
      <c r="F426" s="1286" t="str">
        <f ca="1"/>
        <v/>
      </c>
      <c r="G426" s="1286" t="str">
        <f ca="1"/>
        <v/>
      </c>
      <c r="H426" s="1301" t="str">
        <f ca="1"/>
        <v/>
      </c>
      <c r="I426" s="1303" t="str">
        <f ca="1"/>
        <v/>
      </c>
      <c r="J426" s="1287" t="str">
        <f ca="1"/>
        <v/>
      </c>
      <c r="K426" s="1288" t="str">
        <f ca="1"/>
        <v xml:space="preserve">Description:
Details:
Aim:
</v>
      </c>
      <c r="L426" s="1287" t="str">
        <f ca="1"/>
        <v/>
      </c>
      <c r="M426" s="1287" t="str">
        <f ca="1"/>
        <v/>
      </c>
      <c r="N426" s="1287"/>
      <c r="O426" s="1323" t="str">
        <f ca="1"/>
        <v/>
      </c>
      <c r="P426" s="1287"/>
      <c r="Q426" s="1290" t="str">
        <f ca="1"/>
        <v/>
      </c>
    </row>
    <row r="427" spans="1:17" ht="27.75" hidden="1" customHeight="1" x14ac:dyDescent="0.45">
      <c r="A427" s="1289">
        <v>11</v>
      </c>
      <c r="B427" s="1285">
        <v>2</v>
      </c>
      <c r="C427" s="1285">
        <v>2.9999999999999716</v>
      </c>
      <c r="D427" s="1297">
        <v>5.9999999999999822</v>
      </c>
      <c r="E427" s="1299" t="str">
        <f ca="1"/>
        <v/>
      </c>
      <c r="F427" s="1286" t="str">
        <f ca="1"/>
        <v/>
      </c>
      <c r="G427" s="1286" t="str">
        <f ca="1"/>
        <v/>
      </c>
      <c r="H427" s="1301" t="str">
        <f ca="1"/>
        <v/>
      </c>
      <c r="I427" s="1303" t="str">
        <f ca="1"/>
        <v/>
      </c>
      <c r="J427" s="1287" t="str">
        <f ca="1"/>
        <v/>
      </c>
      <c r="K427" s="1288" t="str">
        <f ca="1"/>
        <v xml:space="preserve">Description:
Details:
Aim:
</v>
      </c>
      <c r="L427" s="1287" t="str">
        <f ca="1"/>
        <v/>
      </c>
      <c r="M427" s="1287" t="str">
        <f ca="1"/>
        <v/>
      </c>
      <c r="N427" s="1287"/>
      <c r="O427" s="1323" t="str">
        <f ca="1"/>
        <v/>
      </c>
      <c r="P427" s="1287"/>
      <c r="Q427" s="1290" t="str">
        <f ca="1"/>
        <v/>
      </c>
    </row>
    <row r="428" spans="1:17" ht="27.75" hidden="1" customHeight="1" x14ac:dyDescent="0.45">
      <c r="A428" s="1289">
        <v>11</v>
      </c>
      <c r="B428" s="1285">
        <v>2</v>
      </c>
      <c r="C428" s="1285">
        <v>1</v>
      </c>
      <c r="D428" s="1297">
        <v>6.9999999999999787</v>
      </c>
      <c r="E428" s="1299" t="str">
        <f ca="1"/>
        <v/>
      </c>
      <c r="F428" s="1286" t="str">
        <f ca="1"/>
        <v/>
      </c>
      <c r="G428" s="1286" t="str">
        <f ca="1"/>
        <v/>
      </c>
      <c r="H428" s="1301" t="str">
        <f ca="1"/>
        <v/>
      </c>
      <c r="I428" s="1303" t="str">
        <f ca="1"/>
        <v/>
      </c>
      <c r="J428" s="1287" t="str">
        <f ca="1"/>
        <v/>
      </c>
      <c r="K428" s="1288" t="str">
        <f ca="1"/>
        <v xml:space="preserve">Description:
Details:
Aim:
</v>
      </c>
      <c r="L428" s="1287" t="str">
        <f ca="1"/>
        <v/>
      </c>
      <c r="M428" s="1287" t="str">
        <f ca="1"/>
        <v/>
      </c>
      <c r="N428" s="1287"/>
      <c r="O428" s="1323" t="str">
        <f ca="1"/>
        <v/>
      </c>
      <c r="P428" s="1287"/>
      <c r="Q428" s="1290" t="str">
        <f ca="1"/>
        <v/>
      </c>
    </row>
    <row r="429" spans="1:17" ht="27.75" hidden="1" customHeight="1" x14ac:dyDescent="0.45">
      <c r="A429" s="1289">
        <v>11</v>
      </c>
      <c r="B429" s="1285">
        <v>3</v>
      </c>
      <c r="C429" s="1285">
        <v>2.0000000000000284</v>
      </c>
      <c r="D429" s="1297">
        <v>7.9999999999999751</v>
      </c>
      <c r="E429" s="1299" t="str">
        <f ca="1"/>
        <v/>
      </c>
      <c r="F429" s="1286" t="str">
        <f ca="1"/>
        <v/>
      </c>
      <c r="G429" s="1286" t="str">
        <f ca="1"/>
        <v/>
      </c>
      <c r="H429" s="1301" t="str">
        <f ca="1"/>
        <v/>
      </c>
      <c r="I429" s="1303" t="str">
        <f ca="1"/>
        <v/>
      </c>
      <c r="J429" s="1287" t="str">
        <f ca="1"/>
        <v/>
      </c>
      <c r="K429" s="1288" t="str">
        <f ca="1"/>
        <v xml:space="preserve">Description:
Details:
Aim:
</v>
      </c>
      <c r="L429" s="1287" t="str">
        <f ca="1"/>
        <v/>
      </c>
      <c r="M429" s="1287" t="str">
        <f ca="1"/>
        <v/>
      </c>
      <c r="N429" s="1287"/>
      <c r="O429" s="1323" t="str">
        <f ca="1"/>
        <v/>
      </c>
      <c r="P429" s="1287"/>
      <c r="Q429" s="1290" t="str">
        <f ca="1"/>
        <v/>
      </c>
    </row>
    <row r="430" spans="1:17" ht="27.75" hidden="1" customHeight="1" x14ac:dyDescent="0.45">
      <c r="A430" s="1289">
        <v>11</v>
      </c>
      <c r="B430" s="1285">
        <v>3</v>
      </c>
      <c r="C430" s="1285">
        <v>2.9999999999999716</v>
      </c>
      <c r="D430" s="1297">
        <v>8.9999999999999716</v>
      </c>
      <c r="E430" s="1299" t="str">
        <f ca="1"/>
        <v/>
      </c>
      <c r="F430" s="1286" t="str">
        <f ca="1"/>
        <v/>
      </c>
      <c r="G430" s="1286" t="str">
        <f ca="1"/>
        <v/>
      </c>
      <c r="H430" s="1301" t="str">
        <f ca="1"/>
        <v/>
      </c>
      <c r="I430" s="1303" t="str">
        <f ca="1"/>
        <v/>
      </c>
      <c r="J430" s="1287" t="str">
        <f ca="1"/>
        <v/>
      </c>
      <c r="K430" s="1288" t="str">
        <f ca="1"/>
        <v xml:space="preserve">Description:
Details:
Aim:
</v>
      </c>
      <c r="L430" s="1287" t="str">
        <f ca="1"/>
        <v/>
      </c>
      <c r="M430" s="1287" t="str">
        <f ca="1"/>
        <v/>
      </c>
      <c r="N430" s="1287"/>
      <c r="O430" s="1323" t="str">
        <f ca="1"/>
        <v/>
      </c>
      <c r="P430" s="1287"/>
      <c r="Q430" s="1290" t="str">
        <f ca="1"/>
        <v/>
      </c>
    </row>
    <row r="431" spans="1:17" ht="27.75" hidden="1" customHeight="1" x14ac:dyDescent="0.45">
      <c r="A431" s="1289">
        <v>11</v>
      </c>
      <c r="B431" s="1285">
        <v>3</v>
      </c>
      <c r="C431" s="1285">
        <v>1</v>
      </c>
      <c r="D431" s="1297">
        <v>9.999999999999968</v>
      </c>
      <c r="E431" s="1299" t="str">
        <f ca="1"/>
        <v>Rest from continuous exercise.</v>
      </c>
      <c r="F431" s="1286" t="str">
        <f ca="1"/>
        <v>Sport: Run
WU/WD: No 
Effort Total: 145 minutes
HR Target: N/A BPM
HR Range: N/A BPM 
Flat Road Equivalent Pace:  min/km</v>
      </c>
      <c r="G431" s="1286" t="str">
        <f ca="1"/>
        <v xml:space="preserve">Allow safest recovery of the whole body. </v>
      </c>
      <c r="H431" s="1301" t="str">
        <f ca="1"/>
        <v/>
      </c>
      <c r="I431" s="1303" t="str">
        <f ca="1"/>
        <v>Long hilly trail run: 145 minutes</v>
      </c>
      <c r="J431" s="1287" t="str">
        <f ca="1"/>
        <v>Running</v>
      </c>
      <c r="K431" s="1288" t="str">
        <f ca="1"/>
        <v xml:space="preserve">Description:
Rest from continuous exercise.
Details:
Sport: Run
WU/WD: No 
Effort Total: 145 minutes
HR Target: N/A BPM
HR Range: N/A BPM 
Flat Road Equivalent Pace:  min/km
Aim:
Allow safest recovery of the whole body. </v>
      </c>
      <c r="L431" s="1287">
        <f ca="1"/>
        <v>0</v>
      </c>
      <c r="M431" s="1287">
        <f ca="1"/>
        <v>2.4166666666666665</v>
      </c>
      <c r="N431" s="1287"/>
      <c r="O431" s="1323" t="str">
        <f ca="1"/>
        <v>2018-12-11 06:00</v>
      </c>
      <c r="P431" s="1287"/>
      <c r="Q431" s="1290" t="str">
        <f ca="1"/>
        <v>Run</v>
      </c>
    </row>
    <row r="432" spans="1:17" ht="27.75" hidden="1" customHeight="1" x14ac:dyDescent="0.45">
      <c r="A432" s="1289">
        <v>11</v>
      </c>
      <c r="B432" s="1285">
        <v>4</v>
      </c>
      <c r="C432" s="1285">
        <v>2.0000000000000284</v>
      </c>
      <c r="D432" s="1297">
        <v>10.999999999999964</v>
      </c>
      <c r="E432" s="1299" t="str">
        <f ca="1"/>
        <v/>
      </c>
      <c r="F432" s="1286" t="str">
        <f ca="1"/>
        <v/>
      </c>
      <c r="G432" s="1286" t="str">
        <f ca="1"/>
        <v/>
      </c>
      <c r="H432" s="1301" t="str">
        <f ca="1"/>
        <v/>
      </c>
      <c r="I432" s="1303" t="str">
        <f ca="1"/>
        <v/>
      </c>
      <c r="J432" s="1287" t="str">
        <f ca="1"/>
        <v/>
      </c>
      <c r="K432" s="1288" t="str">
        <f ca="1"/>
        <v xml:space="preserve">Description:
Details:
Aim:
</v>
      </c>
      <c r="L432" s="1287" t="str">
        <f ca="1"/>
        <v/>
      </c>
      <c r="M432" s="1287" t="str">
        <f ca="1"/>
        <v/>
      </c>
      <c r="N432" s="1287"/>
      <c r="O432" s="1323" t="str">
        <f ca="1"/>
        <v/>
      </c>
      <c r="P432" s="1287"/>
      <c r="Q432" s="1290" t="str">
        <f ca="1"/>
        <v/>
      </c>
    </row>
    <row r="433" spans="1:17" ht="27.75" hidden="1" customHeight="1" x14ac:dyDescent="0.45">
      <c r="A433" s="1289">
        <v>11</v>
      </c>
      <c r="B433" s="1285">
        <v>4</v>
      </c>
      <c r="C433" s="1285">
        <v>2.9999999999999716</v>
      </c>
      <c r="D433" s="1297">
        <v>12.000000000000036</v>
      </c>
      <c r="E433" s="1299" t="str">
        <f ca="1"/>
        <v/>
      </c>
      <c r="F433" s="1286" t="str">
        <f ca="1"/>
        <v/>
      </c>
      <c r="G433" s="1286" t="str">
        <f ca="1"/>
        <v/>
      </c>
      <c r="H433" s="1301" t="str">
        <f ca="1"/>
        <v/>
      </c>
      <c r="I433" s="1303" t="str">
        <f ca="1"/>
        <v/>
      </c>
      <c r="J433" s="1287" t="str">
        <f ca="1"/>
        <v/>
      </c>
      <c r="K433" s="1288" t="str">
        <f ca="1"/>
        <v xml:space="preserve">Description:
Details:
Aim:
</v>
      </c>
      <c r="L433" s="1287" t="str">
        <f ca="1"/>
        <v/>
      </c>
      <c r="M433" s="1287" t="str">
        <f ca="1"/>
        <v/>
      </c>
      <c r="N433" s="1287"/>
      <c r="O433" s="1323" t="str">
        <f ca="1"/>
        <v/>
      </c>
      <c r="P433" s="1287"/>
      <c r="Q433" s="1290" t="str">
        <f ca="1"/>
        <v/>
      </c>
    </row>
    <row r="434" spans="1:17" ht="27.75" hidden="1" customHeight="1" x14ac:dyDescent="0.45">
      <c r="A434" s="1289">
        <v>11</v>
      </c>
      <c r="B434" s="1285">
        <v>5</v>
      </c>
      <c r="C434" s="1285">
        <v>1</v>
      </c>
      <c r="D434" s="1297">
        <v>13.000000000000032</v>
      </c>
      <c r="E434" s="1299" t="str">
        <f ca="1"/>
        <v/>
      </c>
      <c r="F434" s="1286" t="str">
        <f ca="1"/>
        <v/>
      </c>
      <c r="G434" s="1286" t="str">
        <f ca="1"/>
        <v/>
      </c>
      <c r="H434" s="1301" t="str">
        <f ca="1"/>
        <v/>
      </c>
      <c r="I434" s="1303" t="str">
        <f ca="1"/>
        <v/>
      </c>
      <c r="J434" s="1287" t="str">
        <f ca="1"/>
        <v/>
      </c>
      <c r="K434" s="1288" t="str">
        <f ca="1"/>
        <v xml:space="preserve">Description:
Details:
Aim:
</v>
      </c>
      <c r="L434" s="1287" t="str">
        <f ca="1"/>
        <v/>
      </c>
      <c r="M434" s="1287" t="str">
        <f ca="1"/>
        <v/>
      </c>
      <c r="N434" s="1287"/>
      <c r="O434" s="1323" t="str">
        <f ca="1"/>
        <v/>
      </c>
      <c r="P434" s="1287"/>
      <c r="Q434" s="1290" t="str">
        <f ca="1"/>
        <v/>
      </c>
    </row>
    <row r="435" spans="1:17" ht="27.75" hidden="1" customHeight="1" x14ac:dyDescent="0.45">
      <c r="A435" s="1289">
        <v>11</v>
      </c>
      <c r="B435" s="1285">
        <v>5</v>
      </c>
      <c r="C435" s="1285">
        <v>2.0000000000000284</v>
      </c>
      <c r="D435" s="1297">
        <v>14.000000000000028</v>
      </c>
      <c r="E435" s="1299" t="str">
        <f ca="1"/>
        <v/>
      </c>
      <c r="F435" s="1286" t="str">
        <f ca="1"/>
        <v/>
      </c>
      <c r="G435" s="1286" t="str">
        <f ca="1"/>
        <v/>
      </c>
      <c r="H435" s="1301" t="str">
        <f ca="1"/>
        <v/>
      </c>
      <c r="I435" s="1303" t="str">
        <f ca="1"/>
        <v/>
      </c>
      <c r="J435" s="1287" t="str">
        <f ca="1"/>
        <v/>
      </c>
      <c r="K435" s="1288" t="str">
        <f ca="1"/>
        <v xml:space="preserve">Description:
Details:
Aim:
</v>
      </c>
      <c r="L435" s="1287" t="str">
        <f ca="1"/>
        <v/>
      </c>
      <c r="M435" s="1287" t="str">
        <f ca="1"/>
        <v/>
      </c>
      <c r="N435" s="1287"/>
      <c r="O435" s="1323" t="str">
        <f ca="1"/>
        <v/>
      </c>
      <c r="P435" s="1287"/>
      <c r="Q435" s="1290" t="str">
        <f ca="1"/>
        <v/>
      </c>
    </row>
    <row r="436" spans="1:17" ht="27.75" hidden="1" customHeight="1" x14ac:dyDescent="0.45">
      <c r="A436" s="1289">
        <v>11</v>
      </c>
      <c r="B436" s="1285">
        <v>5</v>
      </c>
      <c r="C436" s="1285">
        <v>2.9999999999999716</v>
      </c>
      <c r="D436" s="1297">
        <v>15.000000000000025</v>
      </c>
      <c r="E436" s="1299" t="str">
        <f ca="1"/>
        <v/>
      </c>
      <c r="F436" s="1286" t="str">
        <f ca="1"/>
        <v/>
      </c>
      <c r="G436" s="1286" t="str">
        <f ca="1"/>
        <v/>
      </c>
      <c r="H436" s="1301" t="str">
        <f ca="1"/>
        <v/>
      </c>
      <c r="I436" s="1303" t="str">
        <f ca="1"/>
        <v/>
      </c>
      <c r="J436" s="1287" t="str">
        <f ca="1"/>
        <v/>
      </c>
      <c r="K436" s="1288" t="str">
        <f ca="1"/>
        <v xml:space="preserve">Description:
Details:
Aim:
</v>
      </c>
      <c r="L436" s="1287" t="str">
        <f ca="1"/>
        <v/>
      </c>
      <c r="M436" s="1287" t="str">
        <f ca="1"/>
        <v/>
      </c>
      <c r="N436" s="1287"/>
      <c r="O436" s="1323" t="str">
        <f ca="1"/>
        <v/>
      </c>
      <c r="P436" s="1287"/>
      <c r="Q436" s="1290" t="str">
        <f ca="1"/>
        <v/>
      </c>
    </row>
    <row r="437" spans="1:17" ht="27.75" hidden="1" customHeight="1" x14ac:dyDescent="0.45">
      <c r="A437" s="1289">
        <v>11</v>
      </c>
      <c r="B437" s="1285">
        <v>6</v>
      </c>
      <c r="C437" s="1285">
        <v>1</v>
      </c>
      <c r="D437" s="1297">
        <v>16.000000000000021</v>
      </c>
      <c r="E437" s="1299" t="str">
        <f ca="1"/>
        <v xml:space="preserve">Fundamentally a steady, but you can be less strict at controlling your intensity as long as your average intensity is close to it's target by the end of the session </v>
      </c>
      <c r="F437" s="1286" t="str">
        <f ca="1"/>
        <v>Sport: Hilly Trail Run
WU/WD: No 
Effort Total: 145 minutes
HR Target: 148 BPM
HR Range: 129 - 169 BPM 
Flat Road Equivalent Pace: 4:14 min/km</v>
      </c>
      <c r="G437" s="1286" t="str">
        <f ca="1"/>
        <v xml:space="preserve">Improve aerobic fitness and energy utilisation. </v>
      </c>
      <c r="H437" s="1301" t="str">
        <f ca="1"/>
        <v/>
      </c>
      <c r="I437" s="1303" t="str">
        <f ca="1"/>
        <v>Long hilly trail run: 145 minutes</v>
      </c>
      <c r="J437" s="1287" t="str">
        <f ca="1"/>
        <v>Trail Running</v>
      </c>
      <c r="K437" s="1288" t="str">
        <f ca="1"/>
        <v xml:space="preserve">Description:
Fundamentally a steady, but you can be less strict at controlling your intensity as long as your average intensity is close to it's target by the end of the session 
Details:
Sport: Hilly Trail Run
WU/WD: No 
Effort Total: 145 minutes
HR Target: 148 BPM
HR Range: 129 - 169 BPM 
Flat Road Equivalent Pace: 4:14 min/km
Aim:
Improve aerobic fitness and energy utilisation. </v>
      </c>
      <c r="L437" s="1287">
        <f ca="1"/>
        <v>4</v>
      </c>
      <c r="M437" s="1287">
        <f ca="1"/>
        <v>2.4166666666666665</v>
      </c>
      <c r="N437" s="1287"/>
      <c r="O437" s="1323" t="str">
        <f ca="1"/>
        <v>2018-12-12 18:00</v>
      </c>
      <c r="P437" s="1287"/>
      <c r="Q437" s="1290" t="str">
        <f ca="1"/>
        <v>Hilly Trail Run</v>
      </c>
    </row>
    <row r="438" spans="1:17" ht="27.75" hidden="1" customHeight="1" x14ac:dyDescent="0.45">
      <c r="A438" s="1289">
        <v>11</v>
      </c>
      <c r="B438" s="1285">
        <v>6</v>
      </c>
      <c r="C438" s="1285">
        <v>2.0000000000000284</v>
      </c>
      <c r="D438" s="1297">
        <v>17.000000000000018</v>
      </c>
      <c r="E438" s="1299" t="str">
        <f ca="1"/>
        <v/>
      </c>
      <c r="F438" s="1286" t="str">
        <f ca="1"/>
        <v/>
      </c>
      <c r="G438" s="1286" t="str">
        <f ca="1"/>
        <v/>
      </c>
      <c r="H438" s="1301" t="str">
        <f ca="1"/>
        <v/>
      </c>
      <c r="I438" s="1303" t="str">
        <f ca="1"/>
        <v/>
      </c>
      <c r="J438" s="1287" t="str">
        <f ca="1"/>
        <v/>
      </c>
      <c r="K438" s="1288" t="str">
        <f ca="1"/>
        <v xml:space="preserve">Description:
Details:
Aim:
</v>
      </c>
      <c r="L438" s="1287" t="str">
        <f ca="1"/>
        <v/>
      </c>
      <c r="M438" s="1287" t="str">
        <f ca="1"/>
        <v/>
      </c>
      <c r="N438" s="1287"/>
      <c r="O438" s="1323" t="str">
        <f ca="1"/>
        <v/>
      </c>
      <c r="P438" s="1287"/>
      <c r="Q438" s="1290" t="str">
        <f ca="1"/>
        <v/>
      </c>
    </row>
    <row r="439" spans="1:17" ht="27.75" hidden="1" customHeight="1" x14ac:dyDescent="0.45">
      <c r="A439" s="1289">
        <v>11</v>
      </c>
      <c r="B439" s="1285">
        <v>6</v>
      </c>
      <c r="C439" s="1285">
        <v>2.9999999999999716</v>
      </c>
      <c r="D439" s="1297">
        <v>18.000000000000014</v>
      </c>
      <c r="E439" s="1299" t="str">
        <f ca="1"/>
        <v/>
      </c>
      <c r="F439" s="1286" t="str">
        <f ca="1"/>
        <v/>
      </c>
      <c r="G439" s="1286" t="str">
        <f ca="1"/>
        <v/>
      </c>
      <c r="H439" s="1301" t="str">
        <f ca="1"/>
        <v/>
      </c>
      <c r="I439" s="1303" t="str">
        <f ca="1"/>
        <v/>
      </c>
      <c r="J439" s="1287" t="str">
        <f ca="1"/>
        <v/>
      </c>
      <c r="K439" s="1288" t="str">
        <f ca="1"/>
        <v xml:space="preserve">Description:
Details:
Aim:
</v>
      </c>
      <c r="L439" s="1287" t="str">
        <f ca="1"/>
        <v/>
      </c>
      <c r="M439" s="1287" t="str">
        <f ca="1"/>
        <v/>
      </c>
      <c r="N439" s="1287"/>
      <c r="O439" s="1323" t="str">
        <f ca="1"/>
        <v/>
      </c>
      <c r="P439" s="1287"/>
      <c r="Q439" s="1290" t="str">
        <f ca="1"/>
        <v/>
      </c>
    </row>
    <row r="440" spans="1:17" ht="27.75" hidden="1" customHeight="1" x14ac:dyDescent="0.45">
      <c r="A440" s="1289">
        <v>11</v>
      </c>
      <c r="B440" s="1285">
        <v>7</v>
      </c>
      <c r="C440" s="1285">
        <v>1</v>
      </c>
      <c r="D440" s="1297">
        <v>19.000000000000011</v>
      </c>
      <c r="E440" s="1299" t="str">
        <f ca="1"/>
        <v/>
      </c>
      <c r="F440" s="1286" t="str">
        <f ca="1"/>
        <v/>
      </c>
      <c r="G440" s="1286" t="str">
        <f ca="1"/>
        <v/>
      </c>
      <c r="H440" s="1301" t="str">
        <f ca="1"/>
        <v/>
      </c>
      <c r="I440" s="1303" t="str">
        <f ca="1"/>
        <v/>
      </c>
      <c r="J440" s="1287" t="str">
        <f ca="1"/>
        <v/>
      </c>
      <c r="K440" s="1288" t="str">
        <f ca="1"/>
        <v xml:space="preserve">Description:
Details:
Aim:
</v>
      </c>
      <c r="L440" s="1287" t="str">
        <f ca="1"/>
        <v/>
      </c>
      <c r="M440" s="1287" t="str">
        <f ca="1"/>
        <v/>
      </c>
      <c r="N440" s="1287"/>
      <c r="O440" s="1323" t="str">
        <f ca="1"/>
        <v/>
      </c>
      <c r="P440" s="1287"/>
      <c r="Q440" s="1290" t="str">
        <f ca="1"/>
        <v/>
      </c>
    </row>
    <row r="441" spans="1:17" ht="27.75" hidden="1" customHeight="1" x14ac:dyDescent="0.45">
      <c r="A441" s="1289">
        <v>11</v>
      </c>
      <c r="B441" s="1285">
        <v>7</v>
      </c>
      <c r="C441" s="1285">
        <v>2.0000000000000284</v>
      </c>
      <c r="D441" s="1297">
        <v>20.000000000000007</v>
      </c>
      <c r="E441" s="1299" t="str">
        <f ca="1"/>
        <v/>
      </c>
      <c r="F441" s="1286" t="str">
        <f ca="1"/>
        <v/>
      </c>
      <c r="G441" s="1286" t="str">
        <f ca="1"/>
        <v/>
      </c>
      <c r="H441" s="1301" t="str">
        <f ca="1"/>
        <v/>
      </c>
      <c r="I441" s="1303" t="str">
        <f ca="1"/>
        <v/>
      </c>
      <c r="J441" s="1287" t="str">
        <f ca="1"/>
        <v/>
      </c>
      <c r="K441" s="1288" t="str">
        <f ca="1"/>
        <v xml:space="preserve">Description:
Details:
Aim:
</v>
      </c>
      <c r="L441" s="1287" t="str">
        <f ca="1"/>
        <v/>
      </c>
      <c r="M441" s="1287" t="str">
        <f ca="1"/>
        <v/>
      </c>
      <c r="N441" s="1287"/>
      <c r="O441" s="1323" t="str">
        <f ca="1"/>
        <v/>
      </c>
      <c r="P441" s="1287"/>
      <c r="Q441" s="1290" t="str">
        <f ca="1"/>
        <v/>
      </c>
    </row>
    <row r="442" spans="1:17" ht="27.75" hidden="1" customHeight="1" x14ac:dyDescent="0.45">
      <c r="A442" s="1289">
        <v>11</v>
      </c>
      <c r="B442" s="1285">
        <v>7</v>
      </c>
      <c r="C442" s="1285">
        <v>2.9999999999999716</v>
      </c>
      <c r="D442" s="1297">
        <v>21.000000000000004</v>
      </c>
      <c r="E442" s="1299" t="str">
        <f ca="1"/>
        <v/>
      </c>
      <c r="F442" s="1286" t="str">
        <f ca="1"/>
        <v/>
      </c>
      <c r="G442" s="1286" t="str">
        <f ca="1"/>
        <v/>
      </c>
      <c r="H442" s="1301" t="str">
        <f ca="1"/>
        <v/>
      </c>
      <c r="I442" s="1303" t="str">
        <f ca="1"/>
        <v/>
      </c>
      <c r="J442" s="1287" t="str">
        <f ca="1"/>
        <v/>
      </c>
      <c r="K442" s="1288" t="str">
        <f ca="1"/>
        <v xml:space="preserve">Description:
Details:
Aim:
</v>
      </c>
      <c r="L442" s="1287" t="str">
        <f ca="1"/>
        <v/>
      </c>
      <c r="M442" s="1287" t="str">
        <f ca="1"/>
        <v/>
      </c>
      <c r="N442" s="1287"/>
      <c r="O442" s="1323" t="str">
        <f ca="1"/>
        <v/>
      </c>
      <c r="P442" s="1287"/>
      <c r="Q442" s="1290" t="str">
        <f ca="1"/>
        <v/>
      </c>
    </row>
    <row r="443" spans="1:17" ht="27.75" hidden="1" customHeight="1" x14ac:dyDescent="0.45">
      <c r="A443" s="1289">
        <v>11</v>
      </c>
      <c r="B443" s="1285">
        <v>8</v>
      </c>
      <c r="C443" s="1285">
        <v>1</v>
      </c>
      <c r="D443" s="1297">
        <v>22</v>
      </c>
      <c r="E443" s="1299" t="str">
        <f ca="1"/>
        <v>Stay at a comfortable and controlled intensity where you should be able to have a conversation without large pauses. Keep an even intensity and accept that your pace may change as the terrain changes.</v>
      </c>
      <c r="F443" s="1286" t="str">
        <f ca="1"/>
        <v>Sport: Hilly Trail Run
WU/WD: No 
Effort Total: 85 minutes
HR Target: 148 BPM
HR Range: 138 - 157 BPM 
Flat Road Equivalent Pace: 4:14 min/km</v>
      </c>
      <c r="G443" s="1286" t="str">
        <f ca="1"/>
        <v>Improve aerobic fitness at an optimal rate.</v>
      </c>
      <c r="H443" s="1301" t="str">
        <f ca="1"/>
        <v/>
      </c>
      <c r="I443" s="1303" t="str">
        <f ca="1"/>
        <v>Steady hilly trail run: 85 minutes</v>
      </c>
      <c r="J443" s="1287" t="str">
        <f ca="1"/>
        <v>Trail Running</v>
      </c>
      <c r="K443"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85 minutes
HR Target: 148 BPM
HR Range: 138 - 157 BPM 
Flat Road Equivalent Pace: 4:14 min/km
Aim:
Improve aerobic fitness at an optimal rate.</v>
      </c>
      <c r="L443" s="1287">
        <f ca="1"/>
        <v>3</v>
      </c>
      <c r="M443" s="1287">
        <f ca="1"/>
        <v>1.4166666666666667</v>
      </c>
      <c r="N443" s="1287"/>
      <c r="O443" s="1323" t="str">
        <f ca="1"/>
        <v>2018-12-13 18:00</v>
      </c>
      <c r="P443" s="1287"/>
      <c r="Q443" s="1290" t="str">
        <f ca="1"/>
        <v>Hilly Trail Run</v>
      </c>
    </row>
    <row r="444" spans="1:17" ht="27.75" hidden="1" customHeight="1" x14ac:dyDescent="0.45">
      <c r="A444" s="1289">
        <v>11</v>
      </c>
      <c r="B444" s="1285">
        <v>8</v>
      </c>
      <c r="C444" s="1285">
        <v>2.0000000000000284</v>
      </c>
      <c r="D444" s="1297">
        <v>22.999999999999996</v>
      </c>
      <c r="E444" s="1299" t="str">
        <f ca="1"/>
        <v/>
      </c>
      <c r="F444" s="1286" t="str">
        <f ca="1"/>
        <v/>
      </c>
      <c r="G444" s="1286" t="str">
        <f ca="1"/>
        <v/>
      </c>
      <c r="H444" s="1301" t="str">
        <f ca="1"/>
        <v/>
      </c>
      <c r="I444" s="1303" t="str">
        <f ca="1"/>
        <v/>
      </c>
      <c r="J444" s="1287" t="str">
        <f ca="1"/>
        <v/>
      </c>
      <c r="K444" s="1288" t="str">
        <f ca="1"/>
        <v xml:space="preserve">Description:
Details:
Aim:
</v>
      </c>
      <c r="L444" s="1287" t="str">
        <f ca="1"/>
        <v/>
      </c>
      <c r="M444" s="1287" t="str">
        <f ca="1"/>
        <v/>
      </c>
      <c r="N444" s="1287"/>
      <c r="O444" s="1323" t="str">
        <f ca="1"/>
        <v/>
      </c>
      <c r="P444" s="1287"/>
      <c r="Q444" s="1290" t="str">
        <f ca="1"/>
        <v/>
      </c>
    </row>
    <row r="445" spans="1:17" ht="27.75" hidden="1" customHeight="1" x14ac:dyDescent="0.45">
      <c r="A445" s="1289">
        <v>11</v>
      </c>
      <c r="B445" s="1285">
        <v>8</v>
      </c>
      <c r="C445" s="1285">
        <v>2.9999999999999716</v>
      </c>
      <c r="D445" s="1297">
        <v>23.999999999999993</v>
      </c>
      <c r="E445" s="1299" t="str">
        <f ca="1"/>
        <v/>
      </c>
      <c r="F445" s="1286" t="str">
        <f ca="1"/>
        <v/>
      </c>
      <c r="G445" s="1286" t="str">
        <f ca="1"/>
        <v/>
      </c>
      <c r="H445" s="1301" t="str">
        <f ca="1"/>
        <v/>
      </c>
      <c r="I445" s="1303" t="str">
        <f ca="1"/>
        <v/>
      </c>
      <c r="J445" s="1287" t="str">
        <f ca="1"/>
        <v/>
      </c>
      <c r="K445" s="1288" t="str">
        <f ca="1"/>
        <v xml:space="preserve">Description:
Details:
Aim:
</v>
      </c>
      <c r="L445" s="1287" t="str">
        <f ca="1"/>
        <v/>
      </c>
      <c r="M445" s="1287" t="str">
        <f ca="1"/>
        <v/>
      </c>
      <c r="N445" s="1287"/>
      <c r="O445" s="1323" t="str">
        <f ca="1"/>
        <v/>
      </c>
      <c r="P445" s="1287"/>
      <c r="Q445" s="1290" t="str">
        <f ca="1"/>
        <v/>
      </c>
    </row>
    <row r="446" spans="1:17" ht="27.75" hidden="1" customHeight="1" x14ac:dyDescent="0.45">
      <c r="A446" s="1289">
        <v>11</v>
      </c>
      <c r="B446" s="1285">
        <v>9</v>
      </c>
      <c r="C446" s="1285">
        <v>1</v>
      </c>
      <c r="D446" s="1297">
        <v>24.999999999999989</v>
      </c>
      <c r="E446" s="1299" t="str">
        <f ca="1"/>
        <v/>
      </c>
      <c r="F446" s="1286" t="str">
        <f ca="1"/>
        <v/>
      </c>
      <c r="G446" s="1286" t="str">
        <f ca="1"/>
        <v/>
      </c>
      <c r="H446" s="1301" t="str">
        <f ca="1"/>
        <v/>
      </c>
      <c r="I446" s="1303" t="str">
        <f ca="1"/>
        <v/>
      </c>
      <c r="J446" s="1287" t="str">
        <f ca="1"/>
        <v/>
      </c>
      <c r="K446" s="1288" t="str">
        <f ca="1"/>
        <v xml:space="preserve">Description:
Details:
Aim:
</v>
      </c>
      <c r="L446" s="1287" t="str">
        <f ca="1"/>
        <v/>
      </c>
      <c r="M446" s="1287" t="str">
        <f ca="1"/>
        <v/>
      </c>
      <c r="N446" s="1287"/>
      <c r="O446" s="1323" t="str">
        <f ca="1"/>
        <v/>
      </c>
      <c r="P446" s="1287"/>
      <c r="Q446" s="1290" t="str">
        <f ca="1"/>
        <v/>
      </c>
    </row>
    <row r="447" spans="1:17" ht="27.75" hidden="1" customHeight="1" x14ac:dyDescent="0.45">
      <c r="A447" s="1289">
        <v>11</v>
      </c>
      <c r="B447" s="1285">
        <v>9</v>
      </c>
      <c r="C447" s="1285">
        <v>2.0000000000000284</v>
      </c>
      <c r="D447" s="1297">
        <v>25.999999999999986</v>
      </c>
      <c r="E447" s="1299" t="str">
        <f ca="1"/>
        <v/>
      </c>
      <c r="F447" s="1286" t="str">
        <f ca="1"/>
        <v/>
      </c>
      <c r="G447" s="1286" t="str">
        <f ca="1"/>
        <v/>
      </c>
      <c r="H447" s="1301" t="str">
        <f ca="1"/>
        <v/>
      </c>
      <c r="I447" s="1303" t="str">
        <f ca="1"/>
        <v/>
      </c>
      <c r="J447" s="1287" t="str">
        <f ca="1"/>
        <v/>
      </c>
      <c r="K447" s="1288" t="str">
        <f ca="1"/>
        <v xml:space="preserve">Description:
Details:
Aim:
</v>
      </c>
      <c r="L447" s="1287" t="str">
        <f ca="1"/>
        <v/>
      </c>
      <c r="M447" s="1287" t="str">
        <f ca="1"/>
        <v/>
      </c>
      <c r="N447" s="1287"/>
      <c r="O447" s="1323" t="str">
        <f ca="1"/>
        <v/>
      </c>
      <c r="P447" s="1287"/>
      <c r="Q447" s="1290" t="str">
        <f ca="1"/>
        <v/>
      </c>
    </row>
    <row r="448" spans="1:17" ht="27.75" hidden="1" customHeight="1" x14ac:dyDescent="0.45">
      <c r="A448" s="1289">
        <v>11</v>
      </c>
      <c r="B448" s="1285">
        <v>9</v>
      </c>
      <c r="C448" s="1285">
        <v>2.9999999999999716</v>
      </c>
      <c r="D448" s="1297">
        <v>26.999999999999982</v>
      </c>
      <c r="E448" s="1299" t="str">
        <f ca="1"/>
        <v/>
      </c>
      <c r="F448" s="1286" t="str">
        <f ca="1"/>
        <v/>
      </c>
      <c r="G448" s="1286" t="str">
        <f ca="1"/>
        <v/>
      </c>
      <c r="H448" s="1301" t="str">
        <f ca="1"/>
        <v/>
      </c>
      <c r="I448" s="1303" t="str">
        <f ca="1"/>
        <v/>
      </c>
      <c r="J448" s="1287" t="str">
        <f ca="1"/>
        <v/>
      </c>
      <c r="K448" s="1288" t="str">
        <f ca="1"/>
        <v xml:space="preserve">Description:
Details:
Aim:
</v>
      </c>
      <c r="L448" s="1287" t="str">
        <f ca="1"/>
        <v/>
      </c>
      <c r="M448" s="1287" t="str">
        <f ca="1"/>
        <v/>
      </c>
      <c r="N448" s="1287"/>
      <c r="O448" s="1323" t="str">
        <f ca="1"/>
        <v/>
      </c>
      <c r="P448" s="1287"/>
      <c r="Q448" s="1290" t="str">
        <f ca="1"/>
        <v/>
      </c>
    </row>
    <row r="449" spans="1:17" ht="27.75" hidden="1" customHeight="1" x14ac:dyDescent="0.45">
      <c r="A449" s="1289">
        <v>11</v>
      </c>
      <c r="B449" s="1285">
        <v>9</v>
      </c>
      <c r="C449" s="1285">
        <v>1</v>
      </c>
      <c r="D449" s="1297">
        <v>27.999999999999979</v>
      </c>
      <c r="E449" s="1299" t="str">
        <f ca="1"/>
        <v>Rest from continuous exercise.</v>
      </c>
      <c r="F449" s="1286" t="str">
        <f ca="1"/>
        <v>Sport: Run
WU/WD: No 
Effort Total: 85 minutes
HR Target: N/A BPM
HR Range: N/A BPM 
Flat Road Equivalent Pace:  min/km</v>
      </c>
      <c r="G449" s="1286" t="str">
        <f ca="1"/>
        <v xml:space="preserve">Allow safest recovery of the whole body. </v>
      </c>
      <c r="H449" s="1301" t="str">
        <f ca="1"/>
        <v/>
      </c>
      <c r="I449" s="1303" t="str">
        <f ca="1"/>
        <v>Steady hilly trail run: 85 minutes</v>
      </c>
      <c r="J449" s="1287" t="str">
        <f ca="1"/>
        <v>Running</v>
      </c>
      <c r="K449" s="1288" t="str">
        <f ca="1"/>
        <v xml:space="preserve">Description:
Rest from continuous exercise.
Details:
Sport: Run
WU/WD: No 
Effort Total: 85 minutes
HR Target: N/A BPM
HR Range: N/A BPM 
Flat Road Equivalent Pace:  min/km
Aim:
Allow safest recovery of the whole body. </v>
      </c>
      <c r="L449" s="1287">
        <f ca="1"/>
        <v>0</v>
      </c>
      <c r="M449" s="1287">
        <f ca="1"/>
        <v>1.4166666666666667</v>
      </c>
      <c r="N449" s="1287"/>
      <c r="O449" s="1323" t="str">
        <f ca="1"/>
        <v>2018-12-14 06:00</v>
      </c>
      <c r="P449" s="1287"/>
      <c r="Q449" s="1290" t="str">
        <f ca="1"/>
        <v>Run</v>
      </c>
    </row>
    <row r="450" spans="1:17" ht="27.75" hidden="1" customHeight="1" x14ac:dyDescent="0.45">
      <c r="A450" s="1289">
        <v>11</v>
      </c>
      <c r="B450" s="1285">
        <v>10</v>
      </c>
      <c r="C450" s="1285">
        <v>2.0000000000000284</v>
      </c>
      <c r="D450" s="1297">
        <v>28.999999999999975</v>
      </c>
      <c r="E450" s="1299" t="str">
        <f ca="1"/>
        <v/>
      </c>
      <c r="F450" s="1286" t="str">
        <f ca="1"/>
        <v/>
      </c>
      <c r="G450" s="1286" t="str">
        <f ca="1"/>
        <v/>
      </c>
      <c r="H450" s="1301" t="str">
        <f ca="1"/>
        <v/>
      </c>
      <c r="I450" s="1303" t="str">
        <f ca="1"/>
        <v/>
      </c>
      <c r="J450" s="1287" t="str">
        <f ca="1"/>
        <v/>
      </c>
      <c r="K450" s="1288" t="str">
        <f ca="1"/>
        <v xml:space="preserve">Description:
Details:
Aim:
</v>
      </c>
      <c r="L450" s="1287" t="str">
        <f ca="1"/>
        <v/>
      </c>
      <c r="M450" s="1287" t="str">
        <f ca="1"/>
        <v/>
      </c>
      <c r="N450" s="1287"/>
      <c r="O450" s="1323" t="str">
        <f ca="1"/>
        <v/>
      </c>
      <c r="P450" s="1287"/>
      <c r="Q450" s="1290" t="str">
        <f ca="1"/>
        <v/>
      </c>
    </row>
    <row r="451" spans="1:17" ht="27.75" hidden="1" customHeight="1" x14ac:dyDescent="0.45">
      <c r="A451" s="1289">
        <v>11</v>
      </c>
      <c r="B451" s="1285">
        <v>10</v>
      </c>
      <c r="C451" s="1285">
        <v>2.9999999999999716</v>
      </c>
      <c r="D451" s="1297">
        <v>29.999999999999972</v>
      </c>
      <c r="E451" s="1299" t="str">
        <f ca="1"/>
        <v/>
      </c>
      <c r="F451" s="1286" t="str">
        <f ca="1"/>
        <v/>
      </c>
      <c r="G451" s="1286" t="str">
        <f ca="1"/>
        <v/>
      </c>
      <c r="H451" s="1301" t="str">
        <f ca="1"/>
        <v/>
      </c>
      <c r="I451" s="1303" t="str">
        <f ca="1"/>
        <v/>
      </c>
      <c r="J451" s="1287" t="str">
        <f ca="1"/>
        <v/>
      </c>
      <c r="K451" s="1288" t="str">
        <f ca="1"/>
        <v xml:space="preserve">Description:
Details:
Aim:
</v>
      </c>
      <c r="L451" s="1287" t="str">
        <f ca="1"/>
        <v/>
      </c>
      <c r="M451" s="1287" t="str">
        <f ca="1"/>
        <v/>
      </c>
      <c r="N451" s="1287"/>
      <c r="O451" s="1323" t="str">
        <f ca="1"/>
        <v/>
      </c>
      <c r="P451" s="1287"/>
      <c r="Q451" s="1290" t="str">
        <f ca="1"/>
        <v/>
      </c>
    </row>
    <row r="452" spans="1:17" ht="27.75" hidden="1" customHeight="1" x14ac:dyDescent="0.45">
      <c r="A452" s="1289">
        <v>11</v>
      </c>
      <c r="B452" s="1285">
        <v>10</v>
      </c>
      <c r="C452" s="1285">
        <v>1</v>
      </c>
      <c r="D452" s="1297">
        <v>30.999999999999968</v>
      </c>
      <c r="E452" s="1299" t="str">
        <f ca="1"/>
        <v>Stay at a comfortable and controlled intensity where you should be able to have a conversation without large pauses. Keep an even intensity and accept that your pace may change as the terrain changes.</v>
      </c>
      <c r="F452" s="1286" t="str">
        <f ca="1"/>
        <v>Sport: Hilly Trail Run
WU/WD: No 
Effort Total: 145 minutes
HR Target: 148 BPM
HR Range: 138 - 157 BPM 
Flat Road Equivalent Pace: 4:14 min/km</v>
      </c>
      <c r="G452" s="1286" t="str">
        <f ca="1"/>
        <v>Improve aerobic fitness at an optimal rate.</v>
      </c>
      <c r="H452" s="1301" t="str">
        <f ca="1"/>
        <v/>
      </c>
      <c r="I452" s="1303" t="str">
        <f ca="1"/>
        <v>Long hilly trail run: 145 minutes</v>
      </c>
      <c r="J452" s="1287" t="str">
        <f ca="1"/>
        <v>Trail Running</v>
      </c>
      <c r="K452"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145 minutes
HR Target: 148 BPM
HR Range: 138 - 157 BPM 
Flat Road Equivalent Pace: 4:14 min/km
Aim:
Improve aerobic fitness at an optimal rate.</v>
      </c>
      <c r="L452" s="1287">
        <f ca="1"/>
        <v>3</v>
      </c>
      <c r="M452" s="1287">
        <f ca="1"/>
        <v>2.4166666666666665</v>
      </c>
      <c r="N452" s="1287"/>
      <c r="O452" s="1323" t="str">
        <f ca="1"/>
        <v>2018-12-14 18:00</v>
      </c>
      <c r="P452" s="1287"/>
      <c r="Q452" s="1290" t="str">
        <f ca="1"/>
        <v>Hilly Trail Run</v>
      </c>
    </row>
    <row r="453" spans="1:17" ht="27.75" hidden="1" customHeight="1" x14ac:dyDescent="0.45">
      <c r="A453" s="1289">
        <v>11</v>
      </c>
      <c r="B453" s="1285">
        <v>11</v>
      </c>
      <c r="C453" s="1285">
        <v>2.0000000000000284</v>
      </c>
      <c r="D453" s="1297">
        <v>31.999999999999964</v>
      </c>
      <c r="E453" s="1299" t="str">
        <f ca="1"/>
        <v/>
      </c>
      <c r="F453" s="1286" t="str">
        <f ca="1"/>
        <v/>
      </c>
      <c r="G453" s="1286" t="str">
        <f ca="1"/>
        <v/>
      </c>
      <c r="H453" s="1301" t="str">
        <f ca="1"/>
        <v/>
      </c>
      <c r="I453" s="1303" t="str">
        <f ca="1"/>
        <v/>
      </c>
      <c r="J453" s="1287" t="str">
        <f ca="1"/>
        <v/>
      </c>
      <c r="K453" s="1288" t="str">
        <f ca="1"/>
        <v xml:space="preserve">Description:
Details:
Aim:
</v>
      </c>
      <c r="L453" s="1287" t="str">
        <f ca="1"/>
        <v/>
      </c>
      <c r="M453" s="1287" t="str">
        <f ca="1"/>
        <v/>
      </c>
      <c r="N453" s="1287"/>
      <c r="O453" s="1323" t="str">
        <f ca="1"/>
        <v/>
      </c>
      <c r="P453" s="1287"/>
      <c r="Q453" s="1290" t="str">
        <f ca="1"/>
        <v/>
      </c>
    </row>
    <row r="454" spans="1:17" ht="27.75" hidden="1" customHeight="1" x14ac:dyDescent="0.45">
      <c r="A454" s="1289">
        <v>11</v>
      </c>
      <c r="B454" s="1285">
        <v>11</v>
      </c>
      <c r="C454" s="1285">
        <v>2.9999999999999716</v>
      </c>
      <c r="D454" s="1297">
        <v>33.000000000000036</v>
      </c>
      <c r="E454" s="1299" t="str">
        <f ca="1"/>
        <v/>
      </c>
      <c r="F454" s="1286" t="str">
        <f ca="1"/>
        <v/>
      </c>
      <c r="G454" s="1286" t="str">
        <f ca="1"/>
        <v/>
      </c>
      <c r="H454" s="1301" t="str">
        <f ca="1"/>
        <v/>
      </c>
      <c r="I454" s="1303" t="str">
        <f ca="1"/>
        <v/>
      </c>
      <c r="J454" s="1287" t="str">
        <f ca="1"/>
        <v/>
      </c>
      <c r="K454" s="1288" t="str">
        <f ca="1"/>
        <v xml:space="preserve">Description:
Details:
Aim:
</v>
      </c>
      <c r="L454" s="1287" t="str">
        <f ca="1"/>
        <v/>
      </c>
      <c r="M454" s="1287" t="str">
        <f ca="1"/>
        <v/>
      </c>
      <c r="N454" s="1287"/>
      <c r="O454" s="1323" t="str">
        <f ca="1"/>
        <v/>
      </c>
      <c r="P454" s="1287"/>
      <c r="Q454" s="1290" t="str">
        <f ca="1"/>
        <v/>
      </c>
    </row>
    <row r="455" spans="1:17" ht="27.75" hidden="1" customHeight="1" x14ac:dyDescent="0.45">
      <c r="A455" s="1289">
        <v>11</v>
      </c>
      <c r="B455" s="1285">
        <v>12</v>
      </c>
      <c r="C455" s="1285">
        <v>1</v>
      </c>
      <c r="D455" s="1297">
        <v>34.000000000000028</v>
      </c>
      <c r="E455" s="1299" t="str">
        <f ca="1"/>
        <v/>
      </c>
      <c r="F455" s="1286" t="str">
        <f ca="1"/>
        <v/>
      </c>
      <c r="G455" s="1286" t="str">
        <f ca="1"/>
        <v/>
      </c>
      <c r="H455" s="1301" t="str">
        <f ca="1"/>
        <v/>
      </c>
      <c r="I455" s="1303" t="str">
        <f ca="1"/>
        <v/>
      </c>
      <c r="J455" s="1287" t="str">
        <f ca="1"/>
        <v/>
      </c>
      <c r="K455" s="1288" t="str">
        <f ca="1"/>
        <v xml:space="preserve">Description:
Details:
Aim:
</v>
      </c>
      <c r="L455" s="1287" t="str">
        <f ca="1"/>
        <v/>
      </c>
      <c r="M455" s="1287" t="str">
        <f ca="1"/>
        <v/>
      </c>
      <c r="N455" s="1287"/>
      <c r="O455" s="1323" t="str">
        <f ca="1"/>
        <v/>
      </c>
      <c r="P455" s="1287"/>
      <c r="Q455" s="1290" t="str">
        <f ca="1"/>
        <v/>
      </c>
    </row>
    <row r="456" spans="1:17" ht="27.75" hidden="1" customHeight="1" x14ac:dyDescent="0.45">
      <c r="A456" s="1289">
        <v>11</v>
      </c>
      <c r="B456" s="1285">
        <v>12</v>
      </c>
      <c r="C456" s="1285">
        <v>2.0000000000000284</v>
      </c>
      <c r="D456" s="1297">
        <v>35.000000000000028</v>
      </c>
      <c r="E456" s="1299" t="str">
        <f ca="1"/>
        <v/>
      </c>
      <c r="F456" s="1286" t="str">
        <f ca="1"/>
        <v/>
      </c>
      <c r="G456" s="1286" t="str">
        <f ca="1"/>
        <v/>
      </c>
      <c r="H456" s="1301" t="str">
        <f ca="1"/>
        <v/>
      </c>
      <c r="I456" s="1303" t="str">
        <f ca="1"/>
        <v/>
      </c>
      <c r="J456" s="1287" t="str">
        <f ca="1"/>
        <v/>
      </c>
      <c r="K456" s="1288" t="str">
        <f ca="1"/>
        <v xml:space="preserve">Description:
Details:
Aim:
</v>
      </c>
      <c r="L456" s="1287" t="str">
        <f ca="1"/>
        <v/>
      </c>
      <c r="M456" s="1287" t="str">
        <f ca="1"/>
        <v/>
      </c>
      <c r="N456" s="1287"/>
      <c r="O456" s="1323" t="str">
        <f ca="1"/>
        <v/>
      </c>
      <c r="P456" s="1287"/>
      <c r="Q456" s="1290" t="str">
        <f ca="1"/>
        <v/>
      </c>
    </row>
    <row r="457" spans="1:17" ht="27.75" hidden="1" customHeight="1" x14ac:dyDescent="0.45">
      <c r="A457" s="1289">
        <v>11</v>
      </c>
      <c r="B457" s="1285">
        <v>12</v>
      </c>
      <c r="C457" s="1285">
        <v>2.9999999999999716</v>
      </c>
      <c r="D457" s="1297">
        <v>36.000000000000028</v>
      </c>
      <c r="E457" s="1299" t="str">
        <f ca="1"/>
        <v/>
      </c>
      <c r="F457" s="1286" t="str">
        <f ca="1"/>
        <v/>
      </c>
      <c r="G457" s="1286" t="str">
        <f ca="1"/>
        <v/>
      </c>
      <c r="H457" s="1301" t="str">
        <f ca="1"/>
        <v/>
      </c>
      <c r="I457" s="1303" t="str">
        <f ca="1"/>
        <v/>
      </c>
      <c r="J457" s="1287" t="str">
        <f ca="1"/>
        <v/>
      </c>
      <c r="K457" s="1288" t="str">
        <f ca="1"/>
        <v xml:space="preserve">Description:
Details:
Aim:
</v>
      </c>
      <c r="L457" s="1287" t="str">
        <f ca="1"/>
        <v/>
      </c>
      <c r="M457" s="1287" t="str">
        <f ca="1"/>
        <v/>
      </c>
      <c r="N457" s="1287"/>
      <c r="O457" s="1323" t="str">
        <f ca="1"/>
        <v/>
      </c>
      <c r="P457" s="1287"/>
      <c r="Q457" s="1290" t="str">
        <f ca="1"/>
        <v/>
      </c>
    </row>
    <row r="458" spans="1:17" ht="27.75" hidden="1" customHeight="1" x14ac:dyDescent="0.45">
      <c r="A458" s="1289">
        <v>11</v>
      </c>
      <c r="B458" s="1285">
        <v>13</v>
      </c>
      <c r="C458" s="1285">
        <v>1</v>
      </c>
      <c r="D458" s="1297">
        <v>37.000000000000021</v>
      </c>
      <c r="E458" s="1299" t="str">
        <f ca="1"/>
        <v xml:space="preserve">Fundamentally a steady, but you can be less strict at controlling your intensity as long as your average intensity is close to it's target by the end of the session </v>
      </c>
      <c r="F458" s="1286" t="str">
        <f ca="1"/>
        <v>Sport: Hilly Trail Run
WU/WD: No 
Effort Total: 145 minutes
HR Target: 148 BPM
HR Range: 129 - 169 BPM 
Flat Road Equivalent Pace: 4:14 min/km</v>
      </c>
      <c r="G458" s="1286" t="str">
        <f ca="1"/>
        <v xml:space="preserve">Improve aerobic fitness and energy utilisation. </v>
      </c>
      <c r="H458" s="1301" t="str">
        <f ca="1"/>
        <v/>
      </c>
      <c r="I458" s="1303" t="str">
        <f ca="1"/>
        <v>Long hilly trail run: 145 minutes</v>
      </c>
      <c r="J458" s="1287" t="str">
        <f ca="1"/>
        <v>Trail Running</v>
      </c>
      <c r="K458" s="1288" t="str">
        <f ca="1"/>
        <v xml:space="preserve">Description:
Fundamentally a steady, but you can be less strict at controlling your intensity as long as your average intensity is close to it's target by the end of the session 
Details:
Sport: Hilly Trail Run
WU/WD: No 
Effort Total: 145 minutes
HR Target: 148 BPM
HR Range: 129 - 169 BPM 
Flat Road Equivalent Pace: 4:14 min/km
Aim:
Improve aerobic fitness and energy utilisation. </v>
      </c>
      <c r="L458" s="1287">
        <f ca="1"/>
        <v>4</v>
      </c>
      <c r="M458" s="1287">
        <f ca="1"/>
        <v>2.4166666666666665</v>
      </c>
      <c r="N458" s="1287"/>
      <c r="O458" s="1323" t="str">
        <f ca="1"/>
        <v>2018-12-16 06:00</v>
      </c>
      <c r="P458" s="1287"/>
      <c r="Q458" s="1290" t="str">
        <f ca="1"/>
        <v>Hilly Trail Run</v>
      </c>
    </row>
    <row r="459" spans="1:17" ht="27.75" hidden="1" customHeight="1" x14ac:dyDescent="0.45">
      <c r="A459" s="1289">
        <v>11</v>
      </c>
      <c r="B459" s="1285">
        <v>13</v>
      </c>
      <c r="C459" s="1285">
        <v>2.0000000000000284</v>
      </c>
      <c r="D459" s="1297">
        <v>38.000000000000014</v>
      </c>
      <c r="E459" s="1299" t="str">
        <f ca="1"/>
        <v/>
      </c>
      <c r="F459" s="1286" t="str">
        <f ca="1"/>
        <v/>
      </c>
      <c r="G459" s="1286" t="str">
        <f ca="1"/>
        <v/>
      </c>
      <c r="H459" s="1301" t="str">
        <f ca="1"/>
        <v/>
      </c>
      <c r="I459" s="1303" t="str">
        <f ca="1"/>
        <v/>
      </c>
      <c r="J459" s="1287" t="str">
        <f ca="1"/>
        <v/>
      </c>
      <c r="K459" s="1288" t="str">
        <f ca="1"/>
        <v xml:space="preserve">Description:
Details:
Aim:
</v>
      </c>
      <c r="L459" s="1287" t="str">
        <f ca="1"/>
        <v/>
      </c>
      <c r="M459" s="1287" t="str">
        <f ca="1"/>
        <v/>
      </c>
      <c r="N459" s="1287"/>
      <c r="O459" s="1323" t="str">
        <f ca="1"/>
        <v/>
      </c>
      <c r="P459" s="1287"/>
      <c r="Q459" s="1290" t="str">
        <f ca="1"/>
        <v/>
      </c>
    </row>
    <row r="460" spans="1:17" ht="27.75" hidden="1" customHeight="1" x14ac:dyDescent="0.45">
      <c r="A460" s="1289">
        <v>11</v>
      </c>
      <c r="B460" s="1285">
        <v>13</v>
      </c>
      <c r="C460" s="1285">
        <v>2.9999999999999716</v>
      </c>
      <c r="D460" s="1297">
        <v>39.000000000000014</v>
      </c>
      <c r="E460" s="1299" t="str">
        <f ca="1"/>
        <v/>
      </c>
      <c r="F460" s="1286" t="str">
        <f ca="1"/>
        <v/>
      </c>
      <c r="G460" s="1286" t="str">
        <f ca="1"/>
        <v/>
      </c>
      <c r="H460" s="1301" t="str">
        <f ca="1"/>
        <v/>
      </c>
      <c r="I460" s="1303" t="str">
        <f ca="1"/>
        <v/>
      </c>
      <c r="J460" s="1287" t="str">
        <f ca="1"/>
        <v/>
      </c>
      <c r="K460" s="1288" t="str">
        <f ca="1"/>
        <v xml:space="preserve">Description:
Details:
Aim:
</v>
      </c>
      <c r="L460" s="1287" t="str">
        <f ca="1"/>
        <v/>
      </c>
      <c r="M460" s="1287" t="str">
        <f ca="1"/>
        <v/>
      </c>
      <c r="N460" s="1287"/>
      <c r="O460" s="1323" t="str">
        <f ca="1"/>
        <v/>
      </c>
      <c r="P460" s="1287"/>
      <c r="Q460" s="1290" t="str">
        <f ca="1"/>
        <v/>
      </c>
    </row>
    <row r="461" spans="1:17" ht="27.75" hidden="1" customHeight="1" x14ac:dyDescent="0.45">
      <c r="A461" s="1289">
        <v>11</v>
      </c>
      <c r="B461" s="1285">
        <v>14</v>
      </c>
      <c r="C461" s="1285">
        <v>1</v>
      </c>
      <c r="D461" s="1297">
        <v>40.000000000000014</v>
      </c>
      <c r="E461" s="1299" t="str">
        <f ca="1"/>
        <v/>
      </c>
      <c r="F461" s="1286" t="str">
        <f ca="1"/>
        <v/>
      </c>
      <c r="G461" s="1286" t="str">
        <f ca="1"/>
        <v/>
      </c>
      <c r="H461" s="1301" t="str">
        <f ca="1"/>
        <v/>
      </c>
      <c r="I461" s="1303" t="str">
        <f ca="1"/>
        <v/>
      </c>
      <c r="J461" s="1287" t="str">
        <f ca="1"/>
        <v/>
      </c>
      <c r="K461" s="1288" t="str">
        <f ca="1"/>
        <v xml:space="preserve">Description:
Details:
Aim:
</v>
      </c>
      <c r="L461" s="1287" t="str">
        <f ca="1"/>
        <v/>
      </c>
      <c r="M461" s="1287" t="str">
        <f ca="1"/>
        <v/>
      </c>
      <c r="N461" s="1287"/>
      <c r="O461" s="1323" t="str">
        <f ca="1"/>
        <v/>
      </c>
      <c r="P461" s="1287"/>
      <c r="Q461" s="1290" t="str">
        <f ca="1"/>
        <v/>
      </c>
    </row>
    <row r="462" spans="1:17" ht="27.75" hidden="1" customHeight="1" x14ac:dyDescent="0.45">
      <c r="A462" s="1289">
        <v>11</v>
      </c>
      <c r="B462" s="1285">
        <v>14</v>
      </c>
      <c r="C462" s="1285">
        <v>2.0000000000000284</v>
      </c>
      <c r="D462" s="1297">
        <v>41.000000000000007</v>
      </c>
      <c r="E462" s="1299" t="str">
        <f ca="1"/>
        <v/>
      </c>
      <c r="F462" s="1286" t="str">
        <f ca="1"/>
        <v/>
      </c>
      <c r="G462" s="1286" t="str">
        <f ca="1"/>
        <v/>
      </c>
      <c r="H462" s="1301" t="str">
        <f ca="1"/>
        <v/>
      </c>
      <c r="I462" s="1303" t="str">
        <f ca="1"/>
        <v/>
      </c>
      <c r="J462" s="1287" t="str">
        <f ca="1"/>
        <v/>
      </c>
      <c r="K462" s="1288" t="str">
        <f ca="1"/>
        <v xml:space="preserve">Description:
Details:
Aim:
</v>
      </c>
      <c r="L462" s="1287" t="str">
        <f ca="1"/>
        <v/>
      </c>
      <c r="M462" s="1287" t="str">
        <f ca="1"/>
        <v/>
      </c>
      <c r="N462" s="1287"/>
      <c r="O462" s="1323" t="str">
        <f ca="1"/>
        <v/>
      </c>
      <c r="P462" s="1287"/>
      <c r="Q462" s="1290" t="str">
        <f ca="1"/>
        <v/>
      </c>
    </row>
    <row r="463" spans="1:17" ht="27.75" hidden="1" customHeight="1" x14ac:dyDescent="0.45">
      <c r="A463" s="1289">
        <v>11</v>
      </c>
      <c r="B463" s="1285">
        <v>14</v>
      </c>
      <c r="C463" s="1285">
        <v>2.9999999999999716</v>
      </c>
      <c r="D463" s="1297">
        <v>42</v>
      </c>
      <c r="E463" s="1299" t="str">
        <f ca="1"/>
        <v/>
      </c>
      <c r="F463" s="1286" t="str">
        <f ca="1"/>
        <v/>
      </c>
      <c r="G463" s="1286" t="str">
        <f ca="1"/>
        <v/>
      </c>
      <c r="H463" s="1301" t="str">
        <f ca="1"/>
        <v/>
      </c>
      <c r="I463" s="1303" t="str">
        <f ca="1"/>
        <v/>
      </c>
      <c r="J463" s="1287" t="str">
        <f ca="1"/>
        <v/>
      </c>
      <c r="K463" s="1288" t="str">
        <f ca="1"/>
        <v xml:space="preserve">Description:
Details:
Aim:
</v>
      </c>
      <c r="L463" s="1287" t="str">
        <f ca="1"/>
        <v/>
      </c>
      <c r="M463" s="1287" t="str">
        <f ca="1"/>
        <v/>
      </c>
      <c r="N463" s="1287"/>
      <c r="O463" s="1323" t="str">
        <f ca="1"/>
        <v/>
      </c>
      <c r="P463" s="1287"/>
      <c r="Q463" s="1290" t="str">
        <f ca="1"/>
        <v/>
      </c>
    </row>
    <row r="464" spans="1:17" ht="27.75" hidden="1" customHeight="1" x14ac:dyDescent="0.45">
      <c r="A464" s="1289">
        <v>12</v>
      </c>
      <c r="B464" s="1285">
        <v>1</v>
      </c>
      <c r="C464" s="1285">
        <v>1</v>
      </c>
      <c r="D464" s="1297">
        <v>1</v>
      </c>
      <c r="E464" s="1299" t="str">
        <f ca="1"/>
        <v>Stay at a comfortable and controlled intensity where you should be able to have a conversation without large pauses. Keep an even intensity and accept that your pace may change as the terrain changes.</v>
      </c>
      <c r="F464" s="1286" t="str">
        <f ca="1"/>
        <v>Sport: Ride
WU/WD: No 
Effort Total: 40 minutes
HR Target: 138 BPM
HR Range: 129 - 148 BPM 
Flat Road Equivalent Pace: 4:39 min/km</v>
      </c>
      <c r="G464" s="1286" t="str">
        <f ca="1"/>
        <v xml:space="preserve">Improve aerobic fitness while minimising the chance of injury. </v>
      </c>
      <c r="H464" s="1301" t="str">
        <f ca="1"/>
        <v/>
      </c>
      <c r="I464" s="1303" t="str">
        <f ca="1"/>
        <v>Easy ride: 40 minutes</v>
      </c>
      <c r="J464" s="1287" t="str">
        <f ca="1"/>
        <v>Cycling</v>
      </c>
      <c r="K46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64" s="1287">
        <f ca="1"/>
        <v>110</v>
      </c>
      <c r="M464" s="1287">
        <f ca="1"/>
        <v>0.66666666666666663</v>
      </c>
      <c r="N464" s="1287"/>
      <c r="O464" s="1323" t="str">
        <f ca="1"/>
        <v>2018-12-17 06:00</v>
      </c>
      <c r="P464" s="1287"/>
      <c r="Q464" s="1290" t="str">
        <f ca="1"/>
        <v>Ride</v>
      </c>
    </row>
    <row r="465" spans="1:17" ht="27.75" hidden="1" customHeight="1" x14ac:dyDescent="0.45">
      <c r="A465" s="1289">
        <v>12</v>
      </c>
      <c r="B465" s="1285">
        <v>1</v>
      </c>
      <c r="C465" s="1285">
        <v>2.0000000000000284</v>
      </c>
      <c r="D465" s="1297">
        <v>1.9999999999999964</v>
      </c>
      <c r="E465" s="1299" t="str">
        <f ca="1"/>
        <v/>
      </c>
      <c r="F465" s="1286" t="str">
        <f ca="1"/>
        <v/>
      </c>
      <c r="G465" s="1286" t="str">
        <f ca="1"/>
        <v/>
      </c>
      <c r="H465" s="1301" t="str">
        <f ca="1"/>
        <v/>
      </c>
      <c r="I465" s="1303" t="str">
        <f ca="1"/>
        <v/>
      </c>
      <c r="J465" s="1287" t="str">
        <f ca="1"/>
        <v/>
      </c>
      <c r="K465" s="1288" t="str">
        <f ca="1"/>
        <v xml:space="preserve">Description:
Details:
Aim:
</v>
      </c>
      <c r="L465" s="1287" t="str">
        <f ca="1"/>
        <v/>
      </c>
      <c r="M465" s="1287" t="str">
        <f ca="1"/>
        <v/>
      </c>
      <c r="N465" s="1287"/>
      <c r="O465" s="1323" t="str">
        <f ca="1"/>
        <v/>
      </c>
      <c r="P465" s="1287"/>
      <c r="Q465" s="1290" t="str">
        <f ca="1"/>
        <v/>
      </c>
    </row>
    <row r="466" spans="1:17" ht="27.75" hidden="1" customHeight="1" x14ac:dyDescent="0.45">
      <c r="A466" s="1289">
        <v>12</v>
      </c>
      <c r="B466" s="1285">
        <v>1</v>
      </c>
      <c r="C466" s="1285">
        <v>2.9999999999999716</v>
      </c>
      <c r="D466" s="1297">
        <v>2.9999999999999929</v>
      </c>
      <c r="E466" s="1299" t="str">
        <f ca="1"/>
        <v/>
      </c>
      <c r="F466" s="1286" t="str">
        <f ca="1"/>
        <v/>
      </c>
      <c r="G466" s="1286" t="str">
        <f ca="1"/>
        <v/>
      </c>
      <c r="H466" s="1301" t="str">
        <f ca="1"/>
        <v/>
      </c>
      <c r="I466" s="1303" t="str">
        <f ca="1"/>
        <v/>
      </c>
      <c r="J466" s="1287" t="str">
        <f ca="1"/>
        <v/>
      </c>
      <c r="K466" s="1288" t="str">
        <f ca="1"/>
        <v xml:space="preserve">Description:
Details:
Aim:
</v>
      </c>
      <c r="L466" s="1287" t="str">
        <f ca="1"/>
        <v/>
      </c>
      <c r="M466" s="1287" t="str">
        <f ca="1"/>
        <v/>
      </c>
      <c r="N466" s="1287"/>
      <c r="O466" s="1323" t="str">
        <f ca="1"/>
        <v/>
      </c>
      <c r="P466" s="1287"/>
      <c r="Q466" s="1290" t="str">
        <f ca="1"/>
        <v/>
      </c>
    </row>
    <row r="467" spans="1:17" ht="27.75" hidden="1" customHeight="1" x14ac:dyDescent="0.45">
      <c r="A467" s="1289">
        <v>12</v>
      </c>
      <c r="B467" s="1285">
        <v>1</v>
      </c>
      <c r="C467" s="1285">
        <v>1</v>
      </c>
      <c r="D467" s="1297">
        <v>3.9999999999999893</v>
      </c>
      <c r="E467" s="1299" t="str">
        <f ca="1"/>
        <v>Stay at a comfortable and controlled intensity where you should be able to have a conversation without large pauses. Keep an even intensity and accept that your pace may change as the terrain changes.</v>
      </c>
      <c r="F467" s="1286" t="str">
        <f ca="1"/>
        <v>Sport: Ride
WU/WD: No 
Effort Total: 30 minutes
HR Target: 138 BPM
HR Range: 129 - 148 BPM 
Flat Road Equivalent Pace: 4:39 min/km</v>
      </c>
      <c r="G467" s="1286" t="str">
        <f ca="1"/>
        <v xml:space="preserve">Improve aerobic fitness while minimising the chance of injury. </v>
      </c>
      <c r="H467" s="1301" t="str">
        <f ca="1"/>
        <v/>
      </c>
      <c r="I467" s="1303" t="str">
        <f ca="1"/>
        <v>Strength and conditioning</v>
      </c>
      <c r="J467" s="1287" t="str">
        <f ca="1"/>
        <v>Cycling</v>
      </c>
      <c r="K467"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467" s="1287">
        <f ca="1"/>
        <v>110</v>
      </c>
      <c r="M467" s="1287">
        <f ca="1"/>
        <v>0.5</v>
      </c>
      <c r="N467" s="1287"/>
      <c r="O467" s="1323" t="str">
        <f ca="1"/>
        <v>2018-12-17 06:00</v>
      </c>
      <c r="P467" s="1287"/>
      <c r="Q467" s="1290" t="str">
        <f ca="1"/>
        <v>Ride</v>
      </c>
    </row>
    <row r="468" spans="1:17" ht="27.75" hidden="1" customHeight="1" x14ac:dyDescent="0.45">
      <c r="A468" s="1289">
        <v>12</v>
      </c>
      <c r="B468" s="1285">
        <v>2</v>
      </c>
      <c r="C468" s="1285">
        <v>2.0000000000000284</v>
      </c>
      <c r="D468" s="1297">
        <v>4.9999999999999858</v>
      </c>
      <c r="E468" s="1299" t="str">
        <f ca="1"/>
        <v>Use a hands, rollers, or balls on all major muscle groups with extra time on more sensitive or problematic areas or as guided by a coach or physio. Finish with 20 minutes of lower-limb stretching.</v>
      </c>
      <c r="F468" s="1286" t="str">
        <f ca="1"/>
        <v>Sport: Indoor
WU/WD: No 
Effort Total: 30 minutes
HR Target: N/A BPM
HR Range: N/A BPM 
Flat Road Equivalent Pace:  min/km</v>
      </c>
      <c r="G468" s="1286" t="str">
        <f ca="1"/>
        <v xml:space="preserve">Release tension that develops in soft tissue from training and non-training stresses. </v>
      </c>
      <c r="H468" s="1301" t="str">
        <f ca="1"/>
        <v/>
      </c>
      <c r="I468" s="1303" t="str">
        <f ca="1"/>
        <v>Maintenance</v>
      </c>
      <c r="J468" s="1287" t="str">
        <f ca="1"/>
        <v>Strength</v>
      </c>
      <c r="K468"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68" s="1287">
        <f ca="1"/>
        <v>76</v>
      </c>
      <c r="M468" s="1287">
        <f ca="1"/>
        <v>0.5</v>
      </c>
      <c r="N468" s="1287"/>
      <c r="O468" s="1323" t="str">
        <f ca="1"/>
        <v>2018-12-17 20:00</v>
      </c>
      <c r="P468" s="1287"/>
      <c r="Q468" s="1290" t="str">
        <f ca="1"/>
        <v>Indoor</v>
      </c>
    </row>
    <row r="469" spans="1:17" ht="27.75" hidden="1" customHeight="1" x14ac:dyDescent="0.45">
      <c r="A469" s="1289">
        <v>12</v>
      </c>
      <c r="B469" s="1285">
        <v>2</v>
      </c>
      <c r="C469" s="1285">
        <v>2.9999999999999716</v>
      </c>
      <c r="D469" s="1297">
        <v>5.9999999999999822</v>
      </c>
      <c r="E469" s="1299" t="str">
        <f ca="1"/>
        <v/>
      </c>
      <c r="F469" s="1286" t="str">
        <f ca="1"/>
        <v/>
      </c>
      <c r="G469" s="1286" t="str">
        <f ca="1"/>
        <v/>
      </c>
      <c r="H469" s="1301" t="str">
        <f ca="1"/>
        <v/>
      </c>
      <c r="I469" s="1303" t="str">
        <f ca="1"/>
        <v/>
      </c>
      <c r="J469" s="1287" t="str">
        <f ca="1"/>
        <v/>
      </c>
      <c r="K469" s="1288" t="str">
        <f ca="1"/>
        <v xml:space="preserve">Description:
Details:
Aim:
</v>
      </c>
      <c r="L469" s="1287" t="str">
        <f ca="1"/>
        <v/>
      </c>
      <c r="M469" s="1287" t="str">
        <f ca="1"/>
        <v/>
      </c>
      <c r="N469" s="1287"/>
      <c r="O469" s="1323" t="str">
        <f ca="1"/>
        <v/>
      </c>
      <c r="P469" s="1287"/>
      <c r="Q469" s="1290" t="str">
        <f ca="1"/>
        <v/>
      </c>
    </row>
    <row r="470" spans="1:17" ht="27.75" hidden="1" customHeight="1" x14ac:dyDescent="0.45">
      <c r="A470" s="1289">
        <v>12</v>
      </c>
      <c r="B470" s="1285">
        <v>2</v>
      </c>
      <c r="C470" s="1285">
        <v>1</v>
      </c>
      <c r="D470" s="1297">
        <v>6.9999999999999787</v>
      </c>
      <c r="E470" s="1299" t="str">
        <f ca="1"/>
        <v>Perform a variety of specialised exercises to engage specific muscles. These sessions must be learned with a coach first but are relatively easy to continue with on your own. Demonstrate control and focus on posture and muscle activation.</v>
      </c>
      <c r="F470" s="1286" t="str">
        <f ca="1"/>
        <v>Sport: Indoor
WU/WD: No 
Effort Total: 40 minutes
HR Target: N/A BPM
HR Range: N/A BPM 
Flat Road Equivalent Pace:  min/km</v>
      </c>
      <c r="G470" s="1286" t="str">
        <f ca="1"/>
        <v xml:space="preserve">Increase strength of specific muscle groups, running economy and injury resistance. </v>
      </c>
      <c r="H470" s="1301" t="str">
        <f ca="1"/>
        <v/>
      </c>
      <c r="I470" s="1303" t="str">
        <f ca="1"/>
        <v>Easy ride: 40 minutes</v>
      </c>
      <c r="J470" s="1287" t="str">
        <f ca="1"/>
        <v>Strength</v>
      </c>
      <c r="K470"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40 minutes
HR Target: N/A BPM
HR Range: N/A BPM 
Flat Road Equivalent Pace:  min/km
Aim:
Increase strength of specific muscle groups, running economy and injury resistance. </v>
      </c>
      <c r="L470" s="1287">
        <f ca="1"/>
        <v>76</v>
      </c>
      <c r="M470" s="1287">
        <f ca="1"/>
        <v>0.66666666666666663</v>
      </c>
      <c r="N470" s="1287"/>
      <c r="O470" s="1323" t="str">
        <f ca="1"/>
        <v>2018-12-17 18:00</v>
      </c>
      <c r="P470" s="1287"/>
      <c r="Q470" s="1290" t="str">
        <f ca="1"/>
        <v>Indoor</v>
      </c>
    </row>
    <row r="471" spans="1:17" ht="27.75" hidden="1" customHeight="1" x14ac:dyDescent="0.45">
      <c r="A471" s="1289">
        <v>12</v>
      </c>
      <c r="B471" s="1285">
        <v>3</v>
      </c>
      <c r="C471" s="1285">
        <v>2.0000000000000284</v>
      </c>
      <c r="D471" s="1297">
        <v>7.9999999999999751</v>
      </c>
      <c r="E471" s="1299" t="str">
        <f ca="1"/>
        <v/>
      </c>
      <c r="F471" s="1286" t="str">
        <f ca="1"/>
        <v/>
      </c>
      <c r="G471" s="1286" t="str">
        <f ca="1"/>
        <v/>
      </c>
      <c r="H471" s="1301" t="str">
        <f ca="1"/>
        <v/>
      </c>
      <c r="I471" s="1303" t="str">
        <f ca="1"/>
        <v/>
      </c>
      <c r="J471" s="1287" t="str">
        <f ca="1"/>
        <v/>
      </c>
      <c r="K471" s="1288" t="str">
        <f ca="1"/>
        <v xml:space="preserve">Description:
Details:
Aim:
</v>
      </c>
      <c r="L471" s="1287" t="str">
        <f ca="1"/>
        <v/>
      </c>
      <c r="M471" s="1287" t="str">
        <f ca="1"/>
        <v/>
      </c>
      <c r="N471" s="1287"/>
      <c r="O471" s="1323" t="str">
        <f ca="1"/>
        <v/>
      </c>
      <c r="P471" s="1287"/>
      <c r="Q471" s="1290" t="str">
        <f ca="1"/>
        <v/>
      </c>
    </row>
    <row r="472" spans="1:17" ht="27.75" hidden="1" customHeight="1" x14ac:dyDescent="0.45">
      <c r="A472" s="1289">
        <v>12</v>
      </c>
      <c r="B472" s="1285">
        <v>3</v>
      </c>
      <c r="C472" s="1285">
        <v>2.9999999999999716</v>
      </c>
      <c r="D472" s="1297">
        <v>8.9999999999999716</v>
      </c>
      <c r="E472" s="1299" t="str">
        <f ca="1"/>
        <v/>
      </c>
      <c r="F472" s="1286" t="str">
        <f ca="1"/>
        <v/>
      </c>
      <c r="G472" s="1286" t="str">
        <f ca="1"/>
        <v/>
      </c>
      <c r="H472" s="1301" t="str">
        <f ca="1"/>
        <v/>
      </c>
      <c r="I472" s="1303" t="str">
        <f ca="1"/>
        <v/>
      </c>
      <c r="J472" s="1287" t="str">
        <f ca="1"/>
        <v/>
      </c>
      <c r="K472" s="1288" t="str">
        <f ca="1"/>
        <v xml:space="preserve">Description:
Details:
Aim:
</v>
      </c>
      <c r="L472" s="1287" t="str">
        <f ca="1"/>
        <v/>
      </c>
      <c r="M472" s="1287" t="str">
        <f ca="1"/>
        <v/>
      </c>
      <c r="N472" s="1287"/>
      <c r="O472" s="1323" t="str">
        <f ca="1"/>
        <v/>
      </c>
      <c r="P472" s="1287"/>
      <c r="Q472" s="1290" t="str">
        <f ca="1"/>
        <v/>
      </c>
    </row>
    <row r="473" spans="1:17" ht="27.75" hidden="1" customHeight="1" x14ac:dyDescent="0.45">
      <c r="A473" s="1289">
        <v>12</v>
      </c>
      <c r="B473" s="1285">
        <v>3</v>
      </c>
      <c r="C473" s="1285">
        <v>1</v>
      </c>
      <c r="D473" s="1297">
        <v>9.999999999999968</v>
      </c>
      <c r="E473" s="1299" t="str">
        <f ca="1"/>
        <v>Stay at a comfortable and controlled intensity where you should be able to have a conversation without large pauses. Keep an even intensity and accept that your pace may change as the terrain changes.</v>
      </c>
      <c r="F473" s="1286" t="str">
        <f ca="1"/>
        <v>Sport: Ride
WU/WD: No 
Effort Total: 25 minutes
HR Target: 138 BPM
HR Range: 129 - 148 BPM 
Flat Road Equivalent Pace: 4:39 min/km</v>
      </c>
      <c r="G473" s="1286" t="str">
        <f ca="1"/>
        <v xml:space="preserve">Improve aerobic fitness while minimising the chance of injury. </v>
      </c>
      <c r="H473" s="1301" t="str">
        <f ca="1"/>
        <v/>
      </c>
      <c r="I473" s="1303" t="str">
        <f ca="1"/>
        <v>Hilly tempo hilly trail run: 25 minutes + WU/WD</v>
      </c>
      <c r="J473" s="1287" t="str">
        <f ca="1"/>
        <v>Cycling</v>
      </c>
      <c r="K473"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25 minutes
HR Target: 138 BPM
HR Range: 129 - 148 BPM 
Flat Road Equivalent Pace: 4:39 min/km
Aim:
Improve aerobic fitness while minimising the chance of injury. </v>
      </c>
      <c r="L473" s="1287">
        <f ca="1"/>
        <v>110</v>
      </c>
      <c r="M473" s="1287">
        <f ca="1"/>
        <v>0.41666666666666669</v>
      </c>
      <c r="N473" s="1287"/>
      <c r="O473" s="1323" t="str">
        <f ca="1"/>
        <v>2018-12-18 06:00</v>
      </c>
      <c r="P473" s="1287"/>
      <c r="Q473" s="1290" t="str">
        <f ca="1"/>
        <v>Ride</v>
      </c>
    </row>
    <row r="474" spans="1:17" ht="27.75" hidden="1" customHeight="1" x14ac:dyDescent="0.45">
      <c r="A474" s="1289">
        <v>12</v>
      </c>
      <c r="B474" s="1285">
        <v>4</v>
      </c>
      <c r="C474" s="1285">
        <v>2.0000000000000284</v>
      </c>
      <c r="D474" s="1297">
        <v>10.999999999999964</v>
      </c>
      <c r="E474" s="1299" t="str">
        <f ca="1"/>
        <v/>
      </c>
      <c r="F474" s="1286" t="str">
        <f ca="1"/>
        <v/>
      </c>
      <c r="G474" s="1286" t="str">
        <f ca="1"/>
        <v/>
      </c>
      <c r="H474" s="1301" t="str">
        <f ca="1"/>
        <v/>
      </c>
      <c r="I474" s="1303" t="str">
        <f ca="1"/>
        <v/>
      </c>
      <c r="J474" s="1287" t="str">
        <f ca="1"/>
        <v/>
      </c>
      <c r="K474" s="1288" t="str">
        <f ca="1"/>
        <v xml:space="preserve">Description:
Details:
Aim:
</v>
      </c>
      <c r="L474" s="1287" t="str">
        <f ca="1"/>
        <v/>
      </c>
      <c r="M474" s="1287" t="str">
        <f ca="1"/>
        <v/>
      </c>
      <c r="N474" s="1287"/>
      <c r="O474" s="1323" t="str">
        <f ca="1"/>
        <v/>
      </c>
      <c r="P474" s="1287"/>
      <c r="Q474" s="1290" t="str">
        <f ca="1"/>
        <v/>
      </c>
    </row>
    <row r="475" spans="1:17" ht="27.75" hidden="1" customHeight="1" x14ac:dyDescent="0.45">
      <c r="A475" s="1289">
        <v>12</v>
      </c>
      <c r="B475" s="1285">
        <v>4</v>
      </c>
      <c r="C475" s="1285">
        <v>2.9999999999999716</v>
      </c>
      <c r="D475" s="1297">
        <v>12.000000000000036</v>
      </c>
      <c r="E475" s="1299" t="str">
        <f ca="1"/>
        <v/>
      </c>
      <c r="F475" s="1286" t="str">
        <f ca="1"/>
        <v/>
      </c>
      <c r="G475" s="1286" t="str">
        <f ca="1"/>
        <v/>
      </c>
      <c r="H475" s="1301" t="str">
        <f ca="1"/>
        <v/>
      </c>
      <c r="I475" s="1303" t="str">
        <f ca="1"/>
        <v/>
      </c>
      <c r="J475" s="1287" t="str">
        <f ca="1"/>
        <v/>
      </c>
      <c r="K475" s="1288" t="str">
        <f ca="1"/>
        <v xml:space="preserve">Description:
Details:
Aim:
</v>
      </c>
      <c r="L475" s="1287" t="str">
        <f ca="1"/>
        <v/>
      </c>
      <c r="M475" s="1287" t="str">
        <f ca="1"/>
        <v/>
      </c>
      <c r="N475" s="1287"/>
      <c r="O475" s="1323" t="str">
        <f ca="1"/>
        <v/>
      </c>
      <c r="P475" s="1287"/>
      <c r="Q475" s="1290" t="str">
        <f ca="1"/>
        <v/>
      </c>
    </row>
    <row r="476" spans="1:17" ht="27.75" hidden="1" customHeight="1" x14ac:dyDescent="0.45">
      <c r="A476" s="1289">
        <v>12</v>
      </c>
      <c r="B476" s="1285">
        <v>5</v>
      </c>
      <c r="C476" s="1285">
        <v>1</v>
      </c>
      <c r="D476" s="1297">
        <v>13.000000000000032</v>
      </c>
      <c r="E476" s="1299" t="str">
        <f ca="1"/>
        <v/>
      </c>
      <c r="F476" s="1286" t="str">
        <f ca="1"/>
        <v/>
      </c>
      <c r="G476" s="1286" t="str">
        <f ca="1"/>
        <v/>
      </c>
      <c r="H476" s="1301" t="str">
        <f ca="1"/>
        <v/>
      </c>
      <c r="I476" s="1303" t="str">
        <f ca="1"/>
        <v/>
      </c>
      <c r="J476" s="1287" t="str">
        <f ca="1"/>
        <v/>
      </c>
      <c r="K476" s="1288" t="str">
        <f ca="1"/>
        <v xml:space="preserve">Description:
Details:
Aim:
</v>
      </c>
      <c r="L476" s="1287" t="str">
        <f ca="1"/>
        <v/>
      </c>
      <c r="M476" s="1287" t="str">
        <f ca="1"/>
        <v/>
      </c>
      <c r="N476" s="1287"/>
      <c r="O476" s="1323" t="str">
        <f ca="1"/>
        <v/>
      </c>
      <c r="P476" s="1287"/>
      <c r="Q476" s="1290" t="str">
        <f ca="1"/>
        <v/>
      </c>
    </row>
    <row r="477" spans="1:17" ht="27.75" hidden="1" customHeight="1" x14ac:dyDescent="0.45">
      <c r="A477" s="1289">
        <v>12</v>
      </c>
      <c r="B477" s="1285">
        <v>5</v>
      </c>
      <c r="C477" s="1285">
        <v>2.0000000000000284</v>
      </c>
      <c r="D477" s="1297">
        <v>14.000000000000028</v>
      </c>
      <c r="E477" s="1299" t="str">
        <f ca="1"/>
        <v/>
      </c>
      <c r="F477" s="1286" t="str">
        <f ca="1"/>
        <v/>
      </c>
      <c r="G477" s="1286" t="str">
        <f ca="1"/>
        <v/>
      </c>
      <c r="H477" s="1301" t="str">
        <f ca="1"/>
        <v/>
      </c>
      <c r="I477" s="1303" t="str">
        <f ca="1"/>
        <v/>
      </c>
      <c r="J477" s="1287" t="str">
        <f ca="1"/>
        <v/>
      </c>
      <c r="K477" s="1288" t="str">
        <f ca="1"/>
        <v xml:space="preserve">Description:
Details:
Aim:
</v>
      </c>
      <c r="L477" s="1287" t="str">
        <f ca="1"/>
        <v/>
      </c>
      <c r="M477" s="1287" t="str">
        <f ca="1"/>
        <v/>
      </c>
      <c r="N477" s="1287"/>
      <c r="O477" s="1323" t="str">
        <f ca="1"/>
        <v/>
      </c>
      <c r="P477" s="1287"/>
      <c r="Q477" s="1290" t="str">
        <f ca="1"/>
        <v/>
      </c>
    </row>
    <row r="478" spans="1:17" ht="27.75" hidden="1" customHeight="1" x14ac:dyDescent="0.45">
      <c r="A478" s="1289">
        <v>12</v>
      </c>
      <c r="B478" s="1285">
        <v>5</v>
      </c>
      <c r="C478" s="1285">
        <v>2.9999999999999716</v>
      </c>
      <c r="D478" s="1297">
        <v>15.000000000000025</v>
      </c>
      <c r="E478" s="1299" t="str">
        <f ca="1"/>
        <v/>
      </c>
      <c r="F478" s="1286" t="str">
        <f ca="1"/>
        <v/>
      </c>
      <c r="G478" s="1286" t="str">
        <f ca="1"/>
        <v/>
      </c>
      <c r="H478" s="1301" t="str">
        <f ca="1"/>
        <v/>
      </c>
      <c r="I478" s="1303" t="str">
        <f ca="1"/>
        <v/>
      </c>
      <c r="J478" s="1287" t="str">
        <f ca="1"/>
        <v/>
      </c>
      <c r="K478" s="1288" t="str">
        <f ca="1"/>
        <v xml:space="preserve">Description:
Details:
Aim:
</v>
      </c>
      <c r="L478" s="1287" t="str">
        <f ca="1"/>
        <v/>
      </c>
      <c r="M478" s="1287" t="str">
        <f ca="1"/>
        <v/>
      </c>
      <c r="N478" s="1287"/>
      <c r="O478" s="1323" t="str">
        <f ca="1"/>
        <v/>
      </c>
      <c r="P478" s="1287"/>
      <c r="Q478" s="1290" t="str">
        <f ca="1"/>
        <v/>
      </c>
    </row>
    <row r="479" spans="1:17" ht="27.75" hidden="1" customHeight="1" x14ac:dyDescent="0.45">
      <c r="A479" s="1289">
        <v>12</v>
      </c>
      <c r="B479" s="1285">
        <v>6</v>
      </c>
      <c r="C479" s="1285">
        <v>1</v>
      </c>
      <c r="D479" s="1297">
        <v>16.000000000000021</v>
      </c>
      <c r="E479" s="1299" t="str">
        <f ca="1"/>
        <v>Stay at a comfortable and controlled intensity where you should be able to have a conversation without large pauses. Keep an even intensity and accept that your pace may change as the terrain changes.</v>
      </c>
      <c r="F479" s="1286" t="str">
        <f ca="1"/>
        <v>Sport: Road Ride
WU/WD: No 
Effort Total: 30 minutes
HR Target: 138 BPM
HR Range: 129 - 148 BPM 
Flat Road Equivalent Pace: 4:39 min/km</v>
      </c>
      <c r="G479" s="1286" t="str">
        <f ca="1"/>
        <v xml:space="preserve">Improve aerobic fitness while minimising the chance of injury. </v>
      </c>
      <c r="H479" s="1301" t="str">
        <f ca="1"/>
        <v/>
      </c>
      <c r="I479" s="1303" t="str">
        <f ca="1"/>
        <v>Easy road ride: 30 minutes</v>
      </c>
      <c r="J479" s="1287" t="str">
        <f ca="1"/>
        <v>Cycling</v>
      </c>
      <c r="K479"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30 minutes
HR Target: 138 BPM
HR Range: 129 - 148 BPM 
Flat Road Equivalent Pace: 4:39 min/km
Aim:
Improve aerobic fitness while minimising the chance of injury. </v>
      </c>
      <c r="L479" s="1287">
        <f ca="1"/>
        <v>101</v>
      </c>
      <c r="M479" s="1287">
        <f ca="1"/>
        <v>0.5</v>
      </c>
      <c r="N479" s="1287"/>
      <c r="O479" s="1323" t="str">
        <f ca="1"/>
        <v>2018-12-19 18:00</v>
      </c>
      <c r="P479" s="1287"/>
      <c r="Q479" s="1290" t="str">
        <f ca="1"/>
        <v>Road Ride</v>
      </c>
    </row>
    <row r="480" spans="1:17" ht="27.75" hidden="1" customHeight="1" x14ac:dyDescent="0.45">
      <c r="A480" s="1289">
        <v>12</v>
      </c>
      <c r="B480" s="1285">
        <v>6</v>
      </c>
      <c r="C480" s="1285">
        <v>2.0000000000000284</v>
      </c>
      <c r="D480" s="1297">
        <v>17.000000000000018</v>
      </c>
      <c r="E480" s="1299" t="str">
        <f ca="1"/>
        <v/>
      </c>
      <c r="F480" s="1286" t="str">
        <f ca="1"/>
        <v/>
      </c>
      <c r="G480" s="1286" t="str">
        <f ca="1"/>
        <v/>
      </c>
      <c r="H480" s="1301" t="str">
        <f ca="1"/>
        <v/>
      </c>
      <c r="I480" s="1303" t="str">
        <f ca="1"/>
        <v/>
      </c>
      <c r="J480" s="1287" t="str">
        <f ca="1"/>
        <v/>
      </c>
      <c r="K480" s="1288" t="str">
        <f ca="1"/>
        <v xml:space="preserve">Description:
Details:
Aim:
</v>
      </c>
      <c r="L480" s="1287" t="str">
        <f ca="1"/>
        <v/>
      </c>
      <c r="M480" s="1287" t="str">
        <f ca="1"/>
        <v/>
      </c>
      <c r="N480" s="1287"/>
      <c r="O480" s="1323" t="str">
        <f ca="1"/>
        <v/>
      </c>
      <c r="P480" s="1287"/>
      <c r="Q480" s="1290" t="str">
        <f ca="1"/>
        <v/>
      </c>
    </row>
    <row r="481" spans="1:17" ht="27.75" hidden="1" customHeight="1" x14ac:dyDescent="0.45">
      <c r="A481" s="1289">
        <v>12</v>
      </c>
      <c r="B481" s="1285">
        <v>6</v>
      </c>
      <c r="C481" s="1285">
        <v>2.9999999999999716</v>
      </c>
      <c r="D481" s="1297">
        <v>18.000000000000014</v>
      </c>
      <c r="E481" s="1299" t="str">
        <f ca="1"/>
        <v/>
      </c>
      <c r="F481" s="1286" t="str">
        <f ca="1"/>
        <v/>
      </c>
      <c r="G481" s="1286" t="str">
        <f ca="1"/>
        <v/>
      </c>
      <c r="H481" s="1301" t="str">
        <f ca="1"/>
        <v/>
      </c>
      <c r="I481" s="1303" t="str">
        <f ca="1"/>
        <v/>
      </c>
      <c r="J481" s="1287" t="str">
        <f ca="1"/>
        <v/>
      </c>
      <c r="K481" s="1288" t="str">
        <f ca="1"/>
        <v xml:space="preserve">Description:
Details:
Aim:
</v>
      </c>
      <c r="L481" s="1287" t="str">
        <f ca="1"/>
        <v/>
      </c>
      <c r="M481" s="1287" t="str">
        <f ca="1"/>
        <v/>
      </c>
      <c r="N481" s="1287"/>
      <c r="O481" s="1323" t="str">
        <f ca="1"/>
        <v/>
      </c>
      <c r="P481" s="1287"/>
      <c r="Q481" s="1290" t="str">
        <f ca="1"/>
        <v/>
      </c>
    </row>
    <row r="482" spans="1:17" ht="27.75" hidden="1" customHeight="1" x14ac:dyDescent="0.45">
      <c r="A482" s="1289">
        <v>12</v>
      </c>
      <c r="B482" s="1285">
        <v>7</v>
      </c>
      <c r="C482" s="1285">
        <v>1</v>
      </c>
      <c r="D482" s="1297">
        <v>19.000000000000011</v>
      </c>
      <c r="E482" s="1299" t="str">
        <f ca="1"/>
        <v>Stay at a comfortable and controlled intensity where you should be able to have a conversation without large pauses. Keep an even intensity and accept that your pace may change as the terrain changes.</v>
      </c>
      <c r="F482" s="1286" t="str">
        <f ca="1"/>
        <v>Sport: Ride
WU/WD: No 
Effort Total: 40 minutes
HR Target: 138 BPM
HR Range: 129 - 148 BPM 
Flat Road Equivalent Pace: 4:39 min/km</v>
      </c>
      <c r="G482" s="1286" t="str">
        <f ca="1"/>
        <v xml:space="preserve">Improve aerobic fitness while minimising the chance of injury. </v>
      </c>
      <c r="H482" s="1301" t="str">
        <f ca="1"/>
        <v/>
      </c>
      <c r="I482" s="1303" t="str">
        <f ca="1"/>
        <v>Easy ride: 40 minutes</v>
      </c>
      <c r="J482" s="1287" t="str">
        <f ca="1"/>
        <v>Cycling</v>
      </c>
      <c r="K48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82" s="1287">
        <f ca="1"/>
        <v>110</v>
      </c>
      <c r="M482" s="1287">
        <f ca="1"/>
        <v>0.66666666666666663</v>
      </c>
      <c r="N482" s="1287"/>
      <c r="O482" s="1323" t="str">
        <f ca="1"/>
        <v>2018-12-20 06:00</v>
      </c>
      <c r="P482" s="1287"/>
      <c r="Q482" s="1290" t="str">
        <f ca="1"/>
        <v>Ride</v>
      </c>
    </row>
    <row r="483" spans="1:17" ht="27.75" hidden="1" customHeight="1" x14ac:dyDescent="0.45">
      <c r="A483" s="1289">
        <v>12</v>
      </c>
      <c r="B483" s="1285">
        <v>7</v>
      </c>
      <c r="C483" s="1285">
        <v>2.0000000000000284</v>
      </c>
      <c r="D483" s="1297">
        <v>20.000000000000007</v>
      </c>
      <c r="E483" s="1299" t="str">
        <f ca="1"/>
        <v/>
      </c>
      <c r="F483" s="1286" t="str">
        <f ca="1"/>
        <v/>
      </c>
      <c r="G483" s="1286" t="str">
        <f ca="1"/>
        <v/>
      </c>
      <c r="H483" s="1301" t="str">
        <f ca="1"/>
        <v/>
      </c>
      <c r="I483" s="1303" t="str">
        <f ca="1"/>
        <v/>
      </c>
      <c r="J483" s="1287" t="str">
        <f ca="1"/>
        <v/>
      </c>
      <c r="K483" s="1288" t="str">
        <f ca="1"/>
        <v xml:space="preserve">Description:
Details:
Aim:
</v>
      </c>
      <c r="L483" s="1287" t="str">
        <f ca="1"/>
        <v/>
      </c>
      <c r="M483" s="1287" t="str">
        <f ca="1"/>
        <v/>
      </c>
      <c r="N483" s="1287"/>
      <c r="O483" s="1323" t="str">
        <f ca="1"/>
        <v/>
      </c>
      <c r="P483" s="1287"/>
      <c r="Q483" s="1290" t="str">
        <f ca="1"/>
        <v/>
      </c>
    </row>
    <row r="484" spans="1:17" ht="27.75" hidden="1" customHeight="1" x14ac:dyDescent="0.45">
      <c r="A484" s="1289">
        <v>12</v>
      </c>
      <c r="B484" s="1285">
        <v>7</v>
      </c>
      <c r="C484" s="1285">
        <v>2.9999999999999716</v>
      </c>
      <c r="D484" s="1297">
        <v>21.000000000000004</v>
      </c>
      <c r="E484" s="1299" t="str">
        <f ca="1"/>
        <v/>
      </c>
      <c r="F484" s="1286" t="str">
        <f ca="1"/>
        <v/>
      </c>
      <c r="G484" s="1286" t="str">
        <f ca="1"/>
        <v/>
      </c>
      <c r="H484" s="1301" t="str">
        <f ca="1"/>
        <v/>
      </c>
      <c r="I484" s="1303" t="str">
        <f ca="1"/>
        <v/>
      </c>
      <c r="J484" s="1287" t="str">
        <f ca="1"/>
        <v/>
      </c>
      <c r="K484" s="1288" t="str">
        <f ca="1"/>
        <v xml:space="preserve">Description:
Details:
Aim:
</v>
      </c>
      <c r="L484" s="1287" t="str">
        <f ca="1"/>
        <v/>
      </c>
      <c r="M484" s="1287" t="str">
        <f ca="1"/>
        <v/>
      </c>
      <c r="N484" s="1287"/>
      <c r="O484" s="1323" t="str">
        <f ca="1"/>
        <v/>
      </c>
      <c r="P484" s="1287"/>
      <c r="Q484" s="1290" t="str">
        <f ca="1"/>
        <v/>
      </c>
    </row>
    <row r="485" spans="1:17" ht="27.75" hidden="1" customHeight="1" x14ac:dyDescent="0.45">
      <c r="A485" s="1289">
        <v>12</v>
      </c>
      <c r="B485" s="1285">
        <v>8</v>
      </c>
      <c r="C485" s="1285">
        <v>1</v>
      </c>
      <c r="D485" s="1297">
        <v>22</v>
      </c>
      <c r="E485" s="1299" t="str">
        <f ca="1"/>
        <v>Intervals are hard, but don't start so hard that you can't run the same pace for all intervals in the session. Forget about HR, and focus on feeling your intensity. Do the recoveries at an easy intensity. Warm up and warm down for 10 minutes each.</v>
      </c>
      <c r="F485" s="1286" t="str">
        <f ca="1"/>
        <v>Sport: Road Run
WU/WD: 15 minutes 
Effort Total: 9.3 minutes
HR Target: 188 BPM
HR Range: 184 - 192 BPM 
Flat Road Equivalent Pace: 3:06 min/km</v>
      </c>
      <c r="G485" s="1286" t="str">
        <f ca="1"/>
        <v xml:space="preserve">Improve VO2 max and develop metal toughness. </v>
      </c>
      <c r="H485" s="1301" t="str">
        <f ca="1"/>
        <v>Efforts of: 1km x3
And recoveries of: 2 minutes</v>
      </c>
      <c r="I485" s="1303" t="str">
        <f ca="1"/>
        <v>Intervals: II + WU/WD</v>
      </c>
      <c r="J485" s="1287" t="str">
        <f ca="1"/>
        <v>Running</v>
      </c>
      <c r="K485" s="1288" t="str">
        <f ca="1"/>
        <v xml:space="preserve">Intervals:
Efforts of: 1km x3
And recoveries of: 2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9.3 minutes
HR Target: 188 BPM
HR Range: 184 - 192 BPM 
Flat Road Equivalent Pace: 3:06 min/km
Aim:
Improve VO2 max and develop metal toughness. </v>
      </c>
      <c r="L485" s="1287">
        <f ca="1"/>
        <v>43</v>
      </c>
      <c r="M485" s="1287">
        <f ca="1"/>
        <v>0.155</v>
      </c>
      <c r="N485" s="1287"/>
      <c r="O485" s="1323" t="str">
        <f ca="1"/>
        <v>2018-12-20 18:00</v>
      </c>
      <c r="P485" s="1287"/>
      <c r="Q485" s="1290" t="str">
        <f ca="1"/>
        <v>Road Run</v>
      </c>
    </row>
    <row r="486" spans="1:17" ht="27.75" hidden="1" customHeight="1" x14ac:dyDescent="0.45">
      <c r="A486" s="1289">
        <v>12</v>
      </c>
      <c r="B486" s="1285">
        <v>8</v>
      </c>
      <c r="C486" s="1285">
        <v>2.0000000000000284</v>
      </c>
      <c r="D486" s="1297">
        <v>22.999999999999996</v>
      </c>
      <c r="E486" s="1299" t="str">
        <f ca="1"/>
        <v/>
      </c>
      <c r="F486" s="1286" t="str">
        <f ca="1"/>
        <v/>
      </c>
      <c r="G486" s="1286" t="str">
        <f ca="1"/>
        <v/>
      </c>
      <c r="H486" s="1301" t="str">
        <f ca="1"/>
        <v/>
      </c>
      <c r="I486" s="1303" t="str">
        <f ca="1"/>
        <v/>
      </c>
      <c r="J486" s="1287" t="str">
        <f ca="1"/>
        <v/>
      </c>
      <c r="K486" s="1288" t="str">
        <f ca="1"/>
        <v xml:space="preserve">Description:
Details:
Aim:
</v>
      </c>
      <c r="L486" s="1287" t="str">
        <f ca="1"/>
        <v/>
      </c>
      <c r="M486" s="1287" t="str">
        <f ca="1"/>
        <v/>
      </c>
      <c r="N486" s="1287"/>
      <c r="O486" s="1323" t="str">
        <f ca="1"/>
        <v/>
      </c>
      <c r="P486" s="1287"/>
      <c r="Q486" s="1290" t="str">
        <f ca="1"/>
        <v/>
      </c>
    </row>
    <row r="487" spans="1:17" ht="27.75" hidden="1" customHeight="1" x14ac:dyDescent="0.45">
      <c r="A487" s="1289">
        <v>12</v>
      </c>
      <c r="B487" s="1285">
        <v>8</v>
      </c>
      <c r="C487" s="1285">
        <v>2.9999999999999716</v>
      </c>
      <c r="D487" s="1297">
        <v>23.999999999999993</v>
      </c>
      <c r="E487" s="1299" t="str">
        <f ca="1"/>
        <v/>
      </c>
      <c r="F487" s="1286" t="str">
        <f ca="1"/>
        <v/>
      </c>
      <c r="G487" s="1286" t="str">
        <f ca="1"/>
        <v/>
      </c>
      <c r="H487" s="1301" t="str">
        <f ca="1"/>
        <v/>
      </c>
      <c r="I487" s="1303" t="str">
        <f ca="1"/>
        <v/>
      </c>
      <c r="J487" s="1287" t="str">
        <f ca="1"/>
        <v/>
      </c>
      <c r="K487" s="1288" t="str">
        <f ca="1"/>
        <v xml:space="preserve">Description:
Details:
Aim:
</v>
      </c>
      <c r="L487" s="1287" t="str">
        <f ca="1"/>
        <v/>
      </c>
      <c r="M487" s="1287" t="str">
        <f ca="1"/>
        <v/>
      </c>
      <c r="N487" s="1287"/>
      <c r="O487" s="1323" t="str">
        <f ca="1"/>
        <v/>
      </c>
      <c r="P487" s="1287"/>
      <c r="Q487" s="1290" t="str">
        <f ca="1"/>
        <v/>
      </c>
    </row>
    <row r="488" spans="1:17" ht="27.75" hidden="1" customHeight="1" x14ac:dyDescent="0.45">
      <c r="A488" s="1289">
        <v>12</v>
      </c>
      <c r="B488" s="1285">
        <v>9</v>
      </c>
      <c r="C488" s="1285">
        <v>1</v>
      </c>
      <c r="D488" s="1297">
        <v>24.999999999999989</v>
      </c>
      <c r="E488" s="1299" t="str">
        <f ca="1"/>
        <v>Stay at a comfortable and controlled intensity where you should be able to have a conversation without large pauses. Keep an even intensity and accept that your pace may change as the terrain changes.</v>
      </c>
      <c r="F488" s="1286" t="str">
        <f ca="1"/>
        <v>Sport: Ride
WU/WD: No 
Effort Total: 40 minutes
HR Target: 138 BPM
HR Range: 129 - 148 BPM 
Flat Road Equivalent Pace: 4:39 min/km</v>
      </c>
      <c r="G488" s="1286" t="str">
        <f ca="1"/>
        <v xml:space="preserve">Improve aerobic fitness while minimising the chance of injury. </v>
      </c>
      <c r="H488" s="1301" t="str">
        <f ca="1"/>
        <v/>
      </c>
      <c r="I488" s="1303" t="str">
        <f ca="1"/>
        <v>Easy ride: 40 minutes</v>
      </c>
      <c r="J488" s="1287" t="str">
        <f ca="1"/>
        <v>Cycling</v>
      </c>
      <c r="K48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488" s="1287">
        <f ca="1"/>
        <v>110</v>
      </c>
      <c r="M488" s="1287">
        <f ca="1"/>
        <v>0.66666666666666663</v>
      </c>
      <c r="N488" s="1287"/>
      <c r="O488" s="1323" t="str">
        <f ca="1"/>
        <v>2018-12-21 06:00</v>
      </c>
      <c r="P488" s="1287"/>
      <c r="Q488" s="1290" t="str">
        <f ca="1"/>
        <v>Ride</v>
      </c>
    </row>
    <row r="489" spans="1:17" ht="27.75" hidden="1" customHeight="1" x14ac:dyDescent="0.45">
      <c r="A489" s="1289">
        <v>12</v>
      </c>
      <c r="B489" s="1285">
        <v>9</v>
      </c>
      <c r="C489" s="1285">
        <v>2.0000000000000284</v>
      </c>
      <c r="D489" s="1297">
        <v>25.999999999999986</v>
      </c>
      <c r="E489" s="1299" t="str">
        <f ca="1"/>
        <v/>
      </c>
      <c r="F489" s="1286" t="str">
        <f ca="1"/>
        <v/>
      </c>
      <c r="G489" s="1286" t="str">
        <f ca="1"/>
        <v/>
      </c>
      <c r="H489" s="1301" t="str">
        <f ca="1"/>
        <v/>
      </c>
      <c r="I489" s="1303" t="str">
        <f ca="1"/>
        <v/>
      </c>
      <c r="J489" s="1287" t="str">
        <f ca="1"/>
        <v/>
      </c>
      <c r="K489" s="1288" t="str">
        <f ca="1"/>
        <v xml:space="preserve">Description:
Details:
Aim:
</v>
      </c>
      <c r="L489" s="1287" t="str">
        <f ca="1"/>
        <v/>
      </c>
      <c r="M489" s="1287" t="str">
        <f ca="1"/>
        <v/>
      </c>
      <c r="N489" s="1287"/>
      <c r="O489" s="1323" t="str">
        <f ca="1"/>
        <v/>
      </c>
      <c r="P489" s="1287"/>
      <c r="Q489" s="1290" t="str">
        <f ca="1"/>
        <v/>
      </c>
    </row>
    <row r="490" spans="1:17" ht="27.75" hidden="1" customHeight="1" x14ac:dyDescent="0.45">
      <c r="A490" s="1289">
        <v>12</v>
      </c>
      <c r="B490" s="1285">
        <v>9</v>
      </c>
      <c r="C490" s="1285">
        <v>2.9999999999999716</v>
      </c>
      <c r="D490" s="1297">
        <v>26.999999999999982</v>
      </c>
      <c r="E490" s="1299" t="str">
        <f ca="1"/>
        <v/>
      </c>
      <c r="F490" s="1286" t="str">
        <f ca="1"/>
        <v/>
      </c>
      <c r="G490" s="1286" t="str">
        <f ca="1"/>
        <v/>
      </c>
      <c r="H490" s="1301" t="str">
        <f ca="1"/>
        <v/>
      </c>
      <c r="I490" s="1303" t="str">
        <f ca="1"/>
        <v/>
      </c>
      <c r="J490" s="1287" t="str">
        <f ca="1"/>
        <v/>
      </c>
      <c r="K490" s="1288" t="str">
        <f ca="1"/>
        <v xml:space="preserve">Description:
Details:
Aim:
</v>
      </c>
      <c r="L490" s="1287" t="str">
        <f ca="1"/>
        <v/>
      </c>
      <c r="M490" s="1287" t="str">
        <f ca="1"/>
        <v/>
      </c>
      <c r="N490" s="1287"/>
      <c r="O490" s="1323" t="str">
        <f ca="1"/>
        <v/>
      </c>
      <c r="P490" s="1287"/>
      <c r="Q490" s="1290" t="str">
        <f ca="1"/>
        <v/>
      </c>
    </row>
    <row r="491" spans="1:17" ht="27.75" hidden="1" customHeight="1" x14ac:dyDescent="0.45">
      <c r="A491" s="1289">
        <v>12</v>
      </c>
      <c r="B491" s="1285">
        <v>9</v>
      </c>
      <c r="C491" s="1285">
        <v>1</v>
      </c>
      <c r="D491" s="1297">
        <v>27.999999999999979</v>
      </c>
      <c r="E491" s="1299" t="str">
        <f ca="1"/>
        <v>Stay at a comfortable and controlled intensity where you should be able to have a conversation without large pauses. Keep an even intensity and accept that your pace may change as the terrain changes.</v>
      </c>
      <c r="F491" s="1286" t="str">
        <f ca="1"/>
        <v>Sport: Ride
WU/WD: No 
Effort Total: 30 minutes
HR Target: 138 BPM
HR Range: 129 - 148 BPM 
Flat Road Equivalent Pace: 4:39 min/km</v>
      </c>
      <c r="G491" s="1286" t="str">
        <f ca="1"/>
        <v xml:space="preserve">Improve aerobic fitness while minimising the chance of injury. </v>
      </c>
      <c r="H491" s="1301" t="str">
        <f ca="1"/>
        <v/>
      </c>
      <c r="I491" s="1303" t="str">
        <f ca="1"/>
        <v>Strength and conditioning</v>
      </c>
      <c r="J491" s="1287" t="str">
        <f ca="1"/>
        <v>Cycling</v>
      </c>
      <c r="K491"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491" s="1287">
        <f ca="1"/>
        <v>110</v>
      </c>
      <c r="M491" s="1287">
        <f ca="1"/>
        <v>0.5</v>
      </c>
      <c r="N491" s="1287"/>
      <c r="O491" s="1323" t="str">
        <f ca="1"/>
        <v>2018-12-21 06:00</v>
      </c>
      <c r="P491" s="1287"/>
      <c r="Q491" s="1290" t="str">
        <f ca="1"/>
        <v>Ride</v>
      </c>
    </row>
    <row r="492" spans="1:17" ht="27.75" hidden="1" customHeight="1" x14ac:dyDescent="0.45">
      <c r="A492" s="1289">
        <v>12</v>
      </c>
      <c r="B492" s="1285">
        <v>10</v>
      </c>
      <c r="C492" s="1285">
        <v>2.0000000000000284</v>
      </c>
      <c r="D492" s="1297">
        <v>28.999999999999975</v>
      </c>
      <c r="E492" s="1299" t="str">
        <f ca="1"/>
        <v>Use a hands, rollers, or balls on all major muscle groups with extra time on more sensitive or problematic areas or as guided by a coach or physio. Finish with 20 minutes of lower-limb stretching.</v>
      </c>
      <c r="F492" s="1286" t="str">
        <f ca="1"/>
        <v>Sport: Indoor
WU/WD: No 
Effort Total: 30 minutes
HR Target: N/A BPM
HR Range: N/A BPM 
Flat Road Equivalent Pace:  min/km</v>
      </c>
      <c r="G492" s="1286" t="str">
        <f ca="1"/>
        <v xml:space="preserve">Release tension that develops in soft tissue from training and non-training stresses. </v>
      </c>
      <c r="H492" s="1301" t="str">
        <f ca="1"/>
        <v/>
      </c>
      <c r="I492" s="1303" t="str">
        <f ca="1"/>
        <v>Maintenance</v>
      </c>
      <c r="J492" s="1287" t="str">
        <f ca="1"/>
        <v>Strength</v>
      </c>
      <c r="K492"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492" s="1287">
        <f ca="1"/>
        <v>76</v>
      </c>
      <c r="M492" s="1287">
        <f ca="1"/>
        <v>0.5</v>
      </c>
      <c r="N492" s="1287"/>
      <c r="O492" s="1323" t="str">
        <f ca="1"/>
        <v>2018-12-21 20:00</v>
      </c>
      <c r="P492" s="1287"/>
      <c r="Q492" s="1290" t="str">
        <f ca="1"/>
        <v>Indoor</v>
      </c>
    </row>
    <row r="493" spans="1:17" ht="27.75" hidden="1" customHeight="1" x14ac:dyDescent="0.45">
      <c r="A493" s="1289">
        <v>12</v>
      </c>
      <c r="B493" s="1285">
        <v>10</v>
      </c>
      <c r="C493" s="1285">
        <v>2.9999999999999716</v>
      </c>
      <c r="D493" s="1297">
        <v>29.999999999999972</v>
      </c>
      <c r="E493" s="1299" t="str">
        <f ca="1"/>
        <v/>
      </c>
      <c r="F493" s="1286" t="str">
        <f ca="1"/>
        <v/>
      </c>
      <c r="G493" s="1286" t="str">
        <f ca="1"/>
        <v/>
      </c>
      <c r="H493" s="1301" t="str">
        <f ca="1"/>
        <v/>
      </c>
      <c r="I493" s="1303" t="str">
        <f ca="1"/>
        <v/>
      </c>
      <c r="J493" s="1287" t="str">
        <f ca="1"/>
        <v/>
      </c>
      <c r="K493" s="1288" t="str">
        <f ca="1"/>
        <v xml:space="preserve">Description:
Details:
Aim:
</v>
      </c>
      <c r="L493" s="1287" t="str">
        <f ca="1"/>
        <v/>
      </c>
      <c r="M493" s="1287" t="str">
        <f ca="1"/>
        <v/>
      </c>
      <c r="N493" s="1287"/>
      <c r="O493" s="1323" t="str">
        <f ca="1"/>
        <v/>
      </c>
      <c r="P493" s="1287"/>
      <c r="Q493" s="1290" t="str">
        <f ca="1"/>
        <v/>
      </c>
    </row>
    <row r="494" spans="1:17" ht="27.75" hidden="1" customHeight="1" x14ac:dyDescent="0.45">
      <c r="A494" s="1289">
        <v>12</v>
      </c>
      <c r="B494" s="1285">
        <v>10</v>
      </c>
      <c r="C494" s="1285">
        <v>1</v>
      </c>
      <c r="D494" s="1297">
        <v>30.999999999999968</v>
      </c>
      <c r="E494" s="1299" t="str">
        <f ca="1"/>
        <v>Perform a variety of specialised exercises to engage specific muscles. These sessions must be learned with a coach first but are relatively easy to continue with on your own. Demonstrate control and focus on posture and muscle activation.</v>
      </c>
      <c r="F494" s="1286" t="str">
        <f ca="1"/>
        <v>Sport: Indoor
WU/WD: No 
Effort Total: 70 minutes
HR Target: N/A BPM
HR Range: N/A BPM 
Flat Road Equivalent Pace:  min/km</v>
      </c>
      <c r="G494" s="1286" t="str">
        <f ca="1"/>
        <v xml:space="preserve">Increase strength of specific muscle groups, running economy and injury resistance. </v>
      </c>
      <c r="H494" s="1301" t="str">
        <f ca="1"/>
        <v/>
      </c>
      <c r="I494" s="1303" t="str">
        <f ca="1"/>
        <v>Steady hilly trail run: 70 minutes</v>
      </c>
      <c r="J494" s="1287" t="str">
        <f ca="1"/>
        <v>Strength</v>
      </c>
      <c r="K494"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70 minutes
HR Target: N/A BPM
HR Range: N/A BPM 
Flat Road Equivalent Pace:  min/km
Aim:
Increase strength of specific muscle groups, running economy and injury resistance. </v>
      </c>
      <c r="L494" s="1287">
        <f ca="1"/>
        <v>76</v>
      </c>
      <c r="M494" s="1287">
        <f ca="1"/>
        <v>1.1666666666666667</v>
      </c>
      <c r="N494" s="1287"/>
      <c r="O494" s="1323" t="str">
        <f ca="1"/>
        <v>2018-12-21 18:00</v>
      </c>
      <c r="P494" s="1287"/>
      <c r="Q494" s="1290" t="str">
        <f ca="1"/>
        <v>Indoor</v>
      </c>
    </row>
    <row r="495" spans="1:17" ht="27.75" hidden="1" customHeight="1" x14ac:dyDescent="0.45">
      <c r="A495" s="1289">
        <v>12</v>
      </c>
      <c r="B495" s="1285">
        <v>11</v>
      </c>
      <c r="C495" s="1285">
        <v>2.0000000000000284</v>
      </c>
      <c r="D495" s="1297">
        <v>31.999999999999964</v>
      </c>
      <c r="E495" s="1299" t="str">
        <f ca="1"/>
        <v/>
      </c>
      <c r="F495" s="1286" t="str">
        <f ca="1"/>
        <v/>
      </c>
      <c r="G495" s="1286" t="str">
        <f ca="1"/>
        <v/>
      </c>
      <c r="H495" s="1301" t="str">
        <f ca="1"/>
        <v/>
      </c>
      <c r="I495" s="1303" t="str">
        <f ca="1"/>
        <v/>
      </c>
      <c r="J495" s="1287" t="str">
        <f ca="1"/>
        <v/>
      </c>
      <c r="K495" s="1288" t="str">
        <f ca="1"/>
        <v xml:space="preserve">Description:
Details:
Aim:
</v>
      </c>
      <c r="L495" s="1287" t="str">
        <f ca="1"/>
        <v/>
      </c>
      <c r="M495" s="1287" t="str">
        <f ca="1"/>
        <v/>
      </c>
      <c r="N495" s="1287"/>
      <c r="O495" s="1323" t="str">
        <f ca="1"/>
        <v/>
      </c>
      <c r="P495" s="1287"/>
      <c r="Q495" s="1290" t="str">
        <f ca="1"/>
        <v/>
      </c>
    </row>
    <row r="496" spans="1:17" ht="27.75" hidden="1" customHeight="1" x14ac:dyDescent="0.45">
      <c r="A496" s="1289">
        <v>12</v>
      </c>
      <c r="B496" s="1285">
        <v>11</v>
      </c>
      <c r="C496" s="1285">
        <v>2.9999999999999716</v>
      </c>
      <c r="D496" s="1297">
        <v>33.000000000000036</v>
      </c>
      <c r="E496" s="1299" t="str">
        <f ca="1"/>
        <v/>
      </c>
      <c r="F496" s="1286" t="str">
        <f ca="1"/>
        <v/>
      </c>
      <c r="G496" s="1286" t="str">
        <f ca="1"/>
        <v/>
      </c>
      <c r="H496" s="1301" t="str">
        <f ca="1"/>
        <v/>
      </c>
      <c r="I496" s="1303" t="str">
        <f ca="1"/>
        <v/>
      </c>
      <c r="J496" s="1287" t="str">
        <f ca="1"/>
        <v/>
      </c>
      <c r="K496" s="1288" t="str">
        <f ca="1"/>
        <v xml:space="preserve">Description:
Details:
Aim:
</v>
      </c>
      <c r="L496" s="1287" t="str">
        <f ca="1"/>
        <v/>
      </c>
      <c r="M496" s="1287" t="str">
        <f ca="1"/>
        <v/>
      </c>
      <c r="N496" s="1287"/>
      <c r="O496" s="1323" t="str">
        <f ca="1"/>
        <v/>
      </c>
      <c r="P496" s="1287"/>
      <c r="Q496" s="1290" t="str">
        <f ca="1"/>
        <v/>
      </c>
    </row>
    <row r="497" spans="1:17" ht="27.75" hidden="1" customHeight="1" x14ac:dyDescent="0.45">
      <c r="A497" s="1289">
        <v>12</v>
      </c>
      <c r="B497" s="1285">
        <v>12</v>
      </c>
      <c r="C497" s="1285">
        <v>1</v>
      </c>
      <c r="D497" s="1297">
        <v>34.000000000000028</v>
      </c>
      <c r="E497" s="1299" t="str">
        <f ca="1"/>
        <v>Stay at a comfortable and controlled intensity where you should be able to have a conversation without large pauses. Keep an even intensity and accept that your pace may change as the terrain changes.</v>
      </c>
      <c r="F497" s="1286" t="str">
        <f ca="1"/>
        <v>Sport: Road Ride
WU/WD: No 
Effort Total: 30 minutes
HR Target: 138 BPM
HR Range: 129 - 148 BPM 
Flat Road Equivalent Pace: 4:39 min/km</v>
      </c>
      <c r="G497" s="1286" t="str">
        <f ca="1"/>
        <v xml:space="preserve">Improve aerobic fitness while minimising the chance of injury. </v>
      </c>
      <c r="H497" s="1301" t="str">
        <f ca="1"/>
        <v/>
      </c>
      <c r="I497" s="1303" t="str">
        <f ca="1"/>
        <v>Easy road ride: 30 minutes</v>
      </c>
      <c r="J497" s="1287" t="str">
        <f ca="1"/>
        <v>Cycling</v>
      </c>
      <c r="K497"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30 minutes
HR Target: 138 BPM
HR Range: 129 - 148 BPM 
Flat Road Equivalent Pace: 4:39 min/km
Aim:
Improve aerobic fitness while minimising the chance of injury. </v>
      </c>
      <c r="L497" s="1287">
        <f ca="1"/>
        <v>101</v>
      </c>
      <c r="M497" s="1287">
        <f ca="1"/>
        <v>0.5</v>
      </c>
      <c r="N497" s="1287"/>
      <c r="O497" s="1323" t="str">
        <f ca="1"/>
        <v>2018-12-22 18:00</v>
      </c>
      <c r="P497" s="1287"/>
      <c r="Q497" s="1290" t="str">
        <f ca="1"/>
        <v>Road Ride</v>
      </c>
    </row>
    <row r="498" spans="1:17" ht="27.75" hidden="1" customHeight="1" x14ac:dyDescent="0.45">
      <c r="A498" s="1289">
        <v>12</v>
      </c>
      <c r="B498" s="1285">
        <v>12</v>
      </c>
      <c r="C498" s="1285">
        <v>2.0000000000000284</v>
      </c>
      <c r="D498" s="1297">
        <v>35.000000000000028</v>
      </c>
      <c r="E498" s="1299" t="str">
        <f ca="1"/>
        <v/>
      </c>
      <c r="F498" s="1286" t="str">
        <f ca="1"/>
        <v/>
      </c>
      <c r="G498" s="1286" t="str">
        <f ca="1"/>
        <v/>
      </c>
      <c r="H498" s="1301" t="str">
        <f ca="1"/>
        <v/>
      </c>
      <c r="I498" s="1303" t="str">
        <f ca="1"/>
        <v/>
      </c>
      <c r="J498" s="1287" t="str">
        <f ca="1"/>
        <v/>
      </c>
      <c r="K498" s="1288" t="str">
        <f ca="1"/>
        <v xml:space="preserve">Description:
Details:
Aim:
</v>
      </c>
      <c r="L498" s="1287" t="str">
        <f ca="1"/>
        <v/>
      </c>
      <c r="M498" s="1287" t="str">
        <f ca="1"/>
        <v/>
      </c>
      <c r="N498" s="1287"/>
      <c r="O498" s="1323" t="str">
        <f ca="1"/>
        <v/>
      </c>
      <c r="P498" s="1287"/>
      <c r="Q498" s="1290" t="str">
        <f ca="1"/>
        <v/>
      </c>
    </row>
    <row r="499" spans="1:17" ht="27.75" hidden="1" customHeight="1" x14ac:dyDescent="0.45">
      <c r="A499" s="1289">
        <v>12</v>
      </c>
      <c r="B499" s="1285">
        <v>12</v>
      </c>
      <c r="C499" s="1285">
        <v>2.9999999999999716</v>
      </c>
      <c r="D499" s="1297">
        <v>36.000000000000028</v>
      </c>
      <c r="E499" s="1299" t="str">
        <f ca="1"/>
        <v/>
      </c>
      <c r="F499" s="1286" t="str">
        <f ca="1"/>
        <v/>
      </c>
      <c r="G499" s="1286" t="str">
        <f ca="1"/>
        <v/>
      </c>
      <c r="H499" s="1301" t="str">
        <f ca="1"/>
        <v/>
      </c>
      <c r="I499" s="1303" t="str">
        <f ca="1"/>
        <v/>
      </c>
      <c r="J499" s="1287" t="str">
        <f ca="1"/>
        <v/>
      </c>
      <c r="K499" s="1288" t="str">
        <f ca="1"/>
        <v xml:space="preserve">Description:
Details:
Aim:
</v>
      </c>
      <c r="L499" s="1287" t="str">
        <f ca="1"/>
        <v/>
      </c>
      <c r="M499" s="1287" t="str">
        <f ca="1"/>
        <v/>
      </c>
      <c r="N499" s="1287"/>
      <c r="O499" s="1323" t="str">
        <f ca="1"/>
        <v/>
      </c>
      <c r="P499" s="1287"/>
      <c r="Q499" s="1290" t="str">
        <f ca="1"/>
        <v/>
      </c>
    </row>
    <row r="500" spans="1:17" ht="27.75" hidden="1" customHeight="1" x14ac:dyDescent="0.45">
      <c r="A500" s="1289">
        <v>12</v>
      </c>
      <c r="B500" s="1285">
        <v>13</v>
      </c>
      <c r="C500" s="1285">
        <v>1</v>
      </c>
      <c r="D500" s="1297">
        <v>37.000000000000021</v>
      </c>
      <c r="E500" s="1299" t="str">
        <f ca="1"/>
        <v xml:space="preserve">Fundamentally a steady, but you can be less strict at controlling your intensity as long as your average intensity is close to it's target by the end of the session </v>
      </c>
      <c r="F500" s="1286" t="str">
        <f ca="1"/>
        <v>Sport: Hilly Trail Run
WU/WD: No 
Effort Total: 115 minutes
HR Target: 148 BPM
HR Range: 129 - 169 BPM 
Flat Road Equivalent Pace: 4:14 min/km</v>
      </c>
      <c r="G500" s="1286" t="str">
        <f ca="1"/>
        <v xml:space="preserve">Improve aerobic fitness and energy utilisation. </v>
      </c>
      <c r="H500" s="1301" t="str">
        <f ca="1"/>
        <v/>
      </c>
      <c r="I500" s="1303" t="str">
        <f ca="1"/>
        <v>Long hilly trail run: 115 minutes</v>
      </c>
      <c r="J500" s="1287" t="str">
        <f ca="1"/>
        <v>Trail Running</v>
      </c>
      <c r="K500" s="1288" t="str">
        <f ca="1"/>
        <v xml:space="preserve">Description:
Fundamentally a steady, but you can be less strict at controlling your intensity as long as your average intensity is close to it's target by the end of the session 
Details:
Sport: Hilly Trail Run
WU/WD: No 
Effort Total: 115 minutes
HR Target: 148 BPM
HR Range: 129 - 169 BPM 
Flat Road Equivalent Pace: 4:14 min/km
Aim:
Improve aerobic fitness and energy utilisation. </v>
      </c>
      <c r="L500" s="1287">
        <f ca="1"/>
        <v>4</v>
      </c>
      <c r="M500" s="1287">
        <f ca="1"/>
        <v>1.9166666666666667</v>
      </c>
      <c r="N500" s="1287"/>
      <c r="O500" s="1323" t="str">
        <f ca="1"/>
        <v>2018-12-23 06:00</v>
      </c>
      <c r="P500" s="1287"/>
      <c r="Q500" s="1290" t="str">
        <f ca="1"/>
        <v>Hilly Trail Run</v>
      </c>
    </row>
    <row r="501" spans="1:17" ht="27.75" hidden="1" customHeight="1" x14ac:dyDescent="0.45">
      <c r="A501" s="1289">
        <v>12</v>
      </c>
      <c r="B501" s="1285">
        <v>13</v>
      </c>
      <c r="C501" s="1285">
        <v>2.0000000000000284</v>
      </c>
      <c r="D501" s="1297">
        <v>38.000000000000014</v>
      </c>
      <c r="E501" s="1299" t="str">
        <f ca="1"/>
        <v/>
      </c>
      <c r="F501" s="1286" t="str">
        <f ca="1"/>
        <v/>
      </c>
      <c r="G501" s="1286" t="str">
        <f ca="1"/>
        <v/>
      </c>
      <c r="H501" s="1301" t="str">
        <f ca="1"/>
        <v/>
      </c>
      <c r="I501" s="1303" t="str">
        <f ca="1"/>
        <v/>
      </c>
      <c r="J501" s="1287" t="str">
        <f ca="1"/>
        <v/>
      </c>
      <c r="K501" s="1288" t="str">
        <f ca="1"/>
        <v xml:space="preserve">Description:
Details:
Aim:
</v>
      </c>
      <c r="L501" s="1287" t="str">
        <f ca="1"/>
        <v/>
      </c>
      <c r="M501" s="1287" t="str">
        <f ca="1"/>
        <v/>
      </c>
      <c r="N501" s="1287"/>
      <c r="O501" s="1323" t="str">
        <f ca="1"/>
        <v/>
      </c>
      <c r="P501" s="1287"/>
      <c r="Q501" s="1290" t="str">
        <f ca="1"/>
        <v/>
      </c>
    </row>
    <row r="502" spans="1:17" ht="27.75" hidden="1" customHeight="1" x14ac:dyDescent="0.45">
      <c r="A502" s="1289">
        <v>12</v>
      </c>
      <c r="B502" s="1285">
        <v>13</v>
      </c>
      <c r="C502" s="1285">
        <v>2.9999999999999716</v>
      </c>
      <c r="D502" s="1297">
        <v>39.000000000000014</v>
      </c>
      <c r="E502" s="1299" t="str">
        <f ca="1"/>
        <v/>
      </c>
      <c r="F502" s="1286" t="str">
        <f ca="1"/>
        <v/>
      </c>
      <c r="G502" s="1286" t="str">
        <f ca="1"/>
        <v/>
      </c>
      <c r="H502" s="1301" t="str">
        <f ca="1"/>
        <v/>
      </c>
      <c r="I502" s="1303" t="str">
        <f ca="1"/>
        <v/>
      </c>
      <c r="J502" s="1287" t="str">
        <f ca="1"/>
        <v/>
      </c>
      <c r="K502" s="1288" t="str">
        <f ca="1"/>
        <v xml:space="preserve">Description:
Details:
Aim:
</v>
      </c>
      <c r="L502" s="1287" t="str">
        <f ca="1"/>
        <v/>
      </c>
      <c r="M502" s="1287" t="str">
        <f ca="1"/>
        <v/>
      </c>
      <c r="N502" s="1287"/>
      <c r="O502" s="1323" t="str">
        <f ca="1"/>
        <v/>
      </c>
      <c r="P502" s="1287"/>
      <c r="Q502" s="1290" t="str">
        <f ca="1"/>
        <v/>
      </c>
    </row>
    <row r="503" spans="1:17" ht="27.75" hidden="1" customHeight="1" x14ac:dyDescent="0.45">
      <c r="A503" s="1289">
        <v>12</v>
      </c>
      <c r="B503" s="1285">
        <v>14</v>
      </c>
      <c r="C503" s="1285">
        <v>1</v>
      </c>
      <c r="D503" s="1297">
        <v>40.000000000000014</v>
      </c>
      <c r="E503" s="1299" t="str">
        <f ca="1"/>
        <v/>
      </c>
      <c r="F503" s="1286" t="str">
        <f ca="1"/>
        <v/>
      </c>
      <c r="G503" s="1286" t="str">
        <f ca="1"/>
        <v/>
      </c>
      <c r="H503" s="1301" t="str">
        <f ca="1"/>
        <v/>
      </c>
      <c r="I503" s="1303" t="str">
        <f ca="1"/>
        <v/>
      </c>
      <c r="J503" s="1287" t="str">
        <f ca="1"/>
        <v/>
      </c>
      <c r="K503" s="1288" t="str">
        <f ca="1"/>
        <v xml:space="preserve">Description:
Details:
Aim:
</v>
      </c>
      <c r="L503" s="1287" t="str">
        <f ca="1"/>
        <v/>
      </c>
      <c r="M503" s="1287" t="str">
        <f ca="1"/>
        <v/>
      </c>
      <c r="N503" s="1287"/>
      <c r="O503" s="1323" t="str">
        <f ca="1"/>
        <v/>
      </c>
      <c r="P503" s="1287"/>
      <c r="Q503" s="1290" t="str">
        <f ca="1"/>
        <v/>
      </c>
    </row>
    <row r="504" spans="1:17" ht="27.75" hidden="1" customHeight="1" x14ac:dyDescent="0.45">
      <c r="A504" s="1289">
        <v>12</v>
      </c>
      <c r="B504" s="1285">
        <v>14</v>
      </c>
      <c r="C504" s="1285">
        <v>2.0000000000000284</v>
      </c>
      <c r="D504" s="1297">
        <v>41.000000000000007</v>
      </c>
      <c r="E504" s="1299" t="str">
        <f ca="1"/>
        <v/>
      </c>
      <c r="F504" s="1286" t="str">
        <f ca="1"/>
        <v/>
      </c>
      <c r="G504" s="1286" t="str">
        <f ca="1"/>
        <v/>
      </c>
      <c r="H504" s="1301" t="str">
        <f ca="1"/>
        <v/>
      </c>
      <c r="I504" s="1303" t="str">
        <f ca="1"/>
        <v/>
      </c>
      <c r="J504" s="1287" t="str">
        <f ca="1"/>
        <v/>
      </c>
      <c r="K504" s="1288" t="str">
        <f ca="1"/>
        <v xml:space="preserve">Description:
Details:
Aim:
</v>
      </c>
      <c r="L504" s="1287" t="str">
        <f ca="1"/>
        <v/>
      </c>
      <c r="M504" s="1287" t="str">
        <f ca="1"/>
        <v/>
      </c>
      <c r="N504" s="1287"/>
      <c r="O504" s="1323" t="str">
        <f ca="1"/>
        <v/>
      </c>
      <c r="P504" s="1287"/>
      <c r="Q504" s="1290" t="str">
        <f ca="1"/>
        <v/>
      </c>
    </row>
    <row r="505" spans="1:17" ht="27.75" hidden="1" customHeight="1" x14ac:dyDescent="0.45">
      <c r="A505" s="1289">
        <v>12</v>
      </c>
      <c r="B505" s="1285">
        <v>14</v>
      </c>
      <c r="C505" s="1285">
        <v>2.9999999999999716</v>
      </c>
      <c r="D505" s="1297">
        <v>42</v>
      </c>
      <c r="E505" s="1299" t="str">
        <f ca="1"/>
        <v/>
      </c>
      <c r="F505" s="1286" t="str">
        <f ca="1"/>
        <v/>
      </c>
      <c r="G505" s="1286" t="str">
        <f ca="1"/>
        <v/>
      </c>
      <c r="H505" s="1301" t="str">
        <f ca="1"/>
        <v/>
      </c>
      <c r="I505" s="1303" t="str">
        <f ca="1"/>
        <v/>
      </c>
      <c r="J505" s="1287" t="str">
        <f ca="1"/>
        <v/>
      </c>
      <c r="K505" s="1288" t="str">
        <f ca="1"/>
        <v xml:space="preserve">Description:
Details:
Aim:
</v>
      </c>
      <c r="L505" s="1287" t="str">
        <f ca="1"/>
        <v/>
      </c>
      <c r="M505" s="1287" t="str">
        <f ca="1"/>
        <v/>
      </c>
      <c r="N505" s="1287"/>
      <c r="O505" s="1323" t="str">
        <f ca="1"/>
        <v/>
      </c>
      <c r="P505" s="1287"/>
      <c r="Q505" s="1290" t="str">
        <f ca="1"/>
        <v/>
      </c>
    </row>
    <row r="506" spans="1:17" ht="27.75" hidden="1" customHeight="1" x14ac:dyDescent="0.45">
      <c r="A506" s="1289">
        <v>13</v>
      </c>
      <c r="B506" s="1285">
        <v>1</v>
      </c>
      <c r="C506" s="1285">
        <v>1</v>
      </c>
      <c r="D506" s="1297">
        <v>1</v>
      </c>
      <c r="E506" s="1299" t="str">
        <f ca="1"/>
        <v>Stay at a comfortable and controlled intensity where you should be able to have a conversation without large pauses. Keep an even intensity and accept that your pace may change as the terrain changes.</v>
      </c>
      <c r="F506" s="1286" t="str">
        <f ca="1"/>
        <v>Sport: Ride
WU/WD: No 
Effort Total: 40 minutes
HR Target: 138 BPM
HR Range: 129 - 148 BPM 
Flat Road Equivalent Pace: 4:39 min/km</v>
      </c>
      <c r="G506" s="1286" t="str">
        <f ca="1"/>
        <v xml:space="preserve">Improve aerobic fitness while minimising the chance of injury. </v>
      </c>
      <c r="H506" s="1301" t="str">
        <f ca="1"/>
        <v/>
      </c>
      <c r="I506" s="1303" t="str">
        <f ca="1"/>
        <v>Easy ride: 40 minutes</v>
      </c>
      <c r="J506" s="1287" t="str">
        <f ca="1"/>
        <v>Cycling</v>
      </c>
      <c r="K50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06" s="1287">
        <f ca="1"/>
        <v>110</v>
      </c>
      <c r="M506" s="1287">
        <f ca="1"/>
        <v>0.66666666666666663</v>
      </c>
      <c r="N506" s="1287"/>
      <c r="O506" s="1323" t="str">
        <f ca="1"/>
        <v>2018-12-24 06:00</v>
      </c>
      <c r="P506" s="1287"/>
      <c r="Q506" s="1290" t="str">
        <f ca="1"/>
        <v>Ride</v>
      </c>
    </row>
    <row r="507" spans="1:17" ht="27.75" hidden="1" customHeight="1" x14ac:dyDescent="0.45">
      <c r="A507" s="1289">
        <v>13</v>
      </c>
      <c r="B507" s="1285">
        <v>1</v>
      </c>
      <c r="C507" s="1285">
        <v>2.0000000000000284</v>
      </c>
      <c r="D507" s="1297">
        <v>1.9999999999999964</v>
      </c>
      <c r="E507" s="1299" t="str">
        <f ca="1"/>
        <v/>
      </c>
      <c r="F507" s="1286" t="str">
        <f ca="1"/>
        <v/>
      </c>
      <c r="G507" s="1286" t="str">
        <f ca="1"/>
        <v/>
      </c>
      <c r="H507" s="1301" t="str">
        <f ca="1"/>
        <v/>
      </c>
      <c r="I507" s="1303" t="str">
        <f ca="1"/>
        <v/>
      </c>
      <c r="J507" s="1287" t="str">
        <f ca="1"/>
        <v/>
      </c>
      <c r="K507" s="1288" t="str">
        <f ca="1"/>
        <v xml:space="preserve">Description:
Details:
Aim:
</v>
      </c>
      <c r="L507" s="1287" t="str">
        <f ca="1"/>
        <v/>
      </c>
      <c r="M507" s="1287" t="str">
        <f ca="1"/>
        <v/>
      </c>
      <c r="N507" s="1287"/>
      <c r="O507" s="1323" t="str">
        <f ca="1"/>
        <v/>
      </c>
      <c r="P507" s="1287"/>
      <c r="Q507" s="1290" t="str">
        <f ca="1"/>
        <v/>
      </c>
    </row>
    <row r="508" spans="1:17" ht="27.75" hidden="1" customHeight="1" x14ac:dyDescent="0.45">
      <c r="A508" s="1289">
        <v>13</v>
      </c>
      <c r="B508" s="1285">
        <v>1</v>
      </c>
      <c r="C508" s="1285">
        <v>2.9999999999999716</v>
      </c>
      <c r="D508" s="1297">
        <v>2.9999999999999929</v>
      </c>
      <c r="E508" s="1299" t="str">
        <f ca="1"/>
        <v/>
      </c>
      <c r="F508" s="1286" t="str">
        <f ca="1"/>
        <v/>
      </c>
      <c r="G508" s="1286" t="str">
        <f ca="1"/>
        <v/>
      </c>
      <c r="H508" s="1301" t="str">
        <f ca="1"/>
        <v/>
      </c>
      <c r="I508" s="1303" t="str">
        <f ca="1"/>
        <v/>
      </c>
      <c r="J508" s="1287" t="str">
        <f ca="1"/>
        <v/>
      </c>
      <c r="K508" s="1288" t="str">
        <f ca="1"/>
        <v xml:space="preserve">Description:
Details:
Aim:
</v>
      </c>
      <c r="L508" s="1287" t="str">
        <f ca="1"/>
        <v/>
      </c>
      <c r="M508" s="1287" t="str">
        <f ca="1"/>
        <v/>
      </c>
      <c r="N508" s="1287"/>
      <c r="O508" s="1323" t="str">
        <f ca="1"/>
        <v/>
      </c>
      <c r="P508" s="1287"/>
      <c r="Q508" s="1290" t="str">
        <f ca="1"/>
        <v/>
      </c>
    </row>
    <row r="509" spans="1:17" ht="27.75" hidden="1" customHeight="1" x14ac:dyDescent="0.45">
      <c r="A509" s="1289">
        <v>13</v>
      </c>
      <c r="B509" s="1285">
        <v>1</v>
      </c>
      <c r="C509" s="1285">
        <v>1</v>
      </c>
      <c r="D509" s="1297">
        <v>3.9999999999999893</v>
      </c>
      <c r="E509" s="1299" t="str">
        <f ca="1"/>
        <v>Stay at a comfortable and controlled intensity where you should be able to have a conversation without large pauses. Keep an even intensity and accept that your pace may change as the terrain changes.</v>
      </c>
      <c r="F509" s="1286" t="str">
        <f ca="1"/>
        <v>Sport: Ride
WU/WD: No 
Effort Total: 30 minutes
HR Target: 138 BPM
HR Range: 129 - 148 BPM 
Flat Road Equivalent Pace: 4:39 min/km</v>
      </c>
      <c r="G509" s="1286" t="str">
        <f ca="1"/>
        <v xml:space="preserve">Improve aerobic fitness while minimising the chance of injury. </v>
      </c>
      <c r="H509" s="1301" t="str">
        <f ca="1"/>
        <v/>
      </c>
      <c r="I509" s="1303" t="str">
        <f ca="1"/>
        <v>Strength and conditioning</v>
      </c>
      <c r="J509" s="1287" t="str">
        <f ca="1"/>
        <v>Cycling</v>
      </c>
      <c r="K509"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09" s="1287">
        <f ca="1"/>
        <v>110</v>
      </c>
      <c r="M509" s="1287">
        <f ca="1"/>
        <v>0.5</v>
      </c>
      <c r="N509" s="1287"/>
      <c r="O509" s="1323" t="str">
        <f ca="1"/>
        <v>2018-12-24 06:00</v>
      </c>
      <c r="P509" s="1287"/>
      <c r="Q509" s="1290" t="str">
        <f ca="1"/>
        <v>Ride</v>
      </c>
    </row>
    <row r="510" spans="1:17" ht="27.75" hidden="1" customHeight="1" x14ac:dyDescent="0.45">
      <c r="A510" s="1289">
        <v>13</v>
      </c>
      <c r="B510" s="1285">
        <v>2</v>
      </c>
      <c r="C510" s="1285">
        <v>2.0000000000000284</v>
      </c>
      <c r="D510" s="1297">
        <v>4.9999999999999858</v>
      </c>
      <c r="E510" s="1299" t="str">
        <f ca="1"/>
        <v>Use a hands, rollers, or balls on all major muscle groups with extra time on more sensitive or problematic areas or as guided by a coach or physio. Finish with 20 minutes of lower-limb stretching.</v>
      </c>
      <c r="F510" s="1286" t="str">
        <f ca="1"/>
        <v>Sport: Indoor
WU/WD: No 
Effort Total: 30 minutes
HR Target: N/A BPM
HR Range: N/A BPM 
Flat Road Equivalent Pace:  min/km</v>
      </c>
      <c r="G510" s="1286" t="str">
        <f ca="1"/>
        <v xml:space="preserve">Release tension that develops in soft tissue from training and non-training stresses. </v>
      </c>
      <c r="H510" s="1301" t="str">
        <f ca="1"/>
        <v/>
      </c>
      <c r="I510" s="1303" t="str">
        <f ca="1"/>
        <v>Maintenance</v>
      </c>
      <c r="J510" s="1287" t="str">
        <f ca="1"/>
        <v>Strength</v>
      </c>
      <c r="K51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10" s="1287">
        <f ca="1"/>
        <v>76</v>
      </c>
      <c r="M510" s="1287">
        <f ca="1"/>
        <v>0.5</v>
      </c>
      <c r="N510" s="1287"/>
      <c r="O510" s="1323" t="str">
        <f ca="1"/>
        <v>2018-12-24 20:00</v>
      </c>
      <c r="P510" s="1287"/>
      <c r="Q510" s="1290" t="str">
        <f ca="1"/>
        <v>Indoor</v>
      </c>
    </row>
    <row r="511" spans="1:17" ht="27.75" hidden="1" customHeight="1" x14ac:dyDescent="0.45">
      <c r="A511" s="1289">
        <v>13</v>
      </c>
      <c r="B511" s="1285">
        <v>2</v>
      </c>
      <c r="C511" s="1285">
        <v>2.9999999999999716</v>
      </c>
      <c r="D511" s="1297">
        <v>5.9999999999999822</v>
      </c>
      <c r="E511" s="1299" t="str">
        <f ca="1"/>
        <v/>
      </c>
      <c r="F511" s="1286" t="str">
        <f ca="1"/>
        <v/>
      </c>
      <c r="G511" s="1286" t="str">
        <f ca="1"/>
        <v/>
      </c>
      <c r="H511" s="1301" t="str">
        <f ca="1"/>
        <v/>
      </c>
      <c r="I511" s="1303" t="str">
        <f ca="1"/>
        <v/>
      </c>
      <c r="J511" s="1287" t="str">
        <f ca="1"/>
        <v/>
      </c>
      <c r="K511" s="1288" t="str">
        <f ca="1"/>
        <v xml:space="preserve">Description:
Details:
Aim:
</v>
      </c>
      <c r="L511" s="1287" t="str">
        <f ca="1"/>
        <v/>
      </c>
      <c r="M511" s="1287" t="str">
        <f ca="1"/>
        <v/>
      </c>
      <c r="N511" s="1287"/>
      <c r="O511" s="1323" t="str">
        <f ca="1"/>
        <v/>
      </c>
      <c r="P511" s="1287"/>
      <c r="Q511" s="1290" t="str">
        <f ca="1"/>
        <v/>
      </c>
    </row>
    <row r="512" spans="1:17" ht="27.75" hidden="1" customHeight="1" x14ac:dyDescent="0.45">
      <c r="A512" s="1289">
        <v>13</v>
      </c>
      <c r="B512" s="1285">
        <v>2</v>
      </c>
      <c r="C512" s="1285">
        <v>1</v>
      </c>
      <c r="D512" s="1297">
        <v>6.9999999999999787</v>
      </c>
      <c r="E512" s="1299" t="str">
        <f ca="1"/>
        <v>Perform a variety of specialised exercises to engage specific muscles. These sessions must be learned with a coach first but are relatively easy to continue with on your own. Demonstrate control and focus on posture and muscle activation.</v>
      </c>
      <c r="F512" s="1286" t="str">
        <f ca="1"/>
        <v>Sport: Indoor
WU/WD: No 
Effort Total: 40 minutes
HR Target: N/A BPM
HR Range: N/A BPM 
Flat Road Equivalent Pace:  min/km</v>
      </c>
      <c r="G512" s="1286" t="str">
        <f ca="1"/>
        <v xml:space="preserve">Increase strength of specific muscle groups, running economy and injury resistance. </v>
      </c>
      <c r="H512" s="1301" t="str">
        <f ca="1"/>
        <v/>
      </c>
      <c r="I512" s="1303" t="str">
        <f ca="1"/>
        <v>Easy ride: 40 minutes</v>
      </c>
      <c r="J512" s="1287" t="str">
        <f ca="1"/>
        <v>Strength</v>
      </c>
      <c r="K512"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40 minutes
HR Target: N/A BPM
HR Range: N/A BPM 
Flat Road Equivalent Pace:  min/km
Aim:
Increase strength of specific muscle groups, running economy and injury resistance. </v>
      </c>
      <c r="L512" s="1287">
        <f ca="1"/>
        <v>76</v>
      </c>
      <c r="M512" s="1287">
        <f ca="1"/>
        <v>0.66666666666666663</v>
      </c>
      <c r="N512" s="1287"/>
      <c r="O512" s="1323" t="str">
        <f ca="1"/>
        <v>2018-12-24 18:00</v>
      </c>
      <c r="P512" s="1287"/>
      <c r="Q512" s="1290" t="str">
        <f ca="1"/>
        <v>Indoor</v>
      </c>
    </row>
    <row r="513" spans="1:17" ht="27.75" hidden="1" customHeight="1" x14ac:dyDescent="0.45">
      <c r="A513" s="1289">
        <v>13</v>
      </c>
      <c r="B513" s="1285">
        <v>3</v>
      </c>
      <c r="C513" s="1285">
        <v>2.0000000000000284</v>
      </c>
      <c r="D513" s="1297">
        <v>7.9999999999999751</v>
      </c>
      <c r="E513" s="1299" t="str">
        <f ca="1"/>
        <v/>
      </c>
      <c r="F513" s="1286" t="str">
        <f ca="1"/>
        <v/>
      </c>
      <c r="G513" s="1286" t="str">
        <f ca="1"/>
        <v/>
      </c>
      <c r="H513" s="1301" t="str">
        <f ca="1"/>
        <v/>
      </c>
      <c r="I513" s="1303" t="str">
        <f ca="1"/>
        <v/>
      </c>
      <c r="J513" s="1287" t="str">
        <f ca="1"/>
        <v/>
      </c>
      <c r="K513" s="1288" t="str">
        <f ca="1"/>
        <v xml:space="preserve">Description:
Details:
Aim:
</v>
      </c>
      <c r="L513" s="1287" t="str">
        <f ca="1"/>
        <v/>
      </c>
      <c r="M513" s="1287" t="str">
        <f ca="1"/>
        <v/>
      </c>
      <c r="N513" s="1287"/>
      <c r="O513" s="1323" t="str">
        <f ca="1"/>
        <v/>
      </c>
      <c r="P513" s="1287"/>
      <c r="Q513" s="1290" t="str">
        <f ca="1"/>
        <v/>
      </c>
    </row>
    <row r="514" spans="1:17" ht="27.75" hidden="1" customHeight="1" x14ac:dyDescent="0.45">
      <c r="A514" s="1289">
        <v>13</v>
      </c>
      <c r="B514" s="1285">
        <v>3</v>
      </c>
      <c r="C514" s="1285">
        <v>2.9999999999999716</v>
      </c>
      <c r="D514" s="1297">
        <v>8.9999999999999716</v>
      </c>
      <c r="E514" s="1299" t="str">
        <f ca="1"/>
        <v/>
      </c>
      <c r="F514" s="1286" t="str">
        <f ca="1"/>
        <v/>
      </c>
      <c r="G514" s="1286" t="str">
        <f ca="1"/>
        <v/>
      </c>
      <c r="H514" s="1301" t="str">
        <f ca="1"/>
        <v/>
      </c>
      <c r="I514" s="1303" t="str">
        <f ca="1"/>
        <v/>
      </c>
      <c r="J514" s="1287" t="str">
        <f ca="1"/>
        <v/>
      </c>
      <c r="K514" s="1288" t="str">
        <f ca="1"/>
        <v xml:space="preserve">Description:
Details:
Aim:
</v>
      </c>
      <c r="L514" s="1287" t="str">
        <f ca="1"/>
        <v/>
      </c>
      <c r="M514" s="1287" t="str">
        <f ca="1"/>
        <v/>
      </c>
      <c r="N514" s="1287"/>
      <c r="O514" s="1323" t="str">
        <f ca="1"/>
        <v/>
      </c>
      <c r="P514" s="1287"/>
      <c r="Q514" s="1290" t="str">
        <f ca="1"/>
        <v/>
      </c>
    </row>
    <row r="515" spans="1:17" ht="27.75" hidden="1" customHeight="1" x14ac:dyDescent="0.45">
      <c r="A515" s="1289">
        <v>13</v>
      </c>
      <c r="B515" s="1285">
        <v>3</v>
      </c>
      <c r="C515" s="1285">
        <v>1</v>
      </c>
      <c r="D515" s="1297">
        <v>9.999999999999968</v>
      </c>
      <c r="E515" s="1299" t="str">
        <f ca="1"/>
        <v>Stay at a comfortable and controlled intensity where you should be able to have a conversation without large pauses. Keep an even intensity and accept that your pace may change as the terrain changes.</v>
      </c>
      <c r="F515" s="1286" t="str">
        <f ca="1"/>
        <v>Sport: Ride
WU/WD: No 
Effort Total: 25 minutes
HR Target: 138 BPM
HR Range: 129 - 148 BPM 
Flat Road Equivalent Pace: 4:39 min/km</v>
      </c>
      <c r="G515" s="1286" t="str">
        <f ca="1"/>
        <v xml:space="preserve">Improve aerobic fitness while minimising the chance of injury. </v>
      </c>
      <c r="H515" s="1301" t="str">
        <f ca="1"/>
        <v/>
      </c>
      <c r="I515" s="1303" t="str">
        <f ca="1"/>
        <v>Hilly tempo hilly trail run: 25 minutes + WU/WD</v>
      </c>
      <c r="J515" s="1287" t="str">
        <f ca="1"/>
        <v>Cycling</v>
      </c>
      <c r="K515"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25 minutes
HR Target: 138 BPM
HR Range: 129 - 148 BPM 
Flat Road Equivalent Pace: 4:39 min/km
Aim:
Improve aerobic fitness while minimising the chance of injury. </v>
      </c>
      <c r="L515" s="1287">
        <f ca="1"/>
        <v>110</v>
      </c>
      <c r="M515" s="1287">
        <f ca="1"/>
        <v>0.41666666666666669</v>
      </c>
      <c r="N515" s="1287"/>
      <c r="O515" s="1323" t="str">
        <f ca="1"/>
        <v>2018-12-25 06:00</v>
      </c>
      <c r="P515" s="1287"/>
      <c r="Q515" s="1290" t="str">
        <f ca="1"/>
        <v>Ride</v>
      </c>
    </row>
    <row r="516" spans="1:17" ht="27.75" hidden="1" customHeight="1" x14ac:dyDescent="0.45">
      <c r="A516" s="1289">
        <v>13</v>
      </c>
      <c r="B516" s="1285">
        <v>4</v>
      </c>
      <c r="C516" s="1285">
        <v>2.0000000000000284</v>
      </c>
      <c r="D516" s="1297">
        <v>10.999999999999964</v>
      </c>
      <c r="E516" s="1299" t="str">
        <f ca="1"/>
        <v/>
      </c>
      <c r="F516" s="1286" t="str">
        <f ca="1"/>
        <v/>
      </c>
      <c r="G516" s="1286" t="str">
        <f ca="1"/>
        <v/>
      </c>
      <c r="H516" s="1301" t="str">
        <f ca="1"/>
        <v/>
      </c>
      <c r="I516" s="1303" t="str">
        <f ca="1"/>
        <v/>
      </c>
      <c r="J516" s="1287" t="str">
        <f ca="1"/>
        <v/>
      </c>
      <c r="K516" s="1288" t="str">
        <f ca="1"/>
        <v xml:space="preserve">Description:
Details:
Aim:
</v>
      </c>
      <c r="L516" s="1287" t="str">
        <f ca="1"/>
        <v/>
      </c>
      <c r="M516" s="1287" t="str">
        <f ca="1"/>
        <v/>
      </c>
      <c r="N516" s="1287"/>
      <c r="O516" s="1323" t="str">
        <f ca="1"/>
        <v/>
      </c>
      <c r="P516" s="1287"/>
      <c r="Q516" s="1290" t="str">
        <f ca="1"/>
        <v/>
      </c>
    </row>
    <row r="517" spans="1:17" ht="27.75" hidden="1" customHeight="1" x14ac:dyDescent="0.45">
      <c r="A517" s="1289">
        <v>13</v>
      </c>
      <c r="B517" s="1285">
        <v>4</v>
      </c>
      <c r="C517" s="1285">
        <v>2.9999999999999716</v>
      </c>
      <c r="D517" s="1297">
        <v>12.000000000000036</v>
      </c>
      <c r="E517" s="1299" t="str">
        <f ca="1"/>
        <v/>
      </c>
      <c r="F517" s="1286" t="str">
        <f ca="1"/>
        <v/>
      </c>
      <c r="G517" s="1286" t="str">
        <f ca="1"/>
        <v/>
      </c>
      <c r="H517" s="1301" t="str">
        <f ca="1"/>
        <v/>
      </c>
      <c r="I517" s="1303" t="str">
        <f ca="1"/>
        <v/>
      </c>
      <c r="J517" s="1287" t="str">
        <f ca="1"/>
        <v/>
      </c>
      <c r="K517" s="1288" t="str">
        <f ca="1"/>
        <v xml:space="preserve">Description:
Details:
Aim:
</v>
      </c>
      <c r="L517" s="1287" t="str">
        <f ca="1"/>
        <v/>
      </c>
      <c r="M517" s="1287" t="str">
        <f ca="1"/>
        <v/>
      </c>
      <c r="N517" s="1287"/>
      <c r="O517" s="1323" t="str">
        <f ca="1"/>
        <v/>
      </c>
      <c r="P517" s="1287"/>
      <c r="Q517" s="1290" t="str">
        <f ca="1"/>
        <v/>
      </c>
    </row>
    <row r="518" spans="1:17" ht="27.75" hidden="1" customHeight="1" x14ac:dyDescent="0.45">
      <c r="A518" s="1289">
        <v>13</v>
      </c>
      <c r="B518" s="1285">
        <v>5</v>
      </c>
      <c r="C518" s="1285">
        <v>1</v>
      </c>
      <c r="D518" s="1297">
        <v>13.000000000000032</v>
      </c>
      <c r="E518" s="1299" t="str">
        <f ca="1"/>
        <v/>
      </c>
      <c r="F518" s="1286" t="str">
        <f ca="1"/>
        <v/>
      </c>
      <c r="G518" s="1286" t="str">
        <f ca="1"/>
        <v/>
      </c>
      <c r="H518" s="1301" t="str">
        <f ca="1"/>
        <v/>
      </c>
      <c r="I518" s="1303" t="str">
        <f ca="1"/>
        <v/>
      </c>
      <c r="J518" s="1287" t="str">
        <f ca="1"/>
        <v/>
      </c>
      <c r="K518" s="1288" t="str">
        <f ca="1"/>
        <v xml:space="preserve">Description:
Details:
Aim:
</v>
      </c>
      <c r="L518" s="1287" t="str">
        <f ca="1"/>
        <v/>
      </c>
      <c r="M518" s="1287" t="str">
        <f ca="1"/>
        <v/>
      </c>
      <c r="N518" s="1287"/>
      <c r="O518" s="1323" t="str">
        <f ca="1"/>
        <v/>
      </c>
      <c r="P518" s="1287"/>
      <c r="Q518" s="1290" t="str">
        <f ca="1"/>
        <v/>
      </c>
    </row>
    <row r="519" spans="1:17" ht="27.75" hidden="1" customHeight="1" x14ac:dyDescent="0.45">
      <c r="A519" s="1289">
        <v>13</v>
      </c>
      <c r="B519" s="1285">
        <v>5</v>
      </c>
      <c r="C519" s="1285">
        <v>2.0000000000000284</v>
      </c>
      <c r="D519" s="1297">
        <v>14.000000000000028</v>
      </c>
      <c r="E519" s="1299" t="str">
        <f ca="1"/>
        <v/>
      </c>
      <c r="F519" s="1286" t="str">
        <f ca="1"/>
        <v/>
      </c>
      <c r="G519" s="1286" t="str">
        <f ca="1"/>
        <v/>
      </c>
      <c r="H519" s="1301" t="str">
        <f ca="1"/>
        <v/>
      </c>
      <c r="I519" s="1303" t="str">
        <f ca="1"/>
        <v/>
      </c>
      <c r="J519" s="1287" t="str">
        <f ca="1"/>
        <v/>
      </c>
      <c r="K519" s="1288" t="str">
        <f ca="1"/>
        <v xml:space="preserve">Description:
Details:
Aim:
</v>
      </c>
      <c r="L519" s="1287" t="str">
        <f ca="1"/>
        <v/>
      </c>
      <c r="M519" s="1287" t="str">
        <f ca="1"/>
        <v/>
      </c>
      <c r="N519" s="1287"/>
      <c r="O519" s="1323" t="str">
        <f ca="1"/>
        <v/>
      </c>
      <c r="P519" s="1287"/>
      <c r="Q519" s="1290" t="str">
        <f ca="1"/>
        <v/>
      </c>
    </row>
    <row r="520" spans="1:17" ht="27.75" hidden="1" customHeight="1" x14ac:dyDescent="0.45">
      <c r="A520" s="1289">
        <v>13</v>
      </c>
      <c r="B520" s="1285">
        <v>5</v>
      </c>
      <c r="C520" s="1285">
        <v>2.9999999999999716</v>
      </c>
      <c r="D520" s="1297">
        <v>15.000000000000025</v>
      </c>
      <c r="E520" s="1299" t="str">
        <f ca="1"/>
        <v/>
      </c>
      <c r="F520" s="1286" t="str">
        <f ca="1"/>
        <v/>
      </c>
      <c r="G520" s="1286" t="str">
        <f ca="1"/>
        <v/>
      </c>
      <c r="H520" s="1301" t="str">
        <f ca="1"/>
        <v/>
      </c>
      <c r="I520" s="1303" t="str">
        <f ca="1"/>
        <v/>
      </c>
      <c r="J520" s="1287" t="str">
        <f ca="1"/>
        <v/>
      </c>
      <c r="K520" s="1288" t="str">
        <f ca="1"/>
        <v xml:space="preserve">Description:
Details:
Aim:
</v>
      </c>
      <c r="L520" s="1287" t="str">
        <f ca="1"/>
        <v/>
      </c>
      <c r="M520" s="1287" t="str">
        <f ca="1"/>
        <v/>
      </c>
      <c r="N520" s="1287"/>
      <c r="O520" s="1323" t="str">
        <f ca="1"/>
        <v/>
      </c>
      <c r="P520" s="1287"/>
      <c r="Q520" s="1290" t="str">
        <f ca="1"/>
        <v/>
      </c>
    </row>
    <row r="521" spans="1:17" ht="27.75" hidden="1" customHeight="1" x14ac:dyDescent="0.45">
      <c r="A521" s="1289">
        <v>13</v>
      </c>
      <c r="B521" s="1285">
        <v>6</v>
      </c>
      <c r="C521" s="1285">
        <v>1</v>
      </c>
      <c r="D521" s="1297">
        <v>16.000000000000021</v>
      </c>
      <c r="E521" s="1299" t="str">
        <f ca="1"/>
        <v>Stay at a comfortable and controlled intensity where you should be able to have a conversation without large pauses. Keep an even intensity and accept that your pace may change as the terrain changes.</v>
      </c>
      <c r="F521" s="1286" t="str">
        <f ca="1"/>
        <v>Sport: Road Ride
WU/WD: No 
Effort Total: 30 minutes
HR Target: 138 BPM
HR Range: 129 - 148 BPM 
Flat Road Equivalent Pace: 4:39 min/km</v>
      </c>
      <c r="G521" s="1286" t="str">
        <f ca="1"/>
        <v xml:space="preserve">Improve aerobic fitness while minimising the chance of injury. </v>
      </c>
      <c r="H521" s="1301" t="str">
        <f ca="1"/>
        <v/>
      </c>
      <c r="I521" s="1303" t="str">
        <f ca="1"/>
        <v>Easy road ride: 30 minutes</v>
      </c>
      <c r="J521" s="1287" t="str">
        <f ca="1"/>
        <v>Cycling</v>
      </c>
      <c r="K521"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30 minutes
HR Target: 138 BPM
HR Range: 129 - 148 BPM 
Flat Road Equivalent Pace: 4:39 min/km
Aim:
Improve aerobic fitness while minimising the chance of injury. </v>
      </c>
      <c r="L521" s="1287">
        <f ca="1"/>
        <v>101</v>
      </c>
      <c r="M521" s="1287">
        <f ca="1"/>
        <v>0.5</v>
      </c>
      <c r="N521" s="1287"/>
      <c r="O521" s="1323" t="str">
        <f ca="1"/>
        <v>2018-12-26 18:00</v>
      </c>
      <c r="P521" s="1287"/>
      <c r="Q521" s="1290" t="str">
        <f ca="1"/>
        <v>Road Ride</v>
      </c>
    </row>
    <row r="522" spans="1:17" ht="27.75" hidden="1" customHeight="1" x14ac:dyDescent="0.45">
      <c r="A522" s="1289">
        <v>13</v>
      </c>
      <c r="B522" s="1285">
        <v>6</v>
      </c>
      <c r="C522" s="1285">
        <v>2.0000000000000284</v>
      </c>
      <c r="D522" s="1297">
        <v>17.000000000000018</v>
      </c>
      <c r="E522" s="1299" t="str">
        <f ca="1"/>
        <v/>
      </c>
      <c r="F522" s="1286" t="str">
        <f ca="1"/>
        <v/>
      </c>
      <c r="G522" s="1286" t="str">
        <f ca="1"/>
        <v/>
      </c>
      <c r="H522" s="1301" t="str">
        <f ca="1"/>
        <v/>
      </c>
      <c r="I522" s="1303" t="str">
        <f ca="1"/>
        <v/>
      </c>
      <c r="J522" s="1287" t="str">
        <f ca="1"/>
        <v/>
      </c>
      <c r="K522" s="1288" t="str">
        <f ca="1"/>
        <v xml:space="preserve">Description:
Details:
Aim:
</v>
      </c>
      <c r="L522" s="1287" t="str">
        <f ca="1"/>
        <v/>
      </c>
      <c r="M522" s="1287" t="str">
        <f ca="1"/>
        <v/>
      </c>
      <c r="N522" s="1287"/>
      <c r="O522" s="1323" t="str">
        <f ca="1"/>
        <v/>
      </c>
      <c r="P522" s="1287"/>
      <c r="Q522" s="1290" t="str">
        <f ca="1"/>
        <v/>
      </c>
    </row>
    <row r="523" spans="1:17" ht="27.75" hidden="1" customHeight="1" x14ac:dyDescent="0.45">
      <c r="A523" s="1289">
        <v>13</v>
      </c>
      <c r="B523" s="1285">
        <v>6</v>
      </c>
      <c r="C523" s="1285">
        <v>2.9999999999999716</v>
      </c>
      <c r="D523" s="1297">
        <v>18.000000000000014</v>
      </c>
      <c r="E523" s="1299" t="str">
        <f ca="1"/>
        <v/>
      </c>
      <c r="F523" s="1286" t="str">
        <f ca="1"/>
        <v/>
      </c>
      <c r="G523" s="1286" t="str">
        <f ca="1"/>
        <v/>
      </c>
      <c r="H523" s="1301" t="str">
        <f ca="1"/>
        <v/>
      </c>
      <c r="I523" s="1303" t="str">
        <f ca="1"/>
        <v/>
      </c>
      <c r="J523" s="1287" t="str">
        <f ca="1"/>
        <v/>
      </c>
      <c r="K523" s="1288" t="str">
        <f ca="1"/>
        <v xml:space="preserve">Description:
Details:
Aim:
</v>
      </c>
      <c r="L523" s="1287" t="str">
        <f ca="1"/>
        <v/>
      </c>
      <c r="M523" s="1287" t="str">
        <f ca="1"/>
        <v/>
      </c>
      <c r="N523" s="1287"/>
      <c r="O523" s="1323" t="str">
        <f ca="1"/>
        <v/>
      </c>
      <c r="P523" s="1287"/>
      <c r="Q523" s="1290" t="str">
        <f ca="1"/>
        <v/>
      </c>
    </row>
    <row r="524" spans="1:17" ht="27.75" hidden="1" customHeight="1" x14ac:dyDescent="0.45">
      <c r="A524" s="1289">
        <v>13</v>
      </c>
      <c r="B524" s="1285">
        <v>7</v>
      </c>
      <c r="C524" s="1285">
        <v>1</v>
      </c>
      <c r="D524" s="1297">
        <v>19.000000000000011</v>
      </c>
      <c r="E524" s="1299" t="str">
        <f ca="1"/>
        <v>Stay at a comfortable and controlled intensity where you should be able to have a conversation without large pauses. Keep an even intensity and accept that your pace may change as the terrain changes.</v>
      </c>
      <c r="F524" s="1286" t="str">
        <f ca="1"/>
        <v>Sport: Ride
WU/WD: No 
Effort Total: 40 minutes
HR Target: 138 BPM
HR Range: 129 - 148 BPM 
Flat Road Equivalent Pace: 4:39 min/km</v>
      </c>
      <c r="G524" s="1286" t="str">
        <f ca="1"/>
        <v xml:space="preserve">Improve aerobic fitness while minimising the chance of injury. </v>
      </c>
      <c r="H524" s="1301" t="str">
        <f ca="1"/>
        <v/>
      </c>
      <c r="I524" s="1303" t="str">
        <f ca="1"/>
        <v>Easy ride: 40 minutes</v>
      </c>
      <c r="J524" s="1287" t="str">
        <f ca="1"/>
        <v>Cycling</v>
      </c>
      <c r="K52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24" s="1287">
        <f ca="1"/>
        <v>110</v>
      </c>
      <c r="M524" s="1287">
        <f ca="1"/>
        <v>0.66666666666666663</v>
      </c>
      <c r="N524" s="1287"/>
      <c r="O524" s="1323" t="str">
        <f ca="1"/>
        <v>2018-12-27 06:00</v>
      </c>
      <c r="P524" s="1287"/>
      <c r="Q524" s="1290" t="str">
        <f ca="1"/>
        <v>Ride</v>
      </c>
    </row>
    <row r="525" spans="1:17" ht="27.75" hidden="1" customHeight="1" x14ac:dyDescent="0.45">
      <c r="A525" s="1289">
        <v>13</v>
      </c>
      <c r="B525" s="1285">
        <v>7</v>
      </c>
      <c r="C525" s="1285">
        <v>2.0000000000000284</v>
      </c>
      <c r="D525" s="1297">
        <v>20.000000000000007</v>
      </c>
      <c r="E525" s="1299" t="str">
        <f ca="1"/>
        <v/>
      </c>
      <c r="F525" s="1286" t="str">
        <f ca="1"/>
        <v/>
      </c>
      <c r="G525" s="1286" t="str">
        <f ca="1"/>
        <v/>
      </c>
      <c r="H525" s="1301" t="str">
        <f ca="1"/>
        <v/>
      </c>
      <c r="I525" s="1303" t="str">
        <f ca="1"/>
        <v/>
      </c>
      <c r="J525" s="1287" t="str">
        <f ca="1"/>
        <v/>
      </c>
      <c r="K525" s="1288" t="str">
        <f ca="1"/>
        <v xml:space="preserve">Description:
Details:
Aim:
</v>
      </c>
      <c r="L525" s="1287" t="str">
        <f ca="1"/>
        <v/>
      </c>
      <c r="M525" s="1287" t="str">
        <f ca="1"/>
        <v/>
      </c>
      <c r="N525" s="1287"/>
      <c r="O525" s="1323" t="str">
        <f ca="1"/>
        <v/>
      </c>
      <c r="P525" s="1287"/>
      <c r="Q525" s="1290" t="str">
        <f ca="1"/>
        <v/>
      </c>
    </row>
    <row r="526" spans="1:17" ht="27.75" hidden="1" customHeight="1" x14ac:dyDescent="0.45">
      <c r="A526" s="1289">
        <v>13</v>
      </c>
      <c r="B526" s="1285">
        <v>7</v>
      </c>
      <c r="C526" s="1285">
        <v>2.9999999999999716</v>
      </c>
      <c r="D526" s="1297">
        <v>21.000000000000004</v>
      </c>
      <c r="E526" s="1299" t="str">
        <f ca="1"/>
        <v/>
      </c>
      <c r="F526" s="1286" t="str">
        <f ca="1"/>
        <v/>
      </c>
      <c r="G526" s="1286" t="str">
        <f ca="1"/>
        <v/>
      </c>
      <c r="H526" s="1301" t="str">
        <f ca="1"/>
        <v/>
      </c>
      <c r="I526" s="1303" t="str">
        <f ca="1"/>
        <v/>
      </c>
      <c r="J526" s="1287" t="str">
        <f ca="1"/>
        <v/>
      </c>
      <c r="K526" s="1288" t="str">
        <f ca="1"/>
        <v xml:space="preserve">Description:
Details:
Aim:
</v>
      </c>
      <c r="L526" s="1287" t="str">
        <f ca="1"/>
        <v/>
      </c>
      <c r="M526" s="1287" t="str">
        <f ca="1"/>
        <v/>
      </c>
      <c r="N526" s="1287"/>
      <c r="O526" s="1323" t="str">
        <f ca="1"/>
        <v/>
      </c>
      <c r="P526" s="1287"/>
      <c r="Q526" s="1290" t="str">
        <f ca="1"/>
        <v/>
      </c>
    </row>
    <row r="527" spans="1:17" ht="27.75" hidden="1" customHeight="1" x14ac:dyDescent="0.45">
      <c r="A527" s="1289">
        <v>13</v>
      </c>
      <c r="B527" s="1285">
        <v>8</v>
      </c>
      <c r="C527" s="1285">
        <v>1</v>
      </c>
      <c r="D527" s="1297">
        <v>22</v>
      </c>
      <c r="E527" s="1299" t="str">
        <f ca="1"/>
        <v>Intervals are hard, but don't start so hard that you can't run the same pace for all intervals in the session. Forget about HR, and focus on feeling your intensity. Do the recoveries at an easy intensity. Warm up and warm down for 10 minutes each.</v>
      </c>
      <c r="F527" s="1286" t="str">
        <f ca="1"/>
        <v>Sport: Road Run
WU/WD: 15 minutes 
Effort Total: 12.4 minutes
HR Target: 188 BPM
HR Range: 184 - 192 BPM 
Flat Road Equivalent Pace: 3:06 min/km</v>
      </c>
      <c r="G527" s="1286" t="str">
        <f ca="1"/>
        <v xml:space="preserve">Improve VO2 max and develop metal toughness. </v>
      </c>
      <c r="H527" s="1301" t="str">
        <f ca="1"/>
        <v>Efforts of: 1km x3
And recoveries of: 2 minutes</v>
      </c>
      <c r="I527" s="1303" t="str">
        <f ca="1"/>
        <v>Intervals: II + WU/WD</v>
      </c>
      <c r="J527" s="1287" t="str">
        <f ca="1"/>
        <v>Running</v>
      </c>
      <c r="K527" s="1288" t="str">
        <f ca="1"/>
        <v xml:space="preserve">Intervals:
Efforts of: 1km x3
And recoveries of: 2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12.4 minutes
HR Target: 188 BPM
HR Range: 184 - 192 BPM 
Flat Road Equivalent Pace: 3:06 min/km
Aim:
Improve VO2 max and develop metal toughness. </v>
      </c>
      <c r="L527" s="1287">
        <f ca="1"/>
        <v>43</v>
      </c>
      <c r="M527" s="1287">
        <f ca="1"/>
        <v>0.20666666666666667</v>
      </c>
      <c r="N527" s="1287"/>
      <c r="O527" s="1323" t="str">
        <f ca="1"/>
        <v>2018-12-27 18:00</v>
      </c>
      <c r="P527" s="1287"/>
      <c r="Q527" s="1290" t="str">
        <f ca="1"/>
        <v>Road Run</v>
      </c>
    </row>
    <row r="528" spans="1:17" ht="27.75" hidden="1" customHeight="1" x14ac:dyDescent="0.45">
      <c r="A528" s="1289">
        <v>13</v>
      </c>
      <c r="B528" s="1285">
        <v>8</v>
      </c>
      <c r="C528" s="1285">
        <v>2.0000000000000284</v>
      </c>
      <c r="D528" s="1297">
        <v>22.999999999999996</v>
      </c>
      <c r="E528" s="1299" t="str">
        <f ca="1"/>
        <v/>
      </c>
      <c r="F528" s="1286" t="str">
        <f ca="1"/>
        <v/>
      </c>
      <c r="G528" s="1286" t="str">
        <f ca="1"/>
        <v/>
      </c>
      <c r="H528" s="1301" t="str">
        <f ca="1"/>
        <v/>
      </c>
      <c r="I528" s="1303" t="str">
        <f ca="1"/>
        <v/>
      </c>
      <c r="J528" s="1287" t="str">
        <f ca="1"/>
        <v/>
      </c>
      <c r="K528" s="1288" t="str">
        <f ca="1"/>
        <v xml:space="preserve">Description:
Details:
Aim:
</v>
      </c>
      <c r="L528" s="1287" t="str">
        <f ca="1"/>
        <v/>
      </c>
      <c r="M528" s="1287" t="str">
        <f ca="1"/>
        <v/>
      </c>
      <c r="N528" s="1287"/>
      <c r="O528" s="1323" t="str">
        <f ca="1"/>
        <v/>
      </c>
      <c r="P528" s="1287"/>
      <c r="Q528" s="1290" t="str">
        <f ca="1"/>
        <v/>
      </c>
    </row>
    <row r="529" spans="1:17" ht="27.75" hidden="1" customHeight="1" x14ac:dyDescent="0.45">
      <c r="A529" s="1289">
        <v>13</v>
      </c>
      <c r="B529" s="1285">
        <v>8</v>
      </c>
      <c r="C529" s="1285">
        <v>2.9999999999999716</v>
      </c>
      <c r="D529" s="1297">
        <v>23.999999999999993</v>
      </c>
      <c r="E529" s="1299" t="str">
        <f ca="1"/>
        <v/>
      </c>
      <c r="F529" s="1286" t="str">
        <f ca="1"/>
        <v/>
      </c>
      <c r="G529" s="1286" t="str">
        <f ca="1"/>
        <v/>
      </c>
      <c r="H529" s="1301" t="str">
        <f ca="1"/>
        <v/>
      </c>
      <c r="I529" s="1303" t="str">
        <f ca="1"/>
        <v/>
      </c>
      <c r="J529" s="1287" t="str">
        <f ca="1"/>
        <v/>
      </c>
      <c r="K529" s="1288" t="str">
        <f ca="1"/>
        <v xml:space="preserve">Description:
Details:
Aim:
</v>
      </c>
      <c r="L529" s="1287" t="str">
        <f ca="1"/>
        <v/>
      </c>
      <c r="M529" s="1287" t="str">
        <f ca="1"/>
        <v/>
      </c>
      <c r="N529" s="1287"/>
      <c r="O529" s="1323" t="str">
        <f ca="1"/>
        <v/>
      </c>
      <c r="P529" s="1287"/>
      <c r="Q529" s="1290" t="str">
        <f ca="1"/>
        <v/>
      </c>
    </row>
    <row r="530" spans="1:17" ht="27.75" hidden="1" customHeight="1" x14ac:dyDescent="0.45">
      <c r="A530" s="1289">
        <v>13</v>
      </c>
      <c r="B530" s="1285">
        <v>9</v>
      </c>
      <c r="C530" s="1285">
        <v>1</v>
      </c>
      <c r="D530" s="1297">
        <v>24.999999999999989</v>
      </c>
      <c r="E530" s="1299" t="str">
        <f ca="1"/>
        <v>Stay at a comfortable and controlled intensity where you should be able to have a conversation without large pauses. Keep an even intensity and accept that your pace may change as the terrain changes.</v>
      </c>
      <c r="F530" s="1286" t="str">
        <f ca="1"/>
        <v>Sport: Ride
WU/WD: No 
Effort Total: 40 minutes
HR Target: 138 BPM
HR Range: 129 - 148 BPM 
Flat Road Equivalent Pace: 4:39 min/km</v>
      </c>
      <c r="G530" s="1286" t="str">
        <f ca="1"/>
        <v xml:space="preserve">Improve aerobic fitness while minimising the chance of injury. </v>
      </c>
      <c r="H530" s="1301" t="str">
        <f ca="1"/>
        <v/>
      </c>
      <c r="I530" s="1303" t="str">
        <f ca="1"/>
        <v>Easy ride: 40 minutes</v>
      </c>
      <c r="J530" s="1287" t="str">
        <f ca="1"/>
        <v>Cycling</v>
      </c>
      <c r="K53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30" s="1287">
        <f ca="1"/>
        <v>110</v>
      </c>
      <c r="M530" s="1287">
        <f ca="1"/>
        <v>0.66666666666666663</v>
      </c>
      <c r="N530" s="1287"/>
      <c r="O530" s="1323" t="str">
        <f ca="1"/>
        <v>2018-12-28 06:00</v>
      </c>
      <c r="P530" s="1287"/>
      <c r="Q530" s="1290" t="str">
        <f ca="1"/>
        <v>Ride</v>
      </c>
    </row>
    <row r="531" spans="1:17" ht="27.75" hidden="1" customHeight="1" x14ac:dyDescent="0.45">
      <c r="A531" s="1289">
        <v>13</v>
      </c>
      <c r="B531" s="1285">
        <v>9</v>
      </c>
      <c r="C531" s="1285">
        <v>2.0000000000000284</v>
      </c>
      <c r="D531" s="1297">
        <v>25.999999999999986</v>
      </c>
      <c r="E531" s="1299" t="str">
        <f ca="1"/>
        <v/>
      </c>
      <c r="F531" s="1286" t="str">
        <f ca="1"/>
        <v/>
      </c>
      <c r="G531" s="1286" t="str">
        <f ca="1"/>
        <v/>
      </c>
      <c r="H531" s="1301" t="str">
        <f ca="1"/>
        <v/>
      </c>
      <c r="I531" s="1303" t="str">
        <f ca="1"/>
        <v/>
      </c>
      <c r="J531" s="1287" t="str">
        <f ca="1"/>
        <v/>
      </c>
      <c r="K531" s="1288" t="str">
        <f ca="1"/>
        <v xml:space="preserve">Description:
Details:
Aim:
</v>
      </c>
      <c r="L531" s="1287" t="str">
        <f ca="1"/>
        <v/>
      </c>
      <c r="M531" s="1287" t="str">
        <f ca="1"/>
        <v/>
      </c>
      <c r="N531" s="1287"/>
      <c r="O531" s="1323" t="str">
        <f ca="1"/>
        <v/>
      </c>
      <c r="P531" s="1287"/>
      <c r="Q531" s="1290" t="str">
        <f ca="1"/>
        <v/>
      </c>
    </row>
    <row r="532" spans="1:17" ht="27.75" hidden="1" customHeight="1" x14ac:dyDescent="0.45">
      <c r="A532" s="1289">
        <v>13</v>
      </c>
      <c r="B532" s="1285">
        <v>9</v>
      </c>
      <c r="C532" s="1285">
        <v>2.9999999999999716</v>
      </c>
      <c r="D532" s="1297">
        <v>26.999999999999982</v>
      </c>
      <c r="E532" s="1299" t="str">
        <f ca="1"/>
        <v/>
      </c>
      <c r="F532" s="1286" t="str">
        <f ca="1"/>
        <v/>
      </c>
      <c r="G532" s="1286" t="str">
        <f ca="1"/>
        <v/>
      </c>
      <c r="H532" s="1301" t="str">
        <f ca="1"/>
        <v/>
      </c>
      <c r="I532" s="1303" t="str">
        <f ca="1"/>
        <v/>
      </c>
      <c r="J532" s="1287" t="str">
        <f ca="1"/>
        <v/>
      </c>
      <c r="K532" s="1288" t="str">
        <f ca="1"/>
        <v xml:space="preserve">Description:
Details:
Aim:
</v>
      </c>
      <c r="L532" s="1287" t="str">
        <f ca="1"/>
        <v/>
      </c>
      <c r="M532" s="1287" t="str">
        <f ca="1"/>
        <v/>
      </c>
      <c r="N532" s="1287"/>
      <c r="O532" s="1323" t="str">
        <f ca="1"/>
        <v/>
      </c>
      <c r="P532" s="1287"/>
      <c r="Q532" s="1290" t="str">
        <f ca="1"/>
        <v/>
      </c>
    </row>
    <row r="533" spans="1:17" ht="27.75" hidden="1" customHeight="1" x14ac:dyDescent="0.45">
      <c r="A533" s="1289">
        <v>13</v>
      </c>
      <c r="B533" s="1285">
        <v>9</v>
      </c>
      <c r="C533" s="1285">
        <v>1</v>
      </c>
      <c r="D533" s="1297">
        <v>27.999999999999979</v>
      </c>
      <c r="E533" s="1299" t="str">
        <f ca="1"/>
        <v>Stay at a comfortable and controlled intensity where you should be able to have a conversation without large pauses. Keep an even intensity and accept that your pace may change as the terrain changes.</v>
      </c>
      <c r="F533" s="1286" t="str">
        <f ca="1"/>
        <v>Sport: Ride
WU/WD: No 
Effort Total: 30 minutes
HR Target: 138 BPM
HR Range: 129 - 148 BPM 
Flat Road Equivalent Pace: 4:39 min/km</v>
      </c>
      <c r="G533" s="1286" t="str">
        <f ca="1"/>
        <v xml:space="preserve">Improve aerobic fitness while minimising the chance of injury. </v>
      </c>
      <c r="H533" s="1301" t="str">
        <f ca="1"/>
        <v/>
      </c>
      <c r="I533" s="1303" t="str">
        <f ca="1"/>
        <v>Strength and conditioning</v>
      </c>
      <c r="J533" s="1287" t="str">
        <f ca="1"/>
        <v>Cycling</v>
      </c>
      <c r="K533"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33" s="1287">
        <f ca="1"/>
        <v>110</v>
      </c>
      <c r="M533" s="1287">
        <f ca="1"/>
        <v>0.5</v>
      </c>
      <c r="N533" s="1287"/>
      <c r="O533" s="1323" t="str">
        <f ca="1"/>
        <v>2018-12-28 06:00</v>
      </c>
      <c r="P533" s="1287"/>
      <c r="Q533" s="1290" t="str">
        <f ca="1"/>
        <v>Ride</v>
      </c>
    </row>
    <row r="534" spans="1:17" ht="27.75" hidden="1" customHeight="1" x14ac:dyDescent="0.45">
      <c r="A534" s="1289">
        <v>13</v>
      </c>
      <c r="B534" s="1285">
        <v>10</v>
      </c>
      <c r="C534" s="1285">
        <v>2.0000000000000284</v>
      </c>
      <c r="D534" s="1297">
        <v>28.999999999999975</v>
      </c>
      <c r="E534" s="1299" t="str">
        <f ca="1"/>
        <v>Use a hands, rollers, or balls on all major muscle groups with extra time on more sensitive or problematic areas or as guided by a coach or physio. Finish with 20 minutes of lower-limb stretching.</v>
      </c>
      <c r="F534" s="1286" t="str">
        <f ca="1"/>
        <v>Sport: Indoor
WU/WD: No 
Effort Total: 30 minutes
HR Target: N/A BPM
HR Range: N/A BPM 
Flat Road Equivalent Pace:  min/km</v>
      </c>
      <c r="G534" s="1286" t="str">
        <f ca="1"/>
        <v xml:space="preserve">Release tension that develops in soft tissue from training and non-training stresses. </v>
      </c>
      <c r="H534" s="1301" t="str">
        <f ca="1"/>
        <v/>
      </c>
      <c r="I534" s="1303" t="str">
        <f ca="1"/>
        <v>Maintenance</v>
      </c>
      <c r="J534" s="1287" t="str">
        <f ca="1"/>
        <v>Strength</v>
      </c>
      <c r="K534"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34" s="1287">
        <f ca="1"/>
        <v>76</v>
      </c>
      <c r="M534" s="1287">
        <f ca="1"/>
        <v>0.5</v>
      </c>
      <c r="N534" s="1287"/>
      <c r="O534" s="1323" t="str">
        <f ca="1"/>
        <v>2018-12-28 20:00</v>
      </c>
      <c r="P534" s="1287"/>
      <c r="Q534" s="1290" t="str">
        <f ca="1"/>
        <v>Indoor</v>
      </c>
    </row>
    <row r="535" spans="1:17" ht="27.75" hidden="1" customHeight="1" x14ac:dyDescent="0.45">
      <c r="A535" s="1289">
        <v>13</v>
      </c>
      <c r="B535" s="1285">
        <v>10</v>
      </c>
      <c r="C535" s="1285">
        <v>2.9999999999999716</v>
      </c>
      <c r="D535" s="1297">
        <v>29.999999999999972</v>
      </c>
      <c r="E535" s="1299" t="str">
        <f ca="1"/>
        <v/>
      </c>
      <c r="F535" s="1286" t="str">
        <f ca="1"/>
        <v/>
      </c>
      <c r="G535" s="1286" t="str">
        <f ca="1"/>
        <v/>
      </c>
      <c r="H535" s="1301" t="str">
        <f ca="1"/>
        <v/>
      </c>
      <c r="I535" s="1303" t="str">
        <f ca="1"/>
        <v/>
      </c>
      <c r="J535" s="1287" t="str">
        <f ca="1"/>
        <v/>
      </c>
      <c r="K535" s="1288" t="str">
        <f ca="1"/>
        <v xml:space="preserve">Description:
Details:
Aim:
</v>
      </c>
      <c r="L535" s="1287" t="str">
        <f ca="1"/>
        <v/>
      </c>
      <c r="M535" s="1287" t="str">
        <f ca="1"/>
        <v/>
      </c>
      <c r="N535" s="1287"/>
      <c r="O535" s="1323" t="str">
        <f ca="1"/>
        <v/>
      </c>
      <c r="P535" s="1287"/>
      <c r="Q535" s="1290" t="str">
        <f ca="1"/>
        <v/>
      </c>
    </row>
    <row r="536" spans="1:17" ht="27.75" hidden="1" customHeight="1" x14ac:dyDescent="0.45">
      <c r="A536" s="1289">
        <v>13</v>
      </c>
      <c r="B536" s="1285">
        <v>10</v>
      </c>
      <c r="C536" s="1285">
        <v>1</v>
      </c>
      <c r="D536" s="1297">
        <v>30.999999999999968</v>
      </c>
      <c r="E536" s="1299" t="str">
        <f ca="1"/>
        <v>Perform a variety of specialised exercises to engage specific muscles. These sessions must be learned with a coach first but are relatively easy to continue with on your own. Demonstrate control and focus on posture and muscle activation.</v>
      </c>
      <c r="F536" s="1286" t="str">
        <f ca="1"/>
        <v>Sport: Indoor
WU/WD: No 
Effort Total: 75 minutes
HR Target: N/A BPM
HR Range: N/A BPM 
Flat Road Equivalent Pace:  min/km</v>
      </c>
      <c r="G536" s="1286" t="str">
        <f ca="1"/>
        <v xml:space="preserve">Increase strength of specific muscle groups, running economy and injury resistance. </v>
      </c>
      <c r="H536" s="1301" t="str">
        <f ca="1"/>
        <v/>
      </c>
      <c r="I536" s="1303" t="str">
        <f ca="1"/>
        <v>Steady hilly trail run: 75 minutes</v>
      </c>
      <c r="J536" s="1287" t="str">
        <f ca="1"/>
        <v>Strength</v>
      </c>
      <c r="K536"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75 minutes
HR Target: N/A BPM
HR Range: N/A BPM 
Flat Road Equivalent Pace:  min/km
Aim:
Increase strength of specific muscle groups, running economy and injury resistance. </v>
      </c>
      <c r="L536" s="1287">
        <f ca="1"/>
        <v>76</v>
      </c>
      <c r="M536" s="1287">
        <f ca="1"/>
        <v>1.25</v>
      </c>
      <c r="N536" s="1287"/>
      <c r="O536" s="1323" t="str">
        <f ca="1"/>
        <v>2018-12-28 18:00</v>
      </c>
      <c r="P536" s="1287"/>
      <c r="Q536" s="1290" t="str">
        <f ca="1"/>
        <v>Indoor</v>
      </c>
    </row>
    <row r="537" spans="1:17" ht="27.75" hidden="1" customHeight="1" x14ac:dyDescent="0.45">
      <c r="A537" s="1289">
        <v>13</v>
      </c>
      <c r="B537" s="1285">
        <v>11</v>
      </c>
      <c r="C537" s="1285">
        <v>2.0000000000000284</v>
      </c>
      <c r="D537" s="1297">
        <v>31.999999999999964</v>
      </c>
      <c r="E537" s="1299" t="str">
        <f ca="1"/>
        <v/>
      </c>
      <c r="F537" s="1286" t="str">
        <f ca="1"/>
        <v/>
      </c>
      <c r="G537" s="1286" t="str">
        <f ca="1"/>
        <v/>
      </c>
      <c r="H537" s="1301" t="str">
        <f ca="1"/>
        <v/>
      </c>
      <c r="I537" s="1303" t="str">
        <f ca="1"/>
        <v/>
      </c>
      <c r="J537" s="1287" t="str">
        <f ca="1"/>
        <v/>
      </c>
      <c r="K537" s="1288" t="str">
        <f ca="1"/>
        <v xml:space="preserve">Description:
Details:
Aim:
</v>
      </c>
      <c r="L537" s="1287" t="str">
        <f ca="1"/>
        <v/>
      </c>
      <c r="M537" s="1287" t="str">
        <f ca="1"/>
        <v/>
      </c>
      <c r="N537" s="1287"/>
      <c r="O537" s="1323" t="str">
        <f ca="1"/>
        <v/>
      </c>
      <c r="P537" s="1287"/>
      <c r="Q537" s="1290" t="str">
        <f ca="1"/>
        <v/>
      </c>
    </row>
    <row r="538" spans="1:17" ht="27.75" hidden="1" customHeight="1" x14ac:dyDescent="0.45">
      <c r="A538" s="1289">
        <v>13</v>
      </c>
      <c r="B538" s="1285">
        <v>11</v>
      </c>
      <c r="C538" s="1285">
        <v>2.9999999999999716</v>
      </c>
      <c r="D538" s="1297">
        <v>33.000000000000036</v>
      </c>
      <c r="E538" s="1299" t="str">
        <f ca="1"/>
        <v/>
      </c>
      <c r="F538" s="1286" t="str">
        <f ca="1"/>
        <v/>
      </c>
      <c r="G538" s="1286" t="str">
        <f ca="1"/>
        <v/>
      </c>
      <c r="H538" s="1301" t="str">
        <f ca="1"/>
        <v/>
      </c>
      <c r="I538" s="1303" t="str">
        <f ca="1"/>
        <v/>
      </c>
      <c r="J538" s="1287" t="str">
        <f ca="1"/>
        <v/>
      </c>
      <c r="K538" s="1288" t="str">
        <f ca="1"/>
        <v xml:space="preserve">Description:
Details:
Aim:
</v>
      </c>
      <c r="L538" s="1287" t="str">
        <f ca="1"/>
        <v/>
      </c>
      <c r="M538" s="1287" t="str">
        <f ca="1"/>
        <v/>
      </c>
      <c r="N538" s="1287"/>
      <c r="O538" s="1323" t="str">
        <f ca="1"/>
        <v/>
      </c>
      <c r="P538" s="1287"/>
      <c r="Q538" s="1290" t="str">
        <f ca="1"/>
        <v/>
      </c>
    </row>
    <row r="539" spans="1:17" ht="27.75" hidden="1" customHeight="1" x14ac:dyDescent="0.45">
      <c r="A539" s="1289">
        <v>13</v>
      </c>
      <c r="B539" s="1285">
        <v>12</v>
      </c>
      <c r="C539" s="1285">
        <v>1</v>
      </c>
      <c r="D539" s="1297">
        <v>34.000000000000028</v>
      </c>
      <c r="E539" s="1299" t="str">
        <f ca="1"/>
        <v>Stay at a comfortable and controlled intensity where you should be able to have a conversation without large pauses. Keep an even intensity and accept that your pace may change as the terrain changes.</v>
      </c>
      <c r="F539" s="1286" t="str">
        <f ca="1"/>
        <v>Sport: Road Ride
WU/WD: No 
Effort Total: 30 minutes
HR Target: 138 BPM
HR Range: 129 - 148 BPM 
Flat Road Equivalent Pace: 4:39 min/km</v>
      </c>
      <c r="G539" s="1286" t="str">
        <f ca="1"/>
        <v xml:space="preserve">Improve aerobic fitness while minimising the chance of injury. </v>
      </c>
      <c r="H539" s="1301" t="str">
        <f ca="1"/>
        <v/>
      </c>
      <c r="I539" s="1303" t="str">
        <f ca="1"/>
        <v>Easy road ride: 30 minutes</v>
      </c>
      <c r="J539" s="1287" t="str">
        <f ca="1"/>
        <v>Cycling</v>
      </c>
      <c r="K539"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30 minutes
HR Target: 138 BPM
HR Range: 129 - 148 BPM 
Flat Road Equivalent Pace: 4:39 min/km
Aim:
Improve aerobic fitness while minimising the chance of injury. </v>
      </c>
      <c r="L539" s="1287">
        <f ca="1"/>
        <v>101</v>
      </c>
      <c r="M539" s="1287">
        <f ca="1"/>
        <v>0.5</v>
      </c>
      <c r="N539" s="1287"/>
      <c r="O539" s="1323" t="str">
        <f ca="1"/>
        <v>2018-12-29 18:00</v>
      </c>
      <c r="P539" s="1287"/>
      <c r="Q539" s="1290" t="str">
        <f ca="1"/>
        <v>Road Ride</v>
      </c>
    </row>
    <row r="540" spans="1:17" ht="27.75" hidden="1" customHeight="1" x14ac:dyDescent="0.45">
      <c r="A540" s="1289">
        <v>13</v>
      </c>
      <c r="B540" s="1285">
        <v>12</v>
      </c>
      <c r="C540" s="1285">
        <v>2.0000000000000284</v>
      </c>
      <c r="D540" s="1297">
        <v>35.000000000000028</v>
      </c>
      <c r="E540" s="1299" t="str">
        <f ca="1"/>
        <v/>
      </c>
      <c r="F540" s="1286" t="str">
        <f ca="1"/>
        <v/>
      </c>
      <c r="G540" s="1286" t="str">
        <f ca="1"/>
        <v/>
      </c>
      <c r="H540" s="1301" t="str">
        <f ca="1"/>
        <v/>
      </c>
      <c r="I540" s="1303" t="str">
        <f ca="1"/>
        <v/>
      </c>
      <c r="J540" s="1287" t="str">
        <f ca="1"/>
        <v/>
      </c>
      <c r="K540" s="1288" t="str">
        <f ca="1"/>
        <v xml:space="preserve">Description:
Details:
Aim:
</v>
      </c>
      <c r="L540" s="1287" t="str">
        <f ca="1"/>
        <v/>
      </c>
      <c r="M540" s="1287" t="str">
        <f ca="1"/>
        <v/>
      </c>
      <c r="N540" s="1287"/>
      <c r="O540" s="1323" t="str">
        <f ca="1"/>
        <v/>
      </c>
      <c r="P540" s="1287"/>
      <c r="Q540" s="1290" t="str">
        <f ca="1"/>
        <v/>
      </c>
    </row>
    <row r="541" spans="1:17" ht="27.75" hidden="1" customHeight="1" x14ac:dyDescent="0.45">
      <c r="A541" s="1289">
        <v>13</v>
      </c>
      <c r="B541" s="1285">
        <v>12</v>
      </c>
      <c r="C541" s="1285">
        <v>2.9999999999999716</v>
      </c>
      <c r="D541" s="1297">
        <v>36.000000000000028</v>
      </c>
      <c r="E541" s="1299" t="str">
        <f ca="1"/>
        <v/>
      </c>
      <c r="F541" s="1286" t="str">
        <f ca="1"/>
        <v/>
      </c>
      <c r="G541" s="1286" t="str">
        <f ca="1"/>
        <v/>
      </c>
      <c r="H541" s="1301" t="str">
        <f ca="1"/>
        <v/>
      </c>
      <c r="I541" s="1303" t="str">
        <f ca="1"/>
        <v/>
      </c>
      <c r="J541" s="1287" t="str">
        <f ca="1"/>
        <v/>
      </c>
      <c r="K541" s="1288" t="str">
        <f ca="1"/>
        <v xml:space="preserve">Description:
Details:
Aim:
</v>
      </c>
      <c r="L541" s="1287" t="str">
        <f ca="1"/>
        <v/>
      </c>
      <c r="M541" s="1287" t="str">
        <f ca="1"/>
        <v/>
      </c>
      <c r="N541" s="1287"/>
      <c r="O541" s="1323" t="str">
        <f ca="1"/>
        <v/>
      </c>
      <c r="P541" s="1287"/>
      <c r="Q541" s="1290" t="str">
        <f ca="1"/>
        <v/>
      </c>
    </row>
    <row r="542" spans="1:17" ht="27.75" hidden="1" customHeight="1" x14ac:dyDescent="0.45">
      <c r="A542" s="1289">
        <v>13</v>
      </c>
      <c r="B542" s="1285">
        <v>13</v>
      </c>
      <c r="C542" s="1285">
        <v>1</v>
      </c>
      <c r="D542" s="1297">
        <v>37.000000000000021</v>
      </c>
      <c r="E542" s="1299" t="str">
        <f ca="1"/>
        <v xml:space="preserve">Fundamentally a steady, but you can be less strict at controlling your intensity as long as your average intensity is close to it's target by the end of the session </v>
      </c>
      <c r="F542" s="1286" t="str">
        <f ca="1"/>
        <v>Sport: Hilly Trail Run
WU/WD: No 
Effort Total: 125 minutes
HR Target: 148 BPM
HR Range: 129 - 169 BPM 
Flat Road Equivalent Pace: 4:14 min/km</v>
      </c>
      <c r="G542" s="1286" t="str">
        <f ca="1"/>
        <v xml:space="preserve">Improve aerobic fitness and energy utilisation. </v>
      </c>
      <c r="H542" s="1301" t="str">
        <f ca="1"/>
        <v/>
      </c>
      <c r="I542" s="1303" t="str">
        <f ca="1"/>
        <v>Long hilly trail run: 125 minutes</v>
      </c>
      <c r="J542" s="1287" t="str">
        <f ca="1"/>
        <v>Trail Running</v>
      </c>
      <c r="K542" s="1288" t="str">
        <f ca="1"/>
        <v xml:space="preserve">Description:
Fundamentally a steady, but you can be less strict at controlling your intensity as long as your average intensity is close to it's target by the end of the session 
Details:
Sport: Hilly Trail Run
WU/WD: No 
Effort Total: 125 minutes
HR Target: 148 BPM
HR Range: 129 - 169 BPM 
Flat Road Equivalent Pace: 4:14 min/km
Aim:
Improve aerobic fitness and energy utilisation. </v>
      </c>
      <c r="L542" s="1287">
        <f ca="1"/>
        <v>4</v>
      </c>
      <c r="M542" s="1287">
        <f ca="1"/>
        <v>2.0833333333333335</v>
      </c>
      <c r="N542" s="1287"/>
      <c r="O542" s="1323" t="str">
        <f ca="1"/>
        <v>2018-12-30 06:00</v>
      </c>
      <c r="P542" s="1287"/>
      <c r="Q542" s="1290" t="str">
        <f ca="1"/>
        <v>Hilly Trail Run</v>
      </c>
    </row>
    <row r="543" spans="1:17" ht="27.75" hidden="1" customHeight="1" x14ac:dyDescent="0.45">
      <c r="A543" s="1289">
        <v>13</v>
      </c>
      <c r="B543" s="1285">
        <v>13</v>
      </c>
      <c r="C543" s="1285">
        <v>2.0000000000000284</v>
      </c>
      <c r="D543" s="1297">
        <v>38.000000000000014</v>
      </c>
      <c r="E543" s="1299" t="str">
        <f ca="1"/>
        <v/>
      </c>
      <c r="F543" s="1286" t="str">
        <f ca="1"/>
        <v/>
      </c>
      <c r="G543" s="1286" t="str">
        <f ca="1"/>
        <v/>
      </c>
      <c r="H543" s="1301" t="str">
        <f ca="1"/>
        <v/>
      </c>
      <c r="I543" s="1303" t="str">
        <f ca="1"/>
        <v/>
      </c>
      <c r="J543" s="1287" t="str">
        <f ca="1"/>
        <v/>
      </c>
      <c r="K543" s="1288" t="str">
        <f ca="1"/>
        <v xml:space="preserve">Description:
Details:
Aim:
</v>
      </c>
      <c r="L543" s="1287" t="str">
        <f ca="1"/>
        <v/>
      </c>
      <c r="M543" s="1287" t="str">
        <f ca="1"/>
        <v/>
      </c>
      <c r="N543" s="1287"/>
      <c r="O543" s="1323" t="str">
        <f ca="1"/>
        <v/>
      </c>
      <c r="P543" s="1287"/>
      <c r="Q543" s="1290" t="str">
        <f ca="1"/>
        <v/>
      </c>
    </row>
    <row r="544" spans="1:17" ht="27.75" hidden="1" customHeight="1" x14ac:dyDescent="0.45">
      <c r="A544" s="1289">
        <v>13</v>
      </c>
      <c r="B544" s="1285">
        <v>13</v>
      </c>
      <c r="C544" s="1285">
        <v>2.9999999999999716</v>
      </c>
      <c r="D544" s="1297">
        <v>39.000000000000014</v>
      </c>
      <c r="E544" s="1299" t="str">
        <f ca="1"/>
        <v/>
      </c>
      <c r="F544" s="1286" t="str">
        <f ca="1"/>
        <v/>
      </c>
      <c r="G544" s="1286" t="str">
        <f ca="1"/>
        <v/>
      </c>
      <c r="H544" s="1301" t="str">
        <f ca="1"/>
        <v/>
      </c>
      <c r="I544" s="1303" t="str">
        <f ca="1"/>
        <v/>
      </c>
      <c r="J544" s="1287" t="str">
        <f ca="1"/>
        <v/>
      </c>
      <c r="K544" s="1288" t="str">
        <f ca="1"/>
        <v xml:space="preserve">Description:
Details:
Aim:
</v>
      </c>
      <c r="L544" s="1287" t="str">
        <f ca="1"/>
        <v/>
      </c>
      <c r="M544" s="1287" t="str">
        <f ca="1"/>
        <v/>
      </c>
      <c r="N544" s="1287"/>
      <c r="O544" s="1323" t="str">
        <f ca="1"/>
        <v/>
      </c>
      <c r="P544" s="1287"/>
      <c r="Q544" s="1290" t="str">
        <f ca="1"/>
        <v/>
      </c>
    </row>
    <row r="545" spans="1:17" ht="27.75" hidden="1" customHeight="1" x14ac:dyDescent="0.45">
      <c r="A545" s="1289">
        <v>13</v>
      </c>
      <c r="B545" s="1285">
        <v>14</v>
      </c>
      <c r="C545" s="1285">
        <v>1</v>
      </c>
      <c r="D545" s="1297">
        <v>40.000000000000014</v>
      </c>
      <c r="E545" s="1299" t="str">
        <f ca="1"/>
        <v/>
      </c>
      <c r="F545" s="1286" t="str">
        <f ca="1"/>
        <v/>
      </c>
      <c r="G545" s="1286" t="str">
        <f ca="1"/>
        <v/>
      </c>
      <c r="H545" s="1301" t="str">
        <f ca="1"/>
        <v/>
      </c>
      <c r="I545" s="1303" t="str">
        <f ca="1"/>
        <v/>
      </c>
      <c r="J545" s="1287" t="str">
        <f ca="1"/>
        <v/>
      </c>
      <c r="K545" s="1288" t="str">
        <f ca="1"/>
        <v xml:space="preserve">Description:
Details:
Aim:
</v>
      </c>
      <c r="L545" s="1287" t="str">
        <f ca="1"/>
        <v/>
      </c>
      <c r="M545" s="1287" t="str">
        <f ca="1"/>
        <v/>
      </c>
      <c r="N545" s="1287"/>
      <c r="O545" s="1323" t="str">
        <f ca="1"/>
        <v/>
      </c>
      <c r="P545" s="1287"/>
      <c r="Q545" s="1290" t="str">
        <f ca="1"/>
        <v/>
      </c>
    </row>
    <row r="546" spans="1:17" ht="27.75" hidden="1" customHeight="1" x14ac:dyDescent="0.45">
      <c r="A546" s="1289">
        <v>13</v>
      </c>
      <c r="B546" s="1285">
        <v>14</v>
      </c>
      <c r="C546" s="1285">
        <v>2.0000000000000284</v>
      </c>
      <c r="D546" s="1297">
        <v>41.000000000000007</v>
      </c>
      <c r="E546" s="1299" t="str">
        <f ca="1"/>
        <v/>
      </c>
      <c r="F546" s="1286" t="str">
        <f ca="1"/>
        <v/>
      </c>
      <c r="G546" s="1286" t="str">
        <f ca="1"/>
        <v/>
      </c>
      <c r="H546" s="1301" t="str">
        <f ca="1"/>
        <v/>
      </c>
      <c r="I546" s="1303" t="str">
        <f ca="1"/>
        <v/>
      </c>
      <c r="J546" s="1287" t="str">
        <f ca="1"/>
        <v/>
      </c>
      <c r="K546" s="1288" t="str">
        <f ca="1"/>
        <v xml:space="preserve">Description:
Details:
Aim:
</v>
      </c>
      <c r="L546" s="1287" t="str">
        <f ca="1"/>
        <v/>
      </c>
      <c r="M546" s="1287" t="str">
        <f ca="1"/>
        <v/>
      </c>
      <c r="N546" s="1287"/>
      <c r="O546" s="1323" t="str">
        <f ca="1"/>
        <v/>
      </c>
      <c r="P546" s="1287"/>
      <c r="Q546" s="1290" t="str">
        <f ca="1"/>
        <v/>
      </c>
    </row>
    <row r="547" spans="1:17" ht="27.75" hidden="1" customHeight="1" x14ac:dyDescent="0.45">
      <c r="A547" s="1289">
        <v>13</v>
      </c>
      <c r="B547" s="1285">
        <v>14</v>
      </c>
      <c r="C547" s="1285">
        <v>2.9999999999999716</v>
      </c>
      <c r="D547" s="1297">
        <v>42</v>
      </c>
      <c r="E547" s="1299" t="str">
        <f ca="1"/>
        <v/>
      </c>
      <c r="F547" s="1286" t="str">
        <f ca="1"/>
        <v/>
      </c>
      <c r="G547" s="1286" t="str">
        <f ca="1"/>
        <v/>
      </c>
      <c r="H547" s="1301" t="str">
        <f ca="1"/>
        <v/>
      </c>
      <c r="I547" s="1303" t="str">
        <f ca="1"/>
        <v/>
      </c>
      <c r="J547" s="1287" t="str">
        <f ca="1"/>
        <v/>
      </c>
      <c r="K547" s="1288" t="str">
        <f ca="1"/>
        <v xml:space="preserve">Description:
Details:
Aim:
</v>
      </c>
      <c r="L547" s="1287" t="str">
        <f ca="1"/>
        <v/>
      </c>
      <c r="M547" s="1287" t="str">
        <f ca="1"/>
        <v/>
      </c>
      <c r="N547" s="1287"/>
      <c r="O547" s="1323" t="str">
        <f ca="1"/>
        <v/>
      </c>
      <c r="P547" s="1287"/>
      <c r="Q547" s="1290" t="str">
        <f ca="1"/>
        <v/>
      </c>
    </row>
    <row r="548" spans="1:17" ht="27.75" hidden="1" customHeight="1" x14ac:dyDescent="0.45">
      <c r="A548" s="1289">
        <v>14</v>
      </c>
      <c r="B548" s="1285">
        <v>1</v>
      </c>
      <c r="C548" s="1285">
        <v>1</v>
      </c>
      <c r="D548" s="1297">
        <v>1</v>
      </c>
      <c r="E548" s="1299" t="str">
        <f ca="1"/>
        <v>Stay at a comfortable and controlled intensity where you should be able to have a conversation without large pauses. Keep an even intensity and accept that your pace may change as the terrain changes.</v>
      </c>
      <c r="F548" s="1286" t="str">
        <f ca="1"/>
        <v>Sport: Ride
WU/WD: No 
Effort Total: 40 minutes
HR Target: 138 BPM
HR Range: 129 - 148 BPM 
Flat Road Equivalent Pace: 4:39 min/km</v>
      </c>
      <c r="G548" s="1286" t="str">
        <f ca="1"/>
        <v xml:space="preserve">Improve aerobic fitness while minimising the chance of injury. </v>
      </c>
      <c r="H548" s="1301" t="str">
        <f ca="1"/>
        <v/>
      </c>
      <c r="I548" s="1303" t="str">
        <f ca="1"/>
        <v>Easy ride: 40 minutes</v>
      </c>
      <c r="J548" s="1287" t="str">
        <f ca="1"/>
        <v>Cycling</v>
      </c>
      <c r="K548"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48" s="1287">
        <f ca="1"/>
        <v>110</v>
      </c>
      <c r="M548" s="1287">
        <f ca="1"/>
        <v>0.66666666666666663</v>
      </c>
      <c r="N548" s="1287"/>
      <c r="O548" s="1323" t="str">
        <f ca="1"/>
        <v>2018-12-31 06:00</v>
      </c>
      <c r="P548" s="1287"/>
      <c r="Q548" s="1290" t="str">
        <f ca="1"/>
        <v>Ride</v>
      </c>
    </row>
    <row r="549" spans="1:17" ht="27.75" hidden="1" customHeight="1" x14ac:dyDescent="0.45">
      <c r="A549" s="1289">
        <v>14</v>
      </c>
      <c r="B549" s="1285">
        <v>1</v>
      </c>
      <c r="C549" s="1285">
        <v>2.0000000000000284</v>
      </c>
      <c r="D549" s="1297">
        <v>1.9999999999999964</v>
      </c>
      <c r="E549" s="1299" t="str">
        <f ca="1"/>
        <v/>
      </c>
      <c r="F549" s="1286" t="str">
        <f ca="1"/>
        <v/>
      </c>
      <c r="G549" s="1286" t="str">
        <f ca="1"/>
        <v/>
      </c>
      <c r="H549" s="1301" t="str">
        <f ca="1"/>
        <v/>
      </c>
      <c r="I549" s="1303" t="str">
        <f ca="1"/>
        <v/>
      </c>
      <c r="J549" s="1287" t="str">
        <f ca="1"/>
        <v/>
      </c>
      <c r="K549" s="1288" t="str">
        <f ca="1"/>
        <v xml:space="preserve">Description:
Details:
Aim:
</v>
      </c>
      <c r="L549" s="1287" t="str">
        <f ca="1"/>
        <v/>
      </c>
      <c r="M549" s="1287" t="str">
        <f ca="1"/>
        <v/>
      </c>
      <c r="N549" s="1287"/>
      <c r="O549" s="1323" t="str">
        <f ca="1"/>
        <v/>
      </c>
      <c r="P549" s="1287"/>
      <c r="Q549" s="1290" t="str">
        <f ca="1"/>
        <v/>
      </c>
    </row>
    <row r="550" spans="1:17" ht="27.75" hidden="1" customHeight="1" x14ac:dyDescent="0.45">
      <c r="A550" s="1289">
        <v>14</v>
      </c>
      <c r="B550" s="1285">
        <v>1</v>
      </c>
      <c r="C550" s="1285">
        <v>2.9999999999999716</v>
      </c>
      <c r="D550" s="1297">
        <v>2.9999999999999929</v>
      </c>
      <c r="E550" s="1299" t="str">
        <f ca="1"/>
        <v/>
      </c>
      <c r="F550" s="1286" t="str">
        <f ca="1"/>
        <v/>
      </c>
      <c r="G550" s="1286" t="str">
        <f ca="1"/>
        <v/>
      </c>
      <c r="H550" s="1301" t="str">
        <f ca="1"/>
        <v/>
      </c>
      <c r="I550" s="1303" t="str">
        <f ca="1"/>
        <v/>
      </c>
      <c r="J550" s="1287" t="str">
        <f ca="1"/>
        <v/>
      </c>
      <c r="K550" s="1288" t="str">
        <f ca="1"/>
        <v xml:space="preserve">Description:
Details:
Aim:
</v>
      </c>
      <c r="L550" s="1287" t="str">
        <f ca="1"/>
        <v/>
      </c>
      <c r="M550" s="1287" t="str">
        <f ca="1"/>
        <v/>
      </c>
      <c r="N550" s="1287"/>
      <c r="O550" s="1323" t="str">
        <f ca="1"/>
        <v/>
      </c>
      <c r="P550" s="1287"/>
      <c r="Q550" s="1290" t="str">
        <f ca="1"/>
        <v/>
      </c>
    </row>
    <row r="551" spans="1:17" ht="27.75" hidden="1" customHeight="1" x14ac:dyDescent="0.45">
      <c r="A551" s="1289">
        <v>14</v>
      </c>
      <c r="B551" s="1285">
        <v>1</v>
      </c>
      <c r="C551" s="1285">
        <v>1</v>
      </c>
      <c r="D551" s="1297">
        <v>3.9999999999999893</v>
      </c>
      <c r="E551" s="1299" t="str">
        <f ca="1"/>
        <v>Stay at a comfortable and controlled intensity where you should be able to have a conversation without large pauses. Keep an even intensity and accept that your pace may change as the terrain changes.</v>
      </c>
      <c r="F551" s="1286" t="str">
        <f ca="1"/>
        <v>Sport: Ride
WU/WD: No 
Effort Total: 30 minutes
HR Target: 138 BPM
HR Range: 129 - 148 BPM 
Flat Road Equivalent Pace: 4:39 min/km</v>
      </c>
      <c r="G551" s="1286" t="str">
        <f ca="1"/>
        <v xml:space="preserve">Improve aerobic fitness while minimising the chance of injury. </v>
      </c>
      <c r="H551" s="1301" t="str">
        <f ca="1"/>
        <v/>
      </c>
      <c r="I551" s="1303" t="str">
        <f ca="1"/>
        <v>Strength and conditioning</v>
      </c>
      <c r="J551" s="1287" t="str">
        <f ca="1"/>
        <v>Cycling</v>
      </c>
      <c r="K551"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51" s="1287">
        <f ca="1"/>
        <v>110</v>
      </c>
      <c r="M551" s="1287">
        <f ca="1"/>
        <v>0.5</v>
      </c>
      <c r="N551" s="1287"/>
      <c r="O551" s="1323" t="str">
        <f ca="1"/>
        <v>2018-12-31 06:00</v>
      </c>
      <c r="P551" s="1287"/>
      <c r="Q551" s="1290" t="str">
        <f ca="1"/>
        <v>Ride</v>
      </c>
    </row>
    <row r="552" spans="1:17" ht="27.75" hidden="1" customHeight="1" x14ac:dyDescent="0.45">
      <c r="A552" s="1289">
        <v>14</v>
      </c>
      <c r="B552" s="1285">
        <v>2</v>
      </c>
      <c r="C552" s="1285">
        <v>2.0000000000000284</v>
      </c>
      <c r="D552" s="1297">
        <v>4.9999999999999858</v>
      </c>
      <c r="E552" s="1299" t="str">
        <f ca="1"/>
        <v>Use a hands, rollers, or balls on all major muscle groups with extra time on more sensitive or problematic areas or as guided by a coach or physio. Finish with 20 minutes of lower-limb stretching.</v>
      </c>
      <c r="F552" s="1286" t="str">
        <f ca="1"/>
        <v>Sport: Indoor
WU/WD: No 
Effort Total: 30 minutes
HR Target: N/A BPM
HR Range: N/A BPM 
Flat Road Equivalent Pace:  min/km</v>
      </c>
      <c r="G552" s="1286" t="str">
        <f ca="1"/>
        <v xml:space="preserve">Release tension that develops in soft tissue from training and non-training stresses. </v>
      </c>
      <c r="H552" s="1301" t="str">
        <f ca="1"/>
        <v/>
      </c>
      <c r="I552" s="1303" t="str">
        <f ca="1"/>
        <v>Maintenance</v>
      </c>
      <c r="J552" s="1287" t="str">
        <f ca="1"/>
        <v>Strength</v>
      </c>
      <c r="K552"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52" s="1287">
        <f ca="1"/>
        <v>76</v>
      </c>
      <c r="M552" s="1287">
        <f ca="1"/>
        <v>0.5</v>
      </c>
      <c r="N552" s="1287"/>
      <c r="O552" s="1323" t="str">
        <f ca="1"/>
        <v>2018-12-31 20:00</v>
      </c>
      <c r="P552" s="1287"/>
      <c r="Q552" s="1290" t="str">
        <f ca="1"/>
        <v>Indoor</v>
      </c>
    </row>
    <row r="553" spans="1:17" ht="27.75" hidden="1" customHeight="1" x14ac:dyDescent="0.45">
      <c r="A553" s="1289">
        <v>14</v>
      </c>
      <c r="B553" s="1285">
        <v>2</v>
      </c>
      <c r="C553" s="1285">
        <v>2.9999999999999716</v>
      </c>
      <c r="D553" s="1297">
        <v>5.9999999999999822</v>
      </c>
      <c r="E553" s="1299" t="str">
        <f ca="1"/>
        <v/>
      </c>
      <c r="F553" s="1286" t="str">
        <f ca="1"/>
        <v/>
      </c>
      <c r="G553" s="1286" t="str">
        <f ca="1"/>
        <v/>
      </c>
      <c r="H553" s="1301" t="str">
        <f ca="1"/>
        <v/>
      </c>
      <c r="I553" s="1303" t="str">
        <f ca="1"/>
        <v/>
      </c>
      <c r="J553" s="1287" t="str">
        <f ca="1"/>
        <v/>
      </c>
      <c r="K553" s="1288" t="str">
        <f ca="1"/>
        <v xml:space="preserve">Description:
Details:
Aim:
</v>
      </c>
      <c r="L553" s="1287" t="str">
        <f ca="1"/>
        <v/>
      </c>
      <c r="M553" s="1287" t="str">
        <f ca="1"/>
        <v/>
      </c>
      <c r="N553" s="1287"/>
      <c r="O553" s="1323" t="str">
        <f ca="1"/>
        <v/>
      </c>
      <c r="P553" s="1287"/>
      <c r="Q553" s="1290" t="str">
        <f ca="1"/>
        <v/>
      </c>
    </row>
    <row r="554" spans="1:17" ht="27.75" hidden="1" customHeight="1" x14ac:dyDescent="0.45">
      <c r="A554" s="1289">
        <v>14</v>
      </c>
      <c r="B554" s="1285">
        <v>2</v>
      </c>
      <c r="C554" s="1285">
        <v>1</v>
      </c>
      <c r="D554" s="1297">
        <v>6.9999999999999787</v>
      </c>
      <c r="E554" s="1299" t="str">
        <f ca="1"/>
        <v>Perform a variety of specialised exercises to engage specific muscles. These sessions must be learned with a coach first but are relatively easy to continue with on your own. Demonstrate control and focus on posture and muscle activation.</v>
      </c>
      <c r="F554" s="1286" t="str">
        <f ca="1"/>
        <v>Sport: Indoor
WU/WD: No 
Effort Total: 40 minutes
HR Target: N/A BPM
HR Range: N/A BPM 
Flat Road Equivalent Pace:  min/km</v>
      </c>
      <c r="G554" s="1286" t="str">
        <f ca="1"/>
        <v xml:space="preserve">Increase strength of specific muscle groups, running economy and injury resistance. </v>
      </c>
      <c r="H554" s="1301" t="str">
        <f ca="1"/>
        <v/>
      </c>
      <c r="I554" s="1303" t="str">
        <f ca="1"/>
        <v>Easy ride: 40 minutes</v>
      </c>
      <c r="J554" s="1287" t="str">
        <f ca="1"/>
        <v>Strength</v>
      </c>
      <c r="K554"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40 minutes
HR Target: N/A BPM
HR Range: N/A BPM 
Flat Road Equivalent Pace:  min/km
Aim:
Increase strength of specific muscle groups, running economy and injury resistance. </v>
      </c>
      <c r="L554" s="1287">
        <f ca="1"/>
        <v>76</v>
      </c>
      <c r="M554" s="1287">
        <f ca="1"/>
        <v>0.66666666666666663</v>
      </c>
      <c r="N554" s="1287"/>
      <c r="O554" s="1323" t="str">
        <f ca="1"/>
        <v>2018-12-31 18:00</v>
      </c>
      <c r="P554" s="1287"/>
      <c r="Q554" s="1290" t="str">
        <f ca="1"/>
        <v>Indoor</v>
      </c>
    </row>
    <row r="555" spans="1:17" ht="27.75" hidden="1" customHeight="1" x14ac:dyDescent="0.45">
      <c r="A555" s="1289">
        <v>14</v>
      </c>
      <c r="B555" s="1285">
        <v>3</v>
      </c>
      <c r="C555" s="1285">
        <v>2.0000000000000284</v>
      </c>
      <c r="D555" s="1297">
        <v>7.9999999999999751</v>
      </c>
      <c r="E555" s="1299" t="str">
        <f ca="1"/>
        <v/>
      </c>
      <c r="F555" s="1286" t="str">
        <f ca="1"/>
        <v/>
      </c>
      <c r="G555" s="1286" t="str">
        <f ca="1"/>
        <v/>
      </c>
      <c r="H555" s="1301" t="str">
        <f ca="1"/>
        <v/>
      </c>
      <c r="I555" s="1303" t="str">
        <f ca="1"/>
        <v/>
      </c>
      <c r="J555" s="1287" t="str">
        <f ca="1"/>
        <v/>
      </c>
      <c r="K555" s="1288" t="str">
        <f ca="1"/>
        <v xml:space="preserve">Description:
Details:
Aim:
</v>
      </c>
      <c r="L555" s="1287" t="str">
        <f ca="1"/>
        <v/>
      </c>
      <c r="M555" s="1287" t="str">
        <f ca="1"/>
        <v/>
      </c>
      <c r="N555" s="1287"/>
      <c r="O555" s="1323" t="str">
        <f ca="1"/>
        <v/>
      </c>
      <c r="P555" s="1287"/>
      <c r="Q555" s="1290" t="str">
        <f ca="1"/>
        <v/>
      </c>
    </row>
    <row r="556" spans="1:17" ht="27.75" hidden="1" customHeight="1" x14ac:dyDescent="0.45">
      <c r="A556" s="1289">
        <v>14</v>
      </c>
      <c r="B556" s="1285">
        <v>3</v>
      </c>
      <c r="C556" s="1285">
        <v>2.9999999999999716</v>
      </c>
      <c r="D556" s="1297">
        <v>8.9999999999999716</v>
      </c>
      <c r="E556" s="1299" t="str">
        <f ca="1"/>
        <v/>
      </c>
      <c r="F556" s="1286" t="str">
        <f ca="1"/>
        <v/>
      </c>
      <c r="G556" s="1286" t="str">
        <f ca="1"/>
        <v/>
      </c>
      <c r="H556" s="1301" t="str">
        <f ca="1"/>
        <v/>
      </c>
      <c r="I556" s="1303" t="str">
        <f ca="1"/>
        <v/>
      </c>
      <c r="J556" s="1287" t="str">
        <f ca="1"/>
        <v/>
      </c>
      <c r="K556" s="1288" t="str">
        <f ca="1"/>
        <v xml:space="preserve">Description:
Details:
Aim:
</v>
      </c>
      <c r="L556" s="1287" t="str">
        <f ca="1"/>
        <v/>
      </c>
      <c r="M556" s="1287" t="str">
        <f ca="1"/>
        <v/>
      </c>
      <c r="N556" s="1287"/>
      <c r="O556" s="1323" t="str">
        <f ca="1"/>
        <v/>
      </c>
      <c r="P556" s="1287"/>
      <c r="Q556" s="1290" t="str">
        <f ca="1"/>
        <v/>
      </c>
    </row>
    <row r="557" spans="1:17" ht="27.75" hidden="1" customHeight="1" x14ac:dyDescent="0.45">
      <c r="A557" s="1289">
        <v>14</v>
      </c>
      <c r="B557" s="1285">
        <v>3</v>
      </c>
      <c r="C557" s="1285">
        <v>1</v>
      </c>
      <c r="D557" s="1297">
        <v>9.999999999999968</v>
      </c>
      <c r="E557" s="1299" t="str">
        <f ca="1"/>
        <v>Stay at a comfortable and controlled intensity where you should be able to have a conversation without large pauses. Keep an even intensity and accept that your pace may change as the terrain changes.</v>
      </c>
      <c r="F557" s="1286" t="str">
        <f ca="1"/>
        <v>Sport: Ride
WU/WD: No 
Effort Total: 25 minutes
HR Target: 138 BPM
HR Range: 129 - 148 BPM 
Flat Road Equivalent Pace: 4:39 min/km</v>
      </c>
      <c r="G557" s="1286" t="str">
        <f ca="1"/>
        <v xml:space="preserve">Improve aerobic fitness while minimising the chance of injury. </v>
      </c>
      <c r="H557" s="1301" t="str">
        <f ca="1"/>
        <v/>
      </c>
      <c r="I557" s="1303" t="str">
        <f ca="1"/>
        <v>Hilly tempo hilly trail run: 25 minutes + WU/WD</v>
      </c>
      <c r="J557" s="1287" t="str">
        <f ca="1"/>
        <v>Cycling</v>
      </c>
      <c r="K557"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25 minutes
HR Target: 138 BPM
HR Range: 129 - 148 BPM 
Flat Road Equivalent Pace: 4:39 min/km
Aim:
Improve aerobic fitness while minimising the chance of injury. </v>
      </c>
      <c r="L557" s="1287">
        <f ca="1"/>
        <v>110</v>
      </c>
      <c r="M557" s="1287">
        <f ca="1"/>
        <v>0.41666666666666669</v>
      </c>
      <c r="N557" s="1287"/>
      <c r="O557" s="1323" t="str">
        <f ca="1"/>
        <v>2019-01-01 06:00</v>
      </c>
      <c r="P557" s="1287"/>
      <c r="Q557" s="1290" t="str">
        <f ca="1"/>
        <v>Ride</v>
      </c>
    </row>
    <row r="558" spans="1:17" ht="27.75" hidden="1" customHeight="1" x14ac:dyDescent="0.45">
      <c r="A558" s="1289">
        <v>14</v>
      </c>
      <c r="B558" s="1285">
        <v>4</v>
      </c>
      <c r="C558" s="1285">
        <v>2.0000000000000284</v>
      </c>
      <c r="D558" s="1297">
        <v>10.999999999999964</v>
      </c>
      <c r="E558" s="1299" t="str">
        <f ca="1"/>
        <v/>
      </c>
      <c r="F558" s="1286" t="str">
        <f ca="1"/>
        <v/>
      </c>
      <c r="G558" s="1286" t="str">
        <f ca="1"/>
        <v/>
      </c>
      <c r="H558" s="1301" t="str">
        <f ca="1"/>
        <v/>
      </c>
      <c r="I558" s="1303" t="str">
        <f ca="1"/>
        <v/>
      </c>
      <c r="J558" s="1287" t="str">
        <f ca="1"/>
        <v/>
      </c>
      <c r="K558" s="1288" t="str">
        <f ca="1"/>
        <v xml:space="preserve">Description:
Details:
Aim:
</v>
      </c>
      <c r="L558" s="1287" t="str">
        <f ca="1"/>
        <v/>
      </c>
      <c r="M558" s="1287" t="str">
        <f ca="1"/>
        <v/>
      </c>
      <c r="N558" s="1287"/>
      <c r="O558" s="1323" t="str">
        <f ca="1"/>
        <v/>
      </c>
      <c r="P558" s="1287"/>
      <c r="Q558" s="1290" t="str">
        <f ca="1"/>
        <v/>
      </c>
    </row>
    <row r="559" spans="1:17" ht="27.75" hidden="1" customHeight="1" x14ac:dyDescent="0.45">
      <c r="A559" s="1289">
        <v>14</v>
      </c>
      <c r="B559" s="1285">
        <v>4</v>
      </c>
      <c r="C559" s="1285">
        <v>2.9999999999999716</v>
      </c>
      <c r="D559" s="1297">
        <v>12.000000000000036</v>
      </c>
      <c r="E559" s="1299" t="str">
        <f ca="1"/>
        <v/>
      </c>
      <c r="F559" s="1286" t="str">
        <f ca="1"/>
        <v/>
      </c>
      <c r="G559" s="1286" t="str">
        <f ca="1"/>
        <v/>
      </c>
      <c r="H559" s="1301" t="str">
        <f ca="1"/>
        <v/>
      </c>
      <c r="I559" s="1303" t="str">
        <f ca="1"/>
        <v/>
      </c>
      <c r="J559" s="1287" t="str">
        <f ca="1"/>
        <v/>
      </c>
      <c r="K559" s="1288" t="str">
        <f ca="1"/>
        <v xml:space="preserve">Description:
Details:
Aim:
</v>
      </c>
      <c r="L559" s="1287" t="str">
        <f ca="1"/>
        <v/>
      </c>
      <c r="M559" s="1287" t="str">
        <f ca="1"/>
        <v/>
      </c>
      <c r="N559" s="1287"/>
      <c r="O559" s="1323" t="str">
        <f ca="1"/>
        <v/>
      </c>
      <c r="P559" s="1287"/>
      <c r="Q559" s="1290" t="str">
        <f ca="1"/>
        <v/>
      </c>
    </row>
    <row r="560" spans="1:17" ht="27.75" hidden="1" customHeight="1" x14ac:dyDescent="0.45">
      <c r="A560" s="1289">
        <v>14</v>
      </c>
      <c r="B560" s="1285">
        <v>5</v>
      </c>
      <c r="C560" s="1285">
        <v>1</v>
      </c>
      <c r="D560" s="1297">
        <v>13.000000000000032</v>
      </c>
      <c r="E560" s="1299" t="str">
        <f ca="1"/>
        <v/>
      </c>
      <c r="F560" s="1286" t="str">
        <f ca="1"/>
        <v/>
      </c>
      <c r="G560" s="1286" t="str">
        <f ca="1"/>
        <v/>
      </c>
      <c r="H560" s="1301" t="str">
        <f ca="1"/>
        <v/>
      </c>
      <c r="I560" s="1303" t="str">
        <f ca="1"/>
        <v/>
      </c>
      <c r="J560" s="1287" t="str">
        <f ca="1"/>
        <v/>
      </c>
      <c r="K560" s="1288" t="str">
        <f ca="1"/>
        <v xml:space="preserve">Description:
Details:
Aim:
</v>
      </c>
      <c r="L560" s="1287" t="str">
        <f ca="1"/>
        <v/>
      </c>
      <c r="M560" s="1287" t="str">
        <f ca="1"/>
        <v/>
      </c>
      <c r="N560" s="1287"/>
      <c r="O560" s="1323" t="str">
        <f ca="1"/>
        <v/>
      </c>
      <c r="P560" s="1287"/>
      <c r="Q560" s="1290" t="str">
        <f ca="1"/>
        <v/>
      </c>
    </row>
    <row r="561" spans="1:17" ht="27.75" hidden="1" customHeight="1" x14ac:dyDescent="0.45">
      <c r="A561" s="1289">
        <v>14</v>
      </c>
      <c r="B561" s="1285">
        <v>5</v>
      </c>
      <c r="C561" s="1285">
        <v>2.0000000000000284</v>
      </c>
      <c r="D561" s="1297">
        <v>14.000000000000028</v>
      </c>
      <c r="E561" s="1299" t="str">
        <f ca="1"/>
        <v/>
      </c>
      <c r="F561" s="1286" t="str">
        <f ca="1"/>
        <v/>
      </c>
      <c r="G561" s="1286" t="str">
        <f ca="1"/>
        <v/>
      </c>
      <c r="H561" s="1301" t="str">
        <f ca="1"/>
        <v/>
      </c>
      <c r="I561" s="1303" t="str">
        <f ca="1"/>
        <v/>
      </c>
      <c r="J561" s="1287" t="str">
        <f ca="1"/>
        <v/>
      </c>
      <c r="K561" s="1288" t="str">
        <f ca="1"/>
        <v xml:space="preserve">Description:
Details:
Aim:
</v>
      </c>
      <c r="L561" s="1287" t="str">
        <f ca="1"/>
        <v/>
      </c>
      <c r="M561" s="1287" t="str">
        <f ca="1"/>
        <v/>
      </c>
      <c r="N561" s="1287"/>
      <c r="O561" s="1323" t="str">
        <f ca="1"/>
        <v/>
      </c>
      <c r="P561" s="1287"/>
      <c r="Q561" s="1290" t="str">
        <f ca="1"/>
        <v/>
      </c>
    </row>
    <row r="562" spans="1:17" ht="27.75" hidden="1" customHeight="1" x14ac:dyDescent="0.45">
      <c r="A562" s="1289">
        <v>14</v>
      </c>
      <c r="B562" s="1285">
        <v>5</v>
      </c>
      <c r="C562" s="1285">
        <v>2.9999999999999716</v>
      </c>
      <c r="D562" s="1297">
        <v>15.000000000000025</v>
      </c>
      <c r="E562" s="1299" t="str">
        <f ca="1"/>
        <v/>
      </c>
      <c r="F562" s="1286" t="str">
        <f ca="1"/>
        <v/>
      </c>
      <c r="G562" s="1286" t="str">
        <f ca="1"/>
        <v/>
      </c>
      <c r="H562" s="1301" t="str">
        <f ca="1"/>
        <v/>
      </c>
      <c r="I562" s="1303" t="str">
        <f ca="1"/>
        <v/>
      </c>
      <c r="J562" s="1287" t="str">
        <f ca="1"/>
        <v/>
      </c>
      <c r="K562" s="1288" t="str">
        <f ca="1"/>
        <v xml:space="preserve">Description:
Details:
Aim:
</v>
      </c>
      <c r="L562" s="1287" t="str">
        <f ca="1"/>
        <v/>
      </c>
      <c r="M562" s="1287" t="str">
        <f ca="1"/>
        <v/>
      </c>
      <c r="N562" s="1287"/>
      <c r="O562" s="1323" t="str">
        <f ca="1"/>
        <v/>
      </c>
      <c r="P562" s="1287"/>
      <c r="Q562" s="1290" t="str">
        <f ca="1"/>
        <v/>
      </c>
    </row>
    <row r="563" spans="1:17" ht="27.75" hidden="1" customHeight="1" x14ac:dyDescent="0.45">
      <c r="A563" s="1289">
        <v>14</v>
      </c>
      <c r="B563" s="1285">
        <v>6</v>
      </c>
      <c r="C563" s="1285">
        <v>1</v>
      </c>
      <c r="D563" s="1297">
        <v>16.000000000000021</v>
      </c>
      <c r="E563" s="1299" t="str">
        <f ca="1"/>
        <v>Stay at a comfortable and controlled intensity where you should be able to have a conversation without large pauses. Keep an even intensity and accept that your pace may change as the terrain changes.</v>
      </c>
      <c r="F563" s="1286" t="str">
        <f ca="1"/>
        <v>Sport: Road Ride
WU/WD: No 
Effort Total: 80 minutes
HR Target: 138 BPM
HR Range: 129 - 148 BPM 
Flat Road Equivalent Pace: 4:39 min/km</v>
      </c>
      <c r="G563" s="1286" t="str">
        <f ca="1"/>
        <v xml:space="preserve">Improve aerobic fitness while minimising the chance of injury. </v>
      </c>
      <c r="H563" s="1301" t="str">
        <f ca="1"/>
        <v/>
      </c>
      <c r="I563" s="1303" t="str">
        <f ca="1"/>
        <v>Easy road ride: 80 minutes</v>
      </c>
      <c r="J563" s="1287" t="str">
        <f ca="1"/>
        <v>Cycling</v>
      </c>
      <c r="K563"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80 minutes
HR Target: 138 BPM
HR Range: 129 - 148 BPM 
Flat Road Equivalent Pace: 4:39 min/km
Aim:
Improve aerobic fitness while minimising the chance of injury. </v>
      </c>
      <c r="L563" s="1287">
        <f ca="1"/>
        <v>101</v>
      </c>
      <c r="M563" s="1287">
        <f ca="1"/>
        <v>1.3333333333333333</v>
      </c>
      <c r="N563" s="1287"/>
      <c r="O563" s="1323" t="str">
        <f ca="1"/>
        <v>2019-01-02 18:00</v>
      </c>
      <c r="P563" s="1287"/>
      <c r="Q563" s="1290" t="str">
        <f ca="1"/>
        <v>Road Ride</v>
      </c>
    </row>
    <row r="564" spans="1:17" ht="27.75" hidden="1" customHeight="1" x14ac:dyDescent="0.45">
      <c r="A564" s="1289">
        <v>14</v>
      </c>
      <c r="B564" s="1285">
        <v>6</v>
      </c>
      <c r="C564" s="1285">
        <v>2.0000000000000284</v>
      </c>
      <c r="D564" s="1297">
        <v>17.000000000000018</v>
      </c>
      <c r="E564" s="1299" t="str">
        <f ca="1"/>
        <v/>
      </c>
      <c r="F564" s="1286" t="str">
        <f ca="1"/>
        <v/>
      </c>
      <c r="G564" s="1286" t="str">
        <f ca="1"/>
        <v/>
      </c>
      <c r="H564" s="1301" t="str">
        <f ca="1"/>
        <v/>
      </c>
      <c r="I564" s="1303" t="str">
        <f ca="1"/>
        <v/>
      </c>
      <c r="J564" s="1287" t="str">
        <f ca="1"/>
        <v/>
      </c>
      <c r="K564" s="1288" t="str">
        <f ca="1"/>
        <v xml:space="preserve">Description:
Details:
Aim:
</v>
      </c>
      <c r="L564" s="1287" t="str">
        <f ca="1"/>
        <v/>
      </c>
      <c r="M564" s="1287" t="str">
        <f ca="1"/>
        <v/>
      </c>
      <c r="N564" s="1287"/>
      <c r="O564" s="1323" t="str">
        <f ca="1"/>
        <v/>
      </c>
      <c r="P564" s="1287"/>
      <c r="Q564" s="1290" t="str">
        <f ca="1"/>
        <v/>
      </c>
    </row>
    <row r="565" spans="1:17" ht="27.75" hidden="1" customHeight="1" x14ac:dyDescent="0.45">
      <c r="A565" s="1289">
        <v>14</v>
      </c>
      <c r="B565" s="1285">
        <v>6</v>
      </c>
      <c r="C565" s="1285">
        <v>2.9999999999999716</v>
      </c>
      <c r="D565" s="1297">
        <v>18.000000000000014</v>
      </c>
      <c r="E565" s="1299" t="str">
        <f ca="1"/>
        <v/>
      </c>
      <c r="F565" s="1286" t="str">
        <f ca="1"/>
        <v/>
      </c>
      <c r="G565" s="1286" t="str">
        <f ca="1"/>
        <v/>
      </c>
      <c r="H565" s="1301" t="str">
        <f ca="1"/>
        <v/>
      </c>
      <c r="I565" s="1303" t="str">
        <f ca="1"/>
        <v/>
      </c>
      <c r="J565" s="1287" t="str">
        <f ca="1"/>
        <v/>
      </c>
      <c r="K565" s="1288" t="str">
        <f ca="1"/>
        <v xml:space="preserve">Description:
Details:
Aim:
</v>
      </c>
      <c r="L565" s="1287" t="str">
        <f ca="1"/>
        <v/>
      </c>
      <c r="M565" s="1287" t="str">
        <f ca="1"/>
        <v/>
      </c>
      <c r="N565" s="1287"/>
      <c r="O565" s="1323" t="str">
        <f ca="1"/>
        <v/>
      </c>
      <c r="P565" s="1287"/>
      <c r="Q565" s="1290" t="str">
        <f ca="1"/>
        <v/>
      </c>
    </row>
    <row r="566" spans="1:17" ht="27.75" hidden="1" customHeight="1" x14ac:dyDescent="0.45">
      <c r="A566" s="1289">
        <v>14</v>
      </c>
      <c r="B566" s="1285">
        <v>7</v>
      </c>
      <c r="C566" s="1285">
        <v>1</v>
      </c>
      <c r="D566" s="1297">
        <v>19.000000000000011</v>
      </c>
      <c r="E566" s="1299" t="str">
        <f ca="1"/>
        <v>Stay at a comfortable and controlled intensity where you should be able to have a conversation without large pauses. Keep an even intensity and accept that your pace may change as the terrain changes.</v>
      </c>
      <c r="F566" s="1286" t="str">
        <f ca="1"/>
        <v>Sport: Ride
WU/WD: No 
Effort Total: 40 minutes
HR Target: 138 BPM
HR Range: 129 - 148 BPM 
Flat Road Equivalent Pace: 4:39 min/km</v>
      </c>
      <c r="G566" s="1286" t="str">
        <f ca="1"/>
        <v xml:space="preserve">Improve aerobic fitness while minimising the chance of injury. </v>
      </c>
      <c r="H566" s="1301" t="str">
        <f ca="1"/>
        <v/>
      </c>
      <c r="I566" s="1303" t="str">
        <f ca="1"/>
        <v>Easy ride: 40 minutes</v>
      </c>
      <c r="J566" s="1287" t="str">
        <f ca="1"/>
        <v>Cycling</v>
      </c>
      <c r="K56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66" s="1287">
        <f ca="1"/>
        <v>110</v>
      </c>
      <c r="M566" s="1287">
        <f ca="1"/>
        <v>0.66666666666666663</v>
      </c>
      <c r="N566" s="1287"/>
      <c r="O566" s="1323" t="str">
        <f ca="1"/>
        <v>2019-01-03 06:00</v>
      </c>
      <c r="P566" s="1287"/>
      <c r="Q566" s="1290" t="str">
        <f ca="1"/>
        <v>Ride</v>
      </c>
    </row>
    <row r="567" spans="1:17" ht="27.75" hidden="1" customHeight="1" x14ac:dyDescent="0.45">
      <c r="A567" s="1289">
        <v>14</v>
      </c>
      <c r="B567" s="1285">
        <v>7</v>
      </c>
      <c r="C567" s="1285">
        <v>2.0000000000000284</v>
      </c>
      <c r="D567" s="1297">
        <v>20.000000000000007</v>
      </c>
      <c r="E567" s="1299" t="str">
        <f ca="1"/>
        <v/>
      </c>
      <c r="F567" s="1286" t="str">
        <f ca="1"/>
        <v/>
      </c>
      <c r="G567" s="1286" t="str">
        <f ca="1"/>
        <v/>
      </c>
      <c r="H567" s="1301" t="str">
        <f ca="1"/>
        <v/>
      </c>
      <c r="I567" s="1303" t="str">
        <f ca="1"/>
        <v/>
      </c>
      <c r="J567" s="1287" t="str">
        <f ca="1"/>
        <v/>
      </c>
      <c r="K567" s="1288" t="str">
        <f ca="1"/>
        <v xml:space="preserve">Description:
Details:
Aim:
</v>
      </c>
      <c r="L567" s="1287" t="str">
        <f ca="1"/>
        <v/>
      </c>
      <c r="M567" s="1287" t="str">
        <f ca="1"/>
        <v/>
      </c>
      <c r="N567" s="1287"/>
      <c r="O567" s="1323" t="str">
        <f ca="1"/>
        <v/>
      </c>
      <c r="P567" s="1287"/>
      <c r="Q567" s="1290" t="str">
        <f ca="1"/>
        <v/>
      </c>
    </row>
    <row r="568" spans="1:17" ht="27.75" hidden="1" customHeight="1" x14ac:dyDescent="0.45">
      <c r="A568" s="1289">
        <v>14</v>
      </c>
      <c r="B568" s="1285">
        <v>7</v>
      </c>
      <c r="C568" s="1285">
        <v>2.9999999999999716</v>
      </c>
      <c r="D568" s="1297">
        <v>21.000000000000004</v>
      </c>
      <c r="E568" s="1299" t="str">
        <f ca="1"/>
        <v/>
      </c>
      <c r="F568" s="1286" t="str">
        <f ca="1"/>
        <v/>
      </c>
      <c r="G568" s="1286" t="str">
        <f ca="1"/>
        <v/>
      </c>
      <c r="H568" s="1301" t="str">
        <f ca="1"/>
        <v/>
      </c>
      <c r="I568" s="1303" t="str">
        <f ca="1"/>
        <v/>
      </c>
      <c r="J568" s="1287" t="str">
        <f ca="1"/>
        <v/>
      </c>
      <c r="K568" s="1288" t="str">
        <f ca="1"/>
        <v xml:space="preserve">Description:
Details:
Aim:
</v>
      </c>
      <c r="L568" s="1287" t="str">
        <f ca="1"/>
        <v/>
      </c>
      <c r="M568" s="1287" t="str">
        <f ca="1"/>
        <v/>
      </c>
      <c r="N568" s="1287"/>
      <c r="O568" s="1323" t="str">
        <f ca="1"/>
        <v/>
      </c>
      <c r="P568" s="1287"/>
      <c r="Q568" s="1290" t="str">
        <f ca="1"/>
        <v/>
      </c>
    </row>
    <row r="569" spans="1:17" ht="27.75" hidden="1" customHeight="1" x14ac:dyDescent="0.45">
      <c r="A569" s="1289">
        <v>14</v>
      </c>
      <c r="B569" s="1285">
        <v>8</v>
      </c>
      <c r="C569" s="1285">
        <v>1</v>
      </c>
      <c r="D569" s="1297">
        <v>22</v>
      </c>
      <c r="E569" s="1299" t="str">
        <f ca="1"/>
        <v>Intervals are hard, but don't start so hard that you can't run the same pace for all intervals in the session. Forget about HR, and focus on feeling your intensity. Do the recoveries at an easy intensity. Warm up and warm down for 10 minutes each.</v>
      </c>
      <c r="F569" s="1286" t="str">
        <f ca="1"/>
        <v>Sport: Road Run
WU/WD: 15 minutes 
Effort Total: 18.6 minutes
HR Target: 188 BPM
HR Range: 184 - 192 BPM 
Flat Road Equivalent Pace: 3:06 min/km</v>
      </c>
      <c r="G569" s="1286" t="str">
        <f ca="1"/>
        <v xml:space="preserve">Improve VO2 max and develop metal toughness. </v>
      </c>
      <c r="H569" s="1301" t="str">
        <f ca="1"/>
        <v>Efforts of: 1km x3
And recoveries of: 1 minutes</v>
      </c>
      <c r="I569" s="1303" t="str">
        <f ca="1"/>
        <v>Intervals: II + WU/WD</v>
      </c>
      <c r="J569" s="1287" t="str">
        <f ca="1"/>
        <v>Running</v>
      </c>
      <c r="K569" s="1288"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18.6 minutes
HR Target: 188 BPM
HR Range: 184 - 192 BPM 
Flat Road Equivalent Pace: 3:06 min/km
Aim:
Improve VO2 max and develop metal toughness. </v>
      </c>
      <c r="L569" s="1287">
        <f ca="1"/>
        <v>44</v>
      </c>
      <c r="M569" s="1287">
        <f ca="1"/>
        <v>0.31</v>
      </c>
      <c r="N569" s="1287"/>
      <c r="O569" s="1323" t="str">
        <f ca="1"/>
        <v>2019-01-03 18:00</v>
      </c>
      <c r="P569" s="1287"/>
      <c r="Q569" s="1290" t="str">
        <f ca="1"/>
        <v>Road Run</v>
      </c>
    </row>
    <row r="570" spans="1:17" ht="27.75" hidden="1" customHeight="1" x14ac:dyDescent="0.45">
      <c r="A570" s="1289">
        <v>14</v>
      </c>
      <c r="B570" s="1285">
        <v>8</v>
      </c>
      <c r="C570" s="1285">
        <v>2.0000000000000284</v>
      </c>
      <c r="D570" s="1297">
        <v>22.999999999999996</v>
      </c>
      <c r="E570" s="1299" t="str">
        <f ca="1"/>
        <v/>
      </c>
      <c r="F570" s="1286" t="str">
        <f ca="1"/>
        <v/>
      </c>
      <c r="G570" s="1286" t="str">
        <f ca="1"/>
        <v/>
      </c>
      <c r="H570" s="1301" t="str">
        <f ca="1"/>
        <v/>
      </c>
      <c r="I570" s="1303" t="str">
        <f ca="1"/>
        <v/>
      </c>
      <c r="J570" s="1287" t="str">
        <f ca="1"/>
        <v/>
      </c>
      <c r="K570" s="1288" t="str">
        <f ca="1"/>
        <v xml:space="preserve">Description:
Details:
Aim:
</v>
      </c>
      <c r="L570" s="1287" t="str">
        <f ca="1"/>
        <v/>
      </c>
      <c r="M570" s="1287" t="str">
        <f ca="1"/>
        <v/>
      </c>
      <c r="N570" s="1287"/>
      <c r="O570" s="1323" t="str">
        <f ca="1"/>
        <v/>
      </c>
      <c r="P570" s="1287"/>
      <c r="Q570" s="1290" t="str">
        <f ca="1"/>
        <v/>
      </c>
    </row>
    <row r="571" spans="1:17" ht="27.75" hidden="1" customHeight="1" x14ac:dyDescent="0.45">
      <c r="A571" s="1289">
        <v>14</v>
      </c>
      <c r="B571" s="1285">
        <v>8</v>
      </c>
      <c r="C571" s="1285">
        <v>2.9999999999999716</v>
      </c>
      <c r="D571" s="1297">
        <v>23.999999999999993</v>
      </c>
      <c r="E571" s="1299" t="str">
        <f ca="1"/>
        <v/>
      </c>
      <c r="F571" s="1286" t="str">
        <f ca="1"/>
        <v/>
      </c>
      <c r="G571" s="1286" t="str">
        <f ca="1"/>
        <v/>
      </c>
      <c r="H571" s="1301" t="str">
        <f ca="1"/>
        <v/>
      </c>
      <c r="I571" s="1303" t="str">
        <f ca="1"/>
        <v/>
      </c>
      <c r="J571" s="1287" t="str">
        <f ca="1"/>
        <v/>
      </c>
      <c r="K571" s="1288" t="str">
        <f ca="1"/>
        <v xml:space="preserve">Description:
Details:
Aim:
</v>
      </c>
      <c r="L571" s="1287" t="str">
        <f ca="1"/>
        <v/>
      </c>
      <c r="M571" s="1287" t="str">
        <f ca="1"/>
        <v/>
      </c>
      <c r="N571" s="1287"/>
      <c r="O571" s="1323" t="str">
        <f ca="1"/>
        <v/>
      </c>
      <c r="P571" s="1287"/>
      <c r="Q571" s="1290" t="str">
        <f ca="1"/>
        <v/>
      </c>
    </row>
    <row r="572" spans="1:17" ht="27.75" hidden="1" customHeight="1" x14ac:dyDescent="0.45">
      <c r="A572" s="1289">
        <v>14</v>
      </c>
      <c r="B572" s="1285">
        <v>9</v>
      </c>
      <c r="C572" s="1285">
        <v>1</v>
      </c>
      <c r="D572" s="1297">
        <v>24.999999999999989</v>
      </c>
      <c r="E572" s="1299" t="str">
        <f ca="1"/>
        <v>Stay at a comfortable and controlled intensity where you should be able to have a conversation without large pauses. Keep an even intensity and accept that your pace may change as the terrain changes.</v>
      </c>
      <c r="F572" s="1286" t="str">
        <f ca="1"/>
        <v>Sport: Ride
WU/WD: No 
Effort Total: 40 minutes
HR Target: 138 BPM
HR Range: 129 - 148 BPM 
Flat Road Equivalent Pace: 4:39 min/km</v>
      </c>
      <c r="G572" s="1286" t="str">
        <f ca="1"/>
        <v xml:space="preserve">Improve aerobic fitness while minimising the chance of injury. </v>
      </c>
      <c r="H572" s="1301" t="str">
        <f ca="1"/>
        <v/>
      </c>
      <c r="I572" s="1303" t="str">
        <f ca="1"/>
        <v>Easy ride: 40 minutes</v>
      </c>
      <c r="J572" s="1287" t="str">
        <f ca="1"/>
        <v>Cycling</v>
      </c>
      <c r="K57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40 minutes
HR Target: 138 BPM
HR Range: 129 - 148 BPM 
Flat Road Equivalent Pace: 4:39 min/km
Aim:
Improve aerobic fitness while minimising the chance of injury. </v>
      </c>
      <c r="L572" s="1287">
        <f ca="1"/>
        <v>110</v>
      </c>
      <c r="M572" s="1287">
        <f ca="1"/>
        <v>0.66666666666666663</v>
      </c>
      <c r="N572" s="1287"/>
      <c r="O572" s="1323" t="str">
        <f ca="1"/>
        <v>2019-01-04 06:00</v>
      </c>
      <c r="P572" s="1287"/>
      <c r="Q572" s="1290" t="str">
        <f ca="1"/>
        <v>Ride</v>
      </c>
    </row>
    <row r="573" spans="1:17" ht="27.75" hidden="1" customHeight="1" x14ac:dyDescent="0.45">
      <c r="A573" s="1289">
        <v>14</v>
      </c>
      <c r="B573" s="1285">
        <v>9</v>
      </c>
      <c r="C573" s="1285">
        <v>2.0000000000000284</v>
      </c>
      <c r="D573" s="1297">
        <v>25.999999999999986</v>
      </c>
      <c r="E573" s="1299" t="str">
        <f ca="1"/>
        <v/>
      </c>
      <c r="F573" s="1286" t="str">
        <f ca="1"/>
        <v/>
      </c>
      <c r="G573" s="1286" t="str">
        <f ca="1"/>
        <v/>
      </c>
      <c r="H573" s="1301" t="str">
        <f ca="1"/>
        <v/>
      </c>
      <c r="I573" s="1303" t="str">
        <f ca="1"/>
        <v/>
      </c>
      <c r="J573" s="1287" t="str">
        <f ca="1"/>
        <v/>
      </c>
      <c r="K573" s="1288" t="str">
        <f ca="1"/>
        <v xml:space="preserve">Description:
Details:
Aim:
</v>
      </c>
      <c r="L573" s="1287" t="str">
        <f ca="1"/>
        <v/>
      </c>
      <c r="M573" s="1287" t="str">
        <f ca="1"/>
        <v/>
      </c>
      <c r="N573" s="1287"/>
      <c r="O573" s="1323" t="str">
        <f ca="1"/>
        <v/>
      </c>
      <c r="P573" s="1287"/>
      <c r="Q573" s="1290" t="str">
        <f ca="1"/>
        <v/>
      </c>
    </row>
    <row r="574" spans="1:17" ht="27.75" hidden="1" customHeight="1" x14ac:dyDescent="0.45">
      <c r="A574" s="1289">
        <v>14</v>
      </c>
      <c r="B574" s="1285">
        <v>9</v>
      </c>
      <c r="C574" s="1285">
        <v>2.9999999999999716</v>
      </c>
      <c r="D574" s="1297">
        <v>26.999999999999982</v>
      </c>
      <c r="E574" s="1299" t="str">
        <f ca="1"/>
        <v/>
      </c>
      <c r="F574" s="1286" t="str">
        <f ca="1"/>
        <v/>
      </c>
      <c r="G574" s="1286" t="str">
        <f ca="1"/>
        <v/>
      </c>
      <c r="H574" s="1301" t="str">
        <f ca="1"/>
        <v/>
      </c>
      <c r="I574" s="1303" t="str">
        <f ca="1"/>
        <v/>
      </c>
      <c r="J574" s="1287" t="str">
        <f ca="1"/>
        <v/>
      </c>
      <c r="K574" s="1288" t="str">
        <f ca="1"/>
        <v xml:space="preserve">Description:
Details:
Aim:
</v>
      </c>
      <c r="L574" s="1287" t="str">
        <f ca="1"/>
        <v/>
      </c>
      <c r="M574" s="1287" t="str">
        <f ca="1"/>
        <v/>
      </c>
      <c r="N574" s="1287"/>
      <c r="O574" s="1323" t="str">
        <f ca="1"/>
        <v/>
      </c>
      <c r="P574" s="1287"/>
      <c r="Q574" s="1290" t="str">
        <f ca="1"/>
        <v/>
      </c>
    </row>
    <row r="575" spans="1:17" ht="27.75" hidden="1" customHeight="1" x14ac:dyDescent="0.45">
      <c r="A575" s="1289">
        <v>14</v>
      </c>
      <c r="B575" s="1285">
        <v>9</v>
      </c>
      <c r="C575" s="1285">
        <v>1</v>
      </c>
      <c r="D575" s="1297">
        <v>27.999999999999979</v>
      </c>
      <c r="E575" s="1299" t="str">
        <f ca="1"/>
        <v>Stay at a comfortable and controlled intensity where you should be able to have a conversation without large pauses. Keep an even intensity and accept that your pace may change as the terrain changes.</v>
      </c>
      <c r="F575" s="1286" t="str">
        <f ca="1"/>
        <v>Sport: Ride
WU/WD: No 
Effort Total: 30 minutes
HR Target: 138 BPM
HR Range: 129 - 148 BPM 
Flat Road Equivalent Pace: 4:39 min/km</v>
      </c>
      <c r="G575" s="1286" t="str">
        <f ca="1"/>
        <v xml:space="preserve">Improve aerobic fitness while minimising the chance of injury. </v>
      </c>
      <c r="H575" s="1301" t="str">
        <f ca="1"/>
        <v/>
      </c>
      <c r="I575" s="1303" t="str">
        <f ca="1"/>
        <v>Strength and conditioning</v>
      </c>
      <c r="J575" s="1287" t="str">
        <f ca="1"/>
        <v>Cycling</v>
      </c>
      <c r="K575"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75" s="1287">
        <f ca="1"/>
        <v>110</v>
      </c>
      <c r="M575" s="1287">
        <f ca="1"/>
        <v>0.5</v>
      </c>
      <c r="N575" s="1287"/>
      <c r="O575" s="1323" t="str">
        <f ca="1"/>
        <v>2019-01-04 06:00</v>
      </c>
      <c r="P575" s="1287"/>
      <c r="Q575" s="1290" t="str">
        <f ca="1"/>
        <v>Ride</v>
      </c>
    </row>
    <row r="576" spans="1:17" ht="27.75" hidden="1" customHeight="1" x14ac:dyDescent="0.45">
      <c r="A576" s="1289">
        <v>14</v>
      </c>
      <c r="B576" s="1285">
        <v>10</v>
      </c>
      <c r="C576" s="1285">
        <v>2.0000000000000284</v>
      </c>
      <c r="D576" s="1297">
        <v>28.999999999999975</v>
      </c>
      <c r="E576" s="1299" t="str">
        <f ca="1"/>
        <v>Use a hands, rollers, or balls on all major muscle groups with extra time on more sensitive or problematic areas or as guided by a coach or physio. Finish with 20 minutes of lower-limb stretching.</v>
      </c>
      <c r="F576" s="1286" t="str">
        <f ca="1"/>
        <v>Sport: Indoor
WU/WD: No 
Effort Total: 30 minutes
HR Target: N/A BPM
HR Range: N/A BPM 
Flat Road Equivalent Pace:  min/km</v>
      </c>
      <c r="G576" s="1286" t="str">
        <f ca="1"/>
        <v xml:space="preserve">Release tension that develops in soft tissue from training and non-training stresses. </v>
      </c>
      <c r="H576" s="1301" t="str">
        <f ca="1"/>
        <v/>
      </c>
      <c r="I576" s="1303" t="str">
        <f ca="1"/>
        <v>Maintenance</v>
      </c>
      <c r="J576" s="1287" t="str">
        <f ca="1"/>
        <v>Strength</v>
      </c>
      <c r="K576"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76" s="1287">
        <f ca="1"/>
        <v>76</v>
      </c>
      <c r="M576" s="1287">
        <f ca="1"/>
        <v>0.5</v>
      </c>
      <c r="N576" s="1287"/>
      <c r="O576" s="1323" t="str">
        <f ca="1"/>
        <v>2019-01-04 20:00</v>
      </c>
      <c r="P576" s="1287"/>
      <c r="Q576" s="1290" t="str">
        <f ca="1"/>
        <v>Indoor</v>
      </c>
    </row>
    <row r="577" spans="1:17" ht="27.75" hidden="1" customHeight="1" x14ac:dyDescent="0.45">
      <c r="A577" s="1289">
        <v>14</v>
      </c>
      <c r="B577" s="1285">
        <v>10</v>
      </c>
      <c r="C577" s="1285">
        <v>2.9999999999999716</v>
      </c>
      <c r="D577" s="1297">
        <v>29.999999999999972</v>
      </c>
      <c r="E577" s="1299" t="str">
        <f ca="1"/>
        <v/>
      </c>
      <c r="F577" s="1286" t="str">
        <f ca="1"/>
        <v/>
      </c>
      <c r="G577" s="1286" t="str">
        <f ca="1"/>
        <v/>
      </c>
      <c r="H577" s="1301" t="str">
        <f ca="1"/>
        <v/>
      </c>
      <c r="I577" s="1303" t="str">
        <f ca="1"/>
        <v/>
      </c>
      <c r="J577" s="1287" t="str">
        <f ca="1"/>
        <v/>
      </c>
      <c r="K577" s="1288" t="str">
        <f ca="1"/>
        <v xml:space="preserve">Description:
Details:
Aim:
</v>
      </c>
      <c r="L577" s="1287" t="str">
        <f ca="1"/>
        <v/>
      </c>
      <c r="M577" s="1287" t="str">
        <f ca="1"/>
        <v/>
      </c>
      <c r="N577" s="1287"/>
      <c r="O577" s="1323" t="str">
        <f ca="1"/>
        <v/>
      </c>
      <c r="P577" s="1287"/>
      <c r="Q577" s="1290" t="str">
        <f ca="1"/>
        <v/>
      </c>
    </row>
    <row r="578" spans="1:17" ht="27.75" hidden="1" customHeight="1" x14ac:dyDescent="0.45">
      <c r="A578" s="1289">
        <v>14</v>
      </c>
      <c r="B578" s="1285">
        <v>10</v>
      </c>
      <c r="C578" s="1285">
        <v>1</v>
      </c>
      <c r="D578" s="1297">
        <v>30.999999999999968</v>
      </c>
      <c r="E578" s="1299" t="str">
        <f ca="1"/>
        <v>Perform a variety of specialised exercises to engage specific muscles. These sessions must be learned with a coach first but are relatively easy to continue with on your own. Demonstrate control and focus on posture and muscle activation.</v>
      </c>
      <c r="F578" s="1286" t="str">
        <f ca="1"/>
        <v>Sport: Indoor
WU/WD: No 
Effort Total: 95 minutes
HR Target: N/A BPM
HR Range: N/A BPM 
Flat Road Equivalent Pace:  min/km</v>
      </c>
      <c r="G578" s="1286" t="str">
        <f ca="1"/>
        <v xml:space="preserve">Increase strength of specific muscle groups, running economy and injury resistance. </v>
      </c>
      <c r="H578" s="1301" t="str">
        <f ca="1"/>
        <v/>
      </c>
      <c r="I578" s="1303" t="str">
        <f ca="1"/>
        <v>Steady hilly trail run: 95 minutes</v>
      </c>
      <c r="J578" s="1287" t="str">
        <f ca="1"/>
        <v>Strength</v>
      </c>
      <c r="K578"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95 minutes
HR Target: N/A BPM
HR Range: N/A BPM 
Flat Road Equivalent Pace:  min/km
Aim:
Increase strength of specific muscle groups, running economy and injury resistance. </v>
      </c>
      <c r="L578" s="1287">
        <f ca="1"/>
        <v>76</v>
      </c>
      <c r="M578" s="1287">
        <f ca="1"/>
        <v>1.5833333333333333</v>
      </c>
      <c r="N578" s="1287"/>
      <c r="O578" s="1323" t="str">
        <f ca="1"/>
        <v>2019-01-04 18:00</v>
      </c>
      <c r="P578" s="1287"/>
      <c r="Q578" s="1290" t="str">
        <f ca="1"/>
        <v>Indoor</v>
      </c>
    </row>
    <row r="579" spans="1:17" ht="27.75" hidden="1" customHeight="1" x14ac:dyDescent="0.45">
      <c r="A579" s="1289">
        <v>14</v>
      </c>
      <c r="B579" s="1285">
        <v>11</v>
      </c>
      <c r="C579" s="1285">
        <v>2.0000000000000284</v>
      </c>
      <c r="D579" s="1297">
        <v>31.999999999999964</v>
      </c>
      <c r="E579" s="1299" t="str">
        <f ca="1"/>
        <v/>
      </c>
      <c r="F579" s="1286" t="str">
        <f ca="1"/>
        <v/>
      </c>
      <c r="G579" s="1286" t="str">
        <f ca="1"/>
        <v/>
      </c>
      <c r="H579" s="1301" t="str">
        <f ca="1"/>
        <v/>
      </c>
      <c r="I579" s="1303" t="str">
        <f ca="1"/>
        <v/>
      </c>
      <c r="J579" s="1287" t="str">
        <f ca="1"/>
        <v/>
      </c>
      <c r="K579" s="1288" t="str">
        <f ca="1"/>
        <v xml:space="preserve">Description:
Details:
Aim:
</v>
      </c>
      <c r="L579" s="1287" t="str">
        <f ca="1"/>
        <v/>
      </c>
      <c r="M579" s="1287" t="str">
        <f ca="1"/>
        <v/>
      </c>
      <c r="N579" s="1287"/>
      <c r="O579" s="1323" t="str">
        <f ca="1"/>
        <v/>
      </c>
      <c r="P579" s="1287"/>
      <c r="Q579" s="1290" t="str">
        <f ca="1"/>
        <v/>
      </c>
    </row>
    <row r="580" spans="1:17" ht="27.75" hidden="1" customHeight="1" x14ac:dyDescent="0.45">
      <c r="A580" s="1289">
        <v>14</v>
      </c>
      <c r="B580" s="1285">
        <v>11</v>
      </c>
      <c r="C580" s="1285">
        <v>2.9999999999999716</v>
      </c>
      <c r="D580" s="1297">
        <v>33.000000000000036</v>
      </c>
      <c r="E580" s="1299" t="str">
        <f ca="1"/>
        <v/>
      </c>
      <c r="F580" s="1286" t="str">
        <f ca="1"/>
        <v/>
      </c>
      <c r="G580" s="1286" t="str">
        <f ca="1"/>
        <v/>
      </c>
      <c r="H580" s="1301" t="str">
        <f ca="1"/>
        <v/>
      </c>
      <c r="I580" s="1303" t="str">
        <f ca="1"/>
        <v/>
      </c>
      <c r="J580" s="1287" t="str">
        <f ca="1"/>
        <v/>
      </c>
      <c r="K580" s="1288" t="str">
        <f ca="1"/>
        <v xml:space="preserve">Description:
Details:
Aim:
</v>
      </c>
      <c r="L580" s="1287" t="str">
        <f ca="1"/>
        <v/>
      </c>
      <c r="M580" s="1287" t="str">
        <f ca="1"/>
        <v/>
      </c>
      <c r="N580" s="1287"/>
      <c r="O580" s="1323" t="str">
        <f ca="1"/>
        <v/>
      </c>
      <c r="P580" s="1287"/>
      <c r="Q580" s="1290" t="str">
        <f ca="1"/>
        <v/>
      </c>
    </row>
    <row r="581" spans="1:17" ht="27.75" hidden="1" customHeight="1" x14ac:dyDescent="0.45">
      <c r="A581" s="1289">
        <v>14</v>
      </c>
      <c r="B581" s="1285">
        <v>12</v>
      </c>
      <c r="C581" s="1285">
        <v>1</v>
      </c>
      <c r="D581" s="1297">
        <v>34.000000000000028</v>
      </c>
      <c r="E581" s="1299" t="str">
        <f ca="1"/>
        <v>Stay at a comfortable and controlled intensity where you should be able to have a conversation without large pauses. Keep an even intensity and accept that your pace may change as the terrain changes.</v>
      </c>
      <c r="F581" s="1286" t="str">
        <f ca="1"/>
        <v>Sport: Road Ride
WU/WD: No 
Effort Total: 80 minutes
HR Target: 138 BPM
HR Range: 129 - 148 BPM 
Flat Road Equivalent Pace: 4:39 min/km</v>
      </c>
      <c r="G581" s="1286" t="str">
        <f ca="1"/>
        <v xml:space="preserve">Improve aerobic fitness while minimising the chance of injury. </v>
      </c>
      <c r="H581" s="1301" t="str">
        <f ca="1"/>
        <v/>
      </c>
      <c r="I581" s="1303" t="str">
        <f ca="1"/>
        <v>Easy road ride: 80 minutes</v>
      </c>
      <c r="J581" s="1287" t="str">
        <f ca="1"/>
        <v>Cycling</v>
      </c>
      <c r="K581"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80 minutes
HR Target: 138 BPM
HR Range: 129 - 148 BPM 
Flat Road Equivalent Pace: 4:39 min/km
Aim:
Improve aerobic fitness while minimising the chance of injury. </v>
      </c>
      <c r="L581" s="1287">
        <f ca="1"/>
        <v>101</v>
      </c>
      <c r="M581" s="1287">
        <f ca="1"/>
        <v>1.3333333333333333</v>
      </c>
      <c r="N581" s="1287"/>
      <c r="O581" s="1323" t="str">
        <f ca="1"/>
        <v>2019-01-05 18:00</v>
      </c>
      <c r="P581" s="1287"/>
      <c r="Q581" s="1290" t="str">
        <f ca="1"/>
        <v>Road Ride</v>
      </c>
    </row>
    <row r="582" spans="1:17" ht="27.75" hidden="1" customHeight="1" x14ac:dyDescent="0.45">
      <c r="A582" s="1289">
        <v>14</v>
      </c>
      <c r="B582" s="1285">
        <v>12</v>
      </c>
      <c r="C582" s="1285">
        <v>2.0000000000000284</v>
      </c>
      <c r="D582" s="1297">
        <v>35.000000000000028</v>
      </c>
      <c r="E582" s="1299" t="str">
        <f ca="1"/>
        <v/>
      </c>
      <c r="F582" s="1286" t="str">
        <f ca="1"/>
        <v/>
      </c>
      <c r="G582" s="1286" t="str">
        <f ca="1"/>
        <v/>
      </c>
      <c r="H582" s="1301" t="str">
        <f ca="1"/>
        <v/>
      </c>
      <c r="I582" s="1303" t="str">
        <f ca="1"/>
        <v/>
      </c>
      <c r="J582" s="1287" t="str">
        <f ca="1"/>
        <v/>
      </c>
      <c r="K582" s="1288" t="str">
        <f ca="1"/>
        <v xml:space="preserve">Description:
Details:
Aim:
</v>
      </c>
      <c r="L582" s="1287" t="str">
        <f ca="1"/>
        <v/>
      </c>
      <c r="M582" s="1287" t="str">
        <f ca="1"/>
        <v/>
      </c>
      <c r="N582" s="1287"/>
      <c r="O582" s="1323" t="str">
        <f ca="1"/>
        <v/>
      </c>
      <c r="P582" s="1287"/>
      <c r="Q582" s="1290" t="str">
        <f ca="1"/>
        <v/>
      </c>
    </row>
    <row r="583" spans="1:17" ht="27.75" hidden="1" customHeight="1" x14ac:dyDescent="0.45">
      <c r="A583" s="1289">
        <v>14</v>
      </c>
      <c r="B583" s="1285">
        <v>12</v>
      </c>
      <c r="C583" s="1285">
        <v>2.9999999999999716</v>
      </c>
      <c r="D583" s="1297">
        <v>36.000000000000028</v>
      </c>
      <c r="E583" s="1299" t="str">
        <f ca="1"/>
        <v/>
      </c>
      <c r="F583" s="1286" t="str">
        <f ca="1"/>
        <v/>
      </c>
      <c r="G583" s="1286" t="str">
        <f ca="1"/>
        <v/>
      </c>
      <c r="H583" s="1301" t="str">
        <f ca="1"/>
        <v/>
      </c>
      <c r="I583" s="1303" t="str">
        <f ca="1"/>
        <v/>
      </c>
      <c r="J583" s="1287" t="str">
        <f ca="1"/>
        <v/>
      </c>
      <c r="K583" s="1288" t="str">
        <f ca="1"/>
        <v xml:space="preserve">Description:
Details:
Aim:
</v>
      </c>
      <c r="L583" s="1287" t="str">
        <f ca="1"/>
        <v/>
      </c>
      <c r="M583" s="1287" t="str">
        <f ca="1"/>
        <v/>
      </c>
      <c r="N583" s="1287"/>
      <c r="O583" s="1323" t="str">
        <f ca="1"/>
        <v/>
      </c>
      <c r="P583" s="1287"/>
      <c r="Q583" s="1290" t="str">
        <f ca="1"/>
        <v/>
      </c>
    </row>
    <row r="584" spans="1:17" ht="27.75" hidden="1" customHeight="1" x14ac:dyDescent="0.45">
      <c r="A584" s="1289">
        <v>14</v>
      </c>
      <c r="B584" s="1285">
        <v>13</v>
      </c>
      <c r="C584" s="1285">
        <v>1</v>
      </c>
      <c r="D584" s="1297">
        <v>37.000000000000021</v>
      </c>
      <c r="E584" s="1299" t="str">
        <f ca="1"/>
        <v xml:space="preserve">Fundamentally a steady, but you can be less strict at controlling your intensity as long as your average intensity is close to it's target by the end of the session </v>
      </c>
      <c r="F584" s="1286" t="str">
        <f ca="1"/>
        <v>Sport: Hilly Trail Run
WU/WD: No 
Effort Total: 160 minutes
HR Target: 148 BPM
HR Range: 129 - 169 BPM 
Flat Road Equivalent Pace: 4:14 min/km</v>
      </c>
      <c r="G584" s="1286" t="str">
        <f ca="1"/>
        <v xml:space="preserve">Improve aerobic fitness and energy utilisation. </v>
      </c>
      <c r="H584" s="1301" t="str">
        <f ca="1"/>
        <v/>
      </c>
      <c r="I584" s="1303" t="str">
        <f ca="1"/>
        <v>Long hilly trail run: 160 minutes</v>
      </c>
      <c r="J584" s="1287" t="str">
        <f ca="1"/>
        <v>Trail Running</v>
      </c>
      <c r="K584" s="1288" t="str">
        <f ca="1"/>
        <v xml:space="preserve">Description:
Fundamentally a steady, but you can be less strict at controlling your intensity as long as your average intensity is close to it's target by the end of the session 
Details:
Sport: Hilly Trail Run
WU/WD: No 
Effort Total: 160 minutes
HR Target: 148 BPM
HR Range: 129 - 169 BPM 
Flat Road Equivalent Pace: 4:14 min/km
Aim:
Improve aerobic fitness and energy utilisation. </v>
      </c>
      <c r="L584" s="1287">
        <f ca="1"/>
        <v>4</v>
      </c>
      <c r="M584" s="1287">
        <f ca="1"/>
        <v>2.6666666666666665</v>
      </c>
      <c r="N584" s="1287"/>
      <c r="O584" s="1323" t="str">
        <f ca="1"/>
        <v>2019-01-06 06:00</v>
      </c>
      <c r="P584" s="1287"/>
      <c r="Q584" s="1290" t="str">
        <f ca="1"/>
        <v>Hilly Trail Run</v>
      </c>
    </row>
    <row r="585" spans="1:17" ht="27.75" hidden="1" customHeight="1" x14ac:dyDescent="0.45">
      <c r="A585" s="1289">
        <v>14</v>
      </c>
      <c r="B585" s="1285">
        <v>13</v>
      </c>
      <c r="C585" s="1285">
        <v>2.0000000000000284</v>
      </c>
      <c r="D585" s="1297">
        <v>38.000000000000014</v>
      </c>
      <c r="E585" s="1299" t="str">
        <f ca="1"/>
        <v/>
      </c>
      <c r="F585" s="1286" t="str">
        <f ca="1"/>
        <v/>
      </c>
      <c r="G585" s="1286" t="str">
        <f ca="1"/>
        <v/>
      </c>
      <c r="H585" s="1301" t="str">
        <f ca="1"/>
        <v/>
      </c>
      <c r="I585" s="1303" t="str">
        <f ca="1"/>
        <v/>
      </c>
      <c r="J585" s="1287" t="str">
        <f ca="1"/>
        <v/>
      </c>
      <c r="K585" s="1288" t="str">
        <f ca="1"/>
        <v xml:space="preserve">Description:
Details:
Aim:
</v>
      </c>
      <c r="L585" s="1287" t="str">
        <f ca="1"/>
        <v/>
      </c>
      <c r="M585" s="1287" t="str">
        <f ca="1"/>
        <v/>
      </c>
      <c r="N585" s="1287"/>
      <c r="O585" s="1323" t="str">
        <f ca="1"/>
        <v/>
      </c>
      <c r="P585" s="1287"/>
      <c r="Q585" s="1290" t="str">
        <f ca="1"/>
        <v/>
      </c>
    </row>
    <row r="586" spans="1:17" ht="27.75" hidden="1" customHeight="1" x14ac:dyDescent="0.45">
      <c r="A586" s="1289">
        <v>14</v>
      </c>
      <c r="B586" s="1285">
        <v>13</v>
      </c>
      <c r="C586" s="1285">
        <v>2.9999999999999716</v>
      </c>
      <c r="D586" s="1297">
        <v>39.000000000000014</v>
      </c>
      <c r="E586" s="1299" t="str">
        <f ca="1"/>
        <v/>
      </c>
      <c r="F586" s="1286" t="str">
        <f ca="1"/>
        <v/>
      </c>
      <c r="G586" s="1286" t="str">
        <f ca="1"/>
        <v/>
      </c>
      <c r="H586" s="1301" t="str">
        <f ca="1"/>
        <v/>
      </c>
      <c r="I586" s="1303" t="str">
        <f ca="1"/>
        <v/>
      </c>
      <c r="J586" s="1287" t="str">
        <f ca="1"/>
        <v/>
      </c>
      <c r="K586" s="1288" t="str">
        <f ca="1"/>
        <v xml:space="preserve">Description:
Details:
Aim:
</v>
      </c>
      <c r="L586" s="1287" t="str">
        <f ca="1"/>
        <v/>
      </c>
      <c r="M586" s="1287" t="str">
        <f ca="1"/>
        <v/>
      </c>
      <c r="N586" s="1287"/>
      <c r="O586" s="1323" t="str">
        <f ca="1"/>
        <v/>
      </c>
      <c r="P586" s="1287"/>
      <c r="Q586" s="1290" t="str">
        <f ca="1"/>
        <v/>
      </c>
    </row>
    <row r="587" spans="1:17" ht="27.75" hidden="1" customHeight="1" x14ac:dyDescent="0.45">
      <c r="A587" s="1289">
        <v>14</v>
      </c>
      <c r="B587" s="1285">
        <v>14</v>
      </c>
      <c r="C587" s="1285">
        <v>1</v>
      </c>
      <c r="D587" s="1297">
        <v>40.000000000000014</v>
      </c>
      <c r="E587" s="1299" t="str">
        <f ca="1"/>
        <v/>
      </c>
      <c r="F587" s="1286" t="str">
        <f ca="1"/>
        <v/>
      </c>
      <c r="G587" s="1286" t="str">
        <f ca="1"/>
        <v/>
      </c>
      <c r="H587" s="1301" t="str">
        <f ca="1"/>
        <v/>
      </c>
      <c r="I587" s="1303" t="str">
        <f ca="1"/>
        <v/>
      </c>
      <c r="J587" s="1287" t="str">
        <f ca="1"/>
        <v/>
      </c>
      <c r="K587" s="1288" t="str">
        <f ca="1"/>
        <v xml:space="preserve">Description:
Details:
Aim:
</v>
      </c>
      <c r="L587" s="1287" t="str">
        <f ca="1"/>
        <v/>
      </c>
      <c r="M587" s="1287" t="str">
        <f ca="1"/>
        <v/>
      </c>
      <c r="N587" s="1287"/>
      <c r="O587" s="1323" t="str">
        <f ca="1"/>
        <v/>
      </c>
      <c r="P587" s="1287"/>
      <c r="Q587" s="1290" t="str">
        <f ca="1"/>
        <v/>
      </c>
    </row>
    <row r="588" spans="1:17" ht="27.75" hidden="1" customHeight="1" x14ac:dyDescent="0.45">
      <c r="A588" s="1289">
        <v>14</v>
      </c>
      <c r="B588" s="1285">
        <v>14</v>
      </c>
      <c r="C588" s="1285">
        <v>2.0000000000000284</v>
      </c>
      <c r="D588" s="1297">
        <v>41.000000000000007</v>
      </c>
      <c r="E588" s="1299" t="str">
        <f ca="1"/>
        <v/>
      </c>
      <c r="F588" s="1286" t="str">
        <f ca="1"/>
        <v/>
      </c>
      <c r="G588" s="1286" t="str">
        <f ca="1"/>
        <v/>
      </c>
      <c r="H588" s="1301" t="str">
        <f ca="1"/>
        <v/>
      </c>
      <c r="I588" s="1303" t="str">
        <f ca="1"/>
        <v/>
      </c>
      <c r="J588" s="1287" t="str">
        <f ca="1"/>
        <v/>
      </c>
      <c r="K588" s="1288" t="str">
        <f ca="1"/>
        <v xml:space="preserve">Description:
Details:
Aim:
</v>
      </c>
      <c r="L588" s="1287" t="str">
        <f ca="1"/>
        <v/>
      </c>
      <c r="M588" s="1287" t="str">
        <f ca="1"/>
        <v/>
      </c>
      <c r="N588" s="1287"/>
      <c r="O588" s="1323" t="str">
        <f ca="1"/>
        <v/>
      </c>
      <c r="P588" s="1287"/>
      <c r="Q588" s="1290" t="str">
        <f ca="1"/>
        <v/>
      </c>
    </row>
    <row r="589" spans="1:17" ht="27.75" hidden="1" customHeight="1" x14ac:dyDescent="0.45">
      <c r="A589" s="1289">
        <v>14</v>
      </c>
      <c r="B589" s="1285">
        <v>14</v>
      </c>
      <c r="C589" s="1285">
        <v>2.9999999999999716</v>
      </c>
      <c r="D589" s="1297">
        <v>42</v>
      </c>
      <c r="E589" s="1299" t="str">
        <f ca="1"/>
        <v/>
      </c>
      <c r="F589" s="1286" t="str">
        <f ca="1"/>
        <v/>
      </c>
      <c r="G589" s="1286" t="str">
        <f ca="1"/>
        <v/>
      </c>
      <c r="H589" s="1301" t="str">
        <f ca="1"/>
        <v/>
      </c>
      <c r="I589" s="1303" t="str">
        <f ca="1"/>
        <v/>
      </c>
      <c r="J589" s="1287" t="str">
        <f ca="1"/>
        <v/>
      </c>
      <c r="K589" s="1288" t="str">
        <f ca="1"/>
        <v xml:space="preserve">Description:
Details:
Aim:
</v>
      </c>
      <c r="L589" s="1287" t="str">
        <f ca="1"/>
        <v/>
      </c>
      <c r="M589" s="1287" t="str">
        <f ca="1"/>
        <v/>
      </c>
      <c r="N589" s="1287"/>
      <c r="O589" s="1323" t="str">
        <f ca="1"/>
        <v/>
      </c>
      <c r="P589" s="1287"/>
      <c r="Q589" s="1290" t="str">
        <f ca="1"/>
        <v/>
      </c>
    </row>
    <row r="590" spans="1:17" ht="27.75" hidden="1" customHeight="1" x14ac:dyDescent="0.45">
      <c r="A590" s="1289">
        <v>15</v>
      </c>
      <c r="B590" s="1285">
        <v>1</v>
      </c>
      <c r="C590" s="1285">
        <v>1</v>
      </c>
      <c r="D590" s="1297">
        <v>1</v>
      </c>
      <c r="E590" s="1299" t="str">
        <f ca="1"/>
        <v>Stay at a comfortable and controlled intensity where you should be able to have a conversation without large pauses. Keep an even intensity and accept that your pace may change as the terrain changes.</v>
      </c>
      <c r="F590" s="1286" t="str">
        <f ca="1"/>
        <v>Sport: Ride
WU/WD: No 
Effort Total: 30 minutes
HR Target: 138 BPM
HR Range: 129 - 148 BPM 
Flat Road Equivalent Pace: 4:39 min/km</v>
      </c>
      <c r="G590" s="1286" t="str">
        <f ca="1"/>
        <v xml:space="preserve">Improve aerobic fitness while minimising the chance of injury. </v>
      </c>
      <c r="H590" s="1301" t="str">
        <f ca="1"/>
        <v/>
      </c>
      <c r="I590" s="1303" t="str">
        <f ca="1"/>
        <v>Easy ride: 30 minutes</v>
      </c>
      <c r="J590" s="1287" t="str">
        <f ca="1"/>
        <v>Cycling</v>
      </c>
      <c r="K59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90" s="1287">
        <f ca="1"/>
        <v>109</v>
      </c>
      <c r="M590" s="1287">
        <f ca="1"/>
        <v>0.5</v>
      </c>
      <c r="N590" s="1287"/>
      <c r="O590" s="1323" t="str">
        <f ca="1"/>
        <v>2019-01-07 06:00</v>
      </c>
      <c r="P590" s="1287"/>
      <c r="Q590" s="1290" t="str">
        <f ca="1"/>
        <v>Ride</v>
      </c>
    </row>
    <row r="591" spans="1:17" ht="27.75" hidden="1" customHeight="1" x14ac:dyDescent="0.45">
      <c r="A591" s="1289">
        <v>15</v>
      </c>
      <c r="B591" s="1285">
        <v>1</v>
      </c>
      <c r="C591" s="1285">
        <v>2.0000000000000284</v>
      </c>
      <c r="D591" s="1297">
        <v>1.9999999999999964</v>
      </c>
      <c r="E591" s="1299" t="str">
        <f ca="1"/>
        <v/>
      </c>
      <c r="F591" s="1286" t="str">
        <f ca="1"/>
        <v/>
      </c>
      <c r="G591" s="1286" t="str">
        <f ca="1"/>
        <v/>
      </c>
      <c r="H591" s="1301" t="str">
        <f ca="1"/>
        <v/>
      </c>
      <c r="I591" s="1303" t="str">
        <f ca="1"/>
        <v/>
      </c>
      <c r="J591" s="1287" t="str">
        <f ca="1"/>
        <v/>
      </c>
      <c r="K591" s="1288" t="str">
        <f ca="1"/>
        <v xml:space="preserve">Description:
Details:
Aim:
</v>
      </c>
      <c r="L591" s="1287" t="str">
        <f ca="1"/>
        <v/>
      </c>
      <c r="M591" s="1287" t="str">
        <f ca="1"/>
        <v/>
      </c>
      <c r="N591" s="1287"/>
      <c r="O591" s="1323" t="str">
        <f ca="1"/>
        <v/>
      </c>
      <c r="P591" s="1287"/>
      <c r="Q591" s="1290" t="str">
        <f ca="1"/>
        <v/>
      </c>
    </row>
    <row r="592" spans="1:17" ht="27.75" hidden="1" customHeight="1" x14ac:dyDescent="0.45">
      <c r="A592" s="1289">
        <v>15</v>
      </c>
      <c r="B592" s="1285">
        <v>1</v>
      </c>
      <c r="C592" s="1285">
        <v>2.9999999999999716</v>
      </c>
      <c r="D592" s="1297">
        <v>2.9999999999999929</v>
      </c>
      <c r="E592" s="1299" t="str">
        <f ca="1"/>
        <v/>
      </c>
      <c r="F592" s="1286" t="str">
        <f ca="1"/>
        <v/>
      </c>
      <c r="G592" s="1286" t="str">
        <f ca="1"/>
        <v/>
      </c>
      <c r="H592" s="1301" t="str">
        <f ca="1"/>
        <v/>
      </c>
      <c r="I592" s="1303" t="str">
        <f ca="1"/>
        <v/>
      </c>
      <c r="J592" s="1287" t="str">
        <f ca="1"/>
        <v/>
      </c>
      <c r="K592" s="1288" t="str">
        <f ca="1"/>
        <v xml:space="preserve">Description:
Details:
Aim:
</v>
      </c>
      <c r="L592" s="1287" t="str">
        <f ca="1"/>
        <v/>
      </c>
      <c r="M592" s="1287" t="str">
        <f ca="1"/>
        <v/>
      </c>
      <c r="N592" s="1287"/>
      <c r="O592" s="1323" t="str">
        <f ca="1"/>
        <v/>
      </c>
      <c r="P592" s="1287"/>
      <c r="Q592" s="1290" t="str">
        <f ca="1"/>
        <v/>
      </c>
    </row>
    <row r="593" spans="1:17" ht="27.75" hidden="1" customHeight="1" x14ac:dyDescent="0.45">
      <c r="A593" s="1289">
        <v>15</v>
      </c>
      <c r="B593" s="1285">
        <v>1</v>
      </c>
      <c r="C593" s="1285">
        <v>1</v>
      </c>
      <c r="D593" s="1297">
        <v>3.9999999999999893</v>
      </c>
      <c r="E593" s="1299" t="str">
        <f ca="1"/>
        <v>Stay at a comfortable and controlled intensity where you should be able to have a conversation without large pauses. Keep an even intensity and accept that your pace may change as the terrain changes.</v>
      </c>
      <c r="F593" s="1286" t="str">
        <f ca="1"/>
        <v>Sport: Ride
WU/WD: No 
Effort Total: 30 minutes
HR Target: 138 BPM
HR Range: 129 - 148 BPM 
Flat Road Equivalent Pace: 4:39 min/km</v>
      </c>
      <c r="G593" s="1286" t="str">
        <f ca="1"/>
        <v xml:space="preserve">Improve aerobic fitness while minimising the chance of injury. </v>
      </c>
      <c r="H593" s="1301" t="str">
        <f ca="1"/>
        <v/>
      </c>
      <c r="I593" s="1303" t="str">
        <f ca="1"/>
        <v>Strength and conditioning</v>
      </c>
      <c r="J593" s="1287" t="str">
        <f ca="1"/>
        <v>Cycling</v>
      </c>
      <c r="K593"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593" s="1287">
        <f ca="1"/>
        <v>109</v>
      </c>
      <c r="M593" s="1287">
        <f ca="1"/>
        <v>0.5</v>
      </c>
      <c r="N593" s="1287"/>
      <c r="O593" s="1323" t="str">
        <f ca="1"/>
        <v>2019-01-07 06:00</v>
      </c>
      <c r="P593" s="1287"/>
      <c r="Q593" s="1290" t="str">
        <f ca="1"/>
        <v>Ride</v>
      </c>
    </row>
    <row r="594" spans="1:17" ht="27.75" hidden="1" customHeight="1" x14ac:dyDescent="0.45">
      <c r="A594" s="1289">
        <v>15</v>
      </c>
      <c r="B594" s="1285">
        <v>2</v>
      </c>
      <c r="C594" s="1285">
        <v>2.0000000000000284</v>
      </c>
      <c r="D594" s="1297">
        <v>4.9999999999999858</v>
      </c>
      <c r="E594" s="1299" t="str">
        <f ca="1"/>
        <v>Use a hands, rollers, or balls on all major muscle groups with extra time on more sensitive or problematic areas or as guided by a coach or physio. Finish with 20 minutes of lower-limb stretching.</v>
      </c>
      <c r="F594" s="1286" t="str">
        <f ca="1"/>
        <v>Sport: Indoor
WU/WD: No 
Effort Total: 30 minutes
HR Target: N/A BPM
HR Range: N/A BPM 
Flat Road Equivalent Pace:  min/km</v>
      </c>
      <c r="G594" s="1286" t="str">
        <f ca="1"/>
        <v xml:space="preserve">Release tension that develops in soft tissue from training and non-training stresses. </v>
      </c>
      <c r="H594" s="1301" t="str">
        <f ca="1"/>
        <v/>
      </c>
      <c r="I594" s="1303" t="str">
        <f ca="1"/>
        <v>Maintenance</v>
      </c>
      <c r="J594" s="1287" t="str">
        <f ca="1"/>
        <v>Strength</v>
      </c>
      <c r="K594"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594" s="1287">
        <f ca="1"/>
        <v>76</v>
      </c>
      <c r="M594" s="1287">
        <f ca="1"/>
        <v>0.5</v>
      </c>
      <c r="N594" s="1287"/>
      <c r="O594" s="1323" t="str">
        <f ca="1"/>
        <v>2019-01-07 20:00</v>
      </c>
      <c r="P594" s="1287"/>
      <c r="Q594" s="1290" t="str">
        <f ca="1"/>
        <v>Indoor</v>
      </c>
    </row>
    <row r="595" spans="1:17" ht="27.75" hidden="1" customHeight="1" x14ac:dyDescent="0.45">
      <c r="A595" s="1289">
        <v>15</v>
      </c>
      <c r="B595" s="1285">
        <v>2</v>
      </c>
      <c r="C595" s="1285">
        <v>2.9999999999999716</v>
      </c>
      <c r="D595" s="1297">
        <v>5.9999999999999822</v>
      </c>
      <c r="E595" s="1299" t="str">
        <f ca="1"/>
        <v/>
      </c>
      <c r="F595" s="1286" t="str">
        <f ca="1"/>
        <v/>
      </c>
      <c r="G595" s="1286" t="str">
        <f ca="1"/>
        <v/>
      </c>
      <c r="H595" s="1301" t="str">
        <f ca="1"/>
        <v/>
      </c>
      <c r="I595" s="1303" t="str">
        <f ca="1"/>
        <v/>
      </c>
      <c r="J595" s="1287" t="str">
        <f ca="1"/>
        <v/>
      </c>
      <c r="K595" s="1288" t="str">
        <f ca="1"/>
        <v xml:space="preserve">Description:
Details:
Aim:
</v>
      </c>
      <c r="L595" s="1287" t="str">
        <f ca="1"/>
        <v/>
      </c>
      <c r="M595" s="1287" t="str">
        <f ca="1"/>
        <v/>
      </c>
      <c r="N595" s="1287"/>
      <c r="O595" s="1323" t="str">
        <f ca="1"/>
        <v/>
      </c>
      <c r="P595" s="1287"/>
      <c r="Q595" s="1290" t="str">
        <f ca="1"/>
        <v/>
      </c>
    </row>
    <row r="596" spans="1:17" ht="27.75" hidden="1" customHeight="1" x14ac:dyDescent="0.45">
      <c r="A596" s="1289">
        <v>15</v>
      </c>
      <c r="B596" s="1285">
        <v>2</v>
      </c>
      <c r="C596" s="1285">
        <v>1</v>
      </c>
      <c r="D596" s="1297">
        <v>6.9999999999999787</v>
      </c>
      <c r="E596" s="1299" t="str">
        <f ca="1"/>
        <v/>
      </c>
      <c r="F596" s="1286" t="str">
        <f ca="1"/>
        <v/>
      </c>
      <c r="G596" s="1286" t="str">
        <f ca="1"/>
        <v/>
      </c>
      <c r="H596" s="1301" t="str">
        <f ca="1"/>
        <v/>
      </c>
      <c r="I596" s="1303" t="str">
        <f ca="1"/>
        <v/>
      </c>
      <c r="J596" s="1287" t="str">
        <f ca="1"/>
        <v/>
      </c>
      <c r="K596" s="1288" t="str">
        <f ca="1"/>
        <v xml:space="preserve">Description:
Details:
Aim:
</v>
      </c>
      <c r="L596" s="1287" t="str">
        <f ca="1"/>
        <v/>
      </c>
      <c r="M596" s="1287" t="str">
        <f ca="1"/>
        <v/>
      </c>
      <c r="N596" s="1287"/>
      <c r="O596" s="1323" t="str">
        <f ca="1"/>
        <v/>
      </c>
      <c r="P596" s="1287"/>
      <c r="Q596" s="1290" t="str">
        <f ca="1"/>
        <v/>
      </c>
    </row>
    <row r="597" spans="1:17" ht="27.75" hidden="1" customHeight="1" x14ac:dyDescent="0.45">
      <c r="A597" s="1289">
        <v>15</v>
      </c>
      <c r="B597" s="1285">
        <v>3</v>
      </c>
      <c r="C597" s="1285">
        <v>2.0000000000000284</v>
      </c>
      <c r="D597" s="1297">
        <v>7.9999999999999751</v>
      </c>
      <c r="E597" s="1299" t="str">
        <f ca="1"/>
        <v/>
      </c>
      <c r="F597" s="1286" t="str">
        <f ca="1"/>
        <v/>
      </c>
      <c r="G597" s="1286" t="str">
        <f ca="1"/>
        <v/>
      </c>
      <c r="H597" s="1301" t="str">
        <f ca="1"/>
        <v/>
      </c>
      <c r="I597" s="1303" t="str">
        <f ca="1"/>
        <v/>
      </c>
      <c r="J597" s="1287" t="str">
        <f ca="1"/>
        <v/>
      </c>
      <c r="K597" s="1288" t="str">
        <f ca="1"/>
        <v xml:space="preserve">Description:
Details:
Aim:
</v>
      </c>
      <c r="L597" s="1287" t="str">
        <f ca="1"/>
        <v/>
      </c>
      <c r="M597" s="1287" t="str">
        <f ca="1"/>
        <v/>
      </c>
      <c r="N597" s="1287"/>
      <c r="O597" s="1323" t="str">
        <f ca="1"/>
        <v/>
      </c>
      <c r="P597" s="1287"/>
      <c r="Q597" s="1290" t="str">
        <f ca="1"/>
        <v/>
      </c>
    </row>
    <row r="598" spans="1:17" ht="27.75" hidden="1" customHeight="1" x14ac:dyDescent="0.45">
      <c r="A598" s="1289">
        <v>15</v>
      </c>
      <c r="B598" s="1285">
        <v>3</v>
      </c>
      <c r="C598" s="1285">
        <v>2.9999999999999716</v>
      </c>
      <c r="D598" s="1297">
        <v>8.9999999999999716</v>
      </c>
      <c r="E598" s="1299" t="str">
        <f ca="1"/>
        <v/>
      </c>
      <c r="F598" s="1286" t="str">
        <f ca="1"/>
        <v/>
      </c>
      <c r="G598" s="1286" t="str">
        <f ca="1"/>
        <v/>
      </c>
      <c r="H598" s="1301" t="str">
        <f ca="1"/>
        <v/>
      </c>
      <c r="I598" s="1303" t="str">
        <f ca="1"/>
        <v/>
      </c>
      <c r="J598" s="1287" t="str">
        <f ca="1"/>
        <v/>
      </c>
      <c r="K598" s="1288" t="str">
        <f ca="1"/>
        <v xml:space="preserve">Description:
Details:
Aim:
</v>
      </c>
      <c r="L598" s="1287" t="str">
        <f ca="1"/>
        <v/>
      </c>
      <c r="M598" s="1287" t="str">
        <f ca="1"/>
        <v/>
      </c>
      <c r="N598" s="1287"/>
      <c r="O598" s="1323" t="str">
        <f ca="1"/>
        <v/>
      </c>
      <c r="P598" s="1287"/>
      <c r="Q598" s="1290" t="str">
        <f ca="1"/>
        <v/>
      </c>
    </row>
    <row r="599" spans="1:17" ht="27.75" hidden="1" customHeight="1" x14ac:dyDescent="0.45">
      <c r="A599" s="1289">
        <v>15</v>
      </c>
      <c r="B599" s="1285">
        <v>3</v>
      </c>
      <c r="C599" s="1285">
        <v>1</v>
      </c>
      <c r="D599" s="1297">
        <v>9.999999999999968</v>
      </c>
      <c r="E599" s="1299" t="str">
        <f ca="1"/>
        <v>Rest from continuous exercise.</v>
      </c>
      <c r="F599" s="1286" t="str">
        <f ca="1"/>
        <v>Sport: Run
WU/WD: No 
Effort Total: 25 minutes
HR Target: N/A BPM
HR Range: N/A BPM 
Flat Road Equivalent Pace:  min/km</v>
      </c>
      <c r="G599" s="1286" t="str">
        <f ca="1"/>
        <v xml:space="preserve">Allow safest recovery of the whole body. </v>
      </c>
      <c r="H599" s="1301" t="str">
        <f ca="1"/>
        <v/>
      </c>
      <c r="I599" s="1303" t="str">
        <f ca="1"/>
        <v>Hilly tempo hilly trail run: 25 minutes + WU/WD</v>
      </c>
      <c r="J599" s="1287" t="str">
        <f ca="1"/>
        <v>Running</v>
      </c>
      <c r="K599" s="1288" t="str">
        <f ca="1"/>
        <v xml:space="preserve">Description:
Rest from continuous exercise.
Details:
Sport: Run
WU/WD: No 
Effort Total: 25 minutes
HR Target: N/A BPM
HR Range: N/A BPM 
Flat Road Equivalent Pace:  min/km
Aim:
Allow safest recovery of the whole body. </v>
      </c>
      <c r="L599" s="1287">
        <f ca="1"/>
        <v>0</v>
      </c>
      <c r="M599" s="1287">
        <f ca="1"/>
        <v>0.41666666666666669</v>
      </c>
      <c r="N599" s="1287"/>
      <c r="O599" s="1323" t="str">
        <f ca="1"/>
        <v>2019-01-08 06:00</v>
      </c>
      <c r="P599" s="1287"/>
      <c r="Q599" s="1290" t="str">
        <f ca="1"/>
        <v>Run</v>
      </c>
    </row>
    <row r="600" spans="1:17" ht="27.75" hidden="1" customHeight="1" x14ac:dyDescent="0.45">
      <c r="A600" s="1289">
        <v>15</v>
      </c>
      <c r="B600" s="1285">
        <v>4</v>
      </c>
      <c r="C600" s="1285">
        <v>2.0000000000000284</v>
      </c>
      <c r="D600" s="1297">
        <v>10.999999999999964</v>
      </c>
      <c r="E600" s="1299" t="str">
        <f ca="1"/>
        <v/>
      </c>
      <c r="F600" s="1286" t="str">
        <f ca="1"/>
        <v/>
      </c>
      <c r="G600" s="1286" t="str">
        <f ca="1"/>
        <v/>
      </c>
      <c r="H600" s="1301" t="str">
        <f ca="1"/>
        <v/>
      </c>
      <c r="I600" s="1303" t="str">
        <f ca="1"/>
        <v/>
      </c>
      <c r="J600" s="1287" t="str">
        <f ca="1"/>
        <v/>
      </c>
      <c r="K600" s="1288" t="str">
        <f ca="1"/>
        <v xml:space="preserve">Description:
Details:
Aim:
</v>
      </c>
      <c r="L600" s="1287" t="str">
        <f ca="1"/>
        <v/>
      </c>
      <c r="M600" s="1287" t="str">
        <f ca="1"/>
        <v/>
      </c>
      <c r="N600" s="1287"/>
      <c r="O600" s="1323" t="str">
        <f ca="1"/>
        <v/>
      </c>
      <c r="P600" s="1287"/>
      <c r="Q600" s="1290" t="str">
        <f ca="1"/>
        <v/>
      </c>
    </row>
    <row r="601" spans="1:17" ht="27.75" hidden="1" customHeight="1" x14ac:dyDescent="0.45">
      <c r="A601" s="1289">
        <v>15</v>
      </c>
      <c r="B601" s="1285">
        <v>4</v>
      </c>
      <c r="C601" s="1285">
        <v>2.9999999999999716</v>
      </c>
      <c r="D601" s="1297">
        <v>12.000000000000036</v>
      </c>
      <c r="E601" s="1299" t="str">
        <f ca="1"/>
        <v/>
      </c>
      <c r="F601" s="1286" t="str">
        <f ca="1"/>
        <v/>
      </c>
      <c r="G601" s="1286" t="str">
        <f ca="1"/>
        <v/>
      </c>
      <c r="H601" s="1301" t="str">
        <f ca="1"/>
        <v/>
      </c>
      <c r="I601" s="1303" t="str">
        <f ca="1"/>
        <v/>
      </c>
      <c r="J601" s="1287" t="str">
        <f ca="1"/>
        <v/>
      </c>
      <c r="K601" s="1288" t="str">
        <f ca="1"/>
        <v xml:space="preserve">Description:
Details:
Aim:
</v>
      </c>
      <c r="L601" s="1287" t="str">
        <f ca="1"/>
        <v/>
      </c>
      <c r="M601" s="1287" t="str">
        <f ca="1"/>
        <v/>
      </c>
      <c r="N601" s="1287"/>
      <c r="O601" s="1323" t="str">
        <f ca="1"/>
        <v/>
      </c>
      <c r="P601" s="1287"/>
      <c r="Q601" s="1290" t="str">
        <f ca="1"/>
        <v/>
      </c>
    </row>
    <row r="602" spans="1:17" ht="27.75" hidden="1" customHeight="1" x14ac:dyDescent="0.45">
      <c r="A602" s="1289">
        <v>15</v>
      </c>
      <c r="B602" s="1285">
        <v>5</v>
      </c>
      <c r="C602" s="1285">
        <v>1</v>
      </c>
      <c r="D602" s="1297">
        <v>13.000000000000032</v>
      </c>
      <c r="E602" s="1299" t="str">
        <f ca="1"/>
        <v/>
      </c>
      <c r="F602" s="1286" t="str">
        <f ca="1"/>
        <v/>
      </c>
      <c r="G602" s="1286" t="str">
        <f ca="1"/>
        <v/>
      </c>
      <c r="H602" s="1301" t="str">
        <f ca="1"/>
        <v/>
      </c>
      <c r="I602" s="1303" t="str">
        <f ca="1"/>
        <v/>
      </c>
      <c r="J602" s="1287" t="str">
        <f ca="1"/>
        <v/>
      </c>
      <c r="K602" s="1288" t="str">
        <f ca="1"/>
        <v xml:space="preserve">Description:
Details:
Aim:
</v>
      </c>
      <c r="L602" s="1287" t="str">
        <f ca="1"/>
        <v/>
      </c>
      <c r="M602" s="1287" t="str">
        <f ca="1"/>
        <v/>
      </c>
      <c r="N602" s="1287"/>
      <c r="O602" s="1323" t="str">
        <f ca="1"/>
        <v/>
      </c>
      <c r="P602" s="1287"/>
      <c r="Q602" s="1290" t="str">
        <f ca="1"/>
        <v/>
      </c>
    </row>
    <row r="603" spans="1:17" ht="27.75" hidden="1" customHeight="1" x14ac:dyDescent="0.45">
      <c r="A603" s="1289">
        <v>15</v>
      </c>
      <c r="B603" s="1285">
        <v>5</v>
      </c>
      <c r="C603" s="1285">
        <v>2.0000000000000284</v>
      </c>
      <c r="D603" s="1297">
        <v>14.000000000000028</v>
      </c>
      <c r="E603" s="1299" t="str">
        <f ca="1"/>
        <v/>
      </c>
      <c r="F603" s="1286" t="str">
        <f ca="1"/>
        <v/>
      </c>
      <c r="G603" s="1286" t="str">
        <f ca="1"/>
        <v/>
      </c>
      <c r="H603" s="1301" t="str">
        <f ca="1"/>
        <v/>
      </c>
      <c r="I603" s="1303" t="str">
        <f ca="1"/>
        <v/>
      </c>
      <c r="J603" s="1287" t="str">
        <f ca="1"/>
        <v/>
      </c>
      <c r="K603" s="1288" t="str">
        <f ca="1"/>
        <v xml:space="preserve">Description:
Details:
Aim:
</v>
      </c>
      <c r="L603" s="1287" t="str">
        <f ca="1"/>
        <v/>
      </c>
      <c r="M603" s="1287" t="str">
        <f ca="1"/>
        <v/>
      </c>
      <c r="N603" s="1287"/>
      <c r="O603" s="1323" t="str">
        <f ca="1"/>
        <v/>
      </c>
      <c r="P603" s="1287"/>
      <c r="Q603" s="1290" t="str">
        <f ca="1"/>
        <v/>
      </c>
    </row>
    <row r="604" spans="1:17" ht="27.75" hidden="1" customHeight="1" x14ac:dyDescent="0.45">
      <c r="A604" s="1289">
        <v>15</v>
      </c>
      <c r="B604" s="1285">
        <v>5</v>
      </c>
      <c r="C604" s="1285">
        <v>2.9999999999999716</v>
      </c>
      <c r="D604" s="1297">
        <v>15.000000000000025</v>
      </c>
      <c r="E604" s="1299" t="str">
        <f ca="1"/>
        <v/>
      </c>
      <c r="F604" s="1286" t="str">
        <f ca="1"/>
        <v/>
      </c>
      <c r="G604" s="1286" t="str">
        <f ca="1"/>
        <v/>
      </c>
      <c r="H604" s="1301" t="str">
        <f ca="1"/>
        <v/>
      </c>
      <c r="I604" s="1303" t="str">
        <f ca="1"/>
        <v/>
      </c>
      <c r="J604" s="1287" t="str">
        <f ca="1"/>
        <v/>
      </c>
      <c r="K604" s="1288" t="str">
        <f ca="1"/>
        <v xml:space="preserve">Description:
Details:
Aim:
</v>
      </c>
      <c r="L604" s="1287" t="str">
        <f ca="1"/>
        <v/>
      </c>
      <c r="M604" s="1287" t="str">
        <f ca="1"/>
        <v/>
      </c>
      <c r="N604" s="1287"/>
      <c r="O604" s="1323" t="str">
        <f ca="1"/>
        <v/>
      </c>
      <c r="P604" s="1287"/>
      <c r="Q604" s="1290" t="str">
        <f ca="1"/>
        <v/>
      </c>
    </row>
    <row r="605" spans="1:17" ht="27.75" hidden="1" customHeight="1" x14ac:dyDescent="0.45">
      <c r="A605" s="1289">
        <v>15</v>
      </c>
      <c r="B605" s="1285">
        <v>6</v>
      </c>
      <c r="C605" s="1285">
        <v>1</v>
      </c>
      <c r="D605" s="1297">
        <v>16.000000000000021</v>
      </c>
      <c r="E605" s="1299" t="str">
        <f ca="1"/>
        <v>Stay at a comfortable and controlled intensity where you should be able to have a conversation without large pauses. Keep an even intensity and accept that your pace may change as the terrain changes.</v>
      </c>
      <c r="F605" s="1286" t="str">
        <f ca="1"/>
        <v>Sport: Road Ride
WU/WD: No 
Effort Total: 30 minutes
HR Target: 138 BPM
HR Range: 129 - 148 BPM 
Flat Road Equivalent Pace: 4:39 min/km</v>
      </c>
      <c r="G605" s="1286" t="str">
        <f ca="1"/>
        <v xml:space="preserve">Improve aerobic fitness while minimising the chance of injury. </v>
      </c>
      <c r="H605" s="1301" t="str">
        <f ca="1"/>
        <v/>
      </c>
      <c r="I605" s="1303" t="str">
        <f ca="1"/>
        <v>Easy road ride: 30 minutes</v>
      </c>
      <c r="J605" s="1287" t="str">
        <f ca="1"/>
        <v>Cycling</v>
      </c>
      <c r="K605"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30 minutes
HR Target: 138 BPM
HR Range: 129 - 148 BPM 
Flat Road Equivalent Pace: 4:39 min/km
Aim:
Improve aerobic fitness while minimising the chance of injury. </v>
      </c>
      <c r="L605" s="1287">
        <f ca="1"/>
        <v>101</v>
      </c>
      <c r="M605" s="1287">
        <f ca="1"/>
        <v>0.5</v>
      </c>
      <c r="N605" s="1287"/>
      <c r="O605" s="1323" t="str">
        <f ca="1"/>
        <v>2019-01-09 18:00</v>
      </c>
      <c r="P605" s="1287"/>
      <c r="Q605" s="1290" t="str">
        <f ca="1"/>
        <v>Road Ride</v>
      </c>
    </row>
    <row r="606" spans="1:17" ht="27.75" hidden="1" customHeight="1" x14ac:dyDescent="0.45">
      <c r="A606" s="1289">
        <v>15</v>
      </c>
      <c r="B606" s="1285">
        <v>6</v>
      </c>
      <c r="C606" s="1285">
        <v>2.0000000000000284</v>
      </c>
      <c r="D606" s="1297">
        <v>17.000000000000018</v>
      </c>
      <c r="E606" s="1299" t="str">
        <f ca="1"/>
        <v/>
      </c>
      <c r="F606" s="1286" t="str">
        <f ca="1"/>
        <v/>
      </c>
      <c r="G606" s="1286" t="str">
        <f ca="1"/>
        <v/>
      </c>
      <c r="H606" s="1301" t="str">
        <f ca="1"/>
        <v/>
      </c>
      <c r="I606" s="1303" t="str">
        <f ca="1"/>
        <v/>
      </c>
      <c r="J606" s="1287" t="str">
        <f ca="1"/>
        <v/>
      </c>
      <c r="K606" s="1288" t="str">
        <f ca="1"/>
        <v xml:space="preserve">Description:
Details:
Aim:
</v>
      </c>
      <c r="L606" s="1287" t="str">
        <f ca="1"/>
        <v/>
      </c>
      <c r="M606" s="1287" t="str">
        <f ca="1"/>
        <v/>
      </c>
      <c r="N606" s="1287"/>
      <c r="O606" s="1323" t="str">
        <f ca="1"/>
        <v/>
      </c>
      <c r="P606" s="1287"/>
      <c r="Q606" s="1290" t="str">
        <f ca="1"/>
        <v/>
      </c>
    </row>
    <row r="607" spans="1:17" ht="27.75" hidden="1" customHeight="1" x14ac:dyDescent="0.45">
      <c r="A607" s="1289">
        <v>15</v>
      </c>
      <c r="B607" s="1285">
        <v>6</v>
      </c>
      <c r="C607" s="1285">
        <v>2.9999999999999716</v>
      </c>
      <c r="D607" s="1297">
        <v>18.000000000000014</v>
      </c>
      <c r="E607" s="1299" t="str">
        <f ca="1"/>
        <v/>
      </c>
      <c r="F607" s="1286" t="str">
        <f ca="1"/>
        <v/>
      </c>
      <c r="G607" s="1286" t="str">
        <f ca="1"/>
        <v/>
      </c>
      <c r="H607" s="1301" t="str">
        <f ca="1"/>
        <v/>
      </c>
      <c r="I607" s="1303" t="str">
        <f ca="1"/>
        <v/>
      </c>
      <c r="J607" s="1287" t="str">
        <f ca="1"/>
        <v/>
      </c>
      <c r="K607" s="1288" t="str">
        <f ca="1"/>
        <v xml:space="preserve">Description:
Details:
Aim:
</v>
      </c>
      <c r="L607" s="1287" t="str">
        <f ca="1"/>
        <v/>
      </c>
      <c r="M607" s="1287" t="str">
        <f ca="1"/>
        <v/>
      </c>
      <c r="N607" s="1287"/>
      <c r="O607" s="1323" t="str">
        <f ca="1"/>
        <v/>
      </c>
      <c r="P607" s="1287"/>
      <c r="Q607" s="1290" t="str">
        <f ca="1"/>
        <v/>
      </c>
    </row>
    <row r="608" spans="1:17" ht="27.75" hidden="1" customHeight="1" x14ac:dyDescent="0.45">
      <c r="A608" s="1289">
        <v>15</v>
      </c>
      <c r="B608" s="1285">
        <v>7</v>
      </c>
      <c r="C608" s="1285">
        <v>1</v>
      </c>
      <c r="D608" s="1297">
        <v>19.000000000000011</v>
      </c>
      <c r="E608" s="1299" t="str">
        <f ca="1"/>
        <v/>
      </c>
      <c r="F608" s="1286" t="str">
        <f ca="1"/>
        <v/>
      </c>
      <c r="G608" s="1286" t="str">
        <f ca="1"/>
        <v/>
      </c>
      <c r="H608" s="1301" t="str">
        <f ca="1"/>
        <v/>
      </c>
      <c r="I608" s="1303" t="str">
        <f ca="1"/>
        <v/>
      </c>
      <c r="J608" s="1287" t="str">
        <f ca="1"/>
        <v/>
      </c>
      <c r="K608" s="1288" t="str">
        <f ca="1"/>
        <v xml:space="preserve">Description:
Details:
Aim:
</v>
      </c>
      <c r="L608" s="1287" t="str">
        <f ca="1"/>
        <v/>
      </c>
      <c r="M608" s="1287" t="str">
        <f ca="1"/>
        <v/>
      </c>
      <c r="N608" s="1287"/>
      <c r="O608" s="1323" t="str">
        <f ca="1"/>
        <v/>
      </c>
      <c r="P608" s="1287"/>
      <c r="Q608" s="1290" t="str">
        <f ca="1"/>
        <v/>
      </c>
    </row>
    <row r="609" spans="1:17" ht="27.75" hidden="1" customHeight="1" x14ac:dyDescent="0.45">
      <c r="A609" s="1289">
        <v>15</v>
      </c>
      <c r="B609" s="1285">
        <v>7</v>
      </c>
      <c r="C609" s="1285">
        <v>2.0000000000000284</v>
      </c>
      <c r="D609" s="1297">
        <v>20.000000000000007</v>
      </c>
      <c r="E609" s="1299" t="str">
        <f ca="1"/>
        <v/>
      </c>
      <c r="F609" s="1286" t="str">
        <f ca="1"/>
        <v/>
      </c>
      <c r="G609" s="1286" t="str">
        <f ca="1"/>
        <v/>
      </c>
      <c r="H609" s="1301" t="str">
        <f ca="1"/>
        <v/>
      </c>
      <c r="I609" s="1303" t="str">
        <f ca="1"/>
        <v/>
      </c>
      <c r="J609" s="1287" t="str">
        <f ca="1"/>
        <v/>
      </c>
      <c r="K609" s="1288" t="str">
        <f ca="1"/>
        <v xml:space="preserve">Description:
Details:
Aim:
</v>
      </c>
      <c r="L609" s="1287" t="str">
        <f ca="1"/>
        <v/>
      </c>
      <c r="M609" s="1287" t="str">
        <f ca="1"/>
        <v/>
      </c>
      <c r="N609" s="1287"/>
      <c r="O609" s="1323" t="str">
        <f ca="1"/>
        <v/>
      </c>
      <c r="P609" s="1287"/>
      <c r="Q609" s="1290" t="str">
        <f ca="1"/>
        <v/>
      </c>
    </row>
    <row r="610" spans="1:17" ht="27.75" hidden="1" customHeight="1" x14ac:dyDescent="0.45">
      <c r="A610" s="1289">
        <v>15</v>
      </c>
      <c r="B610" s="1285">
        <v>7</v>
      </c>
      <c r="C610" s="1285">
        <v>2.9999999999999716</v>
      </c>
      <c r="D610" s="1297">
        <v>21.000000000000004</v>
      </c>
      <c r="E610" s="1299" t="str">
        <f ca="1"/>
        <v/>
      </c>
      <c r="F610" s="1286" t="str">
        <f ca="1"/>
        <v/>
      </c>
      <c r="G610" s="1286" t="str">
        <f ca="1"/>
        <v/>
      </c>
      <c r="H610" s="1301" t="str">
        <f ca="1"/>
        <v/>
      </c>
      <c r="I610" s="1303" t="str">
        <f ca="1"/>
        <v/>
      </c>
      <c r="J610" s="1287" t="str">
        <f ca="1"/>
        <v/>
      </c>
      <c r="K610" s="1288" t="str">
        <f ca="1"/>
        <v xml:space="preserve">Description:
Details:
Aim:
</v>
      </c>
      <c r="L610" s="1287" t="str">
        <f ca="1"/>
        <v/>
      </c>
      <c r="M610" s="1287" t="str">
        <f ca="1"/>
        <v/>
      </c>
      <c r="N610" s="1287"/>
      <c r="O610" s="1323" t="str">
        <f ca="1"/>
        <v/>
      </c>
      <c r="P610" s="1287"/>
      <c r="Q610" s="1290" t="str">
        <f ca="1"/>
        <v/>
      </c>
    </row>
    <row r="611" spans="1:17" ht="27.75" hidden="1" customHeight="1" x14ac:dyDescent="0.45">
      <c r="A611" s="1289">
        <v>15</v>
      </c>
      <c r="B611" s="1285">
        <v>8</v>
      </c>
      <c r="C611" s="1285">
        <v>1</v>
      </c>
      <c r="D611" s="1297">
        <v>22</v>
      </c>
      <c r="E611" s="1299" t="str">
        <f ca="1"/>
        <v>Intervals are hard, but don't start so hard that you can't run the same pace for all intervals in the session. Forget about HR, and focus on feeling your intensity. Do the recoveries at an easy intensity. Warm up and warm down for 10 minutes each.</v>
      </c>
      <c r="F611" s="1286" t="str">
        <f ca="1"/>
        <v>Sport: Road Run
WU/WD: 15 minutes 
Effort Total: 12.4 minutes
HR Target: 188 BPM
HR Range: 184 - 192 BPM 
Flat Road Equivalent Pace: 3:06 min/km</v>
      </c>
      <c r="G611" s="1286" t="str">
        <f ca="1"/>
        <v xml:space="preserve">Improve VO2 max and develop metal toughness. </v>
      </c>
      <c r="H611" s="1301" t="str">
        <f ca="1"/>
        <v>Efforts of: 1km x3
And recoveries of: 1 minutes</v>
      </c>
      <c r="I611" s="1303" t="str">
        <f ca="1"/>
        <v>Intervals: II + WU/WD</v>
      </c>
      <c r="J611" s="1287" t="str">
        <f ca="1"/>
        <v>Running</v>
      </c>
      <c r="K611" s="1288"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12.4 minutes
HR Target: 188 BPM
HR Range: 184 - 192 BPM 
Flat Road Equivalent Pace: 3:06 min/km
Aim:
Improve VO2 max and develop metal toughness. </v>
      </c>
      <c r="L611" s="1287">
        <f ca="1"/>
        <v>44</v>
      </c>
      <c r="M611" s="1287">
        <f ca="1"/>
        <v>0.20666666666666667</v>
      </c>
      <c r="N611" s="1287"/>
      <c r="O611" s="1323" t="str">
        <f ca="1"/>
        <v>2019-01-10 18:00</v>
      </c>
      <c r="P611" s="1287"/>
      <c r="Q611" s="1290" t="str">
        <f ca="1"/>
        <v>Road Run</v>
      </c>
    </row>
    <row r="612" spans="1:17" ht="27.75" hidden="1" customHeight="1" x14ac:dyDescent="0.45">
      <c r="A612" s="1289">
        <v>15</v>
      </c>
      <c r="B612" s="1285">
        <v>8</v>
      </c>
      <c r="C612" s="1285">
        <v>2.0000000000000284</v>
      </c>
      <c r="D612" s="1297">
        <v>22.999999999999996</v>
      </c>
      <c r="E612" s="1299" t="str">
        <f ca="1"/>
        <v/>
      </c>
      <c r="F612" s="1286" t="str">
        <f ca="1"/>
        <v/>
      </c>
      <c r="G612" s="1286" t="str">
        <f ca="1"/>
        <v/>
      </c>
      <c r="H612" s="1301" t="str">
        <f ca="1"/>
        <v/>
      </c>
      <c r="I612" s="1303" t="str">
        <f ca="1"/>
        <v/>
      </c>
      <c r="J612" s="1287" t="str">
        <f ca="1"/>
        <v/>
      </c>
      <c r="K612" s="1288" t="str">
        <f ca="1"/>
        <v xml:space="preserve">Description:
Details:
Aim:
</v>
      </c>
      <c r="L612" s="1287" t="str">
        <f ca="1"/>
        <v/>
      </c>
      <c r="M612" s="1287" t="str">
        <f ca="1"/>
        <v/>
      </c>
      <c r="N612" s="1287"/>
      <c r="O612" s="1323" t="str">
        <f ca="1"/>
        <v/>
      </c>
      <c r="P612" s="1287"/>
      <c r="Q612" s="1290" t="str">
        <f ca="1"/>
        <v/>
      </c>
    </row>
    <row r="613" spans="1:17" ht="27.75" hidden="1" customHeight="1" x14ac:dyDescent="0.45">
      <c r="A613" s="1289">
        <v>15</v>
      </c>
      <c r="B613" s="1285">
        <v>8</v>
      </c>
      <c r="C613" s="1285">
        <v>2.9999999999999716</v>
      </c>
      <c r="D613" s="1297">
        <v>23.999999999999993</v>
      </c>
      <c r="E613" s="1299" t="str">
        <f ca="1"/>
        <v/>
      </c>
      <c r="F613" s="1286" t="str">
        <f ca="1"/>
        <v/>
      </c>
      <c r="G613" s="1286" t="str">
        <f ca="1"/>
        <v/>
      </c>
      <c r="H613" s="1301" t="str">
        <f ca="1"/>
        <v/>
      </c>
      <c r="I613" s="1303" t="str">
        <f ca="1"/>
        <v/>
      </c>
      <c r="J613" s="1287" t="str">
        <f ca="1"/>
        <v/>
      </c>
      <c r="K613" s="1288" t="str">
        <f ca="1"/>
        <v xml:space="preserve">Description:
Details:
Aim:
</v>
      </c>
      <c r="L613" s="1287" t="str">
        <f ca="1"/>
        <v/>
      </c>
      <c r="M613" s="1287" t="str">
        <f ca="1"/>
        <v/>
      </c>
      <c r="N613" s="1287"/>
      <c r="O613" s="1323" t="str">
        <f ca="1"/>
        <v/>
      </c>
      <c r="P613" s="1287"/>
      <c r="Q613" s="1290" t="str">
        <f ca="1"/>
        <v/>
      </c>
    </row>
    <row r="614" spans="1:17" ht="27.75" hidden="1" customHeight="1" x14ac:dyDescent="0.45">
      <c r="A614" s="1289">
        <v>15</v>
      </c>
      <c r="B614" s="1285">
        <v>9</v>
      </c>
      <c r="C614" s="1285">
        <v>1</v>
      </c>
      <c r="D614" s="1297">
        <v>24.999999999999989</v>
      </c>
      <c r="E614" s="1299" t="str">
        <f ca="1"/>
        <v>Stay at a comfortable and controlled intensity where you should be able to have a conversation without large pauses. Keep an even intensity and accept that your pace may change as the terrain changes.</v>
      </c>
      <c r="F614" s="1286" t="str">
        <f ca="1"/>
        <v>Sport: Ride
WU/WD: No 
Effort Total: 30 minutes
HR Target: 138 BPM
HR Range: 129 - 148 BPM 
Flat Road Equivalent Pace: 4:39 min/km</v>
      </c>
      <c r="G614" s="1286" t="str">
        <f ca="1"/>
        <v xml:space="preserve">Improve aerobic fitness while minimising the chance of injury. </v>
      </c>
      <c r="H614" s="1301" t="str">
        <f ca="1"/>
        <v/>
      </c>
      <c r="I614" s="1303" t="str">
        <f ca="1"/>
        <v>Easy ride: 30 minutes</v>
      </c>
      <c r="J614" s="1287" t="str">
        <f ca="1"/>
        <v>Cycling</v>
      </c>
      <c r="K61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14" s="1287">
        <f ca="1"/>
        <v>109</v>
      </c>
      <c r="M614" s="1287">
        <f ca="1"/>
        <v>0.5</v>
      </c>
      <c r="N614" s="1287"/>
      <c r="O614" s="1323" t="str">
        <f ca="1"/>
        <v>2019-01-11 06:00</v>
      </c>
      <c r="P614" s="1287"/>
      <c r="Q614" s="1290" t="str">
        <f ca="1"/>
        <v>Ride</v>
      </c>
    </row>
    <row r="615" spans="1:17" ht="27.75" hidden="1" customHeight="1" x14ac:dyDescent="0.45">
      <c r="A615" s="1289">
        <v>15</v>
      </c>
      <c r="B615" s="1285">
        <v>9</v>
      </c>
      <c r="C615" s="1285">
        <v>2.0000000000000284</v>
      </c>
      <c r="D615" s="1297">
        <v>25.999999999999986</v>
      </c>
      <c r="E615" s="1299" t="str">
        <f ca="1"/>
        <v/>
      </c>
      <c r="F615" s="1286" t="str">
        <f ca="1"/>
        <v/>
      </c>
      <c r="G615" s="1286" t="str">
        <f ca="1"/>
        <v/>
      </c>
      <c r="H615" s="1301" t="str">
        <f ca="1"/>
        <v/>
      </c>
      <c r="I615" s="1303" t="str">
        <f ca="1"/>
        <v/>
      </c>
      <c r="J615" s="1287" t="str">
        <f ca="1"/>
        <v/>
      </c>
      <c r="K615" s="1288" t="str">
        <f ca="1"/>
        <v xml:space="preserve">Description:
Details:
Aim:
</v>
      </c>
      <c r="L615" s="1287" t="str">
        <f ca="1"/>
        <v/>
      </c>
      <c r="M615" s="1287" t="str">
        <f ca="1"/>
        <v/>
      </c>
      <c r="N615" s="1287"/>
      <c r="O615" s="1323" t="str">
        <f ca="1"/>
        <v/>
      </c>
      <c r="P615" s="1287"/>
      <c r="Q615" s="1290" t="str">
        <f ca="1"/>
        <v/>
      </c>
    </row>
    <row r="616" spans="1:17" ht="27.75" hidden="1" customHeight="1" x14ac:dyDescent="0.45">
      <c r="A616" s="1289">
        <v>15</v>
      </c>
      <c r="B616" s="1285">
        <v>9</v>
      </c>
      <c r="C616" s="1285">
        <v>2.9999999999999716</v>
      </c>
      <c r="D616" s="1297">
        <v>26.999999999999982</v>
      </c>
      <c r="E616" s="1299" t="str">
        <f ca="1"/>
        <v/>
      </c>
      <c r="F616" s="1286" t="str">
        <f ca="1"/>
        <v/>
      </c>
      <c r="G616" s="1286" t="str">
        <f ca="1"/>
        <v/>
      </c>
      <c r="H616" s="1301" t="str">
        <f ca="1"/>
        <v/>
      </c>
      <c r="I616" s="1303" t="str">
        <f ca="1"/>
        <v/>
      </c>
      <c r="J616" s="1287" t="str">
        <f ca="1"/>
        <v/>
      </c>
      <c r="K616" s="1288" t="str">
        <f ca="1"/>
        <v xml:space="preserve">Description:
Details:
Aim:
</v>
      </c>
      <c r="L616" s="1287" t="str">
        <f ca="1"/>
        <v/>
      </c>
      <c r="M616" s="1287" t="str">
        <f ca="1"/>
        <v/>
      </c>
      <c r="N616" s="1287"/>
      <c r="O616" s="1323" t="str">
        <f ca="1"/>
        <v/>
      </c>
      <c r="P616" s="1287"/>
      <c r="Q616" s="1290" t="str">
        <f ca="1"/>
        <v/>
      </c>
    </row>
    <row r="617" spans="1:17" ht="27.75" hidden="1" customHeight="1" x14ac:dyDescent="0.45">
      <c r="A617" s="1289">
        <v>15</v>
      </c>
      <c r="B617" s="1285">
        <v>9</v>
      </c>
      <c r="C617" s="1285">
        <v>1</v>
      </c>
      <c r="D617" s="1297">
        <v>27.999999999999979</v>
      </c>
      <c r="E617" s="1299" t="str">
        <f ca="1"/>
        <v>Stay at a comfortable and controlled intensity where you should be able to have a conversation without large pauses. Keep an even intensity and accept that your pace may change as the terrain changes.</v>
      </c>
      <c r="F617" s="1286" t="str">
        <f ca="1"/>
        <v>Sport: Ride
WU/WD: No 
Effort Total: 30 minutes
HR Target: 138 BPM
HR Range: 129 - 148 BPM 
Flat Road Equivalent Pace: 4:39 min/km</v>
      </c>
      <c r="G617" s="1286" t="str">
        <f ca="1"/>
        <v xml:space="preserve">Improve aerobic fitness while minimising the chance of injury. </v>
      </c>
      <c r="H617" s="1301" t="str">
        <f ca="1"/>
        <v/>
      </c>
      <c r="I617" s="1303" t="str">
        <f ca="1"/>
        <v>Strength and conditioning</v>
      </c>
      <c r="J617" s="1287" t="str">
        <f ca="1"/>
        <v>Cycling</v>
      </c>
      <c r="K617"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17" s="1287">
        <f ca="1"/>
        <v>109</v>
      </c>
      <c r="M617" s="1287">
        <f ca="1"/>
        <v>0.5</v>
      </c>
      <c r="N617" s="1287"/>
      <c r="O617" s="1323" t="str">
        <f ca="1"/>
        <v>2019-01-11 06:00</v>
      </c>
      <c r="P617" s="1287"/>
      <c r="Q617" s="1290" t="str">
        <f ca="1"/>
        <v>Ride</v>
      </c>
    </row>
    <row r="618" spans="1:17" ht="27.75" hidden="1" customHeight="1" x14ac:dyDescent="0.45">
      <c r="A618" s="1289">
        <v>15</v>
      </c>
      <c r="B618" s="1285">
        <v>10</v>
      </c>
      <c r="C618" s="1285">
        <v>2.0000000000000284</v>
      </c>
      <c r="D618" s="1297">
        <v>28.999999999999975</v>
      </c>
      <c r="E618" s="1299" t="str">
        <f ca="1"/>
        <v>Use a hands, rollers, or balls on all major muscle groups with extra time on more sensitive or problematic areas or as guided by a coach or physio. Finish with 20 minutes of lower-limb stretching.</v>
      </c>
      <c r="F618" s="1286" t="str">
        <f ca="1"/>
        <v>Sport: Indoor
WU/WD: No 
Effort Total: 30 minutes
HR Target: N/A BPM
HR Range: N/A BPM 
Flat Road Equivalent Pace:  min/km</v>
      </c>
      <c r="G618" s="1286" t="str">
        <f ca="1"/>
        <v xml:space="preserve">Release tension that develops in soft tissue from training and non-training stresses. </v>
      </c>
      <c r="H618" s="1301" t="str">
        <f ca="1"/>
        <v/>
      </c>
      <c r="I618" s="1303" t="str">
        <f ca="1"/>
        <v>Maintenance</v>
      </c>
      <c r="J618" s="1287" t="str">
        <f ca="1"/>
        <v>Strength</v>
      </c>
      <c r="K618"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18" s="1287">
        <f ca="1"/>
        <v>76</v>
      </c>
      <c r="M618" s="1287">
        <f ca="1"/>
        <v>0.5</v>
      </c>
      <c r="N618" s="1287"/>
      <c r="O618" s="1323" t="str">
        <f ca="1"/>
        <v>2019-01-11 20:00</v>
      </c>
      <c r="P618" s="1287"/>
      <c r="Q618" s="1290" t="str">
        <f ca="1"/>
        <v>Indoor</v>
      </c>
    </row>
    <row r="619" spans="1:17" ht="27.75" hidden="1" customHeight="1" x14ac:dyDescent="0.45">
      <c r="A619" s="1289">
        <v>15</v>
      </c>
      <c r="B619" s="1285">
        <v>10</v>
      </c>
      <c r="C619" s="1285">
        <v>2.9999999999999716</v>
      </c>
      <c r="D619" s="1297">
        <v>29.999999999999972</v>
      </c>
      <c r="E619" s="1299" t="str">
        <f ca="1"/>
        <v/>
      </c>
      <c r="F619" s="1286" t="str">
        <f ca="1"/>
        <v/>
      </c>
      <c r="G619" s="1286" t="str">
        <f ca="1"/>
        <v/>
      </c>
      <c r="H619" s="1301" t="str">
        <f ca="1"/>
        <v/>
      </c>
      <c r="I619" s="1303" t="str">
        <f ca="1"/>
        <v/>
      </c>
      <c r="J619" s="1287" t="str">
        <f ca="1"/>
        <v/>
      </c>
      <c r="K619" s="1288" t="str">
        <f ca="1"/>
        <v xml:space="preserve">Description:
Details:
Aim:
</v>
      </c>
      <c r="L619" s="1287" t="str">
        <f ca="1"/>
        <v/>
      </c>
      <c r="M619" s="1287" t="str">
        <f ca="1"/>
        <v/>
      </c>
      <c r="N619" s="1287"/>
      <c r="O619" s="1323" t="str">
        <f ca="1"/>
        <v/>
      </c>
      <c r="P619" s="1287"/>
      <c r="Q619" s="1290" t="str">
        <f ca="1"/>
        <v/>
      </c>
    </row>
    <row r="620" spans="1:17" ht="27.75" hidden="1" customHeight="1" x14ac:dyDescent="0.45">
      <c r="A620" s="1289">
        <v>15</v>
      </c>
      <c r="B620" s="1285">
        <v>10</v>
      </c>
      <c r="C620" s="1285">
        <v>1</v>
      </c>
      <c r="D620" s="1297">
        <v>30.999999999999968</v>
      </c>
      <c r="E620" s="1299" t="str">
        <f ca="1"/>
        <v>Perform a variety of specialised exercises to engage specific muscles. These sessions must be learned with a coach first but are relatively easy to continue with on your own. Demonstrate control and focus on posture and muscle activation.</v>
      </c>
      <c r="F620" s="1286" t="str">
        <f ca="1"/>
        <v>Sport: Indoor
WU/WD: No 
Effort Total: 50 minutes
HR Target: N/A BPM
HR Range: N/A BPM 
Flat Road Equivalent Pace:  min/km</v>
      </c>
      <c r="G620" s="1286" t="str">
        <f ca="1"/>
        <v xml:space="preserve">Increase strength of specific muscle groups, running economy and injury resistance. </v>
      </c>
      <c r="H620" s="1301" t="str">
        <f ca="1"/>
        <v/>
      </c>
      <c r="I620" s="1303" t="str">
        <f ca="1"/>
        <v>Steady hilly trail run: 50 minutes</v>
      </c>
      <c r="J620" s="1287" t="str">
        <f ca="1"/>
        <v>Strength</v>
      </c>
      <c r="K620"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50 minutes
HR Target: N/A BPM
HR Range: N/A BPM 
Flat Road Equivalent Pace:  min/km
Aim:
Increase strength of specific muscle groups, running economy and injury resistance. </v>
      </c>
      <c r="L620" s="1287">
        <f ca="1"/>
        <v>76</v>
      </c>
      <c r="M620" s="1287">
        <f ca="1"/>
        <v>0.83333333333333337</v>
      </c>
      <c r="N620" s="1287"/>
      <c r="O620" s="1323" t="str">
        <f ca="1"/>
        <v>2019-01-11 18:00</v>
      </c>
      <c r="P620" s="1287"/>
      <c r="Q620" s="1290" t="str">
        <f ca="1"/>
        <v>Indoor</v>
      </c>
    </row>
    <row r="621" spans="1:17" ht="27.75" hidden="1" customHeight="1" x14ac:dyDescent="0.45">
      <c r="A621" s="1289">
        <v>15</v>
      </c>
      <c r="B621" s="1285">
        <v>11</v>
      </c>
      <c r="C621" s="1285">
        <v>2.0000000000000284</v>
      </c>
      <c r="D621" s="1297">
        <v>31.999999999999964</v>
      </c>
      <c r="E621" s="1299" t="str">
        <f ca="1"/>
        <v/>
      </c>
      <c r="F621" s="1286" t="str">
        <f ca="1"/>
        <v/>
      </c>
      <c r="G621" s="1286" t="str">
        <f ca="1"/>
        <v/>
      </c>
      <c r="H621" s="1301" t="str">
        <f ca="1"/>
        <v/>
      </c>
      <c r="I621" s="1303" t="str">
        <f ca="1"/>
        <v/>
      </c>
      <c r="J621" s="1287" t="str">
        <f ca="1"/>
        <v/>
      </c>
      <c r="K621" s="1288" t="str">
        <f ca="1"/>
        <v xml:space="preserve">Description:
Details:
Aim:
</v>
      </c>
      <c r="L621" s="1287" t="str">
        <f ca="1"/>
        <v/>
      </c>
      <c r="M621" s="1287" t="str">
        <f ca="1"/>
        <v/>
      </c>
      <c r="N621" s="1287"/>
      <c r="O621" s="1323" t="str">
        <f ca="1"/>
        <v/>
      </c>
      <c r="P621" s="1287"/>
      <c r="Q621" s="1290" t="str">
        <f ca="1"/>
        <v/>
      </c>
    </row>
    <row r="622" spans="1:17" ht="27.75" hidden="1" customHeight="1" x14ac:dyDescent="0.45">
      <c r="A622" s="1289">
        <v>15</v>
      </c>
      <c r="B622" s="1285">
        <v>11</v>
      </c>
      <c r="C622" s="1285">
        <v>2.9999999999999716</v>
      </c>
      <c r="D622" s="1297">
        <v>33.000000000000036</v>
      </c>
      <c r="E622" s="1299" t="str">
        <f ca="1"/>
        <v/>
      </c>
      <c r="F622" s="1286" t="str">
        <f ca="1"/>
        <v/>
      </c>
      <c r="G622" s="1286" t="str">
        <f ca="1"/>
        <v/>
      </c>
      <c r="H622" s="1301" t="str">
        <f ca="1"/>
        <v/>
      </c>
      <c r="I622" s="1303" t="str">
        <f ca="1"/>
        <v/>
      </c>
      <c r="J622" s="1287" t="str">
        <f ca="1"/>
        <v/>
      </c>
      <c r="K622" s="1288" t="str">
        <f ca="1"/>
        <v xml:space="preserve">Description:
Details:
Aim:
</v>
      </c>
      <c r="L622" s="1287" t="str">
        <f ca="1"/>
        <v/>
      </c>
      <c r="M622" s="1287" t="str">
        <f ca="1"/>
        <v/>
      </c>
      <c r="N622" s="1287"/>
      <c r="O622" s="1323" t="str">
        <f ca="1"/>
        <v/>
      </c>
      <c r="P622" s="1287"/>
      <c r="Q622" s="1290" t="str">
        <f ca="1"/>
        <v/>
      </c>
    </row>
    <row r="623" spans="1:17" ht="27.75" hidden="1" customHeight="1" x14ac:dyDescent="0.45">
      <c r="A623" s="1289">
        <v>15</v>
      </c>
      <c r="B623" s="1285">
        <v>12</v>
      </c>
      <c r="C623" s="1285">
        <v>1</v>
      </c>
      <c r="D623" s="1297">
        <v>34.000000000000028</v>
      </c>
      <c r="E623" s="1299" t="str">
        <f ca="1"/>
        <v/>
      </c>
      <c r="F623" s="1286" t="str">
        <f ca="1"/>
        <v/>
      </c>
      <c r="G623" s="1286" t="str">
        <f ca="1"/>
        <v/>
      </c>
      <c r="H623" s="1301" t="str">
        <f ca="1"/>
        <v/>
      </c>
      <c r="I623" s="1303" t="str">
        <f ca="1"/>
        <v/>
      </c>
      <c r="J623" s="1287" t="str">
        <f ca="1"/>
        <v/>
      </c>
      <c r="K623" s="1288" t="str">
        <f ca="1"/>
        <v xml:space="preserve">Description:
Details:
Aim:
</v>
      </c>
      <c r="L623" s="1287" t="str">
        <f ca="1"/>
        <v/>
      </c>
      <c r="M623" s="1287" t="str">
        <f ca="1"/>
        <v/>
      </c>
      <c r="N623" s="1287"/>
      <c r="O623" s="1323" t="str">
        <f ca="1"/>
        <v/>
      </c>
      <c r="P623" s="1287"/>
      <c r="Q623" s="1290" t="str">
        <f ca="1"/>
        <v/>
      </c>
    </row>
    <row r="624" spans="1:17" ht="27.75" hidden="1" customHeight="1" x14ac:dyDescent="0.45">
      <c r="A624" s="1289">
        <v>15</v>
      </c>
      <c r="B624" s="1285">
        <v>12</v>
      </c>
      <c r="C624" s="1285">
        <v>2.0000000000000284</v>
      </c>
      <c r="D624" s="1297">
        <v>35.000000000000028</v>
      </c>
      <c r="E624" s="1299" t="str">
        <f ca="1"/>
        <v/>
      </c>
      <c r="F624" s="1286" t="str">
        <f ca="1"/>
        <v/>
      </c>
      <c r="G624" s="1286" t="str">
        <f ca="1"/>
        <v/>
      </c>
      <c r="H624" s="1301" t="str">
        <f ca="1"/>
        <v/>
      </c>
      <c r="I624" s="1303" t="str">
        <f ca="1"/>
        <v/>
      </c>
      <c r="J624" s="1287" t="str">
        <f ca="1"/>
        <v/>
      </c>
      <c r="K624" s="1288" t="str">
        <f ca="1"/>
        <v xml:space="preserve">Description:
Details:
Aim:
</v>
      </c>
      <c r="L624" s="1287" t="str">
        <f ca="1"/>
        <v/>
      </c>
      <c r="M624" s="1287" t="str">
        <f ca="1"/>
        <v/>
      </c>
      <c r="N624" s="1287"/>
      <c r="O624" s="1323" t="str">
        <f ca="1"/>
        <v/>
      </c>
      <c r="P624" s="1287"/>
      <c r="Q624" s="1290" t="str">
        <f ca="1"/>
        <v/>
      </c>
    </row>
    <row r="625" spans="1:17" ht="27.75" hidden="1" customHeight="1" x14ac:dyDescent="0.45">
      <c r="A625" s="1289">
        <v>15</v>
      </c>
      <c r="B625" s="1285">
        <v>12</v>
      </c>
      <c r="C625" s="1285">
        <v>2.9999999999999716</v>
      </c>
      <c r="D625" s="1297">
        <v>36.000000000000028</v>
      </c>
      <c r="E625" s="1299" t="str">
        <f ca="1"/>
        <v/>
      </c>
      <c r="F625" s="1286" t="str">
        <f ca="1"/>
        <v/>
      </c>
      <c r="G625" s="1286" t="str">
        <f ca="1"/>
        <v/>
      </c>
      <c r="H625" s="1301" t="str">
        <f ca="1"/>
        <v/>
      </c>
      <c r="I625" s="1303" t="str">
        <f ca="1"/>
        <v/>
      </c>
      <c r="J625" s="1287" t="str">
        <f ca="1"/>
        <v/>
      </c>
      <c r="K625" s="1288" t="str">
        <f ca="1"/>
        <v xml:space="preserve">Description:
Details:
Aim:
</v>
      </c>
      <c r="L625" s="1287" t="str">
        <f ca="1"/>
        <v/>
      </c>
      <c r="M625" s="1287" t="str">
        <f ca="1"/>
        <v/>
      </c>
      <c r="N625" s="1287"/>
      <c r="O625" s="1323" t="str">
        <f ca="1"/>
        <v/>
      </c>
      <c r="P625" s="1287"/>
      <c r="Q625" s="1290" t="str">
        <f ca="1"/>
        <v/>
      </c>
    </row>
    <row r="626" spans="1:17" ht="27.75" hidden="1" customHeight="1" x14ac:dyDescent="0.45">
      <c r="A626" s="1289">
        <v>15</v>
      </c>
      <c r="B626" s="1285">
        <v>13</v>
      </c>
      <c r="C626" s="1285">
        <v>1</v>
      </c>
      <c r="D626" s="1297">
        <v>37.000000000000021</v>
      </c>
      <c r="E626" s="1299" t="str">
        <f ca="1"/>
        <v xml:space="preserve">Fundamentally a steady, but you can be less strict at controlling your intensity as long as your average intensity is close to it's target by the end of the session </v>
      </c>
      <c r="F626" s="1286" t="str">
        <f ca="1"/>
        <v>Sport: Hilly Trail Run
WU/WD: No 
Effort Total: 80 minutes
HR Target: 148 BPM
HR Range: 129 - 169 BPM 
Flat Road Equivalent Pace: 4:14 min/km</v>
      </c>
      <c r="G626" s="1286" t="str">
        <f ca="1"/>
        <v xml:space="preserve">Improve aerobic fitness and energy utilisation. </v>
      </c>
      <c r="H626" s="1301" t="str">
        <f ca="1"/>
        <v/>
      </c>
      <c r="I626" s="1303" t="str">
        <f ca="1"/>
        <v>Long hilly trail run: 80 minutes</v>
      </c>
      <c r="J626" s="1287" t="str">
        <f ca="1"/>
        <v>Trail Running</v>
      </c>
      <c r="K626" s="1288" t="str">
        <f ca="1"/>
        <v xml:space="preserve">Description:
Fundamentally a steady, but you can be less strict at controlling your intensity as long as your average intensity is close to it's target by the end of the session 
Details:
Sport: Hilly Trail Run
WU/WD: No 
Effort Total: 80 minutes
HR Target: 148 BPM
HR Range: 129 - 169 BPM 
Flat Road Equivalent Pace: 4:14 min/km
Aim:
Improve aerobic fitness and energy utilisation. </v>
      </c>
      <c r="L626" s="1287">
        <f ca="1"/>
        <v>4</v>
      </c>
      <c r="M626" s="1287">
        <f ca="1"/>
        <v>1.3333333333333333</v>
      </c>
      <c r="N626" s="1287"/>
      <c r="O626" s="1323" t="str">
        <f ca="1"/>
        <v>2019-01-13 06:00</v>
      </c>
      <c r="P626" s="1287"/>
      <c r="Q626" s="1290" t="str">
        <f ca="1"/>
        <v>Hilly Trail Run</v>
      </c>
    </row>
    <row r="627" spans="1:17" ht="27.75" hidden="1" customHeight="1" x14ac:dyDescent="0.45">
      <c r="A627" s="1289">
        <v>15</v>
      </c>
      <c r="B627" s="1285">
        <v>13</v>
      </c>
      <c r="C627" s="1285">
        <v>2.0000000000000284</v>
      </c>
      <c r="D627" s="1297">
        <v>38.000000000000014</v>
      </c>
      <c r="E627" s="1299" t="str">
        <f ca="1"/>
        <v/>
      </c>
      <c r="F627" s="1286" t="str">
        <f ca="1"/>
        <v/>
      </c>
      <c r="G627" s="1286" t="str">
        <f ca="1"/>
        <v/>
      </c>
      <c r="H627" s="1301" t="str">
        <f ca="1"/>
        <v/>
      </c>
      <c r="I627" s="1303" t="str">
        <f ca="1"/>
        <v/>
      </c>
      <c r="J627" s="1287" t="str">
        <f ca="1"/>
        <v/>
      </c>
      <c r="K627" s="1288" t="str">
        <f ca="1"/>
        <v xml:space="preserve">Description:
Details:
Aim:
</v>
      </c>
      <c r="L627" s="1287" t="str">
        <f ca="1"/>
        <v/>
      </c>
      <c r="M627" s="1287" t="str">
        <f ca="1"/>
        <v/>
      </c>
      <c r="N627" s="1287"/>
      <c r="O627" s="1323" t="str">
        <f ca="1"/>
        <v/>
      </c>
      <c r="P627" s="1287"/>
      <c r="Q627" s="1290" t="str">
        <f ca="1"/>
        <v/>
      </c>
    </row>
    <row r="628" spans="1:17" ht="27.75" hidden="1" customHeight="1" x14ac:dyDescent="0.45">
      <c r="A628" s="1289">
        <v>15</v>
      </c>
      <c r="B628" s="1285">
        <v>13</v>
      </c>
      <c r="C628" s="1285">
        <v>2.9999999999999716</v>
      </c>
      <c r="D628" s="1297">
        <v>39.000000000000014</v>
      </c>
      <c r="E628" s="1299" t="str">
        <f ca="1"/>
        <v/>
      </c>
      <c r="F628" s="1286" t="str">
        <f ca="1"/>
        <v/>
      </c>
      <c r="G628" s="1286" t="str">
        <f ca="1"/>
        <v/>
      </c>
      <c r="H628" s="1301" t="str">
        <f ca="1"/>
        <v/>
      </c>
      <c r="I628" s="1303" t="str">
        <f ca="1"/>
        <v/>
      </c>
      <c r="J628" s="1287" t="str">
        <f ca="1"/>
        <v/>
      </c>
      <c r="K628" s="1288" t="str">
        <f ca="1"/>
        <v xml:space="preserve">Description:
Details:
Aim:
</v>
      </c>
      <c r="L628" s="1287" t="str">
        <f ca="1"/>
        <v/>
      </c>
      <c r="M628" s="1287" t="str">
        <f ca="1"/>
        <v/>
      </c>
      <c r="N628" s="1287"/>
      <c r="O628" s="1323" t="str">
        <f ca="1"/>
        <v/>
      </c>
      <c r="P628" s="1287"/>
      <c r="Q628" s="1290" t="str">
        <f ca="1"/>
        <v/>
      </c>
    </row>
    <row r="629" spans="1:17" ht="27.75" hidden="1" customHeight="1" x14ac:dyDescent="0.45">
      <c r="A629" s="1289">
        <v>15</v>
      </c>
      <c r="B629" s="1285">
        <v>14</v>
      </c>
      <c r="C629" s="1285">
        <v>1</v>
      </c>
      <c r="D629" s="1297">
        <v>40.000000000000014</v>
      </c>
      <c r="E629" s="1299" t="str">
        <f ca="1"/>
        <v/>
      </c>
      <c r="F629" s="1286" t="str">
        <f ca="1"/>
        <v/>
      </c>
      <c r="G629" s="1286" t="str">
        <f ca="1"/>
        <v/>
      </c>
      <c r="H629" s="1301" t="str">
        <f ca="1"/>
        <v/>
      </c>
      <c r="I629" s="1303" t="str">
        <f ca="1"/>
        <v/>
      </c>
      <c r="J629" s="1287" t="str">
        <f ca="1"/>
        <v/>
      </c>
      <c r="K629" s="1288" t="str">
        <f ca="1"/>
        <v xml:space="preserve">Description:
Details:
Aim:
</v>
      </c>
      <c r="L629" s="1287" t="str">
        <f ca="1"/>
        <v/>
      </c>
      <c r="M629" s="1287" t="str">
        <f ca="1"/>
        <v/>
      </c>
      <c r="N629" s="1287"/>
      <c r="O629" s="1323" t="str">
        <f ca="1"/>
        <v/>
      </c>
      <c r="P629" s="1287"/>
      <c r="Q629" s="1290" t="str">
        <f ca="1"/>
        <v/>
      </c>
    </row>
    <row r="630" spans="1:17" ht="27.75" hidden="1" customHeight="1" x14ac:dyDescent="0.45">
      <c r="A630" s="1289">
        <v>15</v>
      </c>
      <c r="B630" s="1285">
        <v>14</v>
      </c>
      <c r="C630" s="1285">
        <v>2.0000000000000284</v>
      </c>
      <c r="D630" s="1297">
        <v>41.000000000000007</v>
      </c>
      <c r="E630" s="1299" t="str">
        <f ca="1"/>
        <v/>
      </c>
      <c r="F630" s="1286" t="str">
        <f ca="1"/>
        <v/>
      </c>
      <c r="G630" s="1286" t="str">
        <f ca="1"/>
        <v/>
      </c>
      <c r="H630" s="1301" t="str">
        <f ca="1"/>
        <v/>
      </c>
      <c r="I630" s="1303" t="str">
        <f ca="1"/>
        <v/>
      </c>
      <c r="J630" s="1287" t="str">
        <f ca="1"/>
        <v/>
      </c>
      <c r="K630" s="1288" t="str">
        <f ca="1"/>
        <v xml:space="preserve">Description:
Details:
Aim:
</v>
      </c>
      <c r="L630" s="1287" t="str">
        <f ca="1"/>
        <v/>
      </c>
      <c r="M630" s="1287" t="str">
        <f ca="1"/>
        <v/>
      </c>
      <c r="N630" s="1287"/>
      <c r="O630" s="1323" t="str">
        <f ca="1"/>
        <v/>
      </c>
      <c r="P630" s="1287"/>
      <c r="Q630" s="1290" t="str">
        <f ca="1"/>
        <v/>
      </c>
    </row>
    <row r="631" spans="1:17" ht="27.75" hidden="1" customHeight="1" x14ac:dyDescent="0.45">
      <c r="A631" s="1289">
        <v>15</v>
      </c>
      <c r="B631" s="1285">
        <v>14</v>
      </c>
      <c r="C631" s="1285">
        <v>2.9999999999999716</v>
      </c>
      <c r="D631" s="1297">
        <v>42</v>
      </c>
      <c r="E631" s="1299" t="str">
        <f ca="1"/>
        <v/>
      </c>
      <c r="F631" s="1286" t="str">
        <f ca="1"/>
        <v/>
      </c>
      <c r="G631" s="1286" t="str">
        <f ca="1"/>
        <v/>
      </c>
      <c r="H631" s="1301" t="str">
        <f ca="1"/>
        <v/>
      </c>
      <c r="I631" s="1303" t="str">
        <f ca="1"/>
        <v/>
      </c>
      <c r="J631" s="1287" t="str">
        <f ca="1"/>
        <v/>
      </c>
      <c r="K631" s="1288" t="str">
        <f ca="1"/>
        <v xml:space="preserve">Description:
Details:
Aim:
</v>
      </c>
      <c r="L631" s="1287" t="str">
        <f ca="1"/>
        <v/>
      </c>
      <c r="M631" s="1287" t="str">
        <f ca="1"/>
        <v/>
      </c>
      <c r="N631" s="1287"/>
      <c r="O631" s="1323" t="str">
        <f ca="1"/>
        <v/>
      </c>
      <c r="P631" s="1287"/>
      <c r="Q631" s="1290" t="str">
        <f ca="1"/>
        <v/>
      </c>
    </row>
    <row r="632" spans="1:17" ht="27.75" hidden="1" customHeight="1" x14ac:dyDescent="0.45">
      <c r="A632" s="1289">
        <v>16</v>
      </c>
      <c r="B632" s="1285">
        <v>1</v>
      </c>
      <c r="C632" s="1285">
        <v>1</v>
      </c>
      <c r="D632" s="1297">
        <v>1</v>
      </c>
      <c r="E632" s="1299" t="str">
        <f ca="1"/>
        <v>Stay at a comfortable and controlled intensity where you should be able to have a conversation without large pauses. Keep an even intensity and accept that your pace may change as the terrain changes.</v>
      </c>
      <c r="F632" s="1286" t="str">
        <f ca="1"/>
        <v>Sport: Ride
WU/WD: No 
Effort Total: 30 minutes
HR Target: 138 BPM
HR Range: 129 - 148 BPM 
Flat Road Equivalent Pace: 4:39 min/km</v>
      </c>
      <c r="G632" s="1286" t="str">
        <f ca="1"/>
        <v xml:space="preserve">Improve aerobic fitness while minimising the chance of injury. </v>
      </c>
      <c r="H632" s="1301" t="str">
        <f ca="1"/>
        <v/>
      </c>
      <c r="I632" s="1303" t="str">
        <f ca="1"/>
        <v>Easy ride: 30 minutes</v>
      </c>
      <c r="J632" s="1287" t="str">
        <f ca="1"/>
        <v>Cycling</v>
      </c>
      <c r="K632"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32" s="1287">
        <f ca="1"/>
        <v>109</v>
      </c>
      <c r="M632" s="1287">
        <f ca="1"/>
        <v>0.5</v>
      </c>
      <c r="N632" s="1287"/>
      <c r="O632" s="1323" t="str">
        <f ca="1"/>
        <v>2019-01-14 06:00</v>
      </c>
      <c r="P632" s="1287"/>
      <c r="Q632" s="1290" t="str">
        <f ca="1"/>
        <v>Ride</v>
      </c>
    </row>
    <row r="633" spans="1:17" ht="27.75" hidden="1" customHeight="1" x14ac:dyDescent="0.45">
      <c r="A633" s="1289">
        <v>16</v>
      </c>
      <c r="B633" s="1285">
        <v>1</v>
      </c>
      <c r="C633" s="1285">
        <v>2.0000000000000284</v>
      </c>
      <c r="D633" s="1297">
        <v>1.9999999999999964</v>
      </c>
      <c r="E633" s="1299" t="str">
        <f ca="1"/>
        <v/>
      </c>
      <c r="F633" s="1286" t="str">
        <f ca="1"/>
        <v/>
      </c>
      <c r="G633" s="1286" t="str">
        <f ca="1"/>
        <v/>
      </c>
      <c r="H633" s="1301" t="str">
        <f ca="1"/>
        <v/>
      </c>
      <c r="I633" s="1303" t="str">
        <f ca="1"/>
        <v/>
      </c>
      <c r="J633" s="1287" t="str">
        <f ca="1"/>
        <v/>
      </c>
      <c r="K633" s="1288" t="str">
        <f ca="1"/>
        <v xml:space="preserve">Description:
Details:
Aim:
</v>
      </c>
      <c r="L633" s="1287" t="str">
        <f ca="1"/>
        <v/>
      </c>
      <c r="M633" s="1287" t="str">
        <f ca="1"/>
        <v/>
      </c>
      <c r="N633" s="1287"/>
      <c r="O633" s="1323" t="str">
        <f ca="1"/>
        <v/>
      </c>
      <c r="P633" s="1287"/>
      <c r="Q633" s="1290" t="str">
        <f ca="1"/>
        <v/>
      </c>
    </row>
    <row r="634" spans="1:17" ht="27.75" hidden="1" customHeight="1" x14ac:dyDescent="0.45">
      <c r="A634" s="1289">
        <v>16</v>
      </c>
      <c r="B634" s="1285">
        <v>1</v>
      </c>
      <c r="C634" s="1285">
        <v>2.9999999999999716</v>
      </c>
      <c r="D634" s="1297">
        <v>2.9999999999999929</v>
      </c>
      <c r="E634" s="1299" t="str">
        <f ca="1"/>
        <v/>
      </c>
      <c r="F634" s="1286" t="str">
        <f ca="1"/>
        <v/>
      </c>
      <c r="G634" s="1286" t="str">
        <f ca="1"/>
        <v/>
      </c>
      <c r="H634" s="1301" t="str">
        <f ca="1"/>
        <v/>
      </c>
      <c r="I634" s="1303" t="str">
        <f ca="1"/>
        <v/>
      </c>
      <c r="J634" s="1287" t="str">
        <f ca="1"/>
        <v/>
      </c>
      <c r="K634" s="1288" t="str">
        <f ca="1"/>
        <v xml:space="preserve">Description:
Details:
Aim:
</v>
      </c>
      <c r="L634" s="1287" t="str">
        <f ca="1"/>
        <v/>
      </c>
      <c r="M634" s="1287" t="str">
        <f ca="1"/>
        <v/>
      </c>
      <c r="N634" s="1287"/>
      <c r="O634" s="1323" t="str">
        <f ca="1"/>
        <v/>
      </c>
      <c r="P634" s="1287"/>
      <c r="Q634" s="1290" t="str">
        <f ca="1"/>
        <v/>
      </c>
    </row>
    <row r="635" spans="1:17" ht="27.75" hidden="1" customHeight="1" x14ac:dyDescent="0.45">
      <c r="A635" s="1289">
        <v>16</v>
      </c>
      <c r="B635" s="1285">
        <v>1</v>
      </c>
      <c r="C635" s="1285">
        <v>1</v>
      </c>
      <c r="D635" s="1297">
        <v>3.9999999999999893</v>
      </c>
      <c r="E635" s="1299" t="str">
        <f ca="1"/>
        <v>Stay at a comfortable and controlled intensity where you should be able to have a conversation without large pauses. Keep an even intensity and accept that your pace may change as the terrain changes.</v>
      </c>
      <c r="F635" s="1286" t="str">
        <f ca="1"/>
        <v>Sport: Ride
WU/WD: No 
Effort Total: 30 minutes
HR Target: 138 BPM
HR Range: 129 - 148 BPM 
Flat Road Equivalent Pace: 4:39 min/km</v>
      </c>
      <c r="G635" s="1286" t="str">
        <f ca="1"/>
        <v xml:space="preserve">Improve aerobic fitness while minimising the chance of injury. </v>
      </c>
      <c r="H635" s="1301" t="str">
        <f ca="1"/>
        <v/>
      </c>
      <c r="I635" s="1303" t="str">
        <f ca="1"/>
        <v>Strength and conditioning</v>
      </c>
      <c r="J635" s="1287" t="str">
        <f ca="1"/>
        <v>Cycling</v>
      </c>
      <c r="K635"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35" s="1287">
        <f ca="1"/>
        <v>109</v>
      </c>
      <c r="M635" s="1287">
        <f ca="1"/>
        <v>0.5</v>
      </c>
      <c r="N635" s="1287"/>
      <c r="O635" s="1323" t="str">
        <f ca="1"/>
        <v>2019-01-14 06:00</v>
      </c>
      <c r="P635" s="1287"/>
      <c r="Q635" s="1290" t="str">
        <f ca="1"/>
        <v>Ride</v>
      </c>
    </row>
    <row r="636" spans="1:17" ht="27.75" hidden="1" customHeight="1" x14ac:dyDescent="0.45">
      <c r="A636" s="1289">
        <v>16</v>
      </c>
      <c r="B636" s="1285">
        <v>2</v>
      </c>
      <c r="C636" s="1285">
        <v>2.0000000000000284</v>
      </c>
      <c r="D636" s="1297">
        <v>4.9999999999999858</v>
      </c>
      <c r="E636" s="1299" t="str">
        <f ca="1"/>
        <v>Use a hands, rollers, or balls on all major muscle groups with extra time on more sensitive or problematic areas or as guided by a coach or physio. Finish with 20 minutes of lower-limb stretching.</v>
      </c>
      <c r="F636" s="1286" t="str">
        <f ca="1"/>
        <v>Sport: Indoor
WU/WD: No 
Effort Total: 30 minutes
HR Target: N/A BPM
HR Range: N/A BPM 
Flat Road Equivalent Pace:  min/km</v>
      </c>
      <c r="G636" s="1286" t="str">
        <f ca="1"/>
        <v xml:space="preserve">Release tension that develops in soft tissue from training and non-training stresses. </v>
      </c>
      <c r="H636" s="1301" t="str">
        <f ca="1"/>
        <v/>
      </c>
      <c r="I636" s="1303" t="str">
        <f ca="1"/>
        <v>Maintenance</v>
      </c>
      <c r="J636" s="1287" t="str">
        <f ca="1"/>
        <v>Strength</v>
      </c>
      <c r="K636"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36" s="1287">
        <f ca="1"/>
        <v>76</v>
      </c>
      <c r="M636" s="1287">
        <f ca="1"/>
        <v>0.5</v>
      </c>
      <c r="N636" s="1287"/>
      <c r="O636" s="1323" t="str">
        <f ca="1"/>
        <v>2019-01-14 20:00</v>
      </c>
      <c r="P636" s="1287"/>
      <c r="Q636" s="1290" t="str">
        <f ca="1"/>
        <v>Indoor</v>
      </c>
    </row>
    <row r="637" spans="1:17" ht="27.75" hidden="1" customHeight="1" x14ac:dyDescent="0.45">
      <c r="A637" s="1289">
        <v>16</v>
      </c>
      <c r="B637" s="1285">
        <v>2</v>
      </c>
      <c r="C637" s="1285">
        <v>2.9999999999999716</v>
      </c>
      <c r="D637" s="1297">
        <v>5.9999999999999822</v>
      </c>
      <c r="E637" s="1299" t="str">
        <f ca="1"/>
        <v/>
      </c>
      <c r="F637" s="1286" t="str">
        <f ca="1"/>
        <v/>
      </c>
      <c r="G637" s="1286" t="str">
        <f ca="1"/>
        <v/>
      </c>
      <c r="H637" s="1301" t="str">
        <f ca="1"/>
        <v/>
      </c>
      <c r="I637" s="1303" t="str">
        <f ca="1"/>
        <v/>
      </c>
      <c r="J637" s="1287" t="str">
        <f ca="1"/>
        <v/>
      </c>
      <c r="K637" s="1288" t="str">
        <f ca="1"/>
        <v xml:space="preserve">Description:
Details:
Aim:
</v>
      </c>
      <c r="L637" s="1287" t="str">
        <f ca="1"/>
        <v/>
      </c>
      <c r="M637" s="1287" t="str">
        <f ca="1"/>
        <v/>
      </c>
      <c r="N637" s="1287"/>
      <c r="O637" s="1323" t="str">
        <f ca="1"/>
        <v/>
      </c>
      <c r="P637" s="1287"/>
      <c r="Q637" s="1290" t="str">
        <f ca="1"/>
        <v/>
      </c>
    </row>
    <row r="638" spans="1:17" ht="27.75" hidden="1" customHeight="1" x14ac:dyDescent="0.45">
      <c r="A638" s="1289">
        <v>16</v>
      </c>
      <c r="B638" s="1285">
        <v>2</v>
      </c>
      <c r="C638" s="1285">
        <v>1</v>
      </c>
      <c r="D638" s="1297">
        <v>6.9999999999999787</v>
      </c>
      <c r="E638" s="1299" t="str">
        <f ca="1"/>
        <v/>
      </c>
      <c r="F638" s="1286" t="str">
        <f ca="1"/>
        <v/>
      </c>
      <c r="G638" s="1286" t="str">
        <f ca="1"/>
        <v/>
      </c>
      <c r="H638" s="1301" t="str">
        <f ca="1"/>
        <v/>
      </c>
      <c r="I638" s="1303" t="str">
        <f ca="1"/>
        <v/>
      </c>
      <c r="J638" s="1287" t="str">
        <f ca="1"/>
        <v/>
      </c>
      <c r="K638" s="1288" t="str">
        <f ca="1"/>
        <v xml:space="preserve">Description:
Details:
Aim:
</v>
      </c>
      <c r="L638" s="1287" t="str">
        <f ca="1"/>
        <v/>
      </c>
      <c r="M638" s="1287" t="str">
        <f ca="1"/>
        <v/>
      </c>
      <c r="N638" s="1287"/>
      <c r="O638" s="1323" t="str">
        <f ca="1"/>
        <v/>
      </c>
      <c r="P638" s="1287"/>
      <c r="Q638" s="1290" t="str">
        <f ca="1"/>
        <v/>
      </c>
    </row>
    <row r="639" spans="1:17" ht="27.75" hidden="1" customHeight="1" x14ac:dyDescent="0.45">
      <c r="A639" s="1289">
        <v>16</v>
      </c>
      <c r="B639" s="1285">
        <v>3</v>
      </c>
      <c r="C639" s="1285">
        <v>2.0000000000000284</v>
      </c>
      <c r="D639" s="1297">
        <v>7.9999999999999751</v>
      </c>
      <c r="E639" s="1299" t="str">
        <f ca="1"/>
        <v/>
      </c>
      <c r="F639" s="1286" t="str">
        <f ca="1"/>
        <v/>
      </c>
      <c r="G639" s="1286" t="str">
        <f ca="1"/>
        <v/>
      </c>
      <c r="H639" s="1301" t="str">
        <f ca="1"/>
        <v/>
      </c>
      <c r="I639" s="1303" t="str">
        <f ca="1"/>
        <v/>
      </c>
      <c r="J639" s="1287" t="str">
        <f ca="1"/>
        <v/>
      </c>
      <c r="K639" s="1288" t="str">
        <f ca="1"/>
        <v xml:space="preserve">Description:
Details:
Aim:
</v>
      </c>
      <c r="L639" s="1287" t="str">
        <f ca="1"/>
        <v/>
      </c>
      <c r="M639" s="1287" t="str">
        <f ca="1"/>
        <v/>
      </c>
      <c r="N639" s="1287"/>
      <c r="O639" s="1323" t="str">
        <f ca="1"/>
        <v/>
      </c>
      <c r="P639" s="1287"/>
      <c r="Q639" s="1290" t="str">
        <f ca="1"/>
        <v/>
      </c>
    </row>
    <row r="640" spans="1:17" ht="27.75" hidden="1" customHeight="1" x14ac:dyDescent="0.45">
      <c r="A640" s="1289">
        <v>16</v>
      </c>
      <c r="B640" s="1285">
        <v>3</v>
      </c>
      <c r="C640" s="1285">
        <v>2.9999999999999716</v>
      </c>
      <c r="D640" s="1297">
        <v>8.9999999999999716</v>
      </c>
      <c r="E640" s="1299" t="str">
        <f ca="1"/>
        <v/>
      </c>
      <c r="F640" s="1286" t="str">
        <f ca="1"/>
        <v/>
      </c>
      <c r="G640" s="1286" t="str">
        <f ca="1"/>
        <v/>
      </c>
      <c r="H640" s="1301" t="str">
        <f ca="1"/>
        <v/>
      </c>
      <c r="I640" s="1303" t="str">
        <f ca="1"/>
        <v/>
      </c>
      <c r="J640" s="1287" t="str">
        <f ca="1"/>
        <v/>
      </c>
      <c r="K640" s="1288" t="str">
        <f ca="1"/>
        <v xml:space="preserve">Description:
Details:
Aim:
</v>
      </c>
      <c r="L640" s="1287" t="str">
        <f ca="1"/>
        <v/>
      </c>
      <c r="M640" s="1287" t="str">
        <f ca="1"/>
        <v/>
      </c>
      <c r="N640" s="1287"/>
      <c r="O640" s="1323" t="str">
        <f ca="1"/>
        <v/>
      </c>
      <c r="P640" s="1287"/>
      <c r="Q640" s="1290" t="str">
        <f ca="1"/>
        <v/>
      </c>
    </row>
    <row r="641" spans="1:17" ht="27.75" hidden="1" customHeight="1" x14ac:dyDescent="0.45">
      <c r="A641" s="1289">
        <v>16</v>
      </c>
      <c r="B641" s="1285">
        <v>3</v>
      </c>
      <c r="C641" s="1285">
        <v>1</v>
      </c>
      <c r="D641" s="1297">
        <v>9.999999999999968</v>
      </c>
      <c r="E641" s="1299" t="str">
        <f ca="1"/>
        <v>Rest from continuous exercise.</v>
      </c>
      <c r="F641" s="1286" t="str">
        <f ca="1"/>
        <v>Sport: Run
WU/WD: No 
Effort Total: 25 minutes
HR Target: N/A BPM
HR Range: N/A BPM 
Flat Road Equivalent Pace:  min/km</v>
      </c>
      <c r="G641" s="1286" t="str">
        <f ca="1"/>
        <v xml:space="preserve">Allow safest recovery of the whole body. </v>
      </c>
      <c r="H641" s="1301" t="str">
        <f ca="1"/>
        <v/>
      </c>
      <c r="I641" s="1303" t="str">
        <f ca="1"/>
        <v>Hilly tempo hilly trail run: 25 minutes + WU/WD</v>
      </c>
      <c r="J641" s="1287" t="str">
        <f ca="1"/>
        <v>Running</v>
      </c>
      <c r="K641" s="1288" t="str">
        <f ca="1"/>
        <v xml:space="preserve">Description:
Rest from continuous exercise.
Details:
Sport: Run
WU/WD: No 
Effort Total: 25 minutes
HR Target: N/A BPM
HR Range: N/A BPM 
Flat Road Equivalent Pace:  min/km
Aim:
Allow safest recovery of the whole body. </v>
      </c>
      <c r="L641" s="1287">
        <f ca="1"/>
        <v>0</v>
      </c>
      <c r="M641" s="1287">
        <f ca="1"/>
        <v>0.41666666666666669</v>
      </c>
      <c r="N641" s="1287"/>
      <c r="O641" s="1323" t="str">
        <f ca="1"/>
        <v>2019-01-15 06:00</v>
      </c>
      <c r="P641" s="1287"/>
      <c r="Q641" s="1290" t="str">
        <f ca="1"/>
        <v>Run</v>
      </c>
    </row>
    <row r="642" spans="1:17" ht="27.75" hidden="1" customHeight="1" x14ac:dyDescent="0.45">
      <c r="A642" s="1289">
        <v>16</v>
      </c>
      <c r="B642" s="1285">
        <v>4</v>
      </c>
      <c r="C642" s="1285">
        <v>2.0000000000000284</v>
      </c>
      <c r="D642" s="1297">
        <v>10.999999999999964</v>
      </c>
      <c r="E642" s="1299" t="str">
        <f ca="1"/>
        <v/>
      </c>
      <c r="F642" s="1286" t="str">
        <f ca="1"/>
        <v/>
      </c>
      <c r="G642" s="1286" t="str">
        <f ca="1"/>
        <v/>
      </c>
      <c r="H642" s="1301" t="str">
        <f ca="1"/>
        <v/>
      </c>
      <c r="I642" s="1303" t="str">
        <f ca="1"/>
        <v/>
      </c>
      <c r="J642" s="1287" t="str">
        <f ca="1"/>
        <v/>
      </c>
      <c r="K642" s="1288" t="str">
        <f ca="1"/>
        <v xml:space="preserve">Description:
Details:
Aim:
</v>
      </c>
      <c r="L642" s="1287" t="str">
        <f ca="1"/>
        <v/>
      </c>
      <c r="M642" s="1287" t="str">
        <f ca="1"/>
        <v/>
      </c>
      <c r="N642" s="1287"/>
      <c r="O642" s="1323" t="str">
        <f ca="1"/>
        <v/>
      </c>
      <c r="P642" s="1287"/>
      <c r="Q642" s="1290" t="str">
        <f ca="1"/>
        <v/>
      </c>
    </row>
    <row r="643" spans="1:17" ht="27.75" hidden="1" customHeight="1" x14ac:dyDescent="0.45">
      <c r="A643" s="1289">
        <v>16</v>
      </c>
      <c r="B643" s="1285">
        <v>4</v>
      </c>
      <c r="C643" s="1285">
        <v>2.9999999999999716</v>
      </c>
      <c r="D643" s="1297">
        <v>12.000000000000036</v>
      </c>
      <c r="E643" s="1299" t="str">
        <f ca="1"/>
        <v/>
      </c>
      <c r="F643" s="1286" t="str">
        <f ca="1"/>
        <v/>
      </c>
      <c r="G643" s="1286" t="str">
        <f ca="1"/>
        <v/>
      </c>
      <c r="H643" s="1301" t="str">
        <f ca="1"/>
        <v/>
      </c>
      <c r="I643" s="1303" t="str">
        <f ca="1"/>
        <v/>
      </c>
      <c r="J643" s="1287" t="str">
        <f ca="1"/>
        <v/>
      </c>
      <c r="K643" s="1288" t="str">
        <f ca="1"/>
        <v xml:space="preserve">Description:
Details:
Aim:
</v>
      </c>
      <c r="L643" s="1287" t="str">
        <f ca="1"/>
        <v/>
      </c>
      <c r="M643" s="1287" t="str">
        <f ca="1"/>
        <v/>
      </c>
      <c r="N643" s="1287"/>
      <c r="O643" s="1323" t="str">
        <f ca="1"/>
        <v/>
      </c>
      <c r="P643" s="1287"/>
      <c r="Q643" s="1290" t="str">
        <f ca="1"/>
        <v/>
      </c>
    </row>
    <row r="644" spans="1:17" ht="27.75" hidden="1" customHeight="1" x14ac:dyDescent="0.45">
      <c r="A644" s="1289">
        <v>16</v>
      </c>
      <c r="B644" s="1285">
        <v>5</v>
      </c>
      <c r="C644" s="1285">
        <v>1</v>
      </c>
      <c r="D644" s="1297">
        <v>13.000000000000032</v>
      </c>
      <c r="E644" s="1299" t="str">
        <f ca="1"/>
        <v/>
      </c>
      <c r="F644" s="1286" t="str">
        <f ca="1"/>
        <v/>
      </c>
      <c r="G644" s="1286" t="str">
        <f ca="1"/>
        <v/>
      </c>
      <c r="H644" s="1301" t="str">
        <f ca="1"/>
        <v/>
      </c>
      <c r="I644" s="1303" t="str">
        <f ca="1"/>
        <v/>
      </c>
      <c r="J644" s="1287" t="str">
        <f ca="1"/>
        <v/>
      </c>
      <c r="K644" s="1288" t="str">
        <f ca="1"/>
        <v xml:space="preserve">Description:
Details:
Aim:
</v>
      </c>
      <c r="L644" s="1287" t="str">
        <f ca="1"/>
        <v/>
      </c>
      <c r="M644" s="1287" t="str">
        <f ca="1"/>
        <v/>
      </c>
      <c r="N644" s="1287"/>
      <c r="O644" s="1323" t="str">
        <f ca="1"/>
        <v/>
      </c>
      <c r="P644" s="1287"/>
      <c r="Q644" s="1290" t="str">
        <f ca="1"/>
        <v/>
      </c>
    </row>
    <row r="645" spans="1:17" ht="27.75" hidden="1" customHeight="1" x14ac:dyDescent="0.45">
      <c r="A645" s="1289">
        <v>16</v>
      </c>
      <c r="B645" s="1285">
        <v>5</v>
      </c>
      <c r="C645" s="1285">
        <v>2.0000000000000284</v>
      </c>
      <c r="D645" s="1297">
        <v>14.000000000000028</v>
      </c>
      <c r="E645" s="1299" t="str">
        <f ca="1"/>
        <v/>
      </c>
      <c r="F645" s="1286" t="str">
        <f ca="1"/>
        <v/>
      </c>
      <c r="G645" s="1286" t="str">
        <f ca="1"/>
        <v/>
      </c>
      <c r="H645" s="1301" t="str">
        <f ca="1"/>
        <v/>
      </c>
      <c r="I645" s="1303" t="str">
        <f ca="1"/>
        <v/>
      </c>
      <c r="J645" s="1287" t="str">
        <f ca="1"/>
        <v/>
      </c>
      <c r="K645" s="1288" t="str">
        <f ca="1"/>
        <v xml:space="preserve">Description:
Details:
Aim:
</v>
      </c>
      <c r="L645" s="1287" t="str">
        <f ca="1"/>
        <v/>
      </c>
      <c r="M645" s="1287" t="str">
        <f ca="1"/>
        <v/>
      </c>
      <c r="N645" s="1287"/>
      <c r="O645" s="1323" t="str">
        <f ca="1"/>
        <v/>
      </c>
      <c r="P645" s="1287"/>
      <c r="Q645" s="1290" t="str">
        <f ca="1"/>
        <v/>
      </c>
    </row>
    <row r="646" spans="1:17" ht="27.75" hidden="1" customHeight="1" x14ac:dyDescent="0.45">
      <c r="A646" s="1289">
        <v>16</v>
      </c>
      <c r="B646" s="1285">
        <v>5</v>
      </c>
      <c r="C646" s="1285">
        <v>2.9999999999999716</v>
      </c>
      <c r="D646" s="1297">
        <v>15.000000000000025</v>
      </c>
      <c r="E646" s="1299" t="str">
        <f ca="1"/>
        <v/>
      </c>
      <c r="F646" s="1286" t="str">
        <f ca="1"/>
        <v/>
      </c>
      <c r="G646" s="1286" t="str">
        <f ca="1"/>
        <v/>
      </c>
      <c r="H646" s="1301" t="str">
        <f ca="1"/>
        <v/>
      </c>
      <c r="I646" s="1303" t="str">
        <f ca="1"/>
        <v/>
      </c>
      <c r="J646" s="1287" t="str">
        <f ca="1"/>
        <v/>
      </c>
      <c r="K646" s="1288" t="str">
        <f ca="1"/>
        <v xml:space="preserve">Description:
Details:
Aim:
</v>
      </c>
      <c r="L646" s="1287" t="str">
        <f ca="1"/>
        <v/>
      </c>
      <c r="M646" s="1287" t="str">
        <f ca="1"/>
        <v/>
      </c>
      <c r="N646" s="1287"/>
      <c r="O646" s="1323" t="str">
        <f ca="1"/>
        <v/>
      </c>
      <c r="P646" s="1287"/>
      <c r="Q646" s="1290" t="str">
        <f ca="1"/>
        <v/>
      </c>
    </row>
    <row r="647" spans="1:17" ht="27.75" hidden="1" customHeight="1" x14ac:dyDescent="0.45">
      <c r="A647" s="1289">
        <v>16</v>
      </c>
      <c r="B647" s="1285">
        <v>6</v>
      </c>
      <c r="C647" s="1285">
        <v>1</v>
      </c>
      <c r="D647" s="1297">
        <v>16.000000000000021</v>
      </c>
      <c r="E647" s="1299" t="str">
        <f ca="1"/>
        <v>Stay at a comfortable and controlled intensity where you should be able to have a conversation without large pauses. Keep an even intensity and accept that your pace may change as the terrain changes.</v>
      </c>
      <c r="F647" s="1286" t="str">
        <f ca="1"/>
        <v>Sport: Road Ride
WU/WD: No 
Effort Total: 30 minutes
HR Target: 138 BPM
HR Range: 129 - 148 BPM 
Flat Road Equivalent Pace: 4:39 min/km</v>
      </c>
      <c r="G647" s="1286" t="str">
        <f ca="1"/>
        <v xml:space="preserve">Improve aerobic fitness while minimising the chance of injury. </v>
      </c>
      <c r="H647" s="1301" t="str">
        <f ca="1"/>
        <v/>
      </c>
      <c r="I647" s="1303" t="str">
        <f ca="1"/>
        <v>Easy road ride: 30 minutes</v>
      </c>
      <c r="J647" s="1287" t="str">
        <f ca="1"/>
        <v>Cycling</v>
      </c>
      <c r="K647"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30 minutes
HR Target: 138 BPM
HR Range: 129 - 148 BPM 
Flat Road Equivalent Pace: 4:39 min/km
Aim:
Improve aerobic fitness while minimising the chance of injury. </v>
      </c>
      <c r="L647" s="1287">
        <f ca="1"/>
        <v>101</v>
      </c>
      <c r="M647" s="1287">
        <f ca="1"/>
        <v>0.5</v>
      </c>
      <c r="N647" s="1287"/>
      <c r="O647" s="1323" t="str">
        <f ca="1"/>
        <v>2019-01-16 18:00</v>
      </c>
      <c r="P647" s="1287"/>
      <c r="Q647" s="1290" t="str">
        <f ca="1"/>
        <v>Road Ride</v>
      </c>
    </row>
    <row r="648" spans="1:17" ht="27.75" hidden="1" customHeight="1" x14ac:dyDescent="0.45">
      <c r="A648" s="1289">
        <v>16</v>
      </c>
      <c r="B648" s="1285">
        <v>6</v>
      </c>
      <c r="C648" s="1285">
        <v>2.0000000000000284</v>
      </c>
      <c r="D648" s="1297">
        <v>17.000000000000018</v>
      </c>
      <c r="E648" s="1299" t="str">
        <f ca="1"/>
        <v/>
      </c>
      <c r="F648" s="1286" t="str">
        <f ca="1"/>
        <v/>
      </c>
      <c r="G648" s="1286" t="str">
        <f ca="1"/>
        <v/>
      </c>
      <c r="H648" s="1301" t="str">
        <f ca="1"/>
        <v/>
      </c>
      <c r="I648" s="1303" t="str">
        <f ca="1"/>
        <v/>
      </c>
      <c r="J648" s="1287" t="str">
        <f ca="1"/>
        <v/>
      </c>
      <c r="K648" s="1288" t="str">
        <f ca="1"/>
        <v xml:space="preserve">Description:
Details:
Aim:
</v>
      </c>
      <c r="L648" s="1287" t="str">
        <f ca="1"/>
        <v/>
      </c>
      <c r="M648" s="1287" t="str">
        <f ca="1"/>
        <v/>
      </c>
      <c r="N648" s="1287"/>
      <c r="O648" s="1323" t="str">
        <f ca="1"/>
        <v/>
      </c>
      <c r="P648" s="1287"/>
      <c r="Q648" s="1290" t="str">
        <f ca="1"/>
        <v/>
      </c>
    </row>
    <row r="649" spans="1:17" ht="27.75" hidden="1" customHeight="1" x14ac:dyDescent="0.45">
      <c r="A649" s="1289">
        <v>16</v>
      </c>
      <c r="B649" s="1285">
        <v>6</v>
      </c>
      <c r="C649" s="1285">
        <v>2.9999999999999716</v>
      </c>
      <c r="D649" s="1297">
        <v>18.000000000000014</v>
      </c>
      <c r="E649" s="1299" t="str">
        <f ca="1"/>
        <v/>
      </c>
      <c r="F649" s="1286" t="str">
        <f ca="1"/>
        <v/>
      </c>
      <c r="G649" s="1286" t="str">
        <f ca="1"/>
        <v/>
      </c>
      <c r="H649" s="1301" t="str">
        <f ca="1"/>
        <v/>
      </c>
      <c r="I649" s="1303" t="str">
        <f ca="1"/>
        <v/>
      </c>
      <c r="J649" s="1287" t="str">
        <f ca="1"/>
        <v/>
      </c>
      <c r="K649" s="1288" t="str">
        <f ca="1"/>
        <v xml:space="preserve">Description:
Details:
Aim:
</v>
      </c>
      <c r="L649" s="1287" t="str">
        <f ca="1"/>
        <v/>
      </c>
      <c r="M649" s="1287" t="str">
        <f ca="1"/>
        <v/>
      </c>
      <c r="N649" s="1287"/>
      <c r="O649" s="1323" t="str">
        <f ca="1"/>
        <v/>
      </c>
      <c r="P649" s="1287"/>
      <c r="Q649" s="1290" t="str">
        <f ca="1"/>
        <v/>
      </c>
    </row>
    <row r="650" spans="1:17" ht="27.75" hidden="1" customHeight="1" x14ac:dyDescent="0.45">
      <c r="A650" s="1289">
        <v>16</v>
      </c>
      <c r="B650" s="1285">
        <v>7</v>
      </c>
      <c r="C650" s="1285">
        <v>1</v>
      </c>
      <c r="D650" s="1297">
        <v>19.000000000000011</v>
      </c>
      <c r="E650" s="1299" t="str">
        <f ca="1"/>
        <v/>
      </c>
      <c r="F650" s="1286" t="str">
        <f ca="1"/>
        <v/>
      </c>
      <c r="G650" s="1286" t="str">
        <f ca="1"/>
        <v/>
      </c>
      <c r="H650" s="1301" t="str">
        <f ca="1"/>
        <v/>
      </c>
      <c r="I650" s="1303" t="str">
        <f ca="1"/>
        <v/>
      </c>
      <c r="J650" s="1287" t="str">
        <f ca="1"/>
        <v/>
      </c>
      <c r="K650" s="1288" t="str">
        <f ca="1"/>
        <v xml:space="preserve">Description:
Details:
Aim:
</v>
      </c>
      <c r="L650" s="1287" t="str">
        <f ca="1"/>
        <v/>
      </c>
      <c r="M650" s="1287" t="str">
        <f ca="1"/>
        <v/>
      </c>
      <c r="N650" s="1287"/>
      <c r="O650" s="1323" t="str">
        <f ca="1"/>
        <v/>
      </c>
      <c r="P650" s="1287"/>
      <c r="Q650" s="1290" t="str">
        <f ca="1"/>
        <v/>
      </c>
    </row>
    <row r="651" spans="1:17" ht="27.75" hidden="1" customHeight="1" x14ac:dyDescent="0.45">
      <c r="A651" s="1289">
        <v>16</v>
      </c>
      <c r="B651" s="1285">
        <v>7</v>
      </c>
      <c r="C651" s="1285">
        <v>2.0000000000000284</v>
      </c>
      <c r="D651" s="1297">
        <v>20.000000000000007</v>
      </c>
      <c r="E651" s="1299" t="str">
        <f ca="1"/>
        <v/>
      </c>
      <c r="F651" s="1286" t="str">
        <f ca="1"/>
        <v/>
      </c>
      <c r="G651" s="1286" t="str">
        <f ca="1"/>
        <v/>
      </c>
      <c r="H651" s="1301" t="str">
        <f ca="1"/>
        <v/>
      </c>
      <c r="I651" s="1303" t="str">
        <f ca="1"/>
        <v/>
      </c>
      <c r="J651" s="1287" t="str">
        <f ca="1"/>
        <v/>
      </c>
      <c r="K651" s="1288" t="str">
        <f ca="1"/>
        <v xml:space="preserve">Description:
Details:
Aim:
</v>
      </c>
      <c r="L651" s="1287" t="str">
        <f ca="1"/>
        <v/>
      </c>
      <c r="M651" s="1287" t="str">
        <f ca="1"/>
        <v/>
      </c>
      <c r="N651" s="1287"/>
      <c r="O651" s="1323" t="str">
        <f ca="1"/>
        <v/>
      </c>
      <c r="P651" s="1287"/>
      <c r="Q651" s="1290" t="str">
        <f ca="1"/>
        <v/>
      </c>
    </row>
    <row r="652" spans="1:17" ht="27.75" hidden="1" customHeight="1" x14ac:dyDescent="0.45">
      <c r="A652" s="1289">
        <v>16</v>
      </c>
      <c r="B652" s="1285">
        <v>7</v>
      </c>
      <c r="C652" s="1285">
        <v>2.9999999999999716</v>
      </c>
      <c r="D652" s="1297">
        <v>21.000000000000004</v>
      </c>
      <c r="E652" s="1299" t="str">
        <f ca="1"/>
        <v/>
      </c>
      <c r="F652" s="1286" t="str">
        <f ca="1"/>
        <v/>
      </c>
      <c r="G652" s="1286" t="str">
        <f ca="1"/>
        <v/>
      </c>
      <c r="H652" s="1301" t="str">
        <f ca="1"/>
        <v/>
      </c>
      <c r="I652" s="1303" t="str">
        <f ca="1"/>
        <v/>
      </c>
      <c r="J652" s="1287" t="str">
        <f ca="1"/>
        <v/>
      </c>
      <c r="K652" s="1288" t="str">
        <f ca="1"/>
        <v xml:space="preserve">Description:
Details:
Aim:
</v>
      </c>
      <c r="L652" s="1287" t="str">
        <f ca="1"/>
        <v/>
      </c>
      <c r="M652" s="1287" t="str">
        <f ca="1"/>
        <v/>
      </c>
      <c r="N652" s="1287"/>
      <c r="O652" s="1323" t="str">
        <f ca="1"/>
        <v/>
      </c>
      <c r="P652" s="1287"/>
      <c r="Q652" s="1290" t="str">
        <f ca="1"/>
        <v/>
      </c>
    </row>
    <row r="653" spans="1:17" ht="27.75" hidden="1" customHeight="1" x14ac:dyDescent="0.45">
      <c r="A653" s="1289">
        <v>16</v>
      </c>
      <c r="B653" s="1285">
        <v>8</v>
      </c>
      <c r="C653" s="1285">
        <v>1</v>
      </c>
      <c r="D653" s="1297">
        <v>22</v>
      </c>
      <c r="E653" s="1299" t="str">
        <f ca="1"/>
        <v>Intervals are hard, but don't start so hard that you can't run the same pace for all intervals in the session. Forget about HR, and focus on feeling your intensity. Do the recoveries at an easy intensity. Warm up and warm down for 10 minutes each.</v>
      </c>
      <c r="F653" s="1286" t="str">
        <f ca="1"/>
        <v>Sport: Road Run
WU/WD: 15 minutes 
Effort Total: 12.4 minutes
HR Target: 188 BPM
HR Range: 184 - 192 BPM 
Flat Road Equivalent Pace: 3:06 min/km</v>
      </c>
      <c r="G653" s="1286" t="str">
        <f ca="1"/>
        <v xml:space="preserve">Improve VO2 max and develop metal toughness. </v>
      </c>
      <c r="H653" s="1301" t="str">
        <f ca="1"/>
        <v>Efforts of: 1km x3
And recoveries of: 1 minutes</v>
      </c>
      <c r="I653" s="1303" t="str">
        <f ca="1"/>
        <v>Intervals: II + WU/WD</v>
      </c>
      <c r="J653" s="1287" t="str">
        <f ca="1"/>
        <v>Running</v>
      </c>
      <c r="K653" s="1288"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12.4 minutes
HR Target: 188 BPM
HR Range: 184 - 192 BPM 
Flat Road Equivalent Pace: 3:06 min/km
Aim:
Improve VO2 max and develop metal toughness. </v>
      </c>
      <c r="L653" s="1287">
        <f ca="1"/>
        <v>44</v>
      </c>
      <c r="M653" s="1287">
        <f ca="1"/>
        <v>0.20666666666666667</v>
      </c>
      <c r="N653" s="1287"/>
      <c r="O653" s="1323" t="str">
        <f ca="1"/>
        <v>2019-01-17 18:00</v>
      </c>
      <c r="P653" s="1287"/>
      <c r="Q653" s="1290" t="str">
        <f ca="1"/>
        <v>Road Run</v>
      </c>
    </row>
    <row r="654" spans="1:17" ht="27.75" hidden="1" customHeight="1" x14ac:dyDescent="0.45">
      <c r="A654" s="1289">
        <v>16</v>
      </c>
      <c r="B654" s="1285">
        <v>8</v>
      </c>
      <c r="C654" s="1285">
        <v>2.0000000000000284</v>
      </c>
      <c r="D654" s="1297">
        <v>22.999999999999996</v>
      </c>
      <c r="E654" s="1299" t="str">
        <f ca="1"/>
        <v/>
      </c>
      <c r="F654" s="1286" t="str">
        <f ca="1"/>
        <v/>
      </c>
      <c r="G654" s="1286" t="str">
        <f ca="1"/>
        <v/>
      </c>
      <c r="H654" s="1301" t="str">
        <f ca="1"/>
        <v/>
      </c>
      <c r="I654" s="1303" t="str">
        <f ca="1"/>
        <v/>
      </c>
      <c r="J654" s="1287" t="str">
        <f ca="1"/>
        <v/>
      </c>
      <c r="K654" s="1288" t="str">
        <f ca="1"/>
        <v xml:space="preserve">Description:
Details:
Aim:
</v>
      </c>
      <c r="L654" s="1287" t="str">
        <f ca="1"/>
        <v/>
      </c>
      <c r="M654" s="1287" t="str">
        <f ca="1"/>
        <v/>
      </c>
      <c r="N654" s="1287"/>
      <c r="O654" s="1323" t="str">
        <f ca="1"/>
        <v/>
      </c>
      <c r="P654" s="1287"/>
      <c r="Q654" s="1290" t="str">
        <f ca="1"/>
        <v/>
      </c>
    </row>
    <row r="655" spans="1:17" ht="27.75" hidden="1" customHeight="1" x14ac:dyDescent="0.45">
      <c r="A655" s="1289">
        <v>16</v>
      </c>
      <c r="B655" s="1285">
        <v>8</v>
      </c>
      <c r="C655" s="1285">
        <v>2.9999999999999716</v>
      </c>
      <c r="D655" s="1297">
        <v>23.999999999999993</v>
      </c>
      <c r="E655" s="1299" t="str">
        <f ca="1"/>
        <v/>
      </c>
      <c r="F655" s="1286" t="str">
        <f ca="1"/>
        <v/>
      </c>
      <c r="G655" s="1286" t="str">
        <f ca="1"/>
        <v/>
      </c>
      <c r="H655" s="1301" t="str">
        <f ca="1"/>
        <v/>
      </c>
      <c r="I655" s="1303" t="str">
        <f ca="1"/>
        <v/>
      </c>
      <c r="J655" s="1287" t="str">
        <f ca="1"/>
        <v/>
      </c>
      <c r="K655" s="1288" t="str">
        <f ca="1"/>
        <v xml:space="preserve">Description:
Details:
Aim:
</v>
      </c>
      <c r="L655" s="1287" t="str">
        <f ca="1"/>
        <v/>
      </c>
      <c r="M655" s="1287" t="str">
        <f ca="1"/>
        <v/>
      </c>
      <c r="N655" s="1287"/>
      <c r="O655" s="1323" t="str">
        <f ca="1"/>
        <v/>
      </c>
      <c r="P655" s="1287"/>
      <c r="Q655" s="1290" t="str">
        <f ca="1"/>
        <v/>
      </c>
    </row>
    <row r="656" spans="1:17" ht="27.75" hidden="1" customHeight="1" x14ac:dyDescent="0.45">
      <c r="A656" s="1289">
        <v>16</v>
      </c>
      <c r="B656" s="1285">
        <v>9</v>
      </c>
      <c r="C656" s="1285">
        <v>1</v>
      </c>
      <c r="D656" s="1297">
        <v>24.999999999999989</v>
      </c>
      <c r="E656" s="1299" t="str">
        <f ca="1"/>
        <v>Stay at a comfortable and controlled intensity where you should be able to have a conversation without large pauses. Keep an even intensity and accept that your pace may change as the terrain changes.</v>
      </c>
      <c r="F656" s="1286" t="str">
        <f ca="1"/>
        <v>Sport: Ride
WU/WD: No 
Effort Total: 30 minutes
HR Target: 138 BPM
HR Range: 129 - 148 BPM 
Flat Road Equivalent Pace: 4:39 min/km</v>
      </c>
      <c r="G656" s="1286" t="str">
        <f ca="1"/>
        <v xml:space="preserve">Improve aerobic fitness while minimising the chance of injury. </v>
      </c>
      <c r="H656" s="1301" t="str">
        <f ca="1"/>
        <v/>
      </c>
      <c r="I656" s="1303" t="str">
        <f ca="1"/>
        <v>Easy ride: 30 minutes</v>
      </c>
      <c r="J656" s="1287" t="str">
        <f ca="1"/>
        <v>Cycling</v>
      </c>
      <c r="K65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56" s="1287">
        <f ca="1"/>
        <v>109</v>
      </c>
      <c r="M656" s="1287">
        <f ca="1"/>
        <v>0.5</v>
      </c>
      <c r="N656" s="1287"/>
      <c r="O656" s="1323" t="str">
        <f ca="1"/>
        <v>2019-01-18 06:00</v>
      </c>
      <c r="P656" s="1287"/>
      <c r="Q656" s="1290" t="str">
        <f ca="1"/>
        <v>Ride</v>
      </c>
    </row>
    <row r="657" spans="1:17" ht="27.75" hidden="1" customHeight="1" x14ac:dyDescent="0.45">
      <c r="A657" s="1289">
        <v>16</v>
      </c>
      <c r="B657" s="1285">
        <v>9</v>
      </c>
      <c r="C657" s="1285">
        <v>2.0000000000000284</v>
      </c>
      <c r="D657" s="1297">
        <v>25.999999999999986</v>
      </c>
      <c r="E657" s="1299" t="str">
        <f ca="1"/>
        <v/>
      </c>
      <c r="F657" s="1286" t="str">
        <f ca="1"/>
        <v/>
      </c>
      <c r="G657" s="1286" t="str">
        <f ca="1"/>
        <v/>
      </c>
      <c r="H657" s="1301" t="str">
        <f ca="1"/>
        <v/>
      </c>
      <c r="I657" s="1303" t="str">
        <f ca="1"/>
        <v/>
      </c>
      <c r="J657" s="1287" t="str">
        <f ca="1"/>
        <v/>
      </c>
      <c r="K657" s="1288" t="str">
        <f ca="1"/>
        <v xml:space="preserve">Description:
Details:
Aim:
</v>
      </c>
      <c r="L657" s="1287" t="str">
        <f ca="1"/>
        <v/>
      </c>
      <c r="M657" s="1287" t="str">
        <f ca="1"/>
        <v/>
      </c>
      <c r="N657" s="1287"/>
      <c r="O657" s="1323" t="str">
        <f ca="1"/>
        <v/>
      </c>
      <c r="P657" s="1287"/>
      <c r="Q657" s="1290" t="str">
        <f ca="1"/>
        <v/>
      </c>
    </row>
    <row r="658" spans="1:17" ht="27.75" hidden="1" customHeight="1" x14ac:dyDescent="0.45">
      <c r="A658" s="1289">
        <v>16</v>
      </c>
      <c r="B658" s="1285">
        <v>9</v>
      </c>
      <c r="C658" s="1285">
        <v>2.9999999999999716</v>
      </c>
      <c r="D658" s="1297">
        <v>26.999999999999982</v>
      </c>
      <c r="E658" s="1299" t="str">
        <f ca="1"/>
        <v/>
      </c>
      <c r="F658" s="1286" t="str">
        <f ca="1"/>
        <v/>
      </c>
      <c r="G658" s="1286" t="str">
        <f ca="1"/>
        <v/>
      </c>
      <c r="H658" s="1301" t="str">
        <f ca="1"/>
        <v/>
      </c>
      <c r="I658" s="1303" t="str">
        <f ca="1"/>
        <v/>
      </c>
      <c r="J658" s="1287" t="str">
        <f ca="1"/>
        <v/>
      </c>
      <c r="K658" s="1288" t="str">
        <f ca="1"/>
        <v xml:space="preserve">Description:
Details:
Aim:
</v>
      </c>
      <c r="L658" s="1287" t="str">
        <f ca="1"/>
        <v/>
      </c>
      <c r="M658" s="1287" t="str">
        <f ca="1"/>
        <v/>
      </c>
      <c r="N658" s="1287"/>
      <c r="O658" s="1323" t="str">
        <f ca="1"/>
        <v/>
      </c>
      <c r="P658" s="1287"/>
      <c r="Q658" s="1290" t="str">
        <f ca="1"/>
        <v/>
      </c>
    </row>
    <row r="659" spans="1:17" ht="27.75" hidden="1" customHeight="1" x14ac:dyDescent="0.45">
      <c r="A659" s="1289">
        <v>16</v>
      </c>
      <c r="B659" s="1285">
        <v>9</v>
      </c>
      <c r="C659" s="1285">
        <v>1</v>
      </c>
      <c r="D659" s="1297">
        <v>27.999999999999979</v>
      </c>
      <c r="E659" s="1299" t="str">
        <f ca="1"/>
        <v>Stay at a comfortable and controlled intensity where you should be able to have a conversation without large pauses. Keep an even intensity and accept that your pace may change as the terrain changes.</v>
      </c>
      <c r="F659" s="1286" t="str">
        <f ca="1"/>
        <v>Sport: Ride
WU/WD: No 
Effort Total: 30 minutes
HR Target: 138 BPM
HR Range: 129 - 148 BPM 
Flat Road Equivalent Pace: 4:39 min/km</v>
      </c>
      <c r="G659" s="1286" t="str">
        <f ca="1"/>
        <v xml:space="preserve">Improve aerobic fitness while minimising the chance of injury. </v>
      </c>
      <c r="H659" s="1301" t="str">
        <f ca="1"/>
        <v/>
      </c>
      <c r="I659" s="1303" t="str">
        <f ca="1"/>
        <v>Strength and conditioning</v>
      </c>
      <c r="J659" s="1287" t="str">
        <f ca="1"/>
        <v>Cycling</v>
      </c>
      <c r="K659"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59" s="1287">
        <f ca="1"/>
        <v>109</v>
      </c>
      <c r="M659" s="1287">
        <f ca="1"/>
        <v>0.5</v>
      </c>
      <c r="N659" s="1287"/>
      <c r="O659" s="1323" t="str">
        <f ca="1"/>
        <v>2019-01-18 06:00</v>
      </c>
      <c r="P659" s="1287"/>
      <c r="Q659" s="1290" t="str">
        <f ca="1"/>
        <v>Ride</v>
      </c>
    </row>
    <row r="660" spans="1:17" ht="27.75" hidden="1" customHeight="1" x14ac:dyDescent="0.45">
      <c r="A660" s="1289">
        <v>16</v>
      </c>
      <c r="B660" s="1285">
        <v>10</v>
      </c>
      <c r="C660" s="1285">
        <v>2.0000000000000284</v>
      </c>
      <c r="D660" s="1297">
        <v>28.999999999999975</v>
      </c>
      <c r="E660" s="1299" t="str">
        <f ca="1"/>
        <v>Use a hands, rollers, or balls on all major muscle groups with extra time on more sensitive or problematic areas or as guided by a coach or physio. Finish with 20 minutes of lower-limb stretching.</v>
      </c>
      <c r="F660" s="1286" t="str">
        <f ca="1"/>
        <v>Sport: Indoor
WU/WD: No 
Effort Total: 30 minutes
HR Target: N/A BPM
HR Range: N/A BPM 
Flat Road Equivalent Pace:  min/km</v>
      </c>
      <c r="G660" s="1286" t="str">
        <f ca="1"/>
        <v xml:space="preserve">Release tension that develops in soft tissue from training and non-training stresses. </v>
      </c>
      <c r="H660" s="1301" t="str">
        <f ca="1"/>
        <v/>
      </c>
      <c r="I660" s="1303" t="str">
        <f ca="1"/>
        <v>Maintenance</v>
      </c>
      <c r="J660" s="1287" t="str">
        <f ca="1"/>
        <v>Strength</v>
      </c>
      <c r="K66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60" s="1287">
        <f ca="1"/>
        <v>76</v>
      </c>
      <c r="M660" s="1287">
        <f ca="1"/>
        <v>0.5</v>
      </c>
      <c r="N660" s="1287"/>
      <c r="O660" s="1323" t="str">
        <f ca="1"/>
        <v>2019-01-18 20:00</v>
      </c>
      <c r="P660" s="1287"/>
      <c r="Q660" s="1290" t="str">
        <f ca="1"/>
        <v>Indoor</v>
      </c>
    </row>
    <row r="661" spans="1:17" ht="27.75" hidden="1" customHeight="1" x14ac:dyDescent="0.45">
      <c r="A661" s="1289">
        <v>16</v>
      </c>
      <c r="B661" s="1285">
        <v>10</v>
      </c>
      <c r="C661" s="1285">
        <v>2.9999999999999716</v>
      </c>
      <c r="D661" s="1297">
        <v>29.999999999999972</v>
      </c>
      <c r="E661" s="1299" t="str">
        <f ca="1"/>
        <v/>
      </c>
      <c r="F661" s="1286" t="str">
        <f ca="1"/>
        <v/>
      </c>
      <c r="G661" s="1286" t="str">
        <f ca="1"/>
        <v/>
      </c>
      <c r="H661" s="1301" t="str">
        <f ca="1"/>
        <v/>
      </c>
      <c r="I661" s="1303" t="str">
        <f ca="1"/>
        <v/>
      </c>
      <c r="J661" s="1287" t="str">
        <f ca="1"/>
        <v/>
      </c>
      <c r="K661" s="1288" t="str">
        <f ca="1"/>
        <v xml:space="preserve">Description:
Details:
Aim:
</v>
      </c>
      <c r="L661" s="1287" t="str">
        <f ca="1"/>
        <v/>
      </c>
      <c r="M661" s="1287" t="str">
        <f ca="1"/>
        <v/>
      </c>
      <c r="N661" s="1287"/>
      <c r="O661" s="1323" t="str">
        <f ca="1"/>
        <v/>
      </c>
      <c r="P661" s="1287"/>
      <c r="Q661" s="1290" t="str">
        <f ca="1"/>
        <v/>
      </c>
    </row>
    <row r="662" spans="1:17" ht="27.75" hidden="1" customHeight="1" x14ac:dyDescent="0.45">
      <c r="A662" s="1289">
        <v>16</v>
      </c>
      <c r="B662" s="1285">
        <v>10</v>
      </c>
      <c r="C662" s="1285">
        <v>1</v>
      </c>
      <c r="D662" s="1297">
        <v>30.999999999999968</v>
      </c>
      <c r="E662" s="1299" t="str">
        <f ca="1"/>
        <v>Perform a variety of specialised exercises to engage specific muscles. These sessions must be learned with a coach first but are relatively easy to continue with on your own. Demonstrate control and focus on posture and muscle activation.</v>
      </c>
      <c r="F662" s="1286" t="str">
        <f ca="1"/>
        <v>Sport: Indoor
WU/WD: No 
Effort Total: 50 minutes
HR Target: N/A BPM
HR Range: N/A BPM 
Flat Road Equivalent Pace:  min/km</v>
      </c>
      <c r="G662" s="1286" t="str">
        <f ca="1"/>
        <v xml:space="preserve">Increase strength of specific muscle groups, running economy and injury resistance. </v>
      </c>
      <c r="H662" s="1301" t="str">
        <f ca="1"/>
        <v/>
      </c>
      <c r="I662" s="1303" t="str">
        <f ca="1"/>
        <v>Steady hilly trail run: 50 minutes</v>
      </c>
      <c r="J662" s="1287" t="str">
        <f ca="1"/>
        <v>Strength</v>
      </c>
      <c r="K662"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50 minutes
HR Target: N/A BPM
HR Range: N/A BPM 
Flat Road Equivalent Pace:  min/km
Aim:
Increase strength of specific muscle groups, running economy and injury resistance. </v>
      </c>
      <c r="L662" s="1287">
        <f ca="1"/>
        <v>76</v>
      </c>
      <c r="M662" s="1287">
        <f ca="1"/>
        <v>0.83333333333333337</v>
      </c>
      <c r="N662" s="1287"/>
      <c r="O662" s="1323" t="str">
        <f ca="1"/>
        <v>2019-01-18 18:00</v>
      </c>
      <c r="P662" s="1287"/>
      <c r="Q662" s="1290" t="str">
        <f ca="1"/>
        <v>Indoor</v>
      </c>
    </row>
    <row r="663" spans="1:17" ht="27.75" hidden="1" customHeight="1" x14ac:dyDescent="0.45">
      <c r="A663" s="1289">
        <v>16</v>
      </c>
      <c r="B663" s="1285">
        <v>11</v>
      </c>
      <c r="C663" s="1285">
        <v>2.0000000000000284</v>
      </c>
      <c r="D663" s="1297">
        <v>31.999999999999964</v>
      </c>
      <c r="E663" s="1299" t="str">
        <f ca="1"/>
        <v/>
      </c>
      <c r="F663" s="1286" t="str">
        <f ca="1"/>
        <v/>
      </c>
      <c r="G663" s="1286" t="str">
        <f ca="1"/>
        <v/>
      </c>
      <c r="H663" s="1301" t="str">
        <f ca="1"/>
        <v/>
      </c>
      <c r="I663" s="1303" t="str">
        <f ca="1"/>
        <v/>
      </c>
      <c r="J663" s="1287" t="str">
        <f ca="1"/>
        <v/>
      </c>
      <c r="K663" s="1288" t="str">
        <f ca="1"/>
        <v xml:space="preserve">Description:
Details:
Aim:
</v>
      </c>
      <c r="L663" s="1287" t="str">
        <f ca="1"/>
        <v/>
      </c>
      <c r="M663" s="1287" t="str">
        <f ca="1"/>
        <v/>
      </c>
      <c r="N663" s="1287"/>
      <c r="O663" s="1323" t="str">
        <f ca="1"/>
        <v/>
      </c>
      <c r="P663" s="1287"/>
      <c r="Q663" s="1290" t="str">
        <f ca="1"/>
        <v/>
      </c>
    </row>
    <row r="664" spans="1:17" ht="27.75" hidden="1" customHeight="1" x14ac:dyDescent="0.45">
      <c r="A664" s="1289">
        <v>16</v>
      </c>
      <c r="B664" s="1285">
        <v>11</v>
      </c>
      <c r="C664" s="1285">
        <v>2.9999999999999716</v>
      </c>
      <c r="D664" s="1297">
        <v>33.000000000000036</v>
      </c>
      <c r="E664" s="1299" t="str">
        <f ca="1"/>
        <v/>
      </c>
      <c r="F664" s="1286" t="str">
        <f ca="1"/>
        <v/>
      </c>
      <c r="G664" s="1286" t="str">
        <f ca="1"/>
        <v/>
      </c>
      <c r="H664" s="1301" t="str">
        <f ca="1"/>
        <v/>
      </c>
      <c r="I664" s="1303" t="str">
        <f ca="1"/>
        <v/>
      </c>
      <c r="J664" s="1287" t="str">
        <f ca="1"/>
        <v/>
      </c>
      <c r="K664" s="1288" t="str">
        <f ca="1"/>
        <v xml:space="preserve">Description:
Details:
Aim:
</v>
      </c>
      <c r="L664" s="1287" t="str">
        <f ca="1"/>
        <v/>
      </c>
      <c r="M664" s="1287" t="str">
        <f ca="1"/>
        <v/>
      </c>
      <c r="N664" s="1287"/>
      <c r="O664" s="1323" t="str">
        <f ca="1"/>
        <v/>
      </c>
      <c r="P664" s="1287"/>
      <c r="Q664" s="1290" t="str">
        <f ca="1"/>
        <v/>
      </c>
    </row>
    <row r="665" spans="1:17" ht="27.75" hidden="1" customHeight="1" x14ac:dyDescent="0.45">
      <c r="A665" s="1289">
        <v>16</v>
      </c>
      <c r="B665" s="1285">
        <v>12</v>
      </c>
      <c r="C665" s="1285">
        <v>1</v>
      </c>
      <c r="D665" s="1297">
        <v>34.000000000000028</v>
      </c>
      <c r="E665" s="1299" t="str">
        <f ca="1"/>
        <v/>
      </c>
      <c r="F665" s="1286" t="str">
        <f ca="1"/>
        <v/>
      </c>
      <c r="G665" s="1286" t="str">
        <f ca="1"/>
        <v/>
      </c>
      <c r="H665" s="1301" t="str">
        <f ca="1"/>
        <v/>
      </c>
      <c r="I665" s="1303" t="str">
        <f ca="1"/>
        <v/>
      </c>
      <c r="J665" s="1287" t="str">
        <f ca="1"/>
        <v/>
      </c>
      <c r="K665" s="1288" t="str">
        <f ca="1"/>
        <v xml:space="preserve">Description:
Details:
Aim:
</v>
      </c>
      <c r="L665" s="1287" t="str">
        <f ca="1"/>
        <v/>
      </c>
      <c r="M665" s="1287" t="str">
        <f ca="1"/>
        <v/>
      </c>
      <c r="N665" s="1287"/>
      <c r="O665" s="1323" t="str">
        <f ca="1"/>
        <v/>
      </c>
      <c r="P665" s="1287"/>
      <c r="Q665" s="1290" t="str">
        <f ca="1"/>
        <v/>
      </c>
    </row>
    <row r="666" spans="1:17" ht="27.75" hidden="1" customHeight="1" x14ac:dyDescent="0.45">
      <c r="A666" s="1289">
        <v>16</v>
      </c>
      <c r="B666" s="1285">
        <v>12</v>
      </c>
      <c r="C666" s="1285">
        <v>2.0000000000000284</v>
      </c>
      <c r="D666" s="1297">
        <v>35.000000000000028</v>
      </c>
      <c r="E666" s="1299" t="str">
        <f ca="1"/>
        <v/>
      </c>
      <c r="F666" s="1286" t="str">
        <f ca="1"/>
        <v/>
      </c>
      <c r="G666" s="1286" t="str">
        <f ca="1"/>
        <v/>
      </c>
      <c r="H666" s="1301" t="str">
        <f ca="1"/>
        <v/>
      </c>
      <c r="I666" s="1303" t="str">
        <f ca="1"/>
        <v/>
      </c>
      <c r="J666" s="1287" t="str">
        <f ca="1"/>
        <v/>
      </c>
      <c r="K666" s="1288" t="str">
        <f ca="1"/>
        <v xml:space="preserve">Description:
Details:
Aim:
</v>
      </c>
      <c r="L666" s="1287" t="str">
        <f ca="1"/>
        <v/>
      </c>
      <c r="M666" s="1287" t="str">
        <f ca="1"/>
        <v/>
      </c>
      <c r="N666" s="1287"/>
      <c r="O666" s="1323" t="str">
        <f ca="1"/>
        <v/>
      </c>
      <c r="P666" s="1287"/>
      <c r="Q666" s="1290" t="str">
        <f ca="1"/>
        <v/>
      </c>
    </row>
    <row r="667" spans="1:17" ht="27.75" hidden="1" customHeight="1" x14ac:dyDescent="0.45">
      <c r="A667" s="1289">
        <v>16</v>
      </c>
      <c r="B667" s="1285">
        <v>12</v>
      </c>
      <c r="C667" s="1285">
        <v>2.9999999999999716</v>
      </c>
      <c r="D667" s="1297">
        <v>36.000000000000028</v>
      </c>
      <c r="E667" s="1299" t="str">
        <f ca="1"/>
        <v/>
      </c>
      <c r="F667" s="1286" t="str">
        <f ca="1"/>
        <v/>
      </c>
      <c r="G667" s="1286" t="str">
        <f ca="1"/>
        <v/>
      </c>
      <c r="H667" s="1301" t="str">
        <f ca="1"/>
        <v/>
      </c>
      <c r="I667" s="1303" t="str">
        <f ca="1"/>
        <v/>
      </c>
      <c r="J667" s="1287" t="str">
        <f ca="1"/>
        <v/>
      </c>
      <c r="K667" s="1288" t="str">
        <f ca="1"/>
        <v xml:space="preserve">Description:
Details:
Aim:
</v>
      </c>
      <c r="L667" s="1287" t="str">
        <f ca="1"/>
        <v/>
      </c>
      <c r="M667" s="1287" t="str">
        <f ca="1"/>
        <v/>
      </c>
      <c r="N667" s="1287"/>
      <c r="O667" s="1323" t="str">
        <f ca="1"/>
        <v/>
      </c>
      <c r="P667" s="1287"/>
      <c r="Q667" s="1290" t="str">
        <f ca="1"/>
        <v/>
      </c>
    </row>
    <row r="668" spans="1:17" ht="27.75" hidden="1" customHeight="1" x14ac:dyDescent="0.45">
      <c r="A668" s="1289">
        <v>16</v>
      </c>
      <c r="B668" s="1285">
        <v>13</v>
      </c>
      <c r="C668" s="1285">
        <v>1</v>
      </c>
      <c r="D668" s="1297">
        <v>37.000000000000021</v>
      </c>
      <c r="E668" s="1299" t="str">
        <f ca="1"/>
        <v xml:space="preserve">Fundamentally a steady, but you can be less strict at controlling your intensity as long as your average intensity is close to it's target by the end of the session </v>
      </c>
      <c r="F668" s="1286" t="str">
        <f ca="1"/>
        <v>Sport: Hilly Trail Run
WU/WD: No 
Effort Total: 80 minutes
HR Target: 148 BPM
HR Range: 129 - 169 BPM 
Flat Road Equivalent Pace: 4:14 min/km</v>
      </c>
      <c r="G668" s="1286" t="str">
        <f ca="1"/>
        <v xml:space="preserve">Improve aerobic fitness and energy utilisation. </v>
      </c>
      <c r="H668" s="1301" t="str">
        <f ca="1"/>
        <v/>
      </c>
      <c r="I668" s="1303" t="str">
        <f ca="1"/>
        <v>Long hilly trail run: 80 minutes</v>
      </c>
      <c r="J668" s="1287" t="str">
        <f ca="1"/>
        <v>Trail Running</v>
      </c>
      <c r="K668" s="1288" t="str">
        <f ca="1"/>
        <v xml:space="preserve">Description:
Fundamentally a steady, but you can be less strict at controlling your intensity as long as your average intensity is close to it's target by the end of the session 
Details:
Sport: Hilly Trail Run
WU/WD: No 
Effort Total: 80 minutes
HR Target: 148 BPM
HR Range: 129 - 169 BPM 
Flat Road Equivalent Pace: 4:14 min/km
Aim:
Improve aerobic fitness and energy utilisation. </v>
      </c>
      <c r="L668" s="1287">
        <f ca="1"/>
        <v>4</v>
      </c>
      <c r="M668" s="1287">
        <f ca="1"/>
        <v>1.3333333333333333</v>
      </c>
      <c r="N668" s="1287"/>
      <c r="O668" s="1323" t="str">
        <f ca="1"/>
        <v>2019-01-20 06:00</v>
      </c>
      <c r="P668" s="1287"/>
      <c r="Q668" s="1290" t="str">
        <f ca="1"/>
        <v>Hilly Trail Run</v>
      </c>
    </row>
    <row r="669" spans="1:17" ht="27.75" hidden="1" customHeight="1" x14ac:dyDescent="0.45">
      <c r="A669" s="1289">
        <v>16</v>
      </c>
      <c r="B669" s="1285">
        <v>13</v>
      </c>
      <c r="C669" s="1285">
        <v>2.0000000000000284</v>
      </c>
      <c r="D669" s="1297">
        <v>38.000000000000014</v>
      </c>
      <c r="E669" s="1299" t="str">
        <f ca="1"/>
        <v/>
      </c>
      <c r="F669" s="1286" t="str">
        <f ca="1"/>
        <v/>
      </c>
      <c r="G669" s="1286" t="str">
        <f ca="1"/>
        <v/>
      </c>
      <c r="H669" s="1301" t="str">
        <f ca="1"/>
        <v/>
      </c>
      <c r="I669" s="1303" t="str">
        <f ca="1"/>
        <v/>
      </c>
      <c r="J669" s="1287" t="str">
        <f ca="1"/>
        <v/>
      </c>
      <c r="K669" s="1288" t="str">
        <f ca="1"/>
        <v xml:space="preserve">Description:
Details:
Aim:
</v>
      </c>
      <c r="L669" s="1287" t="str">
        <f ca="1"/>
        <v/>
      </c>
      <c r="M669" s="1287" t="str">
        <f ca="1"/>
        <v/>
      </c>
      <c r="N669" s="1287"/>
      <c r="O669" s="1323" t="str">
        <f ca="1"/>
        <v/>
      </c>
      <c r="P669" s="1287"/>
      <c r="Q669" s="1290" t="str">
        <f ca="1"/>
        <v/>
      </c>
    </row>
    <row r="670" spans="1:17" ht="27.75" hidden="1" customHeight="1" x14ac:dyDescent="0.45">
      <c r="A670" s="1289">
        <v>16</v>
      </c>
      <c r="B670" s="1285">
        <v>13</v>
      </c>
      <c r="C670" s="1285">
        <v>2.9999999999999716</v>
      </c>
      <c r="D670" s="1297">
        <v>39.000000000000014</v>
      </c>
      <c r="E670" s="1299" t="str">
        <f ca="1"/>
        <v/>
      </c>
      <c r="F670" s="1286" t="str">
        <f ca="1"/>
        <v/>
      </c>
      <c r="G670" s="1286" t="str">
        <f ca="1"/>
        <v/>
      </c>
      <c r="H670" s="1301" t="str">
        <f ca="1"/>
        <v/>
      </c>
      <c r="I670" s="1303" t="str">
        <f ca="1"/>
        <v/>
      </c>
      <c r="J670" s="1287" t="str">
        <f ca="1"/>
        <v/>
      </c>
      <c r="K670" s="1288" t="str">
        <f ca="1"/>
        <v xml:space="preserve">Description:
Details:
Aim:
</v>
      </c>
      <c r="L670" s="1287" t="str">
        <f ca="1"/>
        <v/>
      </c>
      <c r="M670" s="1287" t="str">
        <f ca="1"/>
        <v/>
      </c>
      <c r="N670" s="1287"/>
      <c r="O670" s="1323" t="str">
        <f ca="1"/>
        <v/>
      </c>
      <c r="P670" s="1287"/>
      <c r="Q670" s="1290" t="str">
        <f ca="1"/>
        <v/>
      </c>
    </row>
    <row r="671" spans="1:17" ht="27.75" hidden="1" customHeight="1" x14ac:dyDescent="0.45">
      <c r="A671" s="1289">
        <v>16</v>
      </c>
      <c r="B671" s="1285">
        <v>14</v>
      </c>
      <c r="C671" s="1285">
        <v>1</v>
      </c>
      <c r="D671" s="1297">
        <v>40.000000000000014</v>
      </c>
      <c r="E671" s="1299" t="str">
        <f ca="1"/>
        <v/>
      </c>
      <c r="F671" s="1286" t="str">
        <f ca="1"/>
        <v/>
      </c>
      <c r="G671" s="1286" t="str">
        <f ca="1"/>
        <v/>
      </c>
      <c r="H671" s="1301" t="str">
        <f ca="1"/>
        <v/>
      </c>
      <c r="I671" s="1303" t="str">
        <f ca="1"/>
        <v/>
      </c>
      <c r="J671" s="1287" t="str">
        <f ca="1"/>
        <v/>
      </c>
      <c r="K671" s="1288" t="str">
        <f ca="1"/>
        <v xml:space="preserve">Description:
Details:
Aim:
</v>
      </c>
      <c r="L671" s="1287" t="str">
        <f ca="1"/>
        <v/>
      </c>
      <c r="M671" s="1287" t="str">
        <f ca="1"/>
        <v/>
      </c>
      <c r="N671" s="1287"/>
      <c r="O671" s="1323" t="str">
        <f ca="1"/>
        <v/>
      </c>
      <c r="P671" s="1287"/>
      <c r="Q671" s="1290" t="str">
        <f ca="1"/>
        <v/>
      </c>
    </row>
    <row r="672" spans="1:17" ht="27.75" hidden="1" customHeight="1" x14ac:dyDescent="0.45">
      <c r="A672" s="1289">
        <v>16</v>
      </c>
      <c r="B672" s="1285">
        <v>14</v>
      </c>
      <c r="C672" s="1285">
        <v>2.0000000000000284</v>
      </c>
      <c r="D672" s="1297">
        <v>41.000000000000007</v>
      </c>
      <c r="E672" s="1299" t="str">
        <f ca="1"/>
        <v/>
      </c>
      <c r="F672" s="1286" t="str">
        <f ca="1"/>
        <v/>
      </c>
      <c r="G672" s="1286" t="str">
        <f ca="1"/>
        <v/>
      </c>
      <c r="H672" s="1301" t="str">
        <f ca="1"/>
        <v/>
      </c>
      <c r="I672" s="1303" t="str">
        <f ca="1"/>
        <v/>
      </c>
      <c r="J672" s="1287" t="str">
        <f ca="1"/>
        <v/>
      </c>
      <c r="K672" s="1288" t="str">
        <f ca="1"/>
        <v xml:space="preserve">Description:
Details:
Aim:
</v>
      </c>
      <c r="L672" s="1287" t="str">
        <f ca="1"/>
        <v/>
      </c>
      <c r="M672" s="1287" t="str">
        <f ca="1"/>
        <v/>
      </c>
      <c r="N672" s="1287"/>
      <c r="O672" s="1323" t="str">
        <f ca="1"/>
        <v/>
      </c>
      <c r="P672" s="1287"/>
      <c r="Q672" s="1290" t="str">
        <f ca="1"/>
        <v/>
      </c>
    </row>
    <row r="673" spans="1:17" ht="27.75" hidden="1" customHeight="1" x14ac:dyDescent="0.45">
      <c r="A673" s="1289">
        <v>16</v>
      </c>
      <c r="B673" s="1285">
        <v>14</v>
      </c>
      <c r="C673" s="1285">
        <v>2.9999999999999716</v>
      </c>
      <c r="D673" s="1297">
        <v>42</v>
      </c>
      <c r="E673" s="1299" t="str">
        <f ca="1"/>
        <v/>
      </c>
      <c r="F673" s="1286" t="str">
        <f ca="1"/>
        <v/>
      </c>
      <c r="G673" s="1286" t="str">
        <f ca="1"/>
        <v/>
      </c>
      <c r="H673" s="1301" t="str">
        <f ca="1"/>
        <v/>
      </c>
      <c r="I673" s="1303" t="str">
        <f ca="1"/>
        <v/>
      </c>
      <c r="J673" s="1287" t="str">
        <f ca="1"/>
        <v/>
      </c>
      <c r="K673" s="1288" t="str">
        <f ca="1"/>
        <v xml:space="preserve">Description:
Details:
Aim:
</v>
      </c>
      <c r="L673" s="1287" t="str">
        <f ca="1"/>
        <v/>
      </c>
      <c r="M673" s="1287" t="str">
        <f ca="1"/>
        <v/>
      </c>
      <c r="N673" s="1287"/>
      <c r="O673" s="1323" t="str">
        <f ca="1"/>
        <v/>
      </c>
      <c r="P673" s="1287"/>
      <c r="Q673" s="1290" t="str">
        <f ca="1"/>
        <v/>
      </c>
    </row>
    <row r="674" spans="1:17" ht="27.75" hidden="1" customHeight="1" x14ac:dyDescent="0.45">
      <c r="A674" s="1289">
        <v>17</v>
      </c>
      <c r="B674" s="1285">
        <v>1</v>
      </c>
      <c r="C674" s="1285">
        <v>1</v>
      </c>
      <c r="D674" s="1297">
        <v>1</v>
      </c>
      <c r="E674" s="1299" t="str">
        <f ca="1"/>
        <v>Stay at a comfortable and controlled intensity where you should be able to have a conversation without large pauses. Keep an even intensity and accept that your pace may change as the terrain changes.</v>
      </c>
      <c r="F674" s="1286" t="str">
        <f ca="1"/>
        <v>Sport: Ride
WU/WD: No 
Effort Total: 30 minutes
HR Target: 138 BPM
HR Range: 129 - 148 BPM 
Flat Road Equivalent Pace: 4:39 min/km</v>
      </c>
      <c r="G674" s="1286" t="str">
        <f ca="1"/>
        <v xml:space="preserve">Improve aerobic fitness while minimising the chance of injury. </v>
      </c>
      <c r="H674" s="1301" t="str">
        <f ca="1"/>
        <v/>
      </c>
      <c r="I674" s="1303" t="str">
        <f ca="1"/>
        <v>Easy ride: 30 minutes</v>
      </c>
      <c r="J674" s="1287" t="str">
        <f ca="1"/>
        <v>Cycling</v>
      </c>
      <c r="K674"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674" s="1287">
        <f ca="1"/>
        <v>109</v>
      </c>
      <c r="M674" s="1287">
        <f ca="1"/>
        <v>0.5</v>
      </c>
      <c r="N674" s="1287"/>
      <c r="O674" s="1323" t="str">
        <f ca="1"/>
        <v>2019-01-21 06:00</v>
      </c>
      <c r="P674" s="1287"/>
      <c r="Q674" s="1290" t="str">
        <f ca="1"/>
        <v>Ride</v>
      </c>
    </row>
    <row r="675" spans="1:17" ht="27.75" hidden="1" customHeight="1" x14ac:dyDescent="0.45">
      <c r="A675" s="1289">
        <v>17</v>
      </c>
      <c r="B675" s="1285">
        <v>1</v>
      </c>
      <c r="C675" s="1285">
        <v>2.0000000000000284</v>
      </c>
      <c r="D675" s="1297">
        <v>2.0000000000000711</v>
      </c>
      <c r="E675" s="1299" t="str">
        <f ca="1"/>
        <v/>
      </c>
      <c r="F675" s="1286" t="str">
        <f ca="1"/>
        <v/>
      </c>
      <c r="G675" s="1286" t="str">
        <f ca="1"/>
        <v/>
      </c>
      <c r="H675" s="1301" t="str">
        <f ca="1"/>
        <v/>
      </c>
      <c r="I675" s="1303" t="str">
        <f ca="1"/>
        <v/>
      </c>
      <c r="J675" s="1287" t="str">
        <f ca="1"/>
        <v/>
      </c>
      <c r="K675" s="1288" t="str">
        <f ca="1"/>
        <v xml:space="preserve">Description:
Details:
Aim:
</v>
      </c>
      <c r="L675" s="1287" t="str">
        <f ca="1"/>
        <v/>
      </c>
      <c r="M675" s="1287" t="str">
        <f ca="1"/>
        <v/>
      </c>
      <c r="N675" s="1287"/>
      <c r="O675" s="1323" t="str">
        <f ca="1"/>
        <v/>
      </c>
      <c r="P675" s="1287"/>
      <c r="Q675" s="1290" t="str">
        <f ca="1"/>
        <v/>
      </c>
    </row>
    <row r="676" spans="1:17" ht="27.75" hidden="1" customHeight="1" x14ac:dyDescent="0.45">
      <c r="A676" s="1289">
        <v>17</v>
      </c>
      <c r="B676" s="1285">
        <v>1</v>
      </c>
      <c r="C676" s="1285">
        <v>2.9999999999999716</v>
      </c>
      <c r="D676" s="1297">
        <v>2.9999999999999929</v>
      </c>
      <c r="E676" s="1299" t="str">
        <f ca="1"/>
        <v/>
      </c>
      <c r="F676" s="1286" t="str">
        <f ca="1"/>
        <v/>
      </c>
      <c r="G676" s="1286" t="str">
        <f ca="1"/>
        <v/>
      </c>
      <c r="H676" s="1301" t="str">
        <f ca="1"/>
        <v/>
      </c>
      <c r="I676" s="1303" t="str">
        <f ca="1"/>
        <v/>
      </c>
      <c r="J676" s="1287" t="str">
        <f ca="1"/>
        <v/>
      </c>
      <c r="K676" s="1288" t="str">
        <f ca="1"/>
        <v xml:space="preserve">Description:
Details:
Aim:
</v>
      </c>
      <c r="L676" s="1287" t="str">
        <f ca="1"/>
        <v/>
      </c>
      <c r="M676" s="1287" t="str">
        <f ca="1"/>
        <v/>
      </c>
      <c r="N676" s="1287"/>
      <c r="O676" s="1323" t="str">
        <f ca="1"/>
        <v/>
      </c>
      <c r="P676" s="1287"/>
      <c r="Q676" s="1290" t="str">
        <f ca="1"/>
        <v/>
      </c>
    </row>
    <row r="677" spans="1:17" ht="27.75" hidden="1" customHeight="1" x14ac:dyDescent="0.45">
      <c r="A677" s="1289">
        <v>17</v>
      </c>
      <c r="B677" s="1285">
        <v>2</v>
      </c>
      <c r="C677" s="1285">
        <v>1</v>
      </c>
      <c r="D677" s="1297">
        <v>4.0000000000000639</v>
      </c>
      <c r="E677" s="1299" t="str">
        <f ca="1"/>
        <v>Perform a variety of specialised exercises to engage specific muscles. These sessions must be learned with a coach first but are relatively easy to continue with on your own. Demonstrate control and focus on posture and muscle activation.</v>
      </c>
      <c r="F677" s="1286" t="str">
        <f ca="1"/>
        <v>Sport: Indoor
WU/WD: No 
Effort Total: 30 minutes
HR Target: N/A BPM
HR Range: N/A BPM 
Flat Road Equivalent Pace:  min/km</v>
      </c>
      <c r="G677" s="1286" t="str">
        <f ca="1"/>
        <v xml:space="preserve">Increase strength of specific muscle groups, running economy and injury resistance. </v>
      </c>
      <c r="H677" s="1301" t="str">
        <f ca="1"/>
        <v/>
      </c>
      <c r="I677" s="1303" t="str">
        <f ca="1"/>
        <v>Strength and conditioning</v>
      </c>
      <c r="J677" s="1287" t="str">
        <f ca="1"/>
        <v>Strength</v>
      </c>
      <c r="K677"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677" s="1287">
        <f ca="1"/>
        <v>76</v>
      </c>
      <c r="M677" s="1287">
        <f ca="1"/>
        <v>0.5</v>
      </c>
      <c r="N677" s="1287"/>
      <c r="O677" s="1323" t="str">
        <f ca="1"/>
        <v>2019-01-21 18:00</v>
      </c>
      <c r="P677" s="1287"/>
      <c r="Q677" s="1290" t="str">
        <f ca="1"/>
        <v>Indoor</v>
      </c>
    </row>
    <row r="678" spans="1:17" ht="27.75" hidden="1" customHeight="1" x14ac:dyDescent="0.45">
      <c r="A678" s="1289">
        <v>17</v>
      </c>
      <c r="B678" s="1285">
        <v>2</v>
      </c>
      <c r="C678" s="1285">
        <v>2.0000000000000284</v>
      </c>
      <c r="D678" s="1297">
        <v>4.9999999999999858</v>
      </c>
      <c r="E678" s="1299" t="str">
        <f ca="1"/>
        <v>Use a hands, rollers, or balls on all major muscle groups with extra time on more sensitive or problematic areas or as guided by a coach or physio. Finish with 20 minutes of lower-limb stretching.</v>
      </c>
      <c r="F678" s="1286" t="str">
        <f ca="1"/>
        <v>Sport: Indoor
WU/WD: No 
Effort Total: 30 minutes
HR Target: N/A BPM
HR Range: N/A BPM 
Flat Road Equivalent Pace:  min/km</v>
      </c>
      <c r="G678" s="1286" t="str">
        <f ca="1"/>
        <v xml:space="preserve">Release tension that develops in soft tissue from training and non-training stresses. </v>
      </c>
      <c r="H678" s="1301" t="str">
        <f ca="1"/>
        <v/>
      </c>
      <c r="I678" s="1303" t="str">
        <f ca="1"/>
        <v>Maintenance</v>
      </c>
      <c r="J678" s="1287" t="str">
        <f ca="1"/>
        <v>Strength</v>
      </c>
      <c r="K678"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678" s="1287">
        <f ca="1"/>
        <v>76</v>
      </c>
      <c r="M678" s="1287">
        <f ca="1"/>
        <v>0.5</v>
      </c>
      <c r="N678" s="1287"/>
      <c r="O678" s="1323" t="str">
        <f ca="1"/>
        <v>2019-01-21 20:00</v>
      </c>
      <c r="P678" s="1287"/>
      <c r="Q678" s="1290" t="str">
        <f ca="1"/>
        <v>Indoor</v>
      </c>
    </row>
    <row r="679" spans="1:17" ht="27.75" hidden="1" customHeight="1" x14ac:dyDescent="0.45">
      <c r="A679" s="1289">
        <v>17</v>
      </c>
      <c r="B679" s="1285">
        <v>2</v>
      </c>
      <c r="C679" s="1285">
        <v>2.9999999999999716</v>
      </c>
      <c r="D679" s="1297">
        <v>6.0000000000000568</v>
      </c>
      <c r="E679" s="1299" t="str">
        <f ca="1"/>
        <v/>
      </c>
      <c r="F679" s="1286" t="str">
        <f ca="1"/>
        <v/>
      </c>
      <c r="G679" s="1286" t="str">
        <f ca="1"/>
        <v/>
      </c>
      <c r="H679" s="1301" t="str">
        <f ca="1"/>
        <v/>
      </c>
      <c r="I679" s="1303" t="str">
        <f ca="1"/>
        <v/>
      </c>
      <c r="J679" s="1287" t="str">
        <f ca="1"/>
        <v/>
      </c>
      <c r="K679" s="1288" t="str">
        <f ca="1"/>
        <v xml:space="preserve">Description:
Details:
Aim:
</v>
      </c>
      <c r="L679" s="1287" t="str">
        <f ca="1"/>
        <v/>
      </c>
      <c r="M679" s="1287" t="str">
        <f ca="1"/>
        <v/>
      </c>
      <c r="N679" s="1287"/>
      <c r="O679" s="1323" t="str">
        <f ca="1"/>
        <v/>
      </c>
      <c r="P679" s="1287"/>
      <c r="Q679" s="1290" t="str">
        <f ca="1"/>
        <v/>
      </c>
    </row>
    <row r="680" spans="1:17" ht="27.75" hidden="1" customHeight="1" x14ac:dyDescent="0.45">
      <c r="A680" s="1289">
        <v>17</v>
      </c>
      <c r="B680" s="1285">
        <v>2</v>
      </c>
      <c r="C680" s="1285">
        <v>1</v>
      </c>
      <c r="D680" s="1297">
        <v>6.9999999999999787</v>
      </c>
      <c r="E680" s="1299" t="str">
        <f ca="1"/>
        <v/>
      </c>
      <c r="F680" s="1286" t="str">
        <f ca="1"/>
        <v/>
      </c>
      <c r="G680" s="1286" t="str">
        <f ca="1"/>
        <v/>
      </c>
      <c r="H680" s="1301" t="str">
        <f ca="1"/>
        <v/>
      </c>
      <c r="I680" s="1303" t="str">
        <f ca="1"/>
        <v/>
      </c>
      <c r="J680" s="1287" t="str">
        <f ca="1"/>
        <v/>
      </c>
      <c r="K680" s="1288" t="str">
        <f ca="1"/>
        <v xml:space="preserve">Description:
Details:
Aim:
</v>
      </c>
      <c r="L680" s="1287" t="str">
        <f ca="1"/>
        <v/>
      </c>
      <c r="M680" s="1287" t="str">
        <f ca="1"/>
        <v/>
      </c>
      <c r="N680" s="1287"/>
      <c r="O680" s="1323" t="str">
        <f ca="1"/>
        <v/>
      </c>
      <c r="P680" s="1287"/>
      <c r="Q680" s="1290" t="str">
        <f ca="1"/>
        <v/>
      </c>
    </row>
    <row r="681" spans="1:17" ht="27.75" hidden="1" customHeight="1" x14ac:dyDescent="0.45">
      <c r="A681" s="1289">
        <v>17</v>
      </c>
      <c r="B681" s="1285">
        <v>3</v>
      </c>
      <c r="C681" s="1285">
        <v>2.0000000000000284</v>
      </c>
      <c r="D681" s="1297">
        <v>8.0000000000000497</v>
      </c>
      <c r="E681" s="1299" t="str">
        <f ca="1"/>
        <v/>
      </c>
      <c r="F681" s="1286" t="str">
        <f ca="1"/>
        <v/>
      </c>
      <c r="G681" s="1286" t="str">
        <f ca="1"/>
        <v/>
      </c>
      <c r="H681" s="1301" t="str">
        <f ca="1"/>
        <v/>
      </c>
      <c r="I681" s="1303" t="str">
        <f ca="1"/>
        <v/>
      </c>
      <c r="J681" s="1287" t="str">
        <f ca="1"/>
        <v/>
      </c>
      <c r="K681" s="1288" t="str">
        <f ca="1"/>
        <v xml:space="preserve">Description:
Details:
Aim:
</v>
      </c>
      <c r="L681" s="1287" t="str">
        <f ca="1"/>
        <v/>
      </c>
      <c r="M681" s="1287" t="str">
        <f ca="1"/>
        <v/>
      </c>
      <c r="N681" s="1287"/>
      <c r="O681" s="1323" t="str">
        <f ca="1"/>
        <v/>
      </c>
      <c r="P681" s="1287"/>
      <c r="Q681" s="1290" t="str">
        <f ca="1"/>
        <v/>
      </c>
    </row>
    <row r="682" spans="1:17" ht="27.75" hidden="1" customHeight="1" x14ac:dyDescent="0.45">
      <c r="A682" s="1289">
        <v>17</v>
      </c>
      <c r="B682" s="1285">
        <v>3</v>
      </c>
      <c r="C682" s="1285">
        <v>2.9999999999999716</v>
      </c>
      <c r="D682" s="1297">
        <v>8.9999999999999716</v>
      </c>
      <c r="E682" s="1299" t="str">
        <f ca="1"/>
        <v/>
      </c>
      <c r="F682" s="1286" t="str">
        <f ca="1"/>
        <v/>
      </c>
      <c r="G682" s="1286" t="str">
        <f ca="1"/>
        <v/>
      </c>
      <c r="H682" s="1301" t="str">
        <f ca="1"/>
        <v/>
      </c>
      <c r="I682" s="1303" t="str">
        <f ca="1"/>
        <v/>
      </c>
      <c r="J682" s="1287" t="str">
        <f ca="1"/>
        <v/>
      </c>
      <c r="K682" s="1288" t="str">
        <f ca="1"/>
        <v xml:space="preserve">Description:
Details:
Aim:
</v>
      </c>
      <c r="L682" s="1287" t="str">
        <f ca="1"/>
        <v/>
      </c>
      <c r="M682" s="1287" t="str">
        <f ca="1"/>
        <v/>
      </c>
      <c r="N682" s="1287"/>
      <c r="O682" s="1323" t="str">
        <f ca="1"/>
        <v/>
      </c>
      <c r="P682" s="1287"/>
      <c r="Q682" s="1290" t="str">
        <f ca="1"/>
        <v/>
      </c>
    </row>
    <row r="683" spans="1:17" ht="27.75" hidden="1" customHeight="1" x14ac:dyDescent="0.45">
      <c r="A683" s="1289">
        <v>17</v>
      </c>
      <c r="B683" s="1285">
        <v>4</v>
      </c>
      <c r="C683" s="1285">
        <v>1</v>
      </c>
      <c r="D683" s="1297">
        <v>10.000000000000043</v>
      </c>
      <c r="E683" s="1299" t="str">
        <f ca="1"/>
        <v>Stay at a comfortable and controlled intensity where you should be able to have a conversation without large pauses. Keep an even intensity and accept that your pace may change as the terrain changes.</v>
      </c>
      <c r="F683" s="1286" t="str">
        <f ca="1"/>
        <v>Sport: Run
WU/WD: No 
Effort Total: 55 minutes
HR Target: 138 BPM
HR Range: 129 - 148 BPM 
Flat Road Equivalent Pace: 4:39 min/km</v>
      </c>
      <c r="G683" s="1286" t="str">
        <f ca="1"/>
        <v xml:space="preserve">Improve aerobic fitness while minimising the chance of injury. </v>
      </c>
      <c r="H683" s="1301" t="str">
        <f ca="1"/>
        <v/>
      </c>
      <c r="I683" s="1303" t="str">
        <f ca="1"/>
        <v>Easy run: 55 minutes</v>
      </c>
      <c r="J683" s="1287" t="str">
        <f ca="1"/>
        <v>Running</v>
      </c>
      <c r="K683"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55 minutes
HR Target: 138 BPM
HR Range: 129 - 148 BPM 
Flat Road Equivalent Pace: 4:39 min/km
Aim:
Improve aerobic fitness while minimising the chance of injury. </v>
      </c>
      <c r="L683" s="1287">
        <f ca="1"/>
        <v>1</v>
      </c>
      <c r="M683" s="1287">
        <f ca="1"/>
        <v>0.91666666666666663</v>
      </c>
      <c r="N683" s="1287"/>
      <c r="O683" s="1323" t="str">
        <f ca="1"/>
        <v>2019-01-22 18:00</v>
      </c>
      <c r="P683" s="1287"/>
      <c r="Q683" s="1290" t="str">
        <f ca="1"/>
        <v>Run</v>
      </c>
    </row>
    <row r="684" spans="1:17" ht="27.75" hidden="1" customHeight="1" x14ac:dyDescent="0.45">
      <c r="A684" s="1289">
        <v>17</v>
      </c>
      <c r="B684" s="1285">
        <v>4</v>
      </c>
      <c r="C684" s="1285">
        <v>2.0000000000000284</v>
      </c>
      <c r="D684" s="1297">
        <v>10.999999999999964</v>
      </c>
      <c r="E684" s="1299" t="str">
        <f ca="1"/>
        <v/>
      </c>
      <c r="F684" s="1286" t="str">
        <f ca="1"/>
        <v/>
      </c>
      <c r="G684" s="1286" t="str">
        <f ca="1"/>
        <v/>
      </c>
      <c r="H684" s="1301" t="str">
        <f ca="1"/>
        <v/>
      </c>
      <c r="I684" s="1303" t="str">
        <f ca="1"/>
        <v/>
      </c>
      <c r="J684" s="1287" t="str">
        <f ca="1"/>
        <v/>
      </c>
      <c r="K684" s="1288" t="str">
        <f ca="1"/>
        <v xml:space="preserve">Description:
Details:
Aim:
</v>
      </c>
      <c r="L684" s="1287" t="str">
        <f ca="1"/>
        <v/>
      </c>
      <c r="M684" s="1287" t="str">
        <f ca="1"/>
        <v/>
      </c>
      <c r="N684" s="1287"/>
      <c r="O684" s="1323" t="str">
        <f ca="1"/>
        <v/>
      </c>
      <c r="P684" s="1287"/>
      <c r="Q684" s="1290" t="str">
        <f ca="1"/>
        <v/>
      </c>
    </row>
    <row r="685" spans="1:17" ht="27.75" hidden="1" customHeight="1" x14ac:dyDescent="0.45">
      <c r="A685" s="1289">
        <v>17</v>
      </c>
      <c r="B685" s="1285">
        <v>4</v>
      </c>
      <c r="C685" s="1285">
        <v>2.9999999999999716</v>
      </c>
      <c r="D685" s="1297">
        <v>12.000000000000036</v>
      </c>
      <c r="E685" s="1299" t="str">
        <f ca="1"/>
        <v/>
      </c>
      <c r="F685" s="1286" t="str">
        <f ca="1"/>
        <v/>
      </c>
      <c r="G685" s="1286" t="str">
        <f ca="1"/>
        <v/>
      </c>
      <c r="H685" s="1301" t="str">
        <f ca="1"/>
        <v/>
      </c>
      <c r="I685" s="1303" t="str">
        <f ca="1"/>
        <v/>
      </c>
      <c r="J685" s="1287" t="str">
        <f ca="1"/>
        <v/>
      </c>
      <c r="K685" s="1288" t="str">
        <f ca="1"/>
        <v xml:space="preserve">Description:
Details:
Aim:
</v>
      </c>
      <c r="L685" s="1287" t="str">
        <f ca="1"/>
        <v/>
      </c>
      <c r="M685" s="1287" t="str">
        <f ca="1"/>
        <v/>
      </c>
      <c r="N685" s="1287"/>
      <c r="O685" s="1323" t="str">
        <f ca="1"/>
        <v/>
      </c>
      <c r="P685" s="1287"/>
      <c r="Q685" s="1290" t="str">
        <f ca="1"/>
        <v/>
      </c>
    </row>
    <row r="686" spans="1:17" ht="27.75" hidden="1" customHeight="1" x14ac:dyDescent="0.45">
      <c r="A686" s="1289">
        <v>17</v>
      </c>
      <c r="B686" s="1285">
        <v>4</v>
      </c>
      <c r="C686" s="1285">
        <v>1</v>
      </c>
      <c r="D686" s="1297">
        <v>12.999999999999957</v>
      </c>
      <c r="E686" s="1299" t="str">
        <f ca="1"/>
        <v/>
      </c>
      <c r="F686" s="1286" t="str">
        <f ca="1"/>
        <v/>
      </c>
      <c r="G686" s="1286" t="str">
        <f ca="1"/>
        <v/>
      </c>
      <c r="H686" s="1301" t="str">
        <f ca="1"/>
        <v/>
      </c>
      <c r="I686" s="1303" t="str">
        <f ca="1"/>
        <v/>
      </c>
      <c r="J686" s="1287" t="str">
        <f ca="1"/>
        <v/>
      </c>
      <c r="K686" s="1288" t="str">
        <f ca="1"/>
        <v xml:space="preserve">Description:
Details:
Aim:
</v>
      </c>
      <c r="L686" s="1287" t="str">
        <f ca="1"/>
        <v/>
      </c>
      <c r="M686" s="1287" t="str">
        <f ca="1"/>
        <v/>
      </c>
      <c r="N686" s="1287"/>
      <c r="O686" s="1323" t="str">
        <f ca="1"/>
        <v/>
      </c>
      <c r="P686" s="1287"/>
      <c r="Q686" s="1290" t="str">
        <f ca="1"/>
        <v/>
      </c>
    </row>
    <row r="687" spans="1:17" ht="27.75" hidden="1" customHeight="1" x14ac:dyDescent="0.45">
      <c r="A687" s="1289">
        <v>17</v>
      </c>
      <c r="B687" s="1285">
        <v>5</v>
      </c>
      <c r="C687" s="1285">
        <v>2.0000000000000284</v>
      </c>
      <c r="D687" s="1297">
        <v>14.000000000000028</v>
      </c>
      <c r="E687" s="1299" t="str">
        <f ca="1"/>
        <v/>
      </c>
      <c r="F687" s="1286" t="str">
        <f ca="1"/>
        <v/>
      </c>
      <c r="G687" s="1286" t="str">
        <f ca="1"/>
        <v/>
      </c>
      <c r="H687" s="1301" t="str">
        <f ca="1"/>
        <v/>
      </c>
      <c r="I687" s="1303" t="str">
        <f ca="1"/>
        <v/>
      </c>
      <c r="J687" s="1287" t="str">
        <f ca="1"/>
        <v/>
      </c>
      <c r="K687" s="1288" t="str">
        <f ca="1"/>
        <v xml:space="preserve">Description:
Details:
Aim:
</v>
      </c>
      <c r="L687" s="1287" t="str">
        <f ca="1"/>
        <v/>
      </c>
      <c r="M687" s="1287" t="str">
        <f ca="1"/>
        <v/>
      </c>
      <c r="N687" s="1287"/>
      <c r="O687" s="1323" t="str">
        <f ca="1"/>
        <v/>
      </c>
      <c r="P687" s="1287"/>
      <c r="Q687" s="1290" t="str">
        <f ca="1"/>
        <v/>
      </c>
    </row>
    <row r="688" spans="1:17" ht="27.75" hidden="1" customHeight="1" x14ac:dyDescent="0.45">
      <c r="A688" s="1289">
        <v>17</v>
      </c>
      <c r="B688" s="1285">
        <v>5</v>
      </c>
      <c r="C688" s="1285">
        <v>2.9999999999999716</v>
      </c>
      <c r="D688" s="1297">
        <v>14.99999999999995</v>
      </c>
      <c r="E688" s="1299" t="str">
        <f ca="1"/>
        <v/>
      </c>
      <c r="F688" s="1286" t="str">
        <f ca="1"/>
        <v/>
      </c>
      <c r="G688" s="1286" t="str">
        <f ca="1"/>
        <v/>
      </c>
      <c r="H688" s="1301" t="str">
        <f ca="1"/>
        <v/>
      </c>
      <c r="I688" s="1303" t="str">
        <f ca="1"/>
        <v/>
      </c>
      <c r="J688" s="1287" t="str">
        <f ca="1"/>
        <v/>
      </c>
      <c r="K688" s="1288" t="str">
        <f ca="1"/>
        <v xml:space="preserve">Description:
Details:
Aim:
</v>
      </c>
      <c r="L688" s="1287" t="str">
        <f ca="1"/>
        <v/>
      </c>
      <c r="M688" s="1287" t="str">
        <f ca="1"/>
        <v/>
      </c>
      <c r="N688" s="1287"/>
      <c r="O688" s="1323" t="str">
        <f ca="1"/>
        <v/>
      </c>
      <c r="P688" s="1287"/>
      <c r="Q688" s="1290" t="str">
        <f ca="1"/>
        <v/>
      </c>
    </row>
    <row r="689" spans="1:17" ht="27.75" hidden="1" customHeight="1" x14ac:dyDescent="0.45">
      <c r="A689" s="1289">
        <v>17</v>
      </c>
      <c r="B689" s="1285">
        <v>6</v>
      </c>
      <c r="C689" s="1285">
        <v>1</v>
      </c>
      <c r="D689" s="1297">
        <v>16.000000000000021</v>
      </c>
      <c r="E689" s="1299" t="str">
        <f ca="1"/>
        <v>Stay at a comfortable and controlled intensity where you should be able to have a conversation without large pauses. Keep an even intensity and accept that your pace may change as the terrain changes.</v>
      </c>
      <c r="F689" s="1286" t="str">
        <f ca="1"/>
        <v>Sport: Run
WU/WD: No 
Effort Total: 55 minutes
HR Target: 138 BPM
HR Range: 129 - 148 BPM 
Flat Road Equivalent Pace: 4:39 min/km</v>
      </c>
      <c r="G689" s="1286" t="str">
        <f ca="1"/>
        <v xml:space="preserve">Improve aerobic fitness while minimising the chance of injury. </v>
      </c>
      <c r="H689" s="1301" t="str">
        <f ca="1"/>
        <v/>
      </c>
      <c r="I689" s="1303" t="str">
        <f ca="1"/>
        <v>Easy run: 55 minutes</v>
      </c>
      <c r="J689" s="1287" t="str">
        <f ca="1"/>
        <v>Running</v>
      </c>
      <c r="K689" s="1288" t="str">
        <f ca="1"/>
        <v xml:space="preserve">Description:
Stay at a comfortable and controlled intensity where you should be able to have a conversation without large pauses. Keep an even intensity and accept that your pace may change as the terrain changes.
Details:
Sport: Run
WU/WD: No 
Effort Total: 55 minutes
HR Target: 138 BPM
HR Range: 129 - 148 BPM 
Flat Road Equivalent Pace: 4:39 min/km
Aim:
Improve aerobic fitness while minimising the chance of injury. </v>
      </c>
      <c r="L689" s="1287">
        <f ca="1"/>
        <v>1</v>
      </c>
      <c r="M689" s="1287">
        <f ca="1"/>
        <v>0.91666666666666663</v>
      </c>
      <c r="N689" s="1287"/>
      <c r="O689" s="1323" t="str">
        <f ca="1"/>
        <v>2019-01-23 18:00</v>
      </c>
      <c r="P689" s="1287"/>
      <c r="Q689" s="1290" t="str">
        <f ca="1"/>
        <v>Run</v>
      </c>
    </row>
    <row r="690" spans="1:17" ht="27.75" hidden="1" customHeight="1" x14ac:dyDescent="0.45">
      <c r="A690" s="1289">
        <v>17</v>
      </c>
      <c r="B690" s="1285">
        <v>6</v>
      </c>
      <c r="C690" s="1285">
        <v>2.0000000000000284</v>
      </c>
      <c r="D690" s="1297">
        <v>16.999999999999943</v>
      </c>
      <c r="E690" s="1299" t="str">
        <f ca="1"/>
        <v/>
      </c>
      <c r="F690" s="1286" t="str">
        <f ca="1"/>
        <v/>
      </c>
      <c r="G690" s="1286" t="str">
        <f ca="1"/>
        <v/>
      </c>
      <c r="H690" s="1301" t="str">
        <f ca="1"/>
        <v/>
      </c>
      <c r="I690" s="1303" t="str">
        <f ca="1"/>
        <v/>
      </c>
      <c r="J690" s="1287" t="str">
        <f ca="1"/>
        <v/>
      </c>
      <c r="K690" s="1288" t="str">
        <f ca="1"/>
        <v xml:space="preserve">Description:
Details:
Aim:
</v>
      </c>
      <c r="L690" s="1287" t="str">
        <f ca="1"/>
        <v/>
      </c>
      <c r="M690" s="1287" t="str">
        <f ca="1"/>
        <v/>
      </c>
      <c r="N690" s="1287"/>
      <c r="O690" s="1323" t="str">
        <f ca="1"/>
        <v/>
      </c>
      <c r="P690" s="1287"/>
      <c r="Q690" s="1290" t="str">
        <f ca="1"/>
        <v/>
      </c>
    </row>
    <row r="691" spans="1:17" ht="27.75" hidden="1" customHeight="1" x14ac:dyDescent="0.45">
      <c r="A691" s="1289">
        <v>17</v>
      </c>
      <c r="B691" s="1285">
        <v>6</v>
      </c>
      <c r="C691" s="1285">
        <v>2.9999999999999716</v>
      </c>
      <c r="D691" s="1297">
        <v>18.000000000000014</v>
      </c>
      <c r="E691" s="1299" t="str">
        <f ca="1"/>
        <v/>
      </c>
      <c r="F691" s="1286" t="str">
        <f ca="1"/>
        <v/>
      </c>
      <c r="G691" s="1286" t="str">
        <f ca="1"/>
        <v/>
      </c>
      <c r="H691" s="1301" t="str">
        <f ca="1"/>
        <v/>
      </c>
      <c r="I691" s="1303" t="str">
        <f ca="1"/>
        <v/>
      </c>
      <c r="J691" s="1287" t="str">
        <f ca="1"/>
        <v/>
      </c>
      <c r="K691" s="1288" t="str">
        <f ca="1"/>
        <v xml:space="preserve">Description:
Details:
Aim:
</v>
      </c>
      <c r="L691" s="1287" t="str">
        <f ca="1"/>
        <v/>
      </c>
      <c r="M691" s="1287" t="str">
        <f ca="1"/>
        <v/>
      </c>
      <c r="N691" s="1287"/>
      <c r="O691" s="1323" t="str">
        <f ca="1"/>
        <v/>
      </c>
      <c r="P691" s="1287"/>
      <c r="Q691" s="1290" t="str">
        <f ca="1"/>
        <v/>
      </c>
    </row>
    <row r="692" spans="1:17" ht="27.75" hidden="1" customHeight="1" x14ac:dyDescent="0.45">
      <c r="A692" s="1289">
        <v>17</v>
      </c>
      <c r="B692" s="1285">
        <v>6</v>
      </c>
      <c r="C692" s="1285">
        <v>1</v>
      </c>
      <c r="D692" s="1297">
        <v>18.999999999999936</v>
      </c>
      <c r="E692" s="1299" t="str">
        <f ca="1"/>
        <v/>
      </c>
      <c r="F692" s="1286" t="str">
        <f ca="1"/>
        <v/>
      </c>
      <c r="G692" s="1286" t="str">
        <f ca="1"/>
        <v/>
      </c>
      <c r="H692" s="1301" t="str">
        <f ca="1"/>
        <v/>
      </c>
      <c r="I692" s="1303" t="str">
        <f ca="1"/>
        <v/>
      </c>
      <c r="J692" s="1287" t="str">
        <f ca="1"/>
        <v/>
      </c>
      <c r="K692" s="1288" t="str">
        <f ca="1"/>
        <v xml:space="preserve">Description:
Details:
Aim:
</v>
      </c>
      <c r="L692" s="1287" t="str">
        <f ca="1"/>
        <v/>
      </c>
      <c r="M692" s="1287" t="str">
        <f ca="1"/>
        <v/>
      </c>
      <c r="N692" s="1287"/>
      <c r="O692" s="1323" t="str">
        <f ca="1"/>
        <v/>
      </c>
      <c r="P692" s="1287"/>
      <c r="Q692" s="1290" t="str">
        <f ca="1"/>
        <v/>
      </c>
    </row>
    <row r="693" spans="1:17" ht="27.75" hidden="1" customHeight="1" x14ac:dyDescent="0.45">
      <c r="A693" s="1289">
        <v>17</v>
      </c>
      <c r="B693" s="1285">
        <v>7</v>
      </c>
      <c r="C693" s="1285">
        <v>2.0000000000000284</v>
      </c>
      <c r="D693" s="1297">
        <v>20.000000000000007</v>
      </c>
      <c r="E693" s="1299" t="str">
        <f ca="1"/>
        <v/>
      </c>
      <c r="F693" s="1286" t="str">
        <f ca="1"/>
        <v/>
      </c>
      <c r="G693" s="1286" t="str">
        <f ca="1"/>
        <v/>
      </c>
      <c r="H693" s="1301" t="str">
        <f ca="1"/>
        <v/>
      </c>
      <c r="I693" s="1303" t="str">
        <f ca="1"/>
        <v/>
      </c>
      <c r="J693" s="1287" t="str">
        <f ca="1"/>
        <v/>
      </c>
      <c r="K693" s="1288" t="str">
        <f ca="1"/>
        <v xml:space="preserve">Description:
Details:
Aim:
</v>
      </c>
      <c r="L693" s="1287" t="str">
        <f ca="1"/>
        <v/>
      </c>
      <c r="M693" s="1287" t="str">
        <f ca="1"/>
        <v/>
      </c>
      <c r="N693" s="1287"/>
      <c r="O693" s="1323" t="str">
        <f ca="1"/>
        <v/>
      </c>
      <c r="P693" s="1287"/>
      <c r="Q693" s="1290" t="str">
        <f ca="1"/>
        <v/>
      </c>
    </row>
    <row r="694" spans="1:17" ht="27.75" hidden="1" customHeight="1" x14ac:dyDescent="0.45">
      <c r="A694" s="1289">
        <v>17</v>
      </c>
      <c r="B694" s="1285">
        <v>7</v>
      </c>
      <c r="C694" s="1285">
        <v>2.9999999999999716</v>
      </c>
      <c r="D694" s="1297">
        <v>20.999999999999929</v>
      </c>
      <c r="E694" s="1299" t="str">
        <f ca="1"/>
        <v/>
      </c>
      <c r="F694" s="1286" t="str">
        <f ca="1"/>
        <v/>
      </c>
      <c r="G694" s="1286" t="str">
        <f ca="1"/>
        <v/>
      </c>
      <c r="H694" s="1301" t="str">
        <f ca="1"/>
        <v/>
      </c>
      <c r="I694" s="1303" t="str">
        <f ca="1"/>
        <v/>
      </c>
      <c r="J694" s="1287" t="str">
        <f ca="1"/>
        <v/>
      </c>
      <c r="K694" s="1288" t="str">
        <f ca="1"/>
        <v xml:space="preserve">Description:
Details:
Aim:
</v>
      </c>
      <c r="L694" s="1287" t="str">
        <f ca="1"/>
        <v/>
      </c>
      <c r="M694" s="1287" t="str">
        <f ca="1"/>
        <v/>
      </c>
      <c r="N694" s="1287"/>
      <c r="O694" s="1323" t="str">
        <f ca="1"/>
        <v/>
      </c>
      <c r="P694" s="1287"/>
      <c r="Q694" s="1290" t="str">
        <f ca="1"/>
        <v/>
      </c>
    </row>
    <row r="695" spans="1:17" ht="27.75" hidden="1" customHeight="1" x14ac:dyDescent="0.45">
      <c r="A695" s="1289">
        <v>17</v>
      </c>
      <c r="B695" s="1285">
        <v>8</v>
      </c>
      <c r="C695" s="1285">
        <v>1</v>
      </c>
      <c r="D695" s="1297">
        <v>22</v>
      </c>
      <c r="E695" s="1299" t="str">
        <f ca="1"/>
        <v/>
      </c>
      <c r="F695" s="1286" t="str">
        <f ca="1"/>
        <v/>
      </c>
      <c r="G695" s="1286" t="str">
        <f ca="1"/>
        <v/>
      </c>
      <c r="H695" s="1301" t="str">
        <f ca="1"/>
        <v/>
      </c>
      <c r="I695" s="1303" t="str">
        <f ca="1"/>
        <v/>
      </c>
      <c r="J695" s="1287" t="str">
        <f ca="1"/>
        <v/>
      </c>
      <c r="K695" s="1288" t="str">
        <f ca="1"/>
        <v xml:space="preserve">Description:
Details:
Aim:
</v>
      </c>
      <c r="L695" s="1287" t="str">
        <f ca="1"/>
        <v/>
      </c>
      <c r="M695" s="1287" t="str">
        <f ca="1"/>
        <v/>
      </c>
      <c r="N695" s="1287"/>
      <c r="O695" s="1323" t="str">
        <f ca="1"/>
        <v/>
      </c>
      <c r="P695" s="1287"/>
      <c r="Q695" s="1290" t="str">
        <f ca="1"/>
        <v/>
      </c>
    </row>
    <row r="696" spans="1:17" ht="27.75" hidden="1" customHeight="1" x14ac:dyDescent="0.45">
      <c r="A696" s="1289">
        <v>17</v>
      </c>
      <c r="B696" s="1285">
        <v>8</v>
      </c>
      <c r="C696" s="1285">
        <v>2.0000000000000284</v>
      </c>
      <c r="D696" s="1297">
        <v>23.000000000000071</v>
      </c>
      <c r="E696" s="1299" t="str">
        <f ca="1"/>
        <v/>
      </c>
      <c r="F696" s="1286" t="str">
        <f ca="1"/>
        <v/>
      </c>
      <c r="G696" s="1286" t="str">
        <f ca="1"/>
        <v/>
      </c>
      <c r="H696" s="1301" t="str">
        <f ca="1"/>
        <v/>
      </c>
      <c r="I696" s="1303" t="str">
        <f ca="1"/>
        <v/>
      </c>
      <c r="J696" s="1287" t="str">
        <f ca="1"/>
        <v/>
      </c>
      <c r="K696" s="1288" t="str">
        <f ca="1"/>
        <v xml:space="preserve">Description:
Details:
Aim:
</v>
      </c>
      <c r="L696" s="1287" t="str">
        <f ca="1"/>
        <v/>
      </c>
      <c r="M696" s="1287" t="str">
        <f ca="1"/>
        <v/>
      </c>
      <c r="N696" s="1287"/>
      <c r="O696" s="1323" t="str">
        <f ca="1"/>
        <v/>
      </c>
      <c r="P696" s="1287"/>
      <c r="Q696" s="1290" t="str">
        <f ca="1"/>
        <v/>
      </c>
    </row>
    <row r="697" spans="1:17" ht="27.75" hidden="1" customHeight="1" x14ac:dyDescent="0.45">
      <c r="A697" s="1289">
        <v>17</v>
      </c>
      <c r="B697" s="1285">
        <v>8</v>
      </c>
      <c r="C697" s="1285">
        <v>2.9999999999999716</v>
      </c>
      <c r="D697" s="1297">
        <v>23.999999999999993</v>
      </c>
      <c r="E697" s="1299" t="str">
        <f ca="1"/>
        <v/>
      </c>
      <c r="F697" s="1286" t="str">
        <f ca="1"/>
        <v/>
      </c>
      <c r="G697" s="1286" t="str">
        <f ca="1"/>
        <v/>
      </c>
      <c r="H697" s="1301" t="str">
        <f ca="1"/>
        <v/>
      </c>
      <c r="I697" s="1303" t="str">
        <f ca="1"/>
        <v/>
      </c>
      <c r="J697" s="1287" t="str">
        <f ca="1"/>
        <v/>
      </c>
      <c r="K697" s="1288" t="str">
        <f ca="1"/>
        <v xml:space="preserve">Description:
Details:
Aim:
</v>
      </c>
      <c r="L697" s="1287" t="str">
        <f ca="1"/>
        <v/>
      </c>
      <c r="M697" s="1287" t="str">
        <f ca="1"/>
        <v/>
      </c>
      <c r="N697" s="1287"/>
      <c r="O697" s="1323" t="str">
        <f ca="1"/>
        <v/>
      </c>
      <c r="P697" s="1287"/>
      <c r="Q697" s="1290" t="str">
        <f ca="1"/>
        <v/>
      </c>
    </row>
    <row r="698" spans="1:17" ht="27.75" hidden="1" customHeight="1" x14ac:dyDescent="0.45">
      <c r="A698" s="1289">
        <v>17</v>
      </c>
      <c r="B698" s="1285">
        <v>9</v>
      </c>
      <c r="C698" s="1285">
        <v>1</v>
      </c>
      <c r="D698" s="1297">
        <v>25.000000000000064</v>
      </c>
      <c r="E698" s="1299" t="str">
        <f ca="1"/>
        <v/>
      </c>
      <c r="F698" s="1286" t="str">
        <f ca="1"/>
        <v/>
      </c>
      <c r="G698" s="1286" t="str">
        <f ca="1"/>
        <v/>
      </c>
      <c r="H698" s="1301" t="str">
        <f ca="1"/>
        <v/>
      </c>
      <c r="I698" s="1303" t="str">
        <f ca="1"/>
        <v/>
      </c>
      <c r="J698" s="1287" t="str">
        <f ca="1"/>
        <v/>
      </c>
      <c r="K698" s="1288" t="str">
        <f ca="1"/>
        <v xml:space="preserve">Description:
Details:
Aim:
</v>
      </c>
      <c r="L698" s="1287" t="str">
        <f ca="1"/>
        <v/>
      </c>
      <c r="M698" s="1287" t="str">
        <f ca="1"/>
        <v/>
      </c>
      <c r="N698" s="1287"/>
      <c r="O698" s="1323" t="str">
        <f ca="1"/>
        <v/>
      </c>
      <c r="P698" s="1287"/>
      <c r="Q698" s="1290" t="str">
        <f ca="1"/>
        <v/>
      </c>
    </row>
    <row r="699" spans="1:17" ht="27.75" hidden="1" customHeight="1" x14ac:dyDescent="0.45">
      <c r="A699" s="1289">
        <v>17</v>
      </c>
      <c r="B699" s="1285">
        <v>9</v>
      </c>
      <c r="C699" s="1285">
        <v>2.0000000000000284</v>
      </c>
      <c r="D699" s="1297">
        <v>25.999999999999986</v>
      </c>
      <c r="E699" s="1299" t="str">
        <f ca="1"/>
        <v/>
      </c>
      <c r="F699" s="1286" t="str">
        <f ca="1"/>
        <v/>
      </c>
      <c r="G699" s="1286" t="str">
        <f ca="1"/>
        <v/>
      </c>
      <c r="H699" s="1301" t="str">
        <f ca="1"/>
        <v/>
      </c>
      <c r="I699" s="1303" t="str">
        <f ca="1"/>
        <v/>
      </c>
      <c r="J699" s="1287" t="str">
        <f ca="1"/>
        <v/>
      </c>
      <c r="K699" s="1288" t="str">
        <f ca="1"/>
        <v xml:space="preserve">Description:
Details:
Aim:
</v>
      </c>
      <c r="L699" s="1287" t="str">
        <f ca="1"/>
        <v/>
      </c>
      <c r="M699" s="1287" t="str">
        <f ca="1"/>
        <v/>
      </c>
      <c r="N699" s="1287"/>
      <c r="O699" s="1323" t="str">
        <f ca="1"/>
        <v/>
      </c>
      <c r="P699" s="1287"/>
      <c r="Q699" s="1290" t="str">
        <f ca="1"/>
        <v/>
      </c>
    </row>
    <row r="700" spans="1:17" ht="27.75" hidden="1" customHeight="1" x14ac:dyDescent="0.45">
      <c r="A700" s="1289">
        <v>17</v>
      </c>
      <c r="B700" s="1285">
        <v>9</v>
      </c>
      <c r="C700" s="1285">
        <v>2.9999999999999716</v>
      </c>
      <c r="D700" s="1297">
        <v>27.000000000000057</v>
      </c>
      <c r="E700" s="1299" t="str">
        <f ca="1"/>
        <v/>
      </c>
      <c r="F700" s="1286" t="str">
        <f ca="1"/>
        <v/>
      </c>
      <c r="G700" s="1286" t="str">
        <f ca="1"/>
        <v/>
      </c>
      <c r="H700" s="1301" t="str">
        <f ca="1"/>
        <v/>
      </c>
      <c r="I700" s="1303" t="str">
        <f ca="1"/>
        <v/>
      </c>
      <c r="J700" s="1287" t="str">
        <f ca="1"/>
        <v/>
      </c>
      <c r="K700" s="1288" t="str">
        <f ca="1"/>
        <v xml:space="preserve">Description:
Details:
Aim:
</v>
      </c>
      <c r="L700" s="1287" t="str">
        <f ca="1"/>
        <v/>
      </c>
      <c r="M700" s="1287" t="str">
        <f ca="1"/>
        <v/>
      </c>
      <c r="N700" s="1287"/>
      <c r="O700" s="1323" t="str">
        <f ca="1"/>
        <v/>
      </c>
      <c r="P700" s="1287"/>
      <c r="Q700" s="1290" t="str">
        <f ca="1"/>
        <v/>
      </c>
    </row>
    <row r="701" spans="1:17" ht="27.75" hidden="1" customHeight="1" x14ac:dyDescent="0.45">
      <c r="A701" s="1289">
        <v>17</v>
      </c>
      <c r="B701" s="1285">
        <v>9</v>
      </c>
      <c r="C701" s="1285">
        <v>1</v>
      </c>
      <c r="D701" s="1297">
        <v>27.999999999999979</v>
      </c>
      <c r="E701" s="1299" t="str">
        <f ca="1"/>
        <v>Rest from continuous exercise.</v>
      </c>
      <c r="F701" s="1286" t="str">
        <f ca="1"/>
        <v>Sport: Run
WU/WD: No 
Effort Total: 15 minutes
HR Target: N/A BPM
HR Range: N/A BPM 
Flat Road Equivalent Pace:  min/km</v>
      </c>
      <c r="G701" s="1286" t="str">
        <f ca="1"/>
        <v xml:space="preserve">Allow safest recovery of the whole body. </v>
      </c>
      <c r="H701" s="1301" t="str">
        <f ca="1"/>
        <v/>
      </c>
      <c r="I701" s="1303" t="str">
        <f ca="1"/>
        <v>Race: 15 minutes + WU/WD</v>
      </c>
      <c r="J701" s="1287" t="str">
        <f ca="1"/>
        <v>Running</v>
      </c>
      <c r="K701" s="1288" t="str">
        <f ca="1"/>
        <v xml:space="preserve">Description:
Rest from continuous exercise.
Details:
Sport: Run
WU/WD: No 
Effort Total: 15 minutes
HR Target: N/A BPM
HR Range: N/A BPM 
Flat Road Equivalent Pace:  min/km
Aim:
Allow safest recovery of the whole body. </v>
      </c>
      <c r="L701" s="1287">
        <f ca="1"/>
        <v>0</v>
      </c>
      <c r="M701" s="1287">
        <f ca="1"/>
        <v>0.25</v>
      </c>
      <c r="N701" s="1287"/>
      <c r="O701" s="1323" t="str">
        <f ca="1"/>
        <v>2019-01-25 06:00</v>
      </c>
      <c r="P701" s="1287"/>
      <c r="Q701" s="1290" t="str">
        <f ca="1"/>
        <v>Run</v>
      </c>
    </row>
    <row r="702" spans="1:17" ht="27.75" hidden="1" customHeight="1" x14ac:dyDescent="0.45">
      <c r="A702" s="1289">
        <v>17</v>
      </c>
      <c r="B702" s="1285">
        <v>10</v>
      </c>
      <c r="C702" s="1285">
        <v>2.0000000000000284</v>
      </c>
      <c r="D702" s="1297">
        <v>29.00000000000005</v>
      </c>
      <c r="E702" s="1299" t="str">
        <f ca="1"/>
        <v/>
      </c>
      <c r="F702" s="1286" t="str">
        <f ca="1"/>
        <v/>
      </c>
      <c r="G702" s="1286" t="str">
        <f ca="1"/>
        <v/>
      </c>
      <c r="H702" s="1301" t="str">
        <f ca="1"/>
        <v/>
      </c>
      <c r="I702" s="1303" t="str">
        <f ca="1"/>
        <v/>
      </c>
      <c r="J702" s="1287" t="str">
        <f ca="1"/>
        <v/>
      </c>
      <c r="K702" s="1288" t="str">
        <f ca="1"/>
        <v xml:space="preserve">Description:
Details:
Aim:
</v>
      </c>
      <c r="L702" s="1287" t="str">
        <f ca="1"/>
        <v/>
      </c>
      <c r="M702" s="1287" t="str">
        <f ca="1"/>
        <v/>
      </c>
      <c r="N702" s="1287"/>
      <c r="O702" s="1323" t="str">
        <f ca="1"/>
        <v/>
      </c>
      <c r="P702" s="1287"/>
      <c r="Q702" s="1290" t="str">
        <f ca="1"/>
        <v/>
      </c>
    </row>
    <row r="703" spans="1:17" ht="27.75" hidden="1" customHeight="1" x14ac:dyDescent="0.45">
      <c r="A703" s="1289">
        <v>17</v>
      </c>
      <c r="B703" s="1285">
        <v>10</v>
      </c>
      <c r="C703" s="1285">
        <v>2.9999999999999716</v>
      </c>
      <c r="D703" s="1297">
        <v>29.999999999999972</v>
      </c>
      <c r="E703" s="1299" t="str">
        <f ca="1"/>
        <v/>
      </c>
      <c r="F703" s="1286" t="str">
        <f ca="1"/>
        <v/>
      </c>
      <c r="G703" s="1286" t="str">
        <f ca="1"/>
        <v/>
      </c>
      <c r="H703" s="1301" t="str">
        <f ca="1"/>
        <v/>
      </c>
      <c r="I703" s="1303" t="str">
        <f ca="1"/>
        <v/>
      </c>
      <c r="J703" s="1287" t="str">
        <f ca="1"/>
        <v/>
      </c>
      <c r="K703" s="1288" t="str">
        <f ca="1"/>
        <v xml:space="preserve">Description:
Details:
Aim:
</v>
      </c>
      <c r="L703" s="1287" t="str">
        <f ca="1"/>
        <v/>
      </c>
      <c r="M703" s="1287" t="str">
        <f ca="1"/>
        <v/>
      </c>
      <c r="N703" s="1287"/>
      <c r="O703" s="1323" t="str">
        <f ca="1"/>
        <v/>
      </c>
      <c r="P703" s="1287"/>
      <c r="Q703" s="1290" t="str">
        <f ca="1"/>
        <v/>
      </c>
    </row>
    <row r="704" spans="1:17" ht="27.75" hidden="1" customHeight="1" x14ac:dyDescent="0.45">
      <c r="A704" s="1289">
        <v>17</v>
      </c>
      <c r="B704" s="1285">
        <v>11</v>
      </c>
      <c r="C704" s="1285">
        <v>1</v>
      </c>
      <c r="D704" s="1297">
        <v>31.000000000000043</v>
      </c>
      <c r="E704" s="1299" t="str">
        <f ca="1"/>
        <v>The exact intensity will change depending on the length of the race. This optimum intensity can be found though a mix of natural urgency and reasoning with what your body is telling you.</v>
      </c>
      <c r="F704" s="1286" t="str">
        <f ca="1"/>
        <v>Sport: Hilly Trail Run
WU/WD: 15 minutes 
Effort Total: 90 minutes
HR Target: 173 BPM
HR Range: N/A BPM 
Flat Road Equivalent Pace: 3:26 min/km</v>
      </c>
      <c r="G704" s="1286" t="str">
        <f ca="1"/>
        <v>Push your physical and mental limits and put tactics and techniques to the test.</v>
      </c>
      <c r="H704" s="1301" t="str">
        <f ca="1"/>
        <v/>
      </c>
      <c r="I704" s="1303" t="str">
        <f ca="1"/>
        <v>Race: 90 minutes + WU/WD</v>
      </c>
      <c r="J704" s="1287" t="str">
        <f ca="1"/>
        <v>Trail Running</v>
      </c>
      <c r="K704" s="1288" t="str">
        <f ca="1"/>
        <v>Description:
The exact intensity will change depending on the length of the race. This optimum intensity can be found though a mix of natural urgency and reasoning with what your body is telling you.
Details:
Sport: Hilly Trail Run
WU/WD: 15 minutes 
Effort Total: 90 minutes
HR Target: 173 BPM
HR Range: N/A BPM 
Flat Road Equivalent Pace: 3:26 min/km
Aim:
Push your physical and mental limits and put tactics and techniques to the test.</v>
      </c>
      <c r="L704" s="1287">
        <f ca="1"/>
        <v>86</v>
      </c>
      <c r="M704" s="1287">
        <f ca="1"/>
        <v>1.5</v>
      </c>
      <c r="N704" s="1287"/>
      <c r="O704" s="1323" t="str">
        <f ca="1"/>
        <v>2019-01-26 06:00</v>
      </c>
      <c r="P704" s="1287"/>
      <c r="Q704" s="1290" t="str">
        <f ca="1"/>
        <v>Hilly Trail Run</v>
      </c>
    </row>
    <row r="705" spans="1:17" ht="27.75" hidden="1" customHeight="1" x14ac:dyDescent="0.45">
      <c r="A705" s="1289">
        <v>17</v>
      </c>
      <c r="B705" s="1285">
        <v>11</v>
      </c>
      <c r="C705" s="1285">
        <v>2.0000000000000284</v>
      </c>
      <c r="D705" s="1297">
        <v>31.999999999999964</v>
      </c>
      <c r="E705" s="1299" t="str">
        <f ca="1"/>
        <v/>
      </c>
      <c r="F705" s="1286" t="str">
        <f ca="1"/>
        <v/>
      </c>
      <c r="G705" s="1286" t="str">
        <f ca="1"/>
        <v/>
      </c>
      <c r="H705" s="1301" t="str">
        <f ca="1"/>
        <v/>
      </c>
      <c r="I705" s="1303" t="str">
        <f ca="1"/>
        <v/>
      </c>
      <c r="J705" s="1287" t="str">
        <f ca="1"/>
        <v/>
      </c>
      <c r="K705" s="1288" t="str">
        <f ca="1"/>
        <v xml:space="preserve">Description:
Details:
Aim:
</v>
      </c>
      <c r="L705" s="1287" t="str">
        <f ca="1"/>
        <v/>
      </c>
      <c r="M705" s="1287" t="str">
        <f ca="1"/>
        <v/>
      </c>
      <c r="N705" s="1287"/>
      <c r="O705" s="1323" t="str">
        <f ca="1"/>
        <v/>
      </c>
      <c r="P705" s="1287"/>
      <c r="Q705" s="1290" t="str">
        <f ca="1"/>
        <v/>
      </c>
    </row>
    <row r="706" spans="1:17" ht="27.75" hidden="1" customHeight="1" x14ac:dyDescent="0.45">
      <c r="A706" s="1289">
        <v>17</v>
      </c>
      <c r="B706" s="1285">
        <v>11</v>
      </c>
      <c r="C706" s="1285">
        <v>2.9999999999999716</v>
      </c>
      <c r="D706" s="1297">
        <v>33.000000000000036</v>
      </c>
      <c r="E706" s="1299" t="str">
        <f ca="1"/>
        <v/>
      </c>
      <c r="F706" s="1286" t="str">
        <f ca="1"/>
        <v/>
      </c>
      <c r="G706" s="1286" t="str">
        <f ca="1"/>
        <v/>
      </c>
      <c r="H706" s="1301" t="str">
        <f ca="1"/>
        <v/>
      </c>
      <c r="I706" s="1303" t="str">
        <f ca="1"/>
        <v/>
      </c>
      <c r="J706" s="1287" t="str">
        <f ca="1"/>
        <v/>
      </c>
      <c r="K706" s="1288" t="str">
        <f ca="1"/>
        <v xml:space="preserve">Description:
Details:
Aim:
</v>
      </c>
      <c r="L706" s="1287" t="str">
        <f ca="1"/>
        <v/>
      </c>
      <c r="M706" s="1287" t="str">
        <f ca="1"/>
        <v/>
      </c>
      <c r="N706" s="1287"/>
      <c r="O706" s="1323" t="str">
        <f ca="1"/>
        <v/>
      </c>
      <c r="P706" s="1287"/>
      <c r="Q706" s="1290" t="str">
        <f ca="1"/>
        <v/>
      </c>
    </row>
    <row r="707" spans="1:17" ht="27.75" hidden="1" customHeight="1" x14ac:dyDescent="0.45">
      <c r="A707" s="1289">
        <v>17</v>
      </c>
      <c r="B707" s="1285">
        <v>12</v>
      </c>
      <c r="C707" s="1285">
        <v>1</v>
      </c>
      <c r="D707" s="1297">
        <v>33.999999999999957</v>
      </c>
      <c r="E707" s="1299" t="str">
        <f ca="1"/>
        <v/>
      </c>
      <c r="F707" s="1286" t="str">
        <f ca="1"/>
        <v/>
      </c>
      <c r="G707" s="1286" t="str">
        <f ca="1"/>
        <v/>
      </c>
      <c r="H707" s="1301" t="str">
        <f ca="1"/>
        <v/>
      </c>
      <c r="I707" s="1303" t="str">
        <f ca="1"/>
        <v/>
      </c>
      <c r="J707" s="1287" t="str">
        <f ca="1"/>
        <v/>
      </c>
      <c r="K707" s="1288" t="str">
        <f ca="1"/>
        <v xml:space="preserve">Description:
Details:
Aim:
</v>
      </c>
      <c r="L707" s="1287" t="str">
        <f ca="1"/>
        <v/>
      </c>
      <c r="M707" s="1287" t="str">
        <f ca="1"/>
        <v/>
      </c>
      <c r="N707" s="1287"/>
      <c r="O707" s="1323" t="str">
        <f ca="1"/>
        <v/>
      </c>
      <c r="P707" s="1287"/>
      <c r="Q707" s="1290" t="str">
        <f ca="1"/>
        <v/>
      </c>
    </row>
    <row r="708" spans="1:17" ht="27.75" hidden="1" customHeight="1" x14ac:dyDescent="0.45">
      <c r="A708" s="1289">
        <v>17</v>
      </c>
      <c r="B708" s="1285">
        <v>12</v>
      </c>
      <c r="C708" s="1285">
        <v>2.0000000000000284</v>
      </c>
      <c r="D708" s="1297">
        <v>35.000000000000028</v>
      </c>
      <c r="E708" s="1299" t="str">
        <f ca="1"/>
        <v/>
      </c>
      <c r="F708" s="1286" t="str">
        <f ca="1"/>
        <v/>
      </c>
      <c r="G708" s="1286" t="str">
        <f ca="1"/>
        <v/>
      </c>
      <c r="H708" s="1301" t="str">
        <f ca="1"/>
        <v/>
      </c>
      <c r="I708" s="1303" t="str">
        <f ca="1"/>
        <v/>
      </c>
      <c r="J708" s="1287" t="str">
        <f ca="1"/>
        <v/>
      </c>
      <c r="K708" s="1288" t="str">
        <f ca="1"/>
        <v xml:space="preserve">Description:
Details:
Aim:
</v>
      </c>
      <c r="L708" s="1287" t="str">
        <f ca="1"/>
        <v/>
      </c>
      <c r="M708" s="1287" t="str">
        <f ca="1"/>
        <v/>
      </c>
      <c r="N708" s="1287"/>
      <c r="O708" s="1323" t="str">
        <f ca="1"/>
        <v/>
      </c>
      <c r="P708" s="1287"/>
      <c r="Q708" s="1290" t="str">
        <f ca="1"/>
        <v/>
      </c>
    </row>
    <row r="709" spans="1:17" ht="27.75" hidden="1" customHeight="1" x14ac:dyDescent="0.45">
      <c r="A709" s="1289">
        <v>17</v>
      </c>
      <c r="B709" s="1285">
        <v>12</v>
      </c>
      <c r="C709" s="1285">
        <v>2.9999999999999716</v>
      </c>
      <c r="D709" s="1297">
        <v>35.99999999999995</v>
      </c>
      <c r="E709" s="1299" t="str">
        <f ca="1"/>
        <v/>
      </c>
      <c r="F709" s="1286" t="str">
        <f ca="1"/>
        <v/>
      </c>
      <c r="G709" s="1286" t="str">
        <f ca="1"/>
        <v/>
      </c>
      <c r="H709" s="1301" t="str">
        <f ca="1"/>
        <v/>
      </c>
      <c r="I709" s="1303" t="str">
        <f ca="1"/>
        <v/>
      </c>
      <c r="J709" s="1287" t="str">
        <f ca="1"/>
        <v/>
      </c>
      <c r="K709" s="1288" t="str">
        <f ca="1"/>
        <v xml:space="preserve">Description:
Details:
Aim:
</v>
      </c>
      <c r="L709" s="1287" t="str">
        <f ca="1"/>
        <v/>
      </c>
      <c r="M709" s="1287" t="str">
        <f ca="1"/>
        <v/>
      </c>
      <c r="N709" s="1287"/>
      <c r="O709" s="1323" t="str">
        <f ca="1"/>
        <v/>
      </c>
      <c r="P709" s="1287"/>
      <c r="Q709" s="1290" t="str">
        <f ca="1"/>
        <v/>
      </c>
    </row>
    <row r="710" spans="1:17" ht="27.75" hidden="1" customHeight="1" x14ac:dyDescent="0.45">
      <c r="A710" s="1289">
        <v>17</v>
      </c>
      <c r="B710" s="1285">
        <v>13</v>
      </c>
      <c r="C710" s="1285">
        <v>1</v>
      </c>
      <c r="D710" s="1297">
        <v>37.000000000000021</v>
      </c>
      <c r="E710" s="1299" t="str">
        <f ca="1"/>
        <v>The exact intensity will change depending on the length of the race. This optimum intensity can be found though a mix of natural urgency and reasoning with what your body is telling you.</v>
      </c>
      <c r="F710" s="1286" t="str">
        <f ca="1"/>
        <v>Sport: Hilly Trail Run
WU/WD: 15 minutes 
Effort Total: 30 minutes
HR Target: 183 BPM
HR Range: N/A BPM 
Flat Road Equivalent Pace: 3:12 min/km</v>
      </c>
      <c r="G710" s="1286" t="str">
        <f ca="1"/>
        <v>Push your physical and mental limits and put tactics and techniques to the test.</v>
      </c>
      <c r="H710" s="1301" t="str">
        <f ca="1"/>
        <v/>
      </c>
      <c r="I710" s="1303" t="str">
        <f ca="1"/>
        <v>Race: 30 minutes + WU/WD</v>
      </c>
      <c r="J710" s="1287" t="str">
        <f ca="1"/>
        <v>Trail Running</v>
      </c>
      <c r="K710" s="1288" t="str">
        <f ca="1"/>
        <v>Description:
The exact intensity will change depending on the length of the race. This optimum intensity can be found though a mix of natural urgency and reasoning with what your body is telling you.
Details:
Sport: Hilly Trail Run
WU/WD: 15 minutes 
Effort Total: 30 minutes
HR Target: 183 BPM
HR Range: N/A BPM 
Flat Road Equivalent Pace: 3:12 min/km
Aim:
Push your physical and mental limits and put tactics and techniques to the test.</v>
      </c>
      <c r="L710" s="1287">
        <f ca="1"/>
        <v>82</v>
      </c>
      <c r="M710" s="1287">
        <f ca="1"/>
        <v>0.5</v>
      </c>
      <c r="N710" s="1287"/>
      <c r="O710" s="1323" t="str">
        <f ca="1"/>
        <v>2019-01-27 06:00</v>
      </c>
      <c r="P710" s="1287"/>
      <c r="Q710" s="1290" t="str">
        <f ca="1"/>
        <v>Hilly Trail Run</v>
      </c>
    </row>
    <row r="711" spans="1:17" ht="27.75" hidden="1" customHeight="1" x14ac:dyDescent="0.45">
      <c r="A711" s="1289">
        <v>17</v>
      </c>
      <c r="B711" s="1285">
        <v>13</v>
      </c>
      <c r="C711" s="1285">
        <v>2.0000000000000284</v>
      </c>
      <c r="D711" s="1297">
        <v>37.999999999999943</v>
      </c>
      <c r="E711" s="1299" t="str">
        <f ca="1"/>
        <v/>
      </c>
      <c r="F711" s="1286" t="str">
        <f ca="1"/>
        <v/>
      </c>
      <c r="G711" s="1286" t="str">
        <f ca="1"/>
        <v/>
      </c>
      <c r="H711" s="1301" t="str">
        <f ca="1"/>
        <v/>
      </c>
      <c r="I711" s="1303" t="str">
        <f ca="1"/>
        <v/>
      </c>
      <c r="J711" s="1287" t="str">
        <f ca="1"/>
        <v/>
      </c>
      <c r="K711" s="1288" t="str">
        <f ca="1"/>
        <v xml:space="preserve">Description:
Details:
Aim:
</v>
      </c>
      <c r="L711" s="1287" t="str">
        <f ca="1"/>
        <v/>
      </c>
      <c r="M711" s="1287" t="str">
        <f ca="1"/>
        <v/>
      </c>
      <c r="N711" s="1287"/>
      <c r="O711" s="1323" t="str">
        <f ca="1"/>
        <v/>
      </c>
      <c r="P711" s="1287"/>
      <c r="Q711" s="1290" t="str">
        <f ca="1"/>
        <v/>
      </c>
    </row>
    <row r="712" spans="1:17" ht="27.75" hidden="1" customHeight="1" x14ac:dyDescent="0.45">
      <c r="A712" s="1289">
        <v>17</v>
      </c>
      <c r="B712" s="1285">
        <v>13</v>
      </c>
      <c r="C712" s="1285">
        <v>2.9999999999999716</v>
      </c>
      <c r="D712" s="1297">
        <v>39.000000000000014</v>
      </c>
      <c r="E712" s="1299" t="str">
        <f ca="1"/>
        <v/>
      </c>
      <c r="F712" s="1286" t="str">
        <f ca="1"/>
        <v/>
      </c>
      <c r="G712" s="1286" t="str">
        <f ca="1"/>
        <v/>
      </c>
      <c r="H712" s="1301" t="str">
        <f ca="1"/>
        <v/>
      </c>
      <c r="I712" s="1303" t="str">
        <f ca="1"/>
        <v/>
      </c>
      <c r="J712" s="1287" t="str">
        <f ca="1"/>
        <v/>
      </c>
      <c r="K712" s="1288" t="str">
        <f ca="1"/>
        <v xml:space="preserve">Description:
Details:
Aim:
</v>
      </c>
      <c r="L712" s="1287" t="str">
        <f ca="1"/>
        <v/>
      </c>
      <c r="M712" s="1287" t="str">
        <f ca="1"/>
        <v/>
      </c>
      <c r="N712" s="1287"/>
      <c r="O712" s="1323" t="str">
        <f ca="1"/>
        <v/>
      </c>
      <c r="P712" s="1287"/>
      <c r="Q712" s="1290" t="str">
        <f ca="1"/>
        <v/>
      </c>
    </row>
    <row r="713" spans="1:17" ht="27.75" hidden="1" customHeight="1" x14ac:dyDescent="0.45">
      <c r="A713" s="1289">
        <v>17</v>
      </c>
      <c r="B713" s="1285">
        <v>14</v>
      </c>
      <c r="C713" s="1285">
        <v>1</v>
      </c>
      <c r="D713" s="1297">
        <v>39.999999999999936</v>
      </c>
      <c r="E713" s="1299" t="str">
        <f ca="1"/>
        <v/>
      </c>
      <c r="F713" s="1286" t="str">
        <f ca="1"/>
        <v/>
      </c>
      <c r="G713" s="1286" t="str">
        <f ca="1"/>
        <v/>
      </c>
      <c r="H713" s="1301" t="str">
        <f ca="1"/>
        <v/>
      </c>
      <c r="I713" s="1303" t="str">
        <f ca="1"/>
        <v/>
      </c>
      <c r="J713" s="1287" t="str">
        <f ca="1"/>
        <v/>
      </c>
      <c r="K713" s="1288" t="str">
        <f ca="1"/>
        <v xml:space="preserve">Description:
Details:
Aim:
</v>
      </c>
      <c r="L713" s="1287" t="str">
        <f ca="1"/>
        <v/>
      </c>
      <c r="M713" s="1287" t="str">
        <f ca="1"/>
        <v/>
      </c>
      <c r="N713" s="1287"/>
      <c r="O713" s="1323" t="str">
        <f ca="1"/>
        <v/>
      </c>
      <c r="P713" s="1287"/>
      <c r="Q713" s="1290" t="str">
        <f ca="1"/>
        <v/>
      </c>
    </row>
    <row r="714" spans="1:17" ht="27.75" hidden="1" customHeight="1" x14ac:dyDescent="0.45">
      <c r="A714" s="1289">
        <v>17</v>
      </c>
      <c r="B714" s="1285">
        <v>14</v>
      </c>
      <c r="C714" s="1285">
        <v>2.0000000000000284</v>
      </c>
      <c r="D714" s="1297">
        <v>41.000000000000007</v>
      </c>
      <c r="E714" s="1299" t="str">
        <f ca="1"/>
        <v/>
      </c>
      <c r="F714" s="1286" t="str">
        <f ca="1"/>
        <v/>
      </c>
      <c r="G714" s="1286" t="str">
        <f ca="1"/>
        <v/>
      </c>
      <c r="H714" s="1301" t="str">
        <f ca="1"/>
        <v/>
      </c>
      <c r="I714" s="1303" t="str">
        <f ca="1"/>
        <v/>
      </c>
      <c r="J714" s="1287" t="str">
        <f ca="1"/>
        <v/>
      </c>
      <c r="K714" s="1288" t="str">
        <f ca="1"/>
        <v xml:space="preserve">Description:
Details:
Aim:
</v>
      </c>
      <c r="L714" s="1287" t="str">
        <f ca="1"/>
        <v/>
      </c>
      <c r="M714" s="1287" t="str">
        <f ca="1"/>
        <v/>
      </c>
      <c r="N714" s="1287"/>
      <c r="O714" s="1323" t="str">
        <f ca="1"/>
        <v/>
      </c>
      <c r="P714" s="1287"/>
      <c r="Q714" s="1290" t="str">
        <f ca="1"/>
        <v/>
      </c>
    </row>
    <row r="715" spans="1:17" ht="27.75" hidden="1" customHeight="1" x14ac:dyDescent="0.45">
      <c r="A715" s="1289">
        <v>17</v>
      </c>
      <c r="B715" s="1285">
        <v>14</v>
      </c>
      <c r="C715" s="1285">
        <v>2.9999999999999716</v>
      </c>
      <c r="D715" s="1297">
        <v>41.999999999999929</v>
      </c>
      <c r="E715" s="1299" t="str">
        <f ca="1"/>
        <v/>
      </c>
      <c r="F715" s="1286" t="str">
        <f ca="1"/>
        <v/>
      </c>
      <c r="G715" s="1286" t="str">
        <f ca="1"/>
        <v/>
      </c>
      <c r="H715" s="1301" t="str">
        <f ca="1"/>
        <v/>
      </c>
      <c r="I715" s="1303" t="str">
        <f ca="1"/>
        <v/>
      </c>
      <c r="J715" s="1287" t="str">
        <f ca="1"/>
        <v/>
      </c>
      <c r="K715" s="1288" t="str">
        <f ca="1"/>
        <v xml:space="preserve">Description:
Details:
Aim:
</v>
      </c>
      <c r="L715" s="1287" t="str">
        <f ca="1"/>
        <v/>
      </c>
      <c r="M715" s="1287" t="str">
        <f ca="1"/>
        <v/>
      </c>
      <c r="N715" s="1287"/>
      <c r="O715" s="1323" t="str">
        <f ca="1"/>
        <v/>
      </c>
      <c r="P715" s="1287"/>
      <c r="Q715" s="1290" t="str">
        <f ca="1"/>
        <v/>
      </c>
    </row>
    <row r="716" spans="1:17" ht="27.75" hidden="1" customHeight="1" x14ac:dyDescent="0.45">
      <c r="A716" s="1289">
        <v>18</v>
      </c>
      <c r="B716" s="1285">
        <v>1</v>
      </c>
      <c r="C716" s="1285">
        <v>1</v>
      </c>
      <c r="D716" s="1297">
        <v>1</v>
      </c>
      <c r="E716" s="1299" t="str">
        <f ca="1"/>
        <v>Stay at a comfortable and controlled intensity where you should be able to have a conversation without large pauses. Keep an even intensity and accept that your pace may change as the terrain changes.</v>
      </c>
      <c r="F716" s="1286" t="str">
        <f ca="1"/>
        <v>Sport: Ride
WU/WD: No 
Effort Total: 30 minutes
HR Target: 138 BPM
HR Range: 129 - 148 BPM 
Flat Road Equivalent Pace: 4:39 min/km</v>
      </c>
      <c r="G716" s="1286" t="str">
        <f ca="1"/>
        <v xml:space="preserve">Improve aerobic fitness while minimising the chance of injury. </v>
      </c>
      <c r="H716" s="1301" t="str">
        <f ca="1"/>
        <v/>
      </c>
      <c r="I716" s="1303" t="str">
        <f ca="1"/>
        <v>Easy ride: 30 minutes</v>
      </c>
      <c r="J716" s="1287" t="str">
        <f ca="1"/>
        <v>Cycling</v>
      </c>
      <c r="K716"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716" s="1287">
        <f ca="1"/>
        <v>109</v>
      </c>
      <c r="M716" s="1287">
        <f ca="1"/>
        <v>0.5</v>
      </c>
      <c r="N716" s="1287"/>
      <c r="O716" s="1323" t="str">
        <f ca="1"/>
        <v>2019-01-28 06:00</v>
      </c>
      <c r="P716" s="1287"/>
      <c r="Q716" s="1290" t="str">
        <f ca="1"/>
        <v>Ride</v>
      </c>
    </row>
    <row r="717" spans="1:17" ht="27.75" hidden="1" customHeight="1" x14ac:dyDescent="0.45">
      <c r="A717" s="1289">
        <v>18</v>
      </c>
      <c r="B717" s="1285">
        <v>1</v>
      </c>
      <c r="C717" s="1285">
        <v>2.0000000000000284</v>
      </c>
      <c r="D717" s="1297">
        <v>2.0000000000000711</v>
      </c>
      <c r="E717" s="1299" t="str">
        <f ca="1"/>
        <v/>
      </c>
      <c r="F717" s="1286" t="str">
        <f ca="1"/>
        <v/>
      </c>
      <c r="G717" s="1286" t="str">
        <f ca="1"/>
        <v/>
      </c>
      <c r="H717" s="1301" t="str">
        <f ca="1"/>
        <v/>
      </c>
      <c r="I717" s="1303" t="str">
        <f ca="1"/>
        <v/>
      </c>
      <c r="J717" s="1287" t="str">
        <f ca="1"/>
        <v/>
      </c>
      <c r="K717" s="1288" t="str">
        <f ca="1"/>
        <v xml:space="preserve">Description:
Details:
Aim:
</v>
      </c>
      <c r="L717" s="1287" t="str">
        <f ca="1"/>
        <v/>
      </c>
      <c r="M717" s="1287" t="str">
        <f ca="1"/>
        <v/>
      </c>
      <c r="N717" s="1287"/>
      <c r="O717" s="1323" t="str">
        <f ca="1"/>
        <v/>
      </c>
      <c r="P717" s="1287"/>
      <c r="Q717" s="1290" t="str">
        <f ca="1"/>
        <v/>
      </c>
    </row>
    <row r="718" spans="1:17" ht="27.75" hidden="1" customHeight="1" x14ac:dyDescent="0.45">
      <c r="A718" s="1289">
        <v>18</v>
      </c>
      <c r="B718" s="1285">
        <v>1</v>
      </c>
      <c r="C718" s="1285">
        <v>2.9999999999999716</v>
      </c>
      <c r="D718" s="1297">
        <v>2.9999999999999929</v>
      </c>
      <c r="E718" s="1299" t="str">
        <f ca="1"/>
        <v/>
      </c>
      <c r="F718" s="1286" t="str">
        <f ca="1"/>
        <v/>
      </c>
      <c r="G718" s="1286" t="str">
        <f ca="1"/>
        <v/>
      </c>
      <c r="H718" s="1301" t="str">
        <f ca="1"/>
        <v/>
      </c>
      <c r="I718" s="1303" t="str">
        <f ca="1"/>
        <v/>
      </c>
      <c r="J718" s="1287" t="str">
        <f ca="1"/>
        <v/>
      </c>
      <c r="K718" s="1288" t="str">
        <f ca="1"/>
        <v xml:space="preserve">Description:
Details:
Aim:
</v>
      </c>
      <c r="L718" s="1287" t="str">
        <f ca="1"/>
        <v/>
      </c>
      <c r="M718" s="1287" t="str">
        <f ca="1"/>
        <v/>
      </c>
      <c r="N718" s="1287"/>
      <c r="O718" s="1323" t="str">
        <f ca="1"/>
        <v/>
      </c>
      <c r="P718" s="1287"/>
      <c r="Q718" s="1290" t="str">
        <f ca="1"/>
        <v/>
      </c>
    </row>
    <row r="719" spans="1:17" ht="27.75" hidden="1" customHeight="1" x14ac:dyDescent="0.45">
      <c r="A719" s="1289">
        <v>18</v>
      </c>
      <c r="B719" s="1285">
        <v>2</v>
      </c>
      <c r="C719" s="1285">
        <v>1</v>
      </c>
      <c r="D719" s="1297">
        <v>4.0000000000000639</v>
      </c>
      <c r="E719" s="1299" t="str">
        <f ca="1"/>
        <v>Perform a variety of specialised exercises to engage specific muscles. These sessions must be learned with a coach first but are relatively easy to continue with on your own. Demonstrate control and focus on posture and muscle activation.</v>
      </c>
      <c r="F719" s="1286" t="str">
        <f ca="1"/>
        <v>Sport: Indoor
WU/WD: No 
Effort Total: 30 minutes
HR Target: N/A BPM
HR Range: N/A BPM 
Flat Road Equivalent Pace:  min/km</v>
      </c>
      <c r="G719" s="1286" t="str">
        <f ca="1"/>
        <v xml:space="preserve">Increase strength of specific muscle groups, running economy and injury resistance. </v>
      </c>
      <c r="H719" s="1301" t="str">
        <f ca="1"/>
        <v/>
      </c>
      <c r="I719" s="1303" t="str">
        <f ca="1"/>
        <v>Strength and conditioning</v>
      </c>
      <c r="J719" s="1287" t="str">
        <f ca="1"/>
        <v>Strength</v>
      </c>
      <c r="K719" s="1288" t="str">
        <f ca="1"/>
        <v xml:space="preserve">Description:
Perform a variety of specialised exercises to engage specific muscles. These sessions must be learned with a coach first but are relatively easy to continue with on your own. Demonstrate control and focus on posture and muscle activation.
Details:
Sport: Indoor
WU/WD: No 
Effort Total: 30 minutes
HR Target: N/A BPM
HR Range: N/A BPM 
Flat Road Equivalent Pace:  min/km
Aim:
Increase strength of specific muscle groups, running economy and injury resistance. </v>
      </c>
      <c r="L719" s="1287">
        <f ca="1"/>
        <v>76</v>
      </c>
      <c r="M719" s="1287">
        <f ca="1"/>
        <v>0.5</v>
      </c>
      <c r="N719" s="1287"/>
      <c r="O719" s="1323" t="str">
        <f ca="1"/>
        <v>2019-01-28 18:00</v>
      </c>
      <c r="P719" s="1287"/>
      <c r="Q719" s="1290" t="str">
        <f ca="1"/>
        <v>Indoor</v>
      </c>
    </row>
    <row r="720" spans="1:17" ht="27.75" hidden="1" customHeight="1" x14ac:dyDescent="0.45">
      <c r="A720" s="1289">
        <v>18</v>
      </c>
      <c r="B720" s="1285">
        <v>2</v>
      </c>
      <c r="C720" s="1285">
        <v>2.0000000000000284</v>
      </c>
      <c r="D720" s="1297">
        <v>4.9999999999999858</v>
      </c>
      <c r="E720" s="1299" t="str">
        <f ca="1"/>
        <v>Use a hands, rollers, or balls on all major muscle groups with extra time on more sensitive or problematic areas or as guided by a coach or physio. Finish with 20 minutes of lower-limb stretching.</v>
      </c>
      <c r="F720" s="1286" t="str">
        <f ca="1"/>
        <v>Sport: Indoor
WU/WD: No 
Effort Total: 30 minutes
HR Target: N/A BPM
HR Range: N/A BPM 
Flat Road Equivalent Pace:  min/km</v>
      </c>
      <c r="G720" s="1286" t="str">
        <f ca="1"/>
        <v xml:space="preserve">Release tension that develops in soft tissue from training and non-training stresses. </v>
      </c>
      <c r="H720" s="1301" t="str">
        <f ca="1"/>
        <v/>
      </c>
      <c r="I720" s="1303" t="str">
        <f ca="1"/>
        <v>Maintenance</v>
      </c>
      <c r="J720" s="1287" t="str">
        <f ca="1"/>
        <v>Strength</v>
      </c>
      <c r="K720"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20" s="1287">
        <f ca="1"/>
        <v>76</v>
      </c>
      <c r="M720" s="1287">
        <f ca="1"/>
        <v>0.5</v>
      </c>
      <c r="N720" s="1287"/>
      <c r="O720" s="1323" t="str">
        <f ca="1"/>
        <v>2019-01-28 20:00</v>
      </c>
      <c r="P720" s="1287"/>
      <c r="Q720" s="1290" t="str">
        <f ca="1"/>
        <v>Indoor</v>
      </c>
    </row>
    <row r="721" spans="1:17" ht="27.75" hidden="1" customHeight="1" x14ac:dyDescent="0.45">
      <c r="A721" s="1289">
        <v>18</v>
      </c>
      <c r="B721" s="1285">
        <v>2</v>
      </c>
      <c r="C721" s="1285">
        <v>2.9999999999999716</v>
      </c>
      <c r="D721" s="1297">
        <v>6.0000000000000568</v>
      </c>
      <c r="E721" s="1299" t="str">
        <f ca="1"/>
        <v/>
      </c>
      <c r="F721" s="1286" t="str">
        <f ca="1"/>
        <v/>
      </c>
      <c r="G721" s="1286" t="str">
        <f ca="1"/>
        <v/>
      </c>
      <c r="H721" s="1301" t="str">
        <f ca="1"/>
        <v/>
      </c>
      <c r="I721" s="1303" t="str">
        <f ca="1"/>
        <v/>
      </c>
      <c r="J721" s="1287" t="str">
        <f ca="1"/>
        <v/>
      </c>
      <c r="K721" s="1288" t="str">
        <f ca="1"/>
        <v xml:space="preserve">Description:
Details:
Aim:
</v>
      </c>
      <c r="L721" s="1287" t="str">
        <f ca="1"/>
        <v/>
      </c>
      <c r="M721" s="1287" t="str">
        <f ca="1"/>
        <v/>
      </c>
      <c r="N721" s="1287"/>
      <c r="O721" s="1323" t="str">
        <f ca="1"/>
        <v/>
      </c>
      <c r="P721" s="1287"/>
      <c r="Q721" s="1290" t="str">
        <f ca="1"/>
        <v/>
      </c>
    </row>
    <row r="722" spans="1:17" ht="27.75" hidden="1" customHeight="1" x14ac:dyDescent="0.45">
      <c r="A722" s="1289">
        <v>18</v>
      </c>
      <c r="B722" s="1285">
        <v>2</v>
      </c>
      <c r="C722" s="1285">
        <v>1</v>
      </c>
      <c r="D722" s="1297">
        <v>6.9999999999999787</v>
      </c>
      <c r="E722" s="1299" t="str">
        <f ca="1"/>
        <v/>
      </c>
      <c r="F722" s="1286" t="str">
        <f ca="1"/>
        <v/>
      </c>
      <c r="G722" s="1286" t="str">
        <f ca="1"/>
        <v/>
      </c>
      <c r="H722" s="1301" t="str">
        <f ca="1"/>
        <v/>
      </c>
      <c r="I722" s="1303" t="str">
        <f ca="1"/>
        <v/>
      </c>
      <c r="J722" s="1287" t="str">
        <f ca="1"/>
        <v/>
      </c>
      <c r="K722" s="1288" t="str">
        <f ca="1"/>
        <v xml:space="preserve">Description:
Details:
Aim:
</v>
      </c>
      <c r="L722" s="1287" t="str">
        <f ca="1"/>
        <v/>
      </c>
      <c r="M722" s="1287" t="str">
        <f ca="1"/>
        <v/>
      </c>
      <c r="N722" s="1287"/>
      <c r="O722" s="1323" t="str">
        <f ca="1"/>
        <v/>
      </c>
      <c r="P722" s="1287"/>
      <c r="Q722" s="1290" t="str">
        <f ca="1"/>
        <v/>
      </c>
    </row>
    <row r="723" spans="1:17" ht="27.75" hidden="1" customHeight="1" x14ac:dyDescent="0.45">
      <c r="A723" s="1289">
        <v>18</v>
      </c>
      <c r="B723" s="1285">
        <v>3</v>
      </c>
      <c r="C723" s="1285">
        <v>2.0000000000000284</v>
      </c>
      <c r="D723" s="1297">
        <v>8.0000000000000497</v>
      </c>
      <c r="E723" s="1299" t="str">
        <f ca="1"/>
        <v/>
      </c>
      <c r="F723" s="1286" t="str">
        <f ca="1"/>
        <v/>
      </c>
      <c r="G723" s="1286" t="str">
        <f ca="1"/>
        <v/>
      </c>
      <c r="H723" s="1301" t="str">
        <f ca="1"/>
        <v/>
      </c>
      <c r="I723" s="1303" t="str">
        <f ca="1"/>
        <v/>
      </c>
      <c r="J723" s="1287" t="str">
        <f ca="1"/>
        <v/>
      </c>
      <c r="K723" s="1288" t="str">
        <f ca="1"/>
        <v xml:space="preserve">Description:
Details:
Aim:
</v>
      </c>
      <c r="L723" s="1287" t="str">
        <f ca="1"/>
        <v/>
      </c>
      <c r="M723" s="1287" t="str">
        <f ca="1"/>
        <v/>
      </c>
      <c r="N723" s="1287"/>
      <c r="O723" s="1323" t="str">
        <f ca="1"/>
        <v/>
      </c>
      <c r="P723" s="1287"/>
      <c r="Q723" s="1290" t="str">
        <f ca="1"/>
        <v/>
      </c>
    </row>
    <row r="724" spans="1:17" ht="27.75" hidden="1" customHeight="1" x14ac:dyDescent="0.45">
      <c r="A724" s="1289">
        <v>18</v>
      </c>
      <c r="B724" s="1285">
        <v>3</v>
      </c>
      <c r="C724" s="1285">
        <v>2.9999999999999716</v>
      </c>
      <c r="D724" s="1297">
        <v>8.9999999999999716</v>
      </c>
      <c r="E724" s="1299" t="str">
        <f ca="1"/>
        <v/>
      </c>
      <c r="F724" s="1286" t="str">
        <f ca="1"/>
        <v/>
      </c>
      <c r="G724" s="1286" t="str">
        <f ca="1"/>
        <v/>
      </c>
      <c r="H724" s="1301" t="str">
        <f ca="1"/>
        <v/>
      </c>
      <c r="I724" s="1303" t="str">
        <f ca="1"/>
        <v/>
      </c>
      <c r="J724" s="1287" t="str">
        <f ca="1"/>
        <v/>
      </c>
      <c r="K724" s="1288" t="str">
        <f ca="1"/>
        <v xml:space="preserve">Description:
Details:
Aim:
</v>
      </c>
      <c r="L724" s="1287" t="str">
        <f ca="1"/>
        <v/>
      </c>
      <c r="M724" s="1287" t="str">
        <f ca="1"/>
        <v/>
      </c>
      <c r="N724" s="1287"/>
      <c r="O724" s="1323" t="str">
        <f ca="1"/>
        <v/>
      </c>
      <c r="P724" s="1287"/>
      <c r="Q724" s="1290" t="str">
        <f ca="1"/>
        <v/>
      </c>
    </row>
    <row r="725" spans="1:17" ht="27.75" hidden="1" customHeight="1" x14ac:dyDescent="0.45">
      <c r="A725" s="1289">
        <v>18</v>
      </c>
      <c r="B725" s="1285">
        <v>4</v>
      </c>
      <c r="C725" s="1285">
        <v>1</v>
      </c>
      <c r="D725" s="1297">
        <v>10.000000000000043</v>
      </c>
      <c r="E725" s="1299" t="str">
        <f ca="1"/>
        <v>Accelerate to a fast pace which you should be able to hold for 50 minutes in a race situation. This will take concentration, but it's important to keep the intensity even, so do not start too hard. Warm up and warm down for 10 minutes each.</v>
      </c>
      <c r="F725" s="1286" t="str">
        <f ca="1"/>
        <v>Sport: Hilly Trail Run
WU/WD: 15 minutes 
Effort Total: 25 minutes
HR Target: 177 BPM
HR Range: 173 - 180 BPM 
Flat Road Equivalent Pace: 3:21 min/km</v>
      </c>
      <c r="G725" s="1286" t="str">
        <f ca="1"/>
        <v xml:space="preserve">Improve endurance by increasing lactate threshold and developing mental toughness. </v>
      </c>
      <c r="H725" s="1301" t="str">
        <f ca="1"/>
        <v/>
      </c>
      <c r="I725" s="1303" t="str">
        <f ca="1"/>
        <v>Hilly tempo hilly trail run: 25 minutes + WU/WD</v>
      </c>
      <c r="J725" s="1287" t="str">
        <f ca="1"/>
        <v>Trail Running</v>
      </c>
      <c r="K725" s="1288" t="str">
        <f ca="1"/>
        <v xml:space="preserve">Description:
Accelerate to a fast pace which you should be able to hold for 50 minutes in a race situation. This will take concentration, but it's important to keep the intensity even, so do not start too hard. Warm up and warm down for 10 minutes each.
Details:
Sport: Hilly Trail Run
WU/WD: 15 minutes 
Effort Total: 25 minutes
HR Target: 177 BPM
HR Range: 173 - 180 BPM 
Flat Road Equivalent Pace: 3:21 min/km
Aim:
Improve endurance by increasing lactate threshold and developing mental toughness. </v>
      </c>
      <c r="L725" s="1287">
        <f ca="1"/>
        <v>23</v>
      </c>
      <c r="M725" s="1287">
        <f ca="1"/>
        <v>0.41666666666666669</v>
      </c>
      <c r="N725" s="1287"/>
      <c r="O725" s="1323" t="str">
        <f ca="1"/>
        <v>2019-01-29 18:00</v>
      </c>
      <c r="P725" s="1287"/>
      <c r="Q725" s="1290" t="str">
        <f ca="1"/>
        <v>Hilly Trail Run</v>
      </c>
    </row>
    <row r="726" spans="1:17" ht="27.75" hidden="1" customHeight="1" x14ac:dyDescent="0.45">
      <c r="A726" s="1289">
        <v>18</v>
      </c>
      <c r="B726" s="1285">
        <v>4</v>
      </c>
      <c r="C726" s="1285">
        <v>2.0000000000000284</v>
      </c>
      <c r="D726" s="1297">
        <v>10.999999999999964</v>
      </c>
      <c r="E726" s="1299" t="str">
        <f ca="1"/>
        <v/>
      </c>
      <c r="F726" s="1286" t="str">
        <f ca="1"/>
        <v/>
      </c>
      <c r="G726" s="1286" t="str">
        <f ca="1"/>
        <v/>
      </c>
      <c r="H726" s="1301" t="str">
        <f ca="1"/>
        <v/>
      </c>
      <c r="I726" s="1303" t="str">
        <f ca="1"/>
        <v/>
      </c>
      <c r="J726" s="1287" t="str">
        <f ca="1"/>
        <v/>
      </c>
      <c r="K726" s="1288" t="str">
        <f ca="1"/>
        <v xml:space="preserve">Description:
Details:
Aim:
</v>
      </c>
      <c r="L726" s="1287" t="str">
        <f ca="1"/>
        <v/>
      </c>
      <c r="M726" s="1287" t="str">
        <f ca="1"/>
        <v/>
      </c>
      <c r="N726" s="1287"/>
      <c r="O726" s="1323" t="str">
        <f ca="1"/>
        <v/>
      </c>
      <c r="P726" s="1287"/>
      <c r="Q726" s="1290" t="str">
        <f ca="1"/>
        <v/>
      </c>
    </row>
    <row r="727" spans="1:17" ht="27.75" hidden="1" customHeight="1" x14ac:dyDescent="0.45">
      <c r="A727" s="1289">
        <v>18</v>
      </c>
      <c r="B727" s="1285">
        <v>4</v>
      </c>
      <c r="C727" s="1285">
        <v>2.9999999999999716</v>
      </c>
      <c r="D727" s="1297">
        <v>12.000000000000036</v>
      </c>
      <c r="E727" s="1299" t="str">
        <f ca="1"/>
        <v/>
      </c>
      <c r="F727" s="1286" t="str">
        <f ca="1"/>
        <v/>
      </c>
      <c r="G727" s="1286" t="str">
        <f ca="1"/>
        <v/>
      </c>
      <c r="H727" s="1301" t="str">
        <f ca="1"/>
        <v/>
      </c>
      <c r="I727" s="1303" t="str">
        <f ca="1"/>
        <v/>
      </c>
      <c r="J727" s="1287" t="str">
        <f ca="1"/>
        <v/>
      </c>
      <c r="K727" s="1288" t="str">
        <f ca="1"/>
        <v xml:space="preserve">Description:
Details:
Aim:
</v>
      </c>
      <c r="L727" s="1287" t="str">
        <f ca="1"/>
        <v/>
      </c>
      <c r="M727" s="1287" t="str">
        <f ca="1"/>
        <v/>
      </c>
      <c r="N727" s="1287"/>
      <c r="O727" s="1323" t="str">
        <f ca="1"/>
        <v/>
      </c>
      <c r="P727" s="1287"/>
      <c r="Q727" s="1290" t="str">
        <f ca="1"/>
        <v/>
      </c>
    </row>
    <row r="728" spans="1:17" ht="27.75" hidden="1" customHeight="1" x14ac:dyDescent="0.45">
      <c r="A728" s="1289">
        <v>18</v>
      </c>
      <c r="B728" s="1285">
        <v>4</v>
      </c>
      <c r="C728" s="1285">
        <v>1</v>
      </c>
      <c r="D728" s="1297">
        <v>12.999999999999957</v>
      </c>
      <c r="E728" s="1299" t="str">
        <f ca="1"/>
        <v/>
      </c>
      <c r="F728" s="1286" t="str">
        <f ca="1"/>
        <v/>
      </c>
      <c r="G728" s="1286" t="str">
        <f ca="1"/>
        <v/>
      </c>
      <c r="H728" s="1301" t="str">
        <f ca="1"/>
        <v/>
      </c>
      <c r="I728" s="1303" t="str">
        <f ca="1"/>
        <v/>
      </c>
      <c r="J728" s="1287" t="str">
        <f ca="1"/>
        <v/>
      </c>
      <c r="K728" s="1288" t="str">
        <f ca="1"/>
        <v xml:space="preserve">Description:
Details:
Aim:
</v>
      </c>
      <c r="L728" s="1287" t="str">
        <f ca="1"/>
        <v/>
      </c>
      <c r="M728" s="1287" t="str">
        <f ca="1"/>
        <v/>
      </c>
      <c r="N728" s="1287"/>
      <c r="O728" s="1323" t="str">
        <f ca="1"/>
        <v/>
      </c>
      <c r="P728" s="1287"/>
      <c r="Q728" s="1290" t="str">
        <f ca="1"/>
        <v/>
      </c>
    </row>
    <row r="729" spans="1:17" ht="27.75" hidden="1" customHeight="1" x14ac:dyDescent="0.45">
      <c r="A729" s="1289">
        <v>18</v>
      </c>
      <c r="B729" s="1285">
        <v>5</v>
      </c>
      <c r="C729" s="1285">
        <v>2.0000000000000284</v>
      </c>
      <c r="D729" s="1297">
        <v>14.000000000000028</v>
      </c>
      <c r="E729" s="1299" t="str">
        <f ca="1"/>
        <v/>
      </c>
      <c r="F729" s="1286" t="str">
        <f ca="1"/>
        <v/>
      </c>
      <c r="G729" s="1286" t="str">
        <f ca="1"/>
        <v/>
      </c>
      <c r="H729" s="1301" t="str">
        <f ca="1"/>
        <v/>
      </c>
      <c r="I729" s="1303" t="str">
        <f ca="1"/>
        <v/>
      </c>
      <c r="J729" s="1287" t="str">
        <f ca="1"/>
        <v/>
      </c>
      <c r="K729" s="1288" t="str">
        <f ca="1"/>
        <v xml:space="preserve">Description:
Details:
Aim:
</v>
      </c>
      <c r="L729" s="1287" t="str">
        <f ca="1"/>
        <v/>
      </c>
      <c r="M729" s="1287" t="str">
        <f ca="1"/>
        <v/>
      </c>
      <c r="N729" s="1287"/>
      <c r="O729" s="1323" t="str">
        <f ca="1"/>
        <v/>
      </c>
      <c r="P729" s="1287"/>
      <c r="Q729" s="1290" t="str">
        <f ca="1"/>
        <v/>
      </c>
    </row>
    <row r="730" spans="1:17" ht="27.75" hidden="1" customHeight="1" x14ac:dyDescent="0.45">
      <c r="A730" s="1289">
        <v>18</v>
      </c>
      <c r="B730" s="1285">
        <v>5</v>
      </c>
      <c r="C730" s="1285">
        <v>2.9999999999999716</v>
      </c>
      <c r="D730" s="1297">
        <v>14.99999999999995</v>
      </c>
      <c r="E730" s="1299" t="str">
        <f ca="1"/>
        <v/>
      </c>
      <c r="F730" s="1286" t="str">
        <f ca="1"/>
        <v/>
      </c>
      <c r="G730" s="1286" t="str">
        <f ca="1"/>
        <v/>
      </c>
      <c r="H730" s="1301" t="str">
        <f ca="1"/>
        <v/>
      </c>
      <c r="I730" s="1303" t="str">
        <f ca="1"/>
        <v/>
      </c>
      <c r="J730" s="1287" t="str">
        <f ca="1"/>
        <v/>
      </c>
      <c r="K730" s="1288" t="str">
        <f ca="1"/>
        <v xml:space="preserve">Description:
Details:
Aim:
</v>
      </c>
      <c r="L730" s="1287" t="str">
        <f ca="1"/>
        <v/>
      </c>
      <c r="M730" s="1287" t="str">
        <f ca="1"/>
        <v/>
      </c>
      <c r="N730" s="1287"/>
      <c r="O730" s="1323" t="str">
        <f ca="1"/>
        <v/>
      </c>
      <c r="P730" s="1287"/>
      <c r="Q730" s="1290" t="str">
        <f ca="1"/>
        <v/>
      </c>
    </row>
    <row r="731" spans="1:17" ht="27.75" hidden="1" customHeight="1" x14ac:dyDescent="0.45">
      <c r="A731" s="1289">
        <v>18</v>
      </c>
      <c r="B731" s="1285">
        <v>6</v>
      </c>
      <c r="C731" s="1285">
        <v>1</v>
      </c>
      <c r="D731" s="1297">
        <v>16.000000000000021</v>
      </c>
      <c r="E731" s="1299" t="str">
        <f ca="1"/>
        <v>Stay at a comfortable and controlled intensity where you should be able to have a conversation without large pauses. Keep an even intensity and accept that your pace may change as the terrain changes.</v>
      </c>
      <c r="F731" s="1286" t="str">
        <f ca="1"/>
        <v>Sport: Road Ride
WU/WD: No 
Effort Total: 105 minutes
HR Target: 138 BPM
HR Range: 129 - 148 BPM 
Flat Road Equivalent Pace: 4:39 min/km</v>
      </c>
      <c r="G731" s="1286" t="str">
        <f ca="1"/>
        <v xml:space="preserve">Improve aerobic fitness while minimising the chance of injury. </v>
      </c>
      <c r="H731" s="1301" t="str">
        <f ca="1"/>
        <v/>
      </c>
      <c r="I731" s="1303" t="str">
        <f ca="1"/>
        <v>Easy road ride: 105 minutes</v>
      </c>
      <c r="J731" s="1287" t="str">
        <f ca="1"/>
        <v>Cycling</v>
      </c>
      <c r="K731" s="1288" t="str">
        <f ca="1"/>
        <v xml:space="preserve">Description:
Stay at a comfortable and controlled intensity where you should be able to have a conversation without large pauses. Keep an even intensity and accept that your pace may change as the terrain changes.
Details:
Sport: Road Ride
WU/WD: No 
Effort Total: 105 minutes
HR Target: 138 BPM
HR Range: 129 - 148 BPM 
Flat Road Equivalent Pace: 4:39 min/km
Aim:
Improve aerobic fitness while minimising the chance of injury. </v>
      </c>
      <c r="L731" s="1287">
        <f ca="1"/>
        <v>101</v>
      </c>
      <c r="M731" s="1287">
        <f ca="1"/>
        <v>1.75</v>
      </c>
      <c r="N731" s="1287"/>
      <c r="O731" s="1323" t="str">
        <f ca="1"/>
        <v>2019-01-30 18:00</v>
      </c>
      <c r="P731" s="1287"/>
      <c r="Q731" s="1290" t="str">
        <f ca="1"/>
        <v>Road Ride</v>
      </c>
    </row>
    <row r="732" spans="1:17" ht="27.75" hidden="1" customHeight="1" x14ac:dyDescent="0.45">
      <c r="A732" s="1289">
        <v>18</v>
      </c>
      <c r="B732" s="1285">
        <v>6</v>
      </c>
      <c r="C732" s="1285">
        <v>2.0000000000000284</v>
      </c>
      <c r="D732" s="1297">
        <v>16.999999999999943</v>
      </c>
      <c r="E732" s="1299" t="str">
        <f ca="1"/>
        <v/>
      </c>
      <c r="F732" s="1286" t="str">
        <f ca="1"/>
        <v/>
      </c>
      <c r="G732" s="1286" t="str">
        <f ca="1"/>
        <v/>
      </c>
      <c r="H732" s="1301" t="str">
        <f ca="1"/>
        <v/>
      </c>
      <c r="I732" s="1303" t="str">
        <f ca="1"/>
        <v/>
      </c>
      <c r="J732" s="1287" t="str">
        <f ca="1"/>
        <v/>
      </c>
      <c r="K732" s="1288" t="str">
        <f ca="1"/>
        <v xml:space="preserve">Description:
Details:
Aim:
</v>
      </c>
      <c r="L732" s="1287" t="str">
        <f ca="1"/>
        <v/>
      </c>
      <c r="M732" s="1287" t="str">
        <f ca="1"/>
        <v/>
      </c>
      <c r="N732" s="1287"/>
      <c r="O732" s="1323" t="str">
        <f ca="1"/>
        <v/>
      </c>
      <c r="P732" s="1287"/>
      <c r="Q732" s="1290" t="str">
        <f ca="1"/>
        <v/>
      </c>
    </row>
    <row r="733" spans="1:17" ht="27.75" hidden="1" customHeight="1" x14ac:dyDescent="0.45">
      <c r="A733" s="1289">
        <v>18</v>
      </c>
      <c r="B733" s="1285">
        <v>6</v>
      </c>
      <c r="C733" s="1285">
        <v>2.9999999999999716</v>
      </c>
      <c r="D733" s="1297">
        <v>18.000000000000014</v>
      </c>
      <c r="E733" s="1299" t="str">
        <f ca="1"/>
        <v/>
      </c>
      <c r="F733" s="1286" t="str">
        <f ca="1"/>
        <v/>
      </c>
      <c r="G733" s="1286" t="str">
        <f ca="1"/>
        <v/>
      </c>
      <c r="H733" s="1301" t="str">
        <f ca="1"/>
        <v/>
      </c>
      <c r="I733" s="1303" t="str">
        <f ca="1"/>
        <v/>
      </c>
      <c r="J733" s="1287" t="str">
        <f ca="1"/>
        <v/>
      </c>
      <c r="K733" s="1288" t="str">
        <f ca="1"/>
        <v xml:space="preserve">Description:
Details:
Aim:
</v>
      </c>
      <c r="L733" s="1287" t="str">
        <f ca="1"/>
        <v/>
      </c>
      <c r="M733" s="1287" t="str">
        <f ca="1"/>
        <v/>
      </c>
      <c r="N733" s="1287"/>
      <c r="O733" s="1323" t="str">
        <f ca="1"/>
        <v/>
      </c>
      <c r="P733" s="1287"/>
      <c r="Q733" s="1290" t="str">
        <f ca="1"/>
        <v/>
      </c>
    </row>
    <row r="734" spans="1:17" ht="27.75" hidden="1" customHeight="1" x14ac:dyDescent="0.45">
      <c r="A734" s="1289">
        <v>18</v>
      </c>
      <c r="B734" s="1285">
        <v>6</v>
      </c>
      <c r="C734" s="1285">
        <v>1</v>
      </c>
      <c r="D734" s="1297">
        <v>18.999999999999936</v>
      </c>
      <c r="E734" s="1299" t="str">
        <f ca="1"/>
        <v/>
      </c>
      <c r="F734" s="1286" t="str">
        <f ca="1"/>
        <v/>
      </c>
      <c r="G734" s="1286" t="str">
        <f ca="1"/>
        <v/>
      </c>
      <c r="H734" s="1301" t="str">
        <f ca="1"/>
        <v/>
      </c>
      <c r="I734" s="1303" t="str">
        <f ca="1"/>
        <v/>
      </c>
      <c r="J734" s="1287" t="str">
        <f ca="1"/>
        <v/>
      </c>
      <c r="K734" s="1288" t="str">
        <f ca="1"/>
        <v xml:space="preserve">Description:
Details:
Aim:
</v>
      </c>
      <c r="L734" s="1287" t="str">
        <f ca="1"/>
        <v/>
      </c>
      <c r="M734" s="1287" t="str">
        <f ca="1"/>
        <v/>
      </c>
      <c r="N734" s="1287"/>
      <c r="O734" s="1323" t="str">
        <f ca="1"/>
        <v/>
      </c>
      <c r="P734" s="1287"/>
      <c r="Q734" s="1290" t="str">
        <f ca="1"/>
        <v/>
      </c>
    </row>
    <row r="735" spans="1:17" ht="27.75" hidden="1" customHeight="1" x14ac:dyDescent="0.45">
      <c r="A735" s="1289">
        <v>18</v>
      </c>
      <c r="B735" s="1285">
        <v>7</v>
      </c>
      <c r="C735" s="1285">
        <v>2.0000000000000284</v>
      </c>
      <c r="D735" s="1297">
        <v>20.000000000000007</v>
      </c>
      <c r="E735" s="1299" t="str">
        <f ca="1"/>
        <v/>
      </c>
      <c r="F735" s="1286" t="str">
        <f ca="1"/>
        <v/>
      </c>
      <c r="G735" s="1286" t="str">
        <f ca="1"/>
        <v/>
      </c>
      <c r="H735" s="1301" t="str">
        <f ca="1"/>
        <v/>
      </c>
      <c r="I735" s="1303" t="str">
        <f ca="1"/>
        <v/>
      </c>
      <c r="J735" s="1287" t="str">
        <f ca="1"/>
        <v/>
      </c>
      <c r="K735" s="1288" t="str">
        <f ca="1"/>
        <v xml:space="preserve">Description:
Details:
Aim:
</v>
      </c>
      <c r="L735" s="1287" t="str">
        <f ca="1"/>
        <v/>
      </c>
      <c r="M735" s="1287" t="str">
        <f ca="1"/>
        <v/>
      </c>
      <c r="N735" s="1287"/>
      <c r="O735" s="1323" t="str">
        <f ca="1"/>
        <v/>
      </c>
      <c r="P735" s="1287"/>
      <c r="Q735" s="1290" t="str">
        <f ca="1"/>
        <v/>
      </c>
    </row>
    <row r="736" spans="1:17" ht="27.75" hidden="1" customHeight="1" x14ac:dyDescent="0.45">
      <c r="A736" s="1289">
        <v>18</v>
      </c>
      <c r="B736" s="1285">
        <v>7</v>
      </c>
      <c r="C736" s="1285">
        <v>2.9999999999999716</v>
      </c>
      <c r="D736" s="1297">
        <v>20.999999999999929</v>
      </c>
      <c r="E736" s="1299" t="str">
        <f ca="1"/>
        <v/>
      </c>
      <c r="F736" s="1286" t="str">
        <f ca="1"/>
        <v/>
      </c>
      <c r="G736" s="1286" t="str">
        <f ca="1"/>
        <v/>
      </c>
      <c r="H736" s="1301" t="str">
        <f ca="1"/>
        <v/>
      </c>
      <c r="I736" s="1303" t="str">
        <f ca="1"/>
        <v/>
      </c>
      <c r="J736" s="1287" t="str">
        <f ca="1"/>
        <v/>
      </c>
      <c r="K736" s="1288" t="str">
        <f ca="1"/>
        <v xml:space="preserve">Description:
Details:
Aim:
</v>
      </c>
      <c r="L736" s="1287" t="str">
        <f ca="1"/>
        <v/>
      </c>
      <c r="M736" s="1287" t="str">
        <f ca="1"/>
        <v/>
      </c>
      <c r="N736" s="1287"/>
      <c r="O736" s="1323" t="str">
        <f ca="1"/>
        <v/>
      </c>
      <c r="P736" s="1287"/>
      <c r="Q736" s="1290" t="str">
        <f ca="1"/>
        <v/>
      </c>
    </row>
    <row r="737" spans="1:17" ht="27.75" hidden="1" customHeight="1" x14ac:dyDescent="0.45">
      <c r="A737" s="1289">
        <v>18</v>
      </c>
      <c r="B737" s="1285">
        <v>8</v>
      </c>
      <c r="C737" s="1285">
        <v>1</v>
      </c>
      <c r="D737" s="1297">
        <v>22</v>
      </c>
      <c r="E737" s="1299" t="str">
        <f ca="1"/>
        <v>Intervals are hard, but don't start so hard that you can't run the same pace for all intervals in the session. Forget about HR, and focus on feeling your intensity. Do the recoveries at an easy intensity. Warm up and warm down for 10 minutes each.</v>
      </c>
      <c r="F737" s="1286" t="str">
        <f ca="1"/>
        <v>Sport: Road Run
WU/WD: 15 minutes 
Effort Total: 15.5 minutes
HR Target: 188 BPM
HR Range: 184 - 192 BPM 
Flat Road Equivalent Pace: 3:06 min/km</v>
      </c>
      <c r="G737" s="1286" t="str">
        <f ca="1"/>
        <v xml:space="preserve">Improve VO2 max and develop metal toughness. </v>
      </c>
      <c r="H737" s="1301" t="str">
        <f ca="1"/>
        <v>Efforts of: 1km x3
And recoveries of: 1 minutes</v>
      </c>
      <c r="I737" s="1303" t="str">
        <f ca="1"/>
        <v>Intervals: II + WU/WD</v>
      </c>
      <c r="J737" s="1287" t="str">
        <f ca="1"/>
        <v>Running</v>
      </c>
      <c r="K737" s="1288"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737" s="1287">
        <f ca="1"/>
        <v>44</v>
      </c>
      <c r="M737" s="1287">
        <f ca="1"/>
        <v>0.25833333333333336</v>
      </c>
      <c r="N737" s="1287"/>
      <c r="O737" s="1323" t="str">
        <f ca="1"/>
        <v>2019-01-31 18:00</v>
      </c>
      <c r="P737" s="1287"/>
      <c r="Q737" s="1290" t="str">
        <f ca="1"/>
        <v>Road Run</v>
      </c>
    </row>
    <row r="738" spans="1:17" ht="27.75" hidden="1" customHeight="1" x14ac:dyDescent="0.45">
      <c r="A738" s="1289">
        <v>18</v>
      </c>
      <c r="B738" s="1285">
        <v>8</v>
      </c>
      <c r="C738" s="1285">
        <v>2.0000000000000284</v>
      </c>
      <c r="D738" s="1297">
        <v>23.000000000000071</v>
      </c>
      <c r="E738" s="1299" t="str">
        <f ca="1"/>
        <v/>
      </c>
      <c r="F738" s="1286" t="str">
        <f ca="1"/>
        <v/>
      </c>
      <c r="G738" s="1286" t="str">
        <f ca="1"/>
        <v/>
      </c>
      <c r="H738" s="1301" t="str">
        <f ca="1"/>
        <v/>
      </c>
      <c r="I738" s="1303" t="str">
        <f ca="1"/>
        <v/>
      </c>
      <c r="J738" s="1287" t="str">
        <f ca="1"/>
        <v/>
      </c>
      <c r="K738" s="1288" t="str">
        <f ca="1"/>
        <v xml:space="preserve">Description:
Details:
Aim:
</v>
      </c>
      <c r="L738" s="1287" t="str">
        <f ca="1"/>
        <v/>
      </c>
      <c r="M738" s="1287" t="str">
        <f ca="1"/>
        <v/>
      </c>
      <c r="N738" s="1287"/>
      <c r="O738" s="1323" t="str">
        <f ca="1"/>
        <v/>
      </c>
      <c r="P738" s="1287"/>
      <c r="Q738" s="1290" t="str">
        <f ca="1"/>
        <v/>
      </c>
    </row>
    <row r="739" spans="1:17" ht="27.75" hidden="1" customHeight="1" x14ac:dyDescent="0.45">
      <c r="A739" s="1289">
        <v>18</v>
      </c>
      <c r="B739" s="1285">
        <v>8</v>
      </c>
      <c r="C739" s="1285">
        <v>2.9999999999999716</v>
      </c>
      <c r="D739" s="1297">
        <v>23.999999999999993</v>
      </c>
      <c r="E739" s="1299" t="str">
        <f ca="1"/>
        <v/>
      </c>
      <c r="F739" s="1286" t="str">
        <f ca="1"/>
        <v/>
      </c>
      <c r="G739" s="1286" t="str">
        <f ca="1"/>
        <v/>
      </c>
      <c r="H739" s="1301" t="str">
        <f ca="1"/>
        <v/>
      </c>
      <c r="I739" s="1303" t="str">
        <f ca="1"/>
        <v/>
      </c>
      <c r="J739" s="1287" t="str">
        <f ca="1"/>
        <v/>
      </c>
      <c r="K739" s="1288" t="str">
        <f ca="1"/>
        <v xml:space="preserve">Description:
Details:
Aim:
</v>
      </c>
      <c r="L739" s="1287" t="str">
        <f ca="1"/>
        <v/>
      </c>
      <c r="M739" s="1287" t="str">
        <f ca="1"/>
        <v/>
      </c>
      <c r="N739" s="1287"/>
      <c r="O739" s="1323" t="str">
        <f ca="1"/>
        <v/>
      </c>
      <c r="P739" s="1287"/>
      <c r="Q739" s="1290" t="str">
        <f ca="1"/>
        <v/>
      </c>
    </row>
    <row r="740" spans="1:17" ht="27.75" hidden="1" customHeight="1" x14ac:dyDescent="0.45">
      <c r="A740" s="1289">
        <v>18</v>
      </c>
      <c r="B740" s="1285">
        <v>9</v>
      </c>
      <c r="C740" s="1285">
        <v>1</v>
      </c>
      <c r="D740" s="1297">
        <v>25.000000000000064</v>
      </c>
      <c r="E740" s="1299" t="str">
        <f ca="1"/>
        <v>Stay at a comfortable and controlled intensity where you should be able to have a conversation without large pauses. Keep an even intensity and accept that your pace may change as the terrain changes.</v>
      </c>
      <c r="F740" s="1286" t="str">
        <f ca="1"/>
        <v>Sport: Ride
WU/WD: No 
Effort Total: 30 minutes
HR Target: 138 BPM
HR Range: 129 - 148 BPM 
Flat Road Equivalent Pace: 4:39 min/km</v>
      </c>
      <c r="G740" s="1286" t="str">
        <f ca="1"/>
        <v xml:space="preserve">Improve aerobic fitness while minimising the chance of injury. </v>
      </c>
      <c r="H740" s="1301" t="str">
        <f ca="1"/>
        <v/>
      </c>
      <c r="I740" s="1303" t="str">
        <f ca="1"/>
        <v>Easy ride: 30 minutes</v>
      </c>
      <c r="J740" s="1287" t="str">
        <f ca="1"/>
        <v>Cycling</v>
      </c>
      <c r="K740"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740" s="1287">
        <f ca="1"/>
        <v>109</v>
      </c>
      <c r="M740" s="1287">
        <f ca="1"/>
        <v>0.5</v>
      </c>
      <c r="N740" s="1287"/>
      <c r="O740" s="1323" t="str">
        <f ca="1"/>
        <v>2019-02-01 06:00</v>
      </c>
      <c r="P740" s="1287"/>
      <c r="Q740" s="1290" t="str">
        <f ca="1"/>
        <v>Ride</v>
      </c>
    </row>
    <row r="741" spans="1:17" ht="27.75" hidden="1" customHeight="1" x14ac:dyDescent="0.45">
      <c r="A741" s="1289">
        <v>18</v>
      </c>
      <c r="B741" s="1285">
        <v>9</v>
      </c>
      <c r="C741" s="1285">
        <v>2.0000000000000284</v>
      </c>
      <c r="D741" s="1297">
        <v>25.999999999999986</v>
      </c>
      <c r="E741" s="1299" t="str">
        <f ca="1"/>
        <v/>
      </c>
      <c r="F741" s="1286" t="str">
        <f ca="1"/>
        <v/>
      </c>
      <c r="G741" s="1286" t="str">
        <f ca="1"/>
        <v/>
      </c>
      <c r="H741" s="1301" t="str">
        <f ca="1"/>
        <v/>
      </c>
      <c r="I741" s="1303" t="str">
        <f ca="1"/>
        <v/>
      </c>
      <c r="J741" s="1287" t="str">
        <f ca="1"/>
        <v/>
      </c>
      <c r="K741" s="1288" t="str">
        <f ca="1"/>
        <v xml:space="preserve">Description:
Details:
Aim:
</v>
      </c>
      <c r="L741" s="1287" t="str">
        <f ca="1"/>
        <v/>
      </c>
      <c r="M741" s="1287" t="str">
        <f ca="1"/>
        <v/>
      </c>
      <c r="N741" s="1287"/>
      <c r="O741" s="1323" t="str">
        <f ca="1"/>
        <v/>
      </c>
      <c r="P741" s="1287"/>
      <c r="Q741" s="1290" t="str">
        <f ca="1"/>
        <v/>
      </c>
    </row>
    <row r="742" spans="1:17" ht="27.75" hidden="1" customHeight="1" x14ac:dyDescent="0.45">
      <c r="A742" s="1289">
        <v>18</v>
      </c>
      <c r="B742" s="1285">
        <v>9</v>
      </c>
      <c r="C742" s="1285">
        <v>2.9999999999999716</v>
      </c>
      <c r="D742" s="1297">
        <v>27.000000000000057</v>
      </c>
      <c r="E742" s="1299" t="str">
        <f ca="1"/>
        <v/>
      </c>
      <c r="F742" s="1286" t="str">
        <f ca="1"/>
        <v/>
      </c>
      <c r="G742" s="1286" t="str">
        <f ca="1"/>
        <v/>
      </c>
      <c r="H742" s="1301" t="str">
        <f ca="1"/>
        <v/>
      </c>
      <c r="I742" s="1303" t="str">
        <f ca="1"/>
        <v/>
      </c>
      <c r="J742" s="1287" t="str">
        <f ca="1"/>
        <v/>
      </c>
      <c r="K742" s="1288" t="str">
        <f ca="1"/>
        <v xml:space="preserve">Description:
Details:
Aim:
</v>
      </c>
      <c r="L742" s="1287" t="str">
        <f ca="1"/>
        <v/>
      </c>
      <c r="M742" s="1287" t="str">
        <f ca="1"/>
        <v/>
      </c>
      <c r="N742" s="1287"/>
      <c r="O742" s="1323" t="str">
        <f ca="1"/>
        <v/>
      </c>
      <c r="P742" s="1287"/>
      <c r="Q742" s="1290" t="str">
        <f ca="1"/>
        <v/>
      </c>
    </row>
    <row r="743" spans="1:17" ht="27.75" hidden="1" customHeight="1" x14ac:dyDescent="0.45">
      <c r="A743" s="1289">
        <v>18</v>
      </c>
      <c r="B743" s="1285">
        <v>9</v>
      </c>
      <c r="C743" s="1285">
        <v>1</v>
      </c>
      <c r="D743" s="1297">
        <v>27.999999999999979</v>
      </c>
      <c r="E743" s="1299" t="str">
        <f ca="1"/>
        <v>Stay at a comfortable and controlled intensity where you should be able to have a conversation without large pauses. Keep an even intensity and accept that your pace may change as the terrain changes.</v>
      </c>
      <c r="F743" s="1286" t="str">
        <f ca="1"/>
        <v>Sport: Ride
WU/WD: No 
Effort Total: 30 minutes
HR Target: 138 BPM
HR Range: 129 - 148 BPM 
Flat Road Equivalent Pace: 4:39 min/km</v>
      </c>
      <c r="G743" s="1286" t="str">
        <f ca="1"/>
        <v xml:space="preserve">Improve aerobic fitness while minimising the chance of injury. </v>
      </c>
      <c r="H743" s="1301" t="str">
        <f ca="1"/>
        <v/>
      </c>
      <c r="I743" s="1303" t="str">
        <f ca="1"/>
        <v>Strength and conditioning</v>
      </c>
      <c r="J743" s="1287" t="str">
        <f ca="1"/>
        <v>Cycling</v>
      </c>
      <c r="K743" s="1288" t="str">
        <f ca="1"/>
        <v xml:space="preserve">Description:
Stay at a comfortable and controlled intensity where you should be able to have a conversation without large pauses. Keep an even intensity and accept that your pace may change as the terrain changes.
Details:
Sport: Ride
WU/WD: No 
Effort Total: 30 minutes
HR Target: 138 BPM
HR Range: 129 - 148 BPM 
Flat Road Equivalent Pace: 4:39 min/km
Aim:
Improve aerobic fitness while minimising the chance of injury. </v>
      </c>
      <c r="L743" s="1287">
        <f ca="1"/>
        <v>109</v>
      </c>
      <c r="M743" s="1287">
        <f ca="1"/>
        <v>0.5</v>
      </c>
      <c r="N743" s="1287"/>
      <c r="O743" s="1323" t="str">
        <f ca="1"/>
        <v>2019-02-01 06:00</v>
      </c>
      <c r="P743" s="1287"/>
      <c r="Q743" s="1290" t="str">
        <f ca="1"/>
        <v>Ride</v>
      </c>
    </row>
    <row r="744" spans="1:17" ht="27.75" hidden="1" customHeight="1" x14ac:dyDescent="0.45">
      <c r="A744" s="1289">
        <v>18</v>
      </c>
      <c r="B744" s="1285">
        <v>10</v>
      </c>
      <c r="C744" s="1285">
        <v>2.0000000000000284</v>
      </c>
      <c r="D744" s="1297">
        <v>29.00000000000005</v>
      </c>
      <c r="E744" s="1299" t="str">
        <f ca="1"/>
        <v>Use a hands, rollers, or balls on all major muscle groups with extra time on more sensitive or problematic areas or as guided by a coach or physio. Finish with 20 minutes of lower-limb stretching.</v>
      </c>
      <c r="F744" s="1286" t="str">
        <f ca="1"/>
        <v>Sport: Indoor
WU/WD: No 
Effort Total: 30 minutes
HR Target: N/A BPM
HR Range: N/A BPM 
Flat Road Equivalent Pace:  min/km</v>
      </c>
      <c r="G744" s="1286" t="str">
        <f ca="1"/>
        <v xml:space="preserve">Release tension that develops in soft tissue from training and non-training stresses. </v>
      </c>
      <c r="H744" s="1301" t="str">
        <f ca="1"/>
        <v/>
      </c>
      <c r="I744" s="1303" t="str">
        <f ca="1"/>
        <v>Maintenance</v>
      </c>
      <c r="J744" s="1287" t="str">
        <f ca="1"/>
        <v>Strength</v>
      </c>
      <c r="K744" s="1288" t="str">
        <f ca="1"/>
        <v xml:space="preserve">Description:
Use a hands, rollers, or balls on all major muscle groups with extra time on more sensitive or problematic areas or as guided by a coach or physio. Finish with 20 minutes of lower-limb stretching.
Details:
Sport: Indoor
WU/WD: No 
Effort Total: 30 minutes
HR Target: N/A BPM
HR Range: N/A BPM 
Flat Road Equivalent Pace:  min/km
Aim:
Release tension that develops in soft tissue from training and non-training stresses. </v>
      </c>
      <c r="L744" s="1287">
        <f ca="1"/>
        <v>76</v>
      </c>
      <c r="M744" s="1287">
        <f ca="1"/>
        <v>0.5</v>
      </c>
      <c r="N744" s="1287"/>
      <c r="O744" s="1323" t="str">
        <f ca="1"/>
        <v>2019-02-01 20:00</v>
      </c>
      <c r="P744" s="1287"/>
      <c r="Q744" s="1290" t="str">
        <f ca="1"/>
        <v>Indoor</v>
      </c>
    </row>
    <row r="745" spans="1:17" ht="27.75" hidden="1" customHeight="1" x14ac:dyDescent="0.45">
      <c r="A745" s="1289">
        <v>18</v>
      </c>
      <c r="B745" s="1285">
        <v>10</v>
      </c>
      <c r="C745" s="1285">
        <v>2.9999999999999716</v>
      </c>
      <c r="D745" s="1297">
        <v>29.999999999999972</v>
      </c>
      <c r="E745" s="1299" t="str">
        <f ca="1"/>
        <v/>
      </c>
      <c r="F745" s="1286" t="str">
        <f ca="1"/>
        <v/>
      </c>
      <c r="G745" s="1286" t="str">
        <f ca="1"/>
        <v/>
      </c>
      <c r="H745" s="1301" t="str">
        <f ca="1"/>
        <v/>
      </c>
      <c r="I745" s="1303" t="str">
        <f ca="1"/>
        <v/>
      </c>
      <c r="J745" s="1287" t="str">
        <f ca="1"/>
        <v/>
      </c>
      <c r="K745" s="1288" t="str">
        <f ca="1"/>
        <v xml:space="preserve">Description:
Details:
Aim:
</v>
      </c>
      <c r="L745" s="1287" t="str">
        <f ca="1"/>
        <v/>
      </c>
      <c r="M745" s="1287" t="str">
        <f ca="1"/>
        <v/>
      </c>
      <c r="N745" s="1287"/>
      <c r="O745" s="1323" t="str">
        <f ca="1"/>
        <v/>
      </c>
      <c r="P745" s="1287"/>
      <c r="Q745" s="1290" t="str">
        <f ca="1"/>
        <v/>
      </c>
    </row>
    <row r="746" spans="1:17" ht="27.75" hidden="1" customHeight="1" x14ac:dyDescent="0.45">
      <c r="A746" s="1289">
        <v>18</v>
      </c>
      <c r="B746" s="1285">
        <v>11</v>
      </c>
      <c r="C746" s="1285">
        <v>1</v>
      </c>
      <c r="D746" s="1297">
        <v>31.000000000000043</v>
      </c>
      <c r="E746" s="1299" t="str">
        <f ca="1"/>
        <v>Stay at a comfortable and controlled intensity where you should be able to have a conversation without large pauses. Keep an even intensity and accept that your pace may change as the terrain changes.</v>
      </c>
      <c r="F746" s="1286" t="str">
        <f ca="1"/>
        <v>Sport: Hilly Trail Run
WU/WD: No 
Effort Total: 65 minutes
HR Target: 148 BPM
HR Range: 138 - 157 BPM 
Flat Road Equivalent Pace: 4:14 min/km</v>
      </c>
      <c r="G746" s="1286" t="str">
        <f ca="1"/>
        <v>Improve aerobic fitness at an optimal rate.</v>
      </c>
      <c r="H746" s="1301" t="str">
        <f ca="1"/>
        <v/>
      </c>
      <c r="I746" s="1303" t="str">
        <f ca="1"/>
        <v>Steady hilly trail run: 65 minutes</v>
      </c>
      <c r="J746" s="1287" t="str">
        <f ca="1"/>
        <v>Trail Running</v>
      </c>
      <c r="K746" s="1288" t="str">
        <f ca="1"/>
        <v>Description:
Stay at a comfortable and controlled intensity where you should be able to have a conversation without large pauses. Keep an even intensity and accept that your pace may change as the terrain changes.
Details:
Sport: Hilly Trail Run
WU/WD: No 
Effort Total: 65 minutes
HR Target: 148 BPM
HR Range: 138 - 157 BPM 
Flat Road Equivalent Pace: 4:14 min/km
Aim:
Improve aerobic fitness at an optimal rate.</v>
      </c>
      <c r="L746" s="1287">
        <f ca="1"/>
        <v>3</v>
      </c>
      <c r="M746" s="1287">
        <f ca="1"/>
        <v>1.0833333333333333</v>
      </c>
      <c r="N746" s="1287"/>
      <c r="O746" s="1323" t="str">
        <f ca="1"/>
        <v>2019-02-02 06:00</v>
      </c>
      <c r="P746" s="1287"/>
      <c r="Q746" s="1290" t="str">
        <f ca="1"/>
        <v>Hilly Trail Run</v>
      </c>
    </row>
    <row r="747" spans="1:17" ht="27.75" hidden="1" customHeight="1" x14ac:dyDescent="0.45">
      <c r="A747" s="1289">
        <v>18</v>
      </c>
      <c r="B747" s="1285">
        <v>11</v>
      </c>
      <c r="C747" s="1285">
        <v>2.0000000000000284</v>
      </c>
      <c r="D747" s="1297">
        <v>31.999999999999964</v>
      </c>
      <c r="E747" s="1299" t="str">
        <f ca="1"/>
        <v/>
      </c>
      <c r="F747" s="1286" t="str">
        <f ca="1"/>
        <v/>
      </c>
      <c r="G747" s="1286" t="str">
        <f ca="1"/>
        <v/>
      </c>
      <c r="H747" s="1301" t="str">
        <f ca="1"/>
        <v/>
      </c>
      <c r="I747" s="1303" t="str">
        <f ca="1"/>
        <v/>
      </c>
      <c r="J747" s="1287" t="str">
        <f ca="1"/>
        <v/>
      </c>
      <c r="K747" s="1288" t="str">
        <f ca="1"/>
        <v xml:space="preserve">Description:
Details:
Aim:
</v>
      </c>
      <c r="L747" s="1287" t="str">
        <f ca="1"/>
        <v/>
      </c>
      <c r="M747" s="1287" t="str">
        <f ca="1"/>
        <v/>
      </c>
      <c r="N747" s="1287"/>
      <c r="O747" s="1323" t="str">
        <f ca="1"/>
        <v/>
      </c>
      <c r="P747" s="1287"/>
      <c r="Q747" s="1290" t="str">
        <f ca="1"/>
        <v/>
      </c>
    </row>
    <row r="748" spans="1:17" ht="27.75" hidden="1" customHeight="1" x14ac:dyDescent="0.45">
      <c r="A748" s="1289">
        <v>18</v>
      </c>
      <c r="B748" s="1285">
        <v>11</v>
      </c>
      <c r="C748" s="1285">
        <v>2.9999999999999716</v>
      </c>
      <c r="D748" s="1297">
        <v>33.000000000000036</v>
      </c>
      <c r="E748" s="1299" t="str">
        <f ca="1"/>
        <v/>
      </c>
      <c r="F748" s="1286" t="str">
        <f ca="1"/>
        <v/>
      </c>
      <c r="G748" s="1286" t="str">
        <f ca="1"/>
        <v/>
      </c>
      <c r="H748" s="1301" t="str">
        <f ca="1"/>
        <v/>
      </c>
      <c r="I748" s="1303" t="str">
        <f ca="1"/>
        <v/>
      </c>
      <c r="J748" s="1287" t="str">
        <f ca="1"/>
        <v/>
      </c>
      <c r="K748" s="1288" t="str">
        <f ca="1"/>
        <v xml:space="preserve">Description:
Details:
Aim:
</v>
      </c>
      <c r="L748" s="1287" t="str">
        <f ca="1"/>
        <v/>
      </c>
      <c r="M748" s="1287" t="str">
        <f ca="1"/>
        <v/>
      </c>
      <c r="N748" s="1287"/>
      <c r="O748" s="1323" t="str">
        <f ca="1"/>
        <v/>
      </c>
      <c r="P748" s="1287"/>
      <c r="Q748" s="1290" t="str">
        <f ca="1"/>
        <v/>
      </c>
    </row>
    <row r="749" spans="1:17" ht="27.75" hidden="1" customHeight="1" x14ac:dyDescent="0.45">
      <c r="A749" s="1289">
        <v>18</v>
      </c>
      <c r="B749" s="1285">
        <v>12</v>
      </c>
      <c r="C749" s="1285">
        <v>1</v>
      </c>
      <c r="D749" s="1297">
        <v>33.999999999999957</v>
      </c>
      <c r="E749" s="1299" t="str">
        <f ca="1"/>
        <v/>
      </c>
      <c r="F749" s="1286" t="str">
        <f ca="1"/>
        <v/>
      </c>
      <c r="G749" s="1286" t="str">
        <f ca="1"/>
        <v/>
      </c>
      <c r="H749" s="1301" t="str">
        <f ca="1"/>
        <v/>
      </c>
      <c r="I749" s="1303" t="str">
        <f ca="1"/>
        <v/>
      </c>
      <c r="J749" s="1287" t="str">
        <f ca="1"/>
        <v/>
      </c>
      <c r="K749" s="1288" t="str">
        <f ca="1"/>
        <v xml:space="preserve">Description:
Details:
Aim:
</v>
      </c>
      <c r="L749" s="1287" t="str">
        <f ca="1"/>
        <v/>
      </c>
      <c r="M749" s="1287" t="str">
        <f ca="1"/>
        <v/>
      </c>
      <c r="N749" s="1287"/>
      <c r="O749" s="1323" t="str">
        <f ca="1"/>
        <v/>
      </c>
      <c r="P749" s="1287"/>
      <c r="Q749" s="1290" t="str">
        <f ca="1"/>
        <v/>
      </c>
    </row>
    <row r="750" spans="1:17" ht="27.75" hidden="1" customHeight="1" x14ac:dyDescent="0.45">
      <c r="A750" s="1289">
        <v>18</v>
      </c>
      <c r="B750" s="1285">
        <v>12</v>
      </c>
      <c r="C750" s="1285">
        <v>2.0000000000000284</v>
      </c>
      <c r="D750" s="1297">
        <v>35.000000000000028</v>
      </c>
      <c r="E750" s="1299" t="str">
        <f ca="1"/>
        <v/>
      </c>
      <c r="F750" s="1286" t="str">
        <f ca="1"/>
        <v/>
      </c>
      <c r="G750" s="1286" t="str">
        <f ca="1"/>
        <v/>
      </c>
      <c r="H750" s="1301" t="str">
        <f ca="1"/>
        <v/>
      </c>
      <c r="I750" s="1303" t="str">
        <f ca="1"/>
        <v/>
      </c>
      <c r="J750" s="1287" t="str">
        <f ca="1"/>
        <v/>
      </c>
      <c r="K750" s="1288" t="str">
        <f ca="1"/>
        <v xml:space="preserve">Description:
Details:
Aim:
</v>
      </c>
      <c r="L750" s="1287" t="str">
        <f ca="1"/>
        <v/>
      </c>
      <c r="M750" s="1287" t="str">
        <f ca="1"/>
        <v/>
      </c>
      <c r="N750" s="1287"/>
      <c r="O750" s="1323" t="str">
        <f ca="1"/>
        <v/>
      </c>
      <c r="P750" s="1287"/>
      <c r="Q750" s="1290" t="str">
        <f ca="1"/>
        <v/>
      </c>
    </row>
    <row r="751" spans="1:17" ht="27.75" hidden="1" customHeight="1" x14ac:dyDescent="0.45">
      <c r="A751" s="1289">
        <v>18</v>
      </c>
      <c r="B751" s="1285">
        <v>12</v>
      </c>
      <c r="C751" s="1285">
        <v>2.9999999999999716</v>
      </c>
      <c r="D751" s="1297">
        <v>35.99999999999995</v>
      </c>
      <c r="E751" s="1299" t="str">
        <f ca="1"/>
        <v/>
      </c>
      <c r="F751" s="1286" t="str">
        <f ca="1"/>
        <v/>
      </c>
      <c r="G751" s="1286" t="str">
        <f ca="1"/>
        <v/>
      </c>
      <c r="H751" s="1301" t="str">
        <f ca="1"/>
        <v/>
      </c>
      <c r="I751" s="1303" t="str">
        <f ca="1"/>
        <v/>
      </c>
      <c r="J751" s="1287" t="str">
        <f ca="1"/>
        <v/>
      </c>
      <c r="K751" s="1288" t="str">
        <f ca="1"/>
        <v xml:space="preserve">Description:
Details:
Aim:
</v>
      </c>
      <c r="L751" s="1287" t="str">
        <f ca="1"/>
        <v/>
      </c>
      <c r="M751" s="1287" t="str">
        <f ca="1"/>
        <v/>
      </c>
      <c r="N751" s="1287"/>
      <c r="O751" s="1323" t="str">
        <f ca="1"/>
        <v/>
      </c>
      <c r="P751" s="1287"/>
      <c r="Q751" s="1290" t="str">
        <f ca="1"/>
        <v/>
      </c>
    </row>
    <row r="752" spans="1:17" ht="27.75" hidden="1" customHeight="1" x14ac:dyDescent="0.45">
      <c r="A752" s="1289">
        <v>18</v>
      </c>
      <c r="B752" s="1285">
        <v>13</v>
      </c>
      <c r="C752" s="1285">
        <v>1</v>
      </c>
      <c r="D752" s="1297">
        <v>37.000000000000021</v>
      </c>
      <c r="E752" s="1299" t="str">
        <f ca="1"/>
        <v xml:space="preserve">Fundamentally a steady, but you can be less strict at controlling your intensity as long as your average intensity is close to it's target by the end of the session </v>
      </c>
      <c r="F752" s="1286" t="str">
        <f ca="1"/>
        <v>Sport: Hilly Trail Run
WU/WD: No 
Effort Total: 105 minutes
HR Target: 148 BPM
HR Range: 129 - 169 BPM 
Flat Road Equivalent Pace: 4:14 min/km</v>
      </c>
      <c r="G752" s="1286" t="str">
        <f ca="1"/>
        <v xml:space="preserve">Improve aerobic fitness and energy utilisation. </v>
      </c>
      <c r="H752" s="1301" t="str">
        <f ca="1"/>
        <v/>
      </c>
      <c r="I752" s="1303" t="str">
        <f ca="1"/>
        <v>Long hilly trail run: 105 minutes</v>
      </c>
      <c r="J752" s="1287" t="str">
        <f ca="1"/>
        <v>Trail Running</v>
      </c>
      <c r="K752" s="1288" t="str">
        <f ca="1"/>
        <v xml:space="preserve">Description:
Fundamentally a steady, but you can be less strict at controlling your intensity as long as your average intensity is close to it's target by the end of the session 
Details:
Sport: Hilly Trail Run
WU/WD: No 
Effort Total: 105 minutes
HR Target: 148 BPM
HR Range: 129 - 169 BPM 
Flat Road Equivalent Pace: 4:14 min/km
Aim:
Improve aerobic fitness and energy utilisation. </v>
      </c>
      <c r="L752" s="1287">
        <f ca="1"/>
        <v>4</v>
      </c>
      <c r="M752" s="1287">
        <f ca="1"/>
        <v>1.75</v>
      </c>
      <c r="N752" s="1287"/>
      <c r="O752" s="1323" t="str">
        <f ca="1"/>
        <v>2019-02-03 06:00</v>
      </c>
      <c r="P752" s="1287"/>
      <c r="Q752" s="1290" t="str">
        <f ca="1"/>
        <v>Hilly Trail Run</v>
      </c>
    </row>
    <row r="753" spans="1:17" ht="27.75" hidden="1" customHeight="1" x14ac:dyDescent="0.45">
      <c r="A753" s="1289">
        <v>18</v>
      </c>
      <c r="B753" s="1285">
        <v>13</v>
      </c>
      <c r="C753" s="1285">
        <v>2.0000000000000284</v>
      </c>
      <c r="D753" s="1297">
        <v>37.999999999999943</v>
      </c>
      <c r="E753" s="1299" t="str">
        <f ca="1"/>
        <v/>
      </c>
      <c r="F753" s="1286" t="str">
        <f ca="1"/>
        <v/>
      </c>
      <c r="G753" s="1286" t="str">
        <f ca="1"/>
        <v/>
      </c>
      <c r="H753" s="1301" t="str">
        <f ca="1"/>
        <v/>
      </c>
      <c r="I753" s="1303" t="str">
        <f ca="1"/>
        <v/>
      </c>
      <c r="J753" s="1287" t="str">
        <f ca="1"/>
        <v/>
      </c>
      <c r="K753" s="1288" t="str">
        <f ca="1"/>
        <v xml:space="preserve">Description:
Details:
Aim:
</v>
      </c>
      <c r="L753" s="1287" t="str">
        <f ca="1"/>
        <v/>
      </c>
      <c r="M753" s="1287" t="str">
        <f ca="1"/>
        <v/>
      </c>
      <c r="N753" s="1287"/>
      <c r="O753" s="1323" t="str">
        <f ca="1"/>
        <v/>
      </c>
      <c r="P753" s="1287"/>
      <c r="Q753" s="1290" t="str">
        <f ca="1"/>
        <v/>
      </c>
    </row>
    <row r="754" spans="1:17" ht="27.75" hidden="1" customHeight="1" x14ac:dyDescent="0.45">
      <c r="A754" s="1289">
        <v>18</v>
      </c>
      <c r="B754" s="1285">
        <v>13</v>
      </c>
      <c r="C754" s="1285">
        <v>2.9999999999999716</v>
      </c>
      <c r="D754" s="1297">
        <v>39.000000000000014</v>
      </c>
      <c r="E754" s="1299" t="str">
        <f ca="1"/>
        <v/>
      </c>
      <c r="F754" s="1286" t="str">
        <f ca="1"/>
        <v/>
      </c>
      <c r="G754" s="1286" t="str">
        <f ca="1"/>
        <v/>
      </c>
      <c r="H754" s="1301" t="str">
        <f ca="1"/>
        <v/>
      </c>
      <c r="I754" s="1303" t="str">
        <f ca="1"/>
        <v/>
      </c>
      <c r="J754" s="1287" t="str">
        <f ca="1"/>
        <v/>
      </c>
      <c r="K754" s="1288" t="str">
        <f ca="1"/>
        <v xml:space="preserve">Description:
Details:
Aim:
</v>
      </c>
      <c r="L754" s="1287" t="str">
        <f ca="1"/>
        <v/>
      </c>
      <c r="M754" s="1287" t="str">
        <f ca="1"/>
        <v/>
      </c>
      <c r="N754" s="1287"/>
      <c r="O754" s="1323" t="str">
        <f ca="1"/>
        <v/>
      </c>
      <c r="P754" s="1287"/>
      <c r="Q754" s="1290" t="str">
        <f ca="1"/>
        <v/>
      </c>
    </row>
    <row r="755" spans="1:17" ht="27.75" hidden="1" customHeight="1" x14ac:dyDescent="0.45">
      <c r="A755" s="1289">
        <v>18</v>
      </c>
      <c r="B755" s="1285">
        <v>14</v>
      </c>
      <c r="C755" s="1285">
        <v>1</v>
      </c>
      <c r="D755" s="1297">
        <v>39.999999999999936</v>
      </c>
      <c r="E755" s="1299" t="str">
        <f ca="1"/>
        <v/>
      </c>
      <c r="F755" s="1286" t="str">
        <f ca="1"/>
        <v/>
      </c>
      <c r="G755" s="1286" t="str">
        <f ca="1"/>
        <v/>
      </c>
      <c r="H755" s="1301" t="str">
        <f ca="1"/>
        <v/>
      </c>
      <c r="I755" s="1303" t="str">
        <f ca="1"/>
        <v/>
      </c>
      <c r="J755" s="1287" t="str">
        <f ca="1"/>
        <v/>
      </c>
      <c r="K755" s="1288" t="str">
        <f ca="1"/>
        <v xml:space="preserve">Description:
Details:
Aim:
</v>
      </c>
      <c r="L755" s="1287" t="str">
        <f ca="1"/>
        <v/>
      </c>
      <c r="M755" s="1287" t="str">
        <f ca="1"/>
        <v/>
      </c>
      <c r="N755" s="1287"/>
      <c r="O755" s="1323" t="str">
        <f ca="1"/>
        <v/>
      </c>
      <c r="P755" s="1287"/>
      <c r="Q755" s="1290" t="str">
        <f ca="1"/>
        <v/>
      </c>
    </row>
    <row r="756" spans="1:17" ht="27.75" hidden="1" customHeight="1" x14ac:dyDescent="0.45">
      <c r="A756" s="1289">
        <v>18</v>
      </c>
      <c r="B756" s="1285">
        <v>14</v>
      </c>
      <c r="C756" s="1285">
        <v>2.0000000000000284</v>
      </c>
      <c r="D756" s="1297">
        <v>41.000000000000007</v>
      </c>
      <c r="E756" s="1299" t="str">
        <f ca="1"/>
        <v/>
      </c>
      <c r="F756" s="1286" t="str">
        <f ca="1"/>
        <v/>
      </c>
      <c r="G756" s="1286" t="str">
        <f ca="1"/>
        <v/>
      </c>
      <c r="H756" s="1301" t="str">
        <f ca="1"/>
        <v/>
      </c>
      <c r="I756" s="1303" t="str">
        <f ca="1"/>
        <v/>
      </c>
      <c r="J756" s="1287" t="str">
        <f ca="1"/>
        <v/>
      </c>
      <c r="K756" s="1288" t="str">
        <f ca="1"/>
        <v xml:space="preserve">Description:
Details:
Aim:
</v>
      </c>
      <c r="L756" s="1287" t="str">
        <f ca="1"/>
        <v/>
      </c>
      <c r="M756" s="1287" t="str">
        <f ca="1"/>
        <v/>
      </c>
      <c r="N756" s="1287"/>
      <c r="O756" s="1323" t="str">
        <f ca="1"/>
        <v/>
      </c>
      <c r="P756" s="1287"/>
      <c r="Q756" s="1290" t="str">
        <f ca="1"/>
        <v/>
      </c>
    </row>
    <row r="757" spans="1:17" ht="27.75" hidden="1" customHeight="1" x14ac:dyDescent="0.45">
      <c r="A757" s="1289">
        <v>18</v>
      </c>
      <c r="B757" s="1285">
        <v>14</v>
      </c>
      <c r="C757" s="1285">
        <v>2.9999999999999716</v>
      </c>
      <c r="D757" s="1297">
        <v>41.999999999999929</v>
      </c>
      <c r="E757" s="1299" t="str">
        <f ca="1"/>
        <v/>
      </c>
      <c r="F757" s="1286" t="str">
        <f ca="1"/>
        <v/>
      </c>
      <c r="G757" s="1286" t="str">
        <f ca="1"/>
        <v/>
      </c>
      <c r="H757" s="1301" t="str">
        <f ca="1"/>
        <v/>
      </c>
      <c r="I757" s="1303" t="str">
        <f ca="1"/>
        <v/>
      </c>
      <c r="J757" s="1287" t="str">
        <f ca="1"/>
        <v/>
      </c>
      <c r="K757" s="1288" t="str">
        <f ca="1"/>
        <v xml:space="preserve">Description:
Details:
Aim:
</v>
      </c>
      <c r="L757" s="1287" t="str">
        <f ca="1"/>
        <v/>
      </c>
      <c r="M757" s="1287" t="str">
        <f ca="1"/>
        <v/>
      </c>
      <c r="N757" s="1287"/>
      <c r="O757" s="1323" t="str">
        <f ca="1"/>
        <v/>
      </c>
      <c r="P757" s="1287"/>
      <c r="Q757" s="1290" t="str">
        <f ca="1"/>
        <v/>
      </c>
    </row>
    <row r="758" spans="1:17" ht="27.75" hidden="1" customHeight="1" x14ac:dyDescent="0.45">
      <c r="A758" s="1289">
        <v>19</v>
      </c>
      <c r="B758" s="1285">
        <v>1</v>
      </c>
      <c r="C758" s="1285">
        <v>1</v>
      </c>
      <c r="D758" s="1297">
        <v>1</v>
      </c>
      <c r="E758" s="1299" t="str">
        <f ca="1"/>
        <v/>
      </c>
      <c r="F758" s="1286" t="str">
        <f ca="1"/>
        <v/>
      </c>
      <c r="G758" s="1286" t="str">
        <f ca="1"/>
        <v/>
      </c>
      <c r="H758" s="1301" t="str">
        <f ca="1"/>
        <v/>
      </c>
      <c r="I758" s="1303" t="str">
        <f ca="1"/>
        <v/>
      </c>
      <c r="J758" s="1287" t="str">
        <f ca="1"/>
        <v/>
      </c>
      <c r="K758" s="1288" t="str">
        <f ca="1"/>
        <v xml:space="preserve">Description:
Details:
Aim:
</v>
      </c>
      <c r="L758" s="1287" t="str">
        <f ca="1"/>
        <v/>
      </c>
      <c r="M758" s="1287" t="str">
        <f ca="1"/>
        <v/>
      </c>
      <c r="N758" s="1287"/>
      <c r="O758" s="1323" t="str">
        <f ca="1"/>
        <v/>
      </c>
      <c r="P758" s="1287"/>
      <c r="Q758" s="1290" t="str">
        <f ca="1"/>
        <v/>
      </c>
    </row>
    <row r="759" spans="1:17" ht="27.75" hidden="1" customHeight="1" x14ac:dyDescent="0.45">
      <c r="A759" s="1289">
        <v>19</v>
      </c>
      <c r="B759" s="1285">
        <v>1</v>
      </c>
      <c r="C759" s="1285">
        <v>2.0000000000000284</v>
      </c>
      <c r="D759" s="1297">
        <v>2.0000000000000711</v>
      </c>
      <c r="E759" s="1299" t="str">
        <f ca="1"/>
        <v/>
      </c>
      <c r="F759" s="1286" t="str">
        <f ca="1"/>
        <v/>
      </c>
      <c r="G759" s="1286" t="str">
        <f ca="1"/>
        <v/>
      </c>
      <c r="H759" s="1301" t="str">
        <f ca="1"/>
        <v/>
      </c>
      <c r="I759" s="1303" t="str">
        <f ca="1"/>
        <v/>
      </c>
      <c r="J759" s="1287" t="str">
        <f ca="1"/>
        <v/>
      </c>
      <c r="K759" s="1288" t="str">
        <f ca="1"/>
        <v xml:space="preserve">Description:
Details:
Aim:
</v>
      </c>
      <c r="L759" s="1287" t="str">
        <f ca="1"/>
        <v/>
      </c>
      <c r="M759" s="1287" t="str">
        <f ca="1"/>
        <v/>
      </c>
      <c r="N759" s="1287"/>
      <c r="O759" s="1323" t="str">
        <f ca="1"/>
        <v/>
      </c>
      <c r="P759" s="1287"/>
      <c r="Q759" s="1290" t="str">
        <f ca="1"/>
        <v/>
      </c>
    </row>
    <row r="760" spans="1:17" ht="27.75" hidden="1" customHeight="1" x14ac:dyDescent="0.45">
      <c r="A760" s="1289">
        <v>19</v>
      </c>
      <c r="B760" s="1285">
        <v>1</v>
      </c>
      <c r="C760" s="1285">
        <v>2.9999999999999716</v>
      </c>
      <c r="D760" s="1297">
        <v>2.9999999999999929</v>
      </c>
      <c r="E760" s="1299" t="str">
        <f ca="1"/>
        <v/>
      </c>
      <c r="F760" s="1286" t="str">
        <f ca="1"/>
        <v/>
      </c>
      <c r="G760" s="1286" t="str">
        <f ca="1"/>
        <v/>
      </c>
      <c r="H760" s="1301" t="str">
        <f ca="1"/>
        <v/>
      </c>
      <c r="I760" s="1303" t="str">
        <f ca="1"/>
        <v/>
      </c>
      <c r="J760" s="1287" t="str">
        <f ca="1"/>
        <v/>
      </c>
      <c r="K760" s="1288" t="str">
        <f ca="1"/>
        <v xml:space="preserve">Description:
Details:
Aim:
</v>
      </c>
      <c r="L760" s="1287" t="str">
        <f ca="1"/>
        <v/>
      </c>
      <c r="M760" s="1287" t="str">
        <f ca="1"/>
        <v/>
      </c>
      <c r="N760" s="1287"/>
      <c r="O760" s="1323" t="str">
        <f ca="1"/>
        <v/>
      </c>
      <c r="P760" s="1287"/>
      <c r="Q760" s="1290" t="str">
        <f ca="1"/>
        <v/>
      </c>
    </row>
    <row r="761" spans="1:17" ht="27.75" hidden="1" customHeight="1" x14ac:dyDescent="0.45">
      <c r="A761" s="1289">
        <v>19</v>
      </c>
      <c r="B761" s="1285">
        <v>2</v>
      </c>
      <c r="C761" s="1285">
        <v>1</v>
      </c>
      <c r="D761" s="1297">
        <v>4.0000000000000639</v>
      </c>
      <c r="E761" s="1299" t="str">
        <f ca="1"/>
        <v/>
      </c>
      <c r="F761" s="1286" t="str">
        <f ca="1"/>
        <v/>
      </c>
      <c r="G761" s="1286" t="str">
        <f ca="1"/>
        <v/>
      </c>
      <c r="H761" s="1301" t="str">
        <f ca="1"/>
        <v/>
      </c>
      <c r="I761" s="1303" t="str">
        <f ca="1"/>
        <v/>
      </c>
      <c r="J761" s="1287" t="str">
        <f ca="1"/>
        <v/>
      </c>
      <c r="K761" s="1288" t="str">
        <f ca="1"/>
        <v xml:space="preserve">Description:
Details:
Aim:
</v>
      </c>
      <c r="L761" s="1287" t="str">
        <f ca="1"/>
        <v/>
      </c>
      <c r="M761" s="1287" t="str">
        <f ca="1"/>
        <v/>
      </c>
      <c r="N761" s="1287"/>
      <c r="O761" s="1323" t="str">
        <f ca="1"/>
        <v/>
      </c>
      <c r="P761" s="1287"/>
      <c r="Q761" s="1290" t="str">
        <f ca="1"/>
        <v/>
      </c>
    </row>
    <row r="762" spans="1:17" ht="27.75" hidden="1" customHeight="1" x14ac:dyDescent="0.45">
      <c r="A762" s="1289">
        <v>19</v>
      </c>
      <c r="B762" s="1285">
        <v>2</v>
      </c>
      <c r="C762" s="1285">
        <v>2.0000000000000284</v>
      </c>
      <c r="D762" s="1297">
        <v>4.9999999999999858</v>
      </c>
      <c r="E762" s="1299" t="str">
        <f ca="1"/>
        <v/>
      </c>
      <c r="F762" s="1286" t="str">
        <f ca="1"/>
        <v/>
      </c>
      <c r="G762" s="1286" t="str">
        <f ca="1"/>
        <v/>
      </c>
      <c r="H762" s="1301" t="str">
        <f ca="1"/>
        <v/>
      </c>
      <c r="I762" s="1303" t="str">
        <f ca="1"/>
        <v/>
      </c>
      <c r="J762" s="1287" t="str">
        <f ca="1"/>
        <v/>
      </c>
      <c r="K762" s="1288" t="str">
        <f ca="1"/>
        <v xml:space="preserve">Description:
Details:
Aim:
</v>
      </c>
      <c r="L762" s="1287" t="str">
        <f ca="1"/>
        <v/>
      </c>
      <c r="M762" s="1287" t="str">
        <f ca="1"/>
        <v/>
      </c>
      <c r="N762" s="1287"/>
      <c r="O762" s="1323" t="str">
        <f ca="1"/>
        <v/>
      </c>
      <c r="P762" s="1287"/>
      <c r="Q762" s="1290" t="str">
        <f ca="1"/>
        <v/>
      </c>
    </row>
    <row r="763" spans="1:17" ht="27.75" hidden="1" customHeight="1" x14ac:dyDescent="0.45">
      <c r="A763" s="1289">
        <v>19</v>
      </c>
      <c r="B763" s="1285">
        <v>2</v>
      </c>
      <c r="C763" s="1285">
        <v>2.9999999999999716</v>
      </c>
      <c r="D763" s="1297">
        <v>6.0000000000000568</v>
      </c>
      <c r="E763" s="1299" t="str">
        <f ca="1"/>
        <v/>
      </c>
      <c r="F763" s="1286" t="str">
        <f ca="1"/>
        <v/>
      </c>
      <c r="G763" s="1286" t="str">
        <f ca="1"/>
        <v/>
      </c>
      <c r="H763" s="1301" t="str">
        <f ca="1"/>
        <v/>
      </c>
      <c r="I763" s="1303" t="str">
        <f ca="1"/>
        <v/>
      </c>
      <c r="J763" s="1287" t="str">
        <f ca="1"/>
        <v/>
      </c>
      <c r="K763" s="1288" t="str">
        <f ca="1"/>
        <v xml:space="preserve">Description:
Details:
Aim:
</v>
      </c>
      <c r="L763" s="1287" t="str">
        <f ca="1"/>
        <v/>
      </c>
      <c r="M763" s="1287" t="str">
        <f ca="1"/>
        <v/>
      </c>
      <c r="N763" s="1287"/>
      <c r="O763" s="1323" t="str">
        <f ca="1"/>
        <v/>
      </c>
      <c r="P763" s="1287"/>
      <c r="Q763" s="1290" t="str">
        <f ca="1"/>
        <v/>
      </c>
    </row>
    <row r="764" spans="1:17" ht="27.75" hidden="1" customHeight="1" x14ac:dyDescent="0.45">
      <c r="A764" s="1289">
        <v>19</v>
      </c>
      <c r="B764" s="1285">
        <v>2</v>
      </c>
      <c r="C764" s="1285">
        <v>1</v>
      </c>
      <c r="D764" s="1297">
        <v>6.9999999999999787</v>
      </c>
      <c r="E764" s="1299" t="str">
        <f ca="1"/>
        <v/>
      </c>
      <c r="F764" s="1286" t="str">
        <f ca="1"/>
        <v/>
      </c>
      <c r="G764" s="1286" t="str">
        <f ca="1"/>
        <v/>
      </c>
      <c r="H764" s="1301" t="str">
        <f ca="1"/>
        <v/>
      </c>
      <c r="I764" s="1303" t="str">
        <f ca="1"/>
        <v/>
      </c>
      <c r="J764" s="1287" t="str">
        <f ca="1"/>
        <v/>
      </c>
      <c r="K764" s="1288" t="str">
        <f ca="1"/>
        <v xml:space="preserve">Description:
Details:
Aim:
</v>
      </c>
      <c r="L764" s="1287" t="str">
        <f ca="1"/>
        <v/>
      </c>
      <c r="M764" s="1287" t="str">
        <f ca="1"/>
        <v/>
      </c>
      <c r="N764" s="1287"/>
      <c r="O764" s="1323" t="str">
        <f ca="1"/>
        <v/>
      </c>
      <c r="P764" s="1287"/>
      <c r="Q764" s="1290" t="str">
        <f ca="1"/>
        <v/>
      </c>
    </row>
    <row r="765" spans="1:17" ht="27.75" hidden="1" customHeight="1" x14ac:dyDescent="0.45">
      <c r="A765" s="1289">
        <v>19</v>
      </c>
      <c r="B765" s="1285">
        <v>3</v>
      </c>
      <c r="C765" s="1285">
        <v>2.0000000000000284</v>
      </c>
      <c r="D765" s="1297">
        <v>8.0000000000000497</v>
      </c>
      <c r="E765" s="1299" t="str">
        <f ca="1"/>
        <v/>
      </c>
      <c r="F765" s="1286" t="str">
        <f ca="1"/>
        <v/>
      </c>
      <c r="G765" s="1286" t="str">
        <f ca="1"/>
        <v/>
      </c>
      <c r="H765" s="1301" t="str">
        <f ca="1"/>
        <v/>
      </c>
      <c r="I765" s="1303" t="str">
        <f ca="1"/>
        <v/>
      </c>
      <c r="J765" s="1287" t="str">
        <f ca="1"/>
        <v/>
      </c>
      <c r="K765" s="1288" t="str">
        <f ca="1"/>
        <v xml:space="preserve">Description:
Details:
Aim:
</v>
      </c>
      <c r="L765" s="1287" t="str">
        <f ca="1"/>
        <v/>
      </c>
      <c r="M765" s="1287" t="str">
        <f ca="1"/>
        <v/>
      </c>
      <c r="N765" s="1287"/>
      <c r="O765" s="1323" t="str">
        <f ca="1"/>
        <v/>
      </c>
      <c r="P765" s="1287"/>
      <c r="Q765" s="1290" t="str">
        <f ca="1"/>
        <v/>
      </c>
    </row>
    <row r="766" spans="1:17" ht="27.75" hidden="1" customHeight="1" x14ac:dyDescent="0.45">
      <c r="A766" s="1289">
        <v>19</v>
      </c>
      <c r="B766" s="1285">
        <v>3</v>
      </c>
      <c r="C766" s="1285">
        <v>2.9999999999999716</v>
      </c>
      <c r="D766" s="1297">
        <v>8.9999999999999716</v>
      </c>
      <c r="E766" s="1299" t="str">
        <f ca="1"/>
        <v/>
      </c>
      <c r="F766" s="1286" t="str">
        <f ca="1"/>
        <v/>
      </c>
      <c r="G766" s="1286" t="str">
        <f ca="1"/>
        <v/>
      </c>
      <c r="H766" s="1301" t="str">
        <f ca="1"/>
        <v/>
      </c>
      <c r="I766" s="1303" t="str">
        <f ca="1"/>
        <v/>
      </c>
      <c r="J766" s="1287" t="str">
        <f ca="1"/>
        <v/>
      </c>
      <c r="K766" s="1288" t="str">
        <f ca="1"/>
        <v xml:space="preserve">Description:
Details:
Aim:
</v>
      </c>
      <c r="L766" s="1287" t="str">
        <f ca="1"/>
        <v/>
      </c>
      <c r="M766" s="1287" t="str">
        <f ca="1"/>
        <v/>
      </c>
      <c r="N766" s="1287"/>
      <c r="O766" s="1323" t="str">
        <f ca="1"/>
        <v/>
      </c>
      <c r="P766" s="1287"/>
      <c r="Q766" s="1290" t="str">
        <f ca="1"/>
        <v/>
      </c>
    </row>
    <row r="767" spans="1:17" ht="27.75" hidden="1" customHeight="1" x14ac:dyDescent="0.45">
      <c r="A767" s="1289">
        <v>19</v>
      </c>
      <c r="B767" s="1285">
        <v>4</v>
      </c>
      <c r="C767" s="1285">
        <v>1</v>
      </c>
      <c r="D767" s="1297">
        <v>10.000000000000043</v>
      </c>
      <c r="E767" s="1299" t="str">
        <f ca="1"/>
        <v>Intervals are hard, but don't start so hard that you can't run the same pace for all intervals in the session. Forget about HR, and focus on feeling your intensity. Do the recoveries at an easy intensity. Warm up and warm down for 10 minutes each.</v>
      </c>
      <c r="F767" s="1286" t="str">
        <f ca="1"/>
        <v>Sport: Road Run
WU/WD: 15 minutes 
Effort Total: 15.5 minutes
HR Target: 188 BPM
HR Range: 184 - 192 BPM 
Flat Road Equivalent Pace: 3:06 min/km</v>
      </c>
      <c r="G767" s="1286" t="str">
        <f ca="1"/>
        <v xml:space="preserve">Improve VO2 max and develop metal toughness. </v>
      </c>
      <c r="H767" s="1301" t="str">
        <f ca="1"/>
        <v>Efforts of: 1km x3
And recoveries of: 1 minutes</v>
      </c>
      <c r="I767" s="1303" t="str">
        <f ca="1"/>
        <v>Intervals: II + WU/WD</v>
      </c>
      <c r="J767" s="1287" t="str">
        <f ca="1"/>
        <v>Running</v>
      </c>
      <c r="K767" s="1288" t="str">
        <f ca="1"/>
        <v xml:space="preserve">Intervals:
Efforts of: 1km x3
And recoveries of: 1 minutes
Description:
Intervals are hard, but don't start so hard that you can't run the same pace for all intervals in the session. Forget about HR, and focus on feeling your intensity. Do the recoveries at an easy intensity. Warm up and warm down for 10 minutes each.
Details:
Sport: Road Run
WU/WD: 15 minutes 
Effort Total: 15.5 minutes
HR Target: 188 BPM
HR Range: 184 - 192 BPM 
Flat Road Equivalent Pace: 3:06 min/km
Aim:
Improve VO2 max and develop metal toughness. </v>
      </c>
      <c r="L767" s="1287">
        <f ca="1"/>
        <v>44</v>
      </c>
      <c r="M767" s="1287">
        <f ca="1"/>
        <v>0.25833333333333336</v>
      </c>
      <c r="N767" s="1287"/>
      <c r="O767" s="1323" t="str">
        <f ca="1"/>
        <v>2019-02-05 18:00</v>
      </c>
      <c r="P767" s="1287"/>
      <c r="Q767" s="1290" t="str">
        <f ca="1"/>
        <v>Road Run</v>
      </c>
    </row>
    <row r="768" spans="1:17" ht="27.75" hidden="1" customHeight="1" x14ac:dyDescent="0.45">
      <c r="A768" s="1289">
        <v>19</v>
      </c>
      <c r="B768" s="1285">
        <v>4</v>
      </c>
      <c r="C768" s="1285">
        <v>2.0000000000000284</v>
      </c>
      <c r="D768" s="1297">
        <v>10.999999999999964</v>
      </c>
      <c r="E768" s="1299" t="str">
        <f ca="1"/>
        <v/>
      </c>
      <c r="F768" s="1286" t="str">
        <f ca="1"/>
        <v/>
      </c>
      <c r="G768" s="1286" t="str">
        <f ca="1"/>
        <v/>
      </c>
      <c r="H768" s="1301" t="str">
        <f ca="1"/>
        <v/>
      </c>
      <c r="I768" s="1303" t="str">
        <f ca="1"/>
        <v/>
      </c>
      <c r="J768" s="1287" t="str">
        <f ca="1"/>
        <v/>
      </c>
      <c r="K768" s="1288" t="str">
        <f ca="1"/>
        <v xml:space="preserve">Description:
Details:
Aim:
</v>
      </c>
      <c r="L768" s="1287" t="str">
        <f ca="1"/>
        <v/>
      </c>
      <c r="M768" s="1287" t="str">
        <f ca="1"/>
        <v/>
      </c>
      <c r="N768" s="1287"/>
      <c r="O768" s="1323" t="str">
        <f ca="1"/>
        <v/>
      </c>
      <c r="P768" s="1287"/>
      <c r="Q768" s="1290" t="str">
        <f ca="1"/>
        <v/>
      </c>
    </row>
    <row r="769" spans="1:17" ht="27.75" hidden="1" customHeight="1" x14ac:dyDescent="0.45">
      <c r="A769" s="1289">
        <v>19</v>
      </c>
      <c r="B769" s="1285">
        <v>4</v>
      </c>
      <c r="C769" s="1285">
        <v>2.9999999999999716</v>
      </c>
      <c r="D769" s="1297">
        <v>12.000000000000036</v>
      </c>
      <c r="E769" s="1299" t="str">
        <f ca="1"/>
        <v/>
      </c>
      <c r="F769" s="1286" t="str">
        <f ca="1"/>
        <v/>
      </c>
      <c r="G769" s="1286" t="str">
        <f ca="1"/>
        <v/>
      </c>
      <c r="H769" s="1301" t="str">
        <f ca="1"/>
        <v/>
      </c>
      <c r="I769" s="1303" t="str">
        <f ca="1"/>
        <v/>
      </c>
      <c r="J769" s="1287" t="str">
        <f ca="1"/>
        <v/>
      </c>
      <c r="K769" s="1288" t="str">
        <f ca="1"/>
        <v xml:space="preserve">Description:
Details:
Aim:
</v>
      </c>
      <c r="L769" s="1287" t="str">
        <f ca="1"/>
        <v/>
      </c>
      <c r="M769" s="1287" t="str">
        <f ca="1"/>
        <v/>
      </c>
      <c r="N769" s="1287"/>
      <c r="O769" s="1323" t="str">
        <f ca="1"/>
        <v/>
      </c>
      <c r="P769" s="1287"/>
      <c r="Q769" s="1290" t="str">
        <f ca="1"/>
        <v/>
      </c>
    </row>
    <row r="770" spans="1:17" ht="27.75" hidden="1" customHeight="1" x14ac:dyDescent="0.45">
      <c r="A770" s="1289">
        <v>19</v>
      </c>
      <c r="B770" s="1285">
        <v>4</v>
      </c>
      <c r="C770" s="1285">
        <v>1</v>
      </c>
      <c r="D770" s="1297">
        <v>12.999999999999957</v>
      </c>
      <c r="E770" s="1299" t="str">
        <f ca="1"/>
        <v/>
      </c>
      <c r="F770" s="1286" t="str">
        <f ca="1"/>
        <v/>
      </c>
      <c r="G770" s="1286" t="str">
        <f ca="1"/>
        <v/>
      </c>
      <c r="H770" s="1301" t="str">
        <f ca="1"/>
        <v>Efforts of: 1km x3
And recoveries of: 1 minutes</v>
      </c>
      <c r="I770" s="1303" t="str">
        <f ca="1"/>
        <v/>
      </c>
      <c r="J770" s="1287" t="str">
        <f ca="1"/>
        <v/>
      </c>
      <c r="K770" s="1288" t="str">
        <f ca="1"/>
        <v xml:space="preserve">Intervals:
Efforts of: 1km x3
And recoveries of: 1 minutes
Description:
Details:
Aim:
</v>
      </c>
      <c r="L770" s="1287" t="str">
        <f ca="1"/>
        <v/>
      </c>
      <c r="M770" s="1287" t="str">
        <f ca="1"/>
        <v/>
      </c>
      <c r="N770" s="1287"/>
      <c r="O770" s="1323" t="str">
        <f ca="1"/>
        <v/>
      </c>
      <c r="P770" s="1287"/>
      <c r="Q770" s="1290" t="str">
        <f ca="1"/>
        <v/>
      </c>
    </row>
    <row r="771" spans="1:17" ht="27.75" hidden="1" customHeight="1" x14ac:dyDescent="0.45">
      <c r="A771" s="1289">
        <v>19</v>
      </c>
      <c r="B771" s="1285">
        <v>5</v>
      </c>
      <c r="C771" s="1285">
        <v>1.9999999999999432</v>
      </c>
      <c r="D771" s="1297">
        <v>14.000000000000028</v>
      </c>
      <c r="E771" s="1299" t="str">
        <f ca="1"/>
        <v/>
      </c>
      <c r="F771" s="1286" t="str">
        <f ca="1"/>
        <v/>
      </c>
      <c r="G771" s="1286" t="str">
        <f ca="1"/>
        <v/>
      </c>
      <c r="H771" s="1301" t="str">
        <f ca="1"/>
        <v/>
      </c>
      <c r="I771" s="1303" t="str">
        <f ca="1"/>
        <v/>
      </c>
      <c r="J771" s="1287" t="str">
        <f ca="1"/>
        <v/>
      </c>
      <c r="K771" s="1288" t="str">
        <f ca="1"/>
        <v xml:space="preserve">Description:
Details:
Aim:
</v>
      </c>
      <c r="L771" s="1287" t="str">
        <f ca="1"/>
        <v/>
      </c>
      <c r="M771" s="1287" t="str">
        <f ca="1"/>
        <v/>
      </c>
      <c r="N771" s="1287"/>
      <c r="O771" s="1323" t="str">
        <f ca="1"/>
        <v/>
      </c>
      <c r="P771" s="1287"/>
      <c r="Q771" s="1290" t="str">
        <f ca="1"/>
        <v/>
      </c>
    </row>
    <row r="772" spans="1:17" ht="27.75" hidden="1" customHeight="1" x14ac:dyDescent="0.45">
      <c r="A772" s="1289">
        <v>19</v>
      </c>
      <c r="B772" s="1285">
        <v>5</v>
      </c>
      <c r="C772" s="1285">
        <v>3.0000000000000568</v>
      </c>
      <c r="D772" s="1297">
        <v>14.99999999999995</v>
      </c>
      <c r="E772" s="1299" t="str">
        <f ca="1"/>
        <v/>
      </c>
      <c r="F772" s="1286" t="str">
        <f ca="1"/>
        <v/>
      </c>
      <c r="G772" s="1286" t="str">
        <f ca="1"/>
        <v/>
      </c>
      <c r="H772" s="1301" t="str">
        <f ca="1"/>
        <v/>
      </c>
      <c r="I772" s="1303" t="str">
        <f ca="1"/>
        <v/>
      </c>
      <c r="J772" s="1287" t="str">
        <f ca="1"/>
        <v/>
      </c>
      <c r="K772" s="1288" t="str">
        <f ca="1"/>
        <v xml:space="preserve">Description:
Details:
Aim:
</v>
      </c>
      <c r="L772" s="1287" t="str">
        <f ca="1"/>
        <v/>
      </c>
      <c r="M772" s="1287" t="str">
        <f ca="1"/>
        <v/>
      </c>
      <c r="N772" s="1287"/>
      <c r="O772" s="1323" t="str">
        <f ca="1"/>
        <v/>
      </c>
      <c r="P772" s="1287"/>
      <c r="Q772" s="1290" t="str">
        <f ca="1"/>
        <v/>
      </c>
    </row>
    <row r="773" spans="1:17" ht="27.75" hidden="1" customHeight="1" x14ac:dyDescent="0.45">
      <c r="A773" s="1289">
        <v>19</v>
      </c>
      <c r="B773" s="1285">
        <v>6</v>
      </c>
      <c r="C773" s="1285">
        <v>1</v>
      </c>
      <c r="D773" s="1297">
        <v>16.000000000000021</v>
      </c>
      <c r="E773" s="1299" t="str">
        <f ca="1"/>
        <v>Stay at a comfortable and controlled intensity where you should be able to have a conversation without large pauses. Keep an even intensity and accept that your pace may change as the terrain changes.</v>
      </c>
      <c r="F773" s="1286" t="str">
        <f ca="1"/>
        <v>Sport: Road Run
WU/WD: No 
Effort Total: 40 minutes
HR Target: 138 BPM
HR Range: 129 - 148 BPM 
Flat Road Equivalent Pace: 4:39 min/km</v>
      </c>
      <c r="G773" s="1286" t="str">
        <f ca="1"/>
        <v xml:space="preserve">Improve aerobic fitness while minimising the chance of injury. </v>
      </c>
      <c r="H773" s="1301" t="str">
        <f ca="1"/>
        <v/>
      </c>
      <c r="I773" s="1303" t="str">
        <f ca="1"/>
        <v>Easy road run: 40 minutes</v>
      </c>
      <c r="J773" s="1287" t="str">
        <f ca="1"/>
        <v>Running</v>
      </c>
      <c r="K773" s="1288" t="str">
        <f ca="1"/>
        <v xml:space="preserve">Description:
Stay at a comfortable and controlled intensity where you should be able to have a conversation without large pauses. Keep an even intensity and accept that your pace may change as the terrain changes.
Details:
Sport: Road Run
WU/WD: No 
Effort Total: 40 minutes
HR Target: 138 BPM
HR Range: 129 - 148 BPM 
Flat Road Equivalent Pace: 4:39 min/km
Aim:
Improve aerobic fitness while minimising the chance of injury. </v>
      </c>
      <c r="L773" s="1287">
        <f ca="1"/>
        <v>10</v>
      </c>
      <c r="M773" s="1287">
        <f ca="1"/>
        <v>0.66666666666666663</v>
      </c>
      <c r="N773" s="1287"/>
      <c r="O773" s="1323" t="str">
        <f ca="1"/>
        <v>2019-02-06 18:00</v>
      </c>
      <c r="P773" s="1287"/>
      <c r="Q773" s="1290" t="str">
        <f ca="1"/>
        <v>Road Run</v>
      </c>
    </row>
    <row r="774" spans="1:17" ht="27.75" hidden="1" customHeight="1" x14ac:dyDescent="0.45">
      <c r="A774" s="1289">
        <v>19</v>
      </c>
      <c r="B774" s="1285">
        <v>6</v>
      </c>
      <c r="C774" s="1285">
        <v>1.9999999999999432</v>
      </c>
      <c r="D774" s="1297">
        <v>16.999999999999943</v>
      </c>
      <c r="E774" s="1299" t="str">
        <f ca="1"/>
        <v>Do these either in the middlle or at the end of the session. Accelerate to just below sprint speed for 50 - 100 meters and use form focuses to enhance your technique. Walk back to the start before starting the next stride out.</v>
      </c>
      <c r="F774" s="1286" t="str">
        <f ca="1"/>
        <v>Sport: Road Run
WU/WD: 15 minutes 
Effort Total: 45 minutes
HR Target: 148 BPM
HR Range: 138 - 157 BPM 
Flat Road Equivalent Pace: 4:14 min/km</v>
      </c>
      <c r="G774" s="1286" t="str">
        <f ca="1"/>
        <v>Improve running mechanics.</v>
      </c>
      <c r="H774" s="1301" t="str">
        <f ca="1"/>
        <v/>
      </c>
      <c r="I774" s="1303" t="str">
        <f ca="1"/>
        <v>45 stride outs</v>
      </c>
      <c r="J774" s="1287" t="str">
        <f ca="1"/>
        <v>Running</v>
      </c>
      <c r="K774" s="1288" t="str">
        <f ca="1"/>
        <v>Description:
Do these either in the middlle or at the end of the session. Accelerate to just below sprint speed for 50 - 100 meters and use form focuses to enhance your technique. Walk back to the start before starting the next stride out.
Details:
Sport: Road Run
WU/WD: 15 minutes 
Effort Total: 45 minutes
HR Target: 148 BPM
HR Range: 138 - 157 BPM 
Flat Road Equivalent Pace: 4:14 min/km
Aim:
Improve running mechanics.</v>
      </c>
      <c r="L774" s="1287">
        <f ca="1"/>
        <v>10</v>
      </c>
      <c r="M774" s="1287">
        <f ca="1"/>
        <v>0.75</v>
      </c>
      <c r="N774" s="1287"/>
      <c r="O774" s="1323" t="str">
        <f ca="1"/>
        <v>2019-02-06 20:00</v>
      </c>
      <c r="P774" s="1287"/>
      <c r="Q774" s="1290" t="str">
        <f ca="1"/>
        <v>Road Run</v>
      </c>
    </row>
    <row r="775" spans="1:17" ht="27.75" hidden="1" customHeight="1" x14ac:dyDescent="0.45">
      <c r="A775" s="1289">
        <v>19</v>
      </c>
      <c r="B775" s="1285">
        <v>6</v>
      </c>
      <c r="C775" s="1285">
        <v>3.0000000000000568</v>
      </c>
      <c r="D775" s="1297">
        <v>18.000000000000014</v>
      </c>
      <c r="E775" s="1299" t="str">
        <f ca="1"/>
        <v/>
      </c>
      <c r="F775" s="1286" t="str">
        <f ca="1"/>
        <v/>
      </c>
      <c r="G775" s="1286" t="str">
        <f ca="1"/>
        <v/>
      </c>
      <c r="H775" s="1301" t="str">
        <f ca="1"/>
        <v/>
      </c>
      <c r="I775" s="1303" t="str">
        <f ca="1"/>
        <v/>
      </c>
      <c r="J775" s="1287" t="str">
        <f ca="1"/>
        <v/>
      </c>
      <c r="K775" s="1288" t="str">
        <f ca="1"/>
        <v xml:space="preserve">Description:
Details:
Aim:
</v>
      </c>
      <c r="L775" s="1287" t="str">
        <f ca="1"/>
        <v/>
      </c>
      <c r="M775" s="1287" t="str">
        <f ca="1"/>
        <v/>
      </c>
      <c r="N775" s="1287"/>
      <c r="O775" s="1323" t="str">
        <f ca="1"/>
        <v/>
      </c>
      <c r="P775" s="1287"/>
      <c r="Q775" s="1290" t="str">
        <f ca="1"/>
        <v/>
      </c>
    </row>
    <row r="776" spans="1:17" ht="27.75" hidden="1" customHeight="1" x14ac:dyDescent="0.45">
      <c r="A776" s="1289">
        <v>19</v>
      </c>
      <c r="B776" s="1285">
        <v>6</v>
      </c>
      <c r="C776" s="1285">
        <v>1</v>
      </c>
      <c r="D776" s="1297">
        <v>18.999999999999936</v>
      </c>
      <c r="E776" s="1299" t="str">
        <f ca="1"/>
        <v>Stay at a comfortable and controlled intensity where you should be able to have a conversation without large pauses. Keep an even intensity and accept that your pace may change as the terrain changes.</v>
      </c>
      <c r="F776" s="1286" t="str">
        <f ca="1"/>
        <v>Sport: Road Run
WU/WD: No 
Effort Total: 20 minutes
HR Target: 138 BPM
HR Range: 129 - 148 BPM 
Flat Road Equivalent Pace: 4:39 min/km</v>
      </c>
      <c r="G776" s="1286" t="str">
        <f ca="1"/>
        <v xml:space="preserve">Improve aerobic fitness while minimising the chance of injury. </v>
      </c>
      <c r="H776" s="1301" t="str">
        <f ca="1"/>
        <v/>
      </c>
      <c r="I776" s="1303" t="str">
        <f ca="1"/>
        <v>Easy road run: 20 minutes</v>
      </c>
      <c r="J776" s="1287" t="str">
        <f ca="1"/>
        <v>Running</v>
      </c>
      <c r="K776" s="1288" t="str">
        <f ca="1"/>
        <v xml:space="preserve">Description:
Stay at a comfortable and controlled intensity where you should be able to have a conversation without large pauses. Keep an even intensity and accept that your pace may change as the terrain changes.
Details:
Sport: Road Run
WU/WD: No 
Effort Total: 20 minutes
HR Target: 138 BPM
HR Range: 129 - 148 BPM 
Flat Road Equivalent Pace: 4:39 min/km
Aim:
Improve aerobic fitness while minimising the chance of injury. </v>
      </c>
      <c r="L776" s="1287">
        <f ca="1"/>
        <v>10</v>
      </c>
      <c r="M776" s="1287">
        <f ca="1"/>
        <v>0.33333333333333331</v>
      </c>
      <c r="N776" s="1287"/>
      <c r="O776" s="1323" t="str">
        <f ca="1"/>
        <v>2019-02-06 18:00</v>
      </c>
      <c r="P776" s="1287"/>
      <c r="Q776" s="1290" t="str">
        <f ca="1"/>
        <v>Road Run</v>
      </c>
    </row>
    <row r="777" spans="1:17" ht="27.75" hidden="1" customHeight="1" x14ac:dyDescent="0.45">
      <c r="A777" s="1289">
        <v>19</v>
      </c>
      <c r="B777" s="1285">
        <v>7</v>
      </c>
      <c r="C777" s="1285">
        <v>1.9999999999999432</v>
      </c>
      <c r="D777" s="1297">
        <v>20.000000000000007</v>
      </c>
      <c r="E777" s="1299" t="str">
        <f ca="1"/>
        <v/>
      </c>
      <c r="F777" s="1286" t="str">
        <f ca="1"/>
        <v/>
      </c>
      <c r="G777" s="1286" t="str">
        <f ca="1"/>
        <v/>
      </c>
      <c r="H777" s="1301" t="str">
        <f ca="1"/>
        <v/>
      </c>
      <c r="I777" s="1303" t="str">
        <f ca="1"/>
        <v/>
      </c>
      <c r="J777" s="1287" t="str">
        <f ca="1"/>
        <v/>
      </c>
      <c r="K777" s="1288" t="str">
        <f ca="1"/>
        <v xml:space="preserve">Description:
Details:
Aim:
</v>
      </c>
      <c r="L777" s="1287" t="str">
        <f ca="1"/>
        <v/>
      </c>
      <c r="M777" s="1287" t="str">
        <f ca="1"/>
        <v/>
      </c>
      <c r="N777" s="1287"/>
      <c r="O777" s="1323" t="str">
        <f ca="1"/>
        <v/>
      </c>
      <c r="P777" s="1287"/>
      <c r="Q777" s="1290" t="str">
        <f ca="1"/>
        <v/>
      </c>
    </row>
    <row r="778" spans="1:17" ht="27.75" hidden="1" customHeight="1" x14ac:dyDescent="0.45">
      <c r="A778" s="1289">
        <v>19</v>
      </c>
      <c r="B778" s="1285">
        <v>7</v>
      </c>
      <c r="C778" s="1285">
        <v>3.0000000000000568</v>
      </c>
      <c r="D778" s="1297">
        <v>20.999999999999929</v>
      </c>
      <c r="E778" s="1299" t="str">
        <f ca="1"/>
        <v/>
      </c>
      <c r="F778" s="1286" t="str">
        <f ca="1"/>
        <v/>
      </c>
      <c r="G778" s="1286" t="str">
        <f ca="1"/>
        <v/>
      </c>
      <c r="H778" s="1301" t="str">
        <f ca="1"/>
        <v/>
      </c>
      <c r="I778" s="1303" t="str">
        <f ca="1"/>
        <v/>
      </c>
      <c r="J778" s="1287" t="str">
        <f ca="1"/>
        <v/>
      </c>
      <c r="K778" s="1288" t="str">
        <f ca="1"/>
        <v xml:space="preserve">Description:
Details:
Aim:
</v>
      </c>
      <c r="L778" s="1287" t="str">
        <f ca="1"/>
        <v/>
      </c>
      <c r="M778" s="1287" t="str">
        <f ca="1"/>
        <v/>
      </c>
      <c r="N778" s="1287"/>
      <c r="O778" s="1323" t="str">
        <f ca="1"/>
        <v/>
      </c>
      <c r="P778" s="1287"/>
      <c r="Q778" s="1290" t="str">
        <f ca="1"/>
        <v/>
      </c>
    </row>
    <row r="779" spans="1:17" ht="27.75" hidden="1" customHeight="1" x14ac:dyDescent="0.45">
      <c r="A779" s="1289">
        <v>19</v>
      </c>
      <c r="B779" s="1285">
        <v>8</v>
      </c>
      <c r="C779" s="1285">
        <v>1</v>
      </c>
      <c r="D779" s="1297">
        <v>22</v>
      </c>
      <c r="E779" s="1299" t="str">
        <f ca="1"/>
        <v/>
      </c>
      <c r="F779" s="1286" t="str">
        <f ca="1"/>
        <v/>
      </c>
      <c r="G779" s="1286" t="str">
        <f ca="1"/>
        <v/>
      </c>
      <c r="H779" s="1301" t="str">
        <f ca="1"/>
        <v/>
      </c>
      <c r="I779" s="1303" t="str">
        <f ca="1"/>
        <v/>
      </c>
      <c r="J779" s="1287" t="str">
        <f ca="1"/>
        <v/>
      </c>
      <c r="K779" s="1288" t="str">
        <f ca="1"/>
        <v xml:space="preserve">Description:
Details:
Aim:
</v>
      </c>
      <c r="L779" s="1287" t="str">
        <f ca="1"/>
        <v/>
      </c>
      <c r="M779" s="1287" t="str">
        <f ca="1"/>
        <v/>
      </c>
      <c r="N779" s="1287"/>
      <c r="O779" s="1323" t="str">
        <f ca="1"/>
        <v/>
      </c>
      <c r="P779" s="1287"/>
      <c r="Q779" s="1290" t="str">
        <f ca="1"/>
        <v/>
      </c>
    </row>
    <row r="780" spans="1:17" ht="27.75" hidden="1" customHeight="1" x14ac:dyDescent="0.45">
      <c r="A780" s="1289">
        <v>19</v>
      </c>
      <c r="B780" s="1285">
        <v>8</v>
      </c>
      <c r="C780" s="1285">
        <v>1.9999999999999432</v>
      </c>
      <c r="D780" s="1297">
        <v>23.000000000000071</v>
      </c>
      <c r="E780" s="1299" t="str">
        <f ca="1"/>
        <v/>
      </c>
      <c r="F780" s="1286" t="str">
        <f ca="1"/>
        <v/>
      </c>
      <c r="G780" s="1286" t="str">
        <f ca="1"/>
        <v/>
      </c>
      <c r="H780" s="1301" t="str">
        <f ca="1"/>
        <v/>
      </c>
      <c r="I780" s="1303" t="str">
        <f ca="1"/>
        <v/>
      </c>
      <c r="J780" s="1287" t="str">
        <f ca="1"/>
        <v/>
      </c>
      <c r="K780" s="1288" t="str">
        <f ca="1"/>
        <v xml:space="preserve">Description:
Details:
Aim:
</v>
      </c>
      <c r="L780" s="1287" t="str">
        <f ca="1"/>
        <v/>
      </c>
      <c r="M780" s="1287" t="str">
        <f ca="1"/>
        <v/>
      </c>
      <c r="N780" s="1287"/>
      <c r="O780" s="1323" t="str">
        <f ca="1"/>
        <v/>
      </c>
      <c r="P780" s="1287"/>
      <c r="Q780" s="1290" t="str">
        <f ca="1"/>
        <v/>
      </c>
    </row>
    <row r="781" spans="1:17" ht="27.75" hidden="1" customHeight="1" x14ac:dyDescent="0.45">
      <c r="A781" s="1289">
        <v>19</v>
      </c>
      <c r="B781" s="1285">
        <v>8</v>
      </c>
      <c r="C781" s="1285">
        <v>3.0000000000000568</v>
      </c>
      <c r="D781" s="1297">
        <v>23.999999999999993</v>
      </c>
      <c r="E781" s="1299" t="str">
        <f ca="1"/>
        <v/>
      </c>
      <c r="F781" s="1286" t="str">
        <f ca="1"/>
        <v/>
      </c>
      <c r="G781" s="1286" t="str">
        <f ca="1"/>
        <v/>
      </c>
      <c r="H781" s="1301" t="str">
        <f ca="1"/>
        <v/>
      </c>
      <c r="I781" s="1303" t="str">
        <f ca="1"/>
        <v/>
      </c>
      <c r="J781" s="1287" t="str">
        <f ca="1"/>
        <v/>
      </c>
      <c r="K781" s="1288" t="str">
        <f ca="1"/>
        <v xml:space="preserve">Description:
Details:
Aim:
</v>
      </c>
      <c r="L781" s="1287" t="str">
        <f ca="1"/>
        <v/>
      </c>
      <c r="M781" s="1287" t="str">
        <f ca="1"/>
        <v/>
      </c>
      <c r="N781" s="1287"/>
      <c r="O781" s="1323" t="str">
        <f ca="1"/>
        <v/>
      </c>
      <c r="P781" s="1287"/>
      <c r="Q781" s="1290" t="str">
        <f ca="1"/>
        <v/>
      </c>
    </row>
    <row r="782" spans="1:17" ht="27.75" hidden="1" customHeight="1" x14ac:dyDescent="0.45">
      <c r="A782" s="1289">
        <v>19</v>
      </c>
      <c r="B782" s="1285">
        <v>9</v>
      </c>
      <c r="C782" s="1285">
        <v>1</v>
      </c>
      <c r="D782" s="1297">
        <v>25.000000000000064</v>
      </c>
      <c r="E782" s="1299" t="str">
        <f ca="1"/>
        <v>Stay at a comfortable and controlled intensity where you should be able to have a conversation without large pauses. Keep an even intensity and accept that your pace may change as the terrain changes.</v>
      </c>
      <c r="F782" s="1286" t="str">
        <f ca="1"/>
        <v>Sport: Road Run
WU/WD: No 
Effort Total: 30 minutes
HR Target: 138 BPM
HR Range: 129 - 148 BPM 
Flat Road Equivalent Pace: 4:39 min/km</v>
      </c>
      <c r="G782" s="1286" t="str">
        <f ca="1"/>
        <v xml:space="preserve">Improve aerobic fitness while minimising the chance of injury. </v>
      </c>
      <c r="H782" s="1301" t="str">
        <f ca="1"/>
        <v/>
      </c>
      <c r="I782" s="1303" t="str">
        <f ca="1"/>
        <v>Easy road run: 30 minutes</v>
      </c>
      <c r="J782" s="1287" t="str">
        <f ca="1"/>
        <v>Running</v>
      </c>
      <c r="K782" s="1288" t="str">
        <f ca="1"/>
        <v xml:space="preserve">Description:
Stay at a comfortable and controlled intensity where you should be able to have a conversation without large pauses. Keep an even intensity and accept that your pace may change as the terrain changes.
Details:
Sport: Road Run
WU/WD: No 
Effort Total: 30 minutes
HR Target: 138 BPM
HR Range: 129 - 148 BPM 
Flat Road Equivalent Pace: 4:39 min/km
Aim:
Improve aerobic fitness while minimising the chance of injury. </v>
      </c>
      <c r="L782" s="1287">
        <f ca="1"/>
        <v>6</v>
      </c>
      <c r="M782" s="1287">
        <f ca="1"/>
        <v>0.5</v>
      </c>
      <c r="N782" s="1287"/>
      <c r="O782" s="1323" t="str">
        <f ca="1"/>
        <v>2019-02-08 06:00</v>
      </c>
      <c r="P782" s="1287"/>
      <c r="Q782" s="1290" t="str">
        <f ca="1"/>
        <v>Road Run</v>
      </c>
    </row>
    <row r="783" spans="1:17" ht="27.75" hidden="1" customHeight="1" x14ac:dyDescent="0.45">
      <c r="A783" s="1289">
        <v>19</v>
      </c>
      <c r="B783" s="1285">
        <v>9</v>
      </c>
      <c r="C783" s="1285">
        <v>1.9999999999999432</v>
      </c>
      <c r="D783" s="1297">
        <v>25.999999999999986</v>
      </c>
      <c r="E783" s="1299" t="str">
        <f ca="1"/>
        <v/>
      </c>
      <c r="F783" s="1286" t="str">
        <f ca="1"/>
        <v/>
      </c>
      <c r="G783" s="1286" t="str">
        <f ca="1"/>
        <v/>
      </c>
      <c r="H783" s="1301" t="str">
        <f ca="1"/>
        <v/>
      </c>
      <c r="I783" s="1303" t="str">
        <f ca="1"/>
        <v/>
      </c>
      <c r="J783" s="1287" t="str">
        <f ca="1"/>
        <v/>
      </c>
      <c r="K783" s="1288" t="str">
        <f ca="1"/>
        <v xml:space="preserve">Description:
Details:
Aim:
</v>
      </c>
      <c r="L783" s="1287" t="str">
        <f ca="1"/>
        <v/>
      </c>
      <c r="M783" s="1287" t="str">
        <f ca="1"/>
        <v/>
      </c>
      <c r="N783" s="1287"/>
      <c r="O783" s="1323" t="str">
        <f ca="1"/>
        <v/>
      </c>
      <c r="P783" s="1287"/>
      <c r="Q783" s="1290" t="str">
        <f ca="1"/>
        <v/>
      </c>
    </row>
    <row r="784" spans="1:17" ht="27.75" hidden="1" customHeight="1" x14ac:dyDescent="0.45">
      <c r="A784" s="1289">
        <v>19</v>
      </c>
      <c r="B784" s="1285">
        <v>9</v>
      </c>
      <c r="C784" s="1285">
        <v>3.0000000000000568</v>
      </c>
      <c r="D784" s="1297">
        <v>27.000000000000057</v>
      </c>
      <c r="E784" s="1299" t="str">
        <f ca="1"/>
        <v/>
      </c>
      <c r="F784" s="1286" t="str">
        <f ca="1"/>
        <v/>
      </c>
      <c r="G784" s="1286" t="str">
        <f ca="1"/>
        <v/>
      </c>
      <c r="H784" s="1301" t="str">
        <f ca="1"/>
        <v/>
      </c>
      <c r="I784" s="1303" t="str">
        <f ca="1"/>
        <v/>
      </c>
      <c r="J784" s="1287" t="str">
        <f ca="1"/>
        <v/>
      </c>
      <c r="K784" s="1288" t="str">
        <f ca="1"/>
        <v xml:space="preserve">Description:
Details:
Aim:
</v>
      </c>
      <c r="L784" s="1287" t="str">
        <f ca="1"/>
        <v/>
      </c>
      <c r="M784" s="1287" t="str">
        <f ca="1"/>
        <v/>
      </c>
      <c r="N784" s="1287"/>
      <c r="O784" s="1323" t="str">
        <f ca="1"/>
        <v/>
      </c>
      <c r="P784" s="1287"/>
      <c r="Q784" s="1290" t="str">
        <f ca="1"/>
        <v/>
      </c>
    </row>
    <row r="785" spans="1:17" ht="27.75" hidden="1" customHeight="1" x14ac:dyDescent="0.45">
      <c r="A785" s="1289">
        <v>19</v>
      </c>
      <c r="B785" s="1285">
        <v>9</v>
      </c>
      <c r="C785" s="1285">
        <v>1</v>
      </c>
      <c r="D785" s="1297">
        <v>27.999999999999979</v>
      </c>
      <c r="E785" s="1299" t="str">
        <f ca="1"/>
        <v/>
      </c>
      <c r="F785" s="1286" t="str">
        <f ca="1"/>
        <v/>
      </c>
      <c r="G785" s="1286" t="str">
        <f ca="1"/>
        <v/>
      </c>
      <c r="H785" s="1301" t="str">
        <f ca="1"/>
        <v/>
      </c>
      <c r="I785" s="1303" t="str">
        <f ca="1"/>
        <v/>
      </c>
      <c r="J785" s="1287" t="str">
        <f ca="1"/>
        <v/>
      </c>
      <c r="K785" s="1288" t="str">
        <f ca="1"/>
        <v xml:space="preserve">Description:
Details:
Aim:
</v>
      </c>
      <c r="L785" s="1287" t="str">
        <f ca="1"/>
        <v/>
      </c>
      <c r="M785" s="1287" t="str">
        <f ca="1"/>
        <v/>
      </c>
      <c r="N785" s="1287"/>
      <c r="O785" s="1323" t="str">
        <f ca="1"/>
        <v/>
      </c>
      <c r="P785" s="1287"/>
      <c r="Q785" s="1290" t="str">
        <f ca="1"/>
        <v/>
      </c>
    </row>
    <row r="786" spans="1:17" ht="27.75" hidden="1" customHeight="1" x14ac:dyDescent="0.45">
      <c r="A786" s="1289">
        <v>19</v>
      </c>
      <c r="B786" s="1285">
        <v>10</v>
      </c>
      <c r="C786" s="1285">
        <v>1.9999999999999432</v>
      </c>
      <c r="D786" s="1297">
        <v>29.00000000000005</v>
      </c>
      <c r="E786" s="1299" t="str">
        <f ca="1"/>
        <v/>
      </c>
      <c r="F786" s="1286" t="str">
        <f ca="1"/>
        <v/>
      </c>
      <c r="G786" s="1286" t="str">
        <f ca="1"/>
        <v/>
      </c>
      <c r="H786" s="1301" t="str">
        <f ca="1"/>
        <v/>
      </c>
      <c r="I786" s="1303" t="str">
        <f ca="1"/>
        <v/>
      </c>
      <c r="J786" s="1287" t="str">
        <f ca="1"/>
        <v/>
      </c>
      <c r="K786" s="1288" t="str">
        <f ca="1"/>
        <v xml:space="preserve">Description:
Details:
Aim:
</v>
      </c>
      <c r="L786" s="1287" t="str">
        <f ca="1"/>
        <v/>
      </c>
      <c r="M786" s="1287" t="str">
        <f ca="1"/>
        <v/>
      </c>
      <c r="N786" s="1287"/>
      <c r="O786" s="1323" t="str">
        <f ca="1"/>
        <v/>
      </c>
      <c r="P786" s="1287"/>
      <c r="Q786" s="1290" t="str">
        <f ca="1"/>
        <v/>
      </c>
    </row>
    <row r="787" spans="1:17" ht="27.75" hidden="1" customHeight="1" x14ac:dyDescent="0.45">
      <c r="A787" s="1289">
        <v>19</v>
      </c>
      <c r="B787" s="1285">
        <v>10</v>
      </c>
      <c r="C787" s="1285">
        <v>3.0000000000000568</v>
      </c>
      <c r="D787" s="1297">
        <v>29.999999999999972</v>
      </c>
      <c r="E787" s="1299" t="str">
        <f ca="1"/>
        <v/>
      </c>
      <c r="F787" s="1286" t="str">
        <f ca="1"/>
        <v/>
      </c>
      <c r="G787" s="1286" t="str">
        <f ca="1"/>
        <v/>
      </c>
      <c r="H787" s="1301" t="str">
        <f ca="1"/>
        <v/>
      </c>
      <c r="I787" s="1303" t="str">
        <f ca="1"/>
        <v/>
      </c>
      <c r="J787" s="1287" t="str">
        <f ca="1"/>
        <v/>
      </c>
      <c r="K787" s="1288" t="str">
        <f ca="1"/>
        <v xml:space="preserve">Description:
Details:
Aim:
</v>
      </c>
      <c r="L787" s="1287" t="str">
        <f ca="1"/>
        <v/>
      </c>
      <c r="M787" s="1287" t="str">
        <f ca="1"/>
        <v/>
      </c>
      <c r="N787" s="1287"/>
      <c r="O787" s="1323" t="str">
        <f ca="1"/>
        <v/>
      </c>
      <c r="P787" s="1287"/>
      <c r="Q787" s="1290" t="str">
        <f ca="1"/>
        <v/>
      </c>
    </row>
    <row r="788" spans="1:17" ht="27.75" hidden="1" customHeight="1" x14ac:dyDescent="0.45">
      <c r="A788" s="1289">
        <v>19</v>
      </c>
      <c r="B788" s="1285">
        <v>11</v>
      </c>
      <c r="C788" s="1285">
        <v>1</v>
      </c>
      <c r="D788" s="1297">
        <v>31.000000000000043</v>
      </c>
      <c r="E788" s="1299" t="str">
        <f ca="1"/>
        <v>The exact intensity will change depending on the length of the race. This optimum intensity can be found though a mix of natural urgency and reasoning with what your body is telling you.</v>
      </c>
      <c r="F788" s="1286" t="str">
        <f ca="1"/>
        <v>Sport: Hilly Trail Run
WU/WD: 15 minutes 
Effort Total: 180 minutes
HR Target: 168 BPM
HR Range: N/A BPM 
Flat Road Equivalent Pace: 3:34 min/km</v>
      </c>
      <c r="G788" s="1286" t="str">
        <f ca="1"/>
        <v>Push your physical and mental limits and put tactics and techniques to the test.</v>
      </c>
      <c r="H788" s="1301" t="str">
        <f ca="1"/>
        <v/>
      </c>
      <c r="I788" s="1303" t="str">
        <f ca="1"/>
        <v>Race: 180 minutes + WU/WD</v>
      </c>
      <c r="J788" s="1287" t="str">
        <f ca="1"/>
        <v>Trail Running</v>
      </c>
      <c r="K788" s="1288" t="str">
        <f ca="1"/>
        <v>Description:
The exact intensity will change depending on the length of the race. This optimum intensity can be found though a mix of natural urgency and reasoning with what your body is telling you.
Details:
Sport: Hilly Trail Run
WU/WD: 15 minutes 
Effort Total: 180 minutes
HR Target: 168 BPM
HR Range: N/A BPM 
Flat Road Equivalent Pace: 3:34 min/km
Aim:
Push your physical and mental limits and put tactics and techniques to the test.</v>
      </c>
      <c r="L788" s="1287">
        <f ca="1"/>
        <v>90</v>
      </c>
      <c r="M788" s="1287">
        <f ca="1"/>
        <v>3</v>
      </c>
      <c r="N788" s="1287"/>
      <c r="O788" s="1323" t="str">
        <f ca="1"/>
        <v>2019-02-09 06:00</v>
      </c>
      <c r="P788" s="1287"/>
      <c r="Q788" s="1290" t="str">
        <f ca="1"/>
        <v>Hilly Trail Run</v>
      </c>
    </row>
    <row r="789" spans="1:17" ht="27.75" hidden="1" customHeight="1" x14ac:dyDescent="0.45">
      <c r="A789" s="1289">
        <v>19</v>
      </c>
      <c r="B789" s="1285">
        <v>11</v>
      </c>
      <c r="C789" s="1285">
        <v>1.9999999999999432</v>
      </c>
      <c r="D789" s="1297">
        <v>31.999999999999964</v>
      </c>
      <c r="E789" s="1299" t="str">
        <f ca="1"/>
        <v/>
      </c>
      <c r="F789" s="1286" t="str">
        <f ca="1"/>
        <v/>
      </c>
      <c r="G789" s="1286" t="str">
        <f ca="1"/>
        <v/>
      </c>
      <c r="H789" s="1301" t="str">
        <f ca="1"/>
        <v/>
      </c>
      <c r="I789" s="1303" t="str">
        <f ca="1"/>
        <v/>
      </c>
      <c r="J789" s="1287" t="str">
        <f ca="1"/>
        <v/>
      </c>
      <c r="K789" s="1288" t="str">
        <f ca="1"/>
        <v xml:space="preserve">Description:
Details:
Aim:
</v>
      </c>
      <c r="L789" s="1287" t="str">
        <f ca="1"/>
        <v/>
      </c>
      <c r="M789" s="1287" t="str">
        <f ca="1"/>
        <v/>
      </c>
      <c r="N789" s="1287"/>
      <c r="O789" s="1323" t="str">
        <f ca="1"/>
        <v/>
      </c>
      <c r="P789" s="1287"/>
      <c r="Q789" s="1290" t="str">
        <f ca="1"/>
        <v/>
      </c>
    </row>
    <row r="790" spans="1:17" ht="27.75" hidden="1" customHeight="1" x14ac:dyDescent="0.45">
      <c r="A790" s="1289">
        <v>19</v>
      </c>
      <c r="B790" s="1285">
        <v>11</v>
      </c>
      <c r="C790" s="1285">
        <v>3.0000000000000568</v>
      </c>
      <c r="D790" s="1297">
        <v>33.000000000000036</v>
      </c>
      <c r="E790" s="1299" t="str">
        <f ca="1"/>
        <v/>
      </c>
      <c r="F790" s="1286" t="str">
        <f ca="1"/>
        <v/>
      </c>
      <c r="G790" s="1286" t="str">
        <f ca="1"/>
        <v/>
      </c>
      <c r="H790" s="1301" t="str">
        <f ca="1"/>
        <v/>
      </c>
      <c r="I790" s="1303" t="str">
        <f ca="1"/>
        <v/>
      </c>
      <c r="J790" s="1287" t="str">
        <f ca="1"/>
        <v/>
      </c>
      <c r="K790" s="1288" t="str">
        <f ca="1"/>
        <v xml:space="preserve">Description:
Details:
Aim:
</v>
      </c>
      <c r="L790" s="1287" t="str">
        <f ca="1"/>
        <v/>
      </c>
      <c r="M790" s="1287" t="str">
        <f ca="1"/>
        <v/>
      </c>
      <c r="N790" s="1287"/>
      <c r="O790" s="1323" t="str">
        <f ca="1"/>
        <v/>
      </c>
      <c r="P790" s="1287"/>
      <c r="Q790" s="1290" t="str">
        <f ca="1"/>
        <v/>
      </c>
    </row>
    <row r="791" spans="1:17" ht="27.75" hidden="1" customHeight="1" x14ac:dyDescent="0.45">
      <c r="A791" s="1289">
        <v>19</v>
      </c>
      <c r="B791" s="1285">
        <v>12</v>
      </c>
      <c r="C791" s="1285">
        <v>1</v>
      </c>
      <c r="D791" s="1297">
        <v>33.999999999999957</v>
      </c>
      <c r="E791" s="1299" t="str">
        <f ca="1"/>
        <v/>
      </c>
      <c r="F791" s="1286" t="str">
        <f ca="1"/>
        <v/>
      </c>
      <c r="G791" s="1286" t="str">
        <f ca="1"/>
        <v/>
      </c>
      <c r="H791" s="1301" t="str">
        <f ca="1"/>
        <v/>
      </c>
      <c r="I791" s="1303" t="str">
        <f ca="1"/>
        <v/>
      </c>
      <c r="J791" s="1287" t="str">
        <f ca="1"/>
        <v/>
      </c>
      <c r="K791" s="1288" t="str">
        <f ca="1"/>
        <v xml:space="preserve">Description:
Details:
Aim:
</v>
      </c>
      <c r="L791" s="1287" t="str">
        <f ca="1"/>
        <v/>
      </c>
      <c r="M791" s="1287" t="str">
        <f ca="1"/>
        <v/>
      </c>
      <c r="N791" s="1287"/>
      <c r="O791" s="1323" t="str">
        <f ca="1"/>
        <v/>
      </c>
      <c r="P791" s="1287"/>
      <c r="Q791" s="1290" t="str">
        <f ca="1"/>
        <v/>
      </c>
    </row>
    <row r="792" spans="1:17" ht="27.75" hidden="1" customHeight="1" x14ac:dyDescent="0.45">
      <c r="A792" s="1289">
        <v>19</v>
      </c>
      <c r="B792" s="1285">
        <v>12</v>
      </c>
      <c r="C792" s="1285">
        <v>1.9999999999999432</v>
      </c>
      <c r="D792" s="1297">
        <v>35.000000000000028</v>
      </c>
      <c r="E792" s="1299" t="str">
        <f ca="1"/>
        <v/>
      </c>
      <c r="F792" s="1286" t="str">
        <f ca="1"/>
        <v/>
      </c>
      <c r="G792" s="1286" t="str">
        <f ca="1"/>
        <v/>
      </c>
      <c r="H792" s="1301" t="str">
        <f ca="1"/>
        <v/>
      </c>
      <c r="I792" s="1303" t="str">
        <f ca="1"/>
        <v/>
      </c>
      <c r="J792" s="1287" t="str">
        <f ca="1"/>
        <v/>
      </c>
      <c r="K792" s="1288" t="str">
        <f ca="1"/>
        <v xml:space="preserve">Description:
Details:
Aim:
</v>
      </c>
      <c r="L792" s="1287" t="str">
        <f ca="1"/>
        <v/>
      </c>
      <c r="M792" s="1287" t="str">
        <f ca="1"/>
        <v/>
      </c>
      <c r="N792" s="1287"/>
      <c r="O792" s="1323" t="str">
        <f ca="1"/>
        <v/>
      </c>
      <c r="P792" s="1287"/>
      <c r="Q792" s="1290" t="str">
        <f ca="1"/>
        <v/>
      </c>
    </row>
    <row r="793" spans="1:17" ht="27.75" hidden="1" customHeight="1" x14ac:dyDescent="0.45">
      <c r="A793" s="1289">
        <v>19</v>
      </c>
      <c r="B793" s="1285">
        <v>12</v>
      </c>
      <c r="C793" s="1285">
        <v>3.0000000000000568</v>
      </c>
      <c r="D793" s="1297">
        <v>35.99999999999995</v>
      </c>
      <c r="E793" s="1299" t="str">
        <f ca="1"/>
        <v/>
      </c>
      <c r="F793" s="1286" t="str">
        <f ca="1"/>
        <v/>
      </c>
      <c r="G793" s="1286" t="str">
        <f ca="1"/>
        <v/>
      </c>
      <c r="H793" s="1301" t="str">
        <f ca="1"/>
        <v/>
      </c>
      <c r="I793" s="1303" t="str">
        <f ca="1"/>
        <v/>
      </c>
      <c r="J793" s="1287" t="str">
        <f ca="1"/>
        <v/>
      </c>
      <c r="K793" s="1288" t="str">
        <f ca="1"/>
        <v xml:space="preserve">Description:
Details:
Aim:
</v>
      </c>
      <c r="L793" s="1287" t="str">
        <f ca="1"/>
        <v/>
      </c>
      <c r="M793" s="1287" t="str">
        <f ca="1"/>
        <v/>
      </c>
      <c r="N793" s="1287"/>
      <c r="O793" s="1323" t="str">
        <f ca="1"/>
        <v/>
      </c>
      <c r="P793" s="1287"/>
      <c r="Q793" s="1290" t="str">
        <f ca="1"/>
        <v/>
      </c>
    </row>
    <row r="794" spans="1:17" ht="27.75" hidden="1" customHeight="1" x14ac:dyDescent="0.45">
      <c r="A794" s="1289">
        <v>19</v>
      </c>
      <c r="B794" s="1285">
        <v>13</v>
      </c>
      <c r="C794" s="1285">
        <v>1</v>
      </c>
      <c r="D794" s="1297">
        <v>37.000000000000021</v>
      </c>
      <c r="E794" s="1299" t="str">
        <f ca="1"/>
        <v/>
      </c>
      <c r="F794" s="1286" t="str">
        <f ca="1"/>
        <v/>
      </c>
      <c r="G794" s="1286" t="str">
        <f ca="1"/>
        <v/>
      </c>
      <c r="H794" s="1301" t="str">
        <f ca="1"/>
        <v/>
      </c>
      <c r="I794" s="1303" t="str">
        <f ca="1"/>
        <v/>
      </c>
      <c r="J794" s="1287" t="str">
        <f ca="1"/>
        <v/>
      </c>
      <c r="K794" s="1288" t="str">
        <f ca="1"/>
        <v xml:space="preserve">Description:
Details:
Aim:
</v>
      </c>
      <c r="L794" s="1287" t="str">
        <f ca="1"/>
        <v/>
      </c>
      <c r="M794" s="1287" t="str">
        <f ca="1"/>
        <v/>
      </c>
      <c r="N794" s="1287"/>
      <c r="O794" s="1323" t="str">
        <f ca="1"/>
        <v/>
      </c>
      <c r="P794" s="1287"/>
      <c r="Q794" s="1290" t="str">
        <f ca="1"/>
        <v/>
      </c>
    </row>
    <row r="795" spans="1:17" ht="27.75" hidden="1" customHeight="1" x14ac:dyDescent="0.45">
      <c r="A795" s="1289">
        <v>19</v>
      </c>
      <c r="B795" s="1285">
        <v>13</v>
      </c>
      <c r="C795" s="1285">
        <v>1.9999999999999432</v>
      </c>
      <c r="D795" s="1297">
        <v>37.999999999999943</v>
      </c>
      <c r="E795" s="1299" t="str">
        <f ca="1"/>
        <v/>
      </c>
      <c r="F795" s="1286" t="str">
        <f ca="1"/>
        <v/>
      </c>
      <c r="G795" s="1286" t="str">
        <f ca="1"/>
        <v/>
      </c>
      <c r="H795" s="1301" t="str">
        <f ca="1"/>
        <v/>
      </c>
      <c r="I795" s="1303" t="str">
        <f ca="1"/>
        <v/>
      </c>
      <c r="J795" s="1287" t="str">
        <f ca="1"/>
        <v/>
      </c>
      <c r="K795" s="1288" t="str">
        <f ca="1"/>
        <v xml:space="preserve">Description:
Details:
Aim:
</v>
      </c>
      <c r="L795" s="1287" t="str">
        <f ca="1"/>
        <v/>
      </c>
      <c r="M795" s="1287" t="str">
        <f ca="1"/>
        <v/>
      </c>
      <c r="N795" s="1287"/>
      <c r="O795" s="1323" t="str">
        <f ca="1"/>
        <v/>
      </c>
      <c r="P795" s="1287"/>
      <c r="Q795" s="1290" t="str">
        <f ca="1"/>
        <v/>
      </c>
    </row>
    <row r="796" spans="1:17" ht="27.75" hidden="1" customHeight="1" x14ac:dyDescent="0.45">
      <c r="A796" s="1289">
        <v>19</v>
      </c>
      <c r="B796" s="1285">
        <v>13</v>
      </c>
      <c r="C796" s="1285">
        <v>3.0000000000000568</v>
      </c>
      <c r="D796" s="1297">
        <v>39.000000000000014</v>
      </c>
      <c r="E796" s="1299" t="str">
        <f ca="1"/>
        <v/>
      </c>
      <c r="F796" s="1286" t="str">
        <f ca="1"/>
        <v/>
      </c>
      <c r="G796" s="1286" t="str">
        <f ca="1"/>
        <v/>
      </c>
      <c r="H796" s="1301" t="str">
        <f ca="1"/>
        <v/>
      </c>
      <c r="I796" s="1303" t="str">
        <f ca="1"/>
        <v/>
      </c>
      <c r="J796" s="1287" t="str">
        <f ca="1"/>
        <v/>
      </c>
      <c r="K796" s="1288" t="str">
        <f ca="1"/>
        <v xml:space="preserve">Description:
Details:
Aim:
</v>
      </c>
      <c r="L796" s="1287" t="str">
        <f ca="1"/>
        <v/>
      </c>
      <c r="M796" s="1287" t="str">
        <f ca="1"/>
        <v/>
      </c>
      <c r="N796" s="1287"/>
      <c r="O796" s="1323" t="str">
        <f ca="1"/>
        <v/>
      </c>
      <c r="P796" s="1287"/>
      <c r="Q796" s="1290" t="str">
        <f ca="1"/>
        <v/>
      </c>
    </row>
    <row r="797" spans="1:17" ht="27.75" hidden="1" customHeight="1" x14ac:dyDescent="0.45">
      <c r="A797" s="1289">
        <v>19</v>
      </c>
      <c r="B797" s="1285">
        <v>14</v>
      </c>
      <c r="C797" s="1285">
        <v>1</v>
      </c>
      <c r="D797" s="1297">
        <v>39.999999999999936</v>
      </c>
      <c r="E797" s="1299" t="str">
        <f ca="1"/>
        <v/>
      </c>
      <c r="F797" s="1286" t="str">
        <f ca="1"/>
        <v/>
      </c>
      <c r="G797" s="1286" t="str">
        <f ca="1"/>
        <v/>
      </c>
      <c r="H797" s="1301" t="str">
        <f ca="1"/>
        <v/>
      </c>
      <c r="I797" s="1303" t="str">
        <f ca="1"/>
        <v/>
      </c>
      <c r="J797" s="1287" t="str">
        <f ca="1"/>
        <v/>
      </c>
      <c r="K797" s="1288" t="str">
        <f ca="1"/>
        <v xml:space="preserve">Description:
Details:
Aim:
</v>
      </c>
      <c r="L797" s="1287" t="str">
        <f ca="1"/>
        <v/>
      </c>
      <c r="M797" s="1287" t="str">
        <f ca="1"/>
        <v/>
      </c>
      <c r="N797" s="1287"/>
      <c r="O797" s="1323" t="str">
        <f ca="1"/>
        <v/>
      </c>
      <c r="P797" s="1287"/>
      <c r="Q797" s="1290" t="str">
        <f ca="1"/>
        <v/>
      </c>
    </row>
    <row r="798" spans="1:17" ht="27.75" hidden="1" customHeight="1" x14ac:dyDescent="0.45">
      <c r="A798" s="1289">
        <v>19</v>
      </c>
      <c r="B798" s="1285">
        <v>14</v>
      </c>
      <c r="C798" s="1285">
        <v>1.9999999999999432</v>
      </c>
      <c r="D798" s="1297">
        <v>41.000000000000007</v>
      </c>
      <c r="E798" s="1299" t="str">
        <f ca="1"/>
        <v/>
      </c>
      <c r="F798" s="1286" t="str">
        <f ca="1"/>
        <v/>
      </c>
      <c r="G798" s="1286" t="str">
        <f ca="1"/>
        <v/>
      </c>
      <c r="H798" s="1301" t="str">
        <f ca="1"/>
        <v/>
      </c>
      <c r="I798" s="1303" t="str">
        <f ca="1"/>
        <v/>
      </c>
      <c r="J798" s="1287" t="str">
        <f ca="1"/>
        <v/>
      </c>
      <c r="K798" s="1288" t="str">
        <f ca="1"/>
        <v xml:space="preserve">Description:
Details:
Aim:
</v>
      </c>
      <c r="L798" s="1287" t="str">
        <f ca="1"/>
        <v/>
      </c>
      <c r="M798" s="1287" t="str">
        <f ca="1"/>
        <v/>
      </c>
      <c r="N798" s="1287"/>
      <c r="O798" s="1323" t="str">
        <f ca="1"/>
        <v/>
      </c>
      <c r="P798" s="1287"/>
      <c r="Q798" s="1290" t="str">
        <f ca="1"/>
        <v/>
      </c>
    </row>
    <row r="799" spans="1:17" ht="27.75" hidden="1" customHeight="1" x14ac:dyDescent="0.45">
      <c r="A799" s="1289">
        <v>19</v>
      </c>
      <c r="B799" s="1285">
        <v>14</v>
      </c>
      <c r="C799" s="1285">
        <v>3.0000000000000568</v>
      </c>
      <c r="D799" s="1297">
        <v>41.999999999999929</v>
      </c>
      <c r="E799" s="1299" t="str">
        <f ca="1"/>
        <v/>
      </c>
      <c r="F799" s="1286" t="str">
        <f ca="1"/>
        <v/>
      </c>
      <c r="G799" s="1286" t="str">
        <f ca="1"/>
        <v/>
      </c>
      <c r="H799" s="1301" t="str">
        <f ca="1"/>
        <v/>
      </c>
      <c r="I799" s="1303" t="str">
        <f ca="1"/>
        <v/>
      </c>
      <c r="J799" s="1287" t="str">
        <f ca="1"/>
        <v/>
      </c>
      <c r="K799" s="1288" t="str">
        <f ca="1"/>
        <v xml:space="preserve">Description:
Details:
Aim:
</v>
      </c>
      <c r="L799" s="1287" t="str">
        <f ca="1"/>
        <v/>
      </c>
      <c r="M799" s="1287" t="str">
        <f ca="1"/>
        <v/>
      </c>
      <c r="N799" s="1287"/>
      <c r="O799" s="1323" t="str">
        <f ca="1"/>
        <v/>
      </c>
      <c r="P799" s="1287"/>
      <c r="Q799" s="1290" t="str">
        <f ca="1"/>
        <v/>
      </c>
    </row>
    <row r="800" spans="1:17" ht="27.75" hidden="1" customHeight="1" x14ac:dyDescent="0.45">
      <c r="A800" s="1289">
        <v>20</v>
      </c>
      <c r="B800" s="1285">
        <v>1</v>
      </c>
      <c r="C800" s="1285">
        <v>1</v>
      </c>
      <c r="D800" s="1297">
        <v>1</v>
      </c>
      <c r="E800" s="1299" t="str">
        <f ca="1"/>
        <v/>
      </c>
      <c r="F800" s="1286" t="str">
        <f ca="1"/>
        <v/>
      </c>
      <c r="G800" s="1286" t="str">
        <f ca="1"/>
        <v/>
      </c>
      <c r="H800" s="1301" t="str">
        <f ca="1"/>
        <v/>
      </c>
      <c r="I800" s="1303" t="str">
        <f ca="1"/>
        <v/>
      </c>
      <c r="J800" s="1287" t="str">
        <f ca="1"/>
        <v/>
      </c>
      <c r="K800" s="1288" t="str">
        <f ca="1"/>
        <v xml:space="preserve">Description:
Details:
Aim:
</v>
      </c>
      <c r="L800" s="1287" t="str">
        <f ca="1"/>
        <v/>
      </c>
      <c r="M800" s="1287" t="str">
        <f ca="1"/>
        <v/>
      </c>
      <c r="N800" s="1287"/>
      <c r="O800" s="1323" t="str">
        <f ca="1"/>
        <v/>
      </c>
      <c r="P800" s="1287"/>
      <c r="Q800" s="1290" t="str">
        <f ca="1"/>
        <v/>
      </c>
    </row>
    <row r="801" spans="1:17" ht="27.75" hidden="1" customHeight="1" x14ac:dyDescent="0.45">
      <c r="A801" s="1289">
        <v>20</v>
      </c>
      <c r="B801" s="1285">
        <v>1</v>
      </c>
      <c r="C801" s="1285">
        <v>1.9999999999999432</v>
      </c>
      <c r="D801" s="1297">
        <v>2.0000000000000711</v>
      </c>
      <c r="E801" s="1299" t="str">
        <f ca="1"/>
        <v/>
      </c>
      <c r="F801" s="1286" t="str">
        <f ca="1"/>
        <v/>
      </c>
      <c r="G801" s="1286" t="str">
        <f ca="1"/>
        <v/>
      </c>
      <c r="H801" s="1301" t="str">
        <f ca="1"/>
        <v/>
      </c>
      <c r="I801" s="1303" t="str">
        <f ca="1"/>
        <v/>
      </c>
      <c r="J801" s="1287" t="str">
        <f ca="1"/>
        <v/>
      </c>
      <c r="K801" s="1288" t="str">
        <f ca="1"/>
        <v xml:space="preserve">Description:
Details:
Aim:
</v>
      </c>
      <c r="L801" s="1287" t="str">
        <f ca="1"/>
        <v/>
      </c>
      <c r="M801" s="1287" t="str">
        <f ca="1"/>
        <v/>
      </c>
      <c r="N801" s="1287"/>
      <c r="O801" s="1323" t="str">
        <f ca="1"/>
        <v/>
      </c>
      <c r="P801" s="1287"/>
      <c r="Q801" s="1290" t="str">
        <f ca="1"/>
        <v/>
      </c>
    </row>
    <row r="802" spans="1:17" ht="27.75" hidden="1" customHeight="1" x14ac:dyDescent="0.45">
      <c r="A802" s="1289">
        <v>20</v>
      </c>
      <c r="B802" s="1285">
        <v>1</v>
      </c>
      <c r="C802" s="1285">
        <v>3.0000000000000568</v>
      </c>
      <c r="D802" s="1297">
        <v>2.9999999999999929</v>
      </c>
      <c r="E802" s="1299" t="str">
        <f ca="1"/>
        <v/>
      </c>
      <c r="F802" s="1286" t="str">
        <f ca="1"/>
        <v/>
      </c>
      <c r="G802" s="1286" t="str">
        <f ca="1"/>
        <v/>
      </c>
      <c r="H802" s="1301" t="str">
        <f ca="1"/>
        <v/>
      </c>
      <c r="I802" s="1303" t="str">
        <f ca="1"/>
        <v/>
      </c>
      <c r="J802" s="1287" t="str">
        <f ca="1"/>
        <v/>
      </c>
      <c r="K802" s="1288" t="str">
        <f ca="1"/>
        <v xml:space="preserve">Description:
Details:
Aim:
</v>
      </c>
      <c r="L802" s="1287" t="str">
        <f ca="1"/>
        <v/>
      </c>
      <c r="M802" s="1287" t="str">
        <f ca="1"/>
        <v/>
      </c>
      <c r="N802" s="1287"/>
      <c r="O802" s="1323" t="str">
        <f ca="1"/>
        <v/>
      </c>
      <c r="P802" s="1287"/>
      <c r="Q802" s="1290" t="str">
        <f ca="1"/>
        <v/>
      </c>
    </row>
    <row r="803" spans="1:17" ht="27.75" hidden="1" customHeight="1" x14ac:dyDescent="0.45">
      <c r="A803" s="1289">
        <v>20</v>
      </c>
      <c r="B803" s="1285">
        <v>2</v>
      </c>
      <c r="C803" s="1285">
        <v>1</v>
      </c>
      <c r="D803" s="1297">
        <v>4.0000000000000639</v>
      </c>
      <c r="E803" s="1299" t="str">
        <f ca="1"/>
        <v/>
      </c>
      <c r="F803" s="1286" t="str">
        <f ca="1"/>
        <v/>
      </c>
      <c r="G803" s="1286" t="str">
        <f ca="1"/>
        <v/>
      </c>
      <c r="H803" s="1301" t="str">
        <f ca="1"/>
        <v/>
      </c>
      <c r="I803" s="1303" t="str">
        <f ca="1"/>
        <v/>
      </c>
      <c r="J803" s="1287" t="str">
        <f ca="1"/>
        <v/>
      </c>
      <c r="K803" s="1288" t="str">
        <f ca="1"/>
        <v xml:space="preserve">Description:
Details:
Aim:
</v>
      </c>
      <c r="L803" s="1287" t="str">
        <f ca="1"/>
        <v/>
      </c>
      <c r="M803" s="1287" t="str">
        <f ca="1"/>
        <v/>
      </c>
      <c r="N803" s="1287"/>
      <c r="O803" s="1323" t="str">
        <f ca="1"/>
        <v/>
      </c>
      <c r="P803" s="1287"/>
      <c r="Q803" s="1290" t="str">
        <f ca="1"/>
        <v/>
      </c>
    </row>
    <row r="804" spans="1:17" ht="27.75" hidden="1" customHeight="1" x14ac:dyDescent="0.45">
      <c r="A804" s="1289">
        <v>20</v>
      </c>
      <c r="B804" s="1285">
        <v>2</v>
      </c>
      <c r="C804" s="1285">
        <v>1.9999999999999432</v>
      </c>
      <c r="D804" s="1297">
        <v>4.9999999999999858</v>
      </c>
      <c r="E804" s="1299" t="str">
        <f ca="1"/>
        <v/>
      </c>
      <c r="F804" s="1286" t="str">
        <f ca="1"/>
        <v/>
      </c>
      <c r="G804" s="1286" t="str">
        <f ca="1"/>
        <v/>
      </c>
      <c r="H804" s="1301" t="str">
        <f ca="1"/>
        <v/>
      </c>
      <c r="I804" s="1303" t="str">
        <f ca="1"/>
        <v/>
      </c>
      <c r="J804" s="1287" t="str">
        <f ca="1"/>
        <v/>
      </c>
      <c r="K804" s="1288" t="str">
        <f ca="1"/>
        <v xml:space="preserve">Description:
Details:
Aim:
</v>
      </c>
      <c r="L804" s="1287" t="str">
        <f ca="1"/>
        <v/>
      </c>
      <c r="M804" s="1287" t="str">
        <f ca="1"/>
        <v/>
      </c>
      <c r="N804" s="1287"/>
      <c r="O804" s="1323" t="str">
        <f ca="1"/>
        <v/>
      </c>
      <c r="P804" s="1287"/>
      <c r="Q804" s="1290" t="str">
        <f ca="1"/>
        <v/>
      </c>
    </row>
    <row r="805" spans="1:17" ht="27.75" hidden="1" customHeight="1" x14ac:dyDescent="0.45">
      <c r="A805" s="1289">
        <v>20</v>
      </c>
      <c r="B805" s="1285">
        <v>2</v>
      </c>
      <c r="C805" s="1285">
        <v>3.0000000000000568</v>
      </c>
      <c r="D805" s="1297">
        <v>6.0000000000000568</v>
      </c>
      <c r="E805" s="1299" t="str">
        <f ca="1"/>
        <v/>
      </c>
      <c r="F805" s="1286" t="str">
        <f ca="1"/>
        <v/>
      </c>
      <c r="G805" s="1286" t="str">
        <f ca="1"/>
        <v/>
      </c>
      <c r="H805" s="1301" t="str">
        <f ca="1"/>
        <v/>
      </c>
      <c r="I805" s="1303" t="str">
        <f ca="1"/>
        <v/>
      </c>
      <c r="J805" s="1287" t="str">
        <f ca="1"/>
        <v/>
      </c>
      <c r="K805" s="1288" t="str">
        <f ca="1"/>
        <v xml:space="preserve">Description:
Details:
Aim:
</v>
      </c>
      <c r="L805" s="1287" t="str">
        <f ca="1"/>
        <v/>
      </c>
      <c r="M805" s="1287" t="str">
        <f ca="1"/>
        <v/>
      </c>
      <c r="N805" s="1287"/>
      <c r="O805" s="1323" t="str">
        <f ca="1"/>
        <v/>
      </c>
      <c r="P805" s="1287"/>
      <c r="Q805" s="1290" t="str">
        <f ca="1"/>
        <v/>
      </c>
    </row>
    <row r="806" spans="1:17" ht="27.75" hidden="1" customHeight="1" x14ac:dyDescent="0.45">
      <c r="A806" s="1289">
        <v>20</v>
      </c>
      <c r="B806" s="1285">
        <v>2</v>
      </c>
      <c r="C806" s="1285">
        <v>1</v>
      </c>
      <c r="D806" s="1297">
        <v>6.9999999999999787</v>
      </c>
      <c r="E806" s="1299" t="str">
        <f ca="1"/>
        <v/>
      </c>
      <c r="F806" s="1286" t="str">
        <f ca="1"/>
        <v/>
      </c>
      <c r="G806" s="1286" t="str">
        <f ca="1"/>
        <v/>
      </c>
      <c r="H806" s="1301" t="str">
        <f ca="1"/>
        <v/>
      </c>
      <c r="I806" s="1303" t="str">
        <f ca="1"/>
        <v/>
      </c>
      <c r="J806" s="1287" t="str">
        <f ca="1"/>
        <v/>
      </c>
      <c r="K806" s="1288" t="str">
        <f ca="1"/>
        <v xml:space="preserve">Description:
Details:
Aim:
</v>
      </c>
      <c r="L806" s="1287" t="str">
        <f ca="1"/>
        <v/>
      </c>
      <c r="M806" s="1287" t="str">
        <f ca="1"/>
        <v/>
      </c>
      <c r="N806" s="1287"/>
      <c r="O806" s="1323" t="str">
        <f ca="1"/>
        <v/>
      </c>
      <c r="P806" s="1287"/>
      <c r="Q806" s="1290" t="str">
        <f ca="1"/>
        <v/>
      </c>
    </row>
    <row r="807" spans="1:17" ht="27.75" hidden="1" customHeight="1" x14ac:dyDescent="0.45">
      <c r="A807" s="1289">
        <v>20</v>
      </c>
      <c r="B807" s="1285">
        <v>3</v>
      </c>
      <c r="C807" s="1285">
        <v>1.9999999999999432</v>
      </c>
      <c r="D807" s="1297">
        <v>8.0000000000000497</v>
      </c>
      <c r="E807" s="1299" t="str">
        <f ca="1"/>
        <v/>
      </c>
      <c r="F807" s="1286" t="str">
        <f ca="1"/>
        <v/>
      </c>
      <c r="G807" s="1286" t="str">
        <f ca="1"/>
        <v/>
      </c>
      <c r="H807" s="1301" t="str">
        <f ca="1"/>
        <v/>
      </c>
      <c r="I807" s="1303" t="str">
        <f ca="1"/>
        <v/>
      </c>
      <c r="J807" s="1287" t="str">
        <f ca="1"/>
        <v/>
      </c>
      <c r="K807" s="1288" t="str">
        <f ca="1"/>
        <v xml:space="preserve">Description:
Details:
Aim:
</v>
      </c>
      <c r="L807" s="1287" t="str">
        <f ca="1"/>
        <v/>
      </c>
      <c r="M807" s="1287" t="str">
        <f ca="1"/>
        <v/>
      </c>
      <c r="N807" s="1287"/>
      <c r="O807" s="1323" t="str">
        <f ca="1"/>
        <v/>
      </c>
      <c r="P807" s="1287"/>
      <c r="Q807" s="1290" t="str">
        <f ca="1"/>
        <v/>
      </c>
    </row>
    <row r="808" spans="1:17" ht="27.75" hidden="1" customHeight="1" x14ac:dyDescent="0.45">
      <c r="A808" s="1289">
        <v>20</v>
      </c>
      <c r="B808" s="1285">
        <v>3</v>
      </c>
      <c r="C808" s="1285">
        <v>3.0000000000000568</v>
      </c>
      <c r="D808" s="1297">
        <v>8.9999999999999716</v>
      </c>
      <c r="E808" s="1299" t="str">
        <f ca="1"/>
        <v/>
      </c>
      <c r="F808" s="1286" t="str">
        <f ca="1"/>
        <v/>
      </c>
      <c r="G808" s="1286" t="str">
        <f ca="1"/>
        <v/>
      </c>
      <c r="H808" s="1301" t="str">
        <f ca="1"/>
        <v/>
      </c>
      <c r="I808" s="1303" t="str">
        <f ca="1"/>
        <v/>
      </c>
      <c r="J808" s="1287" t="str">
        <f ca="1"/>
        <v/>
      </c>
      <c r="K808" s="1288" t="str">
        <f ca="1"/>
        <v xml:space="preserve">Description:
Details:
Aim:
</v>
      </c>
      <c r="L808" s="1287" t="str">
        <f ca="1"/>
        <v/>
      </c>
      <c r="M808" s="1287" t="str">
        <f ca="1"/>
        <v/>
      </c>
      <c r="N808" s="1287"/>
      <c r="O808" s="1323" t="str">
        <f ca="1"/>
        <v/>
      </c>
      <c r="P808" s="1287"/>
      <c r="Q808" s="1290" t="str">
        <f ca="1"/>
        <v/>
      </c>
    </row>
    <row r="809" spans="1:17" ht="27.75" hidden="1" customHeight="1" x14ac:dyDescent="0.45">
      <c r="A809" s="1289">
        <v>20</v>
      </c>
      <c r="B809" s="1285">
        <v>4</v>
      </c>
      <c r="C809" s="1285">
        <v>1</v>
      </c>
      <c r="D809" s="1297">
        <v>10.000000000000043</v>
      </c>
      <c r="E809" s="1299" t="str">
        <f ca="1"/>
        <v/>
      </c>
      <c r="F809" s="1286" t="str">
        <f ca="1"/>
        <v/>
      </c>
      <c r="G809" s="1286" t="str">
        <f ca="1"/>
        <v/>
      </c>
      <c r="H809" s="1301" t="str">
        <f ca="1"/>
        <v/>
      </c>
      <c r="I809" s="1303" t="str">
        <f ca="1"/>
        <v/>
      </c>
      <c r="J809" s="1287" t="str">
        <f ca="1"/>
        <v/>
      </c>
      <c r="K809" s="1288" t="str">
        <f ca="1"/>
        <v xml:space="preserve">Description:
Details:
Aim:
</v>
      </c>
      <c r="L809" s="1287" t="str">
        <f ca="1"/>
        <v/>
      </c>
      <c r="M809" s="1287" t="str">
        <f ca="1"/>
        <v/>
      </c>
      <c r="N809" s="1287"/>
      <c r="O809" s="1323" t="str">
        <f ca="1"/>
        <v/>
      </c>
      <c r="P809" s="1287"/>
      <c r="Q809" s="1290" t="str">
        <f ca="1"/>
        <v/>
      </c>
    </row>
    <row r="810" spans="1:17" ht="27.75" hidden="1" customHeight="1" x14ac:dyDescent="0.45">
      <c r="A810" s="1289">
        <v>20</v>
      </c>
      <c r="B810" s="1285">
        <v>4</v>
      </c>
      <c r="C810" s="1285">
        <v>1.9999999999999432</v>
      </c>
      <c r="D810" s="1297">
        <v>10.999999999999964</v>
      </c>
      <c r="E810" s="1299" t="str">
        <f ca="1"/>
        <v/>
      </c>
      <c r="F810" s="1286" t="str">
        <f ca="1"/>
        <v/>
      </c>
      <c r="G810" s="1286" t="str">
        <f ca="1"/>
        <v/>
      </c>
      <c r="H810" s="1301" t="str">
        <f ca="1"/>
        <v/>
      </c>
      <c r="I810" s="1303" t="str">
        <f ca="1"/>
        <v/>
      </c>
      <c r="J810" s="1287" t="str">
        <f ca="1"/>
        <v/>
      </c>
      <c r="K810" s="1288" t="str">
        <f ca="1"/>
        <v xml:space="preserve">Description:
Details:
Aim:
</v>
      </c>
      <c r="L810" s="1287" t="str">
        <f ca="1"/>
        <v/>
      </c>
      <c r="M810" s="1287" t="str">
        <f ca="1"/>
        <v/>
      </c>
      <c r="N810" s="1287"/>
      <c r="O810" s="1323" t="str">
        <f ca="1"/>
        <v/>
      </c>
      <c r="P810" s="1287"/>
      <c r="Q810" s="1290" t="str">
        <f ca="1"/>
        <v/>
      </c>
    </row>
    <row r="811" spans="1:17" ht="27.75" hidden="1" customHeight="1" x14ac:dyDescent="0.45">
      <c r="A811" s="1289">
        <v>20</v>
      </c>
      <c r="B811" s="1285">
        <v>4</v>
      </c>
      <c r="C811" s="1285">
        <v>3.0000000000000568</v>
      </c>
      <c r="D811" s="1297">
        <v>12.000000000000036</v>
      </c>
      <c r="E811" s="1299" t="str">
        <f ca="1"/>
        <v/>
      </c>
      <c r="F811" s="1286" t="str">
        <f ca="1"/>
        <v/>
      </c>
      <c r="G811" s="1286" t="str">
        <f ca="1"/>
        <v/>
      </c>
      <c r="H811" s="1301" t="str">
        <f ca="1"/>
        <v/>
      </c>
      <c r="I811" s="1303" t="str">
        <f ca="1"/>
        <v/>
      </c>
      <c r="J811" s="1287" t="str">
        <f ca="1"/>
        <v/>
      </c>
      <c r="K811" s="1288" t="str">
        <f ca="1"/>
        <v xml:space="preserve">Description:
Details:
Aim:
</v>
      </c>
      <c r="L811" s="1287" t="str">
        <f ca="1"/>
        <v/>
      </c>
      <c r="M811" s="1287" t="str">
        <f ca="1"/>
        <v/>
      </c>
      <c r="N811" s="1287"/>
      <c r="O811" s="1323" t="str">
        <f ca="1"/>
        <v/>
      </c>
      <c r="P811" s="1287"/>
      <c r="Q811" s="1290" t="str">
        <f ca="1"/>
        <v/>
      </c>
    </row>
    <row r="812" spans="1:17" ht="27.75" hidden="1" customHeight="1" x14ac:dyDescent="0.45">
      <c r="A812" s="1289">
        <v>20</v>
      </c>
      <c r="B812" s="1285">
        <v>4</v>
      </c>
      <c r="C812" s="1285">
        <v>1</v>
      </c>
      <c r="D812" s="1297">
        <v>12.999999999999957</v>
      </c>
      <c r="E812" s="1299" t="str">
        <f ca="1"/>
        <v/>
      </c>
      <c r="F812" s="1286" t="str">
        <f ca="1"/>
        <v/>
      </c>
      <c r="G812" s="1286" t="str">
        <f ca="1"/>
        <v/>
      </c>
      <c r="H812" s="1301" t="str">
        <f ca="1"/>
        <v/>
      </c>
      <c r="I812" s="1303" t="str">
        <f ca="1"/>
        <v/>
      </c>
      <c r="J812" s="1287" t="str">
        <f ca="1"/>
        <v/>
      </c>
      <c r="K812" s="1288" t="str">
        <f ca="1"/>
        <v xml:space="preserve">Description:
Details:
Aim:
</v>
      </c>
      <c r="L812" s="1287" t="str">
        <f ca="1"/>
        <v/>
      </c>
      <c r="M812" s="1287" t="str">
        <f ca="1"/>
        <v/>
      </c>
      <c r="N812" s="1287"/>
      <c r="O812" s="1323" t="str">
        <f ca="1"/>
        <v/>
      </c>
      <c r="P812" s="1287"/>
      <c r="Q812" s="1290" t="str">
        <f ca="1"/>
        <v/>
      </c>
    </row>
    <row r="813" spans="1:17" ht="27.75" hidden="1" customHeight="1" x14ac:dyDescent="0.45">
      <c r="A813" s="1289">
        <v>20</v>
      </c>
      <c r="B813" s="1285">
        <v>5</v>
      </c>
      <c r="C813" s="1285">
        <v>1.9999999999999432</v>
      </c>
      <c r="D813" s="1297">
        <v>14.000000000000028</v>
      </c>
      <c r="E813" s="1299" t="str">
        <f ca="1"/>
        <v/>
      </c>
      <c r="F813" s="1286" t="str">
        <f ca="1"/>
        <v/>
      </c>
      <c r="G813" s="1286" t="str">
        <f ca="1"/>
        <v/>
      </c>
      <c r="H813" s="1301" t="str">
        <f ca="1"/>
        <v/>
      </c>
      <c r="I813" s="1303" t="str">
        <f ca="1"/>
        <v/>
      </c>
      <c r="J813" s="1287" t="str">
        <f ca="1"/>
        <v/>
      </c>
      <c r="K813" s="1288" t="str">
        <f ca="1"/>
        <v xml:space="preserve">Description:
Details:
Aim:
</v>
      </c>
      <c r="L813" s="1287" t="str">
        <f ca="1"/>
        <v/>
      </c>
      <c r="M813" s="1287" t="str">
        <f ca="1"/>
        <v/>
      </c>
      <c r="N813" s="1287"/>
      <c r="O813" s="1323" t="str">
        <f ca="1"/>
        <v/>
      </c>
      <c r="P813" s="1287"/>
      <c r="Q813" s="1290" t="str">
        <f ca="1"/>
        <v/>
      </c>
    </row>
    <row r="814" spans="1:17" ht="27.75" hidden="1" customHeight="1" x14ac:dyDescent="0.45">
      <c r="A814" s="1289">
        <v>20</v>
      </c>
      <c r="B814" s="1285">
        <v>5</v>
      </c>
      <c r="C814" s="1285">
        <v>3.0000000000000568</v>
      </c>
      <c r="D814" s="1297">
        <v>14.99999999999995</v>
      </c>
      <c r="E814" s="1299" t="str">
        <f ca="1"/>
        <v/>
      </c>
      <c r="F814" s="1286" t="str">
        <f ca="1"/>
        <v/>
      </c>
      <c r="G814" s="1286" t="str">
        <f ca="1"/>
        <v/>
      </c>
      <c r="H814" s="1301" t="str">
        <f ca="1"/>
        <v/>
      </c>
      <c r="I814" s="1303" t="str">
        <f ca="1"/>
        <v/>
      </c>
      <c r="J814" s="1287" t="str">
        <f ca="1"/>
        <v/>
      </c>
      <c r="K814" s="1288" t="str">
        <f ca="1"/>
        <v xml:space="preserve">Description:
Details:
Aim:
</v>
      </c>
      <c r="L814" s="1287" t="str">
        <f ca="1"/>
        <v/>
      </c>
      <c r="M814" s="1287" t="str">
        <f ca="1"/>
        <v/>
      </c>
      <c r="N814" s="1287"/>
      <c r="O814" s="1323" t="str">
        <f ca="1"/>
        <v/>
      </c>
      <c r="P814" s="1287"/>
      <c r="Q814" s="1290" t="str">
        <f ca="1"/>
        <v/>
      </c>
    </row>
    <row r="815" spans="1:17" ht="27.75" hidden="1" customHeight="1" x14ac:dyDescent="0.45">
      <c r="A815" s="1289">
        <v>20</v>
      </c>
      <c r="B815" s="1285">
        <v>6</v>
      </c>
      <c r="C815" s="1285">
        <v>1</v>
      </c>
      <c r="D815" s="1297">
        <v>16.000000000000021</v>
      </c>
      <c r="E815" s="1299" t="str">
        <f ca="1"/>
        <v/>
      </c>
      <c r="F815" s="1286" t="str">
        <f ca="1"/>
        <v/>
      </c>
      <c r="G815" s="1286" t="str">
        <f ca="1"/>
        <v/>
      </c>
      <c r="H815" s="1301" t="str">
        <f ca="1"/>
        <v/>
      </c>
      <c r="I815" s="1303" t="str">
        <f ca="1"/>
        <v/>
      </c>
      <c r="J815" s="1287" t="str">
        <f ca="1"/>
        <v/>
      </c>
      <c r="K815" s="1288" t="str">
        <f ca="1"/>
        <v xml:space="preserve">Description:
Details:
Aim:
</v>
      </c>
      <c r="L815" s="1287" t="str">
        <f ca="1"/>
        <v/>
      </c>
      <c r="M815" s="1287" t="str">
        <f ca="1"/>
        <v/>
      </c>
      <c r="N815" s="1287"/>
      <c r="O815" s="1323" t="str">
        <f ca="1"/>
        <v/>
      </c>
      <c r="P815" s="1287"/>
      <c r="Q815" s="1290" t="str">
        <f ca="1"/>
        <v/>
      </c>
    </row>
    <row r="816" spans="1:17" ht="27.75" hidden="1" customHeight="1" x14ac:dyDescent="0.45">
      <c r="A816" s="1289">
        <v>20</v>
      </c>
      <c r="B816" s="1285">
        <v>6</v>
      </c>
      <c r="C816" s="1285">
        <v>1.9999999999999432</v>
      </c>
      <c r="D816" s="1297">
        <v>16.999999999999943</v>
      </c>
      <c r="E816" s="1299" t="str">
        <f ca="1"/>
        <v/>
      </c>
      <c r="F816" s="1286" t="str">
        <f ca="1"/>
        <v/>
      </c>
      <c r="G816" s="1286" t="str">
        <f ca="1"/>
        <v/>
      </c>
      <c r="H816" s="1301" t="str">
        <f ca="1"/>
        <v/>
      </c>
      <c r="I816" s="1303" t="str">
        <f ca="1"/>
        <v/>
      </c>
      <c r="J816" s="1287" t="str">
        <f ca="1"/>
        <v/>
      </c>
      <c r="K816" s="1288" t="str">
        <f ca="1"/>
        <v xml:space="preserve">Description:
Details:
Aim:
</v>
      </c>
      <c r="L816" s="1287" t="str">
        <f ca="1"/>
        <v/>
      </c>
      <c r="M816" s="1287" t="str">
        <f ca="1"/>
        <v/>
      </c>
      <c r="N816" s="1287"/>
      <c r="O816" s="1323" t="str">
        <f ca="1"/>
        <v/>
      </c>
      <c r="P816" s="1287"/>
      <c r="Q816" s="1290" t="str">
        <f ca="1"/>
        <v/>
      </c>
    </row>
    <row r="817" spans="1:17" ht="27.75" hidden="1" customHeight="1" x14ac:dyDescent="0.45">
      <c r="A817" s="1289">
        <v>20</v>
      </c>
      <c r="B817" s="1285">
        <v>6</v>
      </c>
      <c r="C817" s="1285">
        <v>3.0000000000000568</v>
      </c>
      <c r="D817" s="1297">
        <v>18.000000000000014</v>
      </c>
      <c r="E817" s="1299" t="str">
        <f ca="1"/>
        <v/>
      </c>
      <c r="F817" s="1286" t="str">
        <f ca="1"/>
        <v/>
      </c>
      <c r="G817" s="1286" t="str">
        <f ca="1"/>
        <v/>
      </c>
      <c r="H817" s="1301" t="str">
        <f ca="1"/>
        <v/>
      </c>
      <c r="I817" s="1303" t="str">
        <f ca="1"/>
        <v/>
      </c>
      <c r="J817" s="1287" t="str">
        <f ca="1"/>
        <v/>
      </c>
      <c r="K817" s="1288" t="str">
        <f ca="1"/>
        <v xml:space="preserve">Description:
Details:
Aim:
</v>
      </c>
      <c r="L817" s="1287" t="str">
        <f ca="1"/>
        <v/>
      </c>
      <c r="M817" s="1287" t="str">
        <f ca="1"/>
        <v/>
      </c>
      <c r="N817" s="1287"/>
      <c r="O817" s="1323" t="str">
        <f ca="1"/>
        <v/>
      </c>
      <c r="P817" s="1287"/>
      <c r="Q817" s="1290" t="str">
        <f ca="1"/>
        <v/>
      </c>
    </row>
    <row r="818" spans="1:17" ht="27.75" hidden="1" customHeight="1" x14ac:dyDescent="0.45">
      <c r="A818" s="1289">
        <v>20</v>
      </c>
      <c r="B818" s="1285">
        <v>6</v>
      </c>
      <c r="C818" s="1285">
        <v>1</v>
      </c>
      <c r="D818" s="1297">
        <v>18.999999999999936</v>
      </c>
      <c r="E818" s="1299" t="str">
        <f ca="1"/>
        <v/>
      </c>
      <c r="F818" s="1286" t="str">
        <f ca="1"/>
        <v/>
      </c>
      <c r="G818" s="1286" t="str">
        <f ca="1"/>
        <v/>
      </c>
      <c r="H818" s="1301" t="str">
        <f ca="1"/>
        <v/>
      </c>
      <c r="I818" s="1303" t="str">
        <f ca="1"/>
        <v/>
      </c>
      <c r="J818" s="1287" t="str">
        <f ca="1"/>
        <v/>
      </c>
      <c r="K818" s="1288" t="str">
        <f ca="1"/>
        <v xml:space="preserve">Description:
Details:
Aim:
</v>
      </c>
      <c r="L818" s="1287" t="str">
        <f ca="1"/>
        <v/>
      </c>
      <c r="M818" s="1287" t="str">
        <f ca="1"/>
        <v/>
      </c>
      <c r="N818" s="1287"/>
      <c r="O818" s="1323" t="str">
        <f ca="1"/>
        <v/>
      </c>
      <c r="P818" s="1287"/>
      <c r="Q818" s="1290" t="str">
        <f ca="1"/>
        <v/>
      </c>
    </row>
    <row r="819" spans="1:17" ht="27.75" hidden="1" customHeight="1" x14ac:dyDescent="0.45">
      <c r="A819" s="1289">
        <v>20</v>
      </c>
      <c r="B819" s="1285">
        <v>7</v>
      </c>
      <c r="C819" s="1285">
        <v>1.9999999999999432</v>
      </c>
      <c r="D819" s="1297">
        <v>20.000000000000007</v>
      </c>
      <c r="E819" s="1299" t="str">
        <f ca="1"/>
        <v/>
      </c>
      <c r="F819" s="1286" t="str">
        <f ca="1"/>
        <v/>
      </c>
      <c r="G819" s="1286" t="str">
        <f ca="1"/>
        <v/>
      </c>
      <c r="H819" s="1301" t="str">
        <f ca="1"/>
        <v/>
      </c>
      <c r="I819" s="1303" t="str">
        <f ca="1"/>
        <v/>
      </c>
      <c r="J819" s="1287" t="str">
        <f ca="1"/>
        <v/>
      </c>
      <c r="K819" s="1288" t="str">
        <f ca="1"/>
        <v xml:space="preserve">Description:
Details:
Aim:
</v>
      </c>
      <c r="L819" s="1287" t="str">
        <f ca="1"/>
        <v/>
      </c>
      <c r="M819" s="1287" t="str">
        <f ca="1"/>
        <v/>
      </c>
      <c r="N819" s="1287"/>
      <c r="O819" s="1323" t="str">
        <f ca="1"/>
        <v/>
      </c>
      <c r="P819" s="1287"/>
      <c r="Q819" s="1290" t="str">
        <f ca="1"/>
        <v/>
      </c>
    </row>
    <row r="820" spans="1:17" ht="27.75" hidden="1" customHeight="1" x14ac:dyDescent="0.45">
      <c r="A820" s="1289">
        <v>20</v>
      </c>
      <c r="B820" s="1285">
        <v>7</v>
      </c>
      <c r="C820" s="1285">
        <v>3.0000000000000568</v>
      </c>
      <c r="D820" s="1297">
        <v>20.999999999999929</v>
      </c>
      <c r="E820" s="1299" t="str">
        <f ca="1"/>
        <v/>
      </c>
      <c r="F820" s="1286" t="str">
        <f ca="1"/>
        <v/>
      </c>
      <c r="G820" s="1286" t="str">
        <f ca="1"/>
        <v/>
      </c>
      <c r="H820" s="1301" t="str">
        <f ca="1"/>
        <v/>
      </c>
      <c r="I820" s="1303" t="str">
        <f ca="1"/>
        <v/>
      </c>
      <c r="J820" s="1287" t="str">
        <f ca="1"/>
        <v/>
      </c>
      <c r="K820" s="1288" t="str">
        <f ca="1"/>
        <v xml:space="preserve">Description:
Details:
Aim:
</v>
      </c>
      <c r="L820" s="1287" t="str">
        <f ca="1"/>
        <v/>
      </c>
      <c r="M820" s="1287" t="str">
        <f ca="1"/>
        <v/>
      </c>
      <c r="N820" s="1287"/>
      <c r="O820" s="1323" t="str">
        <f ca="1"/>
        <v/>
      </c>
      <c r="P820" s="1287"/>
      <c r="Q820" s="1290" t="str">
        <f ca="1"/>
        <v/>
      </c>
    </row>
    <row r="821" spans="1:17" ht="27.75" hidden="1" customHeight="1" x14ac:dyDescent="0.45">
      <c r="A821" s="1289">
        <v>20</v>
      </c>
      <c r="B821" s="1285">
        <v>8</v>
      </c>
      <c r="C821" s="1285">
        <v>1</v>
      </c>
      <c r="D821" s="1297">
        <v>22</v>
      </c>
      <c r="E821" s="1299" t="str">
        <f ca="1"/>
        <v/>
      </c>
      <c r="F821" s="1286" t="str">
        <f ca="1"/>
        <v/>
      </c>
      <c r="G821" s="1286" t="str">
        <f ca="1"/>
        <v/>
      </c>
      <c r="H821" s="1301" t="str">
        <f ca="1"/>
        <v/>
      </c>
      <c r="I821" s="1303" t="str">
        <f ca="1"/>
        <v/>
      </c>
      <c r="J821" s="1287" t="str">
        <f ca="1"/>
        <v/>
      </c>
      <c r="K821" s="1288" t="str">
        <f ca="1"/>
        <v xml:space="preserve">Description:
Details:
Aim:
</v>
      </c>
      <c r="L821" s="1287" t="str">
        <f ca="1"/>
        <v/>
      </c>
      <c r="M821" s="1287" t="str">
        <f ca="1"/>
        <v/>
      </c>
      <c r="N821" s="1287"/>
      <c r="O821" s="1323" t="str">
        <f ca="1"/>
        <v/>
      </c>
      <c r="P821" s="1287"/>
      <c r="Q821" s="1290" t="str">
        <f ca="1"/>
        <v/>
      </c>
    </row>
    <row r="822" spans="1:17" ht="27.75" hidden="1" customHeight="1" x14ac:dyDescent="0.45">
      <c r="A822" s="1289">
        <v>20</v>
      </c>
      <c r="B822" s="1285">
        <v>8</v>
      </c>
      <c r="C822" s="1285">
        <v>1.9999999999999432</v>
      </c>
      <c r="D822" s="1297">
        <v>23.000000000000071</v>
      </c>
      <c r="E822" s="1299" t="str">
        <f ca="1"/>
        <v/>
      </c>
      <c r="F822" s="1286" t="str">
        <f ca="1"/>
        <v/>
      </c>
      <c r="G822" s="1286" t="str">
        <f ca="1"/>
        <v/>
      </c>
      <c r="H822" s="1301" t="str">
        <f ca="1"/>
        <v/>
      </c>
      <c r="I822" s="1303" t="str">
        <f ca="1"/>
        <v/>
      </c>
      <c r="J822" s="1287" t="str">
        <f ca="1"/>
        <v/>
      </c>
      <c r="K822" s="1288" t="str">
        <f ca="1"/>
        <v xml:space="preserve">Description:
Details:
Aim:
</v>
      </c>
      <c r="L822" s="1287" t="str">
        <f ca="1"/>
        <v/>
      </c>
      <c r="M822" s="1287" t="str">
        <f ca="1"/>
        <v/>
      </c>
      <c r="N822" s="1287"/>
      <c r="O822" s="1323" t="str">
        <f ca="1"/>
        <v/>
      </c>
      <c r="P822" s="1287"/>
      <c r="Q822" s="1290" t="str">
        <f ca="1"/>
        <v/>
      </c>
    </row>
    <row r="823" spans="1:17" ht="27.75" hidden="1" customHeight="1" x14ac:dyDescent="0.45">
      <c r="A823" s="1289">
        <v>20</v>
      </c>
      <c r="B823" s="1285">
        <v>8</v>
      </c>
      <c r="C823" s="1285">
        <v>3.0000000000000568</v>
      </c>
      <c r="D823" s="1297">
        <v>23.999999999999993</v>
      </c>
      <c r="E823" s="1299" t="str">
        <f ca="1"/>
        <v/>
      </c>
      <c r="F823" s="1286" t="str">
        <f ca="1"/>
        <v/>
      </c>
      <c r="G823" s="1286" t="str">
        <f ca="1"/>
        <v/>
      </c>
      <c r="H823" s="1301" t="str">
        <f ca="1"/>
        <v/>
      </c>
      <c r="I823" s="1303" t="str">
        <f ca="1"/>
        <v/>
      </c>
      <c r="J823" s="1287" t="str">
        <f ca="1"/>
        <v/>
      </c>
      <c r="K823" s="1288" t="str">
        <f ca="1"/>
        <v xml:space="preserve">Description:
Details:
Aim:
</v>
      </c>
      <c r="L823" s="1287" t="str">
        <f ca="1"/>
        <v/>
      </c>
      <c r="M823" s="1287" t="str">
        <f ca="1"/>
        <v/>
      </c>
      <c r="N823" s="1287"/>
      <c r="O823" s="1323" t="str">
        <f ca="1"/>
        <v/>
      </c>
      <c r="P823" s="1287"/>
      <c r="Q823" s="1290" t="str">
        <f ca="1"/>
        <v/>
      </c>
    </row>
    <row r="824" spans="1:17" ht="27.75" hidden="1" customHeight="1" x14ac:dyDescent="0.45">
      <c r="A824" s="1289">
        <v>20</v>
      </c>
      <c r="B824" s="1285">
        <v>9</v>
      </c>
      <c r="C824" s="1285">
        <v>1</v>
      </c>
      <c r="D824" s="1297">
        <v>25.000000000000064</v>
      </c>
      <c r="E824" s="1299" t="str">
        <f ca="1"/>
        <v/>
      </c>
      <c r="F824" s="1286" t="str">
        <f ca="1"/>
        <v/>
      </c>
      <c r="G824" s="1286" t="str">
        <f ca="1"/>
        <v/>
      </c>
      <c r="H824" s="1301" t="str">
        <f ca="1"/>
        <v/>
      </c>
      <c r="I824" s="1303" t="str">
        <f ca="1"/>
        <v/>
      </c>
      <c r="J824" s="1287" t="str">
        <f ca="1"/>
        <v/>
      </c>
      <c r="K824" s="1288" t="str">
        <f ca="1"/>
        <v xml:space="preserve">Description:
Details:
Aim:
</v>
      </c>
      <c r="L824" s="1287" t="str">
        <f ca="1"/>
        <v/>
      </c>
      <c r="M824" s="1287" t="str">
        <f ca="1"/>
        <v/>
      </c>
      <c r="N824" s="1287"/>
      <c r="O824" s="1323" t="str">
        <f ca="1"/>
        <v/>
      </c>
      <c r="P824" s="1287"/>
      <c r="Q824" s="1290" t="str">
        <f ca="1"/>
        <v/>
      </c>
    </row>
    <row r="825" spans="1:17" ht="27.75" hidden="1" customHeight="1" x14ac:dyDescent="0.45">
      <c r="A825" s="1289">
        <v>20</v>
      </c>
      <c r="B825" s="1285">
        <v>9</v>
      </c>
      <c r="C825" s="1285">
        <v>1.9999999999999432</v>
      </c>
      <c r="D825" s="1297">
        <v>25.999999999999986</v>
      </c>
      <c r="E825" s="1299" t="str">
        <f ca="1"/>
        <v/>
      </c>
      <c r="F825" s="1286" t="str">
        <f ca="1"/>
        <v/>
      </c>
      <c r="G825" s="1286" t="str">
        <f ca="1"/>
        <v/>
      </c>
      <c r="H825" s="1301" t="str">
        <f ca="1"/>
        <v/>
      </c>
      <c r="I825" s="1303" t="str">
        <f ca="1"/>
        <v/>
      </c>
      <c r="J825" s="1287" t="str">
        <f ca="1"/>
        <v/>
      </c>
      <c r="K825" s="1288" t="str">
        <f ca="1"/>
        <v xml:space="preserve">Description:
Details:
Aim:
</v>
      </c>
      <c r="L825" s="1287" t="str">
        <f ca="1"/>
        <v/>
      </c>
      <c r="M825" s="1287" t="str">
        <f ca="1"/>
        <v/>
      </c>
      <c r="N825" s="1287"/>
      <c r="O825" s="1323" t="str">
        <f ca="1"/>
        <v/>
      </c>
      <c r="P825" s="1287"/>
      <c r="Q825" s="1290" t="str">
        <f ca="1"/>
        <v/>
      </c>
    </row>
    <row r="826" spans="1:17" ht="27.75" hidden="1" customHeight="1" x14ac:dyDescent="0.45">
      <c r="A826" s="1289">
        <v>20</v>
      </c>
      <c r="B826" s="1285">
        <v>9</v>
      </c>
      <c r="C826" s="1285">
        <v>3.0000000000000568</v>
      </c>
      <c r="D826" s="1297">
        <v>27.000000000000057</v>
      </c>
      <c r="E826" s="1299" t="str">
        <f ca="1"/>
        <v/>
      </c>
      <c r="F826" s="1286" t="str">
        <f ca="1"/>
        <v/>
      </c>
      <c r="G826" s="1286" t="str">
        <f ca="1"/>
        <v/>
      </c>
      <c r="H826" s="1301" t="str">
        <f ca="1"/>
        <v/>
      </c>
      <c r="I826" s="1303" t="str">
        <f ca="1"/>
        <v/>
      </c>
      <c r="J826" s="1287" t="str">
        <f ca="1"/>
        <v/>
      </c>
      <c r="K826" s="1288" t="str">
        <f ca="1"/>
        <v xml:space="preserve">Description:
Details:
Aim:
</v>
      </c>
      <c r="L826" s="1287" t="str">
        <f ca="1"/>
        <v/>
      </c>
      <c r="M826" s="1287" t="str">
        <f ca="1"/>
        <v/>
      </c>
      <c r="N826" s="1287"/>
      <c r="O826" s="1323" t="str">
        <f ca="1"/>
        <v/>
      </c>
      <c r="P826" s="1287"/>
      <c r="Q826" s="1290" t="str">
        <f ca="1"/>
        <v/>
      </c>
    </row>
    <row r="827" spans="1:17" ht="27.75" hidden="1" customHeight="1" x14ac:dyDescent="0.45">
      <c r="A827" s="1289">
        <v>20</v>
      </c>
      <c r="B827" s="1285">
        <v>9</v>
      </c>
      <c r="C827" s="1285">
        <v>1</v>
      </c>
      <c r="D827" s="1297">
        <v>27.999999999999979</v>
      </c>
      <c r="E827" s="1299" t="str">
        <f ca="1"/>
        <v/>
      </c>
      <c r="F827" s="1286" t="str">
        <f ca="1"/>
        <v/>
      </c>
      <c r="G827" s="1286" t="str">
        <f ca="1"/>
        <v/>
      </c>
      <c r="H827" s="1301" t="str">
        <f ca="1"/>
        <v/>
      </c>
      <c r="I827" s="1303" t="str">
        <f ca="1"/>
        <v/>
      </c>
      <c r="J827" s="1287" t="str">
        <f ca="1"/>
        <v/>
      </c>
      <c r="K827" s="1288" t="str">
        <f ca="1"/>
        <v xml:space="preserve">Description:
Details:
Aim:
</v>
      </c>
      <c r="L827" s="1287" t="str">
        <f ca="1"/>
        <v/>
      </c>
      <c r="M827" s="1287" t="str">
        <f ca="1"/>
        <v/>
      </c>
      <c r="N827" s="1287"/>
      <c r="O827" s="1323" t="str">
        <f ca="1"/>
        <v/>
      </c>
      <c r="P827" s="1287"/>
      <c r="Q827" s="1290" t="str">
        <f ca="1"/>
        <v/>
      </c>
    </row>
    <row r="828" spans="1:17" ht="27.75" hidden="1" customHeight="1" x14ac:dyDescent="0.45">
      <c r="A828" s="1289">
        <v>20</v>
      </c>
      <c r="B828" s="1285">
        <v>10</v>
      </c>
      <c r="C828" s="1285">
        <v>1.9999999999999432</v>
      </c>
      <c r="D828" s="1297">
        <v>29.00000000000005</v>
      </c>
      <c r="E828" s="1299" t="str">
        <f ca="1"/>
        <v/>
      </c>
      <c r="F828" s="1286" t="str">
        <f ca="1"/>
        <v/>
      </c>
      <c r="G828" s="1286" t="str">
        <f ca="1"/>
        <v/>
      </c>
      <c r="H828" s="1301" t="str">
        <f ca="1"/>
        <v/>
      </c>
      <c r="I828" s="1303" t="str">
        <f ca="1"/>
        <v/>
      </c>
      <c r="J828" s="1287" t="str">
        <f ca="1"/>
        <v/>
      </c>
      <c r="K828" s="1288" t="str">
        <f ca="1"/>
        <v xml:space="preserve">Description:
Details:
Aim:
</v>
      </c>
      <c r="L828" s="1287" t="str">
        <f ca="1"/>
        <v/>
      </c>
      <c r="M828" s="1287" t="str">
        <f ca="1"/>
        <v/>
      </c>
      <c r="N828" s="1287"/>
      <c r="O828" s="1323" t="str">
        <f ca="1"/>
        <v/>
      </c>
      <c r="P828" s="1287"/>
      <c r="Q828" s="1290" t="str">
        <f ca="1"/>
        <v/>
      </c>
    </row>
    <row r="829" spans="1:17" ht="27.75" hidden="1" customHeight="1" x14ac:dyDescent="0.45">
      <c r="A829" s="1289">
        <v>20</v>
      </c>
      <c r="B829" s="1285">
        <v>10</v>
      </c>
      <c r="C829" s="1285">
        <v>3.0000000000000568</v>
      </c>
      <c r="D829" s="1297">
        <v>29.999999999999972</v>
      </c>
      <c r="E829" s="1299" t="str">
        <f ca="1"/>
        <v/>
      </c>
      <c r="F829" s="1286" t="str">
        <f ca="1"/>
        <v/>
      </c>
      <c r="G829" s="1286" t="str">
        <f ca="1"/>
        <v/>
      </c>
      <c r="H829" s="1301" t="str">
        <f ca="1"/>
        <v/>
      </c>
      <c r="I829" s="1303" t="str">
        <f ca="1"/>
        <v/>
      </c>
      <c r="J829" s="1287" t="str">
        <f ca="1"/>
        <v/>
      </c>
      <c r="K829" s="1288" t="str">
        <f ca="1"/>
        <v xml:space="preserve">Description:
Details:
Aim:
</v>
      </c>
      <c r="L829" s="1287" t="str">
        <f ca="1"/>
        <v/>
      </c>
      <c r="M829" s="1287" t="str">
        <f ca="1"/>
        <v/>
      </c>
      <c r="N829" s="1287"/>
      <c r="O829" s="1323" t="str">
        <f ca="1"/>
        <v/>
      </c>
      <c r="P829" s="1287"/>
      <c r="Q829" s="1290" t="str">
        <f ca="1"/>
        <v/>
      </c>
    </row>
    <row r="830" spans="1:17" ht="27.75" hidden="1" customHeight="1" x14ac:dyDescent="0.45">
      <c r="A830" s="1289">
        <v>20</v>
      </c>
      <c r="B830" s="1285">
        <v>11</v>
      </c>
      <c r="C830" s="1285">
        <v>1</v>
      </c>
      <c r="D830" s="1297">
        <v>31.000000000000043</v>
      </c>
      <c r="E830" s="1299" t="str">
        <f ca="1"/>
        <v/>
      </c>
      <c r="F830" s="1286" t="str">
        <f ca="1"/>
        <v/>
      </c>
      <c r="G830" s="1286" t="str">
        <f ca="1"/>
        <v/>
      </c>
      <c r="H830" s="1301" t="str">
        <f ca="1"/>
        <v/>
      </c>
      <c r="I830" s="1303" t="str">
        <f ca="1"/>
        <v/>
      </c>
      <c r="J830" s="1287" t="str">
        <f ca="1"/>
        <v/>
      </c>
      <c r="K830" s="1288" t="str">
        <f ca="1"/>
        <v xml:space="preserve">Description:
Details:
Aim:
</v>
      </c>
      <c r="L830" s="1287" t="str">
        <f ca="1"/>
        <v/>
      </c>
      <c r="M830" s="1287" t="str">
        <f ca="1"/>
        <v/>
      </c>
      <c r="N830" s="1287"/>
      <c r="O830" s="1323" t="str">
        <f ca="1"/>
        <v/>
      </c>
      <c r="P830" s="1287"/>
      <c r="Q830" s="1290" t="str">
        <f ca="1"/>
        <v/>
      </c>
    </row>
    <row r="831" spans="1:17" ht="27.75" hidden="1" customHeight="1" x14ac:dyDescent="0.45">
      <c r="A831" s="1289">
        <v>20</v>
      </c>
      <c r="B831" s="1285">
        <v>11</v>
      </c>
      <c r="C831" s="1285">
        <v>1.9999999999999432</v>
      </c>
      <c r="D831" s="1297">
        <v>31.999999999999964</v>
      </c>
      <c r="E831" s="1299" t="str">
        <f ca="1"/>
        <v/>
      </c>
      <c r="F831" s="1286" t="str">
        <f ca="1"/>
        <v/>
      </c>
      <c r="G831" s="1286" t="str">
        <f ca="1"/>
        <v/>
      </c>
      <c r="H831" s="1301" t="str">
        <f ca="1"/>
        <v/>
      </c>
      <c r="I831" s="1303" t="str">
        <f ca="1"/>
        <v/>
      </c>
      <c r="J831" s="1287" t="str">
        <f ca="1"/>
        <v/>
      </c>
      <c r="K831" s="1288" t="str">
        <f ca="1"/>
        <v xml:space="preserve">Description:
Details:
Aim:
</v>
      </c>
      <c r="L831" s="1287" t="str">
        <f ca="1"/>
        <v/>
      </c>
      <c r="M831" s="1287" t="str">
        <f ca="1"/>
        <v/>
      </c>
      <c r="N831" s="1287"/>
      <c r="O831" s="1323" t="str">
        <f ca="1"/>
        <v/>
      </c>
      <c r="P831" s="1287"/>
      <c r="Q831" s="1290" t="str">
        <f ca="1"/>
        <v/>
      </c>
    </row>
    <row r="832" spans="1:17" ht="27.75" hidden="1" customHeight="1" x14ac:dyDescent="0.45">
      <c r="A832" s="1289">
        <v>20</v>
      </c>
      <c r="B832" s="1285">
        <v>11</v>
      </c>
      <c r="C832" s="1285">
        <v>3.0000000000000568</v>
      </c>
      <c r="D832" s="1297">
        <v>33.000000000000036</v>
      </c>
      <c r="E832" s="1299" t="str">
        <f ca="1"/>
        <v/>
      </c>
      <c r="F832" s="1286" t="str">
        <f ca="1"/>
        <v/>
      </c>
      <c r="G832" s="1286" t="str">
        <f ca="1"/>
        <v/>
      </c>
      <c r="H832" s="1301" t="str">
        <f ca="1"/>
        <v/>
      </c>
      <c r="I832" s="1303" t="str">
        <f ca="1"/>
        <v/>
      </c>
      <c r="J832" s="1287" t="str">
        <f ca="1"/>
        <v/>
      </c>
      <c r="K832" s="1288" t="str">
        <f ca="1"/>
        <v xml:space="preserve">Description:
Details:
Aim:
</v>
      </c>
      <c r="L832" s="1287" t="str">
        <f ca="1"/>
        <v/>
      </c>
      <c r="M832" s="1287" t="str">
        <f ca="1"/>
        <v/>
      </c>
      <c r="N832" s="1287"/>
      <c r="O832" s="1323" t="str">
        <f ca="1"/>
        <v/>
      </c>
      <c r="P832" s="1287"/>
      <c r="Q832" s="1290" t="str">
        <f ca="1"/>
        <v/>
      </c>
    </row>
    <row r="833" spans="1:17" ht="27.75" hidden="1" customHeight="1" x14ac:dyDescent="0.45">
      <c r="A833" s="1289">
        <v>20</v>
      </c>
      <c r="B833" s="1285">
        <v>12</v>
      </c>
      <c r="C833" s="1285">
        <v>1</v>
      </c>
      <c r="D833" s="1297">
        <v>33.999999999999957</v>
      </c>
      <c r="E833" s="1299" t="str">
        <f ca="1"/>
        <v/>
      </c>
      <c r="F833" s="1286" t="str">
        <f ca="1"/>
        <v/>
      </c>
      <c r="G833" s="1286" t="str">
        <f ca="1"/>
        <v/>
      </c>
      <c r="H833" s="1301" t="str">
        <f ca="1"/>
        <v/>
      </c>
      <c r="I833" s="1303" t="str">
        <f ca="1"/>
        <v/>
      </c>
      <c r="J833" s="1287" t="str">
        <f ca="1"/>
        <v/>
      </c>
      <c r="K833" s="1288" t="str">
        <f ca="1"/>
        <v xml:space="preserve">Description:
Details:
Aim:
</v>
      </c>
      <c r="L833" s="1287" t="str">
        <f ca="1"/>
        <v/>
      </c>
      <c r="M833" s="1287" t="str">
        <f ca="1"/>
        <v/>
      </c>
      <c r="N833" s="1287"/>
      <c r="O833" s="1323" t="str">
        <f ca="1"/>
        <v/>
      </c>
      <c r="P833" s="1287"/>
      <c r="Q833" s="1290" t="str">
        <f ca="1"/>
        <v/>
      </c>
    </row>
    <row r="834" spans="1:17" ht="27.75" hidden="1" customHeight="1" x14ac:dyDescent="0.45">
      <c r="A834" s="1289">
        <v>20</v>
      </c>
      <c r="B834" s="1285">
        <v>12</v>
      </c>
      <c r="C834" s="1285">
        <v>1.9999999999999432</v>
      </c>
      <c r="D834" s="1297">
        <v>35.000000000000028</v>
      </c>
      <c r="E834" s="1299" t="str">
        <f ca="1"/>
        <v/>
      </c>
      <c r="F834" s="1286" t="str">
        <f ca="1"/>
        <v/>
      </c>
      <c r="G834" s="1286" t="str">
        <f ca="1"/>
        <v/>
      </c>
      <c r="H834" s="1301" t="str">
        <f ca="1"/>
        <v/>
      </c>
      <c r="I834" s="1303" t="str">
        <f ca="1"/>
        <v/>
      </c>
      <c r="J834" s="1287" t="str">
        <f ca="1"/>
        <v/>
      </c>
      <c r="K834" s="1288" t="str">
        <f ca="1"/>
        <v xml:space="preserve">Description:
Details:
Aim:
</v>
      </c>
      <c r="L834" s="1287" t="str">
        <f ca="1"/>
        <v/>
      </c>
      <c r="M834" s="1287" t="str">
        <f ca="1"/>
        <v/>
      </c>
      <c r="N834" s="1287"/>
      <c r="O834" s="1323" t="str">
        <f ca="1"/>
        <v/>
      </c>
      <c r="P834" s="1287"/>
      <c r="Q834" s="1290" t="str">
        <f ca="1"/>
        <v/>
      </c>
    </row>
    <row r="835" spans="1:17" ht="27.75" hidden="1" customHeight="1" x14ac:dyDescent="0.45">
      <c r="A835" s="1289">
        <v>20</v>
      </c>
      <c r="B835" s="1285">
        <v>12</v>
      </c>
      <c r="C835" s="1285">
        <v>3.0000000000000568</v>
      </c>
      <c r="D835" s="1297">
        <v>35.99999999999995</v>
      </c>
      <c r="E835" s="1299" t="str">
        <f ca="1"/>
        <v/>
      </c>
      <c r="F835" s="1286" t="str">
        <f ca="1"/>
        <v/>
      </c>
      <c r="G835" s="1286" t="str">
        <f ca="1"/>
        <v/>
      </c>
      <c r="H835" s="1301" t="str">
        <f ca="1"/>
        <v/>
      </c>
      <c r="I835" s="1303" t="str">
        <f ca="1"/>
        <v/>
      </c>
      <c r="J835" s="1287" t="str">
        <f ca="1"/>
        <v/>
      </c>
      <c r="K835" s="1288" t="str">
        <f ca="1"/>
        <v xml:space="preserve">Description:
Details:
Aim:
</v>
      </c>
      <c r="L835" s="1287" t="str">
        <f ca="1"/>
        <v/>
      </c>
      <c r="M835" s="1287" t="str">
        <f ca="1"/>
        <v/>
      </c>
      <c r="N835" s="1287"/>
      <c r="O835" s="1323" t="str">
        <f ca="1"/>
        <v/>
      </c>
      <c r="P835" s="1287"/>
      <c r="Q835" s="1290" t="str">
        <f ca="1"/>
        <v/>
      </c>
    </row>
    <row r="836" spans="1:17" ht="27.75" hidden="1" customHeight="1" x14ac:dyDescent="0.45">
      <c r="A836" s="1289">
        <v>20</v>
      </c>
      <c r="B836" s="1285">
        <v>13</v>
      </c>
      <c r="C836" s="1285">
        <v>1</v>
      </c>
      <c r="D836" s="1297">
        <v>37.000000000000021</v>
      </c>
      <c r="E836" s="1299" t="str">
        <f ca="1"/>
        <v/>
      </c>
      <c r="F836" s="1286" t="str">
        <f ca="1"/>
        <v/>
      </c>
      <c r="G836" s="1286" t="str">
        <f ca="1"/>
        <v/>
      </c>
      <c r="H836" s="1301" t="str">
        <f ca="1"/>
        <v/>
      </c>
      <c r="I836" s="1303" t="str">
        <f ca="1"/>
        <v/>
      </c>
      <c r="J836" s="1287" t="str">
        <f ca="1"/>
        <v/>
      </c>
      <c r="K836" s="1288" t="str">
        <f ca="1"/>
        <v xml:space="preserve">Description:
Details:
Aim:
</v>
      </c>
      <c r="L836" s="1287" t="str">
        <f ca="1"/>
        <v/>
      </c>
      <c r="M836" s="1287" t="str">
        <f ca="1"/>
        <v/>
      </c>
      <c r="N836" s="1287"/>
      <c r="O836" s="1323" t="str">
        <f ca="1"/>
        <v/>
      </c>
      <c r="P836" s="1287"/>
      <c r="Q836" s="1290" t="str">
        <f ca="1"/>
        <v/>
      </c>
    </row>
    <row r="837" spans="1:17" ht="27.75" hidden="1" customHeight="1" x14ac:dyDescent="0.45">
      <c r="A837" s="1289">
        <v>20</v>
      </c>
      <c r="B837" s="1285">
        <v>13</v>
      </c>
      <c r="C837" s="1285">
        <v>1.9999999999999432</v>
      </c>
      <c r="D837" s="1297">
        <v>37.999999999999943</v>
      </c>
      <c r="E837" s="1299" t="str">
        <f ca="1"/>
        <v/>
      </c>
      <c r="F837" s="1286" t="str">
        <f ca="1"/>
        <v/>
      </c>
      <c r="G837" s="1286" t="str">
        <f ca="1"/>
        <v/>
      </c>
      <c r="H837" s="1301" t="str">
        <f ca="1"/>
        <v/>
      </c>
      <c r="I837" s="1303" t="str">
        <f ca="1"/>
        <v/>
      </c>
      <c r="J837" s="1287" t="str">
        <f ca="1"/>
        <v/>
      </c>
      <c r="K837" s="1288" t="str">
        <f ca="1"/>
        <v xml:space="preserve">Description:
Details:
Aim:
</v>
      </c>
      <c r="L837" s="1287" t="str">
        <f ca="1"/>
        <v/>
      </c>
      <c r="M837" s="1287" t="str">
        <f ca="1"/>
        <v/>
      </c>
      <c r="N837" s="1287"/>
      <c r="O837" s="1323" t="str">
        <f ca="1"/>
        <v/>
      </c>
      <c r="P837" s="1287"/>
      <c r="Q837" s="1290" t="str">
        <f ca="1"/>
        <v/>
      </c>
    </row>
    <row r="838" spans="1:17" ht="27.75" hidden="1" customHeight="1" x14ac:dyDescent="0.45">
      <c r="A838" s="1289">
        <v>20</v>
      </c>
      <c r="B838" s="1285">
        <v>13</v>
      </c>
      <c r="C838" s="1285">
        <v>3.0000000000000568</v>
      </c>
      <c r="D838" s="1297">
        <v>39.000000000000014</v>
      </c>
      <c r="E838" s="1299" t="str">
        <f ca="1"/>
        <v/>
      </c>
      <c r="F838" s="1286" t="str">
        <f ca="1"/>
        <v/>
      </c>
      <c r="G838" s="1286" t="str">
        <f ca="1"/>
        <v/>
      </c>
      <c r="H838" s="1301" t="str">
        <f ca="1"/>
        <v/>
      </c>
      <c r="I838" s="1303" t="str">
        <f ca="1"/>
        <v/>
      </c>
      <c r="J838" s="1287" t="str">
        <f ca="1"/>
        <v/>
      </c>
      <c r="K838" s="1288" t="str">
        <f ca="1"/>
        <v xml:space="preserve">Description:
Details:
Aim:
</v>
      </c>
      <c r="L838" s="1287" t="str">
        <f ca="1"/>
        <v/>
      </c>
      <c r="M838" s="1287" t="str">
        <f ca="1"/>
        <v/>
      </c>
      <c r="N838" s="1287"/>
      <c r="O838" s="1323" t="str">
        <f ca="1"/>
        <v/>
      </c>
      <c r="P838" s="1287"/>
      <c r="Q838" s="1290" t="str">
        <f ca="1"/>
        <v/>
      </c>
    </row>
    <row r="839" spans="1:17" ht="27.75" hidden="1" customHeight="1" x14ac:dyDescent="0.45">
      <c r="A839" s="1289">
        <v>20</v>
      </c>
      <c r="B839" s="1285">
        <v>14</v>
      </c>
      <c r="C839" s="1285">
        <v>1</v>
      </c>
      <c r="D839" s="1297">
        <v>39.999999999999936</v>
      </c>
      <c r="E839" s="1299" t="str">
        <f ca="1"/>
        <v/>
      </c>
      <c r="F839" s="1286" t="str">
        <f ca="1"/>
        <v/>
      </c>
      <c r="G839" s="1286" t="str">
        <f ca="1"/>
        <v/>
      </c>
      <c r="H839" s="1301" t="str">
        <f ca="1"/>
        <v/>
      </c>
      <c r="I839" s="1303" t="str">
        <f ca="1"/>
        <v/>
      </c>
      <c r="J839" s="1287" t="str">
        <f ca="1"/>
        <v/>
      </c>
      <c r="K839" s="1288" t="str">
        <f ca="1"/>
        <v xml:space="preserve">Description:
Details:
Aim:
</v>
      </c>
      <c r="L839" s="1287" t="str">
        <f ca="1"/>
        <v/>
      </c>
      <c r="M839" s="1287" t="str">
        <f ca="1"/>
        <v/>
      </c>
      <c r="N839" s="1287"/>
      <c r="O839" s="1323" t="str">
        <f ca="1"/>
        <v/>
      </c>
      <c r="P839" s="1287"/>
      <c r="Q839" s="1290" t="str">
        <f ca="1"/>
        <v/>
      </c>
    </row>
    <row r="840" spans="1:17" ht="27.75" hidden="1" customHeight="1" x14ac:dyDescent="0.45">
      <c r="A840" s="1289">
        <v>20</v>
      </c>
      <c r="B840" s="1285">
        <v>14</v>
      </c>
      <c r="C840" s="1285">
        <v>1.9999999999999432</v>
      </c>
      <c r="D840" s="1297">
        <v>41.000000000000007</v>
      </c>
      <c r="E840" s="1299" t="str">
        <f ca="1"/>
        <v/>
      </c>
      <c r="F840" s="1286" t="str">
        <f ca="1"/>
        <v/>
      </c>
      <c r="G840" s="1286" t="str">
        <f ca="1"/>
        <v/>
      </c>
      <c r="H840" s="1301" t="str">
        <f ca="1"/>
        <v/>
      </c>
      <c r="I840" s="1303" t="str">
        <f ca="1"/>
        <v/>
      </c>
      <c r="J840" s="1287" t="str">
        <f ca="1"/>
        <v/>
      </c>
      <c r="K840" s="1288" t="str">
        <f ca="1"/>
        <v xml:space="preserve">Description:
Details:
Aim:
</v>
      </c>
      <c r="L840" s="1287" t="str">
        <f ca="1"/>
        <v/>
      </c>
      <c r="M840" s="1287" t="str">
        <f ca="1"/>
        <v/>
      </c>
      <c r="N840" s="1287"/>
      <c r="O840" s="1323" t="str">
        <f ca="1"/>
        <v/>
      </c>
      <c r="P840" s="1287"/>
      <c r="Q840" s="1290" t="str">
        <f ca="1"/>
        <v/>
      </c>
    </row>
    <row r="841" spans="1:17" ht="27.75" hidden="1" customHeight="1" x14ac:dyDescent="0.45">
      <c r="A841" s="1289">
        <v>20</v>
      </c>
      <c r="B841" s="1285">
        <v>14</v>
      </c>
      <c r="C841" s="1285">
        <v>3.0000000000000568</v>
      </c>
      <c r="D841" s="1297">
        <v>41.999999999999929</v>
      </c>
      <c r="E841" s="1299" t="str">
        <f ca="1"/>
        <v/>
      </c>
      <c r="F841" s="1286" t="str">
        <f ca="1"/>
        <v/>
      </c>
      <c r="G841" s="1286" t="str">
        <f ca="1"/>
        <v/>
      </c>
      <c r="H841" s="1301" t="str">
        <f ca="1"/>
        <v/>
      </c>
      <c r="I841" s="1303" t="str">
        <f ca="1"/>
        <v/>
      </c>
      <c r="J841" s="1287" t="str">
        <f ca="1"/>
        <v/>
      </c>
      <c r="K841" s="1288" t="str">
        <f ca="1"/>
        <v xml:space="preserve">Description:
Details:
Aim:
</v>
      </c>
      <c r="L841" s="1287" t="str">
        <f ca="1"/>
        <v/>
      </c>
      <c r="M841" s="1287" t="str">
        <f ca="1"/>
        <v/>
      </c>
      <c r="N841" s="1287"/>
      <c r="O841" s="1323" t="str">
        <f ca="1"/>
        <v/>
      </c>
      <c r="P841" s="1287"/>
      <c r="Q841" s="1290" t="str">
        <f ca="1"/>
        <v/>
      </c>
    </row>
    <row r="842" spans="1:17" ht="27.75" hidden="1" customHeight="1" x14ac:dyDescent="0.45">
      <c r="A842" s="1289">
        <v>21</v>
      </c>
      <c r="B842" s="1285">
        <v>1</v>
      </c>
      <c r="C842" s="1285">
        <v>1</v>
      </c>
      <c r="D842" s="1297">
        <v>1</v>
      </c>
      <c r="E842" s="1299" t="str">
        <f ca="1"/>
        <v/>
      </c>
      <c r="F842" s="1286" t="str">
        <f ca="1"/>
        <v/>
      </c>
      <c r="G842" s="1286" t="str">
        <f ca="1"/>
        <v/>
      </c>
      <c r="H842" s="1301" t="str">
        <f ca="1"/>
        <v/>
      </c>
      <c r="I842" s="1303" t="str">
        <f ca="1"/>
        <v/>
      </c>
      <c r="J842" s="1287" t="str">
        <f ca="1"/>
        <v/>
      </c>
      <c r="K842" s="1288" t="str">
        <f ca="1"/>
        <v xml:space="preserve">Description:
Details:
Aim:
</v>
      </c>
      <c r="L842" s="1287" t="str">
        <f ca="1"/>
        <v/>
      </c>
      <c r="M842" s="1287" t="str">
        <f ca="1"/>
        <v/>
      </c>
      <c r="N842" s="1287"/>
      <c r="O842" s="1323" t="str">
        <f ca="1"/>
        <v/>
      </c>
      <c r="P842" s="1287"/>
      <c r="Q842" s="1290" t="str">
        <f ca="1"/>
        <v/>
      </c>
    </row>
    <row r="843" spans="1:17" ht="27.75" hidden="1" customHeight="1" x14ac:dyDescent="0.45">
      <c r="A843" s="1289">
        <v>21</v>
      </c>
      <c r="B843" s="1285">
        <v>1</v>
      </c>
      <c r="C843" s="1285">
        <v>1.9999999999999432</v>
      </c>
      <c r="D843" s="1297">
        <v>2.0000000000000711</v>
      </c>
      <c r="E843" s="1299" t="str">
        <f ca="1"/>
        <v/>
      </c>
      <c r="F843" s="1286" t="str">
        <f ca="1"/>
        <v/>
      </c>
      <c r="G843" s="1286" t="str">
        <f ca="1"/>
        <v/>
      </c>
      <c r="H843" s="1301" t="str">
        <f ca="1"/>
        <v/>
      </c>
      <c r="I843" s="1303" t="str">
        <f ca="1"/>
        <v/>
      </c>
      <c r="J843" s="1287" t="str">
        <f ca="1"/>
        <v/>
      </c>
      <c r="K843" s="1288" t="str">
        <f ca="1"/>
        <v xml:space="preserve">Description:
Details:
Aim:
</v>
      </c>
      <c r="L843" s="1287" t="str">
        <f ca="1"/>
        <v/>
      </c>
      <c r="M843" s="1287" t="str">
        <f ca="1"/>
        <v/>
      </c>
      <c r="N843" s="1287"/>
      <c r="O843" s="1323" t="str">
        <f ca="1"/>
        <v/>
      </c>
      <c r="P843" s="1287"/>
      <c r="Q843" s="1290" t="str">
        <f ca="1"/>
        <v/>
      </c>
    </row>
    <row r="844" spans="1:17" ht="27.75" hidden="1" customHeight="1" x14ac:dyDescent="0.45">
      <c r="A844" s="1289">
        <v>21</v>
      </c>
      <c r="B844" s="1285">
        <v>1</v>
      </c>
      <c r="C844" s="1285">
        <v>3.0000000000000568</v>
      </c>
      <c r="D844" s="1297">
        <v>2.9999999999999929</v>
      </c>
      <c r="E844" s="1299" t="str">
        <f ca="1"/>
        <v/>
      </c>
      <c r="F844" s="1286" t="str">
        <f ca="1"/>
        <v/>
      </c>
      <c r="G844" s="1286" t="str">
        <f ca="1"/>
        <v/>
      </c>
      <c r="H844" s="1301" t="str">
        <f ca="1"/>
        <v/>
      </c>
      <c r="I844" s="1303" t="str">
        <f ca="1"/>
        <v/>
      </c>
      <c r="J844" s="1287" t="str">
        <f ca="1"/>
        <v/>
      </c>
      <c r="K844" s="1288" t="str">
        <f ca="1"/>
        <v xml:space="preserve">Description:
Details:
Aim:
</v>
      </c>
      <c r="L844" s="1287" t="str">
        <f ca="1"/>
        <v/>
      </c>
      <c r="M844" s="1287" t="str">
        <f ca="1"/>
        <v/>
      </c>
      <c r="N844" s="1287"/>
      <c r="O844" s="1323" t="str">
        <f ca="1"/>
        <v/>
      </c>
      <c r="P844" s="1287"/>
      <c r="Q844" s="1290" t="str">
        <f ca="1"/>
        <v/>
      </c>
    </row>
    <row r="845" spans="1:17" ht="27.75" hidden="1" customHeight="1" x14ac:dyDescent="0.45">
      <c r="A845" s="1289">
        <v>21</v>
      </c>
      <c r="B845" s="1285">
        <v>2</v>
      </c>
      <c r="C845" s="1285">
        <v>1</v>
      </c>
      <c r="D845" s="1297">
        <v>4.0000000000000639</v>
      </c>
      <c r="E845" s="1299" t="str">
        <f ca="1"/>
        <v/>
      </c>
      <c r="F845" s="1286" t="str">
        <f ca="1"/>
        <v/>
      </c>
      <c r="G845" s="1286" t="str">
        <f ca="1"/>
        <v/>
      </c>
      <c r="H845" s="1301" t="str">
        <f ca="1"/>
        <v/>
      </c>
      <c r="I845" s="1303" t="str">
        <f ca="1"/>
        <v/>
      </c>
      <c r="J845" s="1287" t="str">
        <f ca="1"/>
        <v/>
      </c>
      <c r="K845" s="1288" t="str">
        <f ca="1"/>
        <v xml:space="preserve">Description:
Details:
Aim:
</v>
      </c>
      <c r="L845" s="1287" t="str">
        <f ca="1"/>
        <v/>
      </c>
      <c r="M845" s="1287" t="str">
        <f ca="1"/>
        <v/>
      </c>
      <c r="N845" s="1287"/>
      <c r="O845" s="1323" t="str">
        <f ca="1"/>
        <v/>
      </c>
      <c r="P845" s="1287"/>
      <c r="Q845" s="1290" t="str">
        <f ca="1"/>
        <v/>
      </c>
    </row>
    <row r="846" spans="1:17" ht="27.75" hidden="1" customHeight="1" x14ac:dyDescent="0.45">
      <c r="A846" s="1289">
        <v>21</v>
      </c>
      <c r="B846" s="1285">
        <v>2</v>
      </c>
      <c r="C846" s="1285">
        <v>1.9999999999999432</v>
      </c>
      <c r="D846" s="1297">
        <v>4.9999999999999858</v>
      </c>
      <c r="E846" s="1299" t="str">
        <f ca="1"/>
        <v/>
      </c>
      <c r="F846" s="1286" t="str">
        <f ca="1"/>
        <v/>
      </c>
      <c r="G846" s="1286" t="str">
        <f ca="1"/>
        <v/>
      </c>
      <c r="H846" s="1301" t="str">
        <f ca="1"/>
        <v/>
      </c>
      <c r="I846" s="1303" t="str">
        <f ca="1"/>
        <v/>
      </c>
      <c r="J846" s="1287" t="str">
        <f ca="1"/>
        <v/>
      </c>
      <c r="K846" s="1288" t="str">
        <f ca="1"/>
        <v xml:space="preserve">Description:
Details:
Aim:
</v>
      </c>
      <c r="L846" s="1287" t="str">
        <f ca="1"/>
        <v/>
      </c>
      <c r="M846" s="1287" t="str">
        <f ca="1"/>
        <v/>
      </c>
      <c r="N846" s="1287"/>
      <c r="O846" s="1323" t="str">
        <f ca="1"/>
        <v/>
      </c>
      <c r="P846" s="1287"/>
      <c r="Q846" s="1290" t="str">
        <f ca="1"/>
        <v/>
      </c>
    </row>
    <row r="847" spans="1:17" ht="27.75" hidden="1" customHeight="1" x14ac:dyDescent="0.45">
      <c r="A847" s="1289">
        <v>21</v>
      </c>
      <c r="B847" s="1285">
        <v>2</v>
      </c>
      <c r="C847" s="1285">
        <v>3.0000000000000568</v>
      </c>
      <c r="D847" s="1297">
        <v>6.0000000000000568</v>
      </c>
      <c r="E847" s="1299" t="str">
        <f ca="1"/>
        <v/>
      </c>
      <c r="F847" s="1286" t="str">
        <f ca="1"/>
        <v/>
      </c>
      <c r="G847" s="1286" t="str">
        <f ca="1"/>
        <v/>
      </c>
      <c r="H847" s="1301" t="str">
        <f ca="1"/>
        <v/>
      </c>
      <c r="I847" s="1303" t="str">
        <f ca="1"/>
        <v/>
      </c>
      <c r="J847" s="1287" t="str">
        <f ca="1"/>
        <v/>
      </c>
      <c r="K847" s="1288" t="str">
        <f ca="1"/>
        <v xml:space="preserve">Description:
Details:
Aim:
</v>
      </c>
      <c r="L847" s="1287" t="str">
        <f ca="1"/>
        <v/>
      </c>
      <c r="M847" s="1287" t="str">
        <f ca="1"/>
        <v/>
      </c>
      <c r="N847" s="1287"/>
      <c r="O847" s="1323" t="str">
        <f ca="1"/>
        <v/>
      </c>
      <c r="P847" s="1287"/>
      <c r="Q847" s="1290" t="str">
        <f ca="1"/>
        <v/>
      </c>
    </row>
    <row r="848" spans="1:17" ht="27.75" hidden="1" customHeight="1" x14ac:dyDescent="0.45">
      <c r="A848" s="1289">
        <v>21</v>
      </c>
      <c r="B848" s="1285">
        <v>2</v>
      </c>
      <c r="C848" s="1285">
        <v>1</v>
      </c>
      <c r="D848" s="1297">
        <v>6.9999999999999787</v>
      </c>
      <c r="E848" s="1299" t="str">
        <f ca="1"/>
        <v/>
      </c>
      <c r="F848" s="1286" t="str">
        <f ca="1"/>
        <v/>
      </c>
      <c r="G848" s="1286" t="str">
        <f ca="1"/>
        <v/>
      </c>
      <c r="H848" s="1301" t="str">
        <f ca="1"/>
        <v/>
      </c>
      <c r="I848" s="1303" t="str">
        <f ca="1"/>
        <v/>
      </c>
      <c r="J848" s="1287" t="str">
        <f ca="1"/>
        <v/>
      </c>
      <c r="K848" s="1288" t="str">
        <f ca="1"/>
        <v xml:space="preserve">Description:
Details:
Aim:
</v>
      </c>
      <c r="L848" s="1287" t="str">
        <f ca="1"/>
        <v/>
      </c>
      <c r="M848" s="1287" t="str">
        <f ca="1"/>
        <v/>
      </c>
      <c r="N848" s="1287"/>
      <c r="O848" s="1323" t="str">
        <f ca="1"/>
        <v/>
      </c>
      <c r="P848" s="1287"/>
      <c r="Q848" s="1290" t="str">
        <f ca="1"/>
        <v/>
      </c>
    </row>
    <row r="849" spans="1:17" ht="27.75" hidden="1" customHeight="1" x14ac:dyDescent="0.45">
      <c r="A849" s="1289">
        <v>21</v>
      </c>
      <c r="B849" s="1285">
        <v>3</v>
      </c>
      <c r="C849" s="1285">
        <v>1.9999999999999432</v>
      </c>
      <c r="D849" s="1297">
        <v>8.0000000000000497</v>
      </c>
      <c r="E849" s="1299" t="str">
        <f ca="1"/>
        <v/>
      </c>
      <c r="F849" s="1286" t="str">
        <f ca="1"/>
        <v/>
      </c>
      <c r="G849" s="1286" t="str">
        <f ca="1"/>
        <v/>
      </c>
      <c r="H849" s="1301" t="str">
        <f ca="1"/>
        <v/>
      </c>
      <c r="I849" s="1303" t="str">
        <f ca="1"/>
        <v/>
      </c>
      <c r="J849" s="1287" t="str">
        <f ca="1"/>
        <v/>
      </c>
      <c r="K849" s="1288" t="str">
        <f ca="1"/>
        <v xml:space="preserve">Description:
Details:
Aim:
</v>
      </c>
      <c r="L849" s="1287" t="str">
        <f ca="1"/>
        <v/>
      </c>
      <c r="M849" s="1287" t="str">
        <f ca="1"/>
        <v/>
      </c>
      <c r="N849" s="1287"/>
      <c r="O849" s="1323" t="str">
        <f ca="1"/>
        <v/>
      </c>
      <c r="P849" s="1287"/>
      <c r="Q849" s="1290" t="str">
        <f ca="1"/>
        <v/>
      </c>
    </row>
    <row r="850" spans="1:17" ht="27.75" hidden="1" customHeight="1" x14ac:dyDescent="0.45">
      <c r="A850" s="1289">
        <v>21</v>
      </c>
      <c r="B850" s="1285">
        <v>3</v>
      </c>
      <c r="C850" s="1285">
        <v>3.0000000000000568</v>
      </c>
      <c r="D850" s="1297">
        <v>8.9999999999999716</v>
      </c>
      <c r="E850" s="1299" t="str">
        <f ca="1"/>
        <v/>
      </c>
      <c r="F850" s="1286" t="str">
        <f ca="1"/>
        <v/>
      </c>
      <c r="G850" s="1286" t="str">
        <f ca="1"/>
        <v/>
      </c>
      <c r="H850" s="1301" t="str">
        <f ca="1"/>
        <v/>
      </c>
      <c r="I850" s="1303" t="str">
        <f ca="1"/>
        <v/>
      </c>
      <c r="J850" s="1287" t="str">
        <f ca="1"/>
        <v/>
      </c>
      <c r="K850" s="1288" t="str">
        <f ca="1"/>
        <v xml:space="preserve">Description:
Details:
Aim:
</v>
      </c>
      <c r="L850" s="1287" t="str">
        <f ca="1"/>
        <v/>
      </c>
      <c r="M850" s="1287" t="str">
        <f ca="1"/>
        <v/>
      </c>
      <c r="N850" s="1287"/>
      <c r="O850" s="1323" t="str">
        <f ca="1"/>
        <v/>
      </c>
      <c r="P850" s="1287"/>
      <c r="Q850" s="1290" t="str">
        <f ca="1"/>
        <v/>
      </c>
    </row>
    <row r="851" spans="1:17" ht="27.75" hidden="1" customHeight="1" x14ac:dyDescent="0.45">
      <c r="A851" s="1289">
        <v>21</v>
      </c>
      <c r="B851" s="1285">
        <v>4</v>
      </c>
      <c r="C851" s="1285">
        <v>1</v>
      </c>
      <c r="D851" s="1297">
        <v>10.000000000000043</v>
      </c>
      <c r="E851" s="1299" t="str">
        <f ca="1"/>
        <v/>
      </c>
      <c r="F851" s="1286" t="str">
        <f ca="1"/>
        <v/>
      </c>
      <c r="G851" s="1286" t="str">
        <f ca="1"/>
        <v/>
      </c>
      <c r="H851" s="1301" t="str">
        <f ca="1"/>
        <v/>
      </c>
      <c r="I851" s="1303" t="str">
        <f ca="1"/>
        <v/>
      </c>
      <c r="J851" s="1287" t="str">
        <f ca="1"/>
        <v/>
      </c>
      <c r="K851" s="1288" t="str">
        <f ca="1"/>
        <v xml:space="preserve">Description:
Details:
Aim:
</v>
      </c>
      <c r="L851" s="1287" t="str">
        <f ca="1"/>
        <v/>
      </c>
      <c r="M851" s="1287" t="str">
        <f ca="1"/>
        <v/>
      </c>
      <c r="N851" s="1287"/>
      <c r="O851" s="1323" t="str">
        <f ca="1"/>
        <v/>
      </c>
      <c r="P851" s="1287"/>
      <c r="Q851" s="1290" t="str">
        <f ca="1"/>
        <v/>
      </c>
    </row>
    <row r="852" spans="1:17" ht="27.75" hidden="1" customHeight="1" x14ac:dyDescent="0.45">
      <c r="A852" s="1289">
        <v>21</v>
      </c>
      <c r="B852" s="1285">
        <v>4</v>
      </c>
      <c r="C852" s="1285">
        <v>1.9999999999999432</v>
      </c>
      <c r="D852" s="1297">
        <v>10.999999999999964</v>
      </c>
      <c r="E852" s="1299" t="str">
        <f ca="1"/>
        <v/>
      </c>
      <c r="F852" s="1286" t="str">
        <f ca="1"/>
        <v/>
      </c>
      <c r="G852" s="1286" t="str">
        <f ca="1"/>
        <v/>
      </c>
      <c r="H852" s="1301" t="str">
        <f ca="1"/>
        <v/>
      </c>
      <c r="I852" s="1303" t="str">
        <f ca="1"/>
        <v/>
      </c>
      <c r="J852" s="1287" t="str">
        <f ca="1"/>
        <v/>
      </c>
      <c r="K852" s="1288" t="str">
        <f ca="1"/>
        <v xml:space="preserve">Description:
Details:
Aim:
</v>
      </c>
      <c r="L852" s="1287" t="str">
        <f ca="1"/>
        <v/>
      </c>
      <c r="M852" s="1287" t="str">
        <f ca="1"/>
        <v/>
      </c>
      <c r="N852" s="1287"/>
      <c r="O852" s="1323" t="str">
        <f ca="1"/>
        <v/>
      </c>
      <c r="P852" s="1287"/>
      <c r="Q852" s="1290" t="str">
        <f ca="1"/>
        <v/>
      </c>
    </row>
    <row r="853" spans="1:17" ht="27.75" hidden="1" customHeight="1" x14ac:dyDescent="0.45">
      <c r="A853" s="1289">
        <v>21</v>
      </c>
      <c r="B853" s="1285">
        <v>4</v>
      </c>
      <c r="C853" s="1285">
        <v>3.0000000000000568</v>
      </c>
      <c r="D853" s="1297">
        <v>12.000000000000036</v>
      </c>
      <c r="E853" s="1299" t="str">
        <f ca="1"/>
        <v/>
      </c>
      <c r="F853" s="1286" t="str">
        <f ca="1"/>
        <v/>
      </c>
      <c r="G853" s="1286" t="str">
        <f ca="1"/>
        <v/>
      </c>
      <c r="H853" s="1301" t="str">
        <f ca="1"/>
        <v/>
      </c>
      <c r="I853" s="1303" t="str">
        <f ca="1"/>
        <v/>
      </c>
      <c r="J853" s="1287" t="str">
        <f ca="1"/>
        <v/>
      </c>
      <c r="K853" s="1288" t="str">
        <f ca="1"/>
        <v xml:space="preserve">Description:
Details:
Aim:
</v>
      </c>
      <c r="L853" s="1287" t="str">
        <f ca="1"/>
        <v/>
      </c>
      <c r="M853" s="1287" t="str">
        <f ca="1"/>
        <v/>
      </c>
      <c r="N853" s="1287"/>
      <c r="O853" s="1323" t="str">
        <f ca="1"/>
        <v/>
      </c>
      <c r="P853" s="1287"/>
      <c r="Q853" s="1290" t="str">
        <f ca="1"/>
        <v/>
      </c>
    </row>
    <row r="854" spans="1:17" ht="27.75" hidden="1" customHeight="1" x14ac:dyDescent="0.45">
      <c r="A854" s="1289">
        <v>21</v>
      </c>
      <c r="B854" s="1285">
        <v>4</v>
      </c>
      <c r="C854" s="1285">
        <v>1</v>
      </c>
      <c r="D854" s="1297">
        <v>12.999999999999957</v>
      </c>
      <c r="E854" s="1299" t="str">
        <f ca="1"/>
        <v/>
      </c>
      <c r="F854" s="1286" t="str">
        <f ca="1"/>
        <v/>
      </c>
      <c r="G854" s="1286" t="str">
        <f ca="1"/>
        <v/>
      </c>
      <c r="H854" s="1301" t="str">
        <f ca="1"/>
        <v/>
      </c>
      <c r="I854" s="1303" t="str">
        <f ca="1"/>
        <v/>
      </c>
      <c r="J854" s="1287" t="str">
        <f ca="1"/>
        <v/>
      </c>
      <c r="K854" s="1288" t="str">
        <f ca="1"/>
        <v xml:space="preserve">Description:
Details:
Aim:
</v>
      </c>
      <c r="L854" s="1287" t="str">
        <f ca="1"/>
        <v/>
      </c>
      <c r="M854" s="1287" t="str">
        <f ca="1"/>
        <v/>
      </c>
      <c r="N854" s="1287"/>
      <c r="O854" s="1323" t="str">
        <f ca="1"/>
        <v/>
      </c>
      <c r="P854" s="1287"/>
      <c r="Q854" s="1290" t="str">
        <f ca="1"/>
        <v/>
      </c>
    </row>
    <row r="855" spans="1:17" ht="27.75" hidden="1" customHeight="1" x14ac:dyDescent="0.45">
      <c r="A855" s="1289">
        <v>21</v>
      </c>
      <c r="B855" s="1285">
        <v>5</v>
      </c>
      <c r="C855" s="1285">
        <v>1.9999999999999432</v>
      </c>
      <c r="D855" s="1297">
        <v>14.000000000000028</v>
      </c>
      <c r="E855" s="1299" t="str">
        <f ca="1"/>
        <v/>
      </c>
      <c r="F855" s="1286" t="str">
        <f ca="1"/>
        <v/>
      </c>
      <c r="G855" s="1286" t="str">
        <f ca="1"/>
        <v/>
      </c>
      <c r="H855" s="1301" t="str">
        <f ca="1"/>
        <v/>
      </c>
      <c r="I855" s="1303" t="str">
        <f ca="1"/>
        <v/>
      </c>
      <c r="J855" s="1287" t="str">
        <f ca="1"/>
        <v/>
      </c>
      <c r="K855" s="1288" t="str">
        <f ca="1"/>
        <v xml:space="preserve">Description:
Details:
Aim:
</v>
      </c>
      <c r="L855" s="1287" t="str">
        <f ca="1"/>
        <v/>
      </c>
      <c r="M855" s="1287" t="str">
        <f ca="1"/>
        <v/>
      </c>
      <c r="N855" s="1287"/>
      <c r="O855" s="1323" t="str">
        <f ca="1"/>
        <v/>
      </c>
      <c r="P855" s="1287"/>
      <c r="Q855" s="1290" t="str">
        <f ca="1"/>
        <v/>
      </c>
    </row>
    <row r="856" spans="1:17" ht="27.75" hidden="1" customHeight="1" x14ac:dyDescent="0.45">
      <c r="A856" s="1289">
        <v>21</v>
      </c>
      <c r="B856" s="1285">
        <v>5</v>
      </c>
      <c r="C856" s="1285">
        <v>3.0000000000000568</v>
      </c>
      <c r="D856" s="1297">
        <v>14.99999999999995</v>
      </c>
      <c r="E856" s="1299" t="str">
        <f ca="1"/>
        <v/>
      </c>
      <c r="F856" s="1286" t="str">
        <f ca="1"/>
        <v/>
      </c>
      <c r="G856" s="1286" t="str">
        <f ca="1"/>
        <v/>
      </c>
      <c r="H856" s="1301" t="str">
        <f ca="1"/>
        <v/>
      </c>
      <c r="I856" s="1303" t="str">
        <f ca="1"/>
        <v/>
      </c>
      <c r="J856" s="1287" t="str">
        <f ca="1"/>
        <v/>
      </c>
      <c r="K856" s="1288" t="str">
        <f ca="1"/>
        <v xml:space="preserve">Description:
Details:
Aim:
</v>
      </c>
      <c r="L856" s="1287" t="str">
        <f ca="1"/>
        <v/>
      </c>
      <c r="M856" s="1287" t="str">
        <f ca="1"/>
        <v/>
      </c>
      <c r="N856" s="1287"/>
      <c r="O856" s="1323" t="str">
        <f ca="1"/>
        <v/>
      </c>
      <c r="P856" s="1287"/>
      <c r="Q856" s="1290" t="str">
        <f ca="1"/>
        <v/>
      </c>
    </row>
    <row r="857" spans="1:17" ht="27.75" hidden="1" customHeight="1" x14ac:dyDescent="0.45">
      <c r="A857" s="1289">
        <v>21</v>
      </c>
      <c r="B857" s="1285">
        <v>6</v>
      </c>
      <c r="C857" s="1285">
        <v>1</v>
      </c>
      <c r="D857" s="1297">
        <v>16.000000000000021</v>
      </c>
      <c r="E857" s="1299" t="str">
        <f ca="1"/>
        <v/>
      </c>
      <c r="F857" s="1286" t="str">
        <f ca="1"/>
        <v/>
      </c>
      <c r="G857" s="1286" t="str">
        <f ca="1"/>
        <v/>
      </c>
      <c r="H857" s="1301" t="str">
        <f ca="1"/>
        <v/>
      </c>
      <c r="I857" s="1303" t="str">
        <f ca="1"/>
        <v/>
      </c>
      <c r="J857" s="1287" t="str">
        <f ca="1"/>
        <v/>
      </c>
      <c r="K857" s="1288" t="str">
        <f ca="1"/>
        <v xml:space="preserve">Description:
Details:
Aim:
</v>
      </c>
      <c r="L857" s="1287" t="str">
        <f ca="1"/>
        <v/>
      </c>
      <c r="M857" s="1287" t="str">
        <f ca="1"/>
        <v/>
      </c>
      <c r="N857" s="1287"/>
      <c r="O857" s="1323" t="str">
        <f ca="1"/>
        <v/>
      </c>
      <c r="P857" s="1287"/>
      <c r="Q857" s="1290" t="str">
        <f ca="1"/>
        <v/>
      </c>
    </row>
    <row r="858" spans="1:17" ht="27.75" hidden="1" customHeight="1" x14ac:dyDescent="0.45">
      <c r="A858" s="1289">
        <v>21</v>
      </c>
      <c r="B858" s="1285">
        <v>6</v>
      </c>
      <c r="C858" s="1285">
        <v>1.9999999999999432</v>
      </c>
      <c r="D858" s="1297">
        <v>16.999999999999943</v>
      </c>
      <c r="E858" s="1299" t="str">
        <f ca="1"/>
        <v/>
      </c>
      <c r="F858" s="1286" t="str">
        <f ca="1"/>
        <v/>
      </c>
      <c r="G858" s="1286" t="str">
        <f ca="1"/>
        <v/>
      </c>
      <c r="H858" s="1301" t="str">
        <f ca="1"/>
        <v/>
      </c>
      <c r="I858" s="1303" t="str">
        <f ca="1"/>
        <v/>
      </c>
      <c r="J858" s="1287" t="str">
        <f ca="1"/>
        <v/>
      </c>
      <c r="K858" s="1288" t="str">
        <f ca="1"/>
        <v xml:space="preserve">Description:
Details:
Aim:
</v>
      </c>
      <c r="L858" s="1287" t="str">
        <f ca="1"/>
        <v/>
      </c>
      <c r="M858" s="1287" t="str">
        <f ca="1"/>
        <v/>
      </c>
      <c r="N858" s="1287"/>
      <c r="O858" s="1323" t="str">
        <f ca="1"/>
        <v/>
      </c>
      <c r="P858" s="1287"/>
      <c r="Q858" s="1290" t="str">
        <f ca="1"/>
        <v/>
      </c>
    </row>
    <row r="859" spans="1:17" ht="27.75" hidden="1" customHeight="1" x14ac:dyDescent="0.45">
      <c r="A859" s="1289">
        <v>21</v>
      </c>
      <c r="B859" s="1285">
        <v>6</v>
      </c>
      <c r="C859" s="1285">
        <v>3.0000000000000568</v>
      </c>
      <c r="D859" s="1297">
        <v>18.000000000000014</v>
      </c>
      <c r="E859" s="1299" t="str">
        <f ca="1"/>
        <v/>
      </c>
      <c r="F859" s="1286" t="str">
        <f ca="1"/>
        <v/>
      </c>
      <c r="G859" s="1286" t="str">
        <f ca="1"/>
        <v/>
      </c>
      <c r="H859" s="1301" t="str">
        <f ca="1"/>
        <v/>
      </c>
      <c r="I859" s="1303" t="str">
        <f ca="1"/>
        <v/>
      </c>
      <c r="J859" s="1287" t="str">
        <f ca="1"/>
        <v/>
      </c>
      <c r="K859" s="1288" t="str">
        <f ca="1"/>
        <v xml:space="preserve">Description:
Details:
Aim:
</v>
      </c>
      <c r="L859" s="1287" t="str">
        <f ca="1"/>
        <v/>
      </c>
      <c r="M859" s="1287" t="str">
        <f ca="1"/>
        <v/>
      </c>
      <c r="N859" s="1287"/>
      <c r="O859" s="1323" t="str">
        <f ca="1"/>
        <v/>
      </c>
      <c r="P859" s="1287"/>
      <c r="Q859" s="1290" t="str">
        <f ca="1"/>
        <v/>
      </c>
    </row>
    <row r="860" spans="1:17" ht="27.75" hidden="1" customHeight="1" x14ac:dyDescent="0.45">
      <c r="A860" s="1289">
        <v>21</v>
      </c>
      <c r="B860" s="1285">
        <v>6</v>
      </c>
      <c r="C860" s="1285">
        <v>1</v>
      </c>
      <c r="D860" s="1297">
        <v>18.999999999999936</v>
      </c>
      <c r="E860" s="1299" t="str">
        <f ca="1"/>
        <v/>
      </c>
      <c r="F860" s="1286" t="str">
        <f ca="1"/>
        <v/>
      </c>
      <c r="G860" s="1286" t="str">
        <f ca="1"/>
        <v/>
      </c>
      <c r="H860" s="1301" t="str">
        <f ca="1"/>
        <v/>
      </c>
      <c r="I860" s="1303" t="str">
        <f ca="1"/>
        <v/>
      </c>
      <c r="J860" s="1287" t="str">
        <f ca="1"/>
        <v/>
      </c>
      <c r="K860" s="1288" t="str">
        <f ca="1"/>
        <v xml:space="preserve">Description:
Details:
Aim:
</v>
      </c>
      <c r="L860" s="1287" t="str">
        <f ca="1"/>
        <v/>
      </c>
      <c r="M860" s="1287" t="str">
        <f ca="1"/>
        <v/>
      </c>
      <c r="N860" s="1287"/>
      <c r="O860" s="1323" t="str">
        <f ca="1"/>
        <v/>
      </c>
      <c r="P860" s="1287"/>
      <c r="Q860" s="1290" t="str">
        <f ca="1"/>
        <v/>
      </c>
    </row>
    <row r="861" spans="1:17" ht="27.75" hidden="1" customHeight="1" x14ac:dyDescent="0.45">
      <c r="A861" s="1289">
        <v>21</v>
      </c>
      <c r="B861" s="1285">
        <v>7</v>
      </c>
      <c r="C861" s="1285">
        <v>1.9999999999999432</v>
      </c>
      <c r="D861" s="1297">
        <v>20.000000000000007</v>
      </c>
      <c r="E861" s="1299" t="str">
        <f ca="1"/>
        <v/>
      </c>
      <c r="F861" s="1286" t="str">
        <f ca="1"/>
        <v/>
      </c>
      <c r="G861" s="1286" t="str">
        <f ca="1"/>
        <v/>
      </c>
      <c r="H861" s="1301" t="str">
        <f ca="1"/>
        <v/>
      </c>
      <c r="I861" s="1303" t="str">
        <f ca="1"/>
        <v/>
      </c>
      <c r="J861" s="1287" t="str">
        <f ca="1"/>
        <v/>
      </c>
      <c r="K861" s="1288" t="str">
        <f ca="1"/>
        <v xml:space="preserve">Description:
Details:
Aim:
</v>
      </c>
      <c r="L861" s="1287" t="str">
        <f ca="1"/>
        <v/>
      </c>
      <c r="M861" s="1287" t="str">
        <f ca="1"/>
        <v/>
      </c>
      <c r="N861" s="1287"/>
      <c r="O861" s="1323" t="str">
        <f ca="1"/>
        <v/>
      </c>
      <c r="P861" s="1287"/>
      <c r="Q861" s="1290" t="str">
        <f ca="1"/>
        <v/>
      </c>
    </row>
    <row r="862" spans="1:17" ht="27.75" hidden="1" customHeight="1" x14ac:dyDescent="0.45">
      <c r="A862" s="1289">
        <v>21</v>
      </c>
      <c r="B862" s="1285">
        <v>7</v>
      </c>
      <c r="C862" s="1285">
        <v>3.0000000000000568</v>
      </c>
      <c r="D862" s="1297">
        <v>20.999999999999929</v>
      </c>
      <c r="E862" s="1299" t="str">
        <f ca="1"/>
        <v/>
      </c>
      <c r="F862" s="1286" t="str">
        <f ca="1"/>
        <v/>
      </c>
      <c r="G862" s="1286" t="str">
        <f ca="1"/>
        <v/>
      </c>
      <c r="H862" s="1301" t="str">
        <f ca="1"/>
        <v/>
      </c>
      <c r="I862" s="1303" t="str">
        <f ca="1"/>
        <v/>
      </c>
      <c r="J862" s="1287" t="str">
        <f ca="1"/>
        <v/>
      </c>
      <c r="K862" s="1288" t="str">
        <f ca="1"/>
        <v xml:space="preserve">Description:
Details:
Aim:
</v>
      </c>
      <c r="L862" s="1287" t="str">
        <f ca="1"/>
        <v/>
      </c>
      <c r="M862" s="1287" t="str">
        <f ca="1"/>
        <v/>
      </c>
      <c r="N862" s="1287"/>
      <c r="O862" s="1323" t="str">
        <f ca="1"/>
        <v/>
      </c>
      <c r="P862" s="1287"/>
      <c r="Q862" s="1290" t="str">
        <f ca="1"/>
        <v/>
      </c>
    </row>
    <row r="863" spans="1:17" ht="27.75" hidden="1" customHeight="1" x14ac:dyDescent="0.45">
      <c r="A863" s="1289">
        <v>21</v>
      </c>
      <c r="B863" s="1285">
        <v>8</v>
      </c>
      <c r="C863" s="1285">
        <v>1</v>
      </c>
      <c r="D863" s="1297">
        <v>22</v>
      </c>
      <c r="E863" s="1299" t="str">
        <f ca="1"/>
        <v/>
      </c>
      <c r="F863" s="1286" t="str">
        <f ca="1"/>
        <v/>
      </c>
      <c r="G863" s="1286" t="str">
        <f ca="1"/>
        <v/>
      </c>
      <c r="H863" s="1301" t="str">
        <f ca="1"/>
        <v/>
      </c>
      <c r="I863" s="1303" t="str">
        <f ca="1"/>
        <v/>
      </c>
      <c r="J863" s="1287" t="str">
        <f ca="1"/>
        <v/>
      </c>
      <c r="K863" s="1288" t="str">
        <f ca="1"/>
        <v xml:space="preserve">Description:
Details:
Aim:
</v>
      </c>
      <c r="L863" s="1287" t="str">
        <f ca="1"/>
        <v/>
      </c>
      <c r="M863" s="1287" t="str">
        <f ca="1"/>
        <v/>
      </c>
      <c r="N863" s="1287"/>
      <c r="O863" s="1323" t="str">
        <f ca="1"/>
        <v/>
      </c>
      <c r="P863" s="1287"/>
      <c r="Q863" s="1290" t="str">
        <f ca="1"/>
        <v/>
      </c>
    </row>
    <row r="864" spans="1:17" ht="27.75" hidden="1" customHeight="1" x14ac:dyDescent="0.45">
      <c r="A864" s="1289">
        <v>21</v>
      </c>
      <c r="B864" s="1285">
        <v>8</v>
      </c>
      <c r="C864" s="1285">
        <v>1.9999999999999432</v>
      </c>
      <c r="D864" s="1297">
        <v>23.000000000000071</v>
      </c>
      <c r="E864" s="1299" t="str">
        <f ca="1"/>
        <v/>
      </c>
      <c r="F864" s="1286" t="str">
        <f ca="1"/>
        <v/>
      </c>
      <c r="G864" s="1286" t="str">
        <f ca="1"/>
        <v/>
      </c>
      <c r="H864" s="1301" t="str">
        <f ca="1"/>
        <v/>
      </c>
      <c r="I864" s="1303" t="str">
        <f ca="1"/>
        <v/>
      </c>
      <c r="J864" s="1287" t="str">
        <f ca="1"/>
        <v/>
      </c>
      <c r="K864" s="1288" t="str">
        <f ca="1"/>
        <v xml:space="preserve">Description:
Details:
Aim:
</v>
      </c>
      <c r="L864" s="1287" t="str">
        <f ca="1"/>
        <v/>
      </c>
      <c r="M864" s="1287" t="str">
        <f ca="1"/>
        <v/>
      </c>
      <c r="N864" s="1287"/>
      <c r="O864" s="1323" t="str">
        <f ca="1"/>
        <v/>
      </c>
      <c r="P864" s="1287"/>
      <c r="Q864" s="1290" t="str">
        <f ca="1"/>
        <v/>
      </c>
    </row>
    <row r="865" spans="1:17" ht="27.75" hidden="1" customHeight="1" x14ac:dyDescent="0.45">
      <c r="A865" s="1289">
        <v>21</v>
      </c>
      <c r="B865" s="1285">
        <v>8</v>
      </c>
      <c r="C865" s="1285">
        <v>3.0000000000000568</v>
      </c>
      <c r="D865" s="1297">
        <v>23.999999999999993</v>
      </c>
      <c r="E865" s="1299" t="str">
        <f ca="1"/>
        <v/>
      </c>
      <c r="F865" s="1286" t="str">
        <f ca="1"/>
        <v/>
      </c>
      <c r="G865" s="1286" t="str">
        <f ca="1"/>
        <v/>
      </c>
      <c r="H865" s="1301" t="str">
        <f ca="1"/>
        <v/>
      </c>
      <c r="I865" s="1303" t="str">
        <f ca="1"/>
        <v/>
      </c>
      <c r="J865" s="1287" t="str">
        <f ca="1"/>
        <v/>
      </c>
      <c r="K865" s="1288" t="str">
        <f ca="1"/>
        <v xml:space="preserve">Description:
Details:
Aim:
</v>
      </c>
      <c r="L865" s="1287" t="str">
        <f ca="1"/>
        <v/>
      </c>
      <c r="M865" s="1287" t="str">
        <f ca="1"/>
        <v/>
      </c>
      <c r="N865" s="1287"/>
      <c r="O865" s="1323" t="str">
        <f ca="1"/>
        <v/>
      </c>
      <c r="P865" s="1287"/>
      <c r="Q865" s="1290" t="str">
        <f ca="1"/>
        <v/>
      </c>
    </row>
    <row r="866" spans="1:17" ht="27.75" hidden="1" customHeight="1" x14ac:dyDescent="0.45">
      <c r="A866" s="1289">
        <v>21</v>
      </c>
      <c r="B866" s="1285">
        <v>9</v>
      </c>
      <c r="C866" s="1285">
        <v>1</v>
      </c>
      <c r="D866" s="1297">
        <v>25.000000000000064</v>
      </c>
      <c r="E866" s="1299" t="str">
        <f ca="1"/>
        <v/>
      </c>
      <c r="F866" s="1286" t="str">
        <f ca="1"/>
        <v/>
      </c>
      <c r="G866" s="1286" t="str">
        <f ca="1"/>
        <v/>
      </c>
      <c r="H866" s="1301" t="str">
        <f ca="1"/>
        <v/>
      </c>
      <c r="I866" s="1303" t="str">
        <f ca="1"/>
        <v/>
      </c>
      <c r="J866" s="1287" t="str">
        <f ca="1"/>
        <v/>
      </c>
      <c r="K866" s="1288" t="str">
        <f ca="1"/>
        <v xml:space="preserve">Description:
Details:
Aim:
</v>
      </c>
      <c r="L866" s="1287" t="str">
        <f ca="1"/>
        <v/>
      </c>
      <c r="M866" s="1287" t="str">
        <f ca="1"/>
        <v/>
      </c>
      <c r="N866" s="1287"/>
      <c r="O866" s="1323" t="str">
        <f ca="1"/>
        <v/>
      </c>
      <c r="P866" s="1287"/>
      <c r="Q866" s="1290" t="str">
        <f ca="1"/>
        <v/>
      </c>
    </row>
    <row r="867" spans="1:17" ht="27.75" hidden="1" customHeight="1" x14ac:dyDescent="0.45">
      <c r="A867" s="1289">
        <v>21</v>
      </c>
      <c r="B867" s="1285">
        <v>9</v>
      </c>
      <c r="C867" s="1285">
        <v>1.9999999999999432</v>
      </c>
      <c r="D867" s="1297">
        <v>25.999999999999986</v>
      </c>
      <c r="E867" s="1299" t="str">
        <f ca="1"/>
        <v/>
      </c>
      <c r="F867" s="1286" t="str">
        <f ca="1"/>
        <v/>
      </c>
      <c r="G867" s="1286" t="str">
        <f ca="1"/>
        <v/>
      </c>
      <c r="H867" s="1301" t="str">
        <f ca="1"/>
        <v/>
      </c>
      <c r="I867" s="1303" t="str">
        <f ca="1"/>
        <v/>
      </c>
      <c r="J867" s="1287" t="str">
        <f ca="1"/>
        <v/>
      </c>
      <c r="K867" s="1288" t="str">
        <f ca="1"/>
        <v xml:space="preserve">Description:
Details:
Aim:
</v>
      </c>
      <c r="L867" s="1287" t="str">
        <f ca="1"/>
        <v/>
      </c>
      <c r="M867" s="1287" t="str">
        <f ca="1"/>
        <v/>
      </c>
      <c r="N867" s="1287"/>
      <c r="O867" s="1323" t="str">
        <f ca="1"/>
        <v/>
      </c>
      <c r="P867" s="1287"/>
      <c r="Q867" s="1290" t="str">
        <f ca="1"/>
        <v/>
      </c>
    </row>
    <row r="868" spans="1:17" ht="27.75" hidden="1" customHeight="1" x14ac:dyDescent="0.45">
      <c r="A868" s="1289">
        <v>21</v>
      </c>
      <c r="B868" s="1285">
        <v>9</v>
      </c>
      <c r="C868" s="1285">
        <v>3.0000000000000568</v>
      </c>
      <c r="D868" s="1297">
        <v>27.000000000000057</v>
      </c>
      <c r="E868" s="1299" t="str">
        <f ca="1"/>
        <v/>
      </c>
      <c r="F868" s="1286" t="str">
        <f ca="1"/>
        <v/>
      </c>
      <c r="G868" s="1286" t="str">
        <f ca="1"/>
        <v/>
      </c>
      <c r="H868" s="1301" t="str">
        <f ca="1"/>
        <v/>
      </c>
      <c r="I868" s="1303" t="str">
        <f ca="1"/>
        <v/>
      </c>
      <c r="J868" s="1287" t="str">
        <f ca="1"/>
        <v/>
      </c>
      <c r="K868" s="1288" t="str">
        <f ca="1"/>
        <v xml:space="preserve">Description:
Details:
Aim:
</v>
      </c>
      <c r="L868" s="1287" t="str">
        <f ca="1"/>
        <v/>
      </c>
      <c r="M868" s="1287" t="str">
        <f ca="1"/>
        <v/>
      </c>
      <c r="N868" s="1287"/>
      <c r="O868" s="1323" t="str">
        <f ca="1"/>
        <v/>
      </c>
      <c r="P868" s="1287"/>
      <c r="Q868" s="1290" t="str">
        <f ca="1"/>
        <v/>
      </c>
    </row>
    <row r="869" spans="1:17" ht="27.75" hidden="1" customHeight="1" x14ac:dyDescent="0.45">
      <c r="A869" s="1289">
        <v>21</v>
      </c>
      <c r="B869" s="1285">
        <v>9</v>
      </c>
      <c r="C869" s="1285">
        <v>1</v>
      </c>
      <c r="D869" s="1297">
        <v>27.999999999999979</v>
      </c>
      <c r="E869" s="1299" t="str">
        <f ca="1"/>
        <v/>
      </c>
      <c r="F869" s="1286" t="str">
        <f ca="1"/>
        <v/>
      </c>
      <c r="G869" s="1286" t="str">
        <f ca="1"/>
        <v/>
      </c>
      <c r="H869" s="1301" t="str">
        <f ca="1"/>
        <v/>
      </c>
      <c r="I869" s="1303" t="str">
        <f ca="1"/>
        <v/>
      </c>
      <c r="J869" s="1287" t="str">
        <f ca="1"/>
        <v/>
      </c>
      <c r="K869" s="1288" t="str">
        <f ca="1"/>
        <v xml:space="preserve">Description:
Details:
Aim:
</v>
      </c>
      <c r="L869" s="1287" t="str">
        <f ca="1"/>
        <v/>
      </c>
      <c r="M869" s="1287" t="str">
        <f ca="1"/>
        <v/>
      </c>
      <c r="N869" s="1287"/>
      <c r="O869" s="1323" t="str">
        <f ca="1"/>
        <v/>
      </c>
      <c r="P869" s="1287"/>
      <c r="Q869" s="1290" t="str">
        <f ca="1"/>
        <v/>
      </c>
    </row>
    <row r="870" spans="1:17" ht="27.75" hidden="1" customHeight="1" x14ac:dyDescent="0.45">
      <c r="A870" s="1289">
        <v>21</v>
      </c>
      <c r="B870" s="1285">
        <v>10</v>
      </c>
      <c r="C870" s="1285">
        <v>1.9999999999999432</v>
      </c>
      <c r="D870" s="1297">
        <v>29.00000000000005</v>
      </c>
      <c r="E870" s="1299" t="str">
        <f ca="1"/>
        <v/>
      </c>
      <c r="F870" s="1286" t="str">
        <f ca="1"/>
        <v/>
      </c>
      <c r="G870" s="1286" t="str">
        <f ca="1"/>
        <v/>
      </c>
      <c r="H870" s="1301" t="str">
        <f ca="1"/>
        <v/>
      </c>
      <c r="I870" s="1303" t="str">
        <f ca="1"/>
        <v/>
      </c>
      <c r="J870" s="1287" t="str">
        <f ca="1"/>
        <v/>
      </c>
      <c r="K870" s="1288" t="str">
        <f ca="1"/>
        <v xml:space="preserve">Description:
Details:
Aim:
</v>
      </c>
      <c r="L870" s="1287" t="str">
        <f ca="1"/>
        <v/>
      </c>
      <c r="M870" s="1287" t="str">
        <f ca="1"/>
        <v/>
      </c>
      <c r="N870" s="1287"/>
      <c r="O870" s="1323" t="str">
        <f ca="1"/>
        <v/>
      </c>
      <c r="P870" s="1287"/>
      <c r="Q870" s="1290" t="str">
        <f ca="1"/>
        <v/>
      </c>
    </row>
    <row r="871" spans="1:17" ht="27.75" hidden="1" customHeight="1" x14ac:dyDescent="0.45">
      <c r="A871" s="1289">
        <v>21</v>
      </c>
      <c r="B871" s="1285">
        <v>10</v>
      </c>
      <c r="C871" s="1285">
        <v>3.0000000000000568</v>
      </c>
      <c r="D871" s="1297">
        <v>29.999999999999972</v>
      </c>
      <c r="E871" s="1299" t="str">
        <f ca="1"/>
        <v/>
      </c>
      <c r="F871" s="1286" t="str">
        <f ca="1"/>
        <v/>
      </c>
      <c r="G871" s="1286" t="str">
        <f ca="1"/>
        <v/>
      </c>
      <c r="H871" s="1301" t="str">
        <f ca="1"/>
        <v/>
      </c>
      <c r="I871" s="1303" t="str">
        <f ca="1"/>
        <v/>
      </c>
      <c r="J871" s="1287" t="str">
        <f ca="1"/>
        <v/>
      </c>
      <c r="K871" s="1288" t="str">
        <f ca="1"/>
        <v xml:space="preserve">Description:
Details:
Aim:
</v>
      </c>
      <c r="L871" s="1287" t="str">
        <f ca="1"/>
        <v/>
      </c>
      <c r="M871" s="1287" t="str">
        <f ca="1"/>
        <v/>
      </c>
      <c r="N871" s="1287"/>
      <c r="O871" s="1323" t="str">
        <f ca="1"/>
        <v/>
      </c>
      <c r="P871" s="1287"/>
      <c r="Q871" s="1290" t="str">
        <f ca="1"/>
        <v/>
      </c>
    </row>
    <row r="872" spans="1:17" ht="27.75" hidden="1" customHeight="1" x14ac:dyDescent="0.45">
      <c r="A872" s="1289">
        <v>21</v>
      </c>
      <c r="B872" s="1285">
        <v>11</v>
      </c>
      <c r="C872" s="1285">
        <v>1</v>
      </c>
      <c r="D872" s="1297">
        <v>31.000000000000043</v>
      </c>
      <c r="E872" s="1299" t="str">
        <f ca="1"/>
        <v/>
      </c>
      <c r="F872" s="1286" t="str">
        <f ca="1"/>
        <v/>
      </c>
      <c r="G872" s="1286" t="str">
        <f ca="1"/>
        <v/>
      </c>
      <c r="H872" s="1301" t="str">
        <f ca="1"/>
        <v/>
      </c>
      <c r="I872" s="1303" t="str">
        <f ca="1"/>
        <v/>
      </c>
      <c r="J872" s="1287" t="str">
        <f ca="1"/>
        <v/>
      </c>
      <c r="K872" s="1288" t="str">
        <f ca="1"/>
        <v xml:space="preserve">Description:
Details:
Aim:
</v>
      </c>
      <c r="L872" s="1287" t="str">
        <f ca="1"/>
        <v/>
      </c>
      <c r="M872" s="1287" t="str">
        <f ca="1"/>
        <v/>
      </c>
      <c r="N872" s="1287"/>
      <c r="O872" s="1323" t="str">
        <f ca="1"/>
        <v/>
      </c>
      <c r="P872" s="1287"/>
      <c r="Q872" s="1290" t="str">
        <f ca="1"/>
        <v/>
      </c>
    </row>
    <row r="873" spans="1:17" ht="27.75" hidden="1" customHeight="1" x14ac:dyDescent="0.45">
      <c r="A873" s="1289">
        <v>21</v>
      </c>
      <c r="B873" s="1285">
        <v>11</v>
      </c>
      <c r="C873" s="1285">
        <v>1.9999999999999432</v>
      </c>
      <c r="D873" s="1297">
        <v>31.999999999999964</v>
      </c>
      <c r="E873" s="1299" t="str">
        <f ca="1"/>
        <v/>
      </c>
      <c r="F873" s="1286" t="str">
        <f ca="1"/>
        <v/>
      </c>
      <c r="G873" s="1286" t="str">
        <f ca="1"/>
        <v/>
      </c>
      <c r="H873" s="1301" t="str">
        <f ca="1"/>
        <v/>
      </c>
      <c r="I873" s="1303" t="str">
        <f ca="1"/>
        <v/>
      </c>
      <c r="J873" s="1287" t="str">
        <f ca="1"/>
        <v/>
      </c>
      <c r="K873" s="1288" t="str">
        <f ca="1"/>
        <v xml:space="preserve">Description:
Details:
Aim:
</v>
      </c>
      <c r="L873" s="1287" t="str">
        <f ca="1"/>
        <v/>
      </c>
      <c r="M873" s="1287" t="str">
        <f ca="1"/>
        <v/>
      </c>
      <c r="N873" s="1287"/>
      <c r="O873" s="1323" t="str">
        <f ca="1"/>
        <v/>
      </c>
      <c r="P873" s="1287"/>
      <c r="Q873" s="1290" t="str">
        <f ca="1"/>
        <v/>
      </c>
    </row>
    <row r="874" spans="1:17" ht="27.75" hidden="1" customHeight="1" x14ac:dyDescent="0.45">
      <c r="A874" s="1289">
        <v>21</v>
      </c>
      <c r="B874" s="1285">
        <v>11</v>
      </c>
      <c r="C874" s="1285">
        <v>3.0000000000000568</v>
      </c>
      <c r="D874" s="1297">
        <v>33.000000000000036</v>
      </c>
      <c r="E874" s="1299" t="str">
        <f ca="1"/>
        <v/>
      </c>
      <c r="F874" s="1286" t="str">
        <f ca="1"/>
        <v/>
      </c>
      <c r="G874" s="1286" t="str">
        <f ca="1"/>
        <v/>
      </c>
      <c r="H874" s="1301" t="str">
        <f ca="1"/>
        <v/>
      </c>
      <c r="I874" s="1303" t="str">
        <f ca="1"/>
        <v/>
      </c>
      <c r="J874" s="1287" t="str">
        <f ca="1"/>
        <v/>
      </c>
      <c r="K874" s="1288" t="str">
        <f ca="1"/>
        <v xml:space="preserve">Description:
Details:
Aim:
</v>
      </c>
      <c r="L874" s="1287" t="str">
        <f ca="1"/>
        <v/>
      </c>
      <c r="M874" s="1287" t="str">
        <f ca="1"/>
        <v/>
      </c>
      <c r="N874" s="1287"/>
      <c r="O874" s="1323" t="str">
        <f ca="1"/>
        <v/>
      </c>
      <c r="P874" s="1287"/>
      <c r="Q874" s="1290" t="str">
        <f ca="1"/>
        <v/>
      </c>
    </row>
    <row r="875" spans="1:17" ht="27.75" hidden="1" customHeight="1" x14ac:dyDescent="0.45">
      <c r="A875" s="1289">
        <v>21</v>
      </c>
      <c r="B875" s="1285">
        <v>12</v>
      </c>
      <c r="C875" s="1285">
        <v>1</v>
      </c>
      <c r="D875" s="1297">
        <v>33.999999999999957</v>
      </c>
      <c r="E875" s="1299" t="str">
        <f ca="1"/>
        <v/>
      </c>
      <c r="F875" s="1286" t="str">
        <f ca="1"/>
        <v/>
      </c>
      <c r="G875" s="1286" t="str">
        <f ca="1"/>
        <v/>
      </c>
      <c r="H875" s="1301" t="str">
        <f ca="1"/>
        <v/>
      </c>
      <c r="I875" s="1303" t="str">
        <f ca="1"/>
        <v/>
      </c>
      <c r="J875" s="1287" t="str">
        <f ca="1"/>
        <v/>
      </c>
      <c r="K875" s="1288" t="str">
        <f ca="1"/>
        <v xml:space="preserve">Description:
Details:
Aim:
</v>
      </c>
      <c r="L875" s="1287" t="str">
        <f ca="1"/>
        <v/>
      </c>
      <c r="M875" s="1287" t="str">
        <f ca="1"/>
        <v/>
      </c>
      <c r="N875" s="1287"/>
      <c r="O875" s="1323" t="str">
        <f ca="1"/>
        <v/>
      </c>
      <c r="P875" s="1287"/>
      <c r="Q875" s="1290" t="str">
        <f ca="1"/>
        <v/>
      </c>
    </row>
    <row r="876" spans="1:17" ht="27.75" hidden="1" customHeight="1" x14ac:dyDescent="0.45">
      <c r="A876" s="1289">
        <v>21</v>
      </c>
      <c r="B876" s="1285">
        <v>12</v>
      </c>
      <c r="C876" s="1285">
        <v>1.9999999999999432</v>
      </c>
      <c r="D876" s="1297">
        <v>35.000000000000028</v>
      </c>
      <c r="E876" s="1299" t="str">
        <f ca="1"/>
        <v/>
      </c>
      <c r="F876" s="1286" t="str">
        <f ca="1"/>
        <v/>
      </c>
      <c r="G876" s="1286" t="str">
        <f ca="1"/>
        <v/>
      </c>
      <c r="H876" s="1301" t="str">
        <f ca="1"/>
        <v/>
      </c>
      <c r="I876" s="1303" t="str">
        <f ca="1"/>
        <v/>
      </c>
      <c r="J876" s="1287" t="str">
        <f ca="1"/>
        <v/>
      </c>
      <c r="K876" s="1288" t="str">
        <f ca="1"/>
        <v xml:space="preserve">Description:
Details:
Aim:
</v>
      </c>
      <c r="L876" s="1287" t="str">
        <f ca="1"/>
        <v/>
      </c>
      <c r="M876" s="1287" t="str">
        <f ca="1"/>
        <v/>
      </c>
      <c r="N876" s="1287"/>
      <c r="O876" s="1323" t="str">
        <f ca="1"/>
        <v/>
      </c>
      <c r="P876" s="1287"/>
      <c r="Q876" s="1290" t="str">
        <f ca="1"/>
        <v/>
      </c>
    </row>
    <row r="877" spans="1:17" ht="27.75" hidden="1" customHeight="1" x14ac:dyDescent="0.45">
      <c r="A877" s="1289">
        <v>21</v>
      </c>
      <c r="B877" s="1285">
        <v>12</v>
      </c>
      <c r="C877" s="1285">
        <v>3.0000000000000568</v>
      </c>
      <c r="D877" s="1297">
        <v>35.99999999999995</v>
      </c>
      <c r="E877" s="1299" t="str">
        <f ca="1"/>
        <v/>
      </c>
      <c r="F877" s="1286" t="str">
        <f ca="1"/>
        <v/>
      </c>
      <c r="G877" s="1286" t="str">
        <f ca="1"/>
        <v/>
      </c>
      <c r="H877" s="1301" t="str">
        <f ca="1"/>
        <v/>
      </c>
      <c r="I877" s="1303" t="str">
        <f ca="1"/>
        <v/>
      </c>
      <c r="J877" s="1287" t="str">
        <f ca="1"/>
        <v/>
      </c>
      <c r="K877" s="1288" t="str">
        <f ca="1"/>
        <v xml:space="preserve">Description:
Details:
Aim:
</v>
      </c>
      <c r="L877" s="1287" t="str">
        <f ca="1"/>
        <v/>
      </c>
      <c r="M877" s="1287" t="str">
        <f ca="1"/>
        <v/>
      </c>
      <c r="N877" s="1287"/>
      <c r="O877" s="1323" t="str">
        <f ca="1"/>
        <v/>
      </c>
      <c r="P877" s="1287"/>
      <c r="Q877" s="1290" t="str">
        <f ca="1"/>
        <v/>
      </c>
    </row>
    <row r="878" spans="1:17" ht="27.75" hidden="1" customHeight="1" x14ac:dyDescent="0.45">
      <c r="A878" s="1289">
        <v>21</v>
      </c>
      <c r="B878" s="1285">
        <v>13</v>
      </c>
      <c r="C878" s="1285">
        <v>1</v>
      </c>
      <c r="D878" s="1297">
        <v>37.000000000000021</v>
      </c>
      <c r="E878" s="1299" t="str">
        <f ca="1"/>
        <v/>
      </c>
      <c r="F878" s="1286" t="str">
        <f ca="1"/>
        <v/>
      </c>
      <c r="G878" s="1286" t="str">
        <f ca="1"/>
        <v/>
      </c>
      <c r="H878" s="1301" t="str">
        <f ca="1"/>
        <v/>
      </c>
      <c r="I878" s="1303" t="str">
        <f ca="1"/>
        <v/>
      </c>
      <c r="J878" s="1287" t="str">
        <f ca="1"/>
        <v/>
      </c>
      <c r="K878" s="1288" t="str">
        <f ca="1"/>
        <v xml:space="preserve">Description:
Details:
Aim:
</v>
      </c>
      <c r="L878" s="1287" t="str">
        <f ca="1"/>
        <v/>
      </c>
      <c r="M878" s="1287" t="str">
        <f ca="1"/>
        <v/>
      </c>
      <c r="N878" s="1287"/>
      <c r="O878" s="1323" t="str">
        <f ca="1"/>
        <v/>
      </c>
      <c r="P878" s="1287"/>
      <c r="Q878" s="1290" t="str">
        <f ca="1"/>
        <v/>
      </c>
    </row>
    <row r="879" spans="1:17" ht="27.75" hidden="1" customHeight="1" x14ac:dyDescent="0.45">
      <c r="A879" s="1289">
        <v>21</v>
      </c>
      <c r="B879" s="1285">
        <v>13</v>
      </c>
      <c r="C879" s="1285">
        <v>1.9999999999999432</v>
      </c>
      <c r="D879" s="1297">
        <v>37.999999999999943</v>
      </c>
      <c r="E879" s="1299" t="str">
        <f ca="1"/>
        <v/>
      </c>
      <c r="F879" s="1286" t="str">
        <f ca="1"/>
        <v/>
      </c>
      <c r="G879" s="1286" t="str">
        <f ca="1"/>
        <v/>
      </c>
      <c r="H879" s="1301" t="str">
        <f ca="1"/>
        <v/>
      </c>
      <c r="I879" s="1303" t="str">
        <f ca="1"/>
        <v/>
      </c>
      <c r="J879" s="1287" t="str">
        <f ca="1"/>
        <v/>
      </c>
      <c r="K879" s="1288" t="str">
        <f ca="1"/>
        <v xml:space="preserve">Description:
Details:
Aim:
</v>
      </c>
      <c r="L879" s="1287" t="str">
        <f ca="1"/>
        <v/>
      </c>
      <c r="M879" s="1287" t="str">
        <f ca="1"/>
        <v/>
      </c>
      <c r="N879" s="1287"/>
      <c r="O879" s="1323" t="str">
        <f ca="1"/>
        <v/>
      </c>
      <c r="P879" s="1287"/>
      <c r="Q879" s="1290" t="str">
        <f ca="1"/>
        <v/>
      </c>
    </row>
    <row r="880" spans="1:17" ht="27.75" hidden="1" customHeight="1" x14ac:dyDescent="0.45">
      <c r="A880" s="1289">
        <v>21</v>
      </c>
      <c r="B880" s="1285">
        <v>13</v>
      </c>
      <c r="C880" s="1285">
        <v>3.0000000000000568</v>
      </c>
      <c r="D880" s="1297">
        <v>39.000000000000014</v>
      </c>
      <c r="E880" s="1299" t="str">
        <f ca="1"/>
        <v/>
      </c>
      <c r="F880" s="1286" t="str">
        <f ca="1"/>
        <v/>
      </c>
      <c r="G880" s="1286" t="str">
        <f ca="1"/>
        <v/>
      </c>
      <c r="H880" s="1301" t="str">
        <f ca="1"/>
        <v/>
      </c>
      <c r="I880" s="1303" t="str">
        <f ca="1"/>
        <v/>
      </c>
      <c r="J880" s="1287" t="str">
        <f ca="1"/>
        <v/>
      </c>
      <c r="K880" s="1288" t="str">
        <f ca="1"/>
        <v xml:space="preserve">Description:
Details:
Aim:
</v>
      </c>
      <c r="L880" s="1287" t="str">
        <f ca="1"/>
        <v/>
      </c>
      <c r="M880" s="1287" t="str">
        <f ca="1"/>
        <v/>
      </c>
      <c r="N880" s="1287"/>
      <c r="O880" s="1323" t="str">
        <f ca="1"/>
        <v/>
      </c>
      <c r="P880" s="1287"/>
      <c r="Q880" s="1290" t="str">
        <f ca="1"/>
        <v/>
      </c>
    </row>
    <row r="881" spans="1:17" ht="27.75" hidden="1" customHeight="1" x14ac:dyDescent="0.45">
      <c r="A881" s="1289">
        <v>21</v>
      </c>
      <c r="B881" s="1285">
        <v>14</v>
      </c>
      <c r="C881" s="1285">
        <v>1</v>
      </c>
      <c r="D881" s="1297">
        <v>39.999999999999936</v>
      </c>
      <c r="E881" s="1299" t="str">
        <f ca="1"/>
        <v/>
      </c>
      <c r="F881" s="1286" t="str">
        <f ca="1"/>
        <v/>
      </c>
      <c r="G881" s="1286" t="str">
        <f ca="1"/>
        <v/>
      </c>
      <c r="H881" s="1301" t="str">
        <f ca="1"/>
        <v/>
      </c>
      <c r="I881" s="1303" t="str">
        <f ca="1"/>
        <v/>
      </c>
      <c r="J881" s="1287" t="str">
        <f ca="1"/>
        <v/>
      </c>
      <c r="K881" s="1288" t="str">
        <f ca="1"/>
        <v xml:space="preserve">Description:
Details:
Aim:
</v>
      </c>
      <c r="L881" s="1287" t="str">
        <f ca="1"/>
        <v/>
      </c>
      <c r="M881" s="1287" t="str">
        <f ca="1"/>
        <v/>
      </c>
      <c r="N881" s="1287"/>
      <c r="O881" s="1323" t="str">
        <f ca="1"/>
        <v/>
      </c>
      <c r="P881" s="1287"/>
      <c r="Q881" s="1290" t="str">
        <f ca="1"/>
        <v/>
      </c>
    </row>
    <row r="882" spans="1:17" ht="27.75" hidden="1" customHeight="1" x14ac:dyDescent="0.45">
      <c r="A882" s="1289">
        <v>21</v>
      </c>
      <c r="B882" s="1285">
        <v>14</v>
      </c>
      <c r="C882" s="1285">
        <v>1.9999999999999432</v>
      </c>
      <c r="D882" s="1297">
        <v>41.000000000000007</v>
      </c>
      <c r="E882" s="1299" t="str">
        <f ca="1"/>
        <v/>
      </c>
      <c r="F882" s="1286" t="str">
        <f ca="1"/>
        <v/>
      </c>
      <c r="G882" s="1286" t="str">
        <f ca="1"/>
        <v/>
      </c>
      <c r="H882" s="1301" t="str">
        <f ca="1"/>
        <v/>
      </c>
      <c r="I882" s="1303" t="str">
        <f ca="1"/>
        <v/>
      </c>
      <c r="J882" s="1287" t="str">
        <f ca="1"/>
        <v/>
      </c>
      <c r="K882" s="1288" t="str">
        <f ca="1"/>
        <v xml:space="preserve">Description:
Details:
Aim:
</v>
      </c>
      <c r="L882" s="1287" t="str">
        <f ca="1"/>
        <v/>
      </c>
      <c r="M882" s="1287" t="str">
        <f ca="1"/>
        <v/>
      </c>
      <c r="N882" s="1287"/>
      <c r="O882" s="1323" t="str">
        <f ca="1"/>
        <v/>
      </c>
      <c r="P882" s="1287"/>
      <c r="Q882" s="1290" t="str">
        <f ca="1"/>
        <v/>
      </c>
    </row>
    <row r="883" spans="1:17" ht="27.75" hidden="1" customHeight="1" x14ac:dyDescent="0.45">
      <c r="A883" s="1289">
        <v>21</v>
      </c>
      <c r="B883" s="1285">
        <v>14</v>
      </c>
      <c r="C883" s="1285">
        <v>3.0000000000000568</v>
      </c>
      <c r="D883" s="1297">
        <v>41.999999999999929</v>
      </c>
      <c r="E883" s="1299" t="str">
        <f ca="1"/>
        <v/>
      </c>
      <c r="F883" s="1286" t="str">
        <f ca="1"/>
        <v/>
      </c>
      <c r="G883" s="1286" t="str">
        <f ca="1"/>
        <v/>
      </c>
      <c r="H883" s="1301" t="str">
        <f ca="1"/>
        <v/>
      </c>
      <c r="I883" s="1303" t="str">
        <f ca="1"/>
        <v/>
      </c>
      <c r="J883" s="1287" t="str">
        <f ca="1"/>
        <v/>
      </c>
      <c r="K883" s="1288" t="str">
        <f ca="1"/>
        <v xml:space="preserve">Description:
Details:
Aim:
</v>
      </c>
      <c r="L883" s="1287" t="str">
        <f ca="1"/>
        <v/>
      </c>
      <c r="M883" s="1287" t="str">
        <f ca="1"/>
        <v/>
      </c>
      <c r="N883" s="1287"/>
      <c r="O883" s="1323" t="str">
        <f ca="1"/>
        <v/>
      </c>
      <c r="P883" s="1287"/>
      <c r="Q883" s="1290" t="str">
        <f ca="1"/>
        <v/>
      </c>
    </row>
    <row r="884" spans="1:17" ht="27.75" hidden="1" customHeight="1" x14ac:dyDescent="0.45">
      <c r="A884" s="1289">
        <v>22</v>
      </c>
      <c r="B884" s="1285">
        <v>1</v>
      </c>
      <c r="C884" s="1285">
        <v>1</v>
      </c>
      <c r="D884" s="1297">
        <v>1</v>
      </c>
      <c r="E884" s="1299" t="str">
        <f ca="1"/>
        <v/>
      </c>
      <c r="F884" s="1286" t="str">
        <f ca="1"/>
        <v/>
      </c>
      <c r="G884" s="1286" t="str">
        <f ca="1"/>
        <v/>
      </c>
      <c r="H884" s="1301" t="str">
        <f ca="1"/>
        <v/>
      </c>
      <c r="I884" s="1303" t="str">
        <f ca="1"/>
        <v/>
      </c>
      <c r="J884" s="1287" t="str">
        <f ca="1"/>
        <v/>
      </c>
      <c r="K884" s="1288" t="str">
        <f ca="1"/>
        <v xml:space="preserve">Description:
Details:
Aim:
</v>
      </c>
      <c r="L884" s="1287" t="str">
        <f ca="1"/>
        <v/>
      </c>
      <c r="M884" s="1287" t="str">
        <f ca="1"/>
        <v/>
      </c>
      <c r="N884" s="1287"/>
      <c r="O884" s="1323" t="str">
        <f ca="1"/>
        <v/>
      </c>
      <c r="P884" s="1287"/>
      <c r="Q884" s="1290" t="str">
        <f ca="1"/>
        <v/>
      </c>
    </row>
    <row r="885" spans="1:17" ht="27.75" hidden="1" customHeight="1" x14ac:dyDescent="0.45">
      <c r="A885" s="1289">
        <v>22</v>
      </c>
      <c r="B885" s="1285">
        <v>1</v>
      </c>
      <c r="C885" s="1285">
        <v>1.9999999999999432</v>
      </c>
      <c r="D885" s="1297">
        <v>2.0000000000000711</v>
      </c>
      <c r="E885" s="1299" t="str">
        <f ca="1"/>
        <v/>
      </c>
      <c r="F885" s="1286" t="str">
        <f ca="1"/>
        <v/>
      </c>
      <c r="G885" s="1286" t="str">
        <f ca="1"/>
        <v/>
      </c>
      <c r="H885" s="1301" t="str">
        <f ca="1"/>
        <v/>
      </c>
      <c r="I885" s="1303" t="str">
        <f ca="1"/>
        <v/>
      </c>
      <c r="J885" s="1287" t="str">
        <f ca="1"/>
        <v/>
      </c>
      <c r="K885" s="1288" t="str">
        <f ca="1"/>
        <v xml:space="preserve">Description:
Details:
Aim:
</v>
      </c>
      <c r="L885" s="1287" t="str">
        <f ca="1"/>
        <v/>
      </c>
      <c r="M885" s="1287" t="str">
        <f ca="1"/>
        <v/>
      </c>
      <c r="N885" s="1287"/>
      <c r="O885" s="1323" t="str">
        <f ca="1"/>
        <v/>
      </c>
      <c r="P885" s="1287"/>
      <c r="Q885" s="1290" t="str">
        <f ca="1"/>
        <v/>
      </c>
    </row>
    <row r="886" spans="1:17" ht="27.75" hidden="1" customHeight="1" x14ac:dyDescent="0.45">
      <c r="A886" s="1289">
        <v>22</v>
      </c>
      <c r="B886" s="1285">
        <v>1</v>
      </c>
      <c r="C886" s="1285">
        <v>3.0000000000000568</v>
      </c>
      <c r="D886" s="1297">
        <v>2.9999999999999929</v>
      </c>
      <c r="E886" s="1299" t="str">
        <f ca="1"/>
        <v/>
      </c>
      <c r="F886" s="1286" t="str">
        <f ca="1"/>
        <v/>
      </c>
      <c r="G886" s="1286" t="str">
        <f ca="1"/>
        <v/>
      </c>
      <c r="H886" s="1301" t="str">
        <f ca="1"/>
        <v/>
      </c>
      <c r="I886" s="1303" t="str">
        <f ca="1"/>
        <v/>
      </c>
      <c r="J886" s="1287" t="str">
        <f ca="1"/>
        <v/>
      </c>
      <c r="K886" s="1288" t="str">
        <f ca="1"/>
        <v xml:space="preserve">Description:
Details:
Aim:
</v>
      </c>
      <c r="L886" s="1287" t="str">
        <f ca="1"/>
        <v/>
      </c>
      <c r="M886" s="1287" t="str">
        <f ca="1"/>
        <v/>
      </c>
      <c r="N886" s="1287"/>
      <c r="O886" s="1323" t="str">
        <f ca="1"/>
        <v/>
      </c>
      <c r="P886" s="1287"/>
      <c r="Q886" s="1290" t="str">
        <f ca="1"/>
        <v/>
      </c>
    </row>
    <row r="887" spans="1:17" ht="27.75" hidden="1" customHeight="1" x14ac:dyDescent="0.45">
      <c r="A887" s="1289">
        <v>22</v>
      </c>
      <c r="B887" s="1285">
        <v>2</v>
      </c>
      <c r="C887" s="1285">
        <v>1</v>
      </c>
      <c r="D887" s="1297">
        <v>4.0000000000000639</v>
      </c>
      <c r="E887" s="1299" t="str">
        <f ca="1"/>
        <v/>
      </c>
      <c r="F887" s="1286" t="str">
        <f ca="1"/>
        <v/>
      </c>
      <c r="G887" s="1286" t="str">
        <f ca="1"/>
        <v/>
      </c>
      <c r="H887" s="1301" t="str">
        <f ca="1"/>
        <v/>
      </c>
      <c r="I887" s="1303" t="str">
        <f ca="1"/>
        <v/>
      </c>
      <c r="J887" s="1287" t="str">
        <f ca="1"/>
        <v/>
      </c>
      <c r="K887" s="1288" t="str">
        <f ca="1"/>
        <v xml:space="preserve">Description:
Details:
Aim:
</v>
      </c>
      <c r="L887" s="1287" t="str">
        <f ca="1"/>
        <v/>
      </c>
      <c r="M887" s="1287" t="str">
        <f ca="1"/>
        <v/>
      </c>
      <c r="N887" s="1287"/>
      <c r="O887" s="1323" t="str">
        <f ca="1"/>
        <v/>
      </c>
      <c r="P887" s="1287"/>
      <c r="Q887" s="1290" t="str">
        <f ca="1"/>
        <v/>
      </c>
    </row>
    <row r="888" spans="1:17" ht="27.75" hidden="1" customHeight="1" x14ac:dyDescent="0.45">
      <c r="A888" s="1289">
        <v>22</v>
      </c>
      <c r="B888" s="1285">
        <v>2</v>
      </c>
      <c r="C888" s="1285">
        <v>1.9999999999999432</v>
      </c>
      <c r="D888" s="1297">
        <v>4.9999999999999858</v>
      </c>
      <c r="E888" s="1299" t="str">
        <f ca="1"/>
        <v/>
      </c>
      <c r="F888" s="1286" t="str">
        <f ca="1"/>
        <v/>
      </c>
      <c r="G888" s="1286" t="str">
        <f ca="1"/>
        <v/>
      </c>
      <c r="H888" s="1301" t="str">
        <f ca="1"/>
        <v/>
      </c>
      <c r="I888" s="1303" t="str">
        <f ca="1"/>
        <v/>
      </c>
      <c r="J888" s="1287" t="str">
        <f ca="1"/>
        <v/>
      </c>
      <c r="K888" s="1288" t="str">
        <f ca="1"/>
        <v xml:space="preserve">Description:
Details:
Aim:
</v>
      </c>
      <c r="L888" s="1287" t="str">
        <f ca="1"/>
        <v/>
      </c>
      <c r="M888" s="1287" t="str">
        <f ca="1"/>
        <v/>
      </c>
      <c r="N888" s="1287"/>
      <c r="O888" s="1323" t="str">
        <f ca="1"/>
        <v/>
      </c>
      <c r="P888" s="1287"/>
      <c r="Q888" s="1290" t="str">
        <f ca="1"/>
        <v/>
      </c>
    </row>
    <row r="889" spans="1:17" ht="27.75" hidden="1" customHeight="1" x14ac:dyDescent="0.45">
      <c r="A889" s="1289">
        <v>22</v>
      </c>
      <c r="B889" s="1285">
        <v>2</v>
      </c>
      <c r="C889" s="1285">
        <v>3.0000000000000568</v>
      </c>
      <c r="D889" s="1297">
        <v>6.0000000000000568</v>
      </c>
      <c r="E889" s="1299" t="str">
        <f ca="1"/>
        <v/>
      </c>
      <c r="F889" s="1286" t="str">
        <f ca="1"/>
        <v/>
      </c>
      <c r="G889" s="1286" t="str">
        <f ca="1"/>
        <v/>
      </c>
      <c r="H889" s="1301" t="str">
        <f ca="1"/>
        <v/>
      </c>
      <c r="I889" s="1303" t="str">
        <f ca="1"/>
        <v/>
      </c>
      <c r="J889" s="1287" t="str">
        <f ca="1"/>
        <v/>
      </c>
      <c r="K889" s="1288" t="str">
        <f ca="1"/>
        <v xml:space="preserve">Description:
Details:
Aim:
</v>
      </c>
      <c r="L889" s="1287" t="str">
        <f ca="1"/>
        <v/>
      </c>
      <c r="M889" s="1287" t="str">
        <f ca="1"/>
        <v/>
      </c>
      <c r="N889" s="1287"/>
      <c r="O889" s="1323" t="str">
        <f ca="1"/>
        <v/>
      </c>
      <c r="P889" s="1287"/>
      <c r="Q889" s="1290" t="str">
        <f ca="1"/>
        <v/>
      </c>
    </row>
    <row r="890" spans="1:17" ht="27.75" hidden="1" customHeight="1" x14ac:dyDescent="0.45">
      <c r="A890" s="1289">
        <v>22</v>
      </c>
      <c r="B890" s="1285">
        <v>2</v>
      </c>
      <c r="C890" s="1285">
        <v>1</v>
      </c>
      <c r="D890" s="1297">
        <v>6.9999999999999787</v>
      </c>
      <c r="E890" s="1299" t="str">
        <f ca="1"/>
        <v/>
      </c>
      <c r="F890" s="1286" t="str">
        <f ca="1"/>
        <v/>
      </c>
      <c r="G890" s="1286" t="str">
        <f ca="1"/>
        <v/>
      </c>
      <c r="H890" s="1301" t="str">
        <f ca="1"/>
        <v/>
      </c>
      <c r="I890" s="1303" t="str">
        <f ca="1"/>
        <v/>
      </c>
      <c r="J890" s="1287" t="str">
        <f ca="1"/>
        <v/>
      </c>
      <c r="K890" s="1288" t="str">
        <f ca="1"/>
        <v xml:space="preserve">Description:
Details:
Aim:
</v>
      </c>
      <c r="L890" s="1287" t="str">
        <f ca="1"/>
        <v/>
      </c>
      <c r="M890" s="1287" t="str">
        <f ca="1"/>
        <v/>
      </c>
      <c r="N890" s="1287"/>
      <c r="O890" s="1323" t="str">
        <f ca="1"/>
        <v/>
      </c>
      <c r="P890" s="1287"/>
      <c r="Q890" s="1290" t="str">
        <f ca="1"/>
        <v/>
      </c>
    </row>
    <row r="891" spans="1:17" ht="27.75" hidden="1" customHeight="1" x14ac:dyDescent="0.45">
      <c r="A891" s="1289">
        <v>22</v>
      </c>
      <c r="B891" s="1285">
        <v>3</v>
      </c>
      <c r="C891" s="1285">
        <v>1.9999999999999432</v>
      </c>
      <c r="D891" s="1297">
        <v>8.0000000000000497</v>
      </c>
      <c r="E891" s="1299" t="str">
        <f ca="1"/>
        <v/>
      </c>
      <c r="F891" s="1286" t="str">
        <f ca="1"/>
        <v/>
      </c>
      <c r="G891" s="1286" t="str">
        <f ca="1"/>
        <v/>
      </c>
      <c r="H891" s="1301" t="str">
        <f ca="1"/>
        <v/>
      </c>
      <c r="I891" s="1303" t="str">
        <f ca="1"/>
        <v/>
      </c>
      <c r="J891" s="1287" t="str">
        <f ca="1"/>
        <v/>
      </c>
      <c r="K891" s="1288" t="str">
        <f ca="1"/>
        <v xml:space="preserve">Description:
Details:
Aim:
</v>
      </c>
      <c r="L891" s="1287" t="str">
        <f ca="1"/>
        <v/>
      </c>
      <c r="M891" s="1287" t="str">
        <f ca="1"/>
        <v/>
      </c>
      <c r="N891" s="1287"/>
      <c r="O891" s="1323" t="str">
        <f ca="1"/>
        <v/>
      </c>
      <c r="P891" s="1287"/>
      <c r="Q891" s="1290" t="str">
        <f ca="1"/>
        <v/>
      </c>
    </row>
    <row r="892" spans="1:17" ht="27.75" hidden="1" customHeight="1" x14ac:dyDescent="0.45">
      <c r="A892" s="1289">
        <v>22</v>
      </c>
      <c r="B892" s="1285">
        <v>3</v>
      </c>
      <c r="C892" s="1285">
        <v>3.0000000000000568</v>
      </c>
      <c r="D892" s="1297">
        <v>8.9999999999999716</v>
      </c>
      <c r="E892" s="1299" t="str">
        <f ca="1"/>
        <v/>
      </c>
      <c r="F892" s="1286" t="str">
        <f ca="1"/>
        <v/>
      </c>
      <c r="G892" s="1286" t="str">
        <f ca="1"/>
        <v/>
      </c>
      <c r="H892" s="1301" t="str">
        <f ca="1"/>
        <v/>
      </c>
      <c r="I892" s="1303" t="str">
        <f ca="1"/>
        <v/>
      </c>
      <c r="J892" s="1287" t="str">
        <f ca="1"/>
        <v/>
      </c>
      <c r="K892" s="1288" t="str">
        <f ca="1"/>
        <v xml:space="preserve">Description:
Details:
Aim:
</v>
      </c>
      <c r="L892" s="1287" t="str">
        <f ca="1"/>
        <v/>
      </c>
      <c r="M892" s="1287" t="str">
        <f ca="1"/>
        <v/>
      </c>
      <c r="N892" s="1287"/>
      <c r="O892" s="1323" t="str">
        <f ca="1"/>
        <v/>
      </c>
      <c r="P892" s="1287"/>
      <c r="Q892" s="1290" t="str">
        <f ca="1"/>
        <v/>
      </c>
    </row>
    <row r="893" spans="1:17" ht="27.75" hidden="1" customHeight="1" x14ac:dyDescent="0.45">
      <c r="A893" s="1289">
        <v>22</v>
      </c>
      <c r="B893" s="1285">
        <v>4</v>
      </c>
      <c r="C893" s="1285">
        <v>1</v>
      </c>
      <c r="D893" s="1297">
        <v>10.000000000000043</v>
      </c>
      <c r="E893" s="1299" t="str">
        <f ca="1"/>
        <v/>
      </c>
      <c r="F893" s="1286" t="str">
        <f ca="1"/>
        <v/>
      </c>
      <c r="G893" s="1286" t="str">
        <f ca="1"/>
        <v/>
      </c>
      <c r="H893" s="1301" t="str">
        <f ca="1"/>
        <v/>
      </c>
      <c r="I893" s="1303" t="str">
        <f ca="1"/>
        <v/>
      </c>
      <c r="J893" s="1287" t="str">
        <f ca="1"/>
        <v/>
      </c>
      <c r="K893" s="1288" t="str">
        <f ca="1"/>
        <v xml:space="preserve">Description:
Details:
Aim:
</v>
      </c>
      <c r="L893" s="1287" t="str">
        <f ca="1"/>
        <v/>
      </c>
      <c r="M893" s="1287" t="str">
        <f ca="1"/>
        <v/>
      </c>
      <c r="N893" s="1287"/>
      <c r="O893" s="1323" t="str">
        <f ca="1"/>
        <v/>
      </c>
      <c r="P893" s="1287"/>
      <c r="Q893" s="1290" t="str">
        <f ca="1"/>
        <v/>
      </c>
    </row>
    <row r="894" spans="1:17" ht="27.75" hidden="1" customHeight="1" x14ac:dyDescent="0.45">
      <c r="A894" s="1289">
        <v>22</v>
      </c>
      <c r="B894" s="1285">
        <v>4</v>
      </c>
      <c r="C894" s="1285">
        <v>1.9999999999999432</v>
      </c>
      <c r="D894" s="1297">
        <v>10.999999999999964</v>
      </c>
      <c r="E894" s="1299" t="str">
        <f ca="1"/>
        <v/>
      </c>
      <c r="F894" s="1286" t="str">
        <f ca="1"/>
        <v/>
      </c>
      <c r="G894" s="1286" t="str">
        <f ca="1"/>
        <v/>
      </c>
      <c r="H894" s="1301" t="str">
        <f ca="1"/>
        <v/>
      </c>
      <c r="I894" s="1303" t="str">
        <f ca="1"/>
        <v/>
      </c>
      <c r="J894" s="1287" t="str">
        <f ca="1"/>
        <v/>
      </c>
      <c r="K894" s="1288" t="str">
        <f ca="1"/>
        <v xml:space="preserve">Description:
Details:
Aim:
</v>
      </c>
      <c r="L894" s="1287" t="str">
        <f ca="1"/>
        <v/>
      </c>
      <c r="M894" s="1287" t="str">
        <f ca="1"/>
        <v/>
      </c>
      <c r="N894" s="1287"/>
      <c r="O894" s="1323" t="str">
        <f ca="1"/>
        <v/>
      </c>
      <c r="P894" s="1287"/>
      <c r="Q894" s="1290" t="str">
        <f ca="1"/>
        <v/>
      </c>
    </row>
    <row r="895" spans="1:17" ht="27.75" hidden="1" customHeight="1" x14ac:dyDescent="0.45">
      <c r="A895" s="1289">
        <v>22</v>
      </c>
      <c r="B895" s="1285">
        <v>4</v>
      </c>
      <c r="C895" s="1285">
        <v>3.0000000000000568</v>
      </c>
      <c r="D895" s="1297">
        <v>12.000000000000036</v>
      </c>
      <c r="E895" s="1299" t="str">
        <f ca="1"/>
        <v/>
      </c>
      <c r="F895" s="1286" t="str">
        <f ca="1"/>
        <v/>
      </c>
      <c r="G895" s="1286" t="str">
        <f ca="1"/>
        <v/>
      </c>
      <c r="H895" s="1301" t="str">
        <f ca="1"/>
        <v/>
      </c>
      <c r="I895" s="1303" t="str">
        <f ca="1"/>
        <v/>
      </c>
      <c r="J895" s="1287" t="str">
        <f ca="1"/>
        <v/>
      </c>
      <c r="K895" s="1288" t="str">
        <f ca="1"/>
        <v xml:space="preserve">Description:
Details:
Aim:
</v>
      </c>
      <c r="L895" s="1287" t="str">
        <f ca="1"/>
        <v/>
      </c>
      <c r="M895" s="1287" t="str">
        <f ca="1"/>
        <v/>
      </c>
      <c r="N895" s="1287"/>
      <c r="O895" s="1323" t="str">
        <f ca="1"/>
        <v/>
      </c>
      <c r="P895" s="1287"/>
      <c r="Q895" s="1290" t="str">
        <f ca="1"/>
        <v/>
      </c>
    </row>
    <row r="896" spans="1:17" ht="27.75" hidden="1" customHeight="1" x14ac:dyDescent="0.45">
      <c r="A896" s="1289">
        <v>22</v>
      </c>
      <c r="B896" s="1285">
        <v>4</v>
      </c>
      <c r="C896" s="1285">
        <v>1</v>
      </c>
      <c r="D896" s="1297">
        <v>12.999999999999957</v>
      </c>
      <c r="E896" s="1299" t="str">
        <f ca="1"/>
        <v/>
      </c>
      <c r="F896" s="1286" t="str">
        <f ca="1"/>
        <v/>
      </c>
      <c r="G896" s="1286" t="str">
        <f ca="1"/>
        <v/>
      </c>
      <c r="H896" s="1301" t="str">
        <f ca="1"/>
        <v/>
      </c>
      <c r="I896" s="1303" t="str">
        <f ca="1"/>
        <v/>
      </c>
      <c r="J896" s="1287" t="str">
        <f ca="1"/>
        <v/>
      </c>
      <c r="K896" s="1288" t="str">
        <f ca="1"/>
        <v xml:space="preserve">Description:
Details:
Aim:
</v>
      </c>
      <c r="L896" s="1287" t="str">
        <f ca="1"/>
        <v/>
      </c>
      <c r="M896" s="1287" t="str">
        <f ca="1"/>
        <v/>
      </c>
      <c r="N896" s="1287"/>
      <c r="O896" s="1323" t="str">
        <f ca="1"/>
        <v/>
      </c>
      <c r="P896" s="1287"/>
      <c r="Q896" s="1290" t="str">
        <f ca="1"/>
        <v/>
      </c>
    </row>
    <row r="897" spans="1:17" ht="27.75" hidden="1" customHeight="1" x14ac:dyDescent="0.45">
      <c r="A897" s="1289">
        <v>22</v>
      </c>
      <c r="B897" s="1285">
        <v>5</v>
      </c>
      <c r="C897" s="1285">
        <v>1.9999999999999432</v>
      </c>
      <c r="D897" s="1297">
        <v>14.000000000000028</v>
      </c>
      <c r="E897" s="1299" t="str">
        <f ca="1"/>
        <v/>
      </c>
      <c r="F897" s="1286" t="str">
        <f ca="1"/>
        <v/>
      </c>
      <c r="G897" s="1286" t="str">
        <f ca="1"/>
        <v/>
      </c>
      <c r="H897" s="1301" t="str">
        <f ca="1"/>
        <v/>
      </c>
      <c r="I897" s="1303" t="str">
        <f ca="1"/>
        <v/>
      </c>
      <c r="J897" s="1287" t="str">
        <f ca="1"/>
        <v/>
      </c>
      <c r="K897" s="1288" t="str">
        <f ca="1"/>
        <v xml:space="preserve">Description:
Details:
Aim:
</v>
      </c>
      <c r="L897" s="1287" t="str">
        <f ca="1"/>
        <v/>
      </c>
      <c r="M897" s="1287" t="str">
        <f ca="1"/>
        <v/>
      </c>
      <c r="N897" s="1287"/>
      <c r="O897" s="1323" t="str">
        <f ca="1"/>
        <v/>
      </c>
      <c r="P897" s="1287"/>
      <c r="Q897" s="1290" t="str">
        <f ca="1"/>
        <v/>
      </c>
    </row>
    <row r="898" spans="1:17" ht="27.75" hidden="1" customHeight="1" x14ac:dyDescent="0.45">
      <c r="A898" s="1289">
        <v>22</v>
      </c>
      <c r="B898" s="1285">
        <v>5</v>
      </c>
      <c r="C898" s="1285">
        <v>3.0000000000000568</v>
      </c>
      <c r="D898" s="1297">
        <v>14.99999999999995</v>
      </c>
      <c r="E898" s="1299" t="str">
        <f ca="1"/>
        <v/>
      </c>
      <c r="F898" s="1286" t="str">
        <f ca="1"/>
        <v/>
      </c>
      <c r="G898" s="1286" t="str">
        <f ca="1"/>
        <v/>
      </c>
      <c r="H898" s="1301" t="str">
        <f ca="1"/>
        <v/>
      </c>
      <c r="I898" s="1303" t="str">
        <f ca="1"/>
        <v/>
      </c>
      <c r="J898" s="1287" t="str">
        <f ca="1"/>
        <v/>
      </c>
      <c r="K898" s="1288" t="str">
        <f ca="1"/>
        <v xml:space="preserve">Description:
Details:
Aim:
</v>
      </c>
      <c r="L898" s="1287" t="str">
        <f ca="1"/>
        <v/>
      </c>
      <c r="M898" s="1287" t="str">
        <f ca="1"/>
        <v/>
      </c>
      <c r="N898" s="1287"/>
      <c r="O898" s="1323" t="str">
        <f ca="1"/>
        <v/>
      </c>
      <c r="P898" s="1287"/>
      <c r="Q898" s="1290" t="str">
        <f ca="1"/>
        <v/>
      </c>
    </row>
    <row r="899" spans="1:17" ht="27.75" hidden="1" customHeight="1" x14ac:dyDescent="0.45">
      <c r="A899" s="1289">
        <v>22</v>
      </c>
      <c r="B899" s="1285">
        <v>6</v>
      </c>
      <c r="C899" s="1285">
        <v>1</v>
      </c>
      <c r="D899" s="1297">
        <v>16.000000000000021</v>
      </c>
      <c r="E899" s="1299" t="str">
        <f ca="1"/>
        <v/>
      </c>
      <c r="F899" s="1286" t="str">
        <f ca="1"/>
        <v/>
      </c>
      <c r="G899" s="1286" t="str">
        <f ca="1"/>
        <v/>
      </c>
      <c r="H899" s="1301" t="str">
        <f ca="1"/>
        <v/>
      </c>
      <c r="I899" s="1303" t="str">
        <f ca="1"/>
        <v/>
      </c>
      <c r="J899" s="1287" t="str">
        <f ca="1"/>
        <v/>
      </c>
      <c r="K899" s="1288" t="str">
        <f ca="1"/>
        <v xml:space="preserve">Description:
Details:
Aim:
</v>
      </c>
      <c r="L899" s="1287" t="str">
        <f ca="1"/>
        <v/>
      </c>
      <c r="M899" s="1287" t="str">
        <f ca="1"/>
        <v/>
      </c>
      <c r="N899" s="1287"/>
      <c r="O899" s="1323" t="str">
        <f ca="1"/>
        <v/>
      </c>
      <c r="P899" s="1287"/>
      <c r="Q899" s="1290" t="str">
        <f ca="1"/>
        <v/>
      </c>
    </row>
    <row r="900" spans="1:17" ht="27.75" hidden="1" customHeight="1" x14ac:dyDescent="0.45">
      <c r="A900" s="1289">
        <v>22</v>
      </c>
      <c r="B900" s="1285">
        <v>6</v>
      </c>
      <c r="C900" s="1285">
        <v>1.9999999999999432</v>
      </c>
      <c r="D900" s="1297">
        <v>16.999999999999943</v>
      </c>
      <c r="E900" s="1299" t="str">
        <f ca="1"/>
        <v/>
      </c>
      <c r="F900" s="1286" t="str">
        <f ca="1"/>
        <v/>
      </c>
      <c r="G900" s="1286" t="str">
        <f ca="1"/>
        <v/>
      </c>
      <c r="H900" s="1301" t="str">
        <f ca="1"/>
        <v/>
      </c>
      <c r="I900" s="1303" t="str">
        <f ca="1"/>
        <v/>
      </c>
      <c r="J900" s="1287" t="str">
        <f ca="1"/>
        <v/>
      </c>
      <c r="K900" s="1288" t="str">
        <f ca="1"/>
        <v xml:space="preserve">Description:
Details:
Aim:
</v>
      </c>
      <c r="L900" s="1287" t="str">
        <f ca="1"/>
        <v/>
      </c>
      <c r="M900" s="1287" t="str">
        <f ca="1"/>
        <v/>
      </c>
      <c r="N900" s="1287"/>
      <c r="O900" s="1323" t="str">
        <f ca="1"/>
        <v/>
      </c>
      <c r="P900" s="1287"/>
      <c r="Q900" s="1290" t="str">
        <f ca="1"/>
        <v/>
      </c>
    </row>
    <row r="901" spans="1:17" ht="27.75" hidden="1" customHeight="1" x14ac:dyDescent="0.45">
      <c r="A901" s="1289">
        <v>22</v>
      </c>
      <c r="B901" s="1285">
        <v>6</v>
      </c>
      <c r="C901" s="1285">
        <v>3.0000000000000568</v>
      </c>
      <c r="D901" s="1297">
        <v>18.000000000000014</v>
      </c>
      <c r="E901" s="1299" t="str">
        <f ca="1"/>
        <v/>
      </c>
      <c r="F901" s="1286" t="str">
        <f ca="1"/>
        <v/>
      </c>
      <c r="G901" s="1286" t="str">
        <f ca="1"/>
        <v/>
      </c>
      <c r="H901" s="1301" t="str">
        <f ca="1"/>
        <v/>
      </c>
      <c r="I901" s="1303" t="str">
        <f ca="1"/>
        <v/>
      </c>
      <c r="J901" s="1287" t="str">
        <f ca="1"/>
        <v/>
      </c>
      <c r="K901" s="1288" t="str">
        <f ca="1"/>
        <v xml:space="preserve">Description:
Details:
Aim:
</v>
      </c>
      <c r="L901" s="1287" t="str">
        <f ca="1"/>
        <v/>
      </c>
      <c r="M901" s="1287" t="str">
        <f ca="1"/>
        <v/>
      </c>
      <c r="N901" s="1287"/>
      <c r="O901" s="1323" t="str">
        <f ca="1"/>
        <v/>
      </c>
      <c r="P901" s="1287"/>
      <c r="Q901" s="1290" t="str">
        <f ca="1"/>
        <v/>
      </c>
    </row>
    <row r="902" spans="1:17" ht="27.75" hidden="1" customHeight="1" x14ac:dyDescent="0.45">
      <c r="A902" s="1289">
        <v>22</v>
      </c>
      <c r="B902" s="1285">
        <v>6</v>
      </c>
      <c r="C902" s="1285">
        <v>1</v>
      </c>
      <c r="D902" s="1297">
        <v>18.999999999999936</v>
      </c>
      <c r="E902" s="1299" t="str">
        <f ca="1"/>
        <v/>
      </c>
      <c r="F902" s="1286" t="str">
        <f ca="1"/>
        <v/>
      </c>
      <c r="G902" s="1286" t="str">
        <f ca="1"/>
        <v/>
      </c>
      <c r="H902" s="1301" t="str">
        <f ca="1"/>
        <v/>
      </c>
      <c r="I902" s="1303" t="str">
        <f ca="1"/>
        <v/>
      </c>
      <c r="J902" s="1287" t="str">
        <f ca="1"/>
        <v/>
      </c>
      <c r="K902" s="1288" t="str">
        <f ca="1"/>
        <v xml:space="preserve">Description:
Details:
Aim:
</v>
      </c>
      <c r="L902" s="1287" t="str">
        <f ca="1"/>
        <v/>
      </c>
      <c r="M902" s="1287" t="str">
        <f ca="1"/>
        <v/>
      </c>
      <c r="N902" s="1287"/>
      <c r="O902" s="1323" t="str">
        <f ca="1"/>
        <v/>
      </c>
      <c r="P902" s="1287"/>
      <c r="Q902" s="1290" t="str">
        <f ca="1"/>
        <v/>
      </c>
    </row>
    <row r="903" spans="1:17" ht="27.75" hidden="1" customHeight="1" x14ac:dyDescent="0.45">
      <c r="A903" s="1289">
        <v>22</v>
      </c>
      <c r="B903" s="1285">
        <v>7</v>
      </c>
      <c r="C903" s="1285">
        <v>1.9999999999999432</v>
      </c>
      <c r="D903" s="1297">
        <v>20.000000000000007</v>
      </c>
      <c r="E903" s="1299" t="str">
        <f ca="1"/>
        <v/>
      </c>
      <c r="F903" s="1286" t="str">
        <f ca="1"/>
        <v/>
      </c>
      <c r="G903" s="1286" t="str">
        <f ca="1"/>
        <v/>
      </c>
      <c r="H903" s="1301" t="str">
        <f ca="1"/>
        <v/>
      </c>
      <c r="I903" s="1303" t="str">
        <f ca="1"/>
        <v/>
      </c>
      <c r="J903" s="1287" t="str">
        <f ca="1"/>
        <v/>
      </c>
      <c r="K903" s="1288" t="str">
        <f ca="1"/>
        <v xml:space="preserve">Description:
Details:
Aim:
</v>
      </c>
      <c r="L903" s="1287" t="str">
        <f ca="1"/>
        <v/>
      </c>
      <c r="M903" s="1287" t="str">
        <f ca="1"/>
        <v/>
      </c>
      <c r="N903" s="1287"/>
      <c r="O903" s="1323" t="str">
        <f ca="1"/>
        <v/>
      </c>
      <c r="P903" s="1287"/>
      <c r="Q903" s="1290" t="str">
        <f ca="1"/>
        <v/>
      </c>
    </row>
    <row r="904" spans="1:17" ht="27.75" hidden="1" customHeight="1" x14ac:dyDescent="0.45">
      <c r="A904" s="1289">
        <v>22</v>
      </c>
      <c r="B904" s="1285">
        <v>7</v>
      </c>
      <c r="C904" s="1285">
        <v>3.0000000000000568</v>
      </c>
      <c r="D904" s="1297">
        <v>20.999999999999929</v>
      </c>
      <c r="E904" s="1299" t="str">
        <f ca="1"/>
        <v/>
      </c>
      <c r="F904" s="1286" t="str">
        <f ca="1"/>
        <v/>
      </c>
      <c r="G904" s="1286" t="str">
        <f ca="1"/>
        <v/>
      </c>
      <c r="H904" s="1301" t="str">
        <f ca="1"/>
        <v/>
      </c>
      <c r="I904" s="1303" t="str">
        <f ca="1"/>
        <v/>
      </c>
      <c r="J904" s="1287" t="str">
        <f ca="1"/>
        <v/>
      </c>
      <c r="K904" s="1288" t="str">
        <f ca="1"/>
        <v xml:space="preserve">Description:
Details:
Aim:
</v>
      </c>
      <c r="L904" s="1287" t="str">
        <f ca="1"/>
        <v/>
      </c>
      <c r="M904" s="1287" t="str">
        <f ca="1"/>
        <v/>
      </c>
      <c r="N904" s="1287"/>
      <c r="O904" s="1323" t="str">
        <f ca="1"/>
        <v/>
      </c>
      <c r="P904" s="1287"/>
      <c r="Q904" s="1290" t="str">
        <f ca="1"/>
        <v/>
      </c>
    </row>
    <row r="905" spans="1:17" ht="27.75" hidden="1" customHeight="1" x14ac:dyDescent="0.45">
      <c r="A905" s="1289">
        <v>22</v>
      </c>
      <c r="B905" s="1285">
        <v>8</v>
      </c>
      <c r="C905" s="1285">
        <v>1</v>
      </c>
      <c r="D905" s="1297">
        <v>22</v>
      </c>
      <c r="E905" s="1299" t="str">
        <f ca="1"/>
        <v/>
      </c>
      <c r="F905" s="1286" t="str">
        <f ca="1"/>
        <v/>
      </c>
      <c r="G905" s="1286" t="str">
        <f ca="1"/>
        <v/>
      </c>
      <c r="H905" s="1301" t="str">
        <f ca="1"/>
        <v/>
      </c>
      <c r="I905" s="1303" t="str">
        <f ca="1"/>
        <v/>
      </c>
      <c r="J905" s="1287" t="str">
        <f ca="1"/>
        <v/>
      </c>
      <c r="K905" s="1288" t="str">
        <f ca="1"/>
        <v xml:space="preserve">Description:
Details:
Aim:
</v>
      </c>
      <c r="L905" s="1287" t="str">
        <f ca="1"/>
        <v/>
      </c>
      <c r="M905" s="1287" t="str">
        <f ca="1"/>
        <v/>
      </c>
      <c r="N905" s="1287"/>
      <c r="O905" s="1323" t="str">
        <f ca="1"/>
        <v/>
      </c>
      <c r="P905" s="1287"/>
      <c r="Q905" s="1290" t="str">
        <f ca="1"/>
        <v/>
      </c>
    </row>
    <row r="906" spans="1:17" ht="27.75" hidden="1" customHeight="1" x14ac:dyDescent="0.45">
      <c r="A906" s="1289">
        <v>22</v>
      </c>
      <c r="B906" s="1285">
        <v>8</v>
      </c>
      <c r="C906" s="1285">
        <v>1.9999999999999432</v>
      </c>
      <c r="D906" s="1297">
        <v>23.000000000000071</v>
      </c>
      <c r="E906" s="1299" t="str">
        <f ca="1"/>
        <v/>
      </c>
      <c r="F906" s="1286" t="str">
        <f ca="1"/>
        <v/>
      </c>
      <c r="G906" s="1286" t="str">
        <f ca="1"/>
        <v/>
      </c>
      <c r="H906" s="1301" t="str">
        <f ca="1"/>
        <v/>
      </c>
      <c r="I906" s="1303" t="str">
        <f ca="1"/>
        <v/>
      </c>
      <c r="J906" s="1287" t="str">
        <f ca="1"/>
        <v/>
      </c>
      <c r="K906" s="1288" t="str">
        <f ca="1"/>
        <v xml:space="preserve">Description:
Details:
Aim:
</v>
      </c>
      <c r="L906" s="1287" t="str">
        <f ca="1"/>
        <v/>
      </c>
      <c r="M906" s="1287" t="str">
        <f ca="1"/>
        <v/>
      </c>
      <c r="N906" s="1287"/>
      <c r="O906" s="1323" t="str">
        <f ca="1"/>
        <v/>
      </c>
      <c r="P906" s="1287"/>
      <c r="Q906" s="1290" t="str">
        <f ca="1"/>
        <v/>
      </c>
    </row>
    <row r="907" spans="1:17" ht="27.75" hidden="1" customHeight="1" x14ac:dyDescent="0.45">
      <c r="A907" s="1289">
        <v>22</v>
      </c>
      <c r="B907" s="1285">
        <v>8</v>
      </c>
      <c r="C907" s="1285">
        <v>3.0000000000000568</v>
      </c>
      <c r="D907" s="1297">
        <v>23.999999999999993</v>
      </c>
      <c r="E907" s="1299" t="str">
        <f ca="1"/>
        <v/>
      </c>
      <c r="F907" s="1286" t="str">
        <f ca="1"/>
        <v/>
      </c>
      <c r="G907" s="1286" t="str">
        <f ca="1"/>
        <v/>
      </c>
      <c r="H907" s="1301" t="str">
        <f ca="1"/>
        <v/>
      </c>
      <c r="I907" s="1303" t="str">
        <f ca="1"/>
        <v/>
      </c>
      <c r="J907" s="1287" t="str">
        <f ca="1"/>
        <v/>
      </c>
      <c r="K907" s="1288" t="str">
        <f ca="1"/>
        <v xml:space="preserve">Description:
Details:
Aim:
</v>
      </c>
      <c r="L907" s="1287" t="str">
        <f ca="1"/>
        <v/>
      </c>
      <c r="M907" s="1287" t="str">
        <f ca="1"/>
        <v/>
      </c>
      <c r="N907" s="1287"/>
      <c r="O907" s="1323" t="str">
        <f ca="1"/>
        <v/>
      </c>
      <c r="P907" s="1287"/>
      <c r="Q907" s="1290" t="str">
        <f ca="1"/>
        <v/>
      </c>
    </row>
    <row r="908" spans="1:17" ht="27.75" hidden="1" customHeight="1" x14ac:dyDescent="0.45">
      <c r="A908" s="1289">
        <v>22</v>
      </c>
      <c r="B908" s="1285">
        <v>9</v>
      </c>
      <c r="C908" s="1285">
        <v>1</v>
      </c>
      <c r="D908" s="1297">
        <v>25.000000000000064</v>
      </c>
      <c r="E908" s="1299" t="str">
        <f ca="1"/>
        <v/>
      </c>
      <c r="F908" s="1286" t="str">
        <f ca="1"/>
        <v/>
      </c>
      <c r="G908" s="1286" t="str">
        <f ca="1"/>
        <v/>
      </c>
      <c r="H908" s="1301" t="str">
        <f ca="1"/>
        <v/>
      </c>
      <c r="I908" s="1303" t="str">
        <f ca="1"/>
        <v/>
      </c>
      <c r="J908" s="1287" t="str">
        <f ca="1"/>
        <v/>
      </c>
      <c r="K908" s="1288" t="str">
        <f ca="1"/>
        <v xml:space="preserve">Description:
Details:
Aim:
</v>
      </c>
      <c r="L908" s="1287" t="str">
        <f ca="1"/>
        <v/>
      </c>
      <c r="M908" s="1287" t="str">
        <f ca="1"/>
        <v/>
      </c>
      <c r="N908" s="1287"/>
      <c r="O908" s="1323" t="str">
        <f ca="1"/>
        <v/>
      </c>
      <c r="P908" s="1287"/>
      <c r="Q908" s="1290" t="str">
        <f ca="1"/>
        <v/>
      </c>
    </row>
    <row r="909" spans="1:17" ht="27.75" hidden="1" customHeight="1" x14ac:dyDescent="0.45">
      <c r="A909" s="1289">
        <v>22</v>
      </c>
      <c r="B909" s="1285">
        <v>9</v>
      </c>
      <c r="C909" s="1285">
        <v>1.9999999999999432</v>
      </c>
      <c r="D909" s="1297">
        <v>25.999999999999986</v>
      </c>
      <c r="E909" s="1299" t="str">
        <f ca="1"/>
        <v/>
      </c>
      <c r="F909" s="1286" t="str">
        <f ca="1"/>
        <v/>
      </c>
      <c r="G909" s="1286" t="str">
        <f ca="1"/>
        <v/>
      </c>
      <c r="H909" s="1301" t="str">
        <f ca="1"/>
        <v/>
      </c>
      <c r="I909" s="1303" t="str">
        <f ca="1"/>
        <v/>
      </c>
      <c r="J909" s="1287" t="str">
        <f ca="1"/>
        <v/>
      </c>
      <c r="K909" s="1288" t="str">
        <f ca="1"/>
        <v xml:space="preserve">Description:
Details:
Aim:
</v>
      </c>
      <c r="L909" s="1287" t="str">
        <f ca="1"/>
        <v/>
      </c>
      <c r="M909" s="1287" t="str">
        <f ca="1"/>
        <v/>
      </c>
      <c r="N909" s="1287"/>
      <c r="O909" s="1323" t="str">
        <f ca="1"/>
        <v/>
      </c>
      <c r="P909" s="1287"/>
      <c r="Q909" s="1290" t="str">
        <f ca="1"/>
        <v/>
      </c>
    </row>
    <row r="910" spans="1:17" ht="27.75" hidden="1" customHeight="1" x14ac:dyDescent="0.45">
      <c r="A910" s="1289">
        <v>22</v>
      </c>
      <c r="B910" s="1285">
        <v>9</v>
      </c>
      <c r="C910" s="1285">
        <v>3.0000000000000568</v>
      </c>
      <c r="D910" s="1297">
        <v>27.000000000000057</v>
      </c>
      <c r="E910" s="1299" t="str">
        <f ca="1"/>
        <v/>
      </c>
      <c r="F910" s="1286" t="str">
        <f ca="1"/>
        <v/>
      </c>
      <c r="G910" s="1286" t="str">
        <f ca="1"/>
        <v/>
      </c>
      <c r="H910" s="1301" t="str">
        <f ca="1"/>
        <v/>
      </c>
      <c r="I910" s="1303" t="str">
        <f ca="1"/>
        <v/>
      </c>
      <c r="J910" s="1287" t="str">
        <f ca="1"/>
        <v/>
      </c>
      <c r="K910" s="1288" t="str">
        <f ca="1"/>
        <v xml:space="preserve">Description:
Details:
Aim:
</v>
      </c>
      <c r="L910" s="1287" t="str">
        <f ca="1"/>
        <v/>
      </c>
      <c r="M910" s="1287" t="str">
        <f ca="1"/>
        <v/>
      </c>
      <c r="N910" s="1287"/>
      <c r="O910" s="1323" t="str">
        <f ca="1"/>
        <v/>
      </c>
      <c r="P910" s="1287"/>
      <c r="Q910" s="1290" t="str">
        <f ca="1"/>
        <v/>
      </c>
    </row>
    <row r="911" spans="1:17" ht="27.75" hidden="1" customHeight="1" x14ac:dyDescent="0.45">
      <c r="A911" s="1289">
        <v>22</v>
      </c>
      <c r="B911" s="1285">
        <v>9</v>
      </c>
      <c r="C911" s="1285">
        <v>1</v>
      </c>
      <c r="D911" s="1297">
        <v>27.999999999999979</v>
      </c>
      <c r="E911" s="1299" t="str">
        <f ca="1"/>
        <v/>
      </c>
      <c r="F911" s="1286" t="str">
        <f ca="1"/>
        <v/>
      </c>
      <c r="G911" s="1286" t="str">
        <f ca="1"/>
        <v/>
      </c>
      <c r="H911" s="1301" t="str">
        <f ca="1"/>
        <v/>
      </c>
      <c r="I911" s="1303" t="str">
        <f ca="1"/>
        <v/>
      </c>
      <c r="J911" s="1287" t="str">
        <f ca="1"/>
        <v/>
      </c>
      <c r="K911" s="1288" t="str">
        <f ca="1"/>
        <v xml:space="preserve">Description:
Details:
Aim:
</v>
      </c>
      <c r="L911" s="1287" t="str">
        <f ca="1"/>
        <v/>
      </c>
      <c r="M911" s="1287" t="str">
        <f ca="1"/>
        <v/>
      </c>
      <c r="N911" s="1287"/>
      <c r="O911" s="1323" t="str">
        <f ca="1"/>
        <v/>
      </c>
      <c r="P911" s="1287"/>
      <c r="Q911" s="1290" t="str">
        <f ca="1"/>
        <v/>
      </c>
    </row>
    <row r="912" spans="1:17" ht="27.75" hidden="1" customHeight="1" x14ac:dyDescent="0.45">
      <c r="A912" s="1289">
        <v>22</v>
      </c>
      <c r="B912" s="1285">
        <v>10</v>
      </c>
      <c r="C912" s="1285">
        <v>1.9999999999999432</v>
      </c>
      <c r="D912" s="1297">
        <v>29.00000000000005</v>
      </c>
      <c r="E912" s="1299" t="str">
        <f ca="1"/>
        <v/>
      </c>
      <c r="F912" s="1286" t="str">
        <f ca="1"/>
        <v/>
      </c>
      <c r="G912" s="1286" t="str">
        <f ca="1"/>
        <v/>
      </c>
      <c r="H912" s="1301" t="str">
        <f ca="1"/>
        <v/>
      </c>
      <c r="I912" s="1303" t="str">
        <f ca="1"/>
        <v/>
      </c>
      <c r="J912" s="1287" t="str">
        <f ca="1"/>
        <v/>
      </c>
      <c r="K912" s="1288" t="str">
        <f ca="1"/>
        <v xml:space="preserve">Description:
Details:
Aim:
</v>
      </c>
      <c r="L912" s="1287" t="str">
        <f ca="1"/>
        <v/>
      </c>
      <c r="M912" s="1287" t="str">
        <f ca="1"/>
        <v/>
      </c>
      <c r="N912" s="1287"/>
      <c r="O912" s="1323" t="str">
        <f ca="1"/>
        <v/>
      </c>
      <c r="P912" s="1287"/>
      <c r="Q912" s="1290" t="str">
        <f ca="1"/>
        <v/>
      </c>
    </row>
    <row r="913" spans="1:17" ht="27.75" hidden="1" customHeight="1" x14ac:dyDescent="0.45">
      <c r="A913" s="1289">
        <v>22</v>
      </c>
      <c r="B913" s="1285">
        <v>10</v>
      </c>
      <c r="C913" s="1285">
        <v>3.0000000000000568</v>
      </c>
      <c r="D913" s="1297">
        <v>29.999999999999972</v>
      </c>
      <c r="E913" s="1299" t="str">
        <f ca="1"/>
        <v/>
      </c>
      <c r="F913" s="1286" t="str">
        <f ca="1"/>
        <v/>
      </c>
      <c r="G913" s="1286" t="str">
        <f ca="1"/>
        <v/>
      </c>
      <c r="H913" s="1301" t="str">
        <f ca="1"/>
        <v/>
      </c>
      <c r="I913" s="1303" t="str">
        <f ca="1"/>
        <v/>
      </c>
      <c r="J913" s="1287" t="str">
        <f ca="1"/>
        <v/>
      </c>
      <c r="K913" s="1288" t="str">
        <f ca="1"/>
        <v xml:space="preserve">Description:
Details:
Aim:
</v>
      </c>
      <c r="L913" s="1287" t="str">
        <f ca="1"/>
        <v/>
      </c>
      <c r="M913" s="1287" t="str">
        <f ca="1"/>
        <v/>
      </c>
      <c r="N913" s="1287"/>
      <c r="O913" s="1323" t="str">
        <f ca="1"/>
        <v/>
      </c>
      <c r="P913" s="1287"/>
      <c r="Q913" s="1290" t="str">
        <f ca="1"/>
        <v/>
      </c>
    </row>
    <row r="914" spans="1:17" ht="27.75" hidden="1" customHeight="1" x14ac:dyDescent="0.45">
      <c r="A914" s="1289">
        <v>22</v>
      </c>
      <c r="B914" s="1285">
        <v>11</v>
      </c>
      <c r="C914" s="1285">
        <v>1</v>
      </c>
      <c r="D914" s="1297">
        <v>31.000000000000043</v>
      </c>
      <c r="E914" s="1299" t="str">
        <f ca="1"/>
        <v/>
      </c>
      <c r="F914" s="1286" t="str">
        <f ca="1"/>
        <v/>
      </c>
      <c r="G914" s="1286" t="str">
        <f ca="1"/>
        <v/>
      </c>
      <c r="H914" s="1301" t="str">
        <f ca="1"/>
        <v/>
      </c>
      <c r="I914" s="1303" t="str">
        <f ca="1"/>
        <v/>
      </c>
      <c r="J914" s="1287" t="str">
        <f ca="1"/>
        <v/>
      </c>
      <c r="K914" s="1288" t="str">
        <f ca="1"/>
        <v xml:space="preserve">Description:
Details:
Aim:
</v>
      </c>
      <c r="L914" s="1287" t="str">
        <f ca="1"/>
        <v/>
      </c>
      <c r="M914" s="1287" t="str">
        <f ca="1"/>
        <v/>
      </c>
      <c r="N914" s="1287"/>
      <c r="O914" s="1323" t="str">
        <f ca="1"/>
        <v/>
      </c>
      <c r="P914" s="1287"/>
      <c r="Q914" s="1290" t="str">
        <f ca="1"/>
        <v/>
      </c>
    </row>
    <row r="915" spans="1:17" ht="27.75" hidden="1" customHeight="1" x14ac:dyDescent="0.45">
      <c r="A915" s="1289">
        <v>22</v>
      </c>
      <c r="B915" s="1285">
        <v>11</v>
      </c>
      <c r="C915" s="1285">
        <v>1.9999999999999432</v>
      </c>
      <c r="D915" s="1297">
        <v>31.999999999999964</v>
      </c>
      <c r="E915" s="1299" t="str">
        <f ca="1"/>
        <v/>
      </c>
      <c r="F915" s="1286" t="str">
        <f ca="1"/>
        <v/>
      </c>
      <c r="G915" s="1286" t="str">
        <f ca="1"/>
        <v/>
      </c>
      <c r="H915" s="1301" t="str">
        <f ca="1"/>
        <v/>
      </c>
      <c r="I915" s="1303" t="str">
        <f ca="1"/>
        <v/>
      </c>
      <c r="J915" s="1287" t="str">
        <f ca="1"/>
        <v/>
      </c>
      <c r="K915" s="1288" t="str">
        <f ca="1"/>
        <v xml:space="preserve">Description:
Details:
Aim:
</v>
      </c>
      <c r="L915" s="1287" t="str">
        <f ca="1"/>
        <v/>
      </c>
      <c r="M915" s="1287" t="str">
        <f ca="1"/>
        <v/>
      </c>
      <c r="N915" s="1287"/>
      <c r="O915" s="1323" t="str">
        <f ca="1"/>
        <v/>
      </c>
      <c r="P915" s="1287"/>
      <c r="Q915" s="1290" t="str">
        <f ca="1"/>
        <v/>
      </c>
    </row>
    <row r="916" spans="1:17" ht="27.75" hidden="1" customHeight="1" x14ac:dyDescent="0.45">
      <c r="A916" s="1289">
        <v>22</v>
      </c>
      <c r="B916" s="1285">
        <v>11</v>
      </c>
      <c r="C916" s="1285">
        <v>3.0000000000000568</v>
      </c>
      <c r="D916" s="1297">
        <v>33.000000000000036</v>
      </c>
      <c r="E916" s="1299" t="str">
        <f ca="1"/>
        <v/>
      </c>
      <c r="F916" s="1286" t="str">
        <f ca="1"/>
        <v/>
      </c>
      <c r="G916" s="1286" t="str">
        <f ca="1"/>
        <v/>
      </c>
      <c r="H916" s="1301" t="str">
        <f ca="1"/>
        <v/>
      </c>
      <c r="I916" s="1303" t="str">
        <f ca="1"/>
        <v/>
      </c>
      <c r="J916" s="1287" t="str">
        <f ca="1"/>
        <v/>
      </c>
      <c r="K916" s="1288" t="str">
        <f ca="1"/>
        <v xml:space="preserve">Description:
Details:
Aim:
</v>
      </c>
      <c r="L916" s="1287" t="str">
        <f ca="1"/>
        <v/>
      </c>
      <c r="M916" s="1287" t="str">
        <f ca="1"/>
        <v/>
      </c>
      <c r="N916" s="1287"/>
      <c r="O916" s="1323" t="str">
        <f ca="1"/>
        <v/>
      </c>
      <c r="P916" s="1287"/>
      <c r="Q916" s="1290" t="str">
        <f ca="1"/>
        <v/>
      </c>
    </row>
    <row r="917" spans="1:17" ht="27.75" hidden="1" customHeight="1" x14ac:dyDescent="0.45">
      <c r="A917" s="1289">
        <v>22</v>
      </c>
      <c r="B917" s="1285">
        <v>12</v>
      </c>
      <c r="C917" s="1285">
        <v>1</v>
      </c>
      <c r="D917" s="1297">
        <v>33.999999999999957</v>
      </c>
      <c r="E917" s="1299" t="str">
        <f ca="1"/>
        <v/>
      </c>
      <c r="F917" s="1286" t="str">
        <f ca="1"/>
        <v/>
      </c>
      <c r="G917" s="1286" t="str">
        <f ca="1"/>
        <v/>
      </c>
      <c r="H917" s="1301" t="str">
        <f ca="1"/>
        <v/>
      </c>
      <c r="I917" s="1303" t="str">
        <f ca="1"/>
        <v/>
      </c>
      <c r="J917" s="1287" t="str">
        <f ca="1"/>
        <v/>
      </c>
      <c r="K917" s="1288" t="str">
        <f ca="1"/>
        <v xml:space="preserve">Description:
Details:
Aim:
</v>
      </c>
      <c r="L917" s="1287" t="str">
        <f ca="1"/>
        <v/>
      </c>
      <c r="M917" s="1287" t="str">
        <f ca="1"/>
        <v/>
      </c>
      <c r="N917" s="1287"/>
      <c r="O917" s="1323" t="str">
        <f ca="1"/>
        <v/>
      </c>
      <c r="P917" s="1287"/>
      <c r="Q917" s="1290" t="str">
        <f ca="1"/>
        <v/>
      </c>
    </row>
    <row r="918" spans="1:17" ht="27.75" hidden="1" customHeight="1" x14ac:dyDescent="0.45">
      <c r="A918" s="1289">
        <v>22</v>
      </c>
      <c r="B918" s="1285">
        <v>12</v>
      </c>
      <c r="C918" s="1285">
        <v>1.9999999999999432</v>
      </c>
      <c r="D918" s="1297">
        <v>35.000000000000028</v>
      </c>
      <c r="E918" s="1299" t="str">
        <f ca="1"/>
        <v/>
      </c>
      <c r="F918" s="1286" t="str">
        <f ca="1"/>
        <v/>
      </c>
      <c r="G918" s="1286" t="str">
        <f ca="1"/>
        <v/>
      </c>
      <c r="H918" s="1301" t="str">
        <f ca="1"/>
        <v/>
      </c>
      <c r="I918" s="1303" t="str">
        <f ca="1"/>
        <v/>
      </c>
      <c r="J918" s="1287" t="str">
        <f ca="1"/>
        <v/>
      </c>
      <c r="K918" s="1288" t="str">
        <f ca="1"/>
        <v xml:space="preserve">Description:
Details:
Aim:
</v>
      </c>
      <c r="L918" s="1287" t="str">
        <f ca="1"/>
        <v/>
      </c>
      <c r="M918" s="1287" t="str">
        <f ca="1"/>
        <v/>
      </c>
      <c r="N918" s="1287"/>
      <c r="O918" s="1323" t="str">
        <f ca="1"/>
        <v/>
      </c>
      <c r="P918" s="1287"/>
      <c r="Q918" s="1290" t="str">
        <f ca="1"/>
        <v/>
      </c>
    </row>
    <row r="919" spans="1:17" ht="27.75" hidden="1" customHeight="1" x14ac:dyDescent="0.45">
      <c r="A919" s="1289">
        <v>22</v>
      </c>
      <c r="B919" s="1285">
        <v>12</v>
      </c>
      <c r="C919" s="1285">
        <v>3.0000000000000568</v>
      </c>
      <c r="D919" s="1297">
        <v>35.99999999999995</v>
      </c>
      <c r="E919" s="1299" t="str">
        <f ca="1"/>
        <v/>
      </c>
      <c r="F919" s="1286" t="str">
        <f ca="1"/>
        <v/>
      </c>
      <c r="G919" s="1286" t="str">
        <f ca="1"/>
        <v/>
      </c>
      <c r="H919" s="1301" t="str">
        <f ca="1"/>
        <v/>
      </c>
      <c r="I919" s="1303" t="str">
        <f ca="1"/>
        <v/>
      </c>
      <c r="J919" s="1287" t="str">
        <f ca="1"/>
        <v/>
      </c>
      <c r="K919" s="1288" t="str">
        <f ca="1"/>
        <v xml:space="preserve">Description:
Details:
Aim:
</v>
      </c>
      <c r="L919" s="1287" t="str">
        <f ca="1"/>
        <v/>
      </c>
      <c r="M919" s="1287" t="str">
        <f ca="1"/>
        <v/>
      </c>
      <c r="N919" s="1287"/>
      <c r="O919" s="1323" t="str">
        <f ca="1"/>
        <v/>
      </c>
      <c r="P919" s="1287"/>
      <c r="Q919" s="1290" t="str">
        <f ca="1"/>
        <v/>
      </c>
    </row>
    <row r="920" spans="1:17" ht="27.75" hidden="1" customHeight="1" x14ac:dyDescent="0.45">
      <c r="A920" s="1289">
        <v>22</v>
      </c>
      <c r="B920" s="1285">
        <v>13</v>
      </c>
      <c r="C920" s="1285">
        <v>1</v>
      </c>
      <c r="D920" s="1297">
        <v>37.000000000000021</v>
      </c>
      <c r="E920" s="1299" t="str">
        <f ca="1"/>
        <v/>
      </c>
      <c r="F920" s="1286" t="str">
        <f ca="1"/>
        <v/>
      </c>
      <c r="G920" s="1286" t="str">
        <f ca="1"/>
        <v/>
      </c>
      <c r="H920" s="1301" t="str">
        <f ca="1"/>
        <v/>
      </c>
      <c r="I920" s="1303" t="str">
        <f ca="1"/>
        <v/>
      </c>
      <c r="J920" s="1287" t="str">
        <f ca="1"/>
        <v/>
      </c>
      <c r="K920" s="1288" t="str">
        <f ca="1"/>
        <v xml:space="preserve">Description:
Details:
Aim:
</v>
      </c>
      <c r="L920" s="1287" t="str">
        <f ca="1"/>
        <v/>
      </c>
      <c r="M920" s="1287" t="str">
        <f ca="1"/>
        <v/>
      </c>
      <c r="N920" s="1287"/>
      <c r="O920" s="1323" t="str">
        <f ca="1"/>
        <v/>
      </c>
      <c r="P920" s="1287"/>
      <c r="Q920" s="1290" t="str">
        <f ca="1"/>
        <v/>
      </c>
    </row>
    <row r="921" spans="1:17" ht="27.75" hidden="1" customHeight="1" x14ac:dyDescent="0.45">
      <c r="A921" s="1289">
        <v>22</v>
      </c>
      <c r="B921" s="1285">
        <v>13</v>
      </c>
      <c r="C921" s="1285">
        <v>1.9999999999999432</v>
      </c>
      <c r="D921" s="1297">
        <v>37.999999999999943</v>
      </c>
      <c r="E921" s="1299" t="str">
        <f ca="1"/>
        <v/>
      </c>
      <c r="F921" s="1286" t="str">
        <f ca="1"/>
        <v/>
      </c>
      <c r="G921" s="1286" t="str">
        <f ca="1"/>
        <v/>
      </c>
      <c r="H921" s="1301" t="str">
        <f ca="1"/>
        <v/>
      </c>
      <c r="I921" s="1303" t="str">
        <f ca="1"/>
        <v/>
      </c>
      <c r="J921" s="1287" t="str">
        <f ca="1"/>
        <v/>
      </c>
      <c r="K921" s="1288" t="str">
        <f ca="1"/>
        <v xml:space="preserve">Description:
Details:
Aim:
</v>
      </c>
      <c r="L921" s="1287" t="str">
        <f ca="1"/>
        <v/>
      </c>
      <c r="M921" s="1287" t="str">
        <f ca="1"/>
        <v/>
      </c>
      <c r="N921" s="1287"/>
      <c r="O921" s="1323" t="str">
        <f ca="1"/>
        <v/>
      </c>
      <c r="P921" s="1287"/>
      <c r="Q921" s="1290" t="str">
        <f ca="1"/>
        <v/>
      </c>
    </row>
    <row r="922" spans="1:17" ht="27.75" hidden="1" customHeight="1" x14ac:dyDescent="0.45">
      <c r="A922" s="1289">
        <v>22</v>
      </c>
      <c r="B922" s="1285">
        <v>13</v>
      </c>
      <c r="C922" s="1285">
        <v>3.0000000000000568</v>
      </c>
      <c r="D922" s="1297">
        <v>39.000000000000014</v>
      </c>
      <c r="E922" s="1299" t="str">
        <f ca="1"/>
        <v/>
      </c>
      <c r="F922" s="1286" t="str">
        <f ca="1"/>
        <v/>
      </c>
      <c r="G922" s="1286" t="str">
        <f ca="1"/>
        <v/>
      </c>
      <c r="H922" s="1301" t="str">
        <f ca="1"/>
        <v/>
      </c>
      <c r="I922" s="1303" t="str">
        <f ca="1"/>
        <v/>
      </c>
      <c r="J922" s="1287" t="str">
        <f ca="1"/>
        <v/>
      </c>
      <c r="K922" s="1288" t="str">
        <f ca="1"/>
        <v xml:space="preserve">Description:
Details:
Aim:
</v>
      </c>
      <c r="L922" s="1287" t="str">
        <f ca="1"/>
        <v/>
      </c>
      <c r="M922" s="1287" t="str">
        <f ca="1"/>
        <v/>
      </c>
      <c r="N922" s="1287"/>
      <c r="O922" s="1323" t="str">
        <f ca="1"/>
        <v/>
      </c>
      <c r="P922" s="1287"/>
      <c r="Q922" s="1290" t="str">
        <f ca="1"/>
        <v/>
      </c>
    </row>
    <row r="923" spans="1:17" ht="27.75" hidden="1" customHeight="1" x14ac:dyDescent="0.45">
      <c r="A923" s="1289">
        <v>22</v>
      </c>
      <c r="B923" s="1285">
        <v>14</v>
      </c>
      <c r="C923" s="1285">
        <v>1</v>
      </c>
      <c r="D923" s="1297">
        <v>39.999999999999936</v>
      </c>
      <c r="E923" s="1299" t="str">
        <f ca="1"/>
        <v/>
      </c>
      <c r="F923" s="1286" t="str">
        <f ca="1"/>
        <v/>
      </c>
      <c r="G923" s="1286" t="str">
        <f ca="1"/>
        <v/>
      </c>
      <c r="H923" s="1301" t="str">
        <f ca="1"/>
        <v/>
      </c>
      <c r="I923" s="1303" t="str">
        <f ca="1"/>
        <v/>
      </c>
      <c r="J923" s="1287" t="str">
        <f ca="1"/>
        <v/>
      </c>
      <c r="K923" s="1288" t="str">
        <f ca="1"/>
        <v xml:space="preserve">Description:
Details:
Aim:
</v>
      </c>
      <c r="L923" s="1287" t="str">
        <f ca="1"/>
        <v/>
      </c>
      <c r="M923" s="1287" t="str">
        <f ca="1"/>
        <v/>
      </c>
      <c r="N923" s="1287"/>
      <c r="O923" s="1323" t="str">
        <f ca="1"/>
        <v/>
      </c>
      <c r="P923" s="1287"/>
      <c r="Q923" s="1290" t="str">
        <f ca="1"/>
        <v/>
      </c>
    </row>
    <row r="924" spans="1:17" ht="27.75" hidden="1" customHeight="1" x14ac:dyDescent="0.45">
      <c r="A924" s="1289">
        <v>22</v>
      </c>
      <c r="B924" s="1285">
        <v>14</v>
      </c>
      <c r="C924" s="1285">
        <v>1.9999999999999432</v>
      </c>
      <c r="D924" s="1297">
        <v>41.000000000000007</v>
      </c>
      <c r="E924" s="1299" t="str">
        <f ca="1"/>
        <v/>
      </c>
      <c r="F924" s="1286" t="str">
        <f ca="1"/>
        <v/>
      </c>
      <c r="G924" s="1286" t="str">
        <f ca="1"/>
        <v/>
      </c>
      <c r="H924" s="1301" t="str">
        <f ca="1"/>
        <v/>
      </c>
      <c r="I924" s="1303" t="str">
        <f ca="1"/>
        <v/>
      </c>
      <c r="J924" s="1287" t="str">
        <f ca="1"/>
        <v/>
      </c>
      <c r="K924" s="1288" t="str">
        <f ca="1"/>
        <v xml:space="preserve">Description:
Details:
Aim:
</v>
      </c>
      <c r="L924" s="1287" t="str">
        <f ca="1"/>
        <v/>
      </c>
      <c r="M924" s="1287" t="str">
        <f ca="1"/>
        <v/>
      </c>
      <c r="N924" s="1287"/>
      <c r="O924" s="1323" t="str">
        <f ca="1"/>
        <v/>
      </c>
      <c r="P924" s="1287"/>
      <c r="Q924" s="1290" t="str">
        <f ca="1"/>
        <v/>
      </c>
    </row>
    <row r="925" spans="1:17" ht="27.75" hidden="1" customHeight="1" x14ac:dyDescent="0.45">
      <c r="A925" s="1289">
        <v>22</v>
      </c>
      <c r="B925" s="1285">
        <v>14</v>
      </c>
      <c r="C925" s="1285">
        <v>3.0000000000000568</v>
      </c>
      <c r="D925" s="1297">
        <v>41.999999999999929</v>
      </c>
      <c r="E925" s="1299" t="str">
        <f ca="1"/>
        <v/>
      </c>
      <c r="F925" s="1286" t="str">
        <f ca="1"/>
        <v/>
      </c>
      <c r="G925" s="1286" t="str">
        <f ca="1"/>
        <v/>
      </c>
      <c r="H925" s="1301" t="str">
        <f ca="1"/>
        <v/>
      </c>
      <c r="I925" s="1303" t="str">
        <f ca="1"/>
        <v/>
      </c>
      <c r="J925" s="1287" t="str">
        <f ca="1"/>
        <v/>
      </c>
      <c r="K925" s="1288" t="str">
        <f ca="1"/>
        <v xml:space="preserve">Description:
Details:
Aim:
</v>
      </c>
      <c r="L925" s="1287" t="str">
        <f ca="1"/>
        <v/>
      </c>
      <c r="M925" s="1287" t="str">
        <f ca="1"/>
        <v/>
      </c>
      <c r="N925" s="1287"/>
      <c r="O925" s="1323" t="str">
        <f ca="1"/>
        <v/>
      </c>
      <c r="P925" s="1287"/>
      <c r="Q925" s="1290" t="str">
        <f ca="1"/>
        <v/>
      </c>
    </row>
    <row r="926" spans="1:17" ht="27.75" hidden="1" customHeight="1" x14ac:dyDescent="0.45">
      <c r="A926" s="1289">
        <v>23</v>
      </c>
      <c r="B926" s="1285">
        <v>1</v>
      </c>
      <c r="C926" s="1285">
        <v>1</v>
      </c>
      <c r="D926" s="1297">
        <v>1</v>
      </c>
      <c r="E926" s="1299" t="str">
        <f ca="1"/>
        <v/>
      </c>
      <c r="F926" s="1286" t="str">
        <f ca="1"/>
        <v/>
      </c>
      <c r="G926" s="1286" t="str">
        <f ca="1"/>
        <v/>
      </c>
      <c r="H926" s="1301" t="str">
        <f ca="1"/>
        <v/>
      </c>
      <c r="I926" s="1303" t="str">
        <f ca="1"/>
        <v/>
      </c>
      <c r="J926" s="1287" t="str">
        <f ca="1"/>
        <v/>
      </c>
      <c r="K926" s="1288" t="str">
        <f ca="1"/>
        <v xml:space="preserve">Description:
Details:
Aim:
</v>
      </c>
      <c r="L926" s="1287" t="str">
        <f ca="1"/>
        <v/>
      </c>
      <c r="M926" s="1287" t="str">
        <f ca="1"/>
        <v/>
      </c>
      <c r="N926" s="1287"/>
      <c r="O926" s="1323" t="str">
        <f ca="1"/>
        <v/>
      </c>
      <c r="P926" s="1287"/>
      <c r="Q926" s="1290" t="str">
        <f ca="1"/>
        <v/>
      </c>
    </row>
    <row r="927" spans="1:17" ht="27.75" hidden="1" customHeight="1" x14ac:dyDescent="0.45">
      <c r="A927" s="1289">
        <v>23</v>
      </c>
      <c r="B927" s="1285">
        <v>1</v>
      </c>
      <c r="C927" s="1285">
        <v>1.9999999999999432</v>
      </c>
      <c r="D927" s="1297">
        <v>2.0000000000000711</v>
      </c>
      <c r="E927" s="1299" t="str">
        <f ca="1"/>
        <v/>
      </c>
      <c r="F927" s="1286" t="str">
        <f ca="1"/>
        <v/>
      </c>
      <c r="G927" s="1286" t="str">
        <f ca="1"/>
        <v/>
      </c>
      <c r="H927" s="1301" t="str">
        <f ca="1"/>
        <v/>
      </c>
      <c r="I927" s="1303" t="str">
        <f ca="1"/>
        <v/>
      </c>
      <c r="J927" s="1287" t="str">
        <f ca="1"/>
        <v/>
      </c>
      <c r="K927" s="1288" t="str">
        <f ca="1"/>
        <v xml:space="preserve">Description:
Details:
Aim:
</v>
      </c>
      <c r="L927" s="1287" t="str">
        <f ca="1"/>
        <v/>
      </c>
      <c r="M927" s="1287" t="str">
        <f ca="1"/>
        <v/>
      </c>
      <c r="N927" s="1287"/>
      <c r="O927" s="1323" t="str">
        <f ca="1"/>
        <v/>
      </c>
      <c r="P927" s="1287"/>
      <c r="Q927" s="1290" t="str">
        <f ca="1"/>
        <v/>
      </c>
    </row>
    <row r="928" spans="1:17" ht="27.75" hidden="1" customHeight="1" x14ac:dyDescent="0.45">
      <c r="A928" s="1289">
        <v>23</v>
      </c>
      <c r="B928" s="1285">
        <v>1</v>
      </c>
      <c r="C928" s="1285">
        <v>3.0000000000000568</v>
      </c>
      <c r="D928" s="1297">
        <v>2.9999999999999929</v>
      </c>
      <c r="E928" s="1299" t="str">
        <f ca="1"/>
        <v/>
      </c>
      <c r="F928" s="1286" t="str">
        <f ca="1"/>
        <v/>
      </c>
      <c r="G928" s="1286" t="str">
        <f ca="1"/>
        <v/>
      </c>
      <c r="H928" s="1301" t="str">
        <f ca="1"/>
        <v/>
      </c>
      <c r="I928" s="1303" t="str">
        <f ca="1"/>
        <v/>
      </c>
      <c r="J928" s="1287" t="str">
        <f ca="1"/>
        <v/>
      </c>
      <c r="K928" s="1288" t="str">
        <f ca="1"/>
        <v xml:space="preserve">Description:
Details:
Aim:
</v>
      </c>
      <c r="L928" s="1287" t="str">
        <f ca="1"/>
        <v/>
      </c>
      <c r="M928" s="1287" t="str">
        <f ca="1"/>
        <v/>
      </c>
      <c r="N928" s="1287"/>
      <c r="O928" s="1323" t="str">
        <f ca="1"/>
        <v/>
      </c>
      <c r="P928" s="1287"/>
      <c r="Q928" s="1290" t="str">
        <f ca="1"/>
        <v/>
      </c>
    </row>
    <row r="929" spans="1:17" ht="27.75" hidden="1" customHeight="1" x14ac:dyDescent="0.45">
      <c r="A929" s="1289">
        <v>23</v>
      </c>
      <c r="B929" s="1285">
        <v>2</v>
      </c>
      <c r="C929" s="1285">
        <v>1</v>
      </c>
      <c r="D929" s="1297">
        <v>4.0000000000000639</v>
      </c>
      <c r="E929" s="1299" t="str">
        <f ca="1"/>
        <v/>
      </c>
      <c r="F929" s="1286" t="str">
        <f ca="1"/>
        <v/>
      </c>
      <c r="G929" s="1286" t="str">
        <f ca="1"/>
        <v/>
      </c>
      <c r="H929" s="1301" t="str">
        <f ca="1"/>
        <v/>
      </c>
      <c r="I929" s="1303" t="str">
        <f ca="1"/>
        <v/>
      </c>
      <c r="J929" s="1287" t="str">
        <f ca="1"/>
        <v/>
      </c>
      <c r="K929" s="1288" t="str">
        <f ca="1"/>
        <v xml:space="preserve">Description:
Details:
Aim:
</v>
      </c>
      <c r="L929" s="1287" t="str">
        <f ca="1"/>
        <v/>
      </c>
      <c r="M929" s="1287" t="str">
        <f ca="1"/>
        <v/>
      </c>
      <c r="N929" s="1287"/>
      <c r="O929" s="1323" t="str">
        <f ca="1"/>
        <v/>
      </c>
      <c r="P929" s="1287"/>
      <c r="Q929" s="1290" t="str">
        <f ca="1"/>
        <v/>
      </c>
    </row>
    <row r="930" spans="1:17" ht="27.75" hidden="1" customHeight="1" x14ac:dyDescent="0.45">
      <c r="A930" s="1289">
        <v>23</v>
      </c>
      <c r="B930" s="1285">
        <v>2</v>
      </c>
      <c r="C930" s="1285">
        <v>1.9999999999999432</v>
      </c>
      <c r="D930" s="1297">
        <v>4.9999999999999858</v>
      </c>
      <c r="E930" s="1299" t="str">
        <f ca="1"/>
        <v/>
      </c>
      <c r="F930" s="1286" t="str">
        <f ca="1"/>
        <v/>
      </c>
      <c r="G930" s="1286" t="str">
        <f ca="1"/>
        <v/>
      </c>
      <c r="H930" s="1301" t="str">
        <f ca="1"/>
        <v/>
      </c>
      <c r="I930" s="1303" t="str">
        <f ca="1"/>
        <v/>
      </c>
      <c r="J930" s="1287" t="str">
        <f ca="1"/>
        <v/>
      </c>
      <c r="K930" s="1288" t="str">
        <f ca="1"/>
        <v xml:space="preserve">Description:
Details:
Aim:
</v>
      </c>
      <c r="L930" s="1287" t="str">
        <f ca="1"/>
        <v/>
      </c>
      <c r="M930" s="1287" t="str">
        <f ca="1"/>
        <v/>
      </c>
      <c r="N930" s="1287"/>
      <c r="O930" s="1323" t="str">
        <f ca="1"/>
        <v/>
      </c>
      <c r="P930" s="1287"/>
      <c r="Q930" s="1290" t="str">
        <f ca="1"/>
        <v/>
      </c>
    </row>
    <row r="931" spans="1:17" ht="27.75" hidden="1" customHeight="1" x14ac:dyDescent="0.45">
      <c r="A931" s="1289">
        <v>23</v>
      </c>
      <c r="B931" s="1285">
        <v>2</v>
      </c>
      <c r="C931" s="1285">
        <v>3.0000000000000568</v>
      </c>
      <c r="D931" s="1297">
        <v>6.0000000000000568</v>
      </c>
      <c r="E931" s="1299" t="str">
        <f ca="1"/>
        <v/>
      </c>
      <c r="F931" s="1286" t="str">
        <f ca="1"/>
        <v/>
      </c>
      <c r="G931" s="1286" t="str">
        <f ca="1"/>
        <v/>
      </c>
      <c r="H931" s="1301" t="str">
        <f ca="1"/>
        <v/>
      </c>
      <c r="I931" s="1303" t="str">
        <f ca="1"/>
        <v/>
      </c>
      <c r="J931" s="1287" t="str">
        <f ca="1"/>
        <v/>
      </c>
      <c r="K931" s="1288" t="str">
        <f ca="1"/>
        <v xml:space="preserve">Description:
Details:
Aim:
</v>
      </c>
      <c r="L931" s="1287" t="str">
        <f ca="1"/>
        <v/>
      </c>
      <c r="M931" s="1287" t="str">
        <f ca="1"/>
        <v/>
      </c>
      <c r="N931" s="1287"/>
      <c r="O931" s="1323" t="str">
        <f ca="1"/>
        <v/>
      </c>
      <c r="P931" s="1287"/>
      <c r="Q931" s="1290" t="str">
        <f ca="1"/>
        <v/>
      </c>
    </row>
    <row r="932" spans="1:17" ht="27.75" hidden="1" customHeight="1" x14ac:dyDescent="0.45">
      <c r="A932" s="1289">
        <v>23</v>
      </c>
      <c r="B932" s="1285">
        <v>2</v>
      </c>
      <c r="C932" s="1285">
        <v>1</v>
      </c>
      <c r="D932" s="1297">
        <v>6.9999999999999787</v>
      </c>
      <c r="E932" s="1299" t="str">
        <f ca="1"/>
        <v/>
      </c>
      <c r="F932" s="1286" t="str">
        <f ca="1"/>
        <v/>
      </c>
      <c r="G932" s="1286" t="str">
        <f ca="1"/>
        <v/>
      </c>
      <c r="H932" s="1301" t="str">
        <f ca="1"/>
        <v/>
      </c>
      <c r="I932" s="1303" t="str">
        <f ca="1"/>
        <v/>
      </c>
      <c r="J932" s="1287" t="str">
        <f ca="1"/>
        <v/>
      </c>
      <c r="K932" s="1288" t="str">
        <f ca="1"/>
        <v xml:space="preserve">Description:
Details:
Aim:
</v>
      </c>
      <c r="L932" s="1287" t="str">
        <f ca="1"/>
        <v/>
      </c>
      <c r="M932" s="1287" t="str">
        <f ca="1"/>
        <v/>
      </c>
      <c r="N932" s="1287"/>
      <c r="O932" s="1323" t="str">
        <f ca="1"/>
        <v/>
      </c>
      <c r="P932" s="1287"/>
      <c r="Q932" s="1290" t="str">
        <f ca="1"/>
        <v/>
      </c>
    </row>
    <row r="933" spans="1:17" ht="27.75" hidden="1" customHeight="1" x14ac:dyDescent="0.45">
      <c r="A933" s="1289">
        <v>23</v>
      </c>
      <c r="B933" s="1285">
        <v>3</v>
      </c>
      <c r="C933" s="1285">
        <v>1.9999999999999432</v>
      </c>
      <c r="D933" s="1297">
        <v>8.0000000000000497</v>
      </c>
      <c r="E933" s="1299" t="str">
        <f ca="1"/>
        <v/>
      </c>
      <c r="F933" s="1286" t="str">
        <f ca="1"/>
        <v/>
      </c>
      <c r="G933" s="1286" t="str">
        <f ca="1"/>
        <v/>
      </c>
      <c r="H933" s="1301" t="str">
        <f ca="1"/>
        <v/>
      </c>
      <c r="I933" s="1303" t="str">
        <f ca="1"/>
        <v/>
      </c>
      <c r="J933" s="1287" t="str">
        <f ca="1"/>
        <v/>
      </c>
      <c r="K933" s="1288" t="str">
        <f ca="1"/>
        <v xml:space="preserve">Description:
Details:
Aim:
</v>
      </c>
      <c r="L933" s="1287" t="str">
        <f ca="1"/>
        <v/>
      </c>
      <c r="M933" s="1287" t="str">
        <f ca="1"/>
        <v/>
      </c>
      <c r="N933" s="1287"/>
      <c r="O933" s="1323" t="str">
        <f ca="1"/>
        <v/>
      </c>
      <c r="P933" s="1287"/>
      <c r="Q933" s="1290" t="str">
        <f ca="1"/>
        <v/>
      </c>
    </row>
    <row r="934" spans="1:17" ht="27.75" hidden="1" customHeight="1" x14ac:dyDescent="0.45">
      <c r="A934" s="1289">
        <v>23</v>
      </c>
      <c r="B934" s="1285">
        <v>3</v>
      </c>
      <c r="C934" s="1285">
        <v>3.0000000000000568</v>
      </c>
      <c r="D934" s="1297">
        <v>8.9999999999999716</v>
      </c>
      <c r="E934" s="1299" t="str">
        <f ca="1"/>
        <v/>
      </c>
      <c r="F934" s="1286" t="str">
        <f ca="1"/>
        <v/>
      </c>
      <c r="G934" s="1286" t="str">
        <f ca="1"/>
        <v/>
      </c>
      <c r="H934" s="1301" t="str">
        <f ca="1"/>
        <v/>
      </c>
      <c r="I934" s="1303" t="str">
        <f ca="1"/>
        <v/>
      </c>
      <c r="J934" s="1287" t="str">
        <f ca="1"/>
        <v/>
      </c>
      <c r="K934" s="1288" t="str">
        <f ca="1"/>
        <v xml:space="preserve">Description:
Details:
Aim:
</v>
      </c>
      <c r="L934" s="1287" t="str">
        <f ca="1"/>
        <v/>
      </c>
      <c r="M934" s="1287" t="str">
        <f ca="1"/>
        <v/>
      </c>
      <c r="N934" s="1287"/>
      <c r="O934" s="1323" t="str">
        <f ca="1"/>
        <v/>
      </c>
      <c r="P934" s="1287"/>
      <c r="Q934" s="1290" t="str">
        <f ca="1"/>
        <v/>
      </c>
    </row>
    <row r="935" spans="1:17" ht="27.75" hidden="1" customHeight="1" x14ac:dyDescent="0.45">
      <c r="A935" s="1289">
        <v>23</v>
      </c>
      <c r="B935" s="1285">
        <v>4</v>
      </c>
      <c r="C935" s="1285">
        <v>1</v>
      </c>
      <c r="D935" s="1297">
        <v>10.000000000000043</v>
      </c>
      <c r="E935" s="1299" t="str">
        <f ca="1"/>
        <v/>
      </c>
      <c r="F935" s="1286" t="str">
        <f ca="1"/>
        <v/>
      </c>
      <c r="G935" s="1286" t="str">
        <f ca="1"/>
        <v/>
      </c>
      <c r="H935" s="1301" t="str">
        <f ca="1"/>
        <v/>
      </c>
      <c r="I935" s="1303" t="str">
        <f ca="1"/>
        <v/>
      </c>
      <c r="J935" s="1287" t="str">
        <f ca="1"/>
        <v/>
      </c>
      <c r="K935" s="1288" t="str">
        <f ca="1"/>
        <v xml:space="preserve">Description:
Details:
Aim:
</v>
      </c>
      <c r="L935" s="1287" t="str">
        <f ca="1"/>
        <v/>
      </c>
      <c r="M935" s="1287" t="str">
        <f ca="1"/>
        <v/>
      </c>
      <c r="N935" s="1287"/>
      <c r="O935" s="1323" t="str">
        <f ca="1"/>
        <v/>
      </c>
      <c r="P935" s="1287"/>
      <c r="Q935" s="1290" t="str">
        <f ca="1"/>
        <v/>
      </c>
    </row>
    <row r="936" spans="1:17" ht="27.75" hidden="1" customHeight="1" x14ac:dyDescent="0.45">
      <c r="A936" s="1289">
        <v>23</v>
      </c>
      <c r="B936" s="1285">
        <v>4</v>
      </c>
      <c r="C936" s="1285">
        <v>1.9999999999999432</v>
      </c>
      <c r="D936" s="1297">
        <v>10.999999999999964</v>
      </c>
      <c r="E936" s="1299" t="str">
        <f ca="1"/>
        <v/>
      </c>
      <c r="F936" s="1286" t="str">
        <f ca="1"/>
        <v/>
      </c>
      <c r="G936" s="1286" t="str">
        <f ca="1"/>
        <v/>
      </c>
      <c r="H936" s="1301" t="str">
        <f ca="1"/>
        <v/>
      </c>
      <c r="I936" s="1303" t="str">
        <f ca="1"/>
        <v/>
      </c>
      <c r="J936" s="1287" t="str">
        <f ca="1"/>
        <v/>
      </c>
      <c r="K936" s="1288" t="str">
        <f ca="1"/>
        <v xml:space="preserve">Description:
Details:
Aim:
</v>
      </c>
      <c r="L936" s="1287" t="str">
        <f ca="1"/>
        <v/>
      </c>
      <c r="M936" s="1287" t="str">
        <f ca="1"/>
        <v/>
      </c>
      <c r="N936" s="1287"/>
      <c r="O936" s="1323" t="str">
        <f ca="1"/>
        <v/>
      </c>
      <c r="P936" s="1287"/>
      <c r="Q936" s="1290" t="str">
        <f ca="1"/>
        <v/>
      </c>
    </row>
    <row r="937" spans="1:17" ht="27.75" hidden="1" customHeight="1" x14ac:dyDescent="0.45">
      <c r="A937" s="1289">
        <v>23</v>
      </c>
      <c r="B937" s="1285">
        <v>4</v>
      </c>
      <c r="C937" s="1285">
        <v>3.0000000000000568</v>
      </c>
      <c r="D937" s="1297">
        <v>12.000000000000036</v>
      </c>
      <c r="E937" s="1299" t="str">
        <f ca="1"/>
        <v/>
      </c>
      <c r="F937" s="1286" t="str">
        <f ca="1"/>
        <v/>
      </c>
      <c r="G937" s="1286" t="str">
        <f ca="1"/>
        <v/>
      </c>
      <c r="H937" s="1301" t="str">
        <f ca="1"/>
        <v/>
      </c>
      <c r="I937" s="1303" t="str">
        <f ca="1"/>
        <v/>
      </c>
      <c r="J937" s="1287" t="str">
        <f ca="1"/>
        <v/>
      </c>
      <c r="K937" s="1288" t="str">
        <f ca="1"/>
        <v xml:space="preserve">Description:
Details:
Aim:
</v>
      </c>
      <c r="L937" s="1287" t="str">
        <f ca="1"/>
        <v/>
      </c>
      <c r="M937" s="1287" t="str">
        <f ca="1"/>
        <v/>
      </c>
      <c r="N937" s="1287"/>
      <c r="O937" s="1323" t="str">
        <f ca="1"/>
        <v/>
      </c>
      <c r="P937" s="1287"/>
      <c r="Q937" s="1290" t="str">
        <f ca="1"/>
        <v/>
      </c>
    </row>
    <row r="938" spans="1:17" ht="27.75" hidden="1" customHeight="1" x14ac:dyDescent="0.45">
      <c r="A938" s="1289">
        <v>23</v>
      </c>
      <c r="B938" s="1285">
        <v>4</v>
      </c>
      <c r="C938" s="1285">
        <v>1</v>
      </c>
      <c r="D938" s="1297">
        <v>12.999999999999957</v>
      </c>
      <c r="E938" s="1299" t="str">
        <f ca="1"/>
        <v/>
      </c>
      <c r="F938" s="1286" t="str">
        <f ca="1"/>
        <v/>
      </c>
      <c r="G938" s="1286" t="str">
        <f ca="1"/>
        <v/>
      </c>
      <c r="H938" s="1301" t="str">
        <f ca="1"/>
        <v/>
      </c>
      <c r="I938" s="1303" t="str">
        <f ca="1"/>
        <v/>
      </c>
      <c r="J938" s="1287" t="str">
        <f ca="1"/>
        <v/>
      </c>
      <c r="K938" s="1288" t="str">
        <f ca="1"/>
        <v xml:space="preserve">Description:
Details:
Aim:
</v>
      </c>
      <c r="L938" s="1287" t="str">
        <f ca="1"/>
        <v/>
      </c>
      <c r="M938" s="1287" t="str">
        <f ca="1"/>
        <v/>
      </c>
      <c r="N938" s="1287"/>
      <c r="O938" s="1323" t="str">
        <f ca="1"/>
        <v/>
      </c>
      <c r="P938" s="1287"/>
      <c r="Q938" s="1290" t="str">
        <f ca="1"/>
        <v/>
      </c>
    </row>
    <row r="939" spans="1:17" ht="27.75" hidden="1" customHeight="1" x14ac:dyDescent="0.45">
      <c r="A939" s="1289">
        <v>23</v>
      </c>
      <c r="B939" s="1285">
        <v>5</v>
      </c>
      <c r="C939" s="1285">
        <v>1.9999999999999432</v>
      </c>
      <c r="D939" s="1297">
        <v>14.000000000000028</v>
      </c>
      <c r="E939" s="1299" t="str">
        <f ca="1"/>
        <v/>
      </c>
      <c r="F939" s="1286" t="str">
        <f ca="1"/>
        <v/>
      </c>
      <c r="G939" s="1286" t="str">
        <f ca="1"/>
        <v/>
      </c>
      <c r="H939" s="1301" t="str">
        <f ca="1"/>
        <v/>
      </c>
      <c r="I939" s="1303" t="str">
        <f ca="1"/>
        <v/>
      </c>
      <c r="J939" s="1287" t="str">
        <f ca="1"/>
        <v/>
      </c>
      <c r="K939" s="1288" t="str">
        <f ca="1"/>
        <v xml:space="preserve">Description:
Details:
Aim:
</v>
      </c>
      <c r="L939" s="1287" t="str">
        <f ca="1"/>
        <v/>
      </c>
      <c r="M939" s="1287" t="str">
        <f ca="1"/>
        <v/>
      </c>
      <c r="N939" s="1287"/>
      <c r="O939" s="1323" t="str">
        <f ca="1"/>
        <v/>
      </c>
      <c r="P939" s="1287"/>
      <c r="Q939" s="1290" t="str">
        <f ca="1"/>
        <v/>
      </c>
    </row>
    <row r="940" spans="1:17" ht="27.75" hidden="1" customHeight="1" x14ac:dyDescent="0.45">
      <c r="A940" s="1289">
        <v>23</v>
      </c>
      <c r="B940" s="1285">
        <v>5</v>
      </c>
      <c r="C940" s="1285">
        <v>3.0000000000000568</v>
      </c>
      <c r="D940" s="1297">
        <v>14.99999999999995</v>
      </c>
      <c r="E940" s="1299" t="str">
        <f ca="1"/>
        <v/>
      </c>
      <c r="F940" s="1286" t="str">
        <f ca="1"/>
        <v/>
      </c>
      <c r="G940" s="1286" t="str">
        <f ca="1"/>
        <v/>
      </c>
      <c r="H940" s="1301" t="str">
        <f ca="1"/>
        <v/>
      </c>
      <c r="I940" s="1303" t="str">
        <f ca="1"/>
        <v/>
      </c>
      <c r="J940" s="1287" t="str">
        <f ca="1"/>
        <v/>
      </c>
      <c r="K940" s="1288" t="str">
        <f ca="1"/>
        <v xml:space="preserve">Description:
Details:
Aim:
</v>
      </c>
      <c r="L940" s="1287" t="str">
        <f ca="1"/>
        <v/>
      </c>
      <c r="M940" s="1287" t="str">
        <f ca="1"/>
        <v/>
      </c>
      <c r="N940" s="1287"/>
      <c r="O940" s="1323" t="str">
        <f ca="1"/>
        <v/>
      </c>
      <c r="P940" s="1287"/>
      <c r="Q940" s="1290" t="str">
        <f ca="1"/>
        <v/>
      </c>
    </row>
    <row r="941" spans="1:17" ht="27.75" hidden="1" customHeight="1" x14ac:dyDescent="0.45">
      <c r="A941" s="1289">
        <v>23</v>
      </c>
      <c r="B941" s="1285">
        <v>6</v>
      </c>
      <c r="C941" s="1285">
        <v>1</v>
      </c>
      <c r="D941" s="1297">
        <v>16.000000000000021</v>
      </c>
      <c r="E941" s="1299" t="str">
        <f ca="1"/>
        <v/>
      </c>
      <c r="F941" s="1286" t="str">
        <f ca="1"/>
        <v/>
      </c>
      <c r="G941" s="1286" t="str">
        <f ca="1"/>
        <v/>
      </c>
      <c r="H941" s="1301" t="str">
        <f ca="1"/>
        <v/>
      </c>
      <c r="I941" s="1303" t="str">
        <f ca="1"/>
        <v/>
      </c>
      <c r="J941" s="1287" t="str">
        <f ca="1"/>
        <v/>
      </c>
      <c r="K941" s="1288" t="str">
        <f ca="1"/>
        <v xml:space="preserve">Description:
Details:
Aim:
</v>
      </c>
      <c r="L941" s="1287" t="str">
        <f ca="1"/>
        <v/>
      </c>
      <c r="M941" s="1287" t="str">
        <f ca="1"/>
        <v/>
      </c>
      <c r="N941" s="1287"/>
      <c r="O941" s="1323" t="str">
        <f ca="1"/>
        <v/>
      </c>
      <c r="P941" s="1287"/>
      <c r="Q941" s="1290" t="str">
        <f ca="1"/>
        <v/>
      </c>
    </row>
    <row r="942" spans="1:17" ht="27.75" hidden="1" customHeight="1" x14ac:dyDescent="0.45">
      <c r="A942" s="1289">
        <v>23</v>
      </c>
      <c r="B942" s="1285">
        <v>6</v>
      </c>
      <c r="C942" s="1285">
        <v>1.9999999999999432</v>
      </c>
      <c r="D942" s="1297">
        <v>16.999999999999943</v>
      </c>
      <c r="E942" s="1299" t="str">
        <f ca="1"/>
        <v/>
      </c>
      <c r="F942" s="1286" t="str">
        <f ca="1"/>
        <v/>
      </c>
      <c r="G942" s="1286" t="str">
        <f ca="1"/>
        <v/>
      </c>
      <c r="H942" s="1301" t="str">
        <f ca="1"/>
        <v/>
      </c>
      <c r="I942" s="1303" t="str">
        <f ca="1"/>
        <v/>
      </c>
      <c r="J942" s="1287" t="str">
        <f ca="1"/>
        <v/>
      </c>
      <c r="K942" s="1288" t="str">
        <f ca="1"/>
        <v xml:space="preserve">Description:
Details:
Aim:
</v>
      </c>
      <c r="L942" s="1287" t="str">
        <f ca="1"/>
        <v/>
      </c>
      <c r="M942" s="1287" t="str">
        <f ca="1"/>
        <v/>
      </c>
      <c r="N942" s="1287"/>
      <c r="O942" s="1323" t="str">
        <f ca="1"/>
        <v/>
      </c>
      <c r="P942" s="1287"/>
      <c r="Q942" s="1290" t="str">
        <f ca="1"/>
        <v/>
      </c>
    </row>
    <row r="943" spans="1:17" ht="27.75" hidden="1" customHeight="1" x14ac:dyDescent="0.45">
      <c r="A943" s="1289">
        <v>23</v>
      </c>
      <c r="B943" s="1285">
        <v>6</v>
      </c>
      <c r="C943" s="1285">
        <v>3.0000000000000568</v>
      </c>
      <c r="D943" s="1297">
        <v>18.000000000000014</v>
      </c>
      <c r="E943" s="1299" t="str">
        <f ca="1"/>
        <v/>
      </c>
      <c r="F943" s="1286" t="str">
        <f ca="1"/>
        <v/>
      </c>
      <c r="G943" s="1286" t="str">
        <f ca="1"/>
        <v/>
      </c>
      <c r="H943" s="1301" t="str">
        <f ca="1"/>
        <v/>
      </c>
      <c r="I943" s="1303" t="str">
        <f ca="1"/>
        <v/>
      </c>
      <c r="J943" s="1287" t="str">
        <f ca="1"/>
        <v/>
      </c>
      <c r="K943" s="1288" t="str">
        <f ca="1"/>
        <v xml:space="preserve">Description:
Details:
Aim:
</v>
      </c>
      <c r="L943" s="1287" t="str">
        <f ca="1"/>
        <v/>
      </c>
      <c r="M943" s="1287" t="str">
        <f ca="1"/>
        <v/>
      </c>
      <c r="N943" s="1287"/>
      <c r="O943" s="1323" t="str">
        <f ca="1"/>
        <v/>
      </c>
      <c r="P943" s="1287"/>
      <c r="Q943" s="1290" t="str">
        <f ca="1"/>
        <v/>
      </c>
    </row>
    <row r="944" spans="1:17" ht="27.75" hidden="1" customHeight="1" x14ac:dyDescent="0.45">
      <c r="A944" s="1289">
        <v>23</v>
      </c>
      <c r="B944" s="1285">
        <v>6</v>
      </c>
      <c r="C944" s="1285">
        <v>1</v>
      </c>
      <c r="D944" s="1297">
        <v>18.999999999999936</v>
      </c>
      <c r="E944" s="1299" t="str">
        <f ca="1"/>
        <v/>
      </c>
      <c r="F944" s="1286" t="str">
        <f ca="1"/>
        <v/>
      </c>
      <c r="G944" s="1286" t="str">
        <f ca="1"/>
        <v/>
      </c>
      <c r="H944" s="1301" t="str">
        <f ca="1"/>
        <v/>
      </c>
      <c r="I944" s="1303" t="str">
        <f ca="1"/>
        <v/>
      </c>
      <c r="J944" s="1287" t="str">
        <f ca="1"/>
        <v/>
      </c>
      <c r="K944" s="1288" t="str">
        <f ca="1"/>
        <v xml:space="preserve">Description:
Details:
Aim:
</v>
      </c>
      <c r="L944" s="1287" t="str">
        <f ca="1"/>
        <v/>
      </c>
      <c r="M944" s="1287" t="str">
        <f ca="1"/>
        <v/>
      </c>
      <c r="N944" s="1287"/>
      <c r="O944" s="1323" t="str">
        <f ca="1"/>
        <v/>
      </c>
      <c r="P944" s="1287"/>
      <c r="Q944" s="1290" t="str">
        <f ca="1"/>
        <v/>
      </c>
    </row>
    <row r="945" spans="1:17" ht="27.75" hidden="1" customHeight="1" x14ac:dyDescent="0.45">
      <c r="A945" s="1289">
        <v>23</v>
      </c>
      <c r="B945" s="1285">
        <v>7</v>
      </c>
      <c r="C945" s="1285">
        <v>1.9999999999999432</v>
      </c>
      <c r="D945" s="1297">
        <v>20.000000000000007</v>
      </c>
      <c r="E945" s="1299" t="str">
        <f ca="1"/>
        <v/>
      </c>
      <c r="F945" s="1286" t="str">
        <f ca="1"/>
        <v/>
      </c>
      <c r="G945" s="1286" t="str">
        <f ca="1"/>
        <v/>
      </c>
      <c r="H945" s="1301" t="str">
        <f ca="1"/>
        <v/>
      </c>
      <c r="I945" s="1303" t="str">
        <f ca="1"/>
        <v/>
      </c>
      <c r="J945" s="1287" t="str">
        <f ca="1"/>
        <v/>
      </c>
      <c r="K945" s="1288" t="str">
        <f ca="1"/>
        <v xml:space="preserve">Description:
Details:
Aim:
</v>
      </c>
      <c r="L945" s="1287" t="str">
        <f ca="1"/>
        <v/>
      </c>
      <c r="M945" s="1287" t="str">
        <f ca="1"/>
        <v/>
      </c>
      <c r="N945" s="1287"/>
      <c r="O945" s="1323" t="str">
        <f ca="1"/>
        <v/>
      </c>
      <c r="P945" s="1287"/>
      <c r="Q945" s="1290" t="str">
        <f ca="1"/>
        <v/>
      </c>
    </row>
    <row r="946" spans="1:17" ht="27.75" hidden="1" customHeight="1" x14ac:dyDescent="0.45">
      <c r="A946" s="1289">
        <v>23</v>
      </c>
      <c r="B946" s="1285">
        <v>7</v>
      </c>
      <c r="C946" s="1285">
        <v>3.0000000000000568</v>
      </c>
      <c r="D946" s="1297">
        <v>20.999999999999929</v>
      </c>
      <c r="E946" s="1299" t="str">
        <f ca="1"/>
        <v/>
      </c>
      <c r="F946" s="1286" t="str">
        <f ca="1"/>
        <v/>
      </c>
      <c r="G946" s="1286" t="str">
        <f ca="1"/>
        <v/>
      </c>
      <c r="H946" s="1301" t="str">
        <f ca="1"/>
        <v/>
      </c>
      <c r="I946" s="1303" t="str">
        <f ca="1"/>
        <v/>
      </c>
      <c r="J946" s="1287" t="str">
        <f ca="1"/>
        <v/>
      </c>
      <c r="K946" s="1288" t="str">
        <f ca="1"/>
        <v xml:space="preserve">Description:
Details:
Aim:
</v>
      </c>
      <c r="L946" s="1287" t="str">
        <f ca="1"/>
        <v/>
      </c>
      <c r="M946" s="1287" t="str">
        <f ca="1"/>
        <v/>
      </c>
      <c r="N946" s="1287"/>
      <c r="O946" s="1323" t="str">
        <f ca="1"/>
        <v/>
      </c>
      <c r="P946" s="1287"/>
      <c r="Q946" s="1290" t="str">
        <f ca="1"/>
        <v/>
      </c>
    </row>
    <row r="947" spans="1:17" ht="27.75" hidden="1" customHeight="1" x14ac:dyDescent="0.45">
      <c r="A947" s="1289">
        <v>23</v>
      </c>
      <c r="B947" s="1285">
        <v>8</v>
      </c>
      <c r="C947" s="1285">
        <v>1</v>
      </c>
      <c r="D947" s="1297">
        <v>22</v>
      </c>
      <c r="E947" s="1299" t="str">
        <f ca="1"/>
        <v/>
      </c>
      <c r="F947" s="1286" t="str">
        <f ca="1"/>
        <v/>
      </c>
      <c r="G947" s="1286" t="str">
        <f ca="1"/>
        <v/>
      </c>
      <c r="H947" s="1301" t="str">
        <f ca="1"/>
        <v/>
      </c>
      <c r="I947" s="1303" t="str">
        <f ca="1"/>
        <v/>
      </c>
      <c r="J947" s="1287" t="str">
        <f ca="1"/>
        <v/>
      </c>
      <c r="K947" s="1288" t="str">
        <f ca="1"/>
        <v xml:space="preserve">Description:
Details:
Aim:
</v>
      </c>
      <c r="L947" s="1287" t="str">
        <f ca="1"/>
        <v/>
      </c>
      <c r="M947" s="1287" t="str">
        <f ca="1"/>
        <v/>
      </c>
      <c r="N947" s="1287"/>
      <c r="O947" s="1323" t="str">
        <f ca="1"/>
        <v/>
      </c>
      <c r="P947" s="1287"/>
      <c r="Q947" s="1290" t="str">
        <f ca="1"/>
        <v/>
      </c>
    </row>
    <row r="948" spans="1:17" ht="27.75" hidden="1" customHeight="1" x14ac:dyDescent="0.45">
      <c r="A948" s="1289">
        <v>23</v>
      </c>
      <c r="B948" s="1285">
        <v>8</v>
      </c>
      <c r="C948" s="1285">
        <v>1.9999999999999432</v>
      </c>
      <c r="D948" s="1297">
        <v>23.000000000000071</v>
      </c>
      <c r="E948" s="1299" t="str">
        <f ca="1"/>
        <v/>
      </c>
      <c r="F948" s="1286" t="str">
        <f ca="1"/>
        <v/>
      </c>
      <c r="G948" s="1286" t="str">
        <f ca="1"/>
        <v/>
      </c>
      <c r="H948" s="1301" t="str">
        <f ca="1"/>
        <v/>
      </c>
      <c r="I948" s="1303" t="str">
        <f ca="1"/>
        <v/>
      </c>
      <c r="J948" s="1287" t="str">
        <f ca="1"/>
        <v/>
      </c>
      <c r="K948" s="1288" t="str">
        <f ca="1"/>
        <v xml:space="preserve">Description:
Details:
Aim:
</v>
      </c>
      <c r="L948" s="1287" t="str">
        <f ca="1"/>
        <v/>
      </c>
      <c r="M948" s="1287" t="str">
        <f ca="1"/>
        <v/>
      </c>
      <c r="N948" s="1287"/>
      <c r="O948" s="1323" t="str">
        <f ca="1"/>
        <v/>
      </c>
      <c r="P948" s="1287"/>
      <c r="Q948" s="1290" t="str">
        <f ca="1"/>
        <v/>
      </c>
    </row>
    <row r="949" spans="1:17" ht="27.75" hidden="1" customHeight="1" x14ac:dyDescent="0.45">
      <c r="A949" s="1289">
        <v>23</v>
      </c>
      <c r="B949" s="1285">
        <v>8</v>
      </c>
      <c r="C949" s="1285">
        <v>3.0000000000000568</v>
      </c>
      <c r="D949" s="1297">
        <v>23.999999999999993</v>
      </c>
      <c r="E949" s="1299" t="str">
        <f ca="1"/>
        <v/>
      </c>
      <c r="F949" s="1286" t="str">
        <f ca="1"/>
        <v/>
      </c>
      <c r="G949" s="1286" t="str">
        <f ca="1"/>
        <v/>
      </c>
      <c r="H949" s="1301" t="str">
        <f ca="1"/>
        <v/>
      </c>
      <c r="I949" s="1303" t="str">
        <f ca="1"/>
        <v/>
      </c>
      <c r="J949" s="1287" t="str">
        <f ca="1"/>
        <v/>
      </c>
      <c r="K949" s="1288" t="str">
        <f ca="1"/>
        <v xml:space="preserve">Description:
Details:
Aim:
</v>
      </c>
      <c r="L949" s="1287" t="str">
        <f ca="1"/>
        <v/>
      </c>
      <c r="M949" s="1287" t="str">
        <f ca="1"/>
        <v/>
      </c>
      <c r="N949" s="1287"/>
      <c r="O949" s="1323" t="str">
        <f ca="1"/>
        <v/>
      </c>
      <c r="P949" s="1287"/>
      <c r="Q949" s="1290" t="str">
        <f ca="1"/>
        <v/>
      </c>
    </row>
    <row r="950" spans="1:17" ht="27.75" hidden="1" customHeight="1" x14ac:dyDescent="0.45">
      <c r="A950" s="1289">
        <v>23</v>
      </c>
      <c r="B950" s="1285">
        <v>9</v>
      </c>
      <c r="C950" s="1285">
        <v>1</v>
      </c>
      <c r="D950" s="1297">
        <v>25.000000000000064</v>
      </c>
      <c r="E950" s="1299" t="str">
        <f ca="1"/>
        <v/>
      </c>
      <c r="F950" s="1286" t="str">
        <f ca="1"/>
        <v/>
      </c>
      <c r="G950" s="1286" t="str">
        <f ca="1"/>
        <v/>
      </c>
      <c r="H950" s="1301" t="str">
        <f ca="1"/>
        <v/>
      </c>
      <c r="I950" s="1303" t="str">
        <f ca="1"/>
        <v/>
      </c>
      <c r="J950" s="1287" t="str">
        <f ca="1"/>
        <v/>
      </c>
      <c r="K950" s="1288" t="str">
        <f ca="1"/>
        <v xml:space="preserve">Description:
Details:
Aim:
</v>
      </c>
      <c r="L950" s="1287" t="str">
        <f ca="1"/>
        <v/>
      </c>
      <c r="M950" s="1287" t="str">
        <f ca="1"/>
        <v/>
      </c>
      <c r="N950" s="1287"/>
      <c r="O950" s="1323" t="str">
        <f ca="1"/>
        <v/>
      </c>
      <c r="P950" s="1287"/>
      <c r="Q950" s="1290" t="str">
        <f ca="1"/>
        <v/>
      </c>
    </row>
    <row r="951" spans="1:17" ht="27.75" hidden="1" customHeight="1" x14ac:dyDescent="0.45">
      <c r="A951" s="1289">
        <v>23</v>
      </c>
      <c r="B951" s="1285">
        <v>9</v>
      </c>
      <c r="C951" s="1285">
        <v>1.9999999999999432</v>
      </c>
      <c r="D951" s="1297">
        <v>25.999999999999986</v>
      </c>
      <c r="E951" s="1299" t="str">
        <f ca="1"/>
        <v/>
      </c>
      <c r="F951" s="1286" t="str">
        <f ca="1"/>
        <v/>
      </c>
      <c r="G951" s="1286" t="str">
        <f ca="1"/>
        <v/>
      </c>
      <c r="H951" s="1301" t="str">
        <f ca="1"/>
        <v/>
      </c>
      <c r="I951" s="1303" t="str">
        <f ca="1"/>
        <v/>
      </c>
      <c r="J951" s="1287" t="str">
        <f ca="1"/>
        <v/>
      </c>
      <c r="K951" s="1288" t="str">
        <f ca="1"/>
        <v xml:space="preserve">Description:
Details:
Aim:
</v>
      </c>
      <c r="L951" s="1287" t="str">
        <f ca="1"/>
        <v/>
      </c>
      <c r="M951" s="1287" t="str">
        <f ca="1"/>
        <v/>
      </c>
      <c r="N951" s="1287"/>
      <c r="O951" s="1323" t="str">
        <f ca="1"/>
        <v/>
      </c>
      <c r="P951" s="1287"/>
      <c r="Q951" s="1290" t="str">
        <f ca="1"/>
        <v/>
      </c>
    </row>
    <row r="952" spans="1:17" ht="27.75" hidden="1" customHeight="1" x14ac:dyDescent="0.45">
      <c r="A952" s="1289">
        <v>23</v>
      </c>
      <c r="B952" s="1285">
        <v>9</v>
      </c>
      <c r="C952" s="1285">
        <v>3.0000000000000568</v>
      </c>
      <c r="D952" s="1297">
        <v>27.000000000000057</v>
      </c>
      <c r="E952" s="1299" t="str">
        <f ca="1"/>
        <v/>
      </c>
      <c r="F952" s="1286" t="str">
        <f ca="1"/>
        <v/>
      </c>
      <c r="G952" s="1286" t="str">
        <f ca="1"/>
        <v/>
      </c>
      <c r="H952" s="1301" t="str">
        <f ca="1"/>
        <v/>
      </c>
      <c r="I952" s="1303" t="str">
        <f ca="1"/>
        <v/>
      </c>
      <c r="J952" s="1287" t="str">
        <f ca="1"/>
        <v/>
      </c>
      <c r="K952" s="1288" t="str">
        <f ca="1"/>
        <v xml:space="preserve">Description:
Details:
Aim:
</v>
      </c>
      <c r="L952" s="1287" t="str">
        <f ca="1"/>
        <v/>
      </c>
      <c r="M952" s="1287" t="str">
        <f ca="1"/>
        <v/>
      </c>
      <c r="N952" s="1287"/>
      <c r="O952" s="1323" t="str">
        <f ca="1"/>
        <v/>
      </c>
      <c r="P952" s="1287"/>
      <c r="Q952" s="1290" t="str">
        <f ca="1"/>
        <v/>
      </c>
    </row>
    <row r="953" spans="1:17" ht="27.75" hidden="1" customHeight="1" x14ac:dyDescent="0.45">
      <c r="A953" s="1289">
        <v>23</v>
      </c>
      <c r="B953" s="1285">
        <v>9</v>
      </c>
      <c r="C953" s="1285">
        <v>1</v>
      </c>
      <c r="D953" s="1297">
        <v>27.999999999999979</v>
      </c>
      <c r="E953" s="1299" t="str">
        <f ca="1"/>
        <v/>
      </c>
      <c r="F953" s="1286" t="str">
        <f ca="1"/>
        <v/>
      </c>
      <c r="G953" s="1286" t="str">
        <f ca="1"/>
        <v/>
      </c>
      <c r="H953" s="1301" t="str">
        <f ca="1"/>
        <v/>
      </c>
      <c r="I953" s="1303" t="str">
        <f ca="1"/>
        <v/>
      </c>
      <c r="J953" s="1287" t="str">
        <f ca="1"/>
        <v/>
      </c>
      <c r="K953" s="1288" t="str">
        <f ca="1"/>
        <v xml:space="preserve">Description:
Details:
Aim:
</v>
      </c>
      <c r="L953" s="1287" t="str">
        <f ca="1"/>
        <v/>
      </c>
      <c r="M953" s="1287" t="str">
        <f ca="1"/>
        <v/>
      </c>
      <c r="N953" s="1287"/>
      <c r="O953" s="1323" t="str">
        <f ca="1"/>
        <v/>
      </c>
      <c r="P953" s="1287"/>
      <c r="Q953" s="1290" t="str">
        <f ca="1"/>
        <v/>
      </c>
    </row>
    <row r="954" spans="1:17" ht="27.75" hidden="1" customHeight="1" x14ac:dyDescent="0.45">
      <c r="A954" s="1289">
        <v>23</v>
      </c>
      <c r="B954" s="1285">
        <v>10</v>
      </c>
      <c r="C954" s="1285">
        <v>1.9999999999999432</v>
      </c>
      <c r="D954" s="1297">
        <v>29.00000000000005</v>
      </c>
      <c r="E954" s="1299" t="str">
        <f ca="1"/>
        <v/>
      </c>
      <c r="F954" s="1286" t="str">
        <f ca="1"/>
        <v/>
      </c>
      <c r="G954" s="1286" t="str">
        <f ca="1"/>
        <v/>
      </c>
      <c r="H954" s="1301" t="str">
        <f ca="1"/>
        <v/>
      </c>
      <c r="I954" s="1303" t="str">
        <f ca="1"/>
        <v/>
      </c>
      <c r="J954" s="1287" t="str">
        <f ca="1"/>
        <v/>
      </c>
      <c r="K954" s="1288" t="str">
        <f ca="1"/>
        <v xml:space="preserve">Description:
Details:
Aim:
</v>
      </c>
      <c r="L954" s="1287" t="str">
        <f ca="1"/>
        <v/>
      </c>
      <c r="M954" s="1287" t="str">
        <f ca="1"/>
        <v/>
      </c>
      <c r="N954" s="1287"/>
      <c r="O954" s="1323" t="str">
        <f ca="1"/>
        <v/>
      </c>
      <c r="P954" s="1287"/>
      <c r="Q954" s="1290" t="str">
        <f ca="1"/>
        <v/>
      </c>
    </row>
    <row r="955" spans="1:17" ht="27.75" hidden="1" customHeight="1" x14ac:dyDescent="0.45">
      <c r="A955" s="1289">
        <v>23</v>
      </c>
      <c r="B955" s="1285">
        <v>10</v>
      </c>
      <c r="C955" s="1285">
        <v>3.0000000000000568</v>
      </c>
      <c r="D955" s="1297">
        <v>29.999999999999972</v>
      </c>
      <c r="E955" s="1299" t="str">
        <f ca="1"/>
        <v/>
      </c>
      <c r="F955" s="1286" t="str">
        <f ca="1"/>
        <v/>
      </c>
      <c r="G955" s="1286" t="str">
        <f ca="1"/>
        <v/>
      </c>
      <c r="H955" s="1301" t="str">
        <f ca="1"/>
        <v/>
      </c>
      <c r="I955" s="1303" t="str">
        <f ca="1"/>
        <v/>
      </c>
      <c r="J955" s="1287" t="str">
        <f ca="1"/>
        <v/>
      </c>
      <c r="K955" s="1288" t="str">
        <f ca="1"/>
        <v xml:space="preserve">Description:
Details:
Aim:
</v>
      </c>
      <c r="L955" s="1287" t="str">
        <f ca="1"/>
        <v/>
      </c>
      <c r="M955" s="1287" t="str">
        <f ca="1"/>
        <v/>
      </c>
      <c r="N955" s="1287"/>
      <c r="O955" s="1323" t="str">
        <f ca="1"/>
        <v/>
      </c>
      <c r="P955" s="1287"/>
      <c r="Q955" s="1290" t="str">
        <f ca="1"/>
        <v/>
      </c>
    </row>
    <row r="956" spans="1:17" ht="27.75" hidden="1" customHeight="1" x14ac:dyDescent="0.45">
      <c r="A956" s="1289">
        <v>23</v>
      </c>
      <c r="B956" s="1285">
        <v>11</v>
      </c>
      <c r="C956" s="1285">
        <v>1</v>
      </c>
      <c r="D956" s="1297">
        <v>31.000000000000043</v>
      </c>
      <c r="E956" s="1299" t="str">
        <f ca="1"/>
        <v/>
      </c>
      <c r="F956" s="1286" t="str">
        <f ca="1"/>
        <v/>
      </c>
      <c r="G956" s="1286" t="str">
        <f ca="1"/>
        <v/>
      </c>
      <c r="H956" s="1301" t="str">
        <f ca="1"/>
        <v/>
      </c>
      <c r="I956" s="1303" t="str">
        <f ca="1"/>
        <v/>
      </c>
      <c r="J956" s="1287" t="str">
        <f ca="1"/>
        <v/>
      </c>
      <c r="K956" s="1288" t="str">
        <f ca="1"/>
        <v xml:space="preserve">Description:
Details:
Aim:
</v>
      </c>
      <c r="L956" s="1287" t="str">
        <f ca="1"/>
        <v/>
      </c>
      <c r="M956" s="1287" t="str">
        <f ca="1"/>
        <v/>
      </c>
      <c r="N956" s="1287"/>
      <c r="O956" s="1323" t="str">
        <f ca="1"/>
        <v/>
      </c>
      <c r="P956" s="1287"/>
      <c r="Q956" s="1290" t="str">
        <f ca="1"/>
        <v/>
      </c>
    </row>
    <row r="957" spans="1:17" ht="27.75" hidden="1" customHeight="1" x14ac:dyDescent="0.45">
      <c r="A957" s="1289">
        <v>23</v>
      </c>
      <c r="B957" s="1285">
        <v>11</v>
      </c>
      <c r="C957" s="1285">
        <v>1.9999999999999432</v>
      </c>
      <c r="D957" s="1297">
        <v>31.999999999999964</v>
      </c>
      <c r="E957" s="1299" t="str">
        <f ca="1"/>
        <v/>
      </c>
      <c r="F957" s="1286" t="str">
        <f ca="1"/>
        <v/>
      </c>
      <c r="G957" s="1286" t="str">
        <f ca="1"/>
        <v/>
      </c>
      <c r="H957" s="1301" t="str">
        <f ca="1"/>
        <v/>
      </c>
      <c r="I957" s="1303" t="str">
        <f ca="1"/>
        <v/>
      </c>
      <c r="J957" s="1287" t="str">
        <f ca="1"/>
        <v/>
      </c>
      <c r="K957" s="1288" t="str">
        <f ca="1"/>
        <v xml:space="preserve">Description:
Details:
Aim:
</v>
      </c>
      <c r="L957" s="1287" t="str">
        <f ca="1"/>
        <v/>
      </c>
      <c r="M957" s="1287" t="str">
        <f ca="1"/>
        <v/>
      </c>
      <c r="N957" s="1287"/>
      <c r="O957" s="1323" t="str">
        <f ca="1"/>
        <v/>
      </c>
      <c r="P957" s="1287"/>
      <c r="Q957" s="1290" t="str">
        <f ca="1"/>
        <v/>
      </c>
    </row>
    <row r="958" spans="1:17" ht="27.75" hidden="1" customHeight="1" x14ac:dyDescent="0.45">
      <c r="A958" s="1289">
        <v>23</v>
      </c>
      <c r="B958" s="1285">
        <v>11</v>
      </c>
      <c r="C958" s="1285">
        <v>3.0000000000000568</v>
      </c>
      <c r="D958" s="1297">
        <v>33.000000000000036</v>
      </c>
      <c r="E958" s="1299" t="str">
        <f ca="1"/>
        <v/>
      </c>
      <c r="F958" s="1286" t="str">
        <f ca="1"/>
        <v/>
      </c>
      <c r="G958" s="1286" t="str">
        <f ca="1"/>
        <v/>
      </c>
      <c r="H958" s="1301" t="str">
        <f ca="1"/>
        <v/>
      </c>
      <c r="I958" s="1303" t="str">
        <f ca="1"/>
        <v/>
      </c>
      <c r="J958" s="1287" t="str">
        <f ca="1"/>
        <v/>
      </c>
      <c r="K958" s="1288" t="str">
        <f ca="1"/>
        <v xml:space="preserve">Description:
Details:
Aim:
</v>
      </c>
      <c r="L958" s="1287" t="str">
        <f ca="1"/>
        <v/>
      </c>
      <c r="M958" s="1287" t="str">
        <f ca="1"/>
        <v/>
      </c>
      <c r="N958" s="1287"/>
      <c r="O958" s="1323" t="str">
        <f ca="1"/>
        <v/>
      </c>
      <c r="P958" s="1287"/>
      <c r="Q958" s="1290" t="str">
        <f ca="1"/>
        <v/>
      </c>
    </row>
    <row r="959" spans="1:17" ht="27.75" hidden="1" customHeight="1" x14ac:dyDescent="0.45">
      <c r="A959" s="1289">
        <v>23</v>
      </c>
      <c r="B959" s="1285">
        <v>12</v>
      </c>
      <c r="C959" s="1285">
        <v>1</v>
      </c>
      <c r="D959" s="1297">
        <v>33.999999999999957</v>
      </c>
      <c r="E959" s="1299" t="str">
        <f ca="1"/>
        <v/>
      </c>
      <c r="F959" s="1286" t="str">
        <f ca="1"/>
        <v/>
      </c>
      <c r="G959" s="1286" t="str">
        <f ca="1"/>
        <v/>
      </c>
      <c r="H959" s="1301" t="str">
        <f ca="1"/>
        <v/>
      </c>
      <c r="I959" s="1303" t="str">
        <f ca="1"/>
        <v/>
      </c>
      <c r="J959" s="1287" t="str">
        <f ca="1"/>
        <v/>
      </c>
      <c r="K959" s="1288" t="str">
        <f ca="1"/>
        <v xml:space="preserve">Description:
Details:
Aim:
</v>
      </c>
      <c r="L959" s="1287" t="str">
        <f ca="1"/>
        <v/>
      </c>
      <c r="M959" s="1287" t="str">
        <f ca="1"/>
        <v/>
      </c>
      <c r="N959" s="1287"/>
      <c r="O959" s="1323" t="str">
        <f ca="1"/>
        <v/>
      </c>
      <c r="P959" s="1287"/>
      <c r="Q959" s="1290" t="str">
        <f ca="1"/>
        <v/>
      </c>
    </row>
    <row r="960" spans="1:17" ht="27.75" hidden="1" customHeight="1" x14ac:dyDescent="0.45">
      <c r="A960" s="1289">
        <v>23</v>
      </c>
      <c r="B960" s="1285">
        <v>12</v>
      </c>
      <c r="C960" s="1285">
        <v>1.9999999999999432</v>
      </c>
      <c r="D960" s="1297">
        <v>35.000000000000028</v>
      </c>
      <c r="E960" s="1299" t="str">
        <f ca="1"/>
        <v/>
      </c>
      <c r="F960" s="1286" t="str">
        <f ca="1"/>
        <v/>
      </c>
      <c r="G960" s="1286" t="str">
        <f ca="1"/>
        <v/>
      </c>
      <c r="H960" s="1301" t="str">
        <f ca="1"/>
        <v/>
      </c>
      <c r="I960" s="1303" t="str">
        <f ca="1"/>
        <v/>
      </c>
      <c r="J960" s="1287" t="str">
        <f ca="1"/>
        <v/>
      </c>
      <c r="K960" s="1288" t="str">
        <f ca="1"/>
        <v xml:space="preserve">Description:
Details:
Aim:
</v>
      </c>
      <c r="L960" s="1287" t="str">
        <f ca="1"/>
        <v/>
      </c>
      <c r="M960" s="1287" t="str">
        <f ca="1"/>
        <v/>
      </c>
      <c r="N960" s="1287"/>
      <c r="O960" s="1323" t="str">
        <f ca="1"/>
        <v/>
      </c>
      <c r="P960" s="1287"/>
      <c r="Q960" s="1290" t="str">
        <f ca="1"/>
        <v/>
      </c>
    </row>
    <row r="961" spans="1:17" ht="27.75" hidden="1" customHeight="1" x14ac:dyDescent="0.45">
      <c r="A961" s="1289">
        <v>23</v>
      </c>
      <c r="B961" s="1285">
        <v>12</v>
      </c>
      <c r="C961" s="1285">
        <v>3.0000000000000568</v>
      </c>
      <c r="D961" s="1297">
        <v>35.99999999999995</v>
      </c>
      <c r="E961" s="1299" t="str">
        <f ca="1"/>
        <v/>
      </c>
      <c r="F961" s="1286" t="str">
        <f ca="1"/>
        <v/>
      </c>
      <c r="G961" s="1286" t="str">
        <f ca="1"/>
        <v/>
      </c>
      <c r="H961" s="1301" t="str">
        <f ca="1"/>
        <v/>
      </c>
      <c r="I961" s="1303" t="str">
        <f ca="1"/>
        <v/>
      </c>
      <c r="J961" s="1287" t="str">
        <f ca="1"/>
        <v/>
      </c>
      <c r="K961" s="1288" t="str">
        <f ca="1"/>
        <v xml:space="preserve">Description:
Details:
Aim:
</v>
      </c>
      <c r="L961" s="1287" t="str">
        <f ca="1"/>
        <v/>
      </c>
      <c r="M961" s="1287" t="str">
        <f ca="1"/>
        <v/>
      </c>
      <c r="N961" s="1287"/>
      <c r="O961" s="1323" t="str">
        <f ca="1"/>
        <v/>
      </c>
      <c r="P961" s="1287"/>
      <c r="Q961" s="1290" t="str">
        <f ca="1"/>
        <v/>
      </c>
    </row>
    <row r="962" spans="1:17" ht="27.75" hidden="1" customHeight="1" x14ac:dyDescent="0.45">
      <c r="A962" s="1289">
        <v>23</v>
      </c>
      <c r="B962" s="1285">
        <v>13</v>
      </c>
      <c r="C962" s="1285">
        <v>1</v>
      </c>
      <c r="D962" s="1297">
        <v>37.000000000000021</v>
      </c>
      <c r="E962" s="1299" t="str">
        <f ca="1"/>
        <v/>
      </c>
      <c r="F962" s="1286" t="str">
        <f ca="1"/>
        <v/>
      </c>
      <c r="G962" s="1286" t="str">
        <f ca="1"/>
        <v/>
      </c>
      <c r="H962" s="1301" t="str">
        <f ca="1"/>
        <v/>
      </c>
      <c r="I962" s="1303" t="str">
        <f ca="1"/>
        <v/>
      </c>
      <c r="J962" s="1287" t="str">
        <f ca="1"/>
        <v/>
      </c>
      <c r="K962" s="1288" t="str">
        <f ca="1"/>
        <v xml:space="preserve">Description:
Details:
Aim:
</v>
      </c>
      <c r="L962" s="1287" t="str">
        <f ca="1"/>
        <v/>
      </c>
      <c r="M962" s="1287" t="str">
        <f ca="1"/>
        <v/>
      </c>
      <c r="N962" s="1287"/>
      <c r="O962" s="1323" t="str">
        <f ca="1"/>
        <v/>
      </c>
      <c r="P962" s="1287"/>
      <c r="Q962" s="1290" t="str">
        <f ca="1"/>
        <v/>
      </c>
    </row>
    <row r="963" spans="1:17" ht="27.75" hidden="1" customHeight="1" x14ac:dyDescent="0.45">
      <c r="A963" s="1289">
        <v>23</v>
      </c>
      <c r="B963" s="1285">
        <v>13</v>
      </c>
      <c r="C963" s="1285">
        <v>1.9999999999999432</v>
      </c>
      <c r="D963" s="1297">
        <v>37.999999999999943</v>
      </c>
      <c r="E963" s="1299" t="str">
        <f ca="1"/>
        <v/>
      </c>
      <c r="F963" s="1286" t="str">
        <f ca="1"/>
        <v/>
      </c>
      <c r="G963" s="1286" t="str">
        <f ca="1"/>
        <v/>
      </c>
      <c r="H963" s="1301" t="str">
        <f ca="1"/>
        <v/>
      </c>
      <c r="I963" s="1303" t="str">
        <f ca="1"/>
        <v/>
      </c>
      <c r="J963" s="1287" t="str">
        <f ca="1"/>
        <v/>
      </c>
      <c r="K963" s="1288" t="str">
        <f ca="1"/>
        <v xml:space="preserve">Description:
Details:
Aim:
</v>
      </c>
      <c r="L963" s="1287" t="str">
        <f ca="1"/>
        <v/>
      </c>
      <c r="M963" s="1287" t="str">
        <f ca="1"/>
        <v/>
      </c>
      <c r="N963" s="1287"/>
      <c r="O963" s="1323" t="str">
        <f ca="1"/>
        <v/>
      </c>
      <c r="P963" s="1287"/>
      <c r="Q963" s="1290" t="str">
        <f ca="1"/>
        <v/>
      </c>
    </row>
    <row r="964" spans="1:17" ht="27.75" hidden="1" customHeight="1" x14ac:dyDescent="0.45">
      <c r="A964" s="1289">
        <v>23</v>
      </c>
      <c r="B964" s="1285">
        <v>13</v>
      </c>
      <c r="C964" s="1285">
        <v>3.0000000000000568</v>
      </c>
      <c r="D964" s="1297">
        <v>39.000000000000014</v>
      </c>
      <c r="E964" s="1299" t="str">
        <f ca="1"/>
        <v/>
      </c>
      <c r="F964" s="1286" t="str">
        <f ca="1"/>
        <v/>
      </c>
      <c r="G964" s="1286" t="str">
        <f ca="1"/>
        <v/>
      </c>
      <c r="H964" s="1301" t="str">
        <f ca="1"/>
        <v/>
      </c>
      <c r="I964" s="1303" t="str">
        <f ca="1"/>
        <v/>
      </c>
      <c r="J964" s="1287" t="str">
        <f ca="1"/>
        <v/>
      </c>
      <c r="K964" s="1288" t="str">
        <f ca="1"/>
        <v xml:space="preserve">Description:
Details:
Aim:
</v>
      </c>
      <c r="L964" s="1287" t="str">
        <f ca="1"/>
        <v/>
      </c>
      <c r="M964" s="1287" t="str">
        <f ca="1"/>
        <v/>
      </c>
      <c r="N964" s="1287"/>
      <c r="O964" s="1323" t="str">
        <f ca="1"/>
        <v/>
      </c>
      <c r="P964" s="1287"/>
      <c r="Q964" s="1290" t="str">
        <f ca="1"/>
        <v/>
      </c>
    </row>
    <row r="965" spans="1:17" ht="27.75" hidden="1" customHeight="1" x14ac:dyDescent="0.45">
      <c r="A965" s="1289">
        <v>23</v>
      </c>
      <c r="B965" s="1285">
        <v>14</v>
      </c>
      <c r="C965" s="1285">
        <v>1</v>
      </c>
      <c r="D965" s="1297">
        <v>39.999999999999936</v>
      </c>
      <c r="E965" s="1299" t="str">
        <f ca="1"/>
        <v/>
      </c>
      <c r="F965" s="1286" t="str">
        <f ca="1"/>
        <v/>
      </c>
      <c r="G965" s="1286" t="str">
        <f ca="1"/>
        <v/>
      </c>
      <c r="H965" s="1301" t="str">
        <f ca="1"/>
        <v/>
      </c>
      <c r="I965" s="1303" t="str">
        <f ca="1"/>
        <v/>
      </c>
      <c r="J965" s="1287" t="str">
        <f ca="1"/>
        <v/>
      </c>
      <c r="K965" s="1288" t="str">
        <f ca="1"/>
        <v xml:space="preserve">Description:
Details:
Aim:
</v>
      </c>
      <c r="L965" s="1287" t="str">
        <f ca="1"/>
        <v/>
      </c>
      <c r="M965" s="1287" t="str">
        <f ca="1"/>
        <v/>
      </c>
      <c r="N965" s="1287"/>
      <c r="O965" s="1323" t="str">
        <f ca="1"/>
        <v/>
      </c>
      <c r="P965" s="1287"/>
      <c r="Q965" s="1290" t="str">
        <f ca="1"/>
        <v/>
      </c>
    </row>
    <row r="966" spans="1:17" ht="27.75" hidden="1" customHeight="1" x14ac:dyDescent="0.45">
      <c r="A966" s="1289">
        <v>23</v>
      </c>
      <c r="B966" s="1285">
        <v>14</v>
      </c>
      <c r="C966" s="1285">
        <v>1.9999999999999432</v>
      </c>
      <c r="D966" s="1297">
        <v>41.000000000000007</v>
      </c>
      <c r="E966" s="1299" t="str">
        <f ca="1"/>
        <v/>
      </c>
      <c r="F966" s="1286" t="str">
        <f ca="1"/>
        <v/>
      </c>
      <c r="G966" s="1286" t="str">
        <f ca="1"/>
        <v/>
      </c>
      <c r="H966" s="1301" t="str">
        <f ca="1"/>
        <v/>
      </c>
      <c r="I966" s="1303" t="str">
        <f ca="1"/>
        <v/>
      </c>
      <c r="J966" s="1287" t="str">
        <f ca="1"/>
        <v/>
      </c>
      <c r="K966" s="1288" t="str">
        <f ca="1"/>
        <v xml:space="preserve">Description:
Details:
Aim:
</v>
      </c>
      <c r="L966" s="1287" t="str">
        <f ca="1"/>
        <v/>
      </c>
      <c r="M966" s="1287" t="str">
        <f ca="1"/>
        <v/>
      </c>
      <c r="N966" s="1287"/>
      <c r="O966" s="1323" t="str">
        <f ca="1"/>
        <v/>
      </c>
      <c r="P966" s="1287"/>
      <c r="Q966" s="1290" t="str">
        <f ca="1"/>
        <v/>
      </c>
    </row>
    <row r="967" spans="1:17" ht="27.75" hidden="1" customHeight="1" x14ac:dyDescent="0.45">
      <c r="A967" s="1289">
        <v>23</v>
      </c>
      <c r="B967" s="1285">
        <v>14</v>
      </c>
      <c r="C967" s="1285">
        <v>3.0000000000000568</v>
      </c>
      <c r="D967" s="1297">
        <v>41.999999999999929</v>
      </c>
      <c r="E967" s="1299" t="str">
        <f ca="1"/>
        <v/>
      </c>
      <c r="F967" s="1286" t="str">
        <f ca="1"/>
        <v/>
      </c>
      <c r="G967" s="1286" t="str">
        <f ca="1"/>
        <v/>
      </c>
      <c r="H967" s="1301" t="str">
        <f ca="1"/>
        <v/>
      </c>
      <c r="I967" s="1303" t="str">
        <f ca="1"/>
        <v/>
      </c>
      <c r="J967" s="1287" t="str">
        <f ca="1"/>
        <v/>
      </c>
      <c r="K967" s="1288" t="str">
        <f ca="1"/>
        <v xml:space="preserve">Description:
Details:
Aim:
</v>
      </c>
      <c r="L967" s="1287" t="str">
        <f ca="1"/>
        <v/>
      </c>
      <c r="M967" s="1287" t="str">
        <f ca="1"/>
        <v/>
      </c>
      <c r="N967" s="1287"/>
      <c r="O967" s="1323" t="str">
        <f ca="1"/>
        <v/>
      </c>
      <c r="P967" s="1287"/>
      <c r="Q967" s="1290" t="str">
        <f ca="1"/>
        <v/>
      </c>
    </row>
    <row r="968" spans="1:17" ht="27.75" hidden="1" customHeight="1" x14ac:dyDescent="0.45">
      <c r="A968" s="1289">
        <v>24</v>
      </c>
      <c r="B968" s="1285">
        <v>1</v>
      </c>
      <c r="C968" s="1285">
        <v>1</v>
      </c>
      <c r="D968" s="1297">
        <v>1</v>
      </c>
      <c r="E968" s="1299" t="str">
        <f ca="1"/>
        <v/>
      </c>
      <c r="F968" s="1286" t="str">
        <f ca="1"/>
        <v/>
      </c>
      <c r="G968" s="1286" t="str">
        <f ca="1"/>
        <v/>
      </c>
      <c r="H968" s="1301" t="str">
        <f ca="1"/>
        <v/>
      </c>
      <c r="I968" s="1303" t="str">
        <f ca="1"/>
        <v/>
      </c>
      <c r="J968" s="1287" t="str">
        <f ca="1"/>
        <v/>
      </c>
      <c r="K968" s="1288" t="str">
        <f ca="1"/>
        <v xml:space="preserve">Description:
Details:
Aim:
</v>
      </c>
      <c r="L968" s="1287" t="str">
        <f ca="1"/>
        <v/>
      </c>
      <c r="M968" s="1287" t="str">
        <f ca="1"/>
        <v/>
      </c>
      <c r="N968" s="1287"/>
      <c r="O968" s="1323" t="str">
        <f ca="1"/>
        <v/>
      </c>
      <c r="P968" s="1287"/>
      <c r="Q968" s="1290" t="str">
        <f ca="1"/>
        <v/>
      </c>
    </row>
    <row r="969" spans="1:17" ht="27.75" hidden="1" customHeight="1" x14ac:dyDescent="0.45">
      <c r="A969" s="1289">
        <v>24</v>
      </c>
      <c r="B969" s="1285">
        <v>1</v>
      </c>
      <c r="C969" s="1285">
        <v>1.9999999999999432</v>
      </c>
      <c r="D969" s="1297">
        <v>2.0000000000000711</v>
      </c>
      <c r="E969" s="1299" t="str">
        <f ca="1"/>
        <v/>
      </c>
      <c r="F969" s="1286" t="str">
        <f ca="1"/>
        <v/>
      </c>
      <c r="G969" s="1286" t="str">
        <f ca="1"/>
        <v/>
      </c>
      <c r="H969" s="1301" t="str">
        <f ca="1"/>
        <v/>
      </c>
      <c r="I969" s="1303" t="str">
        <f ca="1"/>
        <v/>
      </c>
      <c r="J969" s="1287" t="str">
        <f ca="1"/>
        <v/>
      </c>
      <c r="K969" s="1288" t="str">
        <f ca="1"/>
        <v xml:space="preserve">Description:
Details:
Aim:
</v>
      </c>
      <c r="L969" s="1287" t="str">
        <f ca="1"/>
        <v/>
      </c>
      <c r="M969" s="1287" t="str">
        <f ca="1"/>
        <v/>
      </c>
      <c r="N969" s="1287"/>
      <c r="O969" s="1323" t="str">
        <f ca="1"/>
        <v/>
      </c>
      <c r="P969" s="1287"/>
      <c r="Q969" s="1290" t="str">
        <f ca="1"/>
        <v/>
      </c>
    </row>
    <row r="970" spans="1:17" ht="27.75" hidden="1" customHeight="1" x14ac:dyDescent="0.45">
      <c r="A970" s="1289">
        <v>24</v>
      </c>
      <c r="B970" s="1285">
        <v>1</v>
      </c>
      <c r="C970" s="1285">
        <v>3.0000000000000568</v>
      </c>
      <c r="D970" s="1297">
        <v>2.9999999999999929</v>
      </c>
      <c r="E970" s="1299" t="str">
        <f ca="1"/>
        <v/>
      </c>
      <c r="F970" s="1286" t="str">
        <f ca="1"/>
        <v/>
      </c>
      <c r="G970" s="1286" t="str">
        <f ca="1"/>
        <v/>
      </c>
      <c r="H970" s="1301" t="str">
        <f ca="1"/>
        <v/>
      </c>
      <c r="I970" s="1303" t="str">
        <f ca="1"/>
        <v/>
      </c>
      <c r="J970" s="1287" t="str">
        <f ca="1"/>
        <v/>
      </c>
      <c r="K970" s="1288" t="str">
        <f ca="1"/>
        <v xml:space="preserve">Description:
Details:
Aim:
</v>
      </c>
      <c r="L970" s="1287" t="str">
        <f ca="1"/>
        <v/>
      </c>
      <c r="M970" s="1287" t="str">
        <f ca="1"/>
        <v/>
      </c>
      <c r="N970" s="1287"/>
      <c r="O970" s="1323" t="str">
        <f ca="1"/>
        <v/>
      </c>
      <c r="P970" s="1287"/>
      <c r="Q970" s="1290" t="str">
        <f ca="1"/>
        <v/>
      </c>
    </row>
    <row r="971" spans="1:17" ht="27.75" hidden="1" customHeight="1" x14ac:dyDescent="0.45">
      <c r="A971" s="1289">
        <v>24</v>
      </c>
      <c r="B971" s="1285">
        <v>2</v>
      </c>
      <c r="C971" s="1285">
        <v>1</v>
      </c>
      <c r="D971" s="1297">
        <v>4.0000000000000639</v>
      </c>
      <c r="E971" s="1299" t="str">
        <f ca="1"/>
        <v/>
      </c>
      <c r="F971" s="1286" t="str">
        <f ca="1"/>
        <v/>
      </c>
      <c r="G971" s="1286" t="str">
        <f ca="1"/>
        <v/>
      </c>
      <c r="H971" s="1301" t="str">
        <f ca="1"/>
        <v/>
      </c>
      <c r="I971" s="1303" t="str">
        <f ca="1"/>
        <v/>
      </c>
      <c r="J971" s="1287" t="str">
        <f ca="1"/>
        <v/>
      </c>
      <c r="K971" s="1288" t="str">
        <f ca="1"/>
        <v xml:space="preserve">Description:
Details:
Aim:
</v>
      </c>
      <c r="L971" s="1287" t="str">
        <f ca="1"/>
        <v/>
      </c>
      <c r="M971" s="1287" t="str">
        <f ca="1"/>
        <v/>
      </c>
      <c r="N971" s="1287"/>
      <c r="O971" s="1323" t="str">
        <f ca="1"/>
        <v/>
      </c>
      <c r="P971" s="1287"/>
      <c r="Q971" s="1290" t="str">
        <f ca="1"/>
        <v/>
      </c>
    </row>
    <row r="972" spans="1:17" ht="27.75" hidden="1" customHeight="1" x14ac:dyDescent="0.45">
      <c r="A972" s="1289">
        <v>24</v>
      </c>
      <c r="B972" s="1285">
        <v>2</v>
      </c>
      <c r="C972" s="1285">
        <v>1.9999999999999432</v>
      </c>
      <c r="D972" s="1297">
        <v>4.9999999999999858</v>
      </c>
      <c r="E972" s="1299" t="str">
        <f ca="1"/>
        <v/>
      </c>
      <c r="F972" s="1286" t="str">
        <f ca="1"/>
        <v/>
      </c>
      <c r="G972" s="1286" t="str">
        <f ca="1"/>
        <v/>
      </c>
      <c r="H972" s="1301" t="str">
        <f ca="1"/>
        <v/>
      </c>
      <c r="I972" s="1303" t="str">
        <f ca="1"/>
        <v/>
      </c>
      <c r="J972" s="1287" t="str">
        <f ca="1"/>
        <v/>
      </c>
      <c r="K972" s="1288" t="str">
        <f ca="1"/>
        <v xml:space="preserve">Description:
Details:
Aim:
</v>
      </c>
      <c r="L972" s="1287" t="str">
        <f ca="1"/>
        <v/>
      </c>
      <c r="M972" s="1287" t="str">
        <f ca="1"/>
        <v/>
      </c>
      <c r="N972" s="1287"/>
      <c r="O972" s="1323" t="str">
        <f ca="1"/>
        <v/>
      </c>
      <c r="P972" s="1287"/>
      <c r="Q972" s="1290" t="str">
        <f ca="1"/>
        <v/>
      </c>
    </row>
    <row r="973" spans="1:17" ht="27.75" hidden="1" customHeight="1" x14ac:dyDescent="0.45">
      <c r="A973" s="1289">
        <v>24</v>
      </c>
      <c r="B973" s="1285">
        <v>2</v>
      </c>
      <c r="C973" s="1285">
        <v>3.0000000000000568</v>
      </c>
      <c r="D973" s="1297">
        <v>6.0000000000000568</v>
      </c>
      <c r="E973" s="1299" t="str">
        <f ca="1"/>
        <v/>
      </c>
      <c r="F973" s="1286" t="str">
        <f ca="1"/>
        <v/>
      </c>
      <c r="G973" s="1286" t="str">
        <f ca="1"/>
        <v/>
      </c>
      <c r="H973" s="1301" t="str">
        <f ca="1"/>
        <v/>
      </c>
      <c r="I973" s="1303" t="str">
        <f ca="1"/>
        <v/>
      </c>
      <c r="J973" s="1287" t="str">
        <f ca="1"/>
        <v/>
      </c>
      <c r="K973" s="1288" t="str">
        <f ca="1"/>
        <v xml:space="preserve">Description:
Details:
Aim:
</v>
      </c>
      <c r="L973" s="1287" t="str">
        <f ca="1"/>
        <v/>
      </c>
      <c r="M973" s="1287" t="str">
        <f ca="1"/>
        <v/>
      </c>
      <c r="N973" s="1287"/>
      <c r="O973" s="1323" t="str">
        <f ca="1"/>
        <v/>
      </c>
      <c r="P973" s="1287"/>
      <c r="Q973" s="1290" t="str">
        <f ca="1"/>
        <v/>
      </c>
    </row>
    <row r="974" spans="1:17" ht="27.75" hidden="1" customHeight="1" x14ac:dyDescent="0.45">
      <c r="A974" s="1289">
        <v>24</v>
      </c>
      <c r="B974" s="1285">
        <v>2</v>
      </c>
      <c r="C974" s="1285">
        <v>1</v>
      </c>
      <c r="D974" s="1297">
        <v>6.9999999999999787</v>
      </c>
      <c r="E974" s="1299" t="str">
        <f ca="1"/>
        <v/>
      </c>
      <c r="F974" s="1286" t="str">
        <f ca="1"/>
        <v/>
      </c>
      <c r="G974" s="1286" t="str">
        <f ca="1"/>
        <v/>
      </c>
      <c r="H974" s="1301" t="str">
        <f ca="1"/>
        <v/>
      </c>
      <c r="I974" s="1303" t="str">
        <f ca="1"/>
        <v/>
      </c>
      <c r="J974" s="1287" t="str">
        <f ca="1"/>
        <v/>
      </c>
      <c r="K974" s="1288" t="str">
        <f ca="1"/>
        <v xml:space="preserve">Description:
Details:
Aim:
</v>
      </c>
      <c r="L974" s="1287" t="str">
        <f ca="1"/>
        <v/>
      </c>
      <c r="M974" s="1287" t="str">
        <f ca="1"/>
        <v/>
      </c>
      <c r="N974" s="1287"/>
      <c r="O974" s="1323" t="str">
        <f ca="1"/>
        <v/>
      </c>
      <c r="P974" s="1287"/>
      <c r="Q974" s="1290" t="str">
        <f ca="1"/>
        <v/>
      </c>
    </row>
    <row r="975" spans="1:17" ht="27.75" hidden="1" customHeight="1" x14ac:dyDescent="0.45">
      <c r="A975" s="1289">
        <v>24</v>
      </c>
      <c r="B975" s="1285">
        <v>3</v>
      </c>
      <c r="C975" s="1285">
        <v>1.9999999999999432</v>
      </c>
      <c r="D975" s="1297">
        <v>8.0000000000000497</v>
      </c>
      <c r="E975" s="1299" t="str">
        <f ca="1"/>
        <v/>
      </c>
      <c r="F975" s="1286" t="str">
        <f ca="1"/>
        <v/>
      </c>
      <c r="G975" s="1286" t="str">
        <f ca="1"/>
        <v/>
      </c>
      <c r="H975" s="1301" t="str">
        <f ca="1"/>
        <v/>
      </c>
      <c r="I975" s="1303" t="str">
        <f ca="1"/>
        <v/>
      </c>
      <c r="J975" s="1287" t="str">
        <f ca="1"/>
        <v/>
      </c>
      <c r="K975" s="1288" t="str">
        <f ca="1"/>
        <v xml:space="preserve">Description:
Details:
Aim:
</v>
      </c>
      <c r="L975" s="1287" t="str">
        <f ca="1"/>
        <v/>
      </c>
      <c r="M975" s="1287" t="str">
        <f ca="1"/>
        <v/>
      </c>
      <c r="N975" s="1287"/>
      <c r="O975" s="1323" t="str">
        <f ca="1"/>
        <v/>
      </c>
      <c r="P975" s="1287"/>
      <c r="Q975" s="1290" t="str">
        <f ca="1"/>
        <v/>
      </c>
    </row>
    <row r="976" spans="1:17" ht="27.75" hidden="1" customHeight="1" x14ac:dyDescent="0.45">
      <c r="A976" s="1289">
        <v>24</v>
      </c>
      <c r="B976" s="1285">
        <v>3</v>
      </c>
      <c r="C976" s="1285">
        <v>3.0000000000000568</v>
      </c>
      <c r="D976" s="1297">
        <v>8.9999999999999716</v>
      </c>
      <c r="E976" s="1299" t="str">
        <f ca="1"/>
        <v/>
      </c>
      <c r="F976" s="1286" t="str">
        <f ca="1"/>
        <v/>
      </c>
      <c r="G976" s="1286" t="str">
        <f ca="1"/>
        <v/>
      </c>
      <c r="H976" s="1301" t="str">
        <f ca="1"/>
        <v/>
      </c>
      <c r="I976" s="1303" t="str">
        <f ca="1"/>
        <v/>
      </c>
      <c r="J976" s="1287" t="str">
        <f ca="1"/>
        <v/>
      </c>
      <c r="K976" s="1288" t="str">
        <f ca="1"/>
        <v xml:space="preserve">Description:
Details:
Aim:
</v>
      </c>
      <c r="L976" s="1287" t="str">
        <f ca="1"/>
        <v/>
      </c>
      <c r="M976" s="1287" t="str">
        <f ca="1"/>
        <v/>
      </c>
      <c r="N976" s="1287"/>
      <c r="O976" s="1323" t="str">
        <f ca="1"/>
        <v/>
      </c>
      <c r="P976" s="1287"/>
      <c r="Q976" s="1290" t="str">
        <f ca="1"/>
        <v/>
      </c>
    </row>
    <row r="977" spans="1:17" ht="27.75" hidden="1" customHeight="1" x14ac:dyDescent="0.45">
      <c r="A977" s="1289">
        <v>24</v>
      </c>
      <c r="B977" s="1285">
        <v>4</v>
      </c>
      <c r="C977" s="1285">
        <v>1</v>
      </c>
      <c r="D977" s="1297">
        <v>10.000000000000043</v>
      </c>
      <c r="E977" s="1299" t="str">
        <f ca="1"/>
        <v/>
      </c>
      <c r="F977" s="1286" t="str">
        <f ca="1"/>
        <v/>
      </c>
      <c r="G977" s="1286" t="str">
        <f ca="1"/>
        <v/>
      </c>
      <c r="H977" s="1301" t="str">
        <f ca="1"/>
        <v/>
      </c>
      <c r="I977" s="1303" t="str">
        <f ca="1"/>
        <v/>
      </c>
      <c r="J977" s="1287" t="str">
        <f ca="1"/>
        <v/>
      </c>
      <c r="K977" s="1288" t="str">
        <f ca="1"/>
        <v xml:space="preserve">Description:
Details:
Aim:
</v>
      </c>
      <c r="L977" s="1287" t="str">
        <f ca="1"/>
        <v/>
      </c>
      <c r="M977" s="1287" t="str">
        <f ca="1"/>
        <v/>
      </c>
      <c r="N977" s="1287"/>
      <c r="O977" s="1323" t="str">
        <f ca="1"/>
        <v/>
      </c>
      <c r="P977" s="1287"/>
      <c r="Q977" s="1290" t="str">
        <f ca="1"/>
        <v/>
      </c>
    </row>
    <row r="978" spans="1:17" ht="27.75" hidden="1" customHeight="1" x14ac:dyDescent="0.45">
      <c r="A978" s="1289">
        <v>24</v>
      </c>
      <c r="B978" s="1285">
        <v>4</v>
      </c>
      <c r="C978" s="1285">
        <v>1.9999999999999432</v>
      </c>
      <c r="D978" s="1297">
        <v>10.999999999999964</v>
      </c>
      <c r="E978" s="1299" t="str">
        <f ca="1"/>
        <v/>
      </c>
      <c r="F978" s="1286" t="str">
        <f ca="1"/>
        <v/>
      </c>
      <c r="G978" s="1286" t="str">
        <f ca="1"/>
        <v/>
      </c>
      <c r="H978" s="1301" t="str">
        <f ca="1"/>
        <v/>
      </c>
      <c r="I978" s="1303" t="str">
        <f ca="1"/>
        <v/>
      </c>
      <c r="J978" s="1287" t="str">
        <f ca="1"/>
        <v/>
      </c>
      <c r="K978" s="1288" t="str">
        <f ca="1"/>
        <v xml:space="preserve">Description:
Details:
Aim:
</v>
      </c>
      <c r="L978" s="1287" t="str">
        <f ca="1"/>
        <v/>
      </c>
      <c r="M978" s="1287" t="str">
        <f ca="1"/>
        <v/>
      </c>
      <c r="N978" s="1287"/>
      <c r="O978" s="1323" t="str">
        <f ca="1"/>
        <v/>
      </c>
      <c r="P978" s="1287"/>
      <c r="Q978" s="1290" t="str">
        <f ca="1"/>
        <v/>
      </c>
    </row>
    <row r="979" spans="1:17" ht="27.75" hidden="1" customHeight="1" x14ac:dyDescent="0.45">
      <c r="A979" s="1289">
        <v>24</v>
      </c>
      <c r="B979" s="1285">
        <v>4</v>
      </c>
      <c r="C979" s="1285">
        <v>3.0000000000000568</v>
      </c>
      <c r="D979" s="1297">
        <v>12.000000000000036</v>
      </c>
      <c r="E979" s="1299" t="str">
        <f ca="1"/>
        <v/>
      </c>
      <c r="F979" s="1286" t="str">
        <f ca="1"/>
        <v/>
      </c>
      <c r="G979" s="1286" t="str">
        <f ca="1"/>
        <v/>
      </c>
      <c r="H979" s="1301" t="str">
        <f ca="1"/>
        <v/>
      </c>
      <c r="I979" s="1303" t="str">
        <f ca="1"/>
        <v/>
      </c>
      <c r="J979" s="1287" t="str">
        <f ca="1"/>
        <v/>
      </c>
      <c r="K979" s="1288" t="str">
        <f ca="1"/>
        <v xml:space="preserve">Description:
Details:
Aim:
</v>
      </c>
      <c r="L979" s="1287" t="str">
        <f ca="1"/>
        <v/>
      </c>
      <c r="M979" s="1287" t="str">
        <f ca="1"/>
        <v/>
      </c>
      <c r="N979" s="1287"/>
      <c r="O979" s="1323" t="str">
        <f ca="1"/>
        <v/>
      </c>
      <c r="P979" s="1287"/>
      <c r="Q979" s="1290" t="str">
        <f ca="1"/>
        <v/>
      </c>
    </row>
    <row r="980" spans="1:17" ht="27.75" hidden="1" customHeight="1" x14ac:dyDescent="0.45">
      <c r="A980" s="1289">
        <v>24</v>
      </c>
      <c r="B980" s="1285">
        <v>4</v>
      </c>
      <c r="C980" s="1285">
        <v>1</v>
      </c>
      <c r="D980" s="1297">
        <v>12.999999999999957</v>
      </c>
      <c r="E980" s="1299" t="str">
        <f ca="1"/>
        <v/>
      </c>
      <c r="F980" s="1286" t="str">
        <f ca="1"/>
        <v/>
      </c>
      <c r="G980" s="1286" t="str">
        <f ca="1"/>
        <v/>
      </c>
      <c r="H980" s="1301" t="str">
        <f ca="1"/>
        <v/>
      </c>
      <c r="I980" s="1303" t="str">
        <f ca="1"/>
        <v/>
      </c>
      <c r="J980" s="1287" t="str">
        <f ca="1"/>
        <v/>
      </c>
      <c r="K980" s="1288" t="str">
        <f ca="1"/>
        <v xml:space="preserve">Description:
Details:
Aim:
</v>
      </c>
      <c r="L980" s="1287" t="str">
        <f ca="1"/>
        <v/>
      </c>
      <c r="M980" s="1287" t="str">
        <f ca="1"/>
        <v/>
      </c>
      <c r="N980" s="1287"/>
      <c r="O980" s="1323" t="str">
        <f ca="1"/>
        <v/>
      </c>
      <c r="P980" s="1287"/>
      <c r="Q980" s="1290" t="str">
        <f ca="1"/>
        <v/>
      </c>
    </row>
    <row r="981" spans="1:17" ht="27.75" hidden="1" customHeight="1" x14ac:dyDescent="0.45">
      <c r="A981" s="1289">
        <v>24</v>
      </c>
      <c r="B981" s="1285">
        <v>5</v>
      </c>
      <c r="C981" s="1285">
        <v>1.9999999999999432</v>
      </c>
      <c r="D981" s="1297">
        <v>14.000000000000028</v>
      </c>
      <c r="E981" s="1299" t="str">
        <f ca="1"/>
        <v/>
      </c>
      <c r="F981" s="1286" t="str">
        <f ca="1"/>
        <v/>
      </c>
      <c r="G981" s="1286" t="str">
        <f ca="1"/>
        <v/>
      </c>
      <c r="H981" s="1301" t="str">
        <f ca="1"/>
        <v/>
      </c>
      <c r="I981" s="1303" t="str">
        <f ca="1"/>
        <v/>
      </c>
      <c r="J981" s="1287" t="str">
        <f ca="1"/>
        <v/>
      </c>
      <c r="K981" s="1288" t="str">
        <f ca="1"/>
        <v xml:space="preserve">Description:
Details:
Aim:
</v>
      </c>
      <c r="L981" s="1287" t="str">
        <f ca="1"/>
        <v/>
      </c>
      <c r="M981" s="1287" t="str">
        <f ca="1"/>
        <v/>
      </c>
      <c r="N981" s="1287"/>
      <c r="O981" s="1323" t="str">
        <f ca="1"/>
        <v/>
      </c>
      <c r="P981" s="1287"/>
      <c r="Q981" s="1290" t="str">
        <f ca="1"/>
        <v/>
      </c>
    </row>
    <row r="982" spans="1:17" ht="27.75" hidden="1" customHeight="1" x14ac:dyDescent="0.45">
      <c r="A982" s="1289">
        <v>24</v>
      </c>
      <c r="B982" s="1285">
        <v>5</v>
      </c>
      <c r="C982" s="1285">
        <v>3.0000000000000568</v>
      </c>
      <c r="D982" s="1297">
        <v>14.99999999999995</v>
      </c>
      <c r="E982" s="1299" t="str">
        <f ca="1"/>
        <v/>
      </c>
      <c r="F982" s="1286" t="str">
        <f ca="1"/>
        <v/>
      </c>
      <c r="G982" s="1286" t="str">
        <f ca="1"/>
        <v/>
      </c>
      <c r="H982" s="1301" t="str">
        <f ca="1"/>
        <v/>
      </c>
      <c r="I982" s="1303" t="str">
        <f ca="1"/>
        <v/>
      </c>
      <c r="J982" s="1287" t="str">
        <f ca="1"/>
        <v/>
      </c>
      <c r="K982" s="1288" t="str">
        <f ca="1"/>
        <v xml:space="preserve">Description:
Details:
Aim:
</v>
      </c>
      <c r="L982" s="1287" t="str">
        <f ca="1"/>
        <v/>
      </c>
      <c r="M982" s="1287" t="str">
        <f ca="1"/>
        <v/>
      </c>
      <c r="N982" s="1287"/>
      <c r="O982" s="1323" t="str">
        <f ca="1"/>
        <v/>
      </c>
      <c r="P982" s="1287"/>
      <c r="Q982" s="1290" t="str">
        <f ca="1"/>
        <v/>
      </c>
    </row>
    <row r="983" spans="1:17" ht="27.75" hidden="1" customHeight="1" x14ac:dyDescent="0.45">
      <c r="A983" s="1289">
        <v>24</v>
      </c>
      <c r="B983" s="1285">
        <v>6</v>
      </c>
      <c r="C983" s="1285">
        <v>1</v>
      </c>
      <c r="D983" s="1297">
        <v>16.000000000000021</v>
      </c>
      <c r="E983" s="1299" t="str">
        <f ca="1"/>
        <v/>
      </c>
      <c r="F983" s="1286" t="str">
        <f ca="1"/>
        <v/>
      </c>
      <c r="G983" s="1286" t="str">
        <f ca="1"/>
        <v/>
      </c>
      <c r="H983" s="1301" t="str">
        <f ca="1"/>
        <v/>
      </c>
      <c r="I983" s="1303" t="str">
        <f ca="1"/>
        <v/>
      </c>
      <c r="J983" s="1287" t="str">
        <f ca="1"/>
        <v/>
      </c>
      <c r="K983" s="1288" t="str">
        <f ca="1"/>
        <v xml:space="preserve">Description:
Details:
Aim:
</v>
      </c>
      <c r="L983" s="1287" t="str">
        <f ca="1"/>
        <v/>
      </c>
      <c r="M983" s="1287" t="str">
        <f ca="1"/>
        <v/>
      </c>
      <c r="N983" s="1287"/>
      <c r="O983" s="1323" t="str">
        <f ca="1"/>
        <v/>
      </c>
      <c r="P983" s="1287"/>
      <c r="Q983" s="1290" t="str">
        <f ca="1"/>
        <v/>
      </c>
    </row>
    <row r="984" spans="1:17" ht="27.75" hidden="1" customHeight="1" x14ac:dyDescent="0.45">
      <c r="A984" s="1289">
        <v>24</v>
      </c>
      <c r="B984" s="1285">
        <v>6</v>
      </c>
      <c r="C984" s="1285">
        <v>1.9999999999999432</v>
      </c>
      <c r="D984" s="1297">
        <v>16.999999999999943</v>
      </c>
      <c r="E984" s="1299" t="str">
        <f ca="1"/>
        <v/>
      </c>
      <c r="F984" s="1286" t="str">
        <f ca="1"/>
        <v/>
      </c>
      <c r="G984" s="1286" t="str">
        <f ca="1"/>
        <v/>
      </c>
      <c r="H984" s="1301" t="str">
        <f ca="1"/>
        <v/>
      </c>
      <c r="I984" s="1303" t="str">
        <f ca="1"/>
        <v/>
      </c>
      <c r="J984" s="1287" t="str">
        <f ca="1"/>
        <v/>
      </c>
      <c r="K984" s="1288" t="str">
        <f ca="1"/>
        <v xml:space="preserve">Description:
Details:
Aim:
</v>
      </c>
      <c r="L984" s="1287" t="str">
        <f ca="1"/>
        <v/>
      </c>
      <c r="M984" s="1287" t="str">
        <f ca="1"/>
        <v/>
      </c>
      <c r="N984" s="1287"/>
      <c r="O984" s="1323" t="str">
        <f ca="1"/>
        <v/>
      </c>
      <c r="P984" s="1287"/>
      <c r="Q984" s="1290" t="str">
        <f ca="1"/>
        <v/>
      </c>
    </row>
    <row r="985" spans="1:17" ht="27.75" hidden="1" customHeight="1" x14ac:dyDescent="0.45">
      <c r="A985" s="1289">
        <v>24</v>
      </c>
      <c r="B985" s="1285">
        <v>6</v>
      </c>
      <c r="C985" s="1285">
        <v>3.0000000000000568</v>
      </c>
      <c r="D985" s="1297">
        <v>18.000000000000014</v>
      </c>
      <c r="E985" s="1299" t="str">
        <f ca="1"/>
        <v/>
      </c>
      <c r="F985" s="1286" t="str">
        <f ca="1"/>
        <v/>
      </c>
      <c r="G985" s="1286" t="str">
        <f ca="1"/>
        <v/>
      </c>
      <c r="H985" s="1301" t="str">
        <f ca="1"/>
        <v/>
      </c>
      <c r="I985" s="1303" t="str">
        <f ca="1"/>
        <v/>
      </c>
      <c r="J985" s="1287" t="str">
        <f ca="1"/>
        <v/>
      </c>
      <c r="K985" s="1288" t="str">
        <f ca="1"/>
        <v xml:space="preserve">Description:
Details:
Aim:
</v>
      </c>
      <c r="L985" s="1287" t="str">
        <f ca="1"/>
        <v/>
      </c>
      <c r="M985" s="1287" t="str">
        <f ca="1"/>
        <v/>
      </c>
      <c r="N985" s="1287"/>
      <c r="O985" s="1323" t="str">
        <f ca="1"/>
        <v/>
      </c>
      <c r="P985" s="1287"/>
      <c r="Q985" s="1290" t="str">
        <f ca="1"/>
        <v/>
      </c>
    </row>
    <row r="986" spans="1:17" ht="27.75" hidden="1" customHeight="1" x14ac:dyDescent="0.45">
      <c r="A986" s="1289">
        <v>24</v>
      </c>
      <c r="B986" s="1285">
        <v>6</v>
      </c>
      <c r="C986" s="1285">
        <v>1</v>
      </c>
      <c r="D986" s="1297">
        <v>18.999999999999936</v>
      </c>
      <c r="E986" s="1299" t="str">
        <f ca="1"/>
        <v/>
      </c>
      <c r="F986" s="1286" t="str">
        <f ca="1"/>
        <v/>
      </c>
      <c r="G986" s="1286" t="str">
        <f ca="1"/>
        <v/>
      </c>
      <c r="H986" s="1301" t="str">
        <f ca="1"/>
        <v/>
      </c>
      <c r="I986" s="1303" t="str">
        <f ca="1"/>
        <v/>
      </c>
      <c r="J986" s="1287" t="str">
        <f ca="1"/>
        <v/>
      </c>
      <c r="K986" s="1288" t="str">
        <f ca="1"/>
        <v xml:space="preserve">Description:
Details:
Aim:
</v>
      </c>
      <c r="L986" s="1287" t="str">
        <f ca="1"/>
        <v/>
      </c>
      <c r="M986" s="1287" t="str">
        <f ca="1"/>
        <v/>
      </c>
      <c r="N986" s="1287"/>
      <c r="O986" s="1323" t="str">
        <f ca="1"/>
        <v/>
      </c>
      <c r="P986" s="1287"/>
      <c r="Q986" s="1290" t="str">
        <f ca="1"/>
        <v/>
      </c>
    </row>
    <row r="987" spans="1:17" ht="27.75" hidden="1" customHeight="1" x14ac:dyDescent="0.45">
      <c r="A987" s="1289">
        <v>24</v>
      </c>
      <c r="B987" s="1285">
        <v>7</v>
      </c>
      <c r="C987" s="1285">
        <v>1.9999999999999432</v>
      </c>
      <c r="D987" s="1297">
        <v>20.000000000000007</v>
      </c>
      <c r="E987" s="1299" t="str">
        <f ca="1"/>
        <v/>
      </c>
      <c r="F987" s="1286" t="str">
        <f ca="1"/>
        <v/>
      </c>
      <c r="G987" s="1286" t="str">
        <f ca="1"/>
        <v/>
      </c>
      <c r="H987" s="1301" t="str">
        <f ca="1"/>
        <v/>
      </c>
      <c r="I987" s="1303" t="str">
        <f ca="1"/>
        <v/>
      </c>
      <c r="J987" s="1287" t="str">
        <f ca="1"/>
        <v/>
      </c>
      <c r="K987" s="1288" t="str">
        <f ca="1"/>
        <v xml:space="preserve">Description:
Details:
Aim:
</v>
      </c>
      <c r="L987" s="1287" t="str">
        <f ca="1"/>
        <v/>
      </c>
      <c r="M987" s="1287" t="str">
        <f ca="1"/>
        <v/>
      </c>
      <c r="N987" s="1287"/>
      <c r="O987" s="1323" t="str">
        <f ca="1"/>
        <v/>
      </c>
      <c r="P987" s="1287"/>
      <c r="Q987" s="1290" t="str">
        <f ca="1"/>
        <v/>
      </c>
    </row>
    <row r="988" spans="1:17" ht="27.75" hidden="1" customHeight="1" x14ac:dyDescent="0.45">
      <c r="A988" s="1289">
        <v>24</v>
      </c>
      <c r="B988" s="1285">
        <v>7</v>
      </c>
      <c r="C988" s="1285">
        <v>3.0000000000000568</v>
      </c>
      <c r="D988" s="1297">
        <v>20.999999999999929</v>
      </c>
      <c r="E988" s="1299" t="str">
        <f ca="1"/>
        <v/>
      </c>
      <c r="F988" s="1286" t="str">
        <f ca="1"/>
        <v/>
      </c>
      <c r="G988" s="1286" t="str">
        <f ca="1"/>
        <v/>
      </c>
      <c r="H988" s="1301" t="str">
        <f ca="1"/>
        <v/>
      </c>
      <c r="I988" s="1303" t="str">
        <f ca="1"/>
        <v/>
      </c>
      <c r="J988" s="1287" t="str">
        <f ca="1"/>
        <v/>
      </c>
      <c r="K988" s="1288" t="str">
        <f ca="1"/>
        <v xml:space="preserve">Description:
Details:
Aim:
</v>
      </c>
      <c r="L988" s="1287" t="str">
        <f ca="1"/>
        <v/>
      </c>
      <c r="M988" s="1287" t="str">
        <f ca="1"/>
        <v/>
      </c>
      <c r="N988" s="1287"/>
      <c r="O988" s="1323" t="str">
        <f ca="1"/>
        <v/>
      </c>
      <c r="P988" s="1287"/>
      <c r="Q988" s="1290" t="str">
        <f ca="1"/>
        <v/>
      </c>
    </row>
    <row r="989" spans="1:17" ht="27.75" hidden="1" customHeight="1" x14ac:dyDescent="0.45">
      <c r="A989" s="1289">
        <v>24</v>
      </c>
      <c r="B989" s="1285">
        <v>8</v>
      </c>
      <c r="C989" s="1285">
        <v>1</v>
      </c>
      <c r="D989" s="1297">
        <v>22</v>
      </c>
      <c r="E989" s="1299" t="str">
        <f ca="1"/>
        <v/>
      </c>
      <c r="F989" s="1286" t="str">
        <f ca="1"/>
        <v/>
      </c>
      <c r="G989" s="1286" t="str">
        <f ca="1"/>
        <v/>
      </c>
      <c r="H989" s="1301" t="str">
        <f ca="1"/>
        <v/>
      </c>
      <c r="I989" s="1303" t="str">
        <f ca="1"/>
        <v/>
      </c>
      <c r="J989" s="1287" t="str">
        <f ca="1"/>
        <v/>
      </c>
      <c r="K989" s="1288" t="str">
        <f ca="1"/>
        <v xml:space="preserve">Description:
Details:
Aim:
</v>
      </c>
      <c r="L989" s="1287" t="str">
        <f ca="1"/>
        <v/>
      </c>
      <c r="M989" s="1287" t="str">
        <f ca="1"/>
        <v/>
      </c>
      <c r="N989" s="1287"/>
      <c r="O989" s="1323" t="str">
        <f ca="1"/>
        <v/>
      </c>
      <c r="P989" s="1287"/>
      <c r="Q989" s="1290" t="str">
        <f ca="1"/>
        <v/>
      </c>
    </row>
    <row r="990" spans="1:17" ht="27.75" hidden="1" customHeight="1" x14ac:dyDescent="0.45">
      <c r="A990" s="1289">
        <v>24</v>
      </c>
      <c r="B990" s="1285">
        <v>8</v>
      </c>
      <c r="C990" s="1285">
        <v>1.9999999999999432</v>
      </c>
      <c r="D990" s="1297">
        <v>23.000000000000071</v>
      </c>
      <c r="E990" s="1299" t="str">
        <f ca="1"/>
        <v/>
      </c>
      <c r="F990" s="1286" t="str">
        <f ca="1"/>
        <v/>
      </c>
      <c r="G990" s="1286" t="str">
        <f ca="1"/>
        <v/>
      </c>
      <c r="H990" s="1301" t="str">
        <f ca="1"/>
        <v/>
      </c>
      <c r="I990" s="1303" t="str">
        <f ca="1"/>
        <v/>
      </c>
      <c r="J990" s="1287" t="str">
        <f ca="1"/>
        <v/>
      </c>
      <c r="K990" s="1288" t="str">
        <f ca="1"/>
        <v xml:space="preserve">Description:
Details:
Aim:
</v>
      </c>
      <c r="L990" s="1287" t="str">
        <f ca="1"/>
        <v/>
      </c>
      <c r="M990" s="1287" t="str">
        <f ca="1"/>
        <v/>
      </c>
      <c r="N990" s="1287"/>
      <c r="O990" s="1323" t="str">
        <f ca="1"/>
        <v/>
      </c>
      <c r="P990" s="1287"/>
      <c r="Q990" s="1290" t="str">
        <f ca="1"/>
        <v/>
      </c>
    </row>
    <row r="991" spans="1:17" ht="27.75" hidden="1" customHeight="1" x14ac:dyDescent="0.45">
      <c r="A991" s="1289">
        <v>24</v>
      </c>
      <c r="B991" s="1285">
        <v>8</v>
      </c>
      <c r="C991" s="1285">
        <v>3.0000000000000568</v>
      </c>
      <c r="D991" s="1297">
        <v>23.999999999999993</v>
      </c>
      <c r="E991" s="1299" t="str">
        <f ca="1"/>
        <v/>
      </c>
      <c r="F991" s="1286" t="str">
        <f ca="1"/>
        <v/>
      </c>
      <c r="G991" s="1286" t="str">
        <f ca="1"/>
        <v/>
      </c>
      <c r="H991" s="1301" t="str">
        <f ca="1"/>
        <v/>
      </c>
      <c r="I991" s="1303" t="str">
        <f ca="1"/>
        <v/>
      </c>
      <c r="J991" s="1287" t="str">
        <f ca="1"/>
        <v/>
      </c>
      <c r="K991" s="1288" t="str">
        <f ca="1"/>
        <v xml:space="preserve">Description:
Details:
Aim:
</v>
      </c>
      <c r="L991" s="1287" t="str">
        <f ca="1"/>
        <v/>
      </c>
      <c r="M991" s="1287" t="str">
        <f ca="1"/>
        <v/>
      </c>
      <c r="N991" s="1287"/>
      <c r="O991" s="1323" t="str">
        <f ca="1"/>
        <v/>
      </c>
      <c r="P991" s="1287"/>
      <c r="Q991" s="1290" t="str">
        <f ca="1"/>
        <v/>
      </c>
    </row>
    <row r="992" spans="1:17" ht="27.75" hidden="1" customHeight="1" x14ac:dyDescent="0.45">
      <c r="A992" s="1289">
        <v>24</v>
      </c>
      <c r="B992" s="1285">
        <v>9</v>
      </c>
      <c r="C992" s="1285">
        <v>1</v>
      </c>
      <c r="D992" s="1297">
        <v>25.000000000000064</v>
      </c>
      <c r="E992" s="1299" t="str">
        <f ca="1"/>
        <v/>
      </c>
      <c r="F992" s="1286" t="str">
        <f ca="1"/>
        <v/>
      </c>
      <c r="G992" s="1286" t="str">
        <f ca="1"/>
        <v/>
      </c>
      <c r="H992" s="1301" t="str">
        <f ca="1"/>
        <v/>
      </c>
      <c r="I992" s="1303" t="str">
        <f ca="1"/>
        <v/>
      </c>
      <c r="J992" s="1287" t="str">
        <f ca="1"/>
        <v/>
      </c>
      <c r="K992" s="1288" t="str">
        <f ca="1"/>
        <v xml:space="preserve">Description:
Details:
Aim:
</v>
      </c>
      <c r="L992" s="1287" t="str">
        <f ca="1"/>
        <v/>
      </c>
      <c r="M992" s="1287" t="str">
        <f ca="1"/>
        <v/>
      </c>
      <c r="N992" s="1287"/>
      <c r="O992" s="1323" t="str">
        <f ca="1"/>
        <v/>
      </c>
      <c r="P992" s="1287"/>
      <c r="Q992" s="1290" t="str">
        <f ca="1"/>
        <v/>
      </c>
    </row>
    <row r="993" spans="1:17" ht="27.75" hidden="1" customHeight="1" x14ac:dyDescent="0.45">
      <c r="A993" s="1289">
        <v>24</v>
      </c>
      <c r="B993" s="1285">
        <v>9</v>
      </c>
      <c r="C993" s="1285">
        <v>1.9999999999999432</v>
      </c>
      <c r="D993" s="1297">
        <v>25.999999999999986</v>
      </c>
      <c r="E993" s="1299" t="str">
        <f ca="1"/>
        <v/>
      </c>
      <c r="F993" s="1286" t="str">
        <f ca="1"/>
        <v/>
      </c>
      <c r="G993" s="1286" t="str">
        <f ca="1"/>
        <v/>
      </c>
      <c r="H993" s="1301" t="str">
        <f ca="1"/>
        <v/>
      </c>
      <c r="I993" s="1303" t="str">
        <f ca="1"/>
        <v/>
      </c>
      <c r="J993" s="1287" t="str">
        <f ca="1"/>
        <v/>
      </c>
      <c r="K993" s="1288" t="str">
        <f ca="1"/>
        <v xml:space="preserve">Description:
Details:
Aim:
</v>
      </c>
      <c r="L993" s="1287" t="str">
        <f ca="1"/>
        <v/>
      </c>
      <c r="M993" s="1287" t="str">
        <f ca="1"/>
        <v/>
      </c>
      <c r="N993" s="1287"/>
      <c r="O993" s="1323" t="str">
        <f ca="1"/>
        <v/>
      </c>
      <c r="P993" s="1287"/>
      <c r="Q993" s="1290" t="str">
        <f ca="1"/>
        <v/>
      </c>
    </row>
    <row r="994" spans="1:17" ht="27.75" hidden="1" customHeight="1" x14ac:dyDescent="0.45">
      <c r="A994" s="1289">
        <v>24</v>
      </c>
      <c r="B994" s="1285">
        <v>9</v>
      </c>
      <c r="C994" s="1285">
        <v>3.0000000000000568</v>
      </c>
      <c r="D994" s="1297">
        <v>27.000000000000057</v>
      </c>
      <c r="E994" s="1299" t="str">
        <f ca="1"/>
        <v/>
      </c>
      <c r="F994" s="1286" t="str">
        <f ca="1"/>
        <v/>
      </c>
      <c r="G994" s="1286" t="str">
        <f ca="1"/>
        <v/>
      </c>
      <c r="H994" s="1301" t="str">
        <f ca="1"/>
        <v/>
      </c>
      <c r="I994" s="1303" t="str">
        <f ca="1"/>
        <v/>
      </c>
      <c r="J994" s="1287" t="str">
        <f ca="1"/>
        <v/>
      </c>
      <c r="K994" s="1288" t="str">
        <f ca="1"/>
        <v xml:space="preserve">Description:
Details:
Aim:
</v>
      </c>
      <c r="L994" s="1287" t="str">
        <f ca="1"/>
        <v/>
      </c>
      <c r="M994" s="1287" t="str">
        <f ca="1"/>
        <v/>
      </c>
      <c r="N994" s="1287"/>
      <c r="O994" s="1323" t="str">
        <f ca="1"/>
        <v/>
      </c>
      <c r="P994" s="1287"/>
      <c r="Q994" s="1290" t="str">
        <f ca="1"/>
        <v/>
      </c>
    </row>
    <row r="995" spans="1:17" ht="27.75" hidden="1" customHeight="1" x14ac:dyDescent="0.45">
      <c r="A995" s="1289">
        <v>24</v>
      </c>
      <c r="B995" s="1285">
        <v>9</v>
      </c>
      <c r="C995" s="1285">
        <v>1</v>
      </c>
      <c r="D995" s="1297">
        <v>27.999999999999979</v>
      </c>
      <c r="E995" s="1299" t="str">
        <f ca="1"/>
        <v/>
      </c>
      <c r="F995" s="1286" t="str">
        <f ca="1"/>
        <v/>
      </c>
      <c r="G995" s="1286" t="str">
        <f ca="1"/>
        <v/>
      </c>
      <c r="H995" s="1301" t="str">
        <f ca="1"/>
        <v/>
      </c>
      <c r="I995" s="1303" t="str">
        <f ca="1"/>
        <v/>
      </c>
      <c r="J995" s="1287" t="str">
        <f ca="1"/>
        <v/>
      </c>
      <c r="K995" s="1288" t="str">
        <f ca="1"/>
        <v xml:space="preserve">Description:
Details:
Aim:
</v>
      </c>
      <c r="L995" s="1287" t="str">
        <f ca="1"/>
        <v/>
      </c>
      <c r="M995" s="1287" t="str">
        <f ca="1"/>
        <v/>
      </c>
      <c r="N995" s="1287"/>
      <c r="O995" s="1323" t="str">
        <f ca="1"/>
        <v/>
      </c>
      <c r="P995" s="1287"/>
      <c r="Q995" s="1290" t="str">
        <f ca="1"/>
        <v/>
      </c>
    </row>
    <row r="996" spans="1:17" ht="27.75" hidden="1" customHeight="1" x14ac:dyDescent="0.45">
      <c r="A996" s="1289">
        <v>24</v>
      </c>
      <c r="B996" s="1285">
        <v>10</v>
      </c>
      <c r="C996" s="1285">
        <v>1.9999999999999432</v>
      </c>
      <c r="D996" s="1297">
        <v>29.00000000000005</v>
      </c>
      <c r="E996" s="1299" t="str">
        <f ca="1"/>
        <v/>
      </c>
      <c r="F996" s="1286" t="str">
        <f ca="1"/>
        <v/>
      </c>
      <c r="G996" s="1286" t="str">
        <f ca="1"/>
        <v/>
      </c>
      <c r="H996" s="1301" t="str">
        <f ca="1"/>
        <v/>
      </c>
      <c r="I996" s="1303" t="str">
        <f ca="1"/>
        <v/>
      </c>
      <c r="J996" s="1287" t="str">
        <f ca="1"/>
        <v/>
      </c>
      <c r="K996" s="1288" t="str">
        <f ca="1"/>
        <v xml:space="preserve">Description:
Details:
Aim:
</v>
      </c>
      <c r="L996" s="1287" t="str">
        <f ca="1"/>
        <v/>
      </c>
      <c r="M996" s="1287" t="str">
        <f ca="1"/>
        <v/>
      </c>
      <c r="N996" s="1287"/>
      <c r="O996" s="1323" t="str">
        <f ca="1"/>
        <v/>
      </c>
      <c r="P996" s="1287"/>
      <c r="Q996" s="1290" t="str">
        <f ca="1"/>
        <v/>
      </c>
    </row>
    <row r="997" spans="1:17" ht="27.75" hidden="1" customHeight="1" x14ac:dyDescent="0.45">
      <c r="A997" s="1289">
        <v>24</v>
      </c>
      <c r="B997" s="1285">
        <v>10</v>
      </c>
      <c r="C997" s="1285">
        <v>3.0000000000000568</v>
      </c>
      <c r="D997" s="1297">
        <v>29.999999999999972</v>
      </c>
      <c r="E997" s="1299" t="str">
        <f ca="1"/>
        <v/>
      </c>
      <c r="F997" s="1286" t="str">
        <f ca="1"/>
        <v/>
      </c>
      <c r="G997" s="1286" t="str">
        <f ca="1"/>
        <v/>
      </c>
      <c r="H997" s="1301" t="str">
        <f ca="1"/>
        <v/>
      </c>
      <c r="I997" s="1303" t="str">
        <f ca="1"/>
        <v/>
      </c>
      <c r="J997" s="1287" t="str">
        <f ca="1"/>
        <v/>
      </c>
      <c r="K997" s="1288" t="str">
        <f ca="1"/>
        <v xml:space="preserve">Description:
Details:
Aim:
</v>
      </c>
      <c r="L997" s="1287" t="str">
        <f ca="1"/>
        <v/>
      </c>
      <c r="M997" s="1287" t="str">
        <f ca="1"/>
        <v/>
      </c>
      <c r="N997" s="1287"/>
      <c r="O997" s="1323" t="str">
        <f ca="1"/>
        <v/>
      </c>
      <c r="P997" s="1287"/>
      <c r="Q997" s="1290" t="str">
        <f ca="1"/>
        <v/>
      </c>
    </row>
    <row r="998" spans="1:17" ht="27.75" hidden="1" customHeight="1" x14ac:dyDescent="0.45">
      <c r="A998" s="1289">
        <v>24</v>
      </c>
      <c r="B998" s="1285">
        <v>11</v>
      </c>
      <c r="C998" s="1285">
        <v>1</v>
      </c>
      <c r="D998" s="1297">
        <v>31.000000000000043</v>
      </c>
      <c r="E998" s="1299" t="str">
        <f ca="1"/>
        <v/>
      </c>
      <c r="F998" s="1286" t="str">
        <f ca="1"/>
        <v/>
      </c>
      <c r="G998" s="1286" t="str">
        <f ca="1"/>
        <v/>
      </c>
      <c r="H998" s="1301" t="str">
        <f ca="1"/>
        <v/>
      </c>
      <c r="I998" s="1303" t="str">
        <f ca="1"/>
        <v/>
      </c>
      <c r="J998" s="1287" t="str">
        <f ca="1"/>
        <v/>
      </c>
      <c r="K998" s="1288" t="str">
        <f ca="1"/>
        <v xml:space="preserve">Description:
Details:
Aim:
</v>
      </c>
      <c r="L998" s="1287" t="str">
        <f ca="1"/>
        <v/>
      </c>
      <c r="M998" s="1287" t="str">
        <f ca="1"/>
        <v/>
      </c>
      <c r="N998" s="1287"/>
      <c r="O998" s="1323" t="str">
        <f ca="1"/>
        <v/>
      </c>
      <c r="P998" s="1287"/>
      <c r="Q998" s="1290" t="str">
        <f ca="1"/>
        <v/>
      </c>
    </row>
    <row r="999" spans="1:17" ht="27.75" hidden="1" customHeight="1" x14ac:dyDescent="0.45">
      <c r="A999" s="1289">
        <v>24</v>
      </c>
      <c r="B999" s="1285">
        <v>11</v>
      </c>
      <c r="C999" s="1285">
        <v>1.9999999999999432</v>
      </c>
      <c r="D999" s="1297">
        <v>31.999999999999964</v>
      </c>
      <c r="E999" s="1299" t="str">
        <f ca="1"/>
        <v/>
      </c>
      <c r="F999" s="1286" t="str">
        <f ca="1"/>
        <v/>
      </c>
      <c r="G999" s="1286" t="str">
        <f ca="1"/>
        <v/>
      </c>
      <c r="H999" s="1301" t="str">
        <f ca="1"/>
        <v/>
      </c>
      <c r="I999" s="1303" t="str">
        <f ca="1"/>
        <v/>
      </c>
      <c r="J999" s="1287" t="str">
        <f ca="1"/>
        <v/>
      </c>
      <c r="K999" s="1288" t="str">
        <f ca="1"/>
        <v xml:space="preserve">Description:
Details:
Aim:
</v>
      </c>
      <c r="L999" s="1287" t="str">
        <f ca="1"/>
        <v/>
      </c>
      <c r="M999" s="1287" t="str">
        <f ca="1"/>
        <v/>
      </c>
      <c r="N999" s="1287"/>
      <c r="O999" s="1323" t="str">
        <f ca="1"/>
        <v/>
      </c>
      <c r="P999" s="1287"/>
      <c r="Q999" s="1290" t="str">
        <f ca="1"/>
        <v/>
      </c>
    </row>
    <row r="1000" spans="1:17" ht="27.75" hidden="1" customHeight="1" x14ac:dyDescent="0.45">
      <c r="A1000" s="1289">
        <v>24</v>
      </c>
      <c r="B1000" s="1285">
        <v>11</v>
      </c>
      <c r="C1000" s="1285">
        <v>3.0000000000000568</v>
      </c>
      <c r="D1000" s="1297">
        <v>33.000000000000036</v>
      </c>
      <c r="E1000" s="1299" t="str">
        <f ca="1"/>
        <v/>
      </c>
      <c r="F1000" s="1286" t="str">
        <f ca="1"/>
        <v/>
      </c>
      <c r="G1000" s="1286" t="str">
        <f ca="1"/>
        <v/>
      </c>
      <c r="H1000" s="1301" t="str">
        <f ca="1"/>
        <v/>
      </c>
      <c r="I1000" s="1303" t="str">
        <f ca="1"/>
        <v/>
      </c>
      <c r="J1000" s="1287" t="str">
        <f ca="1"/>
        <v/>
      </c>
      <c r="K1000" s="1288" t="str">
        <f ca="1"/>
        <v xml:space="preserve">Description:
Details:
Aim:
</v>
      </c>
      <c r="L1000" s="1287" t="str">
        <f ca="1"/>
        <v/>
      </c>
      <c r="M1000" s="1287" t="str">
        <f ca="1"/>
        <v/>
      </c>
      <c r="N1000" s="1287"/>
      <c r="O1000" s="1323" t="str">
        <f ca="1"/>
        <v/>
      </c>
      <c r="P1000" s="1287"/>
      <c r="Q1000" s="1290" t="str">
        <f ca="1"/>
        <v/>
      </c>
    </row>
    <row r="1001" spans="1:17" ht="27.75" hidden="1" customHeight="1" x14ac:dyDescent="0.45">
      <c r="A1001" s="1289">
        <v>24</v>
      </c>
      <c r="B1001" s="1285">
        <v>12</v>
      </c>
      <c r="C1001" s="1285">
        <v>1</v>
      </c>
      <c r="D1001" s="1297">
        <v>33.999999999999957</v>
      </c>
      <c r="E1001" s="1299" t="str">
        <f ca="1"/>
        <v/>
      </c>
      <c r="F1001" s="1286" t="str">
        <f ca="1"/>
        <v/>
      </c>
      <c r="G1001" s="1286" t="str">
        <f ca="1"/>
        <v/>
      </c>
      <c r="H1001" s="1301" t="str">
        <f ca="1"/>
        <v/>
      </c>
      <c r="I1001" s="1303" t="str">
        <f ca="1"/>
        <v/>
      </c>
      <c r="J1001" s="1287" t="str">
        <f ca="1"/>
        <v/>
      </c>
      <c r="K1001" s="1288" t="str">
        <f ca="1"/>
        <v xml:space="preserve">Description:
Details:
Aim:
</v>
      </c>
      <c r="L1001" s="1287" t="str">
        <f ca="1"/>
        <v/>
      </c>
      <c r="M1001" s="1287" t="str">
        <f ca="1"/>
        <v/>
      </c>
      <c r="N1001" s="1287"/>
      <c r="O1001" s="1323" t="str">
        <f ca="1"/>
        <v/>
      </c>
      <c r="P1001" s="1287"/>
      <c r="Q1001" s="1290" t="str">
        <f ca="1"/>
        <v/>
      </c>
    </row>
    <row r="1002" spans="1:17" ht="27.75" hidden="1" customHeight="1" x14ac:dyDescent="0.45">
      <c r="A1002" s="1289">
        <v>24</v>
      </c>
      <c r="B1002" s="1285">
        <v>12</v>
      </c>
      <c r="C1002" s="1285">
        <v>1.9999999999999432</v>
      </c>
      <c r="D1002" s="1297">
        <v>35.000000000000028</v>
      </c>
      <c r="E1002" s="1299" t="str">
        <f ca="1"/>
        <v/>
      </c>
      <c r="F1002" s="1286" t="str">
        <f ca="1"/>
        <v/>
      </c>
      <c r="G1002" s="1286" t="str">
        <f ca="1"/>
        <v/>
      </c>
      <c r="H1002" s="1301" t="str">
        <f ca="1"/>
        <v/>
      </c>
      <c r="I1002" s="1303" t="str">
        <f ca="1"/>
        <v/>
      </c>
      <c r="J1002" s="1287" t="str">
        <f ca="1"/>
        <v/>
      </c>
      <c r="K1002" s="1288" t="str">
        <f ca="1"/>
        <v xml:space="preserve">Description:
Details:
Aim:
</v>
      </c>
      <c r="L1002" s="1287" t="str">
        <f ca="1"/>
        <v/>
      </c>
      <c r="M1002" s="1287" t="str">
        <f ca="1"/>
        <v/>
      </c>
      <c r="N1002" s="1287"/>
      <c r="O1002" s="1323" t="str">
        <f ca="1"/>
        <v/>
      </c>
      <c r="P1002" s="1287"/>
      <c r="Q1002" s="1290" t="str">
        <f ca="1"/>
        <v/>
      </c>
    </row>
    <row r="1003" spans="1:17" ht="27.75" hidden="1" customHeight="1" x14ac:dyDescent="0.45">
      <c r="A1003" s="1289">
        <v>24</v>
      </c>
      <c r="B1003" s="1285">
        <v>12</v>
      </c>
      <c r="C1003" s="1285">
        <v>3.0000000000000568</v>
      </c>
      <c r="D1003" s="1297">
        <v>35.99999999999995</v>
      </c>
      <c r="E1003" s="1299" t="str">
        <f ca="1"/>
        <v/>
      </c>
      <c r="F1003" s="1286" t="str">
        <f ca="1"/>
        <v/>
      </c>
      <c r="G1003" s="1286" t="str">
        <f ca="1"/>
        <v/>
      </c>
      <c r="H1003" s="1301" t="str">
        <f ca="1"/>
        <v/>
      </c>
      <c r="I1003" s="1303" t="str">
        <f ca="1"/>
        <v/>
      </c>
      <c r="J1003" s="1287" t="str">
        <f ca="1"/>
        <v/>
      </c>
      <c r="K1003" s="1288" t="str">
        <f ca="1"/>
        <v xml:space="preserve">Description:
Details:
Aim:
</v>
      </c>
      <c r="L1003" s="1287" t="str">
        <f ca="1"/>
        <v/>
      </c>
      <c r="M1003" s="1287" t="str">
        <f ca="1"/>
        <v/>
      </c>
      <c r="N1003" s="1287"/>
      <c r="O1003" s="1323" t="str">
        <f ca="1"/>
        <v/>
      </c>
      <c r="P1003" s="1287"/>
      <c r="Q1003" s="1290" t="str">
        <f ca="1"/>
        <v/>
      </c>
    </row>
    <row r="1004" spans="1:17" ht="27.75" hidden="1" customHeight="1" x14ac:dyDescent="0.45">
      <c r="A1004" s="1289">
        <v>24</v>
      </c>
      <c r="B1004" s="1285">
        <v>13</v>
      </c>
      <c r="C1004" s="1285">
        <v>1</v>
      </c>
      <c r="D1004" s="1297">
        <v>37.000000000000021</v>
      </c>
      <c r="E1004" s="1299" t="str">
        <f ca="1"/>
        <v/>
      </c>
      <c r="F1004" s="1286" t="str">
        <f ca="1"/>
        <v/>
      </c>
      <c r="G1004" s="1286" t="str">
        <f ca="1"/>
        <v/>
      </c>
      <c r="H1004" s="1301" t="str">
        <f ca="1"/>
        <v/>
      </c>
      <c r="I1004" s="1303" t="str">
        <f ca="1"/>
        <v/>
      </c>
      <c r="J1004" s="1287" t="str">
        <f ca="1"/>
        <v/>
      </c>
      <c r="K1004" s="1288" t="str">
        <f ca="1"/>
        <v xml:space="preserve">Description:
Details:
Aim:
</v>
      </c>
      <c r="L1004" s="1287" t="str">
        <f ca="1"/>
        <v/>
      </c>
      <c r="M1004" s="1287" t="str">
        <f ca="1"/>
        <v/>
      </c>
      <c r="N1004" s="1287"/>
      <c r="O1004" s="1323" t="str">
        <f ca="1"/>
        <v/>
      </c>
      <c r="P1004" s="1287"/>
      <c r="Q1004" s="1290" t="str">
        <f ca="1"/>
        <v/>
      </c>
    </row>
    <row r="1005" spans="1:17" ht="27.75" hidden="1" customHeight="1" x14ac:dyDescent="0.45">
      <c r="A1005" s="1289">
        <v>24</v>
      </c>
      <c r="B1005" s="1285">
        <v>13</v>
      </c>
      <c r="C1005" s="1285">
        <v>1.9999999999999432</v>
      </c>
      <c r="D1005" s="1297">
        <v>37.999999999999943</v>
      </c>
      <c r="E1005" s="1299" t="str">
        <f ca="1"/>
        <v/>
      </c>
      <c r="F1005" s="1286" t="str">
        <f ca="1"/>
        <v/>
      </c>
      <c r="G1005" s="1286" t="str">
        <f ca="1"/>
        <v/>
      </c>
      <c r="H1005" s="1301" t="str">
        <f ca="1"/>
        <v/>
      </c>
      <c r="I1005" s="1303" t="str">
        <f ca="1"/>
        <v/>
      </c>
      <c r="J1005" s="1287" t="str">
        <f ca="1"/>
        <v/>
      </c>
      <c r="K1005" s="1288" t="str">
        <f ca="1"/>
        <v xml:space="preserve">Description:
Details:
Aim:
</v>
      </c>
      <c r="L1005" s="1287" t="str">
        <f ca="1"/>
        <v/>
      </c>
      <c r="M1005" s="1287" t="str">
        <f ca="1"/>
        <v/>
      </c>
      <c r="N1005" s="1287"/>
      <c r="O1005" s="1323" t="str">
        <f ca="1"/>
        <v/>
      </c>
      <c r="P1005" s="1287"/>
      <c r="Q1005" s="1290" t="str">
        <f ca="1"/>
        <v/>
      </c>
    </row>
    <row r="1006" spans="1:17" ht="27.75" hidden="1" customHeight="1" x14ac:dyDescent="0.45">
      <c r="A1006" s="1289">
        <v>24</v>
      </c>
      <c r="B1006" s="1285">
        <v>13</v>
      </c>
      <c r="C1006" s="1285">
        <v>3.0000000000000568</v>
      </c>
      <c r="D1006" s="1297">
        <v>39.000000000000014</v>
      </c>
      <c r="E1006" s="1299" t="str">
        <f ca="1"/>
        <v/>
      </c>
      <c r="F1006" s="1286" t="str">
        <f ca="1"/>
        <v/>
      </c>
      <c r="G1006" s="1286" t="str">
        <f ca="1"/>
        <v/>
      </c>
      <c r="H1006" s="1301" t="str">
        <f ca="1"/>
        <v/>
      </c>
      <c r="I1006" s="1303" t="str">
        <f ca="1"/>
        <v/>
      </c>
      <c r="J1006" s="1287" t="str">
        <f ca="1"/>
        <v/>
      </c>
      <c r="K1006" s="1288" t="str">
        <f ca="1"/>
        <v xml:space="preserve">Description:
Details:
Aim:
</v>
      </c>
      <c r="L1006" s="1287" t="str">
        <f ca="1"/>
        <v/>
      </c>
      <c r="M1006" s="1287" t="str">
        <f ca="1"/>
        <v/>
      </c>
      <c r="N1006" s="1287"/>
      <c r="O1006" s="1323" t="str">
        <f ca="1"/>
        <v/>
      </c>
      <c r="P1006" s="1287"/>
      <c r="Q1006" s="1290" t="str">
        <f ca="1"/>
        <v/>
      </c>
    </row>
    <row r="1007" spans="1:17" ht="27.75" hidden="1" customHeight="1" x14ac:dyDescent="0.45">
      <c r="A1007" s="1289">
        <v>24</v>
      </c>
      <c r="B1007" s="1285">
        <v>14</v>
      </c>
      <c r="C1007" s="1285">
        <v>1</v>
      </c>
      <c r="D1007" s="1297">
        <v>39.999999999999936</v>
      </c>
      <c r="E1007" s="1299" t="str">
        <f ca="1"/>
        <v/>
      </c>
      <c r="F1007" s="1286" t="str">
        <f ca="1"/>
        <v/>
      </c>
      <c r="G1007" s="1286" t="str">
        <f ca="1"/>
        <v/>
      </c>
      <c r="H1007" s="1301" t="str">
        <f ca="1"/>
        <v/>
      </c>
      <c r="I1007" s="1303" t="str">
        <f ca="1"/>
        <v/>
      </c>
      <c r="J1007" s="1287" t="str">
        <f ca="1"/>
        <v/>
      </c>
      <c r="K1007" s="1288" t="str">
        <f ca="1"/>
        <v xml:space="preserve">Description:
Details:
Aim:
</v>
      </c>
      <c r="L1007" s="1287" t="str">
        <f ca="1"/>
        <v/>
      </c>
      <c r="M1007" s="1287" t="str">
        <f ca="1"/>
        <v/>
      </c>
      <c r="N1007" s="1287"/>
      <c r="O1007" s="1323" t="str">
        <f ca="1"/>
        <v/>
      </c>
      <c r="P1007" s="1287"/>
      <c r="Q1007" s="1290" t="str">
        <f ca="1"/>
        <v/>
      </c>
    </row>
    <row r="1008" spans="1:17" ht="27.75" hidden="1" customHeight="1" x14ac:dyDescent="0.45">
      <c r="A1008" s="1289">
        <v>24</v>
      </c>
      <c r="B1008" s="1285">
        <v>14</v>
      </c>
      <c r="C1008" s="1285">
        <v>1.9999999999999432</v>
      </c>
      <c r="D1008" s="1297">
        <v>41.000000000000007</v>
      </c>
      <c r="E1008" s="1299" t="str">
        <f ca="1"/>
        <v/>
      </c>
      <c r="F1008" s="1286" t="str">
        <f ca="1"/>
        <v/>
      </c>
      <c r="G1008" s="1286" t="str">
        <f ca="1"/>
        <v/>
      </c>
      <c r="H1008" s="1301" t="str">
        <f ca="1"/>
        <v/>
      </c>
      <c r="I1008" s="1303" t="str">
        <f ca="1"/>
        <v/>
      </c>
      <c r="J1008" s="1287" t="str">
        <f ca="1"/>
        <v/>
      </c>
      <c r="K1008" s="1288" t="str">
        <f ca="1"/>
        <v xml:space="preserve">Description:
Details:
Aim:
</v>
      </c>
      <c r="L1008" s="1287" t="str">
        <f ca="1"/>
        <v/>
      </c>
      <c r="M1008" s="1287" t="str">
        <f ca="1"/>
        <v/>
      </c>
      <c r="N1008" s="1287"/>
      <c r="O1008" s="1323" t="str">
        <f ca="1"/>
        <v/>
      </c>
      <c r="P1008" s="1287"/>
      <c r="Q1008" s="1290" t="str">
        <f ca="1"/>
        <v/>
      </c>
    </row>
    <row r="1009" spans="1:17" ht="27.75" hidden="1" customHeight="1" thickBot="1" x14ac:dyDescent="0.5">
      <c r="A1009" s="1291">
        <v>24</v>
      </c>
      <c r="B1009" s="1292">
        <v>14</v>
      </c>
      <c r="C1009" s="1292">
        <v>3.0000000000000568</v>
      </c>
      <c r="D1009" s="1298">
        <v>41.999999999999929</v>
      </c>
      <c r="E1009" s="1300" t="str">
        <f ca="1"/>
        <v/>
      </c>
      <c r="F1009" s="1293" t="str">
        <f ca="1"/>
        <v/>
      </c>
      <c r="G1009" s="1293" t="str">
        <f ca="1"/>
        <v/>
      </c>
      <c r="H1009" s="1302" t="str">
        <f ca="1"/>
        <v/>
      </c>
      <c r="I1009" s="1304" t="str">
        <f ca="1"/>
        <v/>
      </c>
      <c r="J1009" s="1294" t="str">
        <f ca="1"/>
        <v/>
      </c>
      <c r="K1009" s="1295" t="str">
        <f ca="1"/>
        <v xml:space="preserve">Description:
Details:
Aim:
</v>
      </c>
      <c r="L1009" s="1294" t="str">
        <f ca="1"/>
        <v/>
      </c>
      <c r="M1009" s="1294" t="str">
        <f ca="1"/>
        <v/>
      </c>
      <c r="N1009" s="1294"/>
      <c r="O1009" s="1324" t="str">
        <f ca="1"/>
        <v/>
      </c>
      <c r="P1009" s="1294"/>
      <c r="Q1009" s="1296" t="str">
        <f ca="1"/>
        <v/>
      </c>
    </row>
    <row r="1010" spans="1:17" hidden="1" x14ac:dyDescent="0.45"/>
    <row r="1011" spans="1:17" hidden="1" x14ac:dyDescent="0.45"/>
    <row r="1012" spans="1:17" hidden="1" x14ac:dyDescent="0.45"/>
    <row r="1013" spans="1:17" hidden="1" x14ac:dyDescent="0.45"/>
    <row r="1014" spans="1:17" hidden="1" x14ac:dyDescent="0.45"/>
    <row r="1015" spans="1:17" hidden="1" x14ac:dyDescent="0.45"/>
    <row r="1016" spans="1:17" hidden="1" x14ac:dyDescent="0.45"/>
    <row r="1017" spans="1:17" hidden="1" x14ac:dyDescent="0.45"/>
    <row r="1018" spans="1:17" hidden="1" x14ac:dyDescent="0.45"/>
    <row r="1019" spans="1:17" hidden="1" x14ac:dyDescent="0.45"/>
    <row r="1020" spans="1:17" hidden="1" x14ac:dyDescent="0.45"/>
    <row r="1021" spans="1:17" hidden="1" x14ac:dyDescent="0.45"/>
    <row r="1022" spans="1:17" hidden="1" x14ac:dyDescent="0.45"/>
    <row r="1023" spans="1:17" hidden="1" x14ac:dyDescent="0.45"/>
    <row r="1024" spans="1:17"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JtCT0hnXTm433vFFDe13N80LaclMiNWYcZfLjneZD5wCJyebbznjCkLM854Gn5gXc1tmuu0sDZffFSt47pBrDg==" saltValue="fD+6WK/WRG9acCSWFWp4XQ==" spinCount="100000" sheet="1" objects="1" scenarios="1" selectLockedCells="1" selectUnlockedCells="1"/>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5" tint="0.59999389629810485"/>
  </sheetPr>
  <dimension ref="A1:ED2000"/>
  <sheetViews>
    <sheetView showGridLines="0" showRowColHeaders="0" topLeftCell="AV2001" zoomScale="70" zoomScaleNormal="70" workbookViewId="0">
      <selection activeCell="BA6" sqref="BA6"/>
    </sheetView>
  </sheetViews>
  <sheetFormatPr defaultRowHeight="14.25" x14ac:dyDescent="0.45"/>
  <cols>
    <col min="1" max="1" width="1.3984375" style="67" customWidth="1"/>
    <col min="2" max="2" width="27.73046875" style="67" customWidth="1"/>
    <col min="3" max="3" width="17.265625" style="70" customWidth="1"/>
    <col min="4" max="4" width="2.86328125" style="175" customWidth="1"/>
    <col min="5" max="5" width="22.73046875" style="68" customWidth="1"/>
    <col min="6" max="31" width="9.1328125" style="67" customWidth="1"/>
    <col min="32" max="32" width="9.1328125" style="70" customWidth="1"/>
    <col min="33" max="33" width="2.86328125" style="175" customWidth="1"/>
    <col min="34" max="34" width="23.265625" style="68" bestFit="1" customWidth="1"/>
    <col min="35" max="35" width="18" style="67" bestFit="1" customWidth="1"/>
    <col min="36" max="48" width="9.1328125" style="67"/>
    <col min="49" max="49" width="2.86328125" style="67" customWidth="1"/>
    <col min="50" max="50" width="23.265625" style="67" bestFit="1" customWidth="1"/>
    <col min="51" max="51" width="18" style="67" bestFit="1" customWidth="1"/>
    <col min="52" max="55" width="9.1328125" style="67"/>
    <col min="69" max="69" width="2.86328125" customWidth="1"/>
    <col min="70" max="70" width="16.1328125" bestFit="1" customWidth="1"/>
    <col min="71" max="74" width="14.1328125" customWidth="1"/>
    <col min="75" max="75" width="2.86328125" customWidth="1"/>
    <col min="76" max="80" width="14.1328125" customWidth="1"/>
    <col min="81" max="81" width="2.86328125" customWidth="1"/>
    <col min="82" max="82" width="29.3984375" bestFit="1" customWidth="1"/>
    <col min="83" max="83" width="2.86328125" customWidth="1"/>
    <col min="84" max="84" width="12" customWidth="1"/>
    <col min="85" max="108" width="12.265625" customWidth="1"/>
    <col min="109" max="109" width="2.86328125" customWidth="1"/>
  </cols>
  <sheetData>
    <row r="1" spans="1:134" s="175" customFormat="1" ht="7.5" hidden="1" customHeight="1" thickBot="1" x14ac:dyDescent="0.5">
      <c r="CD1" s="73"/>
    </row>
    <row r="2" spans="1:134" hidden="1" x14ac:dyDescent="0.45">
      <c r="A2" s="175"/>
      <c r="B2" s="1564" t="s">
        <v>684</v>
      </c>
      <c r="C2" s="1565"/>
      <c r="E2" s="1564" t="s">
        <v>683</v>
      </c>
      <c r="F2" s="1568"/>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5"/>
      <c r="AH2" s="1589" t="s">
        <v>682</v>
      </c>
      <c r="AI2" s="1590"/>
      <c r="AJ2" s="1590"/>
      <c r="AK2" s="1590"/>
      <c r="AL2" s="1590"/>
      <c r="AM2" s="1590"/>
      <c r="AN2" s="1590"/>
      <c r="AO2" s="1590"/>
      <c r="AP2" s="1590"/>
      <c r="AQ2" s="1590"/>
      <c r="AR2" s="1590"/>
      <c r="AS2" s="1590"/>
      <c r="AT2" s="1590"/>
      <c r="AU2" s="1590"/>
      <c r="AV2" s="1591"/>
      <c r="AW2" s="175"/>
      <c r="AX2" s="1589" t="s">
        <v>681</v>
      </c>
      <c r="AY2" s="1590"/>
      <c r="AZ2" s="1590"/>
      <c r="BA2" s="1590"/>
      <c r="BB2" s="1590"/>
      <c r="BC2" s="1590"/>
      <c r="BD2" s="1590"/>
      <c r="BE2" s="1590"/>
      <c r="BF2" s="1590"/>
      <c r="BG2" s="1590"/>
      <c r="BH2" s="1590"/>
      <c r="BI2" s="1590"/>
      <c r="BJ2" s="1590"/>
      <c r="BK2" s="1590"/>
      <c r="BL2" s="1590"/>
      <c r="BM2" s="1590"/>
      <c r="BN2" s="1590"/>
      <c r="BO2" s="1590"/>
      <c r="BP2" s="1591"/>
      <c r="BR2" s="1564" t="s">
        <v>373</v>
      </c>
      <c r="BS2" s="1568"/>
      <c r="BT2" s="1568"/>
      <c r="BU2" s="1568"/>
      <c r="BV2" s="1565"/>
      <c r="BX2" s="1564" t="s">
        <v>374</v>
      </c>
      <c r="BY2" s="1568"/>
      <c r="BZ2" s="1568"/>
      <c r="CA2" s="1568"/>
      <c r="CB2" s="1565"/>
      <c r="CD2" s="1038" t="s">
        <v>693</v>
      </c>
      <c r="CF2" s="1564" t="s">
        <v>596</v>
      </c>
      <c r="CG2" s="1588"/>
      <c r="CH2" s="1588"/>
      <c r="CI2" s="1588"/>
      <c r="CJ2" s="1588"/>
      <c r="CK2" s="1588"/>
      <c r="CL2" s="1588"/>
      <c r="CM2" s="1588"/>
      <c r="CN2" s="1588"/>
      <c r="CO2" s="1588"/>
      <c r="CP2" s="1588"/>
      <c r="CQ2" s="1588"/>
      <c r="CR2" s="1588"/>
      <c r="CS2" s="1588"/>
      <c r="CT2" s="1588"/>
      <c r="CU2" s="1588"/>
      <c r="CV2" s="1588"/>
      <c r="CW2" s="1588"/>
      <c r="CX2" s="1588"/>
      <c r="CY2" s="1588"/>
      <c r="CZ2" s="1588"/>
      <c r="DA2" s="1588"/>
      <c r="DB2" s="1588"/>
      <c r="DC2" s="1588"/>
      <c r="DD2" s="1565"/>
      <c r="DF2" s="1564" t="s">
        <v>597</v>
      </c>
      <c r="DG2" s="1568"/>
      <c r="DH2" s="1568"/>
      <c r="DI2" s="1568"/>
      <c r="DJ2" s="1568"/>
      <c r="DK2" s="1568"/>
      <c r="DL2" s="1568"/>
      <c r="DM2" s="1568"/>
      <c r="DN2" s="1568"/>
      <c r="DO2" s="1568"/>
      <c r="DP2" s="1568"/>
      <c r="DQ2" s="1568"/>
      <c r="DR2" s="1568"/>
      <c r="DS2" s="1568"/>
      <c r="DT2" s="1568"/>
      <c r="DU2" s="1568"/>
      <c r="DV2" s="1568"/>
      <c r="DW2" s="1568"/>
      <c r="DX2" s="1568"/>
      <c r="DY2" s="1568"/>
      <c r="DZ2" s="1568"/>
      <c r="EA2" s="1568"/>
      <c r="EB2" s="1568"/>
      <c r="EC2" s="1568"/>
      <c r="ED2" s="1565"/>
    </row>
    <row r="3" spans="1:134" ht="14.65" hidden="1" thickBot="1" x14ac:dyDescent="0.5">
      <c r="A3" s="175"/>
      <c r="B3" s="1584" t="str">
        <f>athlete_sport</f>
        <v>Trail Ultra (3+ hours)</v>
      </c>
      <c r="C3" s="1585"/>
      <c r="E3" s="183"/>
      <c r="F3" s="1577" t="s">
        <v>1</v>
      </c>
      <c r="G3" s="1578"/>
      <c r="H3" s="1579"/>
      <c r="I3" s="1577" t="s">
        <v>429</v>
      </c>
      <c r="J3" s="1578"/>
      <c r="K3" s="1579"/>
      <c r="L3" s="1594" t="s">
        <v>2</v>
      </c>
      <c r="M3" s="1595"/>
      <c r="N3" s="1596"/>
      <c r="O3" s="1571" t="s">
        <v>428</v>
      </c>
      <c r="P3" s="1572"/>
      <c r="Q3" s="1597"/>
      <c r="R3" s="1571" t="s">
        <v>3</v>
      </c>
      <c r="S3" s="1572"/>
      <c r="T3" s="1597"/>
      <c r="U3" s="1571" t="s">
        <v>430</v>
      </c>
      <c r="V3" s="1572"/>
      <c r="W3" s="1597"/>
      <c r="X3" s="1571" t="s">
        <v>4</v>
      </c>
      <c r="Y3" s="1572"/>
      <c r="Z3" s="1597"/>
      <c r="AA3" s="1571" t="s">
        <v>5</v>
      </c>
      <c r="AB3" s="1572"/>
      <c r="AC3" s="1573"/>
      <c r="AD3" s="1574" t="s">
        <v>6</v>
      </c>
      <c r="AE3" s="1575"/>
      <c r="AF3" s="1576"/>
      <c r="AH3" s="212"/>
      <c r="AI3" s="1592" t="s">
        <v>7</v>
      </c>
      <c r="AJ3" s="214">
        <v>3</v>
      </c>
      <c r="AK3" s="208">
        <v>4</v>
      </c>
      <c r="AL3" s="208">
        <v>5</v>
      </c>
      <c r="AM3" s="208">
        <v>6</v>
      </c>
      <c r="AN3" s="208">
        <v>7</v>
      </c>
      <c r="AO3" s="208">
        <v>8</v>
      </c>
      <c r="AP3" s="208">
        <v>9</v>
      </c>
      <c r="AQ3" s="208">
        <v>10</v>
      </c>
      <c r="AR3" s="208">
        <v>11</v>
      </c>
      <c r="AS3" s="208">
        <v>12</v>
      </c>
      <c r="AT3" s="208">
        <v>13</v>
      </c>
      <c r="AU3" s="208">
        <v>14</v>
      </c>
      <c r="AV3" s="210">
        <v>15</v>
      </c>
      <c r="AW3" s="175"/>
      <c r="AX3" s="212"/>
      <c r="AY3" s="500" t="s">
        <v>389</v>
      </c>
      <c r="AZ3" s="752">
        <v>3.5</v>
      </c>
      <c r="BA3" s="208">
        <f>AZ3+$AZ$3</f>
        <v>7</v>
      </c>
      <c r="BB3" s="208">
        <f t="shared" ref="BB3:BP3" si="0">BA3+$AZ$3</f>
        <v>10.5</v>
      </c>
      <c r="BC3" s="208">
        <f t="shared" si="0"/>
        <v>14</v>
      </c>
      <c r="BD3" s="208">
        <f t="shared" si="0"/>
        <v>17.5</v>
      </c>
      <c r="BE3" s="208">
        <f t="shared" si="0"/>
        <v>21</v>
      </c>
      <c r="BF3" s="208">
        <f t="shared" si="0"/>
        <v>24.5</v>
      </c>
      <c r="BG3" s="208">
        <f t="shared" si="0"/>
        <v>28</v>
      </c>
      <c r="BH3" s="208">
        <f t="shared" si="0"/>
        <v>31.5</v>
      </c>
      <c r="BI3" s="208">
        <f t="shared" si="0"/>
        <v>35</v>
      </c>
      <c r="BJ3" s="208">
        <f t="shared" si="0"/>
        <v>38.5</v>
      </c>
      <c r="BK3" s="208">
        <f t="shared" si="0"/>
        <v>42</v>
      </c>
      <c r="BL3" s="208">
        <f t="shared" si="0"/>
        <v>45.5</v>
      </c>
      <c r="BM3" s="208">
        <f t="shared" si="0"/>
        <v>49</v>
      </c>
      <c r="BN3" s="208">
        <f t="shared" si="0"/>
        <v>52.5</v>
      </c>
      <c r="BO3" s="208">
        <f t="shared" si="0"/>
        <v>56</v>
      </c>
      <c r="BP3" s="210">
        <f t="shared" si="0"/>
        <v>59.5</v>
      </c>
      <c r="BR3" s="1328" t="s">
        <v>694</v>
      </c>
      <c r="BS3" s="175"/>
      <c r="BT3" s="175"/>
      <c r="BU3" s="175"/>
      <c r="BV3" s="438"/>
      <c r="BX3" s="1328" t="s">
        <v>695</v>
      </c>
      <c r="BY3" s="175"/>
      <c r="BZ3" s="175"/>
      <c r="CA3" s="175"/>
      <c r="CB3" s="438"/>
      <c r="CD3" s="1035" t="s">
        <v>311</v>
      </c>
      <c r="CF3" s="1053" t="s">
        <v>149</v>
      </c>
      <c r="CG3" s="1054" t="str">
        <f t="array" ref="CG3:DD3">IF(elements_name="", "", elements_name)</f>
        <v>Rest</v>
      </c>
      <c r="CH3" s="1055" t="str">
        <v>Recovery</v>
      </c>
      <c r="CI3" s="1055" t="str">
        <v>Easy</v>
      </c>
      <c r="CJ3" s="1055" t="str">
        <v>Easy (Filler1)</v>
      </c>
      <c r="CK3" s="1055" t="str">
        <v>Steady</v>
      </c>
      <c r="CL3" s="1055" t="str">
        <v>Steady Cycle</v>
      </c>
      <c r="CM3" s="1055" t="str">
        <v>Long</v>
      </c>
      <c r="CN3" s="1055" t="str">
        <v>Long Cycle</v>
      </c>
      <c r="CO3" s="1055" t="str">
        <v>Subthreshold</v>
      </c>
      <c r="CP3" s="1055" t="str">
        <v>Tempo</v>
      </c>
      <c r="CQ3" s="1055" t="str">
        <v>Uphill Tempo</v>
      </c>
      <c r="CR3" s="1055" t="str">
        <v>Fartlek</v>
      </c>
      <c r="CS3" s="1055" t="str">
        <v>Intervals</v>
      </c>
      <c r="CT3" s="1055" t="str">
        <v>Reps</v>
      </c>
      <c r="CU3" s="1056" t="str">
        <v>Drills</v>
      </c>
      <c r="CV3" s="1056" t="str">
        <v>Strength &amp; Conditioning</v>
      </c>
      <c r="CW3" s="1056" t="str">
        <v>Maintenance</v>
      </c>
      <c r="CX3" s="1056" t="str">
        <v>Race</v>
      </c>
      <c r="CY3" s="1056" t="str">
        <v>Race Simulation</v>
      </c>
      <c r="CZ3" s="1056" t="str">
        <v>Easy (Filler2)</v>
      </c>
      <c r="DA3" s="1056" t="str">
        <v>Strides</v>
      </c>
      <c r="DB3" s="1056" t="str">
        <v/>
      </c>
      <c r="DC3" s="1056" t="str">
        <v/>
      </c>
      <c r="DD3" s="1052" t="str">
        <v>Other</v>
      </c>
      <c r="DF3" s="1039" t="s">
        <v>595</v>
      </c>
      <c r="DG3" s="1057">
        <f>athlete_HR_rest</f>
        <v>50</v>
      </c>
      <c r="DH3" s="1057">
        <f t="shared" ref="DH3:DV3" si="1">IF(DG3+5&gt;athlete_HR_max_run,"",DG3+10)</f>
        <v>60</v>
      </c>
      <c r="DI3" s="1057">
        <f t="shared" si="1"/>
        <v>70</v>
      </c>
      <c r="DJ3" s="1057">
        <f t="shared" si="1"/>
        <v>80</v>
      </c>
      <c r="DK3" s="1057">
        <f t="shared" si="1"/>
        <v>90</v>
      </c>
      <c r="DL3" s="1057">
        <f t="shared" si="1"/>
        <v>100</v>
      </c>
      <c r="DM3" s="1057">
        <f t="shared" si="1"/>
        <v>110</v>
      </c>
      <c r="DN3" s="1057">
        <f t="shared" si="1"/>
        <v>120</v>
      </c>
      <c r="DO3" s="1057">
        <f t="shared" si="1"/>
        <v>130</v>
      </c>
      <c r="DP3" s="1057">
        <f t="shared" si="1"/>
        <v>140</v>
      </c>
      <c r="DQ3" s="1057">
        <f t="shared" si="1"/>
        <v>150</v>
      </c>
      <c r="DR3" s="1057">
        <f t="shared" si="1"/>
        <v>160</v>
      </c>
      <c r="DS3" s="1057">
        <f t="shared" si="1"/>
        <v>170</v>
      </c>
      <c r="DT3" s="1057">
        <f t="shared" si="1"/>
        <v>180</v>
      </c>
      <c r="DU3" s="1057">
        <f t="shared" si="1"/>
        <v>190</v>
      </c>
      <c r="DV3" s="1057" t="str">
        <f t="shared" si="1"/>
        <v/>
      </c>
      <c r="DW3" s="1057" t="str">
        <f t="shared" ref="DW3:ED3" si="2">IFERROR(IF((DV3+5&gt;athlete_HR_max_run),"",DV3+10), "")</f>
        <v/>
      </c>
      <c r="DX3" s="1057" t="str">
        <f t="shared" si="2"/>
        <v/>
      </c>
      <c r="DY3" s="1057" t="str">
        <f t="shared" si="2"/>
        <v/>
      </c>
      <c r="DZ3" s="1057" t="str">
        <f t="shared" si="2"/>
        <v/>
      </c>
      <c r="EA3" s="1057" t="str">
        <f t="shared" si="2"/>
        <v/>
      </c>
      <c r="EB3" s="1057" t="str">
        <f t="shared" si="2"/>
        <v/>
      </c>
      <c r="EC3" s="1057" t="str">
        <f t="shared" si="2"/>
        <v/>
      </c>
      <c r="ED3" s="1071" t="str">
        <f t="shared" si="2"/>
        <v/>
      </c>
    </row>
    <row r="4" spans="1:134" hidden="1" x14ac:dyDescent="0.45">
      <c r="A4" s="175"/>
      <c r="B4" s="1586" t="str">
        <f>specialisation_option_1</f>
        <v>Road Running (&lt; 3 hours)</v>
      </c>
      <c r="C4" s="1587"/>
      <c r="E4" s="183"/>
      <c r="F4" s="182" t="s">
        <v>8</v>
      </c>
      <c r="G4" s="205" t="s">
        <v>9</v>
      </c>
      <c r="H4" s="205" t="s">
        <v>10</v>
      </c>
      <c r="I4" s="182" t="s">
        <v>8</v>
      </c>
      <c r="J4" s="205" t="s">
        <v>9</v>
      </c>
      <c r="K4" s="205" t="s">
        <v>10</v>
      </c>
      <c r="L4" s="182" t="s">
        <v>8</v>
      </c>
      <c r="M4" s="205" t="s">
        <v>9</v>
      </c>
      <c r="N4" s="205" t="s">
        <v>10</v>
      </c>
      <c r="O4" s="182" t="s">
        <v>8</v>
      </c>
      <c r="P4" s="205" t="s">
        <v>9</v>
      </c>
      <c r="Q4" s="205" t="s">
        <v>10</v>
      </c>
      <c r="R4" s="182" t="s">
        <v>8</v>
      </c>
      <c r="S4" s="205" t="s">
        <v>9</v>
      </c>
      <c r="T4" s="205" t="s">
        <v>10</v>
      </c>
      <c r="U4" s="182" t="s">
        <v>8</v>
      </c>
      <c r="V4" s="205" t="s">
        <v>9</v>
      </c>
      <c r="W4" s="205" t="s">
        <v>10</v>
      </c>
      <c r="X4" s="182" t="s">
        <v>8</v>
      </c>
      <c r="Y4" s="205" t="s">
        <v>9</v>
      </c>
      <c r="Z4" s="205" t="s">
        <v>10</v>
      </c>
      <c r="AA4" s="182" t="s">
        <v>8</v>
      </c>
      <c r="AB4" s="205" t="s">
        <v>9</v>
      </c>
      <c r="AC4" s="205" t="s">
        <v>10</v>
      </c>
      <c r="AD4" s="207" t="s">
        <v>8</v>
      </c>
      <c r="AE4" s="205" t="s">
        <v>9</v>
      </c>
      <c r="AF4" s="206" t="s">
        <v>10</v>
      </c>
      <c r="AH4" s="213"/>
      <c r="AI4" s="1593"/>
      <c r="AJ4" s="215">
        <f t="shared" ref="AJ4:AV4" si="3">AJ3*60</f>
        <v>180</v>
      </c>
      <c r="AK4" s="209">
        <f t="shared" si="3"/>
        <v>240</v>
      </c>
      <c r="AL4" s="209">
        <f t="shared" si="3"/>
        <v>300</v>
      </c>
      <c r="AM4" s="209">
        <f t="shared" si="3"/>
        <v>360</v>
      </c>
      <c r="AN4" s="209">
        <f t="shared" si="3"/>
        <v>420</v>
      </c>
      <c r="AO4" s="209">
        <f t="shared" si="3"/>
        <v>480</v>
      </c>
      <c r="AP4" s="209">
        <f t="shared" si="3"/>
        <v>540</v>
      </c>
      <c r="AQ4" s="209">
        <f t="shared" si="3"/>
        <v>600</v>
      </c>
      <c r="AR4" s="209">
        <f t="shared" si="3"/>
        <v>660</v>
      </c>
      <c r="AS4" s="209">
        <f t="shared" si="3"/>
        <v>720</v>
      </c>
      <c r="AT4" s="209">
        <f t="shared" si="3"/>
        <v>780</v>
      </c>
      <c r="AU4" s="209">
        <f t="shared" si="3"/>
        <v>840</v>
      </c>
      <c r="AV4" s="211">
        <f t="shared" si="3"/>
        <v>900</v>
      </c>
      <c r="AW4" s="175"/>
      <c r="AX4" s="502"/>
      <c r="AY4" s="511" t="s">
        <v>391</v>
      </c>
      <c r="AZ4" s="753">
        <v>60</v>
      </c>
      <c r="BA4" s="506">
        <f>AZ4*(1+AZ6)^$AZ$3</f>
        <v>86.75658875633421</v>
      </c>
      <c r="BB4" s="506">
        <f t="array" ref="BB4">BA4*(1+BA6)^$AZ$3</f>
        <v>123.90346215813524</v>
      </c>
      <c r="BC4" s="506">
        <f t="array" ref="BC4">BB4*(1+BB6)^$AZ$3</f>
        <v>173.95626867904812</v>
      </c>
      <c r="BD4" s="506">
        <f t="array" ref="BD4">BC4*(1+BC6)^$AZ$3</f>
        <v>238.69865116112547</v>
      </c>
      <c r="BE4" s="506">
        <f t="array" ref="BE4">BD4*(1+BD6)^$AZ$3</f>
        <v>318.04582021861313</v>
      </c>
      <c r="BF4" s="506">
        <f t="array" ref="BF4">BE4*(1+BE6)^$AZ$3</f>
        <v>408.90597222670687</v>
      </c>
      <c r="BG4" s="506">
        <f t="array" ref="BG4">BF4*(1+BF6)^$AZ$3</f>
        <v>504.88621328816606</v>
      </c>
      <c r="BH4" s="506">
        <f t="array" ref="BH4">BG4*(1+BG6)^$AZ$3</f>
        <v>597.6238797931411</v>
      </c>
      <c r="BI4" s="506">
        <f t="array" ref="BI4">BH4*(1+BH6)^$AZ$3</f>
        <v>679.44427156447432</v>
      </c>
      <c r="BJ4" s="506">
        <f t="array" ref="BJ4">BI4*(1+BI6)^$AZ$3</f>
        <v>745.7582222829509</v>
      </c>
      <c r="BK4" s="506">
        <f t="array" ref="BK4">BJ4*(1+BJ6)^$AZ$3</f>
        <v>795.73500566106418</v>
      </c>
      <c r="BL4" s="506">
        <f t="array" ref="BL4">BK4*(1+BK6)^$AZ$3</f>
        <v>831.29260554678058</v>
      </c>
      <c r="BM4" s="506">
        <f t="array" ref="BM4">BL4*(1+BL6)^$AZ$3</f>
        <v>855.53555234518444</v>
      </c>
      <c r="BN4" s="506">
        <f t="array" ref="BN4">BM4*(1+BM6)^$AZ$3</f>
        <v>871.57656177465992</v>
      </c>
      <c r="BO4" s="506">
        <f t="array" ref="BO4">BN4*(1+BN6)^$AZ$3</f>
        <v>881.97780672808642</v>
      </c>
      <c r="BP4" s="507">
        <f t="array" ref="BP4">BO4*(1+BO6)^$AZ$3</f>
        <v>888.6328939397398</v>
      </c>
      <c r="BR4" s="437" t="s">
        <v>370</v>
      </c>
      <c r="BS4" s="1337"/>
      <c r="BT4" s="1337"/>
      <c r="BU4" s="1337"/>
      <c r="BV4" s="1336">
        <v>14</v>
      </c>
      <c r="BX4" s="437" t="s">
        <v>375</v>
      </c>
      <c r="BY4" s="1337"/>
      <c r="BZ4" s="1337"/>
      <c r="CA4" s="1337"/>
      <c r="CB4" s="1336">
        <v>6</v>
      </c>
      <c r="CD4" s="1036" t="s">
        <v>356</v>
      </c>
      <c r="CF4" s="1039" t="s">
        <v>595</v>
      </c>
      <c r="CG4" s="1057">
        <f t="array" ref="CG4:DD4">IF(elements_name="", 0, IFERROR(IF(INDEX(elements_HR_absolute,2,)="", athlete_HR_rest, INDEX(elements_HR_absolute,2,)), athlete_HR_rest))</f>
        <v>50</v>
      </c>
      <c r="CH4" s="1057">
        <v>129</v>
      </c>
      <c r="CI4" s="1057">
        <v>138</v>
      </c>
      <c r="CJ4" s="1057">
        <v>138</v>
      </c>
      <c r="CK4" s="1057">
        <v>148</v>
      </c>
      <c r="CL4" s="1057">
        <v>148</v>
      </c>
      <c r="CM4" s="1057">
        <v>148</v>
      </c>
      <c r="CN4" s="1057">
        <v>148</v>
      </c>
      <c r="CO4" s="1057">
        <v>163</v>
      </c>
      <c r="CP4" s="1057">
        <v>177</v>
      </c>
      <c r="CQ4" s="1057">
        <v>177</v>
      </c>
      <c r="CR4" s="1057">
        <v>163</v>
      </c>
      <c r="CS4" s="1057">
        <v>188</v>
      </c>
      <c r="CT4" s="1057">
        <v>221</v>
      </c>
      <c r="CU4" s="1058">
        <v>148</v>
      </c>
      <c r="CV4" s="1058">
        <v>50</v>
      </c>
      <c r="CW4" s="1058">
        <v>50</v>
      </c>
      <c r="CX4" s="1058">
        <v>50</v>
      </c>
      <c r="CY4" s="1058">
        <v>50</v>
      </c>
      <c r="CZ4" s="1058">
        <v>138</v>
      </c>
      <c r="DA4" s="1058">
        <v>148</v>
      </c>
      <c r="DB4" s="1058">
        <v>0</v>
      </c>
      <c r="DC4" s="1058">
        <v>0</v>
      </c>
      <c r="DD4" s="1059">
        <v>138</v>
      </c>
      <c r="DF4" s="1045" t="s">
        <v>356</v>
      </c>
      <c r="DG4" s="1040">
        <f t="array" ref="DG4:ED4">IF(elements_name="","", elements_VDOTpoints / INDEX(elements_VDOTpoints,, MATCH("Steady", elements_name, 0)))</f>
        <v>0</v>
      </c>
      <c r="DH4" s="1040">
        <v>0.45638717379581084</v>
      </c>
      <c r="DI4" s="1040">
        <v>0.68895062549395214</v>
      </c>
      <c r="DJ4" s="1040">
        <v>0.68895062549395214</v>
      </c>
      <c r="DK4" s="1040">
        <v>1</v>
      </c>
      <c r="DL4" s="1040">
        <v>1</v>
      </c>
      <c r="DM4" s="1040">
        <v>0.68895062549395214</v>
      </c>
      <c r="DN4" s="1040">
        <v>0.68895062549395214</v>
      </c>
      <c r="DO4" s="1040">
        <v>1.9663275139541248</v>
      </c>
      <c r="DP4" s="1040">
        <v>3.246367680984958</v>
      </c>
      <c r="DQ4" s="1040">
        <v>3.246367680984958</v>
      </c>
      <c r="DR4" s="1040">
        <v>1</v>
      </c>
      <c r="DS4" s="1040">
        <v>4.6607157647772057</v>
      </c>
      <c r="DT4" s="1040">
        <v>5.9014590466150016</v>
      </c>
      <c r="DU4" s="1040">
        <v>0.68895062549395214</v>
      </c>
      <c r="DV4" s="1040">
        <v>0</v>
      </c>
      <c r="DW4" s="1040">
        <v>0</v>
      </c>
      <c r="DX4" s="1040">
        <v>0</v>
      </c>
      <c r="DY4" s="1040">
        <v>0</v>
      </c>
      <c r="DZ4" s="1040">
        <v>0.68895062549395214</v>
      </c>
      <c r="EA4" s="1040">
        <v>1</v>
      </c>
      <c r="EB4" s="1040" t="str">
        <v/>
      </c>
      <c r="EC4" s="1040" t="str">
        <v/>
      </c>
      <c r="ED4" s="445">
        <v>0.68895062549395214</v>
      </c>
    </row>
    <row r="5" spans="1:134" hidden="1" x14ac:dyDescent="0.45">
      <c r="A5" s="175"/>
      <c r="B5" s="1566" t="str">
        <f>specialisation_option_2</f>
        <v>Road Ultra (3+ hours)</v>
      </c>
      <c r="C5" s="1567"/>
      <c r="E5" s="232" t="s">
        <v>11</v>
      </c>
      <c r="F5" s="738">
        <v>0</v>
      </c>
      <c r="G5" s="554">
        <v>0</v>
      </c>
      <c r="H5" s="554">
        <v>20</v>
      </c>
      <c r="I5" s="738">
        <v>0</v>
      </c>
      <c r="J5" s="554">
        <v>0</v>
      </c>
      <c r="K5" s="554">
        <v>20</v>
      </c>
      <c r="L5" s="738">
        <v>0</v>
      </c>
      <c r="M5" s="554">
        <v>0</v>
      </c>
      <c r="N5" s="554">
        <v>20</v>
      </c>
      <c r="O5" s="738">
        <v>0</v>
      </c>
      <c r="P5" s="554">
        <v>0</v>
      </c>
      <c r="Q5" s="554">
        <v>20</v>
      </c>
      <c r="R5" s="738">
        <v>0</v>
      </c>
      <c r="S5" s="554">
        <v>0</v>
      </c>
      <c r="T5" s="554">
        <v>20</v>
      </c>
      <c r="U5" s="738">
        <v>0</v>
      </c>
      <c r="V5" s="554">
        <v>0</v>
      </c>
      <c r="W5" s="554">
        <v>20</v>
      </c>
      <c r="X5" s="738">
        <v>0</v>
      </c>
      <c r="Y5" s="554">
        <v>0</v>
      </c>
      <c r="Z5" s="554">
        <v>20</v>
      </c>
      <c r="AA5" s="738">
        <v>0</v>
      </c>
      <c r="AB5" s="554">
        <v>0</v>
      </c>
      <c r="AC5" s="554">
        <v>20</v>
      </c>
      <c r="AD5" s="742">
        <f t="array" ref="AD5:AF22">IF(athlete_sport=specialisation_option_1,specialisation_option_1_array,
IF(athlete_sport=specialisation_option_2,specialisation_option_2_array,
IF(athlete_sport=specialisation_option_3,specialisation_option_3_array,
IF(athlete_sport=specialisation_option_4,specialisation_option_4_array,
IF(athlete_sport=specialisation_option_5,specialisation_option_5_array,
IF(athlete_sport=specialisation_option_6,specialisation_option_6_array,
IF(athlete_sport=specialisation_option_7,specialisation_option_7_array,
specialisation_option_8_array)))))))</f>
        <v>0</v>
      </c>
      <c r="AE5" s="554">
        <v>0</v>
      </c>
      <c r="AF5" s="555">
        <v>20</v>
      </c>
      <c r="AH5" s="221" t="s">
        <v>11</v>
      </c>
      <c r="AI5" s="251">
        <f>load_recovery/load_steady</f>
        <v>0.62349094635179114</v>
      </c>
      <c r="AJ5" s="240">
        <f t="shared" ref="AJ5:AJ19" si="4">IF($AF5=0,MIN($AE5,$AD5*AJ$4),$AF5)</f>
        <v>20</v>
      </c>
      <c r="AK5" s="245">
        <f t="shared" ref="AK5:AV5" si="5">IF($AF5=0,MIN($AE5,$AD5*AK$4),$AF5)</f>
        <v>20</v>
      </c>
      <c r="AL5" s="245">
        <f t="shared" si="5"/>
        <v>20</v>
      </c>
      <c r="AM5" s="245">
        <f t="shared" si="5"/>
        <v>20</v>
      </c>
      <c r="AN5" s="245">
        <f t="shared" si="5"/>
        <v>20</v>
      </c>
      <c r="AO5" s="245">
        <f t="shared" si="5"/>
        <v>20</v>
      </c>
      <c r="AP5" s="245">
        <f t="shared" si="5"/>
        <v>20</v>
      </c>
      <c r="AQ5" s="245">
        <f t="shared" si="5"/>
        <v>20</v>
      </c>
      <c r="AR5" s="245">
        <f t="shared" si="5"/>
        <v>20</v>
      </c>
      <c r="AS5" s="245">
        <f t="shared" si="5"/>
        <v>20</v>
      </c>
      <c r="AT5" s="245">
        <f t="shared" si="5"/>
        <v>20</v>
      </c>
      <c r="AU5" s="245">
        <f t="shared" si="5"/>
        <v>20</v>
      </c>
      <c r="AV5" s="236">
        <f t="shared" si="5"/>
        <v>20</v>
      </c>
      <c r="AW5" s="175"/>
      <c r="AX5" s="502"/>
      <c r="AY5" s="511" t="s">
        <v>390</v>
      </c>
      <c r="AZ5" s="508">
        <f>AZ4/60/24</f>
        <v>4.1666666666666664E-2</v>
      </c>
      <c r="BA5" s="509">
        <f t="shared" ref="BA5:BG5" si="6">BA4/60/24</f>
        <v>6.024763108078765E-2</v>
      </c>
      <c r="BB5" s="509">
        <f t="shared" si="6"/>
        <v>8.6044070943149475E-2</v>
      </c>
      <c r="BC5" s="509">
        <f t="shared" si="6"/>
        <v>0.12080296436045009</v>
      </c>
      <c r="BD5" s="509">
        <f t="shared" si="6"/>
        <v>0.16576295219522602</v>
      </c>
      <c r="BE5" s="509">
        <f t="shared" si="6"/>
        <v>0.22086515292959244</v>
      </c>
      <c r="BF5" s="509">
        <f t="shared" si="6"/>
        <v>0.28396248071299085</v>
      </c>
      <c r="BG5" s="509">
        <f t="shared" si="6"/>
        <v>0.35061542589455974</v>
      </c>
      <c r="BH5" s="509">
        <f>BH4/60/24</f>
        <v>0.41501658318968132</v>
      </c>
      <c r="BI5" s="509">
        <f>BI4/60/24</f>
        <v>0.47183629969755159</v>
      </c>
      <c r="BJ5" s="509">
        <f t="shared" ref="BJ5:BP5" si="7">BJ4/60/24</f>
        <v>0.51788765436316031</v>
      </c>
      <c r="BK5" s="509">
        <f t="shared" si="7"/>
        <v>0.55259375393129451</v>
      </c>
      <c r="BL5" s="509">
        <f t="shared" si="7"/>
        <v>0.57728653162970878</v>
      </c>
      <c r="BM5" s="509">
        <f t="shared" si="7"/>
        <v>0.5941219113508226</v>
      </c>
      <c r="BN5" s="509">
        <f t="shared" si="7"/>
        <v>0.60526150123240274</v>
      </c>
      <c r="BO5" s="509">
        <f t="shared" si="7"/>
        <v>0.61248458800561556</v>
      </c>
      <c r="BP5" s="510">
        <f t="shared" si="7"/>
        <v>0.61710617634704146</v>
      </c>
      <c r="BR5" s="1328" t="s">
        <v>698</v>
      </c>
      <c r="BS5" s="175"/>
      <c r="BT5" s="175"/>
      <c r="BU5" s="175"/>
      <c r="BV5" s="1327">
        <v>4</v>
      </c>
      <c r="BX5" s="1328" t="s">
        <v>698</v>
      </c>
      <c r="BY5" s="1339"/>
      <c r="BZ5" s="1339"/>
      <c r="CA5" s="1339"/>
      <c r="CB5" s="1327">
        <v>3</v>
      </c>
      <c r="CD5" s="1037" t="s">
        <v>311</v>
      </c>
      <c r="CF5" s="1045" t="s">
        <v>356</v>
      </c>
      <c r="CG5" s="1040">
        <f t="array" ref="CG5:DD5">IF(elements_name="","", INDEX(elements_VDOTpoints,2,) / INDEX(elements_VDOTpoints,2, MATCH("Steady", elements_name, 0)))</f>
        <v>0</v>
      </c>
      <c r="CH5" s="1040">
        <v>0.48697166037770295</v>
      </c>
      <c r="CI5" s="1040">
        <v>0.70683100117452147</v>
      </c>
      <c r="CJ5" s="1040">
        <v>0.70683100117452147</v>
      </c>
      <c r="CK5" s="1040">
        <v>1</v>
      </c>
      <c r="CL5" s="1040">
        <v>1</v>
      </c>
      <c r="CM5" s="1040">
        <v>1</v>
      </c>
      <c r="CN5" s="1040">
        <v>1</v>
      </c>
      <c r="CO5" s="1040">
        <v>1.6825651869019405</v>
      </c>
      <c r="CP5" s="1040">
        <v>2.5915627369218592</v>
      </c>
      <c r="CQ5" s="1040">
        <v>2.5915627369218592</v>
      </c>
      <c r="CR5" s="1040">
        <v>1.6825651869019405</v>
      </c>
      <c r="CS5" s="1040">
        <v>3.7086443475545408</v>
      </c>
      <c r="CT5" s="1040">
        <v>9.8538568701369442</v>
      </c>
      <c r="CU5" s="1040">
        <v>1</v>
      </c>
      <c r="CV5" s="1040">
        <v>0</v>
      </c>
      <c r="CW5" s="1040">
        <v>0</v>
      </c>
      <c r="CX5" s="1040">
        <v>0</v>
      </c>
      <c r="CY5" s="1040">
        <v>0</v>
      </c>
      <c r="CZ5" s="1040">
        <v>0.70683100117452147</v>
      </c>
      <c r="DA5" s="1040">
        <v>1</v>
      </c>
      <c r="DB5" s="1040" t="str">
        <v/>
      </c>
      <c r="DC5" s="1040" t="str">
        <v/>
      </c>
      <c r="DD5" s="445">
        <v>0.70683100117452147</v>
      </c>
      <c r="DF5" s="1046" t="s">
        <v>311</v>
      </c>
      <c r="DG5" s="1041">
        <f t="array" ref="DG5:ED5">IF(elements_name="","", elements_TRIMP / INDEX(elements_TRIMP,, MATCH("Steady", elements_name, 0)))</f>
        <v>0</v>
      </c>
      <c r="DH5" s="1041">
        <v>0.6064507737673781</v>
      </c>
      <c r="DI5" s="1041">
        <v>0.79486808981467583</v>
      </c>
      <c r="DJ5" s="1041">
        <v>0.79486808981467583</v>
      </c>
      <c r="DK5" s="1041">
        <v>1</v>
      </c>
      <c r="DL5" s="1041">
        <v>1</v>
      </c>
      <c r="DM5" s="1041">
        <v>0.79486808981467583</v>
      </c>
      <c r="DN5" s="1041">
        <v>0.79486808981467583</v>
      </c>
      <c r="DO5" s="1041">
        <v>1.572070324092798</v>
      </c>
      <c r="DP5" s="1041">
        <v>2.2436117988135482</v>
      </c>
      <c r="DQ5" s="1041">
        <v>2.2436117988135482</v>
      </c>
      <c r="DR5" s="1041">
        <v>1</v>
      </c>
      <c r="DS5" s="1041">
        <v>2.8362274784115131</v>
      </c>
      <c r="DT5" s="1041">
        <v>3.3488971684621012</v>
      </c>
      <c r="DU5" s="1041">
        <v>0.79486808981467583</v>
      </c>
      <c r="DV5" s="1041">
        <v>0</v>
      </c>
      <c r="DW5" s="1041">
        <v>0</v>
      </c>
      <c r="DX5" s="1041">
        <v>0</v>
      </c>
      <c r="DY5" s="1041">
        <v>0</v>
      </c>
      <c r="DZ5" s="1041">
        <v>0.79486808981467583</v>
      </c>
      <c r="EA5" s="1041">
        <v>1</v>
      </c>
      <c r="EB5" s="1041" t="str">
        <v/>
      </c>
      <c r="EC5" s="1041" t="str">
        <v/>
      </c>
      <c r="ED5" s="654">
        <v>0.79486808981467583</v>
      </c>
    </row>
    <row r="6" spans="1:134" hidden="1" x14ac:dyDescent="0.45">
      <c r="A6" s="175"/>
      <c r="B6" s="1569" t="str">
        <f>specialisation_option_3</f>
        <v>Trail Running (&lt; 3 hours)</v>
      </c>
      <c r="C6" s="1570"/>
      <c r="E6" s="224" t="s">
        <v>13</v>
      </c>
      <c r="F6" s="739">
        <v>0.1</v>
      </c>
      <c r="G6" s="556">
        <v>90</v>
      </c>
      <c r="H6" s="556">
        <v>0</v>
      </c>
      <c r="I6" s="739">
        <v>0.15</v>
      </c>
      <c r="J6" s="556">
        <v>90</v>
      </c>
      <c r="K6" s="556">
        <v>0</v>
      </c>
      <c r="L6" s="739">
        <v>0.15</v>
      </c>
      <c r="M6" s="556">
        <v>90</v>
      </c>
      <c r="N6" s="556">
        <v>0</v>
      </c>
      <c r="O6" s="739">
        <v>0.1</v>
      </c>
      <c r="P6" s="556">
        <v>90</v>
      </c>
      <c r="Q6" s="556">
        <v>0</v>
      </c>
      <c r="R6" s="739">
        <v>0.15</v>
      </c>
      <c r="S6" s="556">
        <v>90</v>
      </c>
      <c r="T6" s="556">
        <v>0</v>
      </c>
      <c r="U6" s="739">
        <v>0.15</v>
      </c>
      <c r="V6" s="556">
        <v>90</v>
      </c>
      <c r="W6" s="556">
        <v>0</v>
      </c>
      <c r="X6" s="739">
        <v>0.15</v>
      </c>
      <c r="Y6" s="556">
        <v>90</v>
      </c>
      <c r="Z6" s="556">
        <v>0</v>
      </c>
      <c r="AA6" s="739">
        <v>0.15</v>
      </c>
      <c r="AB6" s="556">
        <v>90</v>
      </c>
      <c r="AC6" s="556">
        <v>0</v>
      </c>
      <c r="AD6" s="743">
        <v>0.1</v>
      </c>
      <c r="AE6" s="556">
        <v>90</v>
      </c>
      <c r="AF6" s="348">
        <v>0</v>
      </c>
      <c r="AH6" s="224" t="s">
        <v>13</v>
      </c>
      <c r="AI6" s="252">
        <f>load_easy/load_steady</f>
        <v>0.78439549195786507</v>
      </c>
      <c r="AJ6" s="241">
        <f t="shared" si="4"/>
        <v>18</v>
      </c>
      <c r="AK6" s="246">
        <f t="shared" ref="AK6:AV11" si="8">IF($AF6=0,MIN($AE6,$AD6*AK$4),$AF6)</f>
        <v>24</v>
      </c>
      <c r="AL6" s="246">
        <f t="shared" si="8"/>
        <v>30</v>
      </c>
      <c r="AM6" s="246">
        <f t="shared" si="8"/>
        <v>36</v>
      </c>
      <c r="AN6" s="246">
        <f t="shared" si="8"/>
        <v>42</v>
      </c>
      <c r="AO6" s="246">
        <f t="shared" si="8"/>
        <v>48</v>
      </c>
      <c r="AP6" s="246">
        <f t="shared" si="8"/>
        <v>54</v>
      </c>
      <c r="AQ6" s="246">
        <f t="shared" si="8"/>
        <v>60</v>
      </c>
      <c r="AR6" s="246">
        <f t="shared" si="8"/>
        <v>66</v>
      </c>
      <c r="AS6" s="246">
        <f t="shared" si="8"/>
        <v>72</v>
      </c>
      <c r="AT6" s="246">
        <f t="shared" si="8"/>
        <v>78</v>
      </c>
      <c r="AU6" s="246">
        <f t="shared" si="8"/>
        <v>84</v>
      </c>
      <c r="AV6" s="239">
        <f t="shared" si="8"/>
        <v>90</v>
      </c>
      <c r="AW6" s="175"/>
      <c r="AX6" s="213"/>
      <c r="AY6" s="501" t="s">
        <v>392</v>
      </c>
      <c r="AZ6" s="503">
        <f t="shared" ref="AZ6:BP6" si="9">((athlete_duration_maximum*(1+athlete_progression_maximum))/(athlete_progression_maximum))/(AZ4+(athlete_duration_maximum/(athlete_progression_maximum))) - 1</f>
        <v>0.11111111111111138</v>
      </c>
      <c r="BA6" s="504">
        <f t="shared" si="9"/>
        <v>0.107192500738577</v>
      </c>
      <c r="BB6" s="504">
        <f t="shared" si="9"/>
        <v>0.10179779186529392</v>
      </c>
      <c r="BC6" s="504">
        <f t="shared" si="9"/>
        <v>9.46113980717187E-2</v>
      </c>
      <c r="BD6" s="504">
        <f t="shared" si="9"/>
        <v>8.5453818354802147E-2</v>
      </c>
      <c r="BE6" s="504">
        <f t="shared" si="9"/>
        <v>7.4437294582793356E-2</v>
      </c>
      <c r="BF6" s="504">
        <f t="shared" si="9"/>
        <v>6.2093800267425614E-2</v>
      </c>
      <c r="BG6" s="504">
        <f t="shared" si="9"/>
        <v>4.9359075967368993E-2</v>
      </c>
      <c r="BH6" s="504">
        <f t="shared" si="9"/>
        <v>3.7341339224387982E-2</v>
      </c>
      <c r="BI6" s="504">
        <f t="shared" si="9"/>
        <v>2.6964634896074813E-2</v>
      </c>
      <c r="BJ6" s="504">
        <f t="shared" si="9"/>
        <v>1.8705590627219104E-2</v>
      </c>
      <c r="BK6" s="504">
        <f t="shared" si="9"/>
        <v>1.2568505897040616E-2</v>
      </c>
      <c r="BL6" s="504">
        <f t="shared" si="9"/>
        <v>8.2469068974337922E-3</v>
      </c>
      <c r="BM6" s="504">
        <f t="shared" si="9"/>
        <v>5.3215556772225892E-3</v>
      </c>
      <c r="BN6" s="504">
        <f t="shared" si="9"/>
        <v>3.3952312345950642E-3</v>
      </c>
      <c r="BO6" s="504">
        <f t="shared" si="9"/>
        <v>2.1501122631761849E-3</v>
      </c>
      <c r="BP6" s="505">
        <f t="shared" si="9"/>
        <v>1.3550606164294265E-3</v>
      </c>
      <c r="BR6" s="183" t="s">
        <v>687</v>
      </c>
      <c r="BS6" s="1330"/>
      <c r="BT6" s="1330"/>
      <c r="BU6" s="1330"/>
      <c r="BV6" s="1329">
        <f>SUM(fatigue_coefficients)</f>
        <v>0.99999999999999967</v>
      </c>
      <c r="BX6" s="183" t="s">
        <v>687</v>
      </c>
      <c r="BY6" s="1330"/>
      <c r="BZ6" s="1330"/>
      <c r="CA6" s="1330"/>
      <c r="CB6" s="1329">
        <f>SUM(fitness_coefficients)</f>
        <v>0.99999999999999989</v>
      </c>
      <c r="CD6" s="1037" t="s">
        <v>592</v>
      </c>
      <c r="CF6" s="1046" t="s">
        <v>311</v>
      </c>
      <c r="CG6" s="1041">
        <f t="array" ref="CG6:DD6">IF(elements_name="","", INDEX(elements_TRIMP,2,) / INDEX(elements_TRIMP,2, MATCH("Steady", elements_name, 0)))</f>
        <v>0</v>
      </c>
      <c r="CH6" s="1041">
        <v>0.62349094635179114</v>
      </c>
      <c r="CI6" s="1041">
        <v>0.78439549195786507</v>
      </c>
      <c r="CJ6" s="1041">
        <v>0.78439549195786507</v>
      </c>
      <c r="CK6" s="1041">
        <v>1</v>
      </c>
      <c r="CL6" s="1041">
        <v>1</v>
      </c>
      <c r="CM6" s="1041">
        <v>1</v>
      </c>
      <c r="CN6" s="1041">
        <v>1</v>
      </c>
      <c r="CO6" s="1041">
        <v>1.4123249419429105</v>
      </c>
      <c r="CP6" s="1041">
        <v>1.9180945738923831</v>
      </c>
      <c r="CQ6" s="1041">
        <v>1.9180945738923831</v>
      </c>
      <c r="CR6" s="1041">
        <v>1.4123249419429105</v>
      </c>
      <c r="CS6" s="1041">
        <v>2.4184607326537448</v>
      </c>
      <c r="CT6" s="1041">
        <v>4.6820606898093473</v>
      </c>
      <c r="CU6" s="1041">
        <v>1</v>
      </c>
      <c r="CV6" s="1041">
        <v>0</v>
      </c>
      <c r="CW6" s="1041">
        <v>0</v>
      </c>
      <c r="CX6" s="1041">
        <v>0</v>
      </c>
      <c r="CY6" s="1041">
        <v>0</v>
      </c>
      <c r="CZ6" s="1041">
        <v>0.78439549195786507</v>
      </c>
      <c r="DA6" s="1041">
        <v>1</v>
      </c>
      <c r="DB6" s="1041" t="str">
        <v/>
      </c>
      <c r="DC6" s="1041" t="str">
        <v/>
      </c>
      <c r="DD6" s="654">
        <v>0.78439549195786507</v>
      </c>
      <c r="DF6" s="1047" t="s">
        <v>592</v>
      </c>
      <c r="DG6" s="1043">
        <f t="array" ref="DG6:ED6">IF(elements_name="","", elements_rTSS / INDEX(elements_rTSS,, MATCH("Steady", elements_name, 0)))</f>
        <v>0</v>
      </c>
      <c r="DH6" s="1043">
        <v>0.63103676766233319</v>
      </c>
      <c r="DI6" s="1043">
        <v>0.80648063600709019</v>
      </c>
      <c r="DJ6" s="1043">
        <v>0.80648063600709019</v>
      </c>
      <c r="DK6" s="1043">
        <v>1</v>
      </c>
      <c r="DL6" s="1043">
        <v>1</v>
      </c>
      <c r="DM6" s="1043">
        <v>0.80648063600709019</v>
      </c>
      <c r="DN6" s="1043">
        <v>0.80648063600709019</v>
      </c>
      <c r="DO6" s="1043">
        <v>1.4371054391721054</v>
      </c>
      <c r="DP6" s="1043">
        <v>1.8303695424324808</v>
      </c>
      <c r="DQ6" s="1043">
        <v>1.8303695424324808</v>
      </c>
      <c r="DR6" s="1043">
        <v>1</v>
      </c>
      <c r="DS6" s="1043">
        <v>2.148077724531654</v>
      </c>
      <c r="DT6" s="1043">
        <v>2.3697943185111519</v>
      </c>
      <c r="DU6" s="1043">
        <v>0.80648063600709019</v>
      </c>
      <c r="DV6" s="1043">
        <v>0</v>
      </c>
      <c r="DW6" s="1043">
        <v>0</v>
      </c>
      <c r="DX6" s="1043">
        <v>0</v>
      </c>
      <c r="DY6" s="1043">
        <v>0</v>
      </c>
      <c r="DZ6" s="1043">
        <v>0.80648063600709019</v>
      </c>
      <c r="EA6" s="1043">
        <v>1</v>
      </c>
      <c r="EB6" s="1043" t="str">
        <v/>
      </c>
      <c r="EC6" s="1043" t="str">
        <v/>
      </c>
      <c r="ED6" s="1050">
        <v>0.80648063600709019</v>
      </c>
    </row>
    <row r="7" spans="1:134" hidden="1" x14ac:dyDescent="0.45">
      <c r="A7" s="175"/>
      <c r="B7" s="1566" t="str">
        <f>specialisation_option_4</f>
        <v>Trail Ultra (3+ hours)</v>
      </c>
      <c r="C7" s="1567"/>
      <c r="E7" s="221" t="s">
        <v>15</v>
      </c>
      <c r="F7" s="740">
        <v>0.15</v>
      </c>
      <c r="G7" s="557">
        <v>90</v>
      </c>
      <c r="H7" s="557">
        <v>0</v>
      </c>
      <c r="I7" s="740">
        <v>0.15</v>
      </c>
      <c r="J7" s="557">
        <v>120</v>
      </c>
      <c r="K7" s="557">
        <v>0</v>
      </c>
      <c r="L7" s="740">
        <v>0.15</v>
      </c>
      <c r="M7" s="557">
        <v>90</v>
      </c>
      <c r="N7" s="557">
        <v>0</v>
      </c>
      <c r="O7" s="740">
        <v>0.15</v>
      </c>
      <c r="P7" s="557">
        <v>120</v>
      </c>
      <c r="Q7" s="557">
        <v>0</v>
      </c>
      <c r="R7" s="740">
        <v>0.15</v>
      </c>
      <c r="S7" s="557">
        <v>90</v>
      </c>
      <c r="T7" s="557">
        <v>0</v>
      </c>
      <c r="U7" s="740">
        <v>0.15</v>
      </c>
      <c r="V7" s="557">
        <v>60</v>
      </c>
      <c r="W7" s="557">
        <v>0</v>
      </c>
      <c r="X7" s="740">
        <v>0.15</v>
      </c>
      <c r="Y7" s="557">
        <v>90</v>
      </c>
      <c r="Z7" s="557" t="s">
        <v>12</v>
      </c>
      <c r="AA7" s="740">
        <v>0.15</v>
      </c>
      <c r="AB7" s="557">
        <v>90</v>
      </c>
      <c r="AC7" s="557">
        <v>0</v>
      </c>
      <c r="AD7" s="744">
        <v>0.15</v>
      </c>
      <c r="AE7" s="557">
        <v>120</v>
      </c>
      <c r="AF7" s="736">
        <v>0</v>
      </c>
      <c r="AH7" s="221" t="s">
        <v>15</v>
      </c>
      <c r="AI7" s="251">
        <f>load_steady/load_steady</f>
        <v>1</v>
      </c>
      <c r="AJ7" s="242">
        <f t="shared" si="4"/>
        <v>27</v>
      </c>
      <c r="AK7" s="247">
        <f t="shared" si="8"/>
        <v>36</v>
      </c>
      <c r="AL7" s="247">
        <f t="shared" si="8"/>
        <v>45</v>
      </c>
      <c r="AM7" s="247">
        <f t="shared" si="8"/>
        <v>54</v>
      </c>
      <c r="AN7" s="247">
        <f t="shared" si="8"/>
        <v>63</v>
      </c>
      <c r="AO7" s="247">
        <f t="shared" si="8"/>
        <v>72</v>
      </c>
      <c r="AP7" s="247">
        <f t="shared" si="8"/>
        <v>81</v>
      </c>
      <c r="AQ7" s="247">
        <f t="shared" si="8"/>
        <v>90</v>
      </c>
      <c r="AR7" s="247">
        <f t="shared" si="8"/>
        <v>99</v>
      </c>
      <c r="AS7" s="247">
        <f t="shared" si="8"/>
        <v>108</v>
      </c>
      <c r="AT7" s="247">
        <f t="shared" si="8"/>
        <v>117</v>
      </c>
      <c r="AU7" s="247">
        <f t="shared" si="8"/>
        <v>120</v>
      </c>
      <c r="AV7" s="236">
        <f t="shared" si="8"/>
        <v>120</v>
      </c>
      <c r="AW7" s="175"/>
      <c r="AX7" s="221" t="s">
        <v>11</v>
      </c>
      <c r="AY7" s="251">
        <f>load_recovery/load_steady</f>
        <v>0.62349094635179114</v>
      </c>
      <c r="AZ7" s="240">
        <f t="shared" ref="AZ7:BG21" si="10">IF($AF5=0,MIN($AE5,$AD5*AZ$4),$AF5)</f>
        <v>20</v>
      </c>
      <c r="BA7" s="245">
        <f t="shared" si="10"/>
        <v>20</v>
      </c>
      <c r="BB7" s="245">
        <f t="shared" si="10"/>
        <v>20</v>
      </c>
      <c r="BC7" s="245">
        <f t="shared" si="10"/>
        <v>20</v>
      </c>
      <c r="BD7" s="245">
        <f t="shared" si="10"/>
        <v>20</v>
      </c>
      <c r="BE7" s="245">
        <f t="shared" si="10"/>
        <v>20</v>
      </c>
      <c r="BF7" s="245">
        <f t="shared" si="10"/>
        <v>20</v>
      </c>
      <c r="BG7" s="245">
        <f t="shared" si="10"/>
        <v>20</v>
      </c>
      <c r="BH7" s="245">
        <f t="shared" ref="BH7:BK21" si="11">IF($AF5=0,MIN($AE5,$AD5*BH$4),$AF5)</f>
        <v>20</v>
      </c>
      <c r="BI7" s="245">
        <f t="shared" si="11"/>
        <v>20</v>
      </c>
      <c r="BJ7" s="245">
        <f t="shared" si="11"/>
        <v>20</v>
      </c>
      <c r="BK7" s="245">
        <f t="shared" si="11"/>
        <v>20</v>
      </c>
      <c r="BL7" s="245">
        <f t="shared" ref="BL7:BP21" si="12">IF($AF5=0,MIN($AE5,$AD5*BL$4),$AF5)</f>
        <v>20</v>
      </c>
      <c r="BM7" s="245">
        <f t="shared" si="12"/>
        <v>20</v>
      </c>
      <c r="BN7" s="245">
        <f t="shared" si="12"/>
        <v>20</v>
      </c>
      <c r="BO7" s="245">
        <f t="shared" si="12"/>
        <v>20</v>
      </c>
      <c r="BP7" s="236">
        <f t="shared" si="12"/>
        <v>20</v>
      </c>
      <c r="BR7" s="207" t="s">
        <v>371</v>
      </c>
      <c r="BS7" s="1338" t="s">
        <v>10</v>
      </c>
      <c r="BT7" s="1338" t="s">
        <v>696</v>
      </c>
      <c r="BU7" s="1338" t="s">
        <v>697</v>
      </c>
      <c r="BV7" s="439" t="s">
        <v>369</v>
      </c>
      <c r="BW7" s="435"/>
      <c r="BX7" s="207" t="s">
        <v>376</v>
      </c>
      <c r="BY7" s="1338" t="s">
        <v>10</v>
      </c>
      <c r="BZ7" s="1338" t="s">
        <v>696</v>
      </c>
      <c r="CA7" s="1338" t="s">
        <v>697</v>
      </c>
      <c r="CB7" s="439" t="s">
        <v>369</v>
      </c>
      <c r="CD7" s="1037" t="s">
        <v>593</v>
      </c>
      <c r="CF7" s="1047" t="s">
        <v>592</v>
      </c>
      <c r="CG7" s="1043">
        <f t="array" ref="CG7:DD7">IF(elements_name="","", INDEX(elements_rTSS,2,) / INDEX(elements_rTSS,2, MATCH("Steady", elements_name, 0)))</f>
        <v>0</v>
      </c>
      <c r="CH7" s="1043">
        <v>0.66620979996831686</v>
      </c>
      <c r="CI7" s="1043">
        <v>0.8260704228023894</v>
      </c>
      <c r="CJ7" s="1043">
        <v>0.8260704228023894</v>
      </c>
      <c r="CK7" s="1043">
        <v>1</v>
      </c>
      <c r="CL7" s="1043">
        <v>1</v>
      </c>
      <c r="CM7" s="1043">
        <v>1</v>
      </c>
      <c r="CN7" s="1043">
        <v>1</v>
      </c>
      <c r="CO7" s="1043">
        <v>1.305438964888106</v>
      </c>
      <c r="CP7" s="1043">
        <v>1.597792340429024</v>
      </c>
      <c r="CQ7" s="1043">
        <v>1.597792340429024</v>
      </c>
      <c r="CR7" s="1043">
        <v>1.305438964888106</v>
      </c>
      <c r="CS7" s="1043">
        <v>1.8652550457710717</v>
      </c>
      <c r="CT7" s="1043">
        <v>2.6954256610527132</v>
      </c>
      <c r="CU7" s="1043">
        <v>1</v>
      </c>
      <c r="CV7" s="1043">
        <v>0</v>
      </c>
      <c r="CW7" s="1043">
        <v>0</v>
      </c>
      <c r="CX7" s="1043">
        <v>0</v>
      </c>
      <c r="CY7" s="1043">
        <v>0</v>
      </c>
      <c r="CZ7" s="1043">
        <v>0.8260704228023894</v>
      </c>
      <c r="DA7" s="1043">
        <v>1</v>
      </c>
      <c r="DB7" s="1043" t="str">
        <v/>
      </c>
      <c r="DC7" s="1043" t="str">
        <v/>
      </c>
      <c r="DD7" s="1050">
        <v>0.8260704228023894</v>
      </c>
      <c r="DF7" s="1048" t="s">
        <v>593</v>
      </c>
      <c r="DG7" s="1041">
        <f t="array" ref="DG7:ED7">IF(elements_name="","", elements_cTSS_HR / INDEX(elements_cTSS_HR,, MATCH("Steady", elements_name, 0)))</f>
        <v>0</v>
      </c>
      <c r="DH7" s="1041">
        <v>0.74760538528178133</v>
      </c>
      <c r="DI7" s="1041">
        <v>0.86464176702365125</v>
      </c>
      <c r="DJ7" s="1041">
        <v>0.86464176702365125</v>
      </c>
      <c r="DK7" s="1041">
        <v>1</v>
      </c>
      <c r="DL7" s="1041">
        <v>1</v>
      </c>
      <c r="DM7" s="1041">
        <v>0.86464176702365125</v>
      </c>
      <c r="DN7" s="1041">
        <v>0.86464176702365125</v>
      </c>
      <c r="DO7" s="1041">
        <v>1.3376040618314806</v>
      </c>
      <c r="DP7" s="1041">
        <v>1.688066852582484</v>
      </c>
      <c r="DQ7" s="1041">
        <v>1.688066852582484</v>
      </c>
      <c r="DR7" s="1041">
        <v>1</v>
      </c>
      <c r="DS7" s="1041">
        <v>2.0099543291561912</v>
      </c>
      <c r="DT7" s="1041">
        <v>2.2579650786574144</v>
      </c>
      <c r="DU7" s="1041">
        <v>0.86464176702365125</v>
      </c>
      <c r="DV7" s="1041">
        <v>0</v>
      </c>
      <c r="DW7" s="1041">
        <v>0</v>
      </c>
      <c r="DX7" s="1041">
        <v>0</v>
      </c>
      <c r="DY7" s="1041">
        <v>0</v>
      </c>
      <c r="DZ7" s="1041">
        <v>0.86464176702365125</v>
      </c>
      <c r="EA7" s="1041">
        <v>1</v>
      </c>
      <c r="EB7" s="1041" t="str">
        <v/>
      </c>
      <c r="EC7" s="1041" t="str">
        <v/>
      </c>
      <c r="ED7" s="654">
        <v>0.86464176702365125</v>
      </c>
    </row>
    <row r="8" spans="1:134" ht="14.65" hidden="1" thickBot="1" x14ac:dyDescent="0.5">
      <c r="A8" s="175"/>
      <c r="B8" s="1569" t="str">
        <f>specialisation_option_5</f>
        <v>Orienteering</v>
      </c>
      <c r="C8" s="1570"/>
      <c r="E8" s="224" t="s">
        <v>16</v>
      </c>
      <c r="F8" s="739">
        <v>0.15</v>
      </c>
      <c r="G8" s="556">
        <v>90</v>
      </c>
      <c r="H8" s="556">
        <v>0</v>
      </c>
      <c r="I8" s="739">
        <v>0.15</v>
      </c>
      <c r="J8" s="556">
        <v>120</v>
      </c>
      <c r="K8" s="556">
        <v>0</v>
      </c>
      <c r="L8" s="739">
        <v>0.15</v>
      </c>
      <c r="M8" s="556">
        <v>90</v>
      </c>
      <c r="N8" s="556">
        <v>0</v>
      </c>
      <c r="O8" s="739">
        <v>0.15</v>
      </c>
      <c r="P8" s="556">
        <v>120</v>
      </c>
      <c r="Q8" s="556">
        <v>0</v>
      </c>
      <c r="R8" s="739">
        <v>0.15</v>
      </c>
      <c r="S8" s="556">
        <v>90</v>
      </c>
      <c r="T8" s="556">
        <v>0</v>
      </c>
      <c r="U8" s="739">
        <v>0.2</v>
      </c>
      <c r="V8" s="556">
        <v>120</v>
      </c>
      <c r="W8" s="556">
        <v>0</v>
      </c>
      <c r="X8" s="739">
        <v>0.2</v>
      </c>
      <c r="Y8" s="556">
        <v>120</v>
      </c>
      <c r="Z8" s="556" t="s">
        <v>12</v>
      </c>
      <c r="AA8" s="739">
        <v>0.2</v>
      </c>
      <c r="AB8" s="556">
        <v>120</v>
      </c>
      <c r="AC8" s="556">
        <v>0</v>
      </c>
      <c r="AD8" s="745">
        <v>0.15</v>
      </c>
      <c r="AE8" s="558">
        <v>120</v>
      </c>
      <c r="AF8" s="100">
        <v>0</v>
      </c>
      <c r="AH8" s="224" t="s">
        <v>16</v>
      </c>
      <c r="AI8" s="252">
        <f>load_steady/load_steady</f>
        <v>1</v>
      </c>
      <c r="AJ8" s="243">
        <f t="shared" si="4"/>
        <v>27</v>
      </c>
      <c r="AK8" s="248">
        <f t="shared" si="8"/>
        <v>36</v>
      </c>
      <c r="AL8" s="248">
        <f t="shared" si="8"/>
        <v>45</v>
      </c>
      <c r="AM8" s="248">
        <f t="shared" si="8"/>
        <v>54</v>
      </c>
      <c r="AN8" s="248">
        <f t="shared" si="8"/>
        <v>63</v>
      </c>
      <c r="AO8" s="248">
        <f t="shared" si="8"/>
        <v>72</v>
      </c>
      <c r="AP8" s="248">
        <f t="shared" si="8"/>
        <v>81</v>
      </c>
      <c r="AQ8" s="248">
        <f t="shared" si="8"/>
        <v>90</v>
      </c>
      <c r="AR8" s="248">
        <f t="shared" si="8"/>
        <v>99</v>
      </c>
      <c r="AS8" s="248">
        <f t="shared" si="8"/>
        <v>108</v>
      </c>
      <c r="AT8" s="248">
        <f t="shared" si="8"/>
        <v>117</v>
      </c>
      <c r="AU8" s="248">
        <f t="shared" si="8"/>
        <v>120</v>
      </c>
      <c r="AV8" s="237">
        <f t="shared" si="8"/>
        <v>120</v>
      </c>
      <c r="AW8" s="175"/>
      <c r="AX8" s="224" t="s">
        <v>13</v>
      </c>
      <c r="AY8" s="252">
        <f>load_easy/load_steady</f>
        <v>0.78439549195786507</v>
      </c>
      <c r="AZ8" s="241">
        <f t="shared" si="10"/>
        <v>6</v>
      </c>
      <c r="BA8" s="246">
        <f t="shared" si="10"/>
        <v>8.6756588756334221</v>
      </c>
      <c r="BB8" s="246">
        <f t="shared" si="10"/>
        <v>12.390346215813524</v>
      </c>
      <c r="BC8" s="246">
        <f t="shared" si="10"/>
        <v>17.395626867904813</v>
      </c>
      <c r="BD8" s="246">
        <f t="shared" si="10"/>
        <v>23.86986511611255</v>
      </c>
      <c r="BE8" s="246">
        <f t="shared" si="10"/>
        <v>31.804582021861314</v>
      </c>
      <c r="BF8" s="246">
        <f t="shared" si="10"/>
        <v>40.890597222670692</v>
      </c>
      <c r="BG8" s="246">
        <f t="shared" si="10"/>
        <v>50.488621328816606</v>
      </c>
      <c r="BH8" s="246">
        <f t="shared" si="11"/>
        <v>59.762387979314113</v>
      </c>
      <c r="BI8" s="246">
        <f t="shared" si="11"/>
        <v>67.944427156447432</v>
      </c>
      <c r="BJ8" s="246">
        <f t="shared" si="11"/>
        <v>74.575822228295095</v>
      </c>
      <c r="BK8" s="246">
        <f t="shared" si="11"/>
        <v>79.573500566106418</v>
      </c>
      <c r="BL8" s="246">
        <f t="shared" si="12"/>
        <v>83.129260554678069</v>
      </c>
      <c r="BM8" s="246">
        <f t="shared" si="12"/>
        <v>85.553555234518456</v>
      </c>
      <c r="BN8" s="246">
        <f t="shared" si="12"/>
        <v>87.157656177465995</v>
      </c>
      <c r="BO8" s="246">
        <f t="shared" si="12"/>
        <v>88.197780672808648</v>
      </c>
      <c r="BP8" s="239">
        <f t="shared" si="12"/>
        <v>88.863289393973986</v>
      </c>
      <c r="BR8" s="1347" t="s">
        <v>699</v>
      </c>
      <c r="BS8" s="1056">
        <v>1</v>
      </c>
      <c r="BT8" s="1056">
        <v>0</v>
      </c>
      <c r="BU8" s="1056">
        <v>0</v>
      </c>
      <c r="BV8" s="1052"/>
      <c r="BW8" s="435"/>
      <c r="BX8" s="1347"/>
      <c r="BY8" s="1056">
        <v>1</v>
      </c>
      <c r="BZ8" s="1056">
        <v>0</v>
      </c>
      <c r="CA8" s="1056">
        <v>0</v>
      </c>
      <c r="CB8" s="1052"/>
      <c r="CD8" s="1044" t="s">
        <v>594</v>
      </c>
      <c r="CF8" s="1048" t="s">
        <v>593</v>
      </c>
      <c r="CG8" s="1041">
        <f t="array" ref="CG8:DD8">IF(elements_name="","", INDEX(elements_cTSS_HR,2,) / INDEX(elements_cTSS_HR,2, MATCH("Steady", elements_name, 0)))</f>
        <v>0</v>
      </c>
      <c r="CH8" s="1041">
        <v>0.74760538528178133</v>
      </c>
      <c r="CI8" s="1041">
        <v>0.86464176702365048</v>
      </c>
      <c r="CJ8" s="1041">
        <v>0.86464176702365048</v>
      </c>
      <c r="CK8" s="1041">
        <v>1</v>
      </c>
      <c r="CL8" s="1041">
        <v>1</v>
      </c>
      <c r="CM8" s="1041">
        <v>1</v>
      </c>
      <c r="CN8" s="1041">
        <v>1</v>
      </c>
      <c r="CO8" s="1041">
        <v>1.2620078697063317</v>
      </c>
      <c r="CP8" s="1041">
        <v>1.5470037567533934</v>
      </c>
      <c r="CQ8" s="1041">
        <v>1.5470037567533934</v>
      </c>
      <c r="CR8" s="1041">
        <v>1.2620078697063317</v>
      </c>
      <c r="CS8" s="1041">
        <v>1.8419927465256818</v>
      </c>
      <c r="CT8" s="1041">
        <v>3.0202632606857964</v>
      </c>
      <c r="CU8" s="1041">
        <v>1</v>
      </c>
      <c r="CV8" s="1041">
        <v>0</v>
      </c>
      <c r="CW8" s="1041">
        <v>0</v>
      </c>
      <c r="CX8" s="1041">
        <v>0</v>
      </c>
      <c r="CY8" s="1041">
        <v>0</v>
      </c>
      <c r="CZ8" s="1041">
        <v>0.86464176702365048</v>
      </c>
      <c r="DA8" s="1041">
        <v>1</v>
      </c>
      <c r="DB8" s="1041" t="str">
        <v/>
      </c>
      <c r="DC8" s="1041" t="str">
        <v/>
      </c>
      <c r="DD8" s="654">
        <v>0.86464176702365048</v>
      </c>
      <c r="DF8" s="1049" t="s">
        <v>594</v>
      </c>
      <c r="DG8" s="1042"/>
      <c r="DH8" s="1042"/>
      <c r="DI8" s="1042"/>
      <c r="DJ8" s="1042"/>
      <c r="DK8" s="1042"/>
      <c r="DL8" s="1042"/>
      <c r="DM8" s="1042"/>
      <c r="DN8" s="1042"/>
      <c r="DO8" s="1042"/>
      <c r="DP8" s="1042"/>
      <c r="DQ8" s="1042"/>
      <c r="DR8" s="1042"/>
      <c r="DS8" s="1042"/>
      <c r="DT8" s="1042"/>
      <c r="DU8" s="1042"/>
      <c r="DV8" s="1042"/>
      <c r="DW8" s="1042"/>
      <c r="DX8" s="1042"/>
      <c r="DY8" s="1042"/>
      <c r="DZ8" s="1042"/>
      <c r="EA8" s="1042"/>
      <c r="EB8" s="1042"/>
      <c r="EC8" s="1042"/>
      <c r="ED8" s="1051"/>
    </row>
    <row r="9" spans="1:134" ht="14.65" hidden="1" thickBot="1" x14ac:dyDescent="0.5">
      <c r="A9" s="175"/>
      <c r="B9" s="1569" t="str">
        <f>specialisation_option_6</f>
        <v>Triathlon (Olympic)</v>
      </c>
      <c r="C9" s="1570"/>
      <c r="E9" s="221" t="s">
        <v>17</v>
      </c>
      <c r="F9" s="740">
        <v>0.25</v>
      </c>
      <c r="G9" s="557">
        <v>180</v>
      </c>
      <c r="H9" s="557">
        <v>0</v>
      </c>
      <c r="I9" s="740">
        <v>0.25</v>
      </c>
      <c r="J9" s="557">
        <v>300</v>
      </c>
      <c r="K9" s="557">
        <v>0</v>
      </c>
      <c r="L9" s="740">
        <v>0.25</v>
      </c>
      <c r="M9" s="557">
        <v>180</v>
      </c>
      <c r="N9" s="557">
        <v>0</v>
      </c>
      <c r="O9" s="740">
        <v>0.25</v>
      </c>
      <c r="P9" s="557">
        <v>180</v>
      </c>
      <c r="Q9" s="557">
        <v>0</v>
      </c>
      <c r="R9" s="740">
        <v>0.25</v>
      </c>
      <c r="S9" s="557">
        <v>180</v>
      </c>
      <c r="T9" s="557">
        <v>0</v>
      </c>
      <c r="U9" s="740">
        <v>0.2</v>
      </c>
      <c r="V9" s="557">
        <v>120</v>
      </c>
      <c r="W9" s="557">
        <v>0</v>
      </c>
      <c r="X9" s="740">
        <v>0.2</v>
      </c>
      <c r="Y9" s="557">
        <v>150</v>
      </c>
      <c r="Z9" s="557" t="s">
        <v>12</v>
      </c>
      <c r="AA9" s="740">
        <v>0.2</v>
      </c>
      <c r="AB9" s="557">
        <v>180</v>
      </c>
      <c r="AC9" s="557">
        <v>0</v>
      </c>
      <c r="AD9" s="746">
        <v>0.25</v>
      </c>
      <c r="AE9" s="559">
        <v>180</v>
      </c>
      <c r="AF9" s="560">
        <v>0</v>
      </c>
      <c r="AH9" s="221" t="s">
        <v>17</v>
      </c>
      <c r="AI9" s="251">
        <f>load_long/load_steady</f>
        <v>1</v>
      </c>
      <c r="AJ9" s="242">
        <f t="shared" si="4"/>
        <v>45</v>
      </c>
      <c r="AK9" s="247">
        <f t="shared" si="8"/>
        <v>60</v>
      </c>
      <c r="AL9" s="247">
        <f t="shared" si="8"/>
        <v>75</v>
      </c>
      <c r="AM9" s="247">
        <f t="shared" si="8"/>
        <v>90</v>
      </c>
      <c r="AN9" s="247">
        <f t="shared" si="8"/>
        <v>105</v>
      </c>
      <c r="AO9" s="247">
        <f t="shared" si="8"/>
        <v>120</v>
      </c>
      <c r="AP9" s="247">
        <f t="shared" si="8"/>
        <v>135</v>
      </c>
      <c r="AQ9" s="247">
        <f t="shared" si="8"/>
        <v>150</v>
      </c>
      <c r="AR9" s="247">
        <f t="shared" si="8"/>
        <v>165</v>
      </c>
      <c r="AS9" s="247">
        <f t="shared" si="8"/>
        <v>180</v>
      </c>
      <c r="AT9" s="247">
        <f t="shared" si="8"/>
        <v>180</v>
      </c>
      <c r="AU9" s="247">
        <f t="shared" si="8"/>
        <v>180</v>
      </c>
      <c r="AV9" s="236">
        <f t="shared" si="8"/>
        <v>180</v>
      </c>
      <c r="AW9" s="175"/>
      <c r="AX9" s="221" t="s">
        <v>15</v>
      </c>
      <c r="AY9" s="251">
        <f>load_steady/load_steady</f>
        <v>1</v>
      </c>
      <c r="AZ9" s="242">
        <f t="shared" si="10"/>
        <v>9</v>
      </c>
      <c r="BA9" s="247">
        <f t="shared" si="10"/>
        <v>13.01348831345013</v>
      </c>
      <c r="BB9" s="247">
        <f t="shared" si="10"/>
        <v>18.585519323720284</v>
      </c>
      <c r="BC9" s="247">
        <f t="shared" si="10"/>
        <v>26.093440301857218</v>
      </c>
      <c r="BD9" s="247">
        <f t="shared" si="10"/>
        <v>35.804797674168817</v>
      </c>
      <c r="BE9" s="247">
        <f t="shared" si="10"/>
        <v>47.706873032791968</v>
      </c>
      <c r="BF9" s="247">
        <f t="shared" si="10"/>
        <v>61.335895834006024</v>
      </c>
      <c r="BG9" s="247">
        <f t="shared" si="10"/>
        <v>75.732931993224909</v>
      </c>
      <c r="BH9" s="247">
        <f t="shared" si="11"/>
        <v>89.643581968971162</v>
      </c>
      <c r="BI9" s="247">
        <f t="shared" si="11"/>
        <v>101.91664073467115</v>
      </c>
      <c r="BJ9" s="247">
        <f t="shared" si="11"/>
        <v>111.86373334244263</v>
      </c>
      <c r="BK9" s="247">
        <f t="shared" si="11"/>
        <v>119.36025084915963</v>
      </c>
      <c r="BL9" s="247">
        <f t="shared" si="12"/>
        <v>120</v>
      </c>
      <c r="BM9" s="247">
        <f t="shared" si="12"/>
        <v>120</v>
      </c>
      <c r="BN9" s="247">
        <f t="shared" si="12"/>
        <v>120</v>
      </c>
      <c r="BO9" s="247">
        <f t="shared" si="12"/>
        <v>120</v>
      </c>
      <c r="BP9" s="236">
        <f t="shared" si="12"/>
        <v>120</v>
      </c>
      <c r="BR9" s="442">
        <v>0</v>
      </c>
      <c r="BS9" s="1340">
        <f t="array" ref="BS9:BS22">IF(fatigue_days&lt;fatigue_days_max, 1/fatigue_days_max, 0)</f>
        <v>7.1428571428571425E-2</v>
      </c>
      <c r="BT9" s="1340">
        <f t="array" ref="BT9:BT22">IF(fatigue_days&lt;fatigue_days_max, (1/fatigue_days_max) * (fatigue_days_max-fatigue_days), 0)
/
SUM(IF(fatigue_days&lt;fatigue_days_max, (1/fatigue_days_max) * (fatigue_days_max-fatigue_days), 0))</f>
        <v>0.13333333333333333</v>
      </c>
      <c r="BU9" s="1340">
        <f t="array" ref="BU9:BU22">IF(fatigue_days&lt;fatigue_days_max, (EXP((-fatigue_days)/(fatigue_halflife/LN(2)))/MAX(EXP((-fatigue_days)/(fatigue_halflife/LN(2))))
-EXP((-fatigue_days_max)/(fatigue_halflife/LN(2)))/MAX(EXP((-fatigue_days)/(fatigue_halflife/LN(2)))))
/ (EXP((0)/(fatigue_halflife/LN(2)))/MAX(EXP((0)/(fatigue_halflife/LN(2))))),0)
/
SUM(IF(fatigue_days&lt;fatigue_days_max, (EXP((-fatigue_days)/(fatigue_halflife/LN(2)))/MAX(EXP((-fatigue_days)/(fatigue_halflife/LN(2))))
-EXP((-fatigue_days_max)/(fatigue_halflife/LN(2)))/MAX(EXP((-fatigue_days)/(fatigue_halflife/LN(2)))))
/ (EXP((0)/(fatigue_halflife/LN(2)))/MAX(EXP((0)/(fatigue_halflife/LN(2))))),0))</f>
        <v>0.20293044456329268</v>
      </c>
      <c r="BV9" s="447">
        <f t="array" ref="BV9:BV22">IF(fatigue_method="Constant", fatigue_coefficients_constant, IF(fatigue_method="Linear", fatigue_coefficients_linear, IF(fatigue_method="Exponential", fatigue_coefficients_exponential,
fatigue_coefficients_constant_factor*fatigue_coefficients_constant + fatigue_coefficients_linear_factor*fatigue_coefficients_linear + fatigue_coefficients_exponential_factor*fatigue_coefficients_exponential)))</f>
        <v>7.1428571428571425E-2</v>
      </c>
      <c r="BX9" s="442">
        <v>0</v>
      </c>
      <c r="BY9" s="1340">
        <f t="array" ref="BY9:BY22">IF(fitness_weeks&lt;fitness_weeks_max, 1/fitness_weeks_max, 0)</f>
        <v>0.16666666666666666</v>
      </c>
      <c r="BZ9" s="1340">
        <f t="array" ref="BZ9:BZ22">IF(fitness_weeks&lt;fitness_weeks_max, (1/fitness_weeks_max) * (fitness_weeks_max-fitness_weeks), 0)
/
SUM(IF(fitness_weeks&lt;fitness_weeks_max, (1/fitness_weeks_max) * (fitness_weeks_max-fitness_weeks), 0))</f>
        <v>0.2857142857142857</v>
      </c>
      <c r="CA9" s="1340">
        <f t="array" ref="CA9:CA22">IF(fitness_weeks&lt;fitness_weeks_max, (EXP((-fitness_weeks)/(fitness_halflife/LN(2)))/MAX(EXP((-fitness_weeks)/(fitness_halflife/LN(2))))
-EXP((-fitness_weeks_max)/(fitness_halflife/LN(2)))/MAX(EXP((-fitness_weeks)/(fitness_halflife/LN(2)))))
/ (EXP((0)/(fitness_halflife/LN(2)))/MAX(EXP((0)/(fitness_halflife/LN(2))))),0)
/
SUM(IF(fitness_weeks&lt;fitness_weeks_max, (EXP((-fitness_weeks)/(fitness_halflife/LN(2)))/MAX(EXP((-fitness_weeks)/(fitness_halflife/LN(2))))
-EXP((-fitness_weeks_max)/(fitness_halflife/LN(2)))/MAX(EXP((-fitness_weeks)/(fitness_halflife/LN(2)))))
/ (EXP((0)/(fitness_halflife/LN(2)))/MAX(EXP((0)/(fitness_halflife/LN(2))))),0))</f>
        <v>0.35120719195965761</v>
      </c>
      <c r="CB9" s="447">
        <f t="array" ref="CB9:CB22">IF(fitness_method="Constant", fitness_coefficients_constant, IF(fitness_method="Linear", fitness_coefficients_linear, IF(fitness_method="Exponential", fitness_coefficients_exponential,
fitness_coefficients_constant_factor*fitness_coefficients_constant + fitness_coefficients_linear_factor*fitness_coefficients_linear + fitness_coefficients_exponential_factor*fitness_coefficients_exponential)))</f>
        <v>0.16666666666666666</v>
      </c>
      <c r="CF9" s="1049" t="s">
        <v>594</v>
      </c>
      <c r="CG9" s="1042"/>
      <c r="CH9" s="1042"/>
      <c r="CI9" s="1042"/>
      <c r="CJ9" s="1042"/>
      <c r="CK9" s="1042"/>
      <c r="CL9" s="1042"/>
      <c r="CM9" s="1042"/>
      <c r="CN9" s="1042"/>
      <c r="CO9" s="1042"/>
      <c r="CP9" s="1042"/>
      <c r="CQ9" s="1042"/>
      <c r="CR9" s="1042"/>
      <c r="CS9" s="1042"/>
      <c r="CT9" s="1042"/>
      <c r="CU9" s="1042"/>
      <c r="CV9" s="1042"/>
      <c r="CW9" s="1042"/>
      <c r="CX9" s="1042"/>
      <c r="CY9" s="1042"/>
      <c r="CZ9" s="1042"/>
      <c r="DA9" s="1042"/>
      <c r="DB9" s="1042"/>
      <c r="DC9" s="1042"/>
      <c r="DD9" s="1051"/>
    </row>
    <row r="10" spans="1:134" hidden="1" x14ac:dyDescent="0.45">
      <c r="A10" s="175"/>
      <c r="B10" s="1580" t="str">
        <f>specialisation_option_7</f>
        <v>Triathlon (70.4)</v>
      </c>
      <c r="C10" s="1581"/>
      <c r="E10" s="224" t="s">
        <v>19</v>
      </c>
      <c r="F10" s="739">
        <v>0.25</v>
      </c>
      <c r="G10" s="556">
        <v>180</v>
      </c>
      <c r="H10" s="556">
        <v>0</v>
      </c>
      <c r="I10" s="739">
        <v>0.25</v>
      </c>
      <c r="J10" s="556">
        <v>240</v>
      </c>
      <c r="K10" s="556">
        <v>0</v>
      </c>
      <c r="L10" s="739">
        <v>0.25</v>
      </c>
      <c r="M10" s="556">
        <v>180</v>
      </c>
      <c r="N10" s="556">
        <v>0</v>
      </c>
      <c r="O10" s="739">
        <v>0.25</v>
      </c>
      <c r="P10" s="556">
        <v>180</v>
      </c>
      <c r="Q10" s="556">
        <v>0</v>
      </c>
      <c r="R10" s="739">
        <v>0.25</v>
      </c>
      <c r="S10" s="556">
        <v>180</v>
      </c>
      <c r="T10" s="556">
        <v>0</v>
      </c>
      <c r="U10" s="739">
        <v>0.25</v>
      </c>
      <c r="V10" s="556">
        <v>240</v>
      </c>
      <c r="W10" s="556">
        <v>0</v>
      </c>
      <c r="X10" s="739">
        <v>0.25</v>
      </c>
      <c r="Y10" s="556">
        <v>270</v>
      </c>
      <c r="Z10" s="556" t="s">
        <v>12</v>
      </c>
      <c r="AA10" s="739">
        <v>0.25</v>
      </c>
      <c r="AB10" s="556">
        <v>270</v>
      </c>
      <c r="AC10" s="556">
        <v>0</v>
      </c>
      <c r="AD10" s="745">
        <v>0.25</v>
      </c>
      <c r="AE10" s="558">
        <v>180</v>
      </c>
      <c r="AF10" s="100">
        <v>0</v>
      </c>
      <c r="AH10" s="224" t="s">
        <v>19</v>
      </c>
      <c r="AI10" s="252">
        <f>load_long/load_steady</f>
        <v>1</v>
      </c>
      <c r="AJ10" s="243">
        <f t="shared" si="4"/>
        <v>45</v>
      </c>
      <c r="AK10" s="248">
        <f t="shared" si="8"/>
        <v>60</v>
      </c>
      <c r="AL10" s="248">
        <f t="shared" si="8"/>
        <v>75</v>
      </c>
      <c r="AM10" s="248">
        <f t="shared" si="8"/>
        <v>90</v>
      </c>
      <c r="AN10" s="248">
        <f t="shared" si="8"/>
        <v>105</v>
      </c>
      <c r="AO10" s="248">
        <f t="shared" si="8"/>
        <v>120</v>
      </c>
      <c r="AP10" s="248">
        <f t="shared" si="8"/>
        <v>135</v>
      </c>
      <c r="AQ10" s="248">
        <f t="shared" si="8"/>
        <v>150</v>
      </c>
      <c r="AR10" s="248">
        <f t="shared" si="8"/>
        <v>165</v>
      </c>
      <c r="AS10" s="248">
        <f t="shared" si="8"/>
        <v>180</v>
      </c>
      <c r="AT10" s="248">
        <f t="shared" si="8"/>
        <v>180</v>
      </c>
      <c r="AU10" s="248">
        <f t="shared" si="8"/>
        <v>180</v>
      </c>
      <c r="AV10" s="237">
        <f t="shared" si="8"/>
        <v>180</v>
      </c>
      <c r="AW10" s="175"/>
      <c r="AX10" s="224" t="s">
        <v>16</v>
      </c>
      <c r="AY10" s="252">
        <f>load_steady/load_steady</f>
        <v>1</v>
      </c>
      <c r="AZ10" s="243">
        <f t="shared" si="10"/>
        <v>9</v>
      </c>
      <c r="BA10" s="248">
        <f t="shared" si="10"/>
        <v>13.01348831345013</v>
      </c>
      <c r="BB10" s="248">
        <f t="shared" si="10"/>
        <v>18.585519323720284</v>
      </c>
      <c r="BC10" s="248">
        <f t="shared" si="10"/>
        <v>26.093440301857218</v>
      </c>
      <c r="BD10" s="248">
        <f t="shared" si="10"/>
        <v>35.804797674168817</v>
      </c>
      <c r="BE10" s="248">
        <f t="shared" si="10"/>
        <v>47.706873032791968</v>
      </c>
      <c r="BF10" s="248">
        <f t="shared" si="10"/>
        <v>61.335895834006024</v>
      </c>
      <c r="BG10" s="248">
        <f t="shared" si="10"/>
        <v>75.732931993224909</v>
      </c>
      <c r="BH10" s="248">
        <f t="shared" si="11"/>
        <v>89.643581968971162</v>
      </c>
      <c r="BI10" s="248">
        <f t="shared" si="11"/>
        <v>101.91664073467115</v>
      </c>
      <c r="BJ10" s="248">
        <f t="shared" si="11"/>
        <v>111.86373334244263</v>
      </c>
      <c r="BK10" s="248">
        <f t="shared" si="11"/>
        <v>119.36025084915963</v>
      </c>
      <c r="BL10" s="248">
        <f t="shared" si="12"/>
        <v>120</v>
      </c>
      <c r="BM10" s="248">
        <f t="shared" si="12"/>
        <v>120</v>
      </c>
      <c r="BN10" s="248">
        <f t="shared" si="12"/>
        <v>120</v>
      </c>
      <c r="BO10" s="248">
        <f t="shared" si="12"/>
        <v>120</v>
      </c>
      <c r="BP10" s="237">
        <f t="shared" si="12"/>
        <v>120</v>
      </c>
      <c r="BR10" s="443">
        <v>1</v>
      </c>
      <c r="BS10" s="1341">
        <v>7.1428571428571425E-2</v>
      </c>
      <c r="BT10" s="1341">
        <v>0.1238095238095238</v>
      </c>
      <c r="BU10" s="1341">
        <v>0.16751299339218637</v>
      </c>
      <c r="BV10" s="446">
        <v>7.1428571428571425E-2</v>
      </c>
      <c r="BX10" s="443">
        <v>1</v>
      </c>
      <c r="BY10" s="1341">
        <v>0.16666666666666666</v>
      </c>
      <c r="BZ10" s="1341">
        <v>0.23809523809523808</v>
      </c>
      <c r="CA10" s="1341">
        <v>0.25460204666381941</v>
      </c>
      <c r="CB10" s="446">
        <v>0.16666666666666666</v>
      </c>
    </row>
    <row r="11" spans="1:134" ht="14.65" hidden="1" thickBot="1" x14ac:dyDescent="0.5">
      <c r="A11" s="175"/>
      <c r="B11" s="1582" t="str">
        <f>specialisation_option_8</f>
        <v>Multisport (3+ hours)</v>
      </c>
      <c r="C11" s="1583"/>
      <c r="E11" s="221" t="s">
        <v>21</v>
      </c>
      <c r="F11" s="740">
        <v>0.12</v>
      </c>
      <c r="G11" s="557">
        <v>60</v>
      </c>
      <c r="H11" s="557">
        <v>0</v>
      </c>
      <c r="I11" s="740">
        <v>0.12</v>
      </c>
      <c r="J11" s="557">
        <v>60</v>
      </c>
      <c r="K11" s="557">
        <v>0</v>
      </c>
      <c r="L11" s="740">
        <v>0.12</v>
      </c>
      <c r="M11" s="557">
        <v>60</v>
      </c>
      <c r="N11" s="557">
        <v>0</v>
      </c>
      <c r="O11" s="740">
        <v>0.12</v>
      </c>
      <c r="P11" s="557">
        <v>60</v>
      </c>
      <c r="Q11" s="557">
        <v>0</v>
      </c>
      <c r="R11" s="740">
        <v>0.12</v>
      </c>
      <c r="S11" s="557">
        <v>60</v>
      </c>
      <c r="T11" s="557">
        <v>0</v>
      </c>
      <c r="U11" s="740">
        <v>0.12</v>
      </c>
      <c r="V11" s="557">
        <v>60</v>
      </c>
      <c r="W11" s="557">
        <v>0</v>
      </c>
      <c r="X11" s="740">
        <v>0.12</v>
      </c>
      <c r="Y11" s="557">
        <v>60</v>
      </c>
      <c r="Z11" s="557" t="s">
        <v>12</v>
      </c>
      <c r="AA11" s="740">
        <v>0.12</v>
      </c>
      <c r="AB11" s="557">
        <v>60</v>
      </c>
      <c r="AC11" s="557">
        <v>0</v>
      </c>
      <c r="AD11" s="746">
        <v>0.12</v>
      </c>
      <c r="AE11" s="559">
        <v>60</v>
      </c>
      <c r="AF11" s="560">
        <v>0</v>
      </c>
      <c r="AH11" s="221" t="s">
        <v>21</v>
      </c>
      <c r="AI11" s="251">
        <f>load_subthreshold/load_steady</f>
        <v>1.4123249419429105</v>
      </c>
      <c r="AJ11" s="242">
        <f t="shared" si="4"/>
        <v>21.599999999999998</v>
      </c>
      <c r="AK11" s="247">
        <f t="shared" si="8"/>
        <v>28.799999999999997</v>
      </c>
      <c r="AL11" s="247">
        <f t="shared" si="8"/>
        <v>36</v>
      </c>
      <c r="AM11" s="247">
        <f t="shared" si="8"/>
        <v>43.199999999999996</v>
      </c>
      <c r="AN11" s="247">
        <f t="shared" si="8"/>
        <v>50.4</v>
      </c>
      <c r="AO11" s="247">
        <f t="shared" si="8"/>
        <v>57.599999999999994</v>
      </c>
      <c r="AP11" s="247">
        <f t="shared" si="8"/>
        <v>60</v>
      </c>
      <c r="AQ11" s="247">
        <f t="shared" si="8"/>
        <v>60</v>
      </c>
      <c r="AR11" s="247">
        <f t="shared" si="8"/>
        <v>60</v>
      </c>
      <c r="AS11" s="247">
        <f t="shared" si="8"/>
        <v>60</v>
      </c>
      <c r="AT11" s="247">
        <f t="shared" si="8"/>
        <v>60</v>
      </c>
      <c r="AU11" s="247">
        <f t="shared" si="8"/>
        <v>60</v>
      </c>
      <c r="AV11" s="236">
        <f t="shared" si="8"/>
        <v>60</v>
      </c>
      <c r="AW11" s="175"/>
      <c r="AX11" s="221" t="s">
        <v>17</v>
      </c>
      <c r="AY11" s="251">
        <f>load_long/load_steady</f>
        <v>1</v>
      </c>
      <c r="AZ11" s="242">
        <f t="shared" si="10"/>
        <v>15</v>
      </c>
      <c r="BA11" s="247">
        <f t="shared" si="10"/>
        <v>21.689147189083553</v>
      </c>
      <c r="BB11" s="247">
        <f t="shared" si="10"/>
        <v>30.97586553953381</v>
      </c>
      <c r="BC11" s="247">
        <f t="shared" si="10"/>
        <v>43.489067169762031</v>
      </c>
      <c r="BD11" s="247">
        <f t="shared" si="10"/>
        <v>59.674662790281367</v>
      </c>
      <c r="BE11" s="247">
        <f t="shared" si="10"/>
        <v>79.511455054653283</v>
      </c>
      <c r="BF11" s="247">
        <f t="shared" si="10"/>
        <v>102.22649305667672</v>
      </c>
      <c r="BG11" s="247">
        <f t="shared" si="10"/>
        <v>126.22155332204152</v>
      </c>
      <c r="BH11" s="247">
        <f t="shared" si="11"/>
        <v>149.40596994828527</v>
      </c>
      <c r="BI11" s="247">
        <f t="shared" si="11"/>
        <v>169.86106789111858</v>
      </c>
      <c r="BJ11" s="247">
        <f t="shared" si="11"/>
        <v>180</v>
      </c>
      <c r="BK11" s="247">
        <f t="shared" si="11"/>
        <v>180</v>
      </c>
      <c r="BL11" s="247">
        <f t="shared" si="12"/>
        <v>180</v>
      </c>
      <c r="BM11" s="247">
        <f t="shared" si="12"/>
        <v>180</v>
      </c>
      <c r="BN11" s="247">
        <f t="shared" si="12"/>
        <v>180</v>
      </c>
      <c r="BO11" s="247">
        <f t="shared" si="12"/>
        <v>180</v>
      </c>
      <c r="BP11" s="236">
        <f t="shared" si="12"/>
        <v>180</v>
      </c>
      <c r="BR11" s="444">
        <v>2</v>
      </c>
      <c r="BS11" s="1040">
        <v>7.1428571428571425E-2</v>
      </c>
      <c r="BT11" s="1040">
        <v>0.11428571428571428</v>
      </c>
      <c r="BU11" s="1040">
        <v>0.13773058566497962</v>
      </c>
      <c r="BV11" s="445">
        <v>7.1428571428571425E-2</v>
      </c>
      <c r="BX11" s="444">
        <v>2</v>
      </c>
      <c r="BY11" s="1040">
        <v>0.16666666666666666</v>
      </c>
      <c r="BZ11" s="1040">
        <v>0.19047619047619047</v>
      </c>
      <c r="CA11" s="1040">
        <v>0.1779264920297422</v>
      </c>
      <c r="CB11" s="445">
        <v>0.16666666666666666</v>
      </c>
    </row>
    <row r="12" spans="1:134" hidden="1" x14ac:dyDescent="0.45">
      <c r="A12" s="175"/>
      <c r="E12" s="224" t="s">
        <v>23</v>
      </c>
      <c r="F12" s="739">
        <v>0.08</v>
      </c>
      <c r="G12" s="556">
        <v>25</v>
      </c>
      <c r="H12" s="556">
        <v>0</v>
      </c>
      <c r="I12" s="739">
        <v>0.08</v>
      </c>
      <c r="J12" s="556">
        <v>25</v>
      </c>
      <c r="K12" s="556">
        <v>0</v>
      </c>
      <c r="L12" s="739">
        <v>0.08</v>
      </c>
      <c r="M12" s="556">
        <v>25</v>
      </c>
      <c r="N12" s="556">
        <v>0</v>
      </c>
      <c r="O12" s="739">
        <v>0.08</v>
      </c>
      <c r="P12" s="556">
        <v>25</v>
      </c>
      <c r="Q12" s="556">
        <v>0</v>
      </c>
      <c r="R12" s="739">
        <v>0.08</v>
      </c>
      <c r="S12" s="556">
        <v>25</v>
      </c>
      <c r="T12" s="556">
        <v>0</v>
      </c>
      <c r="U12" s="739">
        <v>0.08</v>
      </c>
      <c r="V12" s="556">
        <v>25</v>
      </c>
      <c r="W12" s="556">
        <v>0</v>
      </c>
      <c r="X12" s="739">
        <v>0.08</v>
      </c>
      <c r="Y12" s="556">
        <v>25</v>
      </c>
      <c r="Z12" s="556" t="s">
        <v>12</v>
      </c>
      <c r="AA12" s="739">
        <v>0.08</v>
      </c>
      <c r="AB12" s="556">
        <v>25</v>
      </c>
      <c r="AC12" s="556">
        <v>0</v>
      </c>
      <c r="AD12" s="745">
        <v>0.08</v>
      </c>
      <c r="AE12" s="558">
        <v>25</v>
      </c>
      <c r="AF12" s="100">
        <v>0</v>
      </c>
      <c r="AH12" s="224" t="s">
        <v>23</v>
      </c>
      <c r="AI12" s="252">
        <f>load_tempo/load_steady</f>
        <v>1.9180945738923831</v>
      </c>
      <c r="AJ12" s="243">
        <f t="shared" si="4"/>
        <v>14.4</v>
      </c>
      <c r="AK12" s="248">
        <f>IF($AF12=0,MIN($AE12,$AD12*AK$4),$AF12)</f>
        <v>19.2</v>
      </c>
      <c r="AL12" s="248">
        <f t="shared" ref="AK12:AV19" si="13">IF($AF12=0,MIN($AE12,$AD12*AL$4),$AF12)</f>
        <v>24</v>
      </c>
      <c r="AM12" s="248">
        <f t="shared" si="13"/>
        <v>25</v>
      </c>
      <c r="AN12" s="248">
        <f t="shared" si="13"/>
        <v>25</v>
      </c>
      <c r="AO12" s="248">
        <f t="shared" si="13"/>
        <v>25</v>
      </c>
      <c r="AP12" s="248">
        <f t="shared" si="13"/>
        <v>25</v>
      </c>
      <c r="AQ12" s="248">
        <f t="shared" si="13"/>
        <v>25</v>
      </c>
      <c r="AR12" s="248">
        <f t="shared" si="13"/>
        <v>25</v>
      </c>
      <c r="AS12" s="248">
        <f t="shared" si="13"/>
        <v>25</v>
      </c>
      <c r="AT12" s="248">
        <f t="shared" si="13"/>
        <v>25</v>
      </c>
      <c r="AU12" s="248">
        <f t="shared" si="13"/>
        <v>25</v>
      </c>
      <c r="AV12" s="237">
        <f t="shared" si="13"/>
        <v>25</v>
      </c>
      <c r="AW12" s="175"/>
      <c r="AX12" s="224" t="s">
        <v>19</v>
      </c>
      <c r="AY12" s="252">
        <f>load_long/load_steady</f>
        <v>1</v>
      </c>
      <c r="AZ12" s="243">
        <f t="shared" si="10"/>
        <v>15</v>
      </c>
      <c r="BA12" s="248">
        <f t="shared" si="10"/>
        <v>21.689147189083553</v>
      </c>
      <c r="BB12" s="248">
        <f t="shared" si="10"/>
        <v>30.97586553953381</v>
      </c>
      <c r="BC12" s="248">
        <f t="shared" si="10"/>
        <v>43.489067169762031</v>
      </c>
      <c r="BD12" s="248">
        <f t="shared" si="10"/>
        <v>59.674662790281367</v>
      </c>
      <c r="BE12" s="248">
        <f t="shared" si="10"/>
        <v>79.511455054653283</v>
      </c>
      <c r="BF12" s="248">
        <f t="shared" si="10"/>
        <v>102.22649305667672</v>
      </c>
      <c r="BG12" s="248">
        <f t="shared" si="10"/>
        <v>126.22155332204152</v>
      </c>
      <c r="BH12" s="248">
        <f t="shared" si="11"/>
        <v>149.40596994828527</v>
      </c>
      <c r="BI12" s="248">
        <f t="shared" si="11"/>
        <v>169.86106789111858</v>
      </c>
      <c r="BJ12" s="248">
        <f t="shared" si="11"/>
        <v>180</v>
      </c>
      <c r="BK12" s="248">
        <f t="shared" si="11"/>
        <v>180</v>
      </c>
      <c r="BL12" s="248">
        <f t="shared" si="12"/>
        <v>180</v>
      </c>
      <c r="BM12" s="248">
        <f t="shared" si="12"/>
        <v>180</v>
      </c>
      <c r="BN12" s="248">
        <f t="shared" si="12"/>
        <v>180</v>
      </c>
      <c r="BO12" s="248">
        <f t="shared" si="12"/>
        <v>180</v>
      </c>
      <c r="BP12" s="237">
        <f t="shared" si="12"/>
        <v>180</v>
      </c>
      <c r="BR12" s="443">
        <v>3</v>
      </c>
      <c r="BS12" s="1341">
        <v>7.1428571428571425E-2</v>
      </c>
      <c r="BT12" s="1341">
        <v>0.10476190476190476</v>
      </c>
      <c r="BU12" s="1341">
        <v>0.1126866657695469</v>
      </c>
      <c r="BV12" s="446">
        <v>7.1428571428571425E-2</v>
      </c>
      <c r="BX12" s="443">
        <v>3</v>
      </c>
      <c r="BY12" s="1341">
        <v>0.16666666666666666</v>
      </c>
      <c r="BZ12" s="1341">
        <v>0.14285714285714285</v>
      </c>
      <c r="CA12" s="1341">
        <v>0.11706906398655254</v>
      </c>
      <c r="CB12" s="446">
        <v>0.16666666666666666</v>
      </c>
    </row>
    <row r="13" spans="1:134" hidden="1" x14ac:dyDescent="0.45">
      <c r="A13" s="175"/>
      <c r="B13" s="175"/>
      <c r="C13" s="175"/>
      <c r="E13" s="221" t="s">
        <v>25</v>
      </c>
      <c r="F13" s="740">
        <v>0.08</v>
      </c>
      <c r="G13" s="557">
        <v>25</v>
      </c>
      <c r="H13" s="557">
        <v>0</v>
      </c>
      <c r="I13" s="740">
        <v>0.08</v>
      </c>
      <c r="J13" s="557">
        <v>25</v>
      </c>
      <c r="K13" s="557">
        <v>0</v>
      </c>
      <c r="L13" s="740">
        <v>0.08</v>
      </c>
      <c r="M13" s="557">
        <v>25</v>
      </c>
      <c r="N13" s="557">
        <v>0</v>
      </c>
      <c r="O13" s="740">
        <v>0.08</v>
      </c>
      <c r="P13" s="557">
        <v>25</v>
      </c>
      <c r="Q13" s="557">
        <v>0</v>
      </c>
      <c r="R13" s="740">
        <v>0.08</v>
      </c>
      <c r="S13" s="557">
        <v>25</v>
      </c>
      <c r="T13" s="557">
        <v>0</v>
      </c>
      <c r="U13" s="740">
        <v>0.08</v>
      </c>
      <c r="V13" s="557">
        <v>25</v>
      </c>
      <c r="W13" s="557">
        <v>0</v>
      </c>
      <c r="X13" s="740">
        <v>0.08</v>
      </c>
      <c r="Y13" s="557">
        <v>25</v>
      </c>
      <c r="Z13" s="557" t="s">
        <v>12</v>
      </c>
      <c r="AA13" s="740">
        <v>0.08</v>
      </c>
      <c r="AB13" s="557">
        <v>25</v>
      </c>
      <c r="AC13" s="557">
        <v>0</v>
      </c>
      <c r="AD13" s="746">
        <v>0.08</v>
      </c>
      <c r="AE13" s="559">
        <v>25</v>
      </c>
      <c r="AF13" s="560">
        <v>0</v>
      </c>
      <c r="AH13" s="221" t="s">
        <v>25</v>
      </c>
      <c r="AI13" s="251">
        <f>load_hilltempo/load_steady</f>
        <v>1.9180945738923831</v>
      </c>
      <c r="AJ13" s="242">
        <f t="shared" si="4"/>
        <v>14.4</v>
      </c>
      <c r="AK13" s="247">
        <f t="shared" si="13"/>
        <v>19.2</v>
      </c>
      <c r="AL13" s="247">
        <f t="shared" si="13"/>
        <v>24</v>
      </c>
      <c r="AM13" s="247">
        <f t="shared" si="13"/>
        <v>25</v>
      </c>
      <c r="AN13" s="247">
        <f t="shared" si="13"/>
        <v>25</v>
      </c>
      <c r="AO13" s="247">
        <f t="shared" si="13"/>
        <v>25</v>
      </c>
      <c r="AP13" s="247">
        <f t="shared" si="13"/>
        <v>25</v>
      </c>
      <c r="AQ13" s="247">
        <f t="shared" si="13"/>
        <v>25</v>
      </c>
      <c r="AR13" s="247">
        <f t="shared" si="13"/>
        <v>25</v>
      </c>
      <c r="AS13" s="247">
        <f t="shared" si="13"/>
        <v>25</v>
      </c>
      <c r="AT13" s="247">
        <f t="shared" si="13"/>
        <v>25</v>
      </c>
      <c r="AU13" s="247">
        <f t="shared" si="13"/>
        <v>25</v>
      </c>
      <c r="AV13" s="236">
        <f t="shared" si="13"/>
        <v>25</v>
      </c>
      <c r="AW13" s="175"/>
      <c r="AX13" s="221" t="s">
        <v>21</v>
      </c>
      <c r="AY13" s="251">
        <f>load_subthreshold/load_steady</f>
        <v>1.4123249419429105</v>
      </c>
      <c r="AZ13" s="242">
        <f t="shared" si="10"/>
        <v>7.1999999999999993</v>
      </c>
      <c r="BA13" s="247">
        <f t="shared" si="10"/>
        <v>10.410790650760104</v>
      </c>
      <c r="BB13" s="247">
        <f t="shared" si="10"/>
        <v>14.868415458976228</v>
      </c>
      <c r="BC13" s="247">
        <f t="shared" si="10"/>
        <v>20.874752241485773</v>
      </c>
      <c r="BD13" s="247">
        <f t="shared" si="10"/>
        <v>28.643838139335056</v>
      </c>
      <c r="BE13" s="247">
        <f t="shared" si="10"/>
        <v>38.165498426233576</v>
      </c>
      <c r="BF13" s="247">
        <f t="shared" si="10"/>
        <v>49.068716667204825</v>
      </c>
      <c r="BG13" s="247">
        <f t="shared" si="10"/>
        <v>60</v>
      </c>
      <c r="BH13" s="247">
        <f t="shared" si="11"/>
        <v>60</v>
      </c>
      <c r="BI13" s="247">
        <f t="shared" si="11"/>
        <v>60</v>
      </c>
      <c r="BJ13" s="247">
        <f t="shared" si="11"/>
        <v>60</v>
      </c>
      <c r="BK13" s="247">
        <f t="shared" si="11"/>
        <v>60</v>
      </c>
      <c r="BL13" s="247">
        <f t="shared" si="12"/>
        <v>60</v>
      </c>
      <c r="BM13" s="247">
        <f t="shared" si="12"/>
        <v>60</v>
      </c>
      <c r="BN13" s="247">
        <f t="shared" si="12"/>
        <v>60</v>
      </c>
      <c r="BO13" s="247">
        <f t="shared" si="12"/>
        <v>60</v>
      </c>
      <c r="BP13" s="236">
        <f t="shared" si="12"/>
        <v>60</v>
      </c>
      <c r="BR13" s="444">
        <v>4</v>
      </c>
      <c r="BS13" s="1040">
        <v>7.1428571428571425E-2</v>
      </c>
      <c r="BT13" s="1040">
        <v>9.5238095238095219E-2</v>
      </c>
      <c r="BU13" s="1040">
        <v>9.162732330557638E-2</v>
      </c>
      <c r="BV13" s="445">
        <v>7.1428571428571425E-2</v>
      </c>
      <c r="BX13" s="444">
        <v>4</v>
      </c>
      <c r="BY13" s="1040">
        <v>0.16666666666666666</v>
      </c>
      <c r="BZ13" s="1040">
        <v>9.5238095238095233E-2</v>
      </c>
      <c r="CA13" s="1040">
        <v>6.8766491338633426E-2</v>
      </c>
      <c r="CB13" s="445">
        <v>0.16666666666666666</v>
      </c>
    </row>
    <row r="14" spans="1:134" hidden="1" x14ac:dyDescent="0.45">
      <c r="A14" s="175"/>
      <c r="B14" s="175"/>
      <c r="C14" s="175"/>
      <c r="E14" s="231" t="s">
        <v>28</v>
      </c>
      <c r="F14" s="662">
        <v>0.12</v>
      </c>
      <c r="G14" s="558">
        <v>60</v>
      </c>
      <c r="H14" s="558">
        <v>0</v>
      </c>
      <c r="I14" s="662">
        <v>0.12</v>
      </c>
      <c r="J14" s="558">
        <v>60</v>
      </c>
      <c r="K14" s="558">
        <v>0</v>
      </c>
      <c r="L14" s="662">
        <v>0.12</v>
      </c>
      <c r="M14" s="558">
        <v>60</v>
      </c>
      <c r="N14" s="558">
        <v>0</v>
      </c>
      <c r="O14" s="662">
        <v>0.12</v>
      </c>
      <c r="P14" s="558">
        <v>60</v>
      </c>
      <c r="Q14" s="558">
        <v>0</v>
      </c>
      <c r="R14" s="662">
        <v>0.12</v>
      </c>
      <c r="S14" s="558">
        <v>60</v>
      </c>
      <c r="T14" s="558">
        <v>0</v>
      </c>
      <c r="U14" s="662">
        <v>0.12</v>
      </c>
      <c r="V14" s="558">
        <v>60</v>
      </c>
      <c r="W14" s="558">
        <v>0</v>
      </c>
      <c r="X14" s="662">
        <v>0.12</v>
      </c>
      <c r="Y14" s="558">
        <v>60</v>
      </c>
      <c r="Z14" s="558" t="s">
        <v>12</v>
      </c>
      <c r="AA14" s="662">
        <v>0.12</v>
      </c>
      <c r="AB14" s="558">
        <v>60</v>
      </c>
      <c r="AC14" s="558">
        <v>0</v>
      </c>
      <c r="AD14" s="745">
        <v>0.12</v>
      </c>
      <c r="AE14" s="558">
        <v>60</v>
      </c>
      <c r="AF14" s="100">
        <v>0</v>
      </c>
      <c r="AH14" s="224" t="s">
        <v>28</v>
      </c>
      <c r="AI14" s="252">
        <f>load_fartlek/load_steady</f>
        <v>1.4123249419429105</v>
      </c>
      <c r="AJ14" s="243">
        <f t="shared" si="4"/>
        <v>21.599999999999998</v>
      </c>
      <c r="AK14" s="248">
        <f t="shared" si="13"/>
        <v>28.799999999999997</v>
      </c>
      <c r="AL14" s="248">
        <f t="shared" si="13"/>
        <v>36</v>
      </c>
      <c r="AM14" s="248">
        <f t="shared" si="13"/>
        <v>43.199999999999996</v>
      </c>
      <c r="AN14" s="248">
        <f t="shared" si="13"/>
        <v>50.4</v>
      </c>
      <c r="AO14" s="248">
        <f t="shared" si="13"/>
        <v>57.599999999999994</v>
      </c>
      <c r="AP14" s="248">
        <f t="shared" si="13"/>
        <v>60</v>
      </c>
      <c r="AQ14" s="248">
        <f t="shared" si="13"/>
        <v>60</v>
      </c>
      <c r="AR14" s="248">
        <f t="shared" si="13"/>
        <v>60</v>
      </c>
      <c r="AS14" s="248">
        <f t="shared" si="13"/>
        <v>60</v>
      </c>
      <c r="AT14" s="248">
        <f t="shared" si="13"/>
        <v>60</v>
      </c>
      <c r="AU14" s="248">
        <f t="shared" si="13"/>
        <v>60</v>
      </c>
      <c r="AV14" s="237">
        <f t="shared" si="13"/>
        <v>60</v>
      </c>
      <c r="AW14" s="175"/>
      <c r="AX14" s="224" t="s">
        <v>23</v>
      </c>
      <c r="AY14" s="252">
        <f>load_tempo/load_steady</f>
        <v>1.9180945738923831</v>
      </c>
      <c r="AZ14" s="243">
        <f t="shared" si="10"/>
        <v>4.8</v>
      </c>
      <c r="BA14" s="248">
        <f t="shared" si="10"/>
        <v>6.9405271005067366</v>
      </c>
      <c r="BB14" s="248">
        <f t="shared" si="10"/>
        <v>9.9122769726508189</v>
      </c>
      <c r="BC14" s="248">
        <f t="shared" si="10"/>
        <v>13.91650149432385</v>
      </c>
      <c r="BD14" s="248">
        <f t="shared" si="10"/>
        <v>19.095892092890036</v>
      </c>
      <c r="BE14" s="248">
        <f t="shared" si="10"/>
        <v>25</v>
      </c>
      <c r="BF14" s="248">
        <f t="shared" si="10"/>
        <v>25</v>
      </c>
      <c r="BG14" s="248">
        <f t="shared" si="10"/>
        <v>25</v>
      </c>
      <c r="BH14" s="248">
        <f t="shared" si="11"/>
        <v>25</v>
      </c>
      <c r="BI14" s="248">
        <f t="shared" si="11"/>
        <v>25</v>
      </c>
      <c r="BJ14" s="248">
        <f t="shared" si="11"/>
        <v>25</v>
      </c>
      <c r="BK14" s="248">
        <f t="shared" si="11"/>
        <v>25</v>
      </c>
      <c r="BL14" s="248">
        <f t="shared" si="12"/>
        <v>25</v>
      </c>
      <c r="BM14" s="248">
        <f t="shared" si="12"/>
        <v>25</v>
      </c>
      <c r="BN14" s="248">
        <f t="shared" si="12"/>
        <v>25</v>
      </c>
      <c r="BO14" s="248">
        <f t="shared" si="12"/>
        <v>25</v>
      </c>
      <c r="BP14" s="237">
        <f t="shared" si="12"/>
        <v>25</v>
      </c>
      <c r="BR14" s="443">
        <v>5</v>
      </c>
      <c r="BS14" s="1341">
        <v>7.1428571428571425E-2</v>
      </c>
      <c r="BT14" s="1341">
        <v>8.5714285714285701E-2</v>
      </c>
      <c r="BU14" s="1341">
        <v>7.391859772002321E-2</v>
      </c>
      <c r="BV14" s="446">
        <v>7.1428571428571425E-2</v>
      </c>
      <c r="BX14" s="443">
        <v>5</v>
      </c>
      <c r="BY14" s="1341">
        <v>0.16666666666666666</v>
      </c>
      <c r="BZ14" s="1341">
        <v>4.7619047619047616E-2</v>
      </c>
      <c r="CA14" s="1341">
        <v>3.0428714021594826E-2</v>
      </c>
      <c r="CB14" s="446">
        <v>0.16666666666666666</v>
      </c>
    </row>
    <row r="15" spans="1:134" hidden="1" x14ac:dyDescent="0.45">
      <c r="A15" s="175"/>
      <c r="B15"/>
      <c r="C15"/>
      <c r="E15" s="221" t="s">
        <v>30</v>
      </c>
      <c r="F15" s="740">
        <v>0.04</v>
      </c>
      <c r="G15" s="557">
        <v>20</v>
      </c>
      <c r="H15" s="557">
        <v>0</v>
      </c>
      <c r="I15" s="740">
        <v>0.04</v>
      </c>
      <c r="J15" s="557">
        <v>20</v>
      </c>
      <c r="K15" s="557">
        <v>0</v>
      </c>
      <c r="L15" s="740">
        <v>0.04</v>
      </c>
      <c r="M15" s="557">
        <v>20</v>
      </c>
      <c r="N15" s="557">
        <v>0</v>
      </c>
      <c r="O15" s="740">
        <v>0.04</v>
      </c>
      <c r="P15" s="557">
        <v>20</v>
      </c>
      <c r="Q15" s="557">
        <v>0</v>
      </c>
      <c r="R15" s="740">
        <v>0.04</v>
      </c>
      <c r="S15" s="557">
        <v>20</v>
      </c>
      <c r="T15" s="557">
        <v>0</v>
      </c>
      <c r="U15" s="740">
        <v>0.04</v>
      </c>
      <c r="V15" s="557">
        <v>20</v>
      </c>
      <c r="W15" s="557">
        <v>0</v>
      </c>
      <c r="X15" s="740">
        <v>0.04</v>
      </c>
      <c r="Y15" s="557">
        <v>20</v>
      </c>
      <c r="Z15" s="557" t="s">
        <v>12</v>
      </c>
      <c r="AA15" s="740">
        <v>0.04</v>
      </c>
      <c r="AB15" s="557">
        <v>20</v>
      </c>
      <c r="AC15" s="557">
        <v>0</v>
      </c>
      <c r="AD15" s="744">
        <v>0.04</v>
      </c>
      <c r="AE15" s="557">
        <v>20</v>
      </c>
      <c r="AF15" s="560">
        <v>0</v>
      </c>
      <c r="AH15" s="221" t="s">
        <v>30</v>
      </c>
      <c r="AI15" s="251">
        <f>load_intervals/load_steady</f>
        <v>2.4184607326537448</v>
      </c>
      <c r="AJ15" s="242">
        <f t="shared" si="4"/>
        <v>7.2</v>
      </c>
      <c r="AK15" s="247">
        <f t="shared" si="13"/>
        <v>9.6</v>
      </c>
      <c r="AL15" s="247">
        <f t="shared" si="13"/>
        <v>12</v>
      </c>
      <c r="AM15" s="247">
        <f t="shared" si="13"/>
        <v>14.4</v>
      </c>
      <c r="AN15" s="247">
        <f t="shared" si="13"/>
        <v>16.8</v>
      </c>
      <c r="AO15" s="247">
        <f t="shared" si="13"/>
        <v>19.2</v>
      </c>
      <c r="AP15" s="247">
        <f t="shared" si="13"/>
        <v>20</v>
      </c>
      <c r="AQ15" s="247">
        <f t="shared" si="13"/>
        <v>20</v>
      </c>
      <c r="AR15" s="247">
        <f t="shared" si="13"/>
        <v>20</v>
      </c>
      <c r="AS15" s="247">
        <f t="shared" si="13"/>
        <v>20</v>
      </c>
      <c r="AT15" s="247">
        <f t="shared" si="13"/>
        <v>20</v>
      </c>
      <c r="AU15" s="247">
        <f t="shared" si="13"/>
        <v>20</v>
      </c>
      <c r="AV15" s="236">
        <f t="shared" si="13"/>
        <v>20</v>
      </c>
      <c r="AW15" s="175"/>
      <c r="AX15" s="221" t="s">
        <v>25</v>
      </c>
      <c r="AY15" s="251">
        <f>load_hilltempo/load_steady</f>
        <v>1.9180945738923831</v>
      </c>
      <c r="AZ15" s="242">
        <f t="shared" si="10"/>
        <v>4.8</v>
      </c>
      <c r="BA15" s="247">
        <f t="shared" si="10"/>
        <v>6.9405271005067366</v>
      </c>
      <c r="BB15" s="247">
        <f t="shared" si="10"/>
        <v>9.9122769726508189</v>
      </c>
      <c r="BC15" s="247">
        <f t="shared" si="10"/>
        <v>13.91650149432385</v>
      </c>
      <c r="BD15" s="247">
        <f t="shared" si="10"/>
        <v>19.095892092890036</v>
      </c>
      <c r="BE15" s="247">
        <f t="shared" si="10"/>
        <v>25</v>
      </c>
      <c r="BF15" s="247">
        <f t="shared" si="10"/>
        <v>25</v>
      </c>
      <c r="BG15" s="247">
        <f t="shared" si="10"/>
        <v>25</v>
      </c>
      <c r="BH15" s="247">
        <f t="shared" si="11"/>
        <v>25</v>
      </c>
      <c r="BI15" s="247">
        <f t="shared" si="11"/>
        <v>25</v>
      </c>
      <c r="BJ15" s="247">
        <f t="shared" si="11"/>
        <v>25</v>
      </c>
      <c r="BK15" s="247">
        <f t="shared" si="11"/>
        <v>25</v>
      </c>
      <c r="BL15" s="247">
        <f t="shared" si="12"/>
        <v>25</v>
      </c>
      <c r="BM15" s="247">
        <f t="shared" si="12"/>
        <v>25</v>
      </c>
      <c r="BN15" s="247">
        <f t="shared" si="12"/>
        <v>25</v>
      </c>
      <c r="BO15" s="247">
        <f t="shared" si="12"/>
        <v>25</v>
      </c>
      <c r="BP15" s="236">
        <f t="shared" si="12"/>
        <v>25</v>
      </c>
      <c r="BR15" s="444">
        <v>6</v>
      </c>
      <c r="BS15" s="1040">
        <v>7.1428571428571425E-2</v>
      </c>
      <c r="BT15" s="1040">
        <v>7.6190476190476183E-2</v>
      </c>
      <c r="BU15" s="1040">
        <v>5.9027393856419842E-2</v>
      </c>
      <c r="BV15" s="445">
        <v>7.1428571428571425E-2</v>
      </c>
      <c r="BX15" s="444">
        <v>6</v>
      </c>
      <c r="BY15" s="1040">
        <v>0</v>
      </c>
      <c r="BZ15" s="1040">
        <v>0</v>
      </c>
      <c r="CA15" s="1040">
        <v>0</v>
      </c>
      <c r="CB15" s="445">
        <v>0</v>
      </c>
    </row>
    <row r="16" spans="1:134" hidden="1" x14ac:dyDescent="0.45">
      <c r="A16" s="175"/>
      <c r="B16"/>
      <c r="C16"/>
      <c r="E16" s="224" t="s">
        <v>32</v>
      </c>
      <c r="F16" s="739">
        <v>0.02</v>
      </c>
      <c r="G16" s="556">
        <v>12</v>
      </c>
      <c r="H16" s="556">
        <v>0</v>
      </c>
      <c r="I16" s="739">
        <v>0.02</v>
      </c>
      <c r="J16" s="556">
        <v>12</v>
      </c>
      <c r="K16" s="556">
        <v>0</v>
      </c>
      <c r="L16" s="739">
        <v>0.02</v>
      </c>
      <c r="M16" s="556">
        <v>12</v>
      </c>
      <c r="N16" s="556">
        <v>0</v>
      </c>
      <c r="O16" s="739">
        <v>0.02</v>
      </c>
      <c r="P16" s="556">
        <v>12</v>
      </c>
      <c r="Q16" s="556">
        <v>0</v>
      </c>
      <c r="R16" s="739">
        <v>0.02</v>
      </c>
      <c r="S16" s="556">
        <v>12</v>
      </c>
      <c r="T16" s="556">
        <v>0</v>
      </c>
      <c r="U16" s="739">
        <v>0.02</v>
      </c>
      <c r="V16" s="556">
        <v>12</v>
      </c>
      <c r="W16" s="556">
        <v>0</v>
      </c>
      <c r="X16" s="739">
        <v>0.02</v>
      </c>
      <c r="Y16" s="556">
        <v>12</v>
      </c>
      <c r="Z16" s="556" t="s">
        <v>12</v>
      </c>
      <c r="AA16" s="739">
        <v>0.02</v>
      </c>
      <c r="AB16" s="556">
        <v>12</v>
      </c>
      <c r="AC16" s="556">
        <v>0</v>
      </c>
      <c r="AD16" s="745">
        <v>0.02</v>
      </c>
      <c r="AE16" s="558">
        <v>12</v>
      </c>
      <c r="AF16" s="100">
        <v>0</v>
      </c>
      <c r="AH16" s="224" t="s">
        <v>32</v>
      </c>
      <c r="AI16" s="252">
        <f>load_reps/load_steady</f>
        <v>4.6820606898093473</v>
      </c>
      <c r="AJ16" s="243">
        <f t="shared" si="4"/>
        <v>3.6</v>
      </c>
      <c r="AK16" s="248">
        <f t="shared" si="13"/>
        <v>4.8</v>
      </c>
      <c r="AL16" s="248">
        <f t="shared" si="13"/>
        <v>6</v>
      </c>
      <c r="AM16" s="248">
        <f t="shared" si="13"/>
        <v>7.2</v>
      </c>
      <c r="AN16" s="248">
        <f t="shared" si="13"/>
        <v>8.4</v>
      </c>
      <c r="AO16" s="248">
        <f t="shared" si="13"/>
        <v>9.6</v>
      </c>
      <c r="AP16" s="248">
        <f t="shared" si="13"/>
        <v>10.8</v>
      </c>
      <c r="AQ16" s="248">
        <f t="shared" si="13"/>
        <v>12</v>
      </c>
      <c r="AR16" s="248">
        <f t="shared" si="13"/>
        <v>12</v>
      </c>
      <c r="AS16" s="248">
        <f t="shared" si="13"/>
        <v>12</v>
      </c>
      <c r="AT16" s="248">
        <f t="shared" si="13"/>
        <v>12</v>
      </c>
      <c r="AU16" s="248">
        <f t="shared" si="13"/>
        <v>12</v>
      </c>
      <c r="AV16" s="237">
        <f t="shared" si="13"/>
        <v>12</v>
      </c>
      <c r="AW16" s="175"/>
      <c r="AX16" s="224" t="s">
        <v>28</v>
      </c>
      <c r="AY16" s="252">
        <f>load_fartlek/load_steady</f>
        <v>1.4123249419429105</v>
      </c>
      <c r="AZ16" s="243">
        <f t="shared" si="10"/>
        <v>7.1999999999999993</v>
      </c>
      <c r="BA16" s="248">
        <f t="shared" si="10"/>
        <v>10.410790650760104</v>
      </c>
      <c r="BB16" s="248">
        <f t="shared" si="10"/>
        <v>14.868415458976228</v>
      </c>
      <c r="BC16" s="248">
        <f t="shared" si="10"/>
        <v>20.874752241485773</v>
      </c>
      <c r="BD16" s="248">
        <f t="shared" si="10"/>
        <v>28.643838139335056</v>
      </c>
      <c r="BE16" s="248">
        <f t="shared" si="10"/>
        <v>38.165498426233576</v>
      </c>
      <c r="BF16" s="248">
        <f t="shared" si="10"/>
        <v>49.068716667204825</v>
      </c>
      <c r="BG16" s="248">
        <f t="shared" si="10"/>
        <v>60</v>
      </c>
      <c r="BH16" s="248">
        <f t="shared" si="11"/>
        <v>60</v>
      </c>
      <c r="BI16" s="248">
        <f t="shared" si="11"/>
        <v>60</v>
      </c>
      <c r="BJ16" s="248">
        <f t="shared" si="11"/>
        <v>60</v>
      </c>
      <c r="BK16" s="248">
        <f t="shared" si="11"/>
        <v>60</v>
      </c>
      <c r="BL16" s="248">
        <f t="shared" si="12"/>
        <v>60</v>
      </c>
      <c r="BM16" s="248">
        <f t="shared" si="12"/>
        <v>60</v>
      </c>
      <c r="BN16" s="248">
        <f t="shared" si="12"/>
        <v>60</v>
      </c>
      <c r="BO16" s="248">
        <f t="shared" si="12"/>
        <v>60</v>
      </c>
      <c r="BP16" s="237">
        <f t="shared" si="12"/>
        <v>60</v>
      </c>
      <c r="BR16" s="443">
        <v>7</v>
      </c>
      <c r="BS16" s="1341">
        <v>7.1428571428571425E-2</v>
      </c>
      <c r="BT16" s="1341">
        <v>6.6666666666666666E-2</v>
      </c>
      <c r="BU16" s="1341">
        <v>4.6505433908703493E-2</v>
      </c>
      <c r="BV16" s="446">
        <v>7.1428571428571425E-2</v>
      </c>
      <c r="BX16" s="443">
        <v>7</v>
      </c>
      <c r="BY16" s="1341">
        <v>0</v>
      </c>
      <c r="BZ16" s="1341">
        <v>0</v>
      </c>
      <c r="CA16" s="1341">
        <v>0</v>
      </c>
      <c r="CB16" s="446">
        <v>0</v>
      </c>
    </row>
    <row r="17" spans="1:81" hidden="1" x14ac:dyDescent="0.45">
      <c r="A17" s="175"/>
      <c r="B17"/>
      <c r="C17"/>
      <c r="E17" s="221" t="s">
        <v>34</v>
      </c>
      <c r="F17" s="740">
        <v>0</v>
      </c>
      <c r="G17" s="557">
        <v>0</v>
      </c>
      <c r="H17" s="557">
        <v>30</v>
      </c>
      <c r="I17" s="740">
        <v>0</v>
      </c>
      <c r="J17" s="557">
        <v>0</v>
      </c>
      <c r="K17" s="557">
        <v>30</v>
      </c>
      <c r="L17" s="740">
        <v>0</v>
      </c>
      <c r="M17" s="557">
        <v>0</v>
      </c>
      <c r="N17" s="557">
        <v>30</v>
      </c>
      <c r="O17" s="740">
        <v>0</v>
      </c>
      <c r="P17" s="557">
        <v>0</v>
      </c>
      <c r="Q17" s="557">
        <v>30</v>
      </c>
      <c r="R17" s="740">
        <v>0</v>
      </c>
      <c r="S17" s="557">
        <v>0</v>
      </c>
      <c r="T17" s="557">
        <v>30</v>
      </c>
      <c r="U17" s="740">
        <v>0</v>
      </c>
      <c r="V17" s="557">
        <v>0</v>
      </c>
      <c r="W17" s="557">
        <v>30</v>
      </c>
      <c r="X17" s="740">
        <v>0</v>
      </c>
      <c r="Y17" s="557">
        <v>0</v>
      </c>
      <c r="Z17" s="557">
        <v>30</v>
      </c>
      <c r="AA17" s="740">
        <v>0</v>
      </c>
      <c r="AB17" s="557">
        <v>0</v>
      </c>
      <c r="AC17" s="512">
        <v>30</v>
      </c>
      <c r="AD17" s="746">
        <v>0</v>
      </c>
      <c r="AE17" s="559">
        <v>0</v>
      </c>
      <c r="AF17" s="560">
        <v>30</v>
      </c>
      <c r="AH17" s="221" t="s">
        <v>34</v>
      </c>
      <c r="AI17" s="251">
        <f>load_drills/load_steady</f>
        <v>1</v>
      </c>
      <c r="AJ17" s="242">
        <f t="shared" si="4"/>
        <v>30</v>
      </c>
      <c r="AK17" s="247">
        <f t="shared" si="13"/>
        <v>30</v>
      </c>
      <c r="AL17" s="247">
        <f t="shared" si="13"/>
        <v>30</v>
      </c>
      <c r="AM17" s="247">
        <f t="shared" si="13"/>
        <v>30</v>
      </c>
      <c r="AN17" s="247">
        <f t="shared" si="13"/>
        <v>30</v>
      </c>
      <c r="AO17" s="247">
        <f t="shared" si="13"/>
        <v>30</v>
      </c>
      <c r="AP17" s="247">
        <f t="shared" si="13"/>
        <v>30</v>
      </c>
      <c r="AQ17" s="247">
        <f t="shared" si="13"/>
        <v>30</v>
      </c>
      <c r="AR17" s="247">
        <f t="shared" si="13"/>
        <v>30</v>
      </c>
      <c r="AS17" s="247">
        <f t="shared" si="13"/>
        <v>30</v>
      </c>
      <c r="AT17" s="247">
        <f t="shared" si="13"/>
        <v>30</v>
      </c>
      <c r="AU17" s="247">
        <f t="shared" si="13"/>
        <v>30</v>
      </c>
      <c r="AV17" s="236">
        <f t="shared" si="13"/>
        <v>30</v>
      </c>
      <c r="AW17" s="175"/>
      <c r="AX17" s="221" t="s">
        <v>30</v>
      </c>
      <c r="AY17" s="251">
        <f>load_intervals/load_steady</f>
        <v>2.4184607326537448</v>
      </c>
      <c r="AZ17" s="242">
        <f t="shared" si="10"/>
        <v>2.4</v>
      </c>
      <c r="BA17" s="247">
        <f t="shared" si="10"/>
        <v>3.4702635502533683</v>
      </c>
      <c r="BB17" s="247">
        <f t="shared" si="10"/>
        <v>4.9561384863254094</v>
      </c>
      <c r="BC17" s="247">
        <f t="shared" si="10"/>
        <v>6.9582507471619248</v>
      </c>
      <c r="BD17" s="247">
        <f t="shared" si="10"/>
        <v>9.5479460464450181</v>
      </c>
      <c r="BE17" s="247">
        <f t="shared" si="10"/>
        <v>12.721832808744525</v>
      </c>
      <c r="BF17" s="247">
        <f t="shared" si="10"/>
        <v>16.356238889068276</v>
      </c>
      <c r="BG17" s="247">
        <f t="shared" si="10"/>
        <v>20</v>
      </c>
      <c r="BH17" s="247">
        <f t="shared" si="11"/>
        <v>20</v>
      </c>
      <c r="BI17" s="247">
        <f t="shared" si="11"/>
        <v>20</v>
      </c>
      <c r="BJ17" s="247">
        <f t="shared" si="11"/>
        <v>20</v>
      </c>
      <c r="BK17" s="247">
        <f t="shared" si="11"/>
        <v>20</v>
      </c>
      <c r="BL17" s="247">
        <f t="shared" si="12"/>
        <v>20</v>
      </c>
      <c r="BM17" s="247">
        <f t="shared" si="12"/>
        <v>20</v>
      </c>
      <c r="BN17" s="247">
        <f t="shared" si="12"/>
        <v>20</v>
      </c>
      <c r="BO17" s="247">
        <f t="shared" si="12"/>
        <v>20</v>
      </c>
      <c r="BP17" s="236">
        <f t="shared" si="12"/>
        <v>20</v>
      </c>
      <c r="BR17" s="444">
        <v>8</v>
      </c>
      <c r="BS17" s="1040">
        <v>7.1428571428571425E-2</v>
      </c>
      <c r="BT17" s="1040">
        <v>5.7142857142857141E-2</v>
      </c>
      <c r="BU17" s="1040">
        <v>3.5975762676718218E-2</v>
      </c>
      <c r="BV17" s="445">
        <v>7.1428571428571425E-2</v>
      </c>
      <c r="BX17" s="444">
        <v>8</v>
      </c>
      <c r="BY17" s="1040">
        <v>0</v>
      </c>
      <c r="BZ17" s="1040">
        <v>0</v>
      </c>
      <c r="CA17" s="1040">
        <v>0</v>
      </c>
      <c r="CB17" s="445">
        <v>0</v>
      </c>
    </row>
    <row r="18" spans="1:81" hidden="1" x14ac:dyDescent="0.45">
      <c r="A18" s="175"/>
      <c r="B18"/>
      <c r="C18"/>
      <c r="E18" s="224" t="s">
        <v>36</v>
      </c>
      <c r="F18" s="739">
        <v>0</v>
      </c>
      <c r="G18" s="556">
        <v>0</v>
      </c>
      <c r="H18" s="556">
        <v>30</v>
      </c>
      <c r="I18" s="739">
        <v>0</v>
      </c>
      <c r="J18" s="556">
        <v>0</v>
      </c>
      <c r="K18" s="556">
        <v>30</v>
      </c>
      <c r="L18" s="739">
        <v>0</v>
      </c>
      <c r="M18" s="556">
        <v>0</v>
      </c>
      <c r="N18" s="556">
        <v>30</v>
      </c>
      <c r="O18" s="739">
        <v>0</v>
      </c>
      <c r="P18" s="556">
        <v>0</v>
      </c>
      <c r="Q18" s="556">
        <v>30</v>
      </c>
      <c r="R18" s="739">
        <v>0</v>
      </c>
      <c r="S18" s="556">
        <v>0</v>
      </c>
      <c r="T18" s="556">
        <v>30</v>
      </c>
      <c r="U18" s="739">
        <v>0</v>
      </c>
      <c r="V18" s="556">
        <v>0</v>
      </c>
      <c r="W18" s="556">
        <v>30</v>
      </c>
      <c r="X18" s="739">
        <v>0</v>
      </c>
      <c r="Y18" s="556">
        <v>0</v>
      </c>
      <c r="Z18" s="556">
        <v>30</v>
      </c>
      <c r="AA18" s="739">
        <v>0</v>
      </c>
      <c r="AB18" s="556">
        <v>0</v>
      </c>
      <c r="AC18" s="348">
        <v>30</v>
      </c>
      <c r="AD18" s="745">
        <v>0</v>
      </c>
      <c r="AE18" s="558">
        <v>0</v>
      </c>
      <c r="AF18" s="100">
        <v>30</v>
      </c>
      <c r="AH18" s="224" t="s">
        <v>36</v>
      </c>
      <c r="AI18" s="252">
        <f>load_strength/load_steady</f>
        <v>0</v>
      </c>
      <c r="AJ18" s="243">
        <f t="shared" si="4"/>
        <v>30</v>
      </c>
      <c r="AK18" s="248">
        <f t="shared" si="13"/>
        <v>30</v>
      </c>
      <c r="AL18" s="248">
        <f t="shared" si="13"/>
        <v>30</v>
      </c>
      <c r="AM18" s="248">
        <f t="shared" si="13"/>
        <v>30</v>
      </c>
      <c r="AN18" s="248">
        <f t="shared" si="13"/>
        <v>30</v>
      </c>
      <c r="AO18" s="248">
        <f t="shared" si="13"/>
        <v>30</v>
      </c>
      <c r="AP18" s="248">
        <f t="shared" si="13"/>
        <v>30</v>
      </c>
      <c r="AQ18" s="248">
        <f t="shared" si="13"/>
        <v>30</v>
      </c>
      <c r="AR18" s="248">
        <f t="shared" si="13"/>
        <v>30</v>
      </c>
      <c r="AS18" s="248">
        <f t="shared" si="13"/>
        <v>30</v>
      </c>
      <c r="AT18" s="248">
        <f t="shared" si="13"/>
        <v>30</v>
      </c>
      <c r="AU18" s="248">
        <f t="shared" si="13"/>
        <v>30</v>
      </c>
      <c r="AV18" s="237">
        <f t="shared" si="13"/>
        <v>30</v>
      </c>
      <c r="AW18" s="175"/>
      <c r="AX18" s="224" t="s">
        <v>32</v>
      </c>
      <c r="AY18" s="252">
        <f>load_reps/load_steady</f>
        <v>4.6820606898093473</v>
      </c>
      <c r="AZ18" s="243">
        <f t="shared" si="10"/>
        <v>1.2</v>
      </c>
      <c r="BA18" s="248">
        <f t="shared" si="10"/>
        <v>1.7351317751266842</v>
      </c>
      <c r="BB18" s="248">
        <f t="shared" si="10"/>
        <v>2.4780692431627047</v>
      </c>
      <c r="BC18" s="248">
        <f t="shared" si="10"/>
        <v>3.4791253735809624</v>
      </c>
      <c r="BD18" s="248">
        <f t="shared" si="10"/>
        <v>4.773973023222509</v>
      </c>
      <c r="BE18" s="248">
        <f t="shared" si="10"/>
        <v>6.3609164043722624</v>
      </c>
      <c r="BF18" s="248">
        <f t="shared" si="10"/>
        <v>8.1781194445341381</v>
      </c>
      <c r="BG18" s="248">
        <f t="shared" si="10"/>
        <v>10.097724265763322</v>
      </c>
      <c r="BH18" s="248">
        <f t="shared" si="11"/>
        <v>11.952477595862822</v>
      </c>
      <c r="BI18" s="248">
        <f t="shared" si="11"/>
        <v>12</v>
      </c>
      <c r="BJ18" s="248">
        <f t="shared" si="11"/>
        <v>12</v>
      </c>
      <c r="BK18" s="248">
        <f t="shared" si="11"/>
        <v>12</v>
      </c>
      <c r="BL18" s="248">
        <f t="shared" si="12"/>
        <v>12</v>
      </c>
      <c r="BM18" s="248">
        <f t="shared" si="12"/>
        <v>12</v>
      </c>
      <c r="BN18" s="248">
        <f t="shared" si="12"/>
        <v>12</v>
      </c>
      <c r="BO18" s="248">
        <f t="shared" si="12"/>
        <v>12</v>
      </c>
      <c r="BP18" s="237">
        <f t="shared" si="12"/>
        <v>12</v>
      </c>
      <c r="BR18" s="443">
        <v>9</v>
      </c>
      <c r="BS18" s="1341">
        <v>7.1428571428571425E-2</v>
      </c>
      <c r="BT18" s="1341">
        <v>4.7619047619047609E-2</v>
      </c>
      <c r="BU18" s="1341">
        <v>2.712139988394164E-2</v>
      </c>
      <c r="BV18" s="446">
        <v>7.1428571428571425E-2</v>
      </c>
      <c r="BX18" s="443">
        <v>9</v>
      </c>
      <c r="BY18" s="1341">
        <v>0</v>
      </c>
      <c r="BZ18" s="1341">
        <v>0</v>
      </c>
      <c r="CA18" s="1341">
        <v>0</v>
      </c>
      <c r="CB18" s="446">
        <v>0</v>
      </c>
    </row>
    <row r="19" spans="1:81" ht="14.65" hidden="1" thickBot="1" x14ac:dyDescent="0.5">
      <c r="A19" s="175"/>
      <c r="B19"/>
      <c r="C19"/>
      <c r="E19" s="223" t="s">
        <v>38</v>
      </c>
      <c r="F19" s="741">
        <v>0</v>
      </c>
      <c r="G19" s="561">
        <v>0</v>
      </c>
      <c r="H19" s="561">
        <v>30</v>
      </c>
      <c r="I19" s="741">
        <v>0</v>
      </c>
      <c r="J19" s="561">
        <v>0</v>
      </c>
      <c r="K19" s="561">
        <v>30</v>
      </c>
      <c r="L19" s="741">
        <v>0</v>
      </c>
      <c r="M19" s="561">
        <v>0</v>
      </c>
      <c r="N19" s="561">
        <v>30</v>
      </c>
      <c r="O19" s="741">
        <v>0</v>
      </c>
      <c r="P19" s="561">
        <v>0</v>
      </c>
      <c r="Q19" s="561">
        <v>30</v>
      </c>
      <c r="R19" s="741">
        <v>0</v>
      </c>
      <c r="S19" s="561">
        <v>0</v>
      </c>
      <c r="T19" s="561">
        <v>30</v>
      </c>
      <c r="U19" s="741">
        <v>0</v>
      </c>
      <c r="V19" s="561">
        <v>0</v>
      </c>
      <c r="W19" s="561">
        <v>30</v>
      </c>
      <c r="X19" s="741">
        <v>0</v>
      </c>
      <c r="Y19" s="561">
        <v>0</v>
      </c>
      <c r="Z19" s="561">
        <v>30</v>
      </c>
      <c r="AA19" s="741">
        <v>0</v>
      </c>
      <c r="AB19" s="561">
        <v>0</v>
      </c>
      <c r="AC19" s="562">
        <v>30</v>
      </c>
      <c r="AD19" s="747">
        <v>0</v>
      </c>
      <c r="AE19" s="563">
        <v>0</v>
      </c>
      <c r="AF19" s="564">
        <v>30</v>
      </c>
      <c r="AH19" s="216" t="s">
        <v>38</v>
      </c>
      <c r="AI19" s="253">
        <f>load_maintenance/load_steady</f>
        <v>0</v>
      </c>
      <c r="AJ19" s="244">
        <f t="shared" si="4"/>
        <v>30</v>
      </c>
      <c r="AK19" s="250">
        <f t="shared" si="13"/>
        <v>30</v>
      </c>
      <c r="AL19" s="249">
        <f t="shared" si="13"/>
        <v>30</v>
      </c>
      <c r="AM19" s="249">
        <f t="shared" si="13"/>
        <v>30</v>
      </c>
      <c r="AN19" s="249">
        <f t="shared" si="13"/>
        <v>30</v>
      </c>
      <c r="AO19" s="249">
        <f t="shared" si="13"/>
        <v>30</v>
      </c>
      <c r="AP19" s="250">
        <f t="shared" si="13"/>
        <v>30</v>
      </c>
      <c r="AQ19" s="249">
        <f t="shared" si="13"/>
        <v>30</v>
      </c>
      <c r="AR19" s="249">
        <f t="shared" si="13"/>
        <v>30</v>
      </c>
      <c r="AS19" s="249">
        <f t="shared" si="13"/>
        <v>30</v>
      </c>
      <c r="AT19" s="249">
        <f t="shared" si="13"/>
        <v>30</v>
      </c>
      <c r="AU19" s="249">
        <f t="shared" si="13"/>
        <v>30</v>
      </c>
      <c r="AV19" s="238">
        <f t="shared" si="13"/>
        <v>30</v>
      </c>
      <c r="AW19" s="175"/>
      <c r="AX19" s="221" t="s">
        <v>34</v>
      </c>
      <c r="AY19" s="251">
        <f>load_drills/load_steady</f>
        <v>1</v>
      </c>
      <c r="AZ19" s="242">
        <f t="shared" si="10"/>
        <v>30</v>
      </c>
      <c r="BA19" s="247">
        <f t="shared" si="10"/>
        <v>30</v>
      </c>
      <c r="BB19" s="247">
        <f t="shared" si="10"/>
        <v>30</v>
      </c>
      <c r="BC19" s="247">
        <f t="shared" si="10"/>
        <v>30</v>
      </c>
      <c r="BD19" s="247">
        <f t="shared" si="10"/>
        <v>30</v>
      </c>
      <c r="BE19" s="247">
        <f t="shared" si="10"/>
        <v>30</v>
      </c>
      <c r="BF19" s="247">
        <f t="shared" si="10"/>
        <v>30</v>
      </c>
      <c r="BG19" s="247">
        <f t="shared" si="10"/>
        <v>30</v>
      </c>
      <c r="BH19" s="247">
        <f t="shared" si="11"/>
        <v>30</v>
      </c>
      <c r="BI19" s="247">
        <f t="shared" si="11"/>
        <v>30</v>
      </c>
      <c r="BJ19" s="247">
        <f t="shared" si="11"/>
        <v>30</v>
      </c>
      <c r="BK19" s="247">
        <f t="shared" si="11"/>
        <v>30</v>
      </c>
      <c r="BL19" s="247">
        <f t="shared" si="12"/>
        <v>30</v>
      </c>
      <c r="BM19" s="247">
        <f t="shared" si="12"/>
        <v>30</v>
      </c>
      <c r="BN19" s="247">
        <f t="shared" si="12"/>
        <v>30</v>
      </c>
      <c r="BO19" s="247">
        <f t="shared" si="12"/>
        <v>30</v>
      </c>
      <c r="BP19" s="236">
        <f t="shared" si="12"/>
        <v>30</v>
      </c>
      <c r="BR19" s="444">
        <v>10</v>
      </c>
      <c r="BS19" s="1040">
        <v>7.1428571428571425E-2</v>
      </c>
      <c r="BT19" s="1040">
        <v>3.8095238095238092E-2</v>
      </c>
      <c r="BU19" s="1040">
        <v>1.9675797952139945E-2</v>
      </c>
      <c r="BV19" s="445">
        <v>7.1428571428571425E-2</v>
      </c>
      <c r="BX19" s="444">
        <v>10</v>
      </c>
      <c r="BY19" s="1040">
        <v>0</v>
      </c>
      <c r="BZ19" s="1040">
        <v>0</v>
      </c>
      <c r="CA19" s="1040">
        <v>0</v>
      </c>
      <c r="CB19" s="445">
        <v>0</v>
      </c>
    </row>
    <row r="20" spans="1:81" hidden="1" x14ac:dyDescent="0.45">
      <c r="A20" s="175"/>
      <c r="B20"/>
      <c r="C20"/>
      <c r="E20" s="224" t="s">
        <v>633</v>
      </c>
      <c r="F20" s="225" t="s">
        <v>12</v>
      </c>
      <c r="G20" s="1562" t="s">
        <v>29</v>
      </c>
      <c r="H20" s="1563"/>
      <c r="I20" s="225" t="s">
        <v>12</v>
      </c>
      <c r="J20" s="1562" t="s">
        <v>29</v>
      </c>
      <c r="K20" s="1563"/>
      <c r="L20" s="225" t="s">
        <v>12</v>
      </c>
      <c r="M20" s="1562" t="s">
        <v>33</v>
      </c>
      <c r="N20" s="1563"/>
      <c r="O20" s="225" t="s">
        <v>12</v>
      </c>
      <c r="P20" s="1562" t="s">
        <v>33</v>
      </c>
      <c r="Q20" s="1563"/>
      <c r="R20" s="225" t="s">
        <v>12</v>
      </c>
      <c r="S20" s="1562" t="s">
        <v>35</v>
      </c>
      <c r="T20" s="1563"/>
      <c r="U20" s="225" t="s">
        <v>12</v>
      </c>
      <c r="V20" s="1562" t="s">
        <v>29</v>
      </c>
      <c r="W20" s="1563"/>
      <c r="X20" s="225" t="s">
        <v>12</v>
      </c>
      <c r="Y20" s="1562" t="s">
        <v>29</v>
      </c>
      <c r="Z20" s="1563"/>
      <c r="AA20" s="225" t="s">
        <v>12</v>
      </c>
      <c r="AB20" s="1562" t="s">
        <v>33</v>
      </c>
      <c r="AC20" s="1563"/>
      <c r="AD20" s="233" t="str">
        <v/>
      </c>
      <c r="AE20" s="234" t="str">
        <v>Hilly Trail Run</v>
      </c>
      <c r="AF20" s="235">
        <v>0</v>
      </c>
      <c r="AG20" s="175" t="str">
        <f>O20</f>
        <v/>
      </c>
      <c r="AH20" s="175"/>
      <c r="AI20" s="175"/>
      <c r="AJ20" s="175"/>
      <c r="AK20" s="175"/>
      <c r="AL20" s="175"/>
      <c r="AM20" s="175"/>
      <c r="AN20" s="175"/>
      <c r="AO20" s="175"/>
      <c r="AP20" s="175"/>
      <c r="AQ20" s="175"/>
      <c r="AR20" s="175"/>
      <c r="AS20" s="175"/>
      <c r="AT20" s="175"/>
      <c r="AU20" s="175"/>
      <c r="AV20" s="175"/>
      <c r="AW20" s="175"/>
      <c r="AX20" s="224" t="s">
        <v>36</v>
      </c>
      <c r="AY20" s="252">
        <f>load_strength/load_steady</f>
        <v>0</v>
      </c>
      <c r="AZ20" s="243">
        <f t="shared" si="10"/>
        <v>30</v>
      </c>
      <c r="BA20" s="248">
        <f t="shared" si="10"/>
        <v>30</v>
      </c>
      <c r="BB20" s="248">
        <f t="shared" si="10"/>
        <v>30</v>
      </c>
      <c r="BC20" s="248">
        <f t="shared" si="10"/>
        <v>30</v>
      </c>
      <c r="BD20" s="248">
        <f t="shared" si="10"/>
        <v>30</v>
      </c>
      <c r="BE20" s="248">
        <f t="shared" si="10"/>
        <v>30</v>
      </c>
      <c r="BF20" s="248">
        <f t="shared" si="10"/>
        <v>30</v>
      </c>
      <c r="BG20" s="248">
        <f t="shared" si="10"/>
        <v>30</v>
      </c>
      <c r="BH20" s="248">
        <f t="shared" si="11"/>
        <v>30</v>
      </c>
      <c r="BI20" s="248">
        <f t="shared" si="11"/>
        <v>30</v>
      </c>
      <c r="BJ20" s="248">
        <f t="shared" si="11"/>
        <v>30</v>
      </c>
      <c r="BK20" s="248">
        <f t="shared" si="11"/>
        <v>30</v>
      </c>
      <c r="BL20" s="248">
        <f t="shared" si="12"/>
        <v>30</v>
      </c>
      <c r="BM20" s="248">
        <f t="shared" si="12"/>
        <v>30</v>
      </c>
      <c r="BN20" s="248">
        <f t="shared" si="12"/>
        <v>30</v>
      </c>
      <c r="BO20" s="248">
        <f t="shared" si="12"/>
        <v>30</v>
      </c>
      <c r="BP20" s="237">
        <f t="shared" si="12"/>
        <v>30</v>
      </c>
      <c r="BR20" s="443">
        <v>11</v>
      </c>
      <c r="BS20" s="1341">
        <v>7.1428571428571425E-2</v>
      </c>
      <c r="BT20" s="1341">
        <v>2.8571428571428571E-2</v>
      </c>
      <c r="BU20" s="1341">
        <v>1.3414817978281767E-2</v>
      </c>
      <c r="BV20" s="446">
        <v>7.1428571428571425E-2</v>
      </c>
      <c r="BX20" s="443">
        <v>11</v>
      </c>
      <c r="BY20" s="1341">
        <v>0</v>
      </c>
      <c r="BZ20" s="1341">
        <v>0</v>
      </c>
      <c r="CA20" s="1341">
        <v>0</v>
      </c>
      <c r="CB20" s="446">
        <v>0</v>
      </c>
    </row>
    <row r="21" spans="1:81" ht="14.65" hidden="1" thickBot="1" x14ac:dyDescent="0.5">
      <c r="A21" s="175"/>
      <c r="B21"/>
      <c r="C21"/>
      <c r="E21" s="227" t="s">
        <v>634</v>
      </c>
      <c r="F21" s="226" t="s">
        <v>12</v>
      </c>
      <c r="G21" s="1558" t="s">
        <v>37</v>
      </c>
      <c r="H21" s="1559"/>
      <c r="I21" s="226" t="s">
        <v>12</v>
      </c>
      <c r="J21" s="1558" t="s">
        <v>37</v>
      </c>
      <c r="K21" s="1559"/>
      <c r="L21" s="226" t="s">
        <v>12</v>
      </c>
      <c r="M21" s="1558" t="s">
        <v>37</v>
      </c>
      <c r="N21" s="1559"/>
      <c r="O21" s="226" t="s">
        <v>12</v>
      </c>
      <c r="P21" s="1558" t="s">
        <v>37</v>
      </c>
      <c r="Q21" s="1559"/>
      <c r="R21" s="226" t="s">
        <v>12</v>
      </c>
      <c r="S21" s="1558" t="s">
        <v>37</v>
      </c>
      <c r="T21" s="1559"/>
      <c r="U21" s="226" t="s">
        <v>12</v>
      </c>
      <c r="V21" s="1558" t="s">
        <v>41</v>
      </c>
      <c r="W21" s="1559"/>
      <c r="X21" s="226" t="s">
        <v>12</v>
      </c>
      <c r="Y21" s="1558" t="s">
        <v>41</v>
      </c>
      <c r="Z21" s="1559"/>
      <c r="AA21" s="226" t="s">
        <v>12</v>
      </c>
      <c r="AB21" s="1558" t="s">
        <v>37</v>
      </c>
      <c r="AC21" s="1559"/>
      <c r="AD21" s="228" t="str">
        <v/>
      </c>
      <c r="AE21" s="229" t="str">
        <v>Ride</v>
      </c>
      <c r="AF21" s="230">
        <v>0</v>
      </c>
      <c r="AG21" s="175" t="str">
        <f>O21</f>
        <v/>
      </c>
      <c r="AH21"/>
      <c r="AI21"/>
      <c r="AJ21"/>
      <c r="AK21"/>
      <c r="AL21"/>
      <c r="AM21"/>
      <c r="AN21"/>
      <c r="AO21"/>
      <c r="AP21"/>
      <c r="AQ21"/>
      <c r="AR21"/>
      <c r="AS21"/>
      <c r="AT21"/>
      <c r="AU21"/>
      <c r="AV21"/>
      <c r="AW21" s="175"/>
      <c r="AX21" s="216" t="s">
        <v>38</v>
      </c>
      <c r="AY21" s="253">
        <f>load_maintenance/load_steady</f>
        <v>0</v>
      </c>
      <c r="AZ21" s="244">
        <f t="shared" si="10"/>
        <v>30</v>
      </c>
      <c r="BA21" s="250">
        <f t="shared" si="10"/>
        <v>30</v>
      </c>
      <c r="BB21" s="249">
        <f t="shared" si="10"/>
        <v>30</v>
      </c>
      <c r="BC21" s="249">
        <f t="shared" si="10"/>
        <v>30</v>
      </c>
      <c r="BD21" s="249">
        <f t="shared" si="10"/>
        <v>30</v>
      </c>
      <c r="BE21" s="249">
        <f t="shared" si="10"/>
        <v>30</v>
      </c>
      <c r="BF21" s="250">
        <f t="shared" si="10"/>
        <v>30</v>
      </c>
      <c r="BG21" s="249">
        <f t="shared" si="10"/>
        <v>30</v>
      </c>
      <c r="BH21" s="249">
        <f t="shared" si="11"/>
        <v>30</v>
      </c>
      <c r="BI21" s="249">
        <f t="shared" si="11"/>
        <v>30</v>
      </c>
      <c r="BJ21" s="249">
        <f t="shared" si="11"/>
        <v>30</v>
      </c>
      <c r="BK21" s="249">
        <f t="shared" si="11"/>
        <v>30</v>
      </c>
      <c r="BL21" s="249">
        <f t="shared" si="12"/>
        <v>30</v>
      </c>
      <c r="BM21" s="249">
        <f t="shared" si="12"/>
        <v>30</v>
      </c>
      <c r="BN21" s="249">
        <f t="shared" si="12"/>
        <v>30</v>
      </c>
      <c r="BO21" s="249">
        <f t="shared" si="12"/>
        <v>30</v>
      </c>
      <c r="BP21" s="238">
        <f t="shared" si="12"/>
        <v>30</v>
      </c>
      <c r="BR21" s="444">
        <v>12</v>
      </c>
      <c r="BS21" s="1040">
        <v>7.1428571428571425E-2</v>
      </c>
      <c r="BT21" s="1040">
        <v>1.9047619047619046E-2</v>
      </c>
      <c r="BU21" s="1040">
        <v>8.1499823622891397E-3</v>
      </c>
      <c r="BV21" s="445">
        <v>7.1428571428571425E-2</v>
      </c>
      <c r="BX21" s="444">
        <v>12</v>
      </c>
      <c r="BY21" s="1040">
        <v>0</v>
      </c>
      <c r="BZ21" s="1040">
        <v>0</v>
      </c>
      <c r="CA21" s="1040">
        <v>0</v>
      </c>
      <c r="CB21" s="445">
        <v>0</v>
      </c>
    </row>
    <row r="22" spans="1:81" ht="15.75" hidden="1" customHeight="1" thickBot="1" x14ac:dyDescent="0.5">
      <c r="A22" s="175"/>
      <c r="B22"/>
      <c r="C22"/>
      <c r="E22" s="222" t="s">
        <v>635</v>
      </c>
      <c r="F22" s="217" t="s">
        <v>12</v>
      </c>
      <c r="G22" s="1560" t="s">
        <v>574</v>
      </c>
      <c r="H22" s="1561"/>
      <c r="I22" s="217" t="s">
        <v>12</v>
      </c>
      <c r="J22" s="1560" t="s">
        <v>574</v>
      </c>
      <c r="K22" s="1561"/>
      <c r="L22" s="217" t="s">
        <v>12</v>
      </c>
      <c r="M22" s="1560" t="s">
        <v>574</v>
      </c>
      <c r="N22" s="1561"/>
      <c r="O22" s="217" t="s">
        <v>12</v>
      </c>
      <c r="P22" s="1560" t="s">
        <v>574</v>
      </c>
      <c r="Q22" s="1561"/>
      <c r="R22" s="217" t="s">
        <v>12</v>
      </c>
      <c r="S22" s="1560" t="s">
        <v>574</v>
      </c>
      <c r="T22" s="1561"/>
      <c r="U22" s="217" t="s">
        <v>12</v>
      </c>
      <c r="V22" s="1560" t="s">
        <v>48</v>
      </c>
      <c r="W22" s="1561"/>
      <c r="X22" s="217" t="s">
        <v>12</v>
      </c>
      <c r="Y22" s="1560" t="s">
        <v>48</v>
      </c>
      <c r="Z22" s="1561"/>
      <c r="AA22" s="217" t="s">
        <v>12</v>
      </c>
      <c r="AB22" s="1560" t="s">
        <v>48</v>
      </c>
      <c r="AC22" s="1561"/>
      <c r="AD22" s="218" t="str">
        <v/>
      </c>
      <c r="AE22" s="219" t="str">
        <v>Swim</v>
      </c>
      <c r="AF22" s="220">
        <v>0</v>
      </c>
      <c r="AG22" s="175" t="str">
        <f>O22</f>
        <v/>
      </c>
      <c r="AH22"/>
      <c r="AI22"/>
      <c r="AJ22"/>
      <c r="AK22"/>
      <c r="AL22"/>
      <c r="AM22"/>
      <c r="AN22"/>
      <c r="AO22"/>
      <c r="AP22"/>
      <c r="AQ22"/>
      <c r="AR22"/>
      <c r="AS22"/>
      <c r="AT22"/>
      <c r="AU22"/>
      <c r="AV22"/>
      <c r="AW22" s="175"/>
      <c r="AX22" s="175"/>
      <c r="AY22" s="175"/>
      <c r="AZ22" s="175"/>
      <c r="BA22" s="175"/>
      <c r="BB22" s="175"/>
      <c r="BC22" s="175"/>
      <c r="BD22" s="175"/>
      <c r="BE22" s="175"/>
      <c r="BF22" s="175"/>
      <c r="BG22" s="175"/>
      <c r="BH22" s="175"/>
      <c r="BI22" s="175"/>
      <c r="BJ22" s="175"/>
      <c r="BK22" s="175"/>
      <c r="BR22" s="1343">
        <v>13</v>
      </c>
      <c r="BS22" s="1344">
        <v>7.1428571428571425E-2</v>
      </c>
      <c r="BT22" s="1344">
        <v>9.5238095238095229E-3</v>
      </c>
      <c r="BU22" s="1344">
        <v>3.7228009659008498E-3</v>
      </c>
      <c r="BV22" s="1345">
        <v>7.1428571428571425E-2</v>
      </c>
      <c r="BX22" s="440">
        <v>13</v>
      </c>
      <c r="BY22" s="1342">
        <v>0</v>
      </c>
      <c r="BZ22" s="1342">
        <v>0</v>
      </c>
      <c r="CA22" s="1342">
        <v>0</v>
      </c>
      <c r="CB22" s="441">
        <v>0</v>
      </c>
    </row>
    <row r="23" spans="1:81" ht="14.65" hidden="1" thickBot="1" x14ac:dyDescent="0.5">
      <c r="A23" s="175"/>
      <c r="B23"/>
      <c r="C23"/>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H23"/>
      <c r="AI23"/>
      <c r="AJ23"/>
      <c r="AK23"/>
      <c r="AL23"/>
      <c r="AM23"/>
      <c r="AN23"/>
      <c r="AO23"/>
      <c r="AP23"/>
      <c r="AQ23"/>
      <c r="AR23"/>
      <c r="AS23"/>
      <c r="AT23"/>
      <c r="AU23"/>
      <c r="AV23"/>
      <c r="AW23" s="175"/>
      <c r="AX23" s="175"/>
      <c r="AY23" s="175"/>
      <c r="AZ23" s="175"/>
      <c r="BA23" s="175"/>
      <c r="BB23" s="175"/>
      <c r="BC23" s="175"/>
      <c r="BD23" s="175"/>
      <c r="BE23" s="175"/>
      <c r="BF23" s="175"/>
      <c r="BG23" s="175"/>
      <c r="BH23" s="175"/>
      <c r="BI23" s="175"/>
      <c r="BJ23" s="175"/>
      <c r="BK23" s="175"/>
      <c r="BR23" s="1346" t="s">
        <v>687</v>
      </c>
      <c r="BS23" s="1042">
        <f>SUM(fatigue_coefficients_constant)</f>
        <v>0.99999999999999967</v>
      </c>
      <c r="BT23" s="1042">
        <f>SUM(fatigue_coefficients_linear)</f>
        <v>0.99999999999999989</v>
      </c>
      <c r="BU23" s="1042">
        <f>SUM(fatigue_coefficients_exponential)</f>
        <v>1.0000000000000002</v>
      </c>
      <c r="BV23" s="1051">
        <f>SUM(fatigue_coefficients)</f>
        <v>0.99999999999999967</v>
      </c>
      <c r="BX23" s="1346">
        <v>12</v>
      </c>
      <c r="BY23" s="1042">
        <f>SUM(fitness_coefficients_constant)</f>
        <v>0.99999999999999989</v>
      </c>
      <c r="BZ23" s="1042">
        <f>SUM(fitness_coefficients_linear)</f>
        <v>0.99999999999999978</v>
      </c>
      <c r="CA23" s="1042">
        <f>SUM(fitness_coefficients_exponential)</f>
        <v>1</v>
      </c>
      <c r="CB23" s="1051">
        <f t="array" ref="CB23">IF(fatigue_method="Constant", fatigue_coefficients_constant, IF(fatigue_method="Linear", fatigue_coefficients_linear, IF(fatigue_method="Exponential", fatigue_coefficients_exponential, 0)))</f>
        <v>0</v>
      </c>
      <c r="CC23" s="175"/>
    </row>
    <row r="24" spans="1:81" hidden="1" x14ac:dyDescent="0.45">
      <c r="A24" s="175"/>
      <c r="B24"/>
      <c r="C24"/>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H24"/>
      <c r="AI24"/>
      <c r="AJ24"/>
      <c r="AK24"/>
      <c r="AL24"/>
      <c r="AM24"/>
      <c r="AN24"/>
      <c r="AO24"/>
      <c r="AP24"/>
      <c r="AQ24"/>
      <c r="AR24"/>
      <c r="AS24"/>
      <c r="AT24"/>
      <c r="AU24"/>
      <c r="AV24"/>
      <c r="AW24" s="175"/>
      <c r="AX24" s="175"/>
      <c r="AY24" s="175"/>
      <c r="AZ24" s="175"/>
      <c r="BA24" s="175"/>
      <c r="BB24" s="175"/>
      <c r="BC24" s="175"/>
      <c r="BD24" s="175"/>
      <c r="BE24" s="175"/>
      <c r="BF24" s="175"/>
      <c r="BG24" s="175"/>
      <c r="BH24" s="175"/>
      <c r="BI24" s="175"/>
      <c r="BJ24" s="175"/>
      <c r="BK24" s="175"/>
      <c r="BR24" s="175"/>
      <c r="BS24" s="175"/>
      <c r="BT24" s="175"/>
      <c r="BU24" s="175"/>
      <c r="BV24" s="175"/>
      <c r="BW24" s="175"/>
      <c r="BX24" s="175"/>
      <c r="BY24" s="175"/>
      <c r="BZ24" s="175"/>
      <c r="CA24" s="175"/>
      <c r="CB24" s="175"/>
      <c r="CC24" s="175"/>
    </row>
    <row r="25" spans="1:81" hidden="1" x14ac:dyDescent="0.45">
      <c r="A25" s="175"/>
      <c r="B25"/>
      <c r="C2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H25"/>
      <c r="AI25"/>
      <c r="AJ25"/>
      <c r="AK25"/>
      <c r="AL25"/>
      <c r="AM25"/>
      <c r="AN25"/>
      <c r="AO25"/>
      <c r="AP25"/>
      <c r="AQ25"/>
      <c r="AR25"/>
      <c r="AS25"/>
      <c r="AT25"/>
      <c r="AU25"/>
      <c r="AV25"/>
      <c r="AW25" s="175"/>
      <c r="AX25" s="175"/>
      <c r="AY25" s="175"/>
      <c r="AZ25" s="175"/>
      <c r="BA25" s="175"/>
      <c r="BB25" s="175"/>
      <c r="BC25" s="175"/>
      <c r="BD25" s="175"/>
      <c r="BE25" s="175"/>
      <c r="BF25" s="175"/>
      <c r="BG25" s="175"/>
      <c r="BH25" s="175"/>
      <c r="BI25" s="175"/>
      <c r="BJ25" s="175"/>
      <c r="BK25" s="175"/>
      <c r="BR25" s="175"/>
      <c r="BS25" s="175"/>
      <c r="BT25" s="175"/>
      <c r="BU25" s="175"/>
      <c r="BV25" s="175"/>
      <c r="BW25" s="175"/>
      <c r="BX25" s="175"/>
      <c r="BY25" s="175"/>
      <c r="BZ25" s="175"/>
      <c r="CA25" s="175"/>
      <c r="CB25" s="175"/>
      <c r="CC25" s="175"/>
    </row>
    <row r="26" spans="1:81" hidden="1" x14ac:dyDescent="0.45">
      <c r="A26" s="175"/>
      <c r="B26" s="69"/>
      <c r="C26"/>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H26"/>
      <c r="AI26"/>
      <c r="AJ26"/>
      <c r="AK26"/>
      <c r="AL26"/>
      <c r="AM26"/>
      <c r="AN26"/>
      <c r="AO26"/>
      <c r="AP26"/>
      <c r="AQ26"/>
      <c r="AR26"/>
      <c r="AS26"/>
      <c r="AT26"/>
      <c r="AU26"/>
      <c r="AV26"/>
      <c r="AW26" s="175"/>
      <c r="AX26" s="175"/>
      <c r="AY26" s="175"/>
      <c r="AZ26" s="175"/>
      <c r="BA26" s="175"/>
      <c r="BB26" s="175"/>
      <c r="BC26" s="175"/>
      <c r="BD26" s="175"/>
      <c r="BE26" s="175"/>
      <c r="BF26" s="175"/>
      <c r="BG26" s="175"/>
      <c r="BH26" s="175"/>
      <c r="BI26" s="175"/>
      <c r="BJ26" s="175"/>
      <c r="BK26" s="175"/>
      <c r="BR26" s="175"/>
      <c r="BS26" s="175"/>
      <c r="BT26" s="175"/>
      <c r="BU26" s="175"/>
      <c r="BV26" s="175"/>
      <c r="BW26" s="175"/>
      <c r="BX26" s="175"/>
      <c r="BY26" s="175"/>
      <c r="BZ26" s="175"/>
      <c r="CA26" s="175"/>
      <c r="CB26" s="175"/>
      <c r="CC26" s="175"/>
    </row>
    <row r="27" spans="1:81" hidden="1" x14ac:dyDescent="0.45">
      <c r="A27" s="175"/>
      <c r="C27" s="71"/>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H27"/>
      <c r="AI27"/>
      <c r="AJ27"/>
      <c r="AK27"/>
      <c r="AL27"/>
      <c r="AM27"/>
      <c r="AN27"/>
      <c r="AO27"/>
      <c r="AP27"/>
      <c r="AQ27"/>
      <c r="AR27"/>
      <c r="AS27"/>
      <c r="AT27"/>
      <c r="AU27"/>
      <c r="AV27"/>
      <c r="AW27" s="175"/>
      <c r="AX27" s="175"/>
      <c r="AY27" s="175"/>
      <c r="AZ27" s="175"/>
      <c r="BA27" s="175"/>
      <c r="BB27" s="175"/>
      <c r="BC27" s="175"/>
      <c r="BD27" s="175"/>
      <c r="BE27" s="175"/>
      <c r="BF27" s="175"/>
      <c r="BG27" s="175"/>
      <c r="BH27" s="175"/>
      <c r="BI27" s="175"/>
      <c r="BJ27" s="175"/>
      <c r="BK27" s="175"/>
      <c r="BR27" s="175"/>
      <c r="BS27" s="175"/>
      <c r="BT27" s="175"/>
      <c r="BU27" s="175"/>
      <c r="BV27" s="175"/>
      <c r="BW27" s="175"/>
      <c r="BX27" s="175"/>
      <c r="BY27" s="175"/>
      <c r="BZ27" s="175"/>
      <c r="CA27" s="175"/>
      <c r="CB27" s="175"/>
      <c r="CC27" s="175"/>
    </row>
    <row r="28" spans="1:81" hidden="1" x14ac:dyDescent="0.45">
      <c r="A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433"/>
      <c r="AC28" s="175"/>
      <c r="AD28" s="175"/>
      <c r="AE28" s="175"/>
      <c r="AF28" s="175"/>
      <c r="AH28" s="72"/>
      <c r="AI28" s="69"/>
      <c r="AJ28" s="69"/>
      <c r="AK28" s="69"/>
      <c r="AL28" s="69"/>
      <c r="AM28" s="69"/>
      <c r="AN28" s="69"/>
      <c r="AO28" s="69"/>
      <c r="AP28" s="69"/>
      <c r="AQ28" s="69"/>
      <c r="AR28" s="69"/>
      <c r="AS28" s="69"/>
      <c r="AT28" s="69"/>
      <c r="AU28" s="69"/>
      <c r="AV28" s="69"/>
      <c r="AW28" s="175"/>
      <c r="AX28" s="175"/>
      <c r="AY28" s="175"/>
      <c r="AZ28" s="175"/>
      <c r="BA28" s="175"/>
      <c r="BB28" s="175"/>
      <c r="BC28" s="175"/>
      <c r="BD28" s="175"/>
      <c r="BE28" s="175"/>
      <c r="BF28" s="175"/>
      <c r="BG28" s="175"/>
      <c r="BH28" s="175"/>
      <c r="BI28" s="175"/>
      <c r="BJ28" s="175"/>
      <c r="BK28" s="175"/>
      <c r="BR28" s="175"/>
      <c r="BS28" s="175"/>
      <c r="BT28" s="175"/>
      <c r="BU28" s="175"/>
      <c r="BV28" s="175"/>
      <c r="BW28" s="175"/>
      <c r="BX28" s="175"/>
      <c r="BY28" s="175"/>
      <c r="BZ28" s="175"/>
      <c r="CA28" s="175"/>
      <c r="CB28" s="175"/>
      <c r="CC28" s="175"/>
    </row>
    <row r="29" spans="1:81" hidden="1" x14ac:dyDescent="0.45">
      <c r="A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W29" s="175"/>
      <c r="AX29" s="175"/>
      <c r="AY29" s="175"/>
      <c r="AZ29" s="175"/>
      <c r="BA29" s="175"/>
      <c r="BB29" s="175"/>
      <c r="BC29" s="175"/>
      <c r="BD29" s="175"/>
      <c r="BE29" s="175"/>
      <c r="BF29" s="175"/>
      <c r="BG29" s="175"/>
      <c r="BH29" s="175"/>
      <c r="BI29" s="175"/>
      <c r="BJ29" s="175"/>
      <c r="BK29" s="175"/>
      <c r="BR29" s="175"/>
      <c r="BS29" s="175"/>
      <c r="BT29" s="175"/>
      <c r="BU29" s="175"/>
      <c r="BV29" s="175"/>
      <c r="BW29" s="175"/>
      <c r="BX29" s="175"/>
      <c r="BY29" s="175"/>
      <c r="BZ29" s="175"/>
      <c r="CA29" s="175"/>
      <c r="CB29" s="175"/>
      <c r="CC29" s="175"/>
    </row>
    <row r="30" spans="1:81" hidden="1" x14ac:dyDescent="0.45">
      <c r="A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W30" s="175"/>
      <c r="AX30" s="175"/>
      <c r="AY30" s="175"/>
      <c r="AZ30" s="175"/>
      <c r="BA30" s="175"/>
      <c r="BB30" s="175"/>
      <c r="BC30" s="175"/>
      <c r="BD30" s="175"/>
      <c r="BE30" s="175"/>
      <c r="BF30" s="175"/>
      <c r="BG30" s="175"/>
      <c r="BH30" s="175"/>
      <c r="BI30" s="175"/>
      <c r="BJ30" s="175"/>
      <c r="BK30" s="175"/>
      <c r="BR30" s="175"/>
      <c r="BS30" s="175"/>
      <c r="BT30" s="175"/>
      <c r="BU30" s="175"/>
      <c r="BV30" s="175"/>
      <c r="BW30" s="175"/>
      <c r="BX30" s="175"/>
      <c r="BY30" s="175"/>
      <c r="BZ30" s="175"/>
      <c r="CA30" s="175"/>
      <c r="CB30" s="175"/>
      <c r="CC30" s="175"/>
    </row>
    <row r="31" spans="1:81" hidden="1" x14ac:dyDescent="0.45">
      <c r="A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W31"/>
      <c r="AX31"/>
      <c r="AY31"/>
      <c r="AZ31"/>
      <c r="BA31"/>
      <c r="BB31"/>
      <c r="BC31" s="175"/>
      <c r="BD31" s="175"/>
      <c r="BR31" s="175"/>
      <c r="BS31" s="175"/>
      <c r="BT31" s="175"/>
      <c r="BU31" s="175"/>
      <c r="BV31" s="175"/>
      <c r="BW31" s="175"/>
      <c r="BX31" s="175"/>
      <c r="BY31" s="175"/>
      <c r="BZ31" s="175"/>
      <c r="CA31" s="175"/>
      <c r="CB31" s="175"/>
      <c r="CC31" s="175"/>
    </row>
    <row r="32" spans="1:81" hidden="1" x14ac:dyDescent="0.45">
      <c r="A32"/>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c r="AE32"/>
      <c r="AF32"/>
      <c r="AW32"/>
      <c r="AX32"/>
      <c r="AY32"/>
      <c r="AZ32"/>
      <c r="BA32"/>
      <c r="BB32"/>
      <c r="BC32"/>
      <c r="BR32" s="175"/>
      <c r="BS32" s="175"/>
      <c r="BT32" s="175"/>
      <c r="BU32" s="175"/>
      <c r="BV32" s="175"/>
      <c r="BW32" s="175"/>
      <c r="BX32" s="175"/>
      <c r="BY32" s="175"/>
      <c r="BZ32" s="175"/>
      <c r="CA32" s="175"/>
      <c r="CB32" s="175"/>
      <c r="CC32" s="175"/>
    </row>
    <row r="33" spans="1:81" hidden="1" x14ac:dyDescent="0.45">
      <c r="A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c r="AE33"/>
      <c r="AF33"/>
      <c r="AW33"/>
      <c r="AX33"/>
      <c r="AY33"/>
      <c r="AZ33"/>
      <c r="BA33"/>
      <c r="BB33"/>
      <c r="BC33"/>
      <c r="BR33" s="175"/>
      <c r="BS33" s="175"/>
      <c r="BT33" s="175"/>
      <c r="BU33" s="175"/>
      <c r="BV33" s="175"/>
      <c r="BW33" s="175"/>
      <c r="BX33" s="175"/>
      <c r="BY33" s="175"/>
      <c r="BZ33" s="175"/>
      <c r="CA33" s="175"/>
      <c r="CB33" s="175"/>
      <c r="CC33" s="175"/>
    </row>
    <row r="34" spans="1:81" hidden="1" x14ac:dyDescent="0.45">
      <c r="A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c r="AE34"/>
      <c r="AF34"/>
      <c r="AW34"/>
      <c r="AX34"/>
      <c r="AY34"/>
      <c r="AZ34"/>
      <c r="BA34"/>
      <c r="BB34"/>
      <c r="BC34"/>
      <c r="BR34" s="175"/>
      <c r="BS34" s="175"/>
      <c r="BT34" s="175"/>
      <c r="BU34" s="175"/>
      <c r="BV34" s="175"/>
      <c r="BW34" s="175"/>
      <c r="BX34" s="175"/>
      <c r="BY34" s="175"/>
      <c r="BZ34" s="175"/>
      <c r="CA34" s="175"/>
      <c r="CB34" s="175"/>
      <c r="CC34" s="175"/>
    </row>
    <row r="35" spans="1:81" hidden="1" x14ac:dyDescent="0.45">
      <c r="A3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c r="AE35"/>
      <c r="AF35"/>
      <c r="AW35"/>
      <c r="AX35"/>
      <c r="AY35"/>
      <c r="AZ35"/>
      <c r="BA35"/>
      <c r="BB35"/>
      <c r="BC35"/>
      <c r="BR35" s="175"/>
      <c r="BS35" s="175"/>
      <c r="BT35" s="175"/>
      <c r="BU35" s="175"/>
      <c r="BV35" s="175"/>
      <c r="BW35" s="175"/>
      <c r="BX35" s="175"/>
      <c r="BY35" s="175"/>
      <c r="BZ35" s="175"/>
      <c r="CA35" s="175"/>
      <c r="CB35" s="175"/>
      <c r="CC35" s="175"/>
    </row>
    <row r="36" spans="1:81" hidden="1" x14ac:dyDescent="0.45">
      <c r="A36"/>
      <c r="F36"/>
      <c r="G36"/>
      <c r="H36"/>
      <c r="I36"/>
      <c r="J36"/>
      <c r="K36"/>
      <c r="L36"/>
      <c r="M36"/>
      <c r="N36"/>
      <c r="O36"/>
      <c r="P36"/>
      <c r="Q36"/>
      <c r="R36"/>
      <c r="S36"/>
      <c r="T36"/>
      <c r="U36"/>
      <c r="V36"/>
      <c r="W36"/>
      <c r="X36"/>
      <c r="Y36"/>
      <c r="Z36"/>
      <c r="AA36"/>
      <c r="AB36"/>
      <c r="AC36"/>
      <c r="AD36"/>
      <c r="AE36"/>
      <c r="AF36"/>
      <c r="AW36"/>
      <c r="AX36"/>
      <c r="AY36"/>
      <c r="AZ36"/>
      <c r="BA36"/>
      <c r="BB36"/>
      <c r="BC36"/>
      <c r="BR36" s="175"/>
      <c r="BS36" s="175"/>
      <c r="BT36" s="175"/>
      <c r="BU36" s="175"/>
      <c r="BV36" s="175"/>
      <c r="BW36" s="175"/>
      <c r="BX36" s="175"/>
      <c r="BY36" s="175"/>
      <c r="BZ36" s="175"/>
      <c r="CA36" s="175"/>
      <c r="CB36" s="175"/>
      <c r="CC36" s="175"/>
    </row>
    <row r="37" spans="1:81" hidden="1" x14ac:dyDescent="0.45">
      <c r="A37"/>
      <c r="F37"/>
      <c r="G37"/>
      <c r="H37"/>
      <c r="I37"/>
      <c r="J37"/>
      <c r="K37"/>
      <c r="L37"/>
      <c r="M37"/>
      <c r="N37"/>
      <c r="O37"/>
      <c r="P37"/>
      <c r="Q37"/>
      <c r="R37"/>
      <c r="S37"/>
      <c r="T37"/>
      <c r="U37"/>
      <c r="V37"/>
      <c r="W37"/>
      <c r="X37"/>
      <c r="Y37"/>
      <c r="Z37"/>
      <c r="AA37"/>
      <c r="AB37"/>
      <c r="AC37"/>
      <c r="AD37"/>
      <c r="AE37"/>
      <c r="AF37"/>
      <c r="AW37"/>
      <c r="AX37"/>
      <c r="AY37"/>
      <c r="AZ37"/>
      <c r="BA37"/>
      <c r="BB37"/>
      <c r="BC37"/>
      <c r="BR37" s="175"/>
      <c r="BS37" s="175"/>
      <c r="BT37" s="175"/>
      <c r="BU37" s="175"/>
      <c r="BV37" s="175"/>
      <c r="BW37" s="175"/>
      <c r="BX37" s="175"/>
      <c r="BY37" s="175"/>
      <c r="BZ37" s="175"/>
      <c r="CA37" s="175"/>
      <c r="CB37" s="175"/>
      <c r="CC37" s="175"/>
    </row>
    <row r="38" spans="1:81" hidden="1" x14ac:dyDescent="0.45">
      <c r="A38"/>
      <c r="F38"/>
      <c r="G38"/>
      <c r="H38"/>
      <c r="I38"/>
      <c r="J38"/>
      <c r="K38"/>
      <c r="L38"/>
      <c r="M38"/>
      <c r="N38"/>
      <c r="O38"/>
      <c r="P38"/>
      <c r="Q38"/>
      <c r="R38"/>
      <c r="S38"/>
      <c r="T38"/>
      <c r="U38"/>
      <c r="V38"/>
      <c r="W38"/>
      <c r="X38" s="72" t="s">
        <v>493</v>
      </c>
      <c r="Y38"/>
      <c r="Z38"/>
      <c r="AA38"/>
      <c r="AB38"/>
      <c r="AC38"/>
      <c r="AD38"/>
      <c r="AE38"/>
      <c r="AF38"/>
      <c r="AW38"/>
      <c r="AX38"/>
      <c r="AY38"/>
      <c r="AZ38"/>
      <c r="BA38"/>
      <c r="BB38"/>
      <c r="BC38"/>
      <c r="BR38" s="175"/>
      <c r="BS38" s="175"/>
      <c r="BT38" s="175"/>
      <c r="BU38" s="175"/>
      <c r="BV38" s="175"/>
      <c r="BW38" s="175"/>
      <c r="BX38" s="175"/>
      <c r="BY38" s="175"/>
      <c r="BZ38" s="175"/>
      <c r="CA38" s="175"/>
      <c r="CB38" s="175"/>
      <c r="CC38" s="175"/>
    </row>
    <row r="39" spans="1:81" hidden="1" x14ac:dyDescent="0.45">
      <c r="A39"/>
      <c r="F39"/>
      <c r="G39"/>
      <c r="H39"/>
      <c r="I39"/>
      <c r="J39"/>
      <c r="K39"/>
      <c r="L39"/>
      <c r="M39"/>
      <c r="N39"/>
      <c r="O39"/>
      <c r="P39"/>
      <c r="Q39"/>
      <c r="R39"/>
      <c r="S39"/>
      <c r="T39"/>
      <c r="U39"/>
      <c r="V39"/>
      <c r="W39"/>
      <c r="X39" t="s">
        <v>494</v>
      </c>
      <c r="Y39"/>
      <c r="Z39"/>
      <c r="AA39"/>
      <c r="AB39"/>
      <c r="AC39"/>
      <c r="AD39"/>
      <c r="AE39"/>
      <c r="AF39"/>
      <c r="AW39"/>
      <c r="AX39"/>
      <c r="AY39"/>
      <c r="AZ39"/>
      <c r="BA39"/>
      <c r="BB39"/>
      <c r="BC39"/>
      <c r="BR39" s="175"/>
      <c r="BS39" s="175"/>
      <c r="BT39" s="175"/>
      <c r="BU39" s="175"/>
      <c r="BV39" s="175"/>
      <c r="BW39" s="175"/>
      <c r="BX39" s="175"/>
      <c r="BY39" s="175"/>
      <c r="BZ39" s="175"/>
      <c r="CA39" s="175"/>
      <c r="CB39" s="175"/>
      <c r="CC39" s="175"/>
    </row>
    <row r="40" spans="1:81" hidden="1" x14ac:dyDescent="0.45">
      <c r="A40"/>
      <c r="F40"/>
      <c r="G40"/>
      <c r="H40"/>
      <c r="I40"/>
      <c r="J40"/>
      <c r="K40"/>
      <c r="L40"/>
      <c r="M40"/>
      <c r="N40"/>
      <c r="O40"/>
      <c r="P40"/>
      <c r="Q40"/>
      <c r="R40"/>
      <c r="S40"/>
      <c r="T40"/>
      <c r="U40"/>
      <c r="V40"/>
      <c r="W40"/>
      <c r="X40" t="s">
        <v>662</v>
      </c>
      <c r="Y40"/>
      <c r="Z40"/>
      <c r="AA40"/>
      <c r="AB40"/>
      <c r="AC40"/>
      <c r="AD40"/>
      <c r="AE40"/>
      <c r="AF40"/>
      <c r="AW40"/>
      <c r="AX40"/>
      <c r="AY40"/>
      <c r="AZ40"/>
      <c r="BA40"/>
      <c r="BB40"/>
      <c r="BC40"/>
      <c r="BR40" s="175"/>
      <c r="BS40" s="175"/>
      <c r="BT40" s="175"/>
      <c r="BU40" s="175"/>
      <c r="BV40" s="748"/>
      <c r="BW40" s="175"/>
      <c r="BX40" s="175"/>
      <c r="BY40" s="175"/>
      <c r="BZ40" s="175"/>
      <c r="CA40" s="175"/>
      <c r="CB40" s="748"/>
      <c r="CC40" s="175"/>
    </row>
    <row r="41" spans="1:81" hidden="1" x14ac:dyDescent="0.45">
      <c r="A41"/>
      <c r="F41"/>
      <c r="G41"/>
      <c r="H41"/>
      <c r="I41"/>
      <c r="J41"/>
      <c r="K41"/>
      <c r="L41"/>
      <c r="M41"/>
      <c r="N41"/>
      <c r="O41"/>
      <c r="P41"/>
      <c r="Q41"/>
      <c r="R41"/>
      <c r="S41"/>
      <c r="T41"/>
      <c r="U41"/>
      <c r="V41"/>
      <c r="W41"/>
      <c r="X41" t="s">
        <v>499</v>
      </c>
      <c r="Y41"/>
      <c r="Z41"/>
      <c r="AA41"/>
      <c r="AB41"/>
      <c r="AC41"/>
      <c r="AD41"/>
      <c r="AE41"/>
      <c r="AF41"/>
      <c r="AW41"/>
      <c r="AX41"/>
      <c r="AY41"/>
      <c r="AZ41"/>
      <c r="BA41"/>
      <c r="BB41"/>
      <c r="BC41"/>
      <c r="BR41" s="175"/>
      <c r="BS41" s="175"/>
      <c r="BT41" s="175"/>
      <c r="BU41" s="175"/>
      <c r="BV41" s="175"/>
      <c r="BW41" s="175"/>
      <c r="BX41" s="175"/>
      <c r="BY41" s="175"/>
      <c r="BZ41" s="175"/>
      <c r="CA41" s="175"/>
      <c r="CB41" s="175"/>
      <c r="CC41" s="175"/>
    </row>
    <row r="42" spans="1:81" hidden="1" x14ac:dyDescent="0.45">
      <c r="A42"/>
      <c r="E42"/>
      <c r="F42"/>
      <c r="G42"/>
      <c r="H42"/>
      <c r="I42"/>
      <c r="J42"/>
      <c r="K42"/>
      <c r="L42"/>
      <c r="M42"/>
      <c r="N42"/>
      <c r="O42"/>
      <c r="P42"/>
      <c r="Q42"/>
      <c r="R42"/>
      <c r="S42"/>
      <c r="T42"/>
      <c r="U42"/>
      <c r="V42"/>
      <c r="W42"/>
      <c r="X42"/>
      <c r="Y42"/>
      <c r="Z42"/>
      <c r="AA42"/>
      <c r="AB42"/>
      <c r="AC42"/>
      <c r="AD42"/>
      <c r="AE42"/>
      <c r="AF42"/>
      <c r="AW42"/>
      <c r="AX42"/>
      <c r="AY42"/>
      <c r="AZ42"/>
      <c r="BA42"/>
      <c r="BB42"/>
      <c r="BC42"/>
      <c r="BR42" s="175"/>
      <c r="BS42" s="175"/>
      <c r="BT42" s="175"/>
      <c r="BU42" s="175"/>
      <c r="BV42" s="175"/>
      <c r="BW42" s="175"/>
      <c r="BX42" s="175"/>
      <c r="BY42" s="175"/>
      <c r="BZ42" s="175"/>
      <c r="CA42" s="175"/>
      <c r="CB42" s="175"/>
      <c r="CC42" s="175"/>
    </row>
    <row r="43" spans="1:81" hidden="1" x14ac:dyDescent="0.45">
      <c r="A43"/>
      <c r="E43"/>
      <c r="F43"/>
      <c r="G43"/>
      <c r="H43"/>
      <c r="I43"/>
      <c r="J43"/>
      <c r="K43"/>
      <c r="L43"/>
      <c r="M43"/>
      <c r="N43"/>
      <c r="O43"/>
      <c r="P43"/>
      <c r="Q43"/>
      <c r="R43"/>
      <c r="S43"/>
      <c r="T43"/>
      <c r="U43"/>
      <c r="V43"/>
      <c r="W43"/>
      <c r="X43"/>
      <c r="Y43"/>
      <c r="Z43"/>
      <c r="AA43"/>
      <c r="AB43"/>
      <c r="AC43"/>
      <c r="AD43"/>
      <c r="AE43"/>
      <c r="AF43"/>
      <c r="AW43"/>
      <c r="AX43"/>
      <c r="AY43"/>
      <c r="AZ43"/>
      <c r="BA43"/>
      <c r="BB43"/>
      <c r="BC43"/>
      <c r="BR43" s="175"/>
      <c r="BS43" s="175"/>
      <c r="BT43" s="175"/>
      <c r="BU43" s="175"/>
      <c r="BV43" s="175"/>
      <c r="BW43" s="175"/>
      <c r="BX43" s="175"/>
      <c r="BY43" s="175"/>
      <c r="BZ43" s="175"/>
      <c r="CA43" s="175"/>
      <c r="CB43" s="175"/>
      <c r="CC43" s="175"/>
    </row>
    <row r="44" spans="1:81" hidden="1" x14ac:dyDescent="0.45">
      <c r="A44"/>
      <c r="F44" s="69"/>
      <c r="G44" s="69"/>
      <c r="H44"/>
      <c r="I44"/>
      <c r="J44"/>
      <c r="K44"/>
      <c r="L44"/>
      <c r="M44"/>
      <c r="N44"/>
      <c r="O44"/>
      <c r="P44"/>
      <c r="Q44"/>
      <c r="R44"/>
      <c r="S44"/>
      <c r="T44"/>
      <c r="U44"/>
      <c r="V44"/>
      <c r="W44"/>
      <c r="X44"/>
      <c r="Y44"/>
      <c r="Z44"/>
      <c r="AA44"/>
      <c r="AB44"/>
      <c r="AC44"/>
      <c r="AD44"/>
      <c r="AE44"/>
      <c r="AF44"/>
      <c r="AW44"/>
      <c r="AX44"/>
      <c r="AY44"/>
      <c r="AZ44"/>
      <c r="BA44"/>
      <c r="BB44"/>
      <c r="BC44"/>
      <c r="BR44" s="175"/>
      <c r="BS44" s="175"/>
      <c r="BT44" s="175"/>
      <c r="BU44" s="175"/>
      <c r="BV44" s="175"/>
      <c r="BW44" s="175"/>
      <c r="BX44" s="175"/>
      <c r="BY44" s="175"/>
      <c r="BZ44" s="175"/>
      <c r="CA44" s="175"/>
      <c r="CB44" s="175"/>
    </row>
    <row r="45" spans="1:81" hidden="1" x14ac:dyDescent="0.45">
      <c r="A45"/>
      <c r="H45"/>
      <c r="I45"/>
      <c r="J45"/>
      <c r="K45"/>
      <c r="L45"/>
      <c r="M45"/>
      <c r="N45"/>
      <c r="O45"/>
      <c r="P45"/>
      <c r="Q45"/>
      <c r="R45"/>
      <c r="S45"/>
      <c r="T45"/>
      <c r="U45"/>
      <c r="V45"/>
      <c r="W45"/>
      <c r="X45"/>
      <c r="Y45"/>
      <c r="Z45"/>
      <c r="AA45"/>
      <c r="AB45"/>
      <c r="AC45"/>
      <c r="AD45"/>
      <c r="AE45"/>
      <c r="AF45"/>
      <c r="AW45"/>
      <c r="AX45"/>
      <c r="AY45"/>
      <c r="AZ45"/>
      <c r="BA45"/>
      <c r="BB45"/>
      <c r="BC45"/>
    </row>
    <row r="46" spans="1:81" hidden="1" x14ac:dyDescent="0.45">
      <c r="A46" s="72"/>
      <c r="H46"/>
      <c r="I46"/>
      <c r="J46"/>
      <c r="K46"/>
      <c r="L46"/>
      <c r="M46"/>
      <c r="N46"/>
      <c r="O46"/>
      <c r="P46"/>
      <c r="Q46"/>
      <c r="R46"/>
      <c r="S46"/>
      <c r="T46"/>
      <c r="U46"/>
      <c r="V46"/>
      <c r="W46"/>
      <c r="X46"/>
      <c r="Y46"/>
      <c r="Z46"/>
      <c r="AA46"/>
      <c r="AB46"/>
      <c r="AC46"/>
      <c r="AD46" s="69"/>
      <c r="AE46" s="69"/>
      <c r="AF46" s="71"/>
      <c r="AW46" s="69"/>
      <c r="AX46" s="175"/>
      <c r="AY46" s="175"/>
      <c r="AZ46" s="175"/>
      <c r="BA46" s="175"/>
      <c r="BB46" s="175"/>
      <c r="BC46"/>
    </row>
    <row r="47" spans="1:81" hidden="1" x14ac:dyDescent="0.45">
      <c r="H47" s="69"/>
      <c r="I47" s="69"/>
      <c r="J47" s="69"/>
      <c r="K47" s="69"/>
      <c r="L47" s="69"/>
      <c r="M47" s="69"/>
      <c r="N47" s="69"/>
      <c r="O47" s="69"/>
      <c r="P47" s="69"/>
      <c r="Q47" s="69"/>
      <c r="R47" s="69"/>
      <c r="S47" s="69"/>
      <c r="T47" s="69"/>
      <c r="U47" s="69"/>
      <c r="V47" s="69"/>
      <c r="W47" s="69"/>
      <c r="X47" s="69"/>
      <c r="Y47" s="69"/>
      <c r="Z47" s="69"/>
      <c r="AA47" s="69"/>
      <c r="AB47" s="69"/>
      <c r="AC47" s="69"/>
      <c r="AX47" s="69"/>
      <c r="AY47" s="69"/>
      <c r="AZ47" s="69"/>
      <c r="BA47" s="69"/>
      <c r="BB47" s="69"/>
      <c r="BC47" s="69"/>
    </row>
    <row r="48" spans="1:81" hidden="1" x14ac:dyDescent="0.45"/>
    <row r="49" spans="5:13" hidden="1" x14ac:dyDescent="0.45"/>
    <row r="50" spans="5:13" hidden="1" x14ac:dyDescent="0.45"/>
    <row r="51" spans="5:13" hidden="1" x14ac:dyDescent="0.45"/>
    <row r="52" spans="5:13" hidden="1" x14ac:dyDescent="0.45"/>
    <row r="53" spans="5:13" hidden="1" x14ac:dyDescent="0.45">
      <c r="E53" s="1019"/>
      <c r="F53" s="1020"/>
      <c r="G53" s="1020"/>
      <c r="H53" s="1020"/>
      <c r="I53" s="1020"/>
      <c r="J53" s="1020"/>
      <c r="K53" s="1020"/>
      <c r="L53" s="1020"/>
      <c r="M53" s="1020"/>
    </row>
    <row r="54" spans="5:13" hidden="1" x14ac:dyDescent="0.45">
      <c r="E54" s="1019"/>
      <c r="F54" s="1020"/>
      <c r="G54" s="1020"/>
      <c r="H54" s="1020"/>
      <c r="I54" s="1020"/>
      <c r="J54" s="1020"/>
      <c r="K54" s="1020"/>
      <c r="L54" s="1020"/>
      <c r="M54" s="1020"/>
    </row>
    <row r="55" spans="5:13" hidden="1" x14ac:dyDescent="0.45">
      <c r="E55" s="1021"/>
      <c r="F55" s="1021"/>
      <c r="G55" s="1021"/>
      <c r="H55" s="1021"/>
      <c r="I55" s="1021"/>
      <c r="J55" s="1021"/>
      <c r="K55" s="1021"/>
      <c r="L55" s="1021"/>
      <c r="M55" s="1021"/>
    </row>
    <row r="56" spans="5:13" hidden="1" x14ac:dyDescent="0.45"/>
    <row r="57" spans="5:13" hidden="1" x14ac:dyDescent="0.45"/>
    <row r="58" spans="5:13" hidden="1" x14ac:dyDescent="0.45"/>
    <row r="59" spans="5:13" hidden="1" x14ac:dyDescent="0.45"/>
    <row r="60" spans="5:13" hidden="1" x14ac:dyDescent="0.45"/>
    <row r="61" spans="5:13" hidden="1" x14ac:dyDescent="0.45"/>
    <row r="62" spans="5:13" hidden="1" x14ac:dyDescent="0.45"/>
    <row r="63" spans="5:13" hidden="1" x14ac:dyDescent="0.45"/>
    <row r="64" spans="5:13"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q0isQLt84ROQzbG/vN2rZehg+RXE4A6x0yw2T54dMFVWF1urlJ5n6LLA4VkWWXI2tigLHnUOFOswZKDG2GESIw==" saltValue="KwR+aX63qZi6AR7OT9f7fg==" spinCount="100000" sheet="1" objects="1" scenarios="1" selectLockedCells="1" selectUnlockedCells="1"/>
  <mergeCells count="51">
    <mergeCell ref="B5:C5"/>
    <mergeCell ref="B6:C6"/>
    <mergeCell ref="BR2:BV2"/>
    <mergeCell ref="AI3:AI4"/>
    <mergeCell ref="L3:N3"/>
    <mergeCell ref="R3:T3"/>
    <mergeCell ref="U3:W3"/>
    <mergeCell ref="X3:Z3"/>
    <mergeCell ref="O3:Q3"/>
    <mergeCell ref="CF2:DD2"/>
    <mergeCell ref="DF2:ED2"/>
    <mergeCell ref="BX2:CB2"/>
    <mergeCell ref="AX2:BP2"/>
    <mergeCell ref="AH2:AV2"/>
    <mergeCell ref="V20:W20"/>
    <mergeCell ref="Y20:Z20"/>
    <mergeCell ref="AB20:AC20"/>
    <mergeCell ref="B2:C2"/>
    <mergeCell ref="B7:C7"/>
    <mergeCell ref="E2:AF2"/>
    <mergeCell ref="B9:C9"/>
    <mergeCell ref="B8:C8"/>
    <mergeCell ref="AA3:AC3"/>
    <mergeCell ref="AD3:AF3"/>
    <mergeCell ref="F3:H3"/>
    <mergeCell ref="B10:C10"/>
    <mergeCell ref="B11:C11"/>
    <mergeCell ref="I3:K3"/>
    <mergeCell ref="B3:C3"/>
    <mergeCell ref="B4:C4"/>
    <mergeCell ref="P20:Q20"/>
    <mergeCell ref="G20:H20"/>
    <mergeCell ref="J20:K20"/>
    <mergeCell ref="M20:N20"/>
    <mergeCell ref="S20:T20"/>
    <mergeCell ref="V21:W21"/>
    <mergeCell ref="Y21:Z21"/>
    <mergeCell ref="AB21:AC21"/>
    <mergeCell ref="G22:H22"/>
    <mergeCell ref="J22:K22"/>
    <mergeCell ref="M22:N22"/>
    <mergeCell ref="P22:Q22"/>
    <mergeCell ref="S22:T22"/>
    <mergeCell ref="V22:W22"/>
    <mergeCell ref="Y22:Z22"/>
    <mergeCell ref="AB22:AC22"/>
    <mergeCell ref="G21:H21"/>
    <mergeCell ref="M21:N21"/>
    <mergeCell ref="J21:K21"/>
    <mergeCell ref="P21:Q21"/>
    <mergeCell ref="S21:T21"/>
  </mergeCells>
  <conditionalFormatting sqref="F5:AF19">
    <cfRule type="cellIs" dxfId="136" priority="1" operator="equal">
      <formula>0</formula>
    </cfRule>
  </conditionalFormatting>
  <dataValidations count="6">
    <dataValidation type="list" allowBlank="1" showInputMessage="1" showErrorMessage="1" sqref="CD3" xr:uid="{00000000-0002-0000-0100-000000000000}">
      <formula1>$CD$4:$CD$6</formula1>
    </dataValidation>
    <dataValidation type="list" allowBlank="1" showInputMessage="1" showErrorMessage="1" sqref="G20 J20 AE20 M20 P20 S20 V20 Y20 AB20" xr:uid="{00000000-0002-0000-0100-000001000000}">
      <formula1>sports_running_name</formula1>
    </dataValidation>
    <dataValidation type="list" allowBlank="1" showInputMessage="1" showErrorMessage="1" sqref="G21:H21 J21:K21 M21:N21 P21:Q21 S21:T21 V21:W21 Y21:Z21 AB21:AC21" xr:uid="{00000000-0002-0000-0100-000002000000}">
      <formula1>sports_cycling_name</formula1>
    </dataValidation>
    <dataValidation type="list" allowBlank="1" showInputMessage="1" showErrorMessage="1" sqref="G22:H22 J22:K22 M22:N22 P22:Q22 S22:T22 V22:W22 Y22:Z22 AB22:AC22" xr:uid="{00000000-0002-0000-0100-000003000000}">
      <formula1>sports_swimming_name</formula1>
    </dataValidation>
    <dataValidation type="list" allowBlank="1" showInputMessage="1" showErrorMessage="1" sqref="BV3" xr:uid="{00000000-0002-0000-0100-000004000000}">
      <formula1>fatigue_method_options</formula1>
    </dataValidation>
    <dataValidation type="list" allowBlank="1" showInputMessage="1" showErrorMessage="1" sqref="CB3" xr:uid="{00000000-0002-0000-0100-000005000000}">
      <formula1>fitness_method_options</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sheetPr>
  <dimension ref="A1:AB2000"/>
  <sheetViews>
    <sheetView showGridLines="0" showRowColHeaders="0" topLeftCell="A2001" zoomScale="70" zoomScaleNormal="70" workbookViewId="0">
      <selection activeCell="P28" sqref="P28"/>
    </sheetView>
  </sheetViews>
  <sheetFormatPr defaultColWidth="9.1328125" defaultRowHeight="14.25" x14ac:dyDescent="0.45"/>
  <cols>
    <col min="1" max="1" width="1.3984375" style="1" customWidth="1"/>
    <col min="2" max="2" width="21.1328125" style="1" customWidth="1"/>
    <col min="3" max="3" width="12" style="2" customWidth="1"/>
    <col min="4" max="27" width="22.86328125" style="1" customWidth="1"/>
    <col min="28" max="28" width="9.1328125" style="931"/>
    <col min="29" max="16384" width="9.1328125" style="1"/>
  </cols>
  <sheetData>
    <row r="1" spans="1:28" ht="7.5" hidden="1" customHeight="1" thickBot="1" x14ac:dyDescent="0.5"/>
    <row r="2" spans="1:28" s="2" customFormat="1" hidden="1" x14ac:dyDescent="0.45">
      <c r="B2" s="1609" t="s">
        <v>149</v>
      </c>
      <c r="C2" s="1610"/>
      <c r="D2" s="775" t="s">
        <v>80</v>
      </c>
      <c r="E2" s="775" t="s">
        <v>11</v>
      </c>
      <c r="F2" s="776" t="s">
        <v>13</v>
      </c>
      <c r="G2" s="775" t="s">
        <v>623</v>
      </c>
      <c r="H2" s="254" t="s">
        <v>81</v>
      </c>
      <c r="I2" s="775" t="s">
        <v>16</v>
      </c>
      <c r="J2" s="254" t="s">
        <v>82</v>
      </c>
      <c r="K2" s="775" t="s">
        <v>19</v>
      </c>
      <c r="L2" s="254" t="s">
        <v>21</v>
      </c>
      <c r="M2" s="775" t="s">
        <v>23</v>
      </c>
      <c r="N2" s="254" t="s">
        <v>83</v>
      </c>
      <c r="O2" s="775" t="s">
        <v>28</v>
      </c>
      <c r="P2" s="254" t="s">
        <v>30</v>
      </c>
      <c r="Q2" s="775" t="s">
        <v>32</v>
      </c>
      <c r="R2" s="254" t="s">
        <v>34</v>
      </c>
      <c r="S2" s="775" t="s">
        <v>36</v>
      </c>
      <c r="T2" s="254" t="s">
        <v>38</v>
      </c>
      <c r="U2" s="777" t="s">
        <v>53</v>
      </c>
      <c r="V2" s="777" t="s">
        <v>548</v>
      </c>
      <c r="W2" s="777" t="s">
        <v>562</v>
      </c>
      <c r="X2" s="777" t="s">
        <v>642</v>
      </c>
      <c r="Y2" s="777"/>
      <c r="Z2" s="777"/>
      <c r="AA2" s="778" t="s">
        <v>49</v>
      </c>
      <c r="AB2" s="932" t="s">
        <v>388</v>
      </c>
    </row>
    <row r="3" spans="1:28" s="2" customFormat="1" hidden="1" x14ac:dyDescent="0.45">
      <c r="B3" s="1598" t="s">
        <v>152</v>
      </c>
      <c r="C3" s="1599"/>
      <c r="D3" s="923">
        <f>C3+1</f>
        <v>1</v>
      </c>
      <c r="E3" s="923">
        <f t="shared" ref="E3:AA3" si="0">D3+1</f>
        <v>2</v>
      </c>
      <c r="F3" s="924">
        <f t="shared" si="0"/>
        <v>3</v>
      </c>
      <c r="G3" s="923">
        <f t="shared" si="0"/>
        <v>4</v>
      </c>
      <c r="H3" s="922">
        <f t="shared" si="0"/>
        <v>5</v>
      </c>
      <c r="I3" s="923">
        <f t="shared" si="0"/>
        <v>6</v>
      </c>
      <c r="J3" s="922">
        <f t="shared" si="0"/>
        <v>7</v>
      </c>
      <c r="K3" s="923">
        <f t="shared" si="0"/>
        <v>8</v>
      </c>
      <c r="L3" s="922">
        <f t="shared" si="0"/>
        <v>9</v>
      </c>
      <c r="M3" s="923">
        <f t="shared" si="0"/>
        <v>10</v>
      </c>
      <c r="N3" s="922">
        <f t="shared" si="0"/>
        <v>11</v>
      </c>
      <c r="O3" s="923">
        <f t="shared" si="0"/>
        <v>12</v>
      </c>
      <c r="P3" s="922">
        <f t="shared" si="0"/>
        <v>13</v>
      </c>
      <c r="Q3" s="923">
        <f t="shared" si="0"/>
        <v>14</v>
      </c>
      <c r="R3" s="922">
        <f t="shared" si="0"/>
        <v>15</v>
      </c>
      <c r="S3" s="928">
        <f t="shared" si="0"/>
        <v>16</v>
      </c>
      <c r="T3" s="929">
        <f t="shared" si="0"/>
        <v>17</v>
      </c>
      <c r="U3" s="928">
        <f t="shared" si="0"/>
        <v>18</v>
      </c>
      <c r="V3" s="928">
        <f t="shared" si="0"/>
        <v>19</v>
      </c>
      <c r="W3" s="928">
        <f t="shared" si="0"/>
        <v>20</v>
      </c>
      <c r="X3" s="928">
        <f t="shared" si="0"/>
        <v>21</v>
      </c>
      <c r="Y3" s="928">
        <f t="shared" si="0"/>
        <v>22</v>
      </c>
      <c r="Z3" s="928">
        <f t="shared" si="0"/>
        <v>23</v>
      </c>
      <c r="AA3" s="930">
        <f t="shared" si="0"/>
        <v>24</v>
      </c>
      <c r="AB3" s="932" t="s">
        <v>388</v>
      </c>
    </row>
    <row r="4" spans="1:28" s="98" customFormat="1" hidden="1" x14ac:dyDescent="0.45">
      <c r="B4" s="1621" t="s">
        <v>84</v>
      </c>
      <c r="C4" s="1622"/>
      <c r="D4" s="382" t="s">
        <v>85</v>
      </c>
      <c r="E4" s="382" t="s">
        <v>86</v>
      </c>
      <c r="F4" s="383" t="s">
        <v>473</v>
      </c>
      <c r="G4" s="382" t="s">
        <v>624</v>
      </c>
      <c r="H4" s="384" t="s">
        <v>87</v>
      </c>
      <c r="I4" s="382" t="s">
        <v>88</v>
      </c>
      <c r="J4" s="384" t="s">
        <v>89</v>
      </c>
      <c r="K4" s="382" t="s">
        <v>90</v>
      </c>
      <c r="L4" s="384" t="s">
        <v>91</v>
      </c>
      <c r="M4" s="382" t="s">
        <v>92</v>
      </c>
      <c r="N4" s="384" t="s">
        <v>93</v>
      </c>
      <c r="O4" s="382" t="s">
        <v>94</v>
      </c>
      <c r="P4" s="384" t="s">
        <v>95</v>
      </c>
      <c r="Q4" s="382" t="s">
        <v>96</v>
      </c>
      <c r="R4" s="385" t="s">
        <v>97</v>
      </c>
      <c r="S4" s="925" t="s">
        <v>98</v>
      </c>
      <c r="T4" s="926" t="s">
        <v>99</v>
      </c>
      <c r="U4" s="927"/>
      <c r="V4" s="925"/>
      <c r="W4" s="925" t="s">
        <v>563</v>
      </c>
      <c r="X4" s="382" t="s">
        <v>473</v>
      </c>
      <c r="Y4" s="1208"/>
      <c r="Z4" s="925"/>
      <c r="AA4" s="1001" t="s">
        <v>473</v>
      </c>
      <c r="AB4" s="933" t="s">
        <v>388</v>
      </c>
    </row>
    <row r="5" spans="1:28" s="95" customFormat="1" ht="15" hidden="1" customHeight="1" x14ac:dyDescent="0.45">
      <c r="A5" s="349"/>
      <c r="B5" s="1617" t="s">
        <v>128</v>
      </c>
      <c r="C5" s="1618"/>
      <c r="D5" s="386" t="s">
        <v>580</v>
      </c>
      <c r="E5" s="387" t="s">
        <v>581</v>
      </c>
      <c r="F5" s="387" t="s">
        <v>582</v>
      </c>
      <c r="G5" s="387" t="s">
        <v>582</v>
      </c>
      <c r="H5" s="387" t="s">
        <v>583</v>
      </c>
      <c r="I5" s="387" t="s">
        <v>583</v>
      </c>
      <c r="J5" s="386" t="s">
        <v>584</v>
      </c>
      <c r="K5" s="387" t="s">
        <v>584</v>
      </c>
      <c r="L5" s="387" t="s">
        <v>579</v>
      </c>
      <c r="M5" s="387" t="s">
        <v>585</v>
      </c>
      <c r="N5" s="387" t="s">
        <v>586</v>
      </c>
      <c r="O5" s="387" t="s">
        <v>587</v>
      </c>
      <c r="P5" s="387" t="s">
        <v>704</v>
      </c>
      <c r="Q5" s="386" t="s">
        <v>703</v>
      </c>
      <c r="R5" s="386" t="s">
        <v>666</v>
      </c>
      <c r="S5" s="386" t="s">
        <v>590</v>
      </c>
      <c r="T5" s="755" t="s">
        <v>38</v>
      </c>
      <c r="U5" s="386" t="s">
        <v>598</v>
      </c>
      <c r="V5" s="386" t="s">
        <v>588</v>
      </c>
      <c r="W5" s="386" t="str">
        <f t="shared" ref="W5:X14" si="1">G5</f>
        <v>Easy SS: TT minutes</v>
      </c>
      <c r="X5" s="386" t="s">
        <v>643</v>
      </c>
      <c r="Y5" s="386"/>
      <c r="Z5" s="386"/>
      <c r="AA5" s="1002" t="s">
        <v>637</v>
      </c>
      <c r="AB5" s="934" t="s">
        <v>388</v>
      </c>
    </row>
    <row r="6" spans="1:28" ht="45" hidden="1" customHeight="1" x14ac:dyDescent="0.45">
      <c r="B6" s="1615" t="s">
        <v>63</v>
      </c>
      <c r="C6" s="1616"/>
      <c r="D6" s="760" t="s">
        <v>100</v>
      </c>
      <c r="E6" s="760" t="s">
        <v>101</v>
      </c>
      <c r="F6" s="761" t="s">
        <v>102</v>
      </c>
      <c r="G6" s="760" t="s">
        <v>102</v>
      </c>
      <c r="H6" s="762" t="s">
        <v>448</v>
      </c>
      <c r="I6" s="760" t="str">
        <f>element_aim_long</f>
        <v>Improve aerobic fitness at an optimal rate.</v>
      </c>
      <c r="J6" s="762" t="s">
        <v>103</v>
      </c>
      <c r="K6" s="760" t="str">
        <f>element_aim_tempo</f>
        <v xml:space="preserve">Improve aerobic fitness and energy utilisation. </v>
      </c>
      <c r="L6" s="762" t="s">
        <v>104</v>
      </c>
      <c r="M6" s="760" t="s">
        <v>105</v>
      </c>
      <c r="N6" s="762" t="s">
        <v>105</v>
      </c>
      <c r="O6" s="760" t="s">
        <v>106</v>
      </c>
      <c r="P6" s="762" t="s">
        <v>107</v>
      </c>
      <c r="Q6" s="760" t="s">
        <v>108</v>
      </c>
      <c r="R6" s="762" t="s">
        <v>109</v>
      </c>
      <c r="S6" s="760" t="s">
        <v>110</v>
      </c>
      <c r="T6" s="762" t="s">
        <v>111</v>
      </c>
      <c r="U6" s="760" t="s">
        <v>112</v>
      </c>
      <c r="V6" s="760" t="s">
        <v>549</v>
      </c>
      <c r="W6" s="760" t="str">
        <f t="shared" si="1"/>
        <v xml:space="preserve">Improve aerobic fitness while minimising the chance of injury. </v>
      </c>
      <c r="X6" s="760" t="s">
        <v>644</v>
      </c>
      <c r="Y6" s="760"/>
      <c r="Z6" s="760"/>
      <c r="AA6" s="768" t="s">
        <v>638</v>
      </c>
      <c r="AB6" s="931" t="s">
        <v>388</v>
      </c>
    </row>
    <row r="7" spans="1:28" s="96" customFormat="1" ht="142.5" hidden="1" x14ac:dyDescent="0.45">
      <c r="B7" s="1611" t="s">
        <v>70</v>
      </c>
      <c r="C7" s="1612"/>
      <c r="D7" s="759" t="s">
        <v>113</v>
      </c>
      <c r="E7" s="759" t="s">
        <v>396</v>
      </c>
      <c r="F7" s="765" t="s">
        <v>114</v>
      </c>
      <c r="G7" s="759" t="s">
        <v>114</v>
      </c>
      <c r="H7" s="766" t="s">
        <v>114</v>
      </c>
      <c r="I7" s="759" t="str">
        <f>element_description_long</f>
        <v>Stay at a comfortable and controlled intensity where you should be able to have a conversation without large pauses. Keep an even intensity and accept that your pace may change as the terrain changes.</v>
      </c>
      <c r="J7" s="766" t="s">
        <v>607</v>
      </c>
      <c r="K7" s="759" t="str">
        <f>J7</f>
        <v xml:space="preserve">Fundamentally a steady, but you can be less strict at controlling your intensity as long as your average intensity is close to it's target by the end of the session </v>
      </c>
      <c r="L7" s="766" t="s">
        <v>610</v>
      </c>
      <c r="M7" s="759" t="s">
        <v>680</v>
      </c>
      <c r="N7" s="766" t="s">
        <v>680</v>
      </c>
      <c r="O7" s="759" t="s">
        <v>611</v>
      </c>
      <c r="P7" s="766" t="s">
        <v>679</v>
      </c>
      <c r="Q7" s="759" t="s">
        <v>360</v>
      </c>
      <c r="R7" s="766" t="s">
        <v>361</v>
      </c>
      <c r="S7" s="759" t="s">
        <v>472</v>
      </c>
      <c r="T7" s="766" t="s">
        <v>115</v>
      </c>
      <c r="U7" s="759" t="s">
        <v>116</v>
      </c>
      <c r="V7" s="759" t="s">
        <v>550</v>
      </c>
      <c r="W7" s="759" t="str">
        <f t="shared" si="1"/>
        <v>Stay at a comfortable and controlled intensity where you should be able to have a conversation without large pauses. Keep an even intensity and accept that your pace may change as the terrain changes.</v>
      </c>
      <c r="X7" s="759" t="s">
        <v>657</v>
      </c>
      <c r="Y7" s="759"/>
      <c r="Z7" s="759"/>
      <c r="AA7" s="769" t="s">
        <v>639</v>
      </c>
      <c r="AB7" s="935" t="s">
        <v>388</v>
      </c>
    </row>
    <row r="8" spans="1:28" s="96" customFormat="1" ht="45" hidden="1" customHeight="1" x14ac:dyDescent="0.45">
      <c r="B8" s="1613" t="s">
        <v>117</v>
      </c>
      <c r="C8" s="1614"/>
      <c r="D8" s="763" t="s">
        <v>118</v>
      </c>
      <c r="E8" s="763" t="s">
        <v>119</v>
      </c>
      <c r="F8" s="764" t="s">
        <v>120</v>
      </c>
      <c r="G8" s="763" t="s">
        <v>120</v>
      </c>
      <c r="H8" s="750" t="s">
        <v>120</v>
      </c>
      <c r="I8" s="763" t="str">
        <f>H8</f>
        <v>This low intensity exercise lightly stresses the aerobic energy system and metabolic pathway, and relevant musculoskeletal systems.  This strengthens your heart, increases amount of haemoglobin in your blood, the number of capillaries in your muscles, number and size of mitochondria in your cells, conditions soft tissue, and improves neuromuscular connections. The low intensity also minimises the chance of overtraining.</v>
      </c>
      <c r="J8" s="750" t="s">
        <v>608</v>
      </c>
      <c r="K8" s="763" t="str">
        <f>J8</f>
        <v>Same as steady, but the longer duration provides additional stresses as more biochemical changes accumulate as the run continues, such as reduced availability of carbohydrates and increased muscle acidosis.</v>
      </c>
      <c r="L8" s="750" t="s">
        <v>609</v>
      </c>
      <c r="M8" s="763" t="s">
        <v>121</v>
      </c>
      <c r="N8" s="750" t="s">
        <v>121</v>
      </c>
      <c r="O8" s="763" t="s">
        <v>122</v>
      </c>
      <c r="P8" s="750" t="s">
        <v>123</v>
      </c>
      <c r="Q8" s="763" t="s">
        <v>124</v>
      </c>
      <c r="R8" s="750" t="s">
        <v>740</v>
      </c>
      <c r="S8" s="763" t="s">
        <v>125</v>
      </c>
      <c r="T8" s="750" t="s">
        <v>126</v>
      </c>
      <c r="U8" s="763" t="s">
        <v>127</v>
      </c>
      <c r="V8" s="763" t="s">
        <v>551</v>
      </c>
      <c r="W8" s="763" t="str">
        <f t="shared" si="1"/>
        <v>This low intensity exercise lightly stresses the aerobic energy system and metabolic pathway, and relevant musculoskeletal systems.  This strengthens your heart, increases amount of haemoglobin in your blood, the number of capillaries in your muscles, number and size of mitochondria in your cells, conditions soft tissue, and improves neuromuscular connections. The low intensity also minimises the chance of overtraining.</v>
      </c>
      <c r="X8" s="763" t="s">
        <v>645</v>
      </c>
      <c r="Y8" s="763"/>
      <c r="Z8" s="763"/>
      <c r="AA8" s="770" t="s">
        <v>640</v>
      </c>
      <c r="AB8" s="935" t="s">
        <v>388</v>
      </c>
    </row>
    <row r="9" spans="1:28" s="96" customFormat="1" hidden="1" x14ac:dyDescent="0.45">
      <c r="B9" s="1619" t="s">
        <v>129</v>
      </c>
      <c r="C9" s="1620"/>
      <c r="D9" s="388" t="s">
        <v>130</v>
      </c>
      <c r="E9" s="388" t="s">
        <v>130</v>
      </c>
      <c r="F9" s="388" t="s">
        <v>130</v>
      </c>
      <c r="G9" s="388" t="s">
        <v>130</v>
      </c>
      <c r="H9" s="388" t="s">
        <v>130</v>
      </c>
      <c r="I9" s="388" t="s">
        <v>130</v>
      </c>
      <c r="J9" s="388" t="s">
        <v>130</v>
      </c>
      <c r="K9" s="388" t="s">
        <v>130</v>
      </c>
      <c r="L9" s="388" t="s">
        <v>131</v>
      </c>
      <c r="M9" s="388" t="s">
        <v>131</v>
      </c>
      <c r="N9" s="388" t="s">
        <v>131</v>
      </c>
      <c r="O9" s="388" t="s">
        <v>131</v>
      </c>
      <c r="P9" s="388" t="s">
        <v>131</v>
      </c>
      <c r="Q9" s="388" t="s">
        <v>131</v>
      </c>
      <c r="R9" s="388" t="s">
        <v>131</v>
      </c>
      <c r="S9" s="388" t="s">
        <v>130</v>
      </c>
      <c r="T9" s="756" t="s">
        <v>130</v>
      </c>
      <c r="U9" s="388" t="s">
        <v>131</v>
      </c>
      <c r="V9" s="388" t="s">
        <v>131</v>
      </c>
      <c r="W9" s="388" t="str">
        <f t="shared" si="1"/>
        <v>No</v>
      </c>
      <c r="X9" s="388" t="s">
        <v>131</v>
      </c>
      <c r="Y9" s="388"/>
      <c r="Z9" s="388"/>
      <c r="AA9" s="389" t="s">
        <v>130</v>
      </c>
      <c r="AB9" s="935" t="s">
        <v>388</v>
      </c>
    </row>
    <row r="10" spans="1:28" s="96" customFormat="1" hidden="1" x14ac:dyDescent="0.45">
      <c r="B10" s="1625" t="s">
        <v>132</v>
      </c>
      <c r="C10" s="1626"/>
      <c r="D10" s="343" t="s">
        <v>130</v>
      </c>
      <c r="E10" s="343" t="s">
        <v>130</v>
      </c>
      <c r="F10" s="343" t="s">
        <v>130</v>
      </c>
      <c r="G10" s="343" t="s">
        <v>130</v>
      </c>
      <c r="H10" s="343" t="s">
        <v>130</v>
      </c>
      <c r="I10" s="343" t="s">
        <v>130</v>
      </c>
      <c r="J10" s="343" t="s">
        <v>130</v>
      </c>
      <c r="K10" s="343" t="s">
        <v>130</v>
      </c>
      <c r="L10" s="343" t="s">
        <v>130</v>
      </c>
      <c r="M10" s="343" t="s">
        <v>130</v>
      </c>
      <c r="N10" s="343" t="s">
        <v>130</v>
      </c>
      <c r="O10" s="343" t="s">
        <v>130</v>
      </c>
      <c r="P10" s="343" t="s">
        <v>131</v>
      </c>
      <c r="Q10" s="343" t="s">
        <v>131</v>
      </c>
      <c r="R10" s="343" t="s">
        <v>130</v>
      </c>
      <c r="S10" s="343" t="s">
        <v>130</v>
      </c>
      <c r="T10" s="757" t="s">
        <v>130</v>
      </c>
      <c r="U10" s="343" t="s">
        <v>130</v>
      </c>
      <c r="V10" s="343"/>
      <c r="W10" s="343" t="str">
        <f t="shared" si="1"/>
        <v>No</v>
      </c>
      <c r="X10" s="343" t="s">
        <v>130</v>
      </c>
      <c r="Y10" s="343"/>
      <c r="Z10" s="343"/>
      <c r="AA10" s="344" t="s">
        <v>130</v>
      </c>
      <c r="AB10" s="935" t="s">
        <v>388</v>
      </c>
    </row>
    <row r="11" spans="1:28" s="97" customFormat="1" ht="71.25" hidden="1" x14ac:dyDescent="0.45">
      <c r="B11" s="1623" t="s">
        <v>133</v>
      </c>
      <c r="C11" s="1624"/>
      <c r="D11" s="345"/>
      <c r="E11" s="345" t="s">
        <v>134</v>
      </c>
      <c r="F11" s="345" t="s">
        <v>495</v>
      </c>
      <c r="G11" s="345" t="s">
        <v>495</v>
      </c>
      <c r="H11" s="345" t="s">
        <v>495</v>
      </c>
      <c r="I11" s="345" t="s">
        <v>495</v>
      </c>
      <c r="J11" s="345" t="s">
        <v>135</v>
      </c>
      <c r="K11" s="345" t="s">
        <v>135</v>
      </c>
      <c r="L11" s="345" t="s">
        <v>136</v>
      </c>
      <c r="M11" s="345" t="s">
        <v>137</v>
      </c>
      <c r="N11" s="345" t="s">
        <v>137</v>
      </c>
      <c r="O11" s="345" t="s">
        <v>138</v>
      </c>
      <c r="P11" s="345" t="s">
        <v>137</v>
      </c>
      <c r="Q11" s="345" t="s">
        <v>139</v>
      </c>
      <c r="R11" s="345" t="s">
        <v>140</v>
      </c>
      <c r="S11" s="345"/>
      <c r="T11" s="758" t="s">
        <v>495</v>
      </c>
      <c r="U11" s="345"/>
      <c r="V11" s="345"/>
      <c r="W11" s="345" t="str">
        <f t="shared" si="1"/>
        <v>No limit</v>
      </c>
      <c r="X11" s="345" t="s">
        <v>641</v>
      </c>
      <c r="Y11" s="345"/>
      <c r="Z11" s="345"/>
      <c r="AA11" s="346" t="s">
        <v>641</v>
      </c>
      <c r="AB11" s="936" t="s">
        <v>388</v>
      </c>
    </row>
    <row r="12" spans="1:28" s="3" customFormat="1" ht="15" hidden="1" customHeight="1" x14ac:dyDescent="0.45">
      <c r="A12" s="62"/>
      <c r="B12" s="1602" t="s">
        <v>589</v>
      </c>
      <c r="C12" s="336" t="s">
        <v>141</v>
      </c>
      <c r="D12" s="337"/>
      <c r="E12" s="338">
        <v>0.62</v>
      </c>
      <c r="F12" s="339">
        <v>0.67</v>
      </c>
      <c r="G12" s="338">
        <v>0.67</v>
      </c>
      <c r="H12" s="340">
        <v>0.72</v>
      </c>
      <c r="I12" s="338">
        <v>0.72</v>
      </c>
      <c r="J12" s="340">
        <v>0.67</v>
      </c>
      <c r="K12" s="338">
        <v>0.67</v>
      </c>
      <c r="L12" s="340">
        <v>0.82</v>
      </c>
      <c r="M12" s="338">
        <v>0.9</v>
      </c>
      <c r="N12" s="340">
        <v>0.9</v>
      </c>
      <c r="O12" s="338">
        <v>0.72</v>
      </c>
      <c r="P12" s="341">
        <v>0.96</v>
      </c>
      <c r="Q12" s="342">
        <v>1</v>
      </c>
      <c r="R12" s="857">
        <v>0.67</v>
      </c>
      <c r="S12" s="858"/>
      <c r="T12" s="857"/>
      <c r="U12" s="843"/>
      <c r="V12" s="843"/>
      <c r="W12" s="843">
        <f t="shared" si="1"/>
        <v>0.67</v>
      </c>
      <c r="X12" s="843">
        <f t="shared" si="1"/>
        <v>0.72</v>
      </c>
      <c r="Y12" s="843"/>
      <c r="Z12" s="843"/>
      <c r="AA12" s="844">
        <f>F12</f>
        <v>0.67</v>
      </c>
      <c r="AB12" s="937" t="s">
        <v>388</v>
      </c>
    </row>
    <row r="13" spans="1:28" s="3" customFormat="1" ht="15" hidden="1" customHeight="1" x14ac:dyDescent="0.45">
      <c r="A13" s="62"/>
      <c r="B13" s="1602"/>
      <c r="C13" s="283" t="s">
        <v>142</v>
      </c>
      <c r="D13" s="956"/>
      <c r="E13" s="957">
        <v>0.67</v>
      </c>
      <c r="F13" s="958">
        <v>0.72</v>
      </c>
      <c r="G13" s="957">
        <v>0.72</v>
      </c>
      <c r="H13" s="959">
        <v>0.77</v>
      </c>
      <c r="I13" s="957">
        <v>0.77</v>
      </c>
      <c r="J13" s="959">
        <v>0.77</v>
      </c>
      <c r="K13" s="957">
        <v>0.77</v>
      </c>
      <c r="L13" s="959">
        <v>0.85</v>
      </c>
      <c r="M13" s="957">
        <v>0.92</v>
      </c>
      <c r="N13" s="959">
        <v>0.92</v>
      </c>
      <c r="O13" s="957">
        <v>0.85</v>
      </c>
      <c r="P13" s="963">
        <v>0.98</v>
      </c>
      <c r="Q13" s="964">
        <v>1.1499999999999999</v>
      </c>
      <c r="R13" s="969">
        <v>0.77</v>
      </c>
      <c r="S13" s="967"/>
      <c r="T13" s="969"/>
      <c r="U13" s="967"/>
      <c r="V13" s="967"/>
      <c r="W13" s="967">
        <f t="shared" si="1"/>
        <v>0.72</v>
      </c>
      <c r="X13" s="967">
        <f t="shared" si="1"/>
        <v>0.77</v>
      </c>
      <c r="Y13" s="967"/>
      <c r="Z13" s="967"/>
      <c r="AA13" s="968">
        <f>F13</f>
        <v>0.72</v>
      </c>
      <c r="AB13" s="937" t="s">
        <v>388</v>
      </c>
    </row>
    <row r="14" spans="1:28" s="3" customFormat="1" ht="15" hidden="1" customHeight="1" x14ac:dyDescent="0.45">
      <c r="A14" s="62"/>
      <c r="B14" s="1603"/>
      <c r="C14" s="264" t="s">
        <v>143</v>
      </c>
      <c r="D14" s="329"/>
      <c r="E14" s="286">
        <v>0.72</v>
      </c>
      <c r="F14" s="318">
        <v>0.77</v>
      </c>
      <c r="G14" s="286">
        <v>0.77</v>
      </c>
      <c r="H14" s="265">
        <v>0.82</v>
      </c>
      <c r="I14" s="286">
        <v>0.82</v>
      </c>
      <c r="J14" s="265">
        <v>0.88</v>
      </c>
      <c r="K14" s="286">
        <v>0.88</v>
      </c>
      <c r="L14" s="265">
        <v>0.88</v>
      </c>
      <c r="M14" s="286">
        <v>0.94</v>
      </c>
      <c r="N14" s="265">
        <v>0.94</v>
      </c>
      <c r="O14" s="286">
        <v>0.98</v>
      </c>
      <c r="P14" s="266">
        <v>1</v>
      </c>
      <c r="Q14" s="314">
        <v>1.3</v>
      </c>
      <c r="R14" s="859">
        <v>0.88</v>
      </c>
      <c r="S14" s="860"/>
      <c r="T14" s="859"/>
      <c r="U14" s="847"/>
      <c r="V14" s="847"/>
      <c r="W14" s="847">
        <f t="shared" si="1"/>
        <v>0.77</v>
      </c>
      <c r="X14" s="847">
        <f t="shared" si="1"/>
        <v>0.82</v>
      </c>
      <c r="Y14" s="847"/>
      <c r="Z14" s="847"/>
      <c r="AA14" s="848">
        <f>F14</f>
        <v>0.77</v>
      </c>
      <c r="AB14" s="937" t="s">
        <v>388</v>
      </c>
    </row>
    <row r="15" spans="1:28" s="3" customFormat="1" ht="15" hidden="1" customHeight="1" x14ac:dyDescent="0.45">
      <c r="A15" s="62"/>
      <c r="B15" s="1600" t="s">
        <v>144</v>
      </c>
      <c r="C15" s="255" t="s">
        <v>141</v>
      </c>
      <c r="D15" s="287" t="str">
        <f t="array" ref="D15:AA17">IF(element_HR_percent=0,"",
ROUND(athlete_HR_max_run*element_HR_percent,0)
)</f>
        <v/>
      </c>
      <c r="E15" s="287">
        <v>119</v>
      </c>
      <c r="F15" s="319">
        <v>129</v>
      </c>
      <c r="G15" s="287">
        <v>129</v>
      </c>
      <c r="H15" s="256">
        <v>138</v>
      </c>
      <c r="I15" s="287">
        <v>138</v>
      </c>
      <c r="J15" s="256">
        <v>129</v>
      </c>
      <c r="K15" s="287">
        <v>129</v>
      </c>
      <c r="L15" s="256">
        <v>157</v>
      </c>
      <c r="M15" s="296">
        <v>173</v>
      </c>
      <c r="N15" s="257">
        <v>173</v>
      </c>
      <c r="O15" s="296">
        <v>138</v>
      </c>
      <c r="P15" s="258">
        <v>184</v>
      </c>
      <c r="Q15" s="315">
        <v>192</v>
      </c>
      <c r="R15" s="861">
        <v>129</v>
      </c>
      <c r="S15" s="862" t="str">
        <v/>
      </c>
      <c r="T15" s="861" t="str">
        <v/>
      </c>
      <c r="U15" s="863" t="str">
        <v/>
      </c>
      <c r="V15" s="863" t="str">
        <v/>
      </c>
      <c r="W15" s="863">
        <v>129</v>
      </c>
      <c r="X15" s="863">
        <v>138</v>
      </c>
      <c r="Y15" s="863" t="str">
        <v/>
      </c>
      <c r="Z15" s="863" t="str">
        <v/>
      </c>
      <c r="AA15" s="864">
        <v>129</v>
      </c>
      <c r="AB15" s="937" t="s">
        <v>388</v>
      </c>
    </row>
    <row r="16" spans="1:28" s="4" customFormat="1" ht="15" hidden="1" customHeight="1" x14ac:dyDescent="0.45">
      <c r="B16" s="1600"/>
      <c r="C16" s="284" t="s">
        <v>142</v>
      </c>
      <c r="D16" s="288" t="str">
        <v/>
      </c>
      <c r="E16" s="288">
        <v>129</v>
      </c>
      <c r="F16" s="320">
        <v>138</v>
      </c>
      <c r="G16" s="288">
        <v>138</v>
      </c>
      <c r="H16" s="280">
        <v>148</v>
      </c>
      <c r="I16" s="288">
        <v>148</v>
      </c>
      <c r="J16" s="280">
        <v>148</v>
      </c>
      <c r="K16" s="288">
        <v>148</v>
      </c>
      <c r="L16" s="280">
        <v>163</v>
      </c>
      <c r="M16" s="297">
        <v>177</v>
      </c>
      <c r="N16" s="434">
        <v>177</v>
      </c>
      <c r="O16" s="297">
        <v>163</v>
      </c>
      <c r="P16" s="939">
        <v>188</v>
      </c>
      <c r="Q16" s="940">
        <v>221</v>
      </c>
      <c r="R16" s="941">
        <v>148</v>
      </c>
      <c r="S16" s="942" t="str">
        <v/>
      </c>
      <c r="T16" s="941" t="str">
        <v/>
      </c>
      <c r="U16" s="943" t="str">
        <v/>
      </c>
      <c r="V16" s="943" t="str">
        <v/>
      </c>
      <c r="W16" s="943">
        <v>138</v>
      </c>
      <c r="X16" s="943">
        <v>148</v>
      </c>
      <c r="Y16" s="943" t="str">
        <v/>
      </c>
      <c r="Z16" s="943" t="str">
        <v/>
      </c>
      <c r="AA16" s="944">
        <v>138</v>
      </c>
      <c r="AB16" s="938" t="s">
        <v>388</v>
      </c>
    </row>
    <row r="17" spans="1:28" s="3" customFormat="1" ht="15" hidden="1" customHeight="1" x14ac:dyDescent="0.45">
      <c r="A17" s="62"/>
      <c r="B17" s="1600"/>
      <c r="C17" s="255" t="s">
        <v>143</v>
      </c>
      <c r="D17" s="287" t="str">
        <v/>
      </c>
      <c r="E17" s="287">
        <v>138</v>
      </c>
      <c r="F17" s="319">
        <v>148</v>
      </c>
      <c r="G17" s="287">
        <v>148</v>
      </c>
      <c r="H17" s="256">
        <v>157</v>
      </c>
      <c r="I17" s="287">
        <v>157</v>
      </c>
      <c r="J17" s="256">
        <v>169</v>
      </c>
      <c r="K17" s="287">
        <v>169</v>
      </c>
      <c r="L17" s="256">
        <v>169</v>
      </c>
      <c r="M17" s="298">
        <v>180</v>
      </c>
      <c r="N17" s="257">
        <v>180</v>
      </c>
      <c r="O17" s="296">
        <v>188</v>
      </c>
      <c r="P17" s="258">
        <v>192</v>
      </c>
      <c r="Q17" s="315">
        <v>250</v>
      </c>
      <c r="R17" s="861">
        <v>169</v>
      </c>
      <c r="S17" s="862" t="str">
        <v/>
      </c>
      <c r="T17" s="861" t="str">
        <v/>
      </c>
      <c r="U17" s="865" t="str">
        <v/>
      </c>
      <c r="V17" s="865" t="str">
        <v/>
      </c>
      <c r="W17" s="865">
        <v>148</v>
      </c>
      <c r="X17" s="865">
        <v>157</v>
      </c>
      <c r="Y17" s="865" t="str">
        <v/>
      </c>
      <c r="Z17" s="865" t="str">
        <v/>
      </c>
      <c r="AA17" s="866">
        <v>148</v>
      </c>
      <c r="AB17" s="937" t="s">
        <v>388</v>
      </c>
    </row>
    <row r="18" spans="1:28" s="5" customFormat="1" ht="15" hidden="1" customHeight="1" x14ac:dyDescent="0.45">
      <c r="A18" s="62"/>
      <c r="B18" s="1601" t="s">
        <v>145</v>
      </c>
      <c r="C18" s="272" t="s">
        <v>141</v>
      </c>
      <c r="D18" s="328" t="str">
        <f t="array" ref="D18:AA20">IF(element_HR_percent=0,"",
((elements_HR_absolute-athlete_HR_rest)/(athlete_HR_max_run-athlete_HR_rest))
)</f>
        <v/>
      </c>
      <c r="E18" s="285">
        <v>0.4859154929577465</v>
      </c>
      <c r="F18" s="317">
        <v>0.55633802816901412</v>
      </c>
      <c r="G18" s="285">
        <v>0.55633802816901412</v>
      </c>
      <c r="H18" s="273">
        <v>0.61971830985915488</v>
      </c>
      <c r="I18" s="285">
        <v>0.61971830985915488</v>
      </c>
      <c r="J18" s="273">
        <v>0.55633802816901412</v>
      </c>
      <c r="K18" s="285">
        <v>0.55633802816901412</v>
      </c>
      <c r="L18" s="273">
        <v>0.75352112676056338</v>
      </c>
      <c r="M18" s="299">
        <v>0.86619718309859151</v>
      </c>
      <c r="N18" s="275">
        <v>0.86619718309859151</v>
      </c>
      <c r="O18" s="305">
        <v>0.61971830985915488</v>
      </c>
      <c r="P18" s="274">
        <v>0.94366197183098588</v>
      </c>
      <c r="Q18" s="313">
        <v>1</v>
      </c>
      <c r="R18" s="841">
        <v>0.55633802816901412</v>
      </c>
      <c r="S18" s="842" t="str">
        <v/>
      </c>
      <c r="T18" s="841" t="str">
        <v/>
      </c>
      <c r="U18" s="843" t="str">
        <v/>
      </c>
      <c r="V18" s="843" t="str">
        <v/>
      </c>
      <c r="W18" s="843">
        <v>0.55633802816901412</v>
      </c>
      <c r="X18" s="843">
        <v>0.61971830985915488</v>
      </c>
      <c r="Y18" s="843" t="str">
        <v/>
      </c>
      <c r="Z18" s="843" t="str">
        <v/>
      </c>
      <c r="AA18" s="844">
        <v>0.55633802816901412</v>
      </c>
      <c r="AB18" s="937" t="s">
        <v>388</v>
      </c>
    </row>
    <row r="19" spans="1:28" s="5" customFormat="1" ht="15" hidden="1" customHeight="1" x14ac:dyDescent="0.45">
      <c r="A19" s="62"/>
      <c r="B19" s="1602"/>
      <c r="C19" s="283" t="s">
        <v>142</v>
      </c>
      <c r="D19" s="956" t="str">
        <v/>
      </c>
      <c r="E19" s="957">
        <v>0.55633802816901412</v>
      </c>
      <c r="F19" s="958">
        <v>0.61971830985915488</v>
      </c>
      <c r="G19" s="957">
        <v>0.61971830985915488</v>
      </c>
      <c r="H19" s="959">
        <v>0.6901408450704225</v>
      </c>
      <c r="I19" s="957">
        <v>0.6901408450704225</v>
      </c>
      <c r="J19" s="959">
        <v>0.6901408450704225</v>
      </c>
      <c r="K19" s="957">
        <v>0.6901408450704225</v>
      </c>
      <c r="L19" s="959">
        <v>0.79577464788732399</v>
      </c>
      <c r="M19" s="960">
        <v>0.89436619718309862</v>
      </c>
      <c r="N19" s="961">
        <v>0.89436619718309862</v>
      </c>
      <c r="O19" s="962">
        <v>0.79577464788732399</v>
      </c>
      <c r="P19" s="963">
        <v>0.971830985915493</v>
      </c>
      <c r="Q19" s="964">
        <v>1.204225352112676</v>
      </c>
      <c r="R19" s="965">
        <v>0.6901408450704225</v>
      </c>
      <c r="S19" s="966" t="str">
        <v/>
      </c>
      <c r="T19" s="965" t="str">
        <v/>
      </c>
      <c r="U19" s="967" t="str">
        <v/>
      </c>
      <c r="V19" s="967" t="str">
        <v/>
      </c>
      <c r="W19" s="967">
        <v>0.61971830985915488</v>
      </c>
      <c r="X19" s="967">
        <v>0.6901408450704225</v>
      </c>
      <c r="Y19" s="967" t="str">
        <v/>
      </c>
      <c r="Z19" s="967" t="str">
        <v/>
      </c>
      <c r="AA19" s="968">
        <v>0.61971830985915488</v>
      </c>
      <c r="AB19" s="937" t="s">
        <v>388</v>
      </c>
    </row>
    <row r="20" spans="1:28" s="5" customFormat="1" ht="15" hidden="1" customHeight="1" x14ac:dyDescent="0.45">
      <c r="A20" s="62"/>
      <c r="B20" s="1603"/>
      <c r="C20" s="264" t="s">
        <v>143</v>
      </c>
      <c r="D20" s="329" t="str">
        <v/>
      </c>
      <c r="E20" s="286">
        <v>0.61971830985915488</v>
      </c>
      <c r="F20" s="318">
        <v>0.6901408450704225</v>
      </c>
      <c r="G20" s="286">
        <v>0.6901408450704225</v>
      </c>
      <c r="H20" s="265">
        <v>0.75352112676056338</v>
      </c>
      <c r="I20" s="286">
        <v>0.75352112676056338</v>
      </c>
      <c r="J20" s="265">
        <v>0.8380281690140845</v>
      </c>
      <c r="K20" s="286">
        <v>0.8380281690140845</v>
      </c>
      <c r="L20" s="265">
        <v>0.8380281690140845</v>
      </c>
      <c r="M20" s="300">
        <v>0.91549295774647887</v>
      </c>
      <c r="N20" s="267">
        <v>0.91549295774647887</v>
      </c>
      <c r="O20" s="306">
        <v>0.971830985915493</v>
      </c>
      <c r="P20" s="266">
        <v>1</v>
      </c>
      <c r="Q20" s="314">
        <v>1.408450704225352</v>
      </c>
      <c r="R20" s="845">
        <v>0.8380281690140845</v>
      </c>
      <c r="S20" s="846" t="str">
        <v/>
      </c>
      <c r="T20" s="845" t="str">
        <v/>
      </c>
      <c r="U20" s="847" t="str">
        <v/>
      </c>
      <c r="V20" s="847" t="str">
        <v/>
      </c>
      <c r="W20" s="847">
        <v>0.6901408450704225</v>
      </c>
      <c r="X20" s="847">
        <v>0.75352112676056338</v>
      </c>
      <c r="Y20" s="847" t="str">
        <v/>
      </c>
      <c r="Z20" s="847" t="str">
        <v/>
      </c>
      <c r="AA20" s="848">
        <v>0.6901408450704225</v>
      </c>
      <c r="AB20" s="937" t="s">
        <v>388</v>
      </c>
    </row>
    <row r="21" spans="1:28" s="62" customFormat="1" ht="15" hidden="1" customHeight="1" x14ac:dyDescent="0.45">
      <c r="B21" s="1600" t="s">
        <v>557</v>
      </c>
      <c r="C21" s="255" t="s">
        <v>141</v>
      </c>
      <c r="D21" s="332" t="str">
        <f t="array" ref="D21:AA23">IF(element_HR_percent=0,"",IFERROR(0.621371192/(29.54+5.000663*(athlete_VDOT*(athlete_calibration_VDOT+(1-athlete_calibration_VDOT)*(element_HR_percent-(athlete_calibration_HR/athlete_HR_max_run))/(1-athlete_calibration_HR/athlete_HR_max_run)))-0.007546*(athlete_VDOT*(athlete_calibration_VDOT+(1-athlete_calibration_VDOT)*(element_HR_percent-(athlete_calibration_HR/athlete_HR_max_run))/(1-athlete_calibration_HR/athlete_HR_max_run)))^2)*1609.344/1440,""))</f>
        <v/>
      </c>
      <c r="E21" s="289">
        <v>4.0692803800992557E-3</v>
      </c>
      <c r="F21" s="321">
        <v>3.5995480438760787E-3</v>
      </c>
      <c r="G21" s="289">
        <v>3.5995480438760787E-3</v>
      </c>
      <c r="H21" s="259">
        <v>3.232547733843817E-3</v>
      </c>
      <c r="I21" s="289">
        <v>3.232547733843817E-3</v>
      </c>
      <c r="J21" s="259">
        <v>3.5995480438760787E-3</v>
      </c>
      <c r="K21" s="289">
        <v>3.5995480438760787E-3</v>
      </c>
      <c r="L21" s="259">
        <v>2.696501275854901E-3</v>
      </c>
      <c r="M21" s="301">
        <v>2.3893268111538136E-3</v>
      </c>
      <c r="N21" s="260">
        <v>2.3893268111538136E-3</v>
      </c>
      <c r="O21" s="301">
        <v>3.232547733843817E-3</v>
      </c>
      <c r="P21" s="261">
        <v>2.2055654547942158E-3</v>
      </c>
      <c r="Q21" s="316">
        <v>2.0998565133817206E-3</v>
      </c>
      <c r="R21" s="849">
        <v>3.5995480438760787E-3</v>
      </c>
      <c r="S21" s="850" t="str">
        <v/>
      </c>
      <c r="T21" s="849" t="str">
        <v/>
      </c>
      <c r="U21" s="851" t="str">
        <v/>
      </c>
      <c r="V21" s="851" t="str">
        <v/>
      </c>
      <c r="W21" s="851">
        <v>3.5995480438760787E-3</v>
      </c>
      <c r="X21" s="851">
        <v>3.232547733843817E-3</v>
      </c>
      <c r="Y21" s="851" t="str">
        <v/>
      </c>
      <c r="Z21" s="851" t="str">
        <v/>
      </c>
      <c r="AA21" s="852">
        <v>3.5995480438760787E-3</v>
      </c>
      <c r="AB21" s="937"/>
    </row>
    <row r="22" spans="1:28" s="62" customFormat="1" ht="15" hidden="1" customHeight="1" x14ac:dyDescent="0.45">
      <c r="B22" s="1600"/>
      <c r="C22" s="284" t="s">
        <v>142</v>
      </c>
      <c r="D22" s="288" t="str">
        <v/>
      </c>
      <c r="E22" s="970">
        <v>3.5995480438760787E-3</v>
      </c>
      <c r="F22" s="971">
        <v>3.232547733843817E-3</v>
      </c>
      <c r="G22" s="970">
        <v>3.232547733843817E-3</v>
      </c>
      <c r="H22" s="972">
        <v>2.9380114432997232E-3</v>
      </c>
      <c r="I22" s="970">
        <v>2.9380114432997232E-3</v>
      </c>
      <c r="J22" s="972">
        <v>2.9380114432997232E-3</v>
      </c>
      <c r="K22" s="970">
        <v>2.9380114432997232E-3</v>
      </c>
      <c r="L22" s="972">
        <v>2.5714329067157201E-3</v>
      </c>
      <c r="M22" s="973">
        <v>2.3243060655449167E-3</v>
      </c>
      <c r="N22" s="972">
        <v>2.3243060655449167E-3</v>
      </c>
      <c r="O22" s="974">
        <v>2.5714329067157201E-3</v>
      </c>
      <c r="P22" s="975">
        <v>2.151217743051958E-3</v>
      </c>
      <c r="Q22" s="976">
        <v>1.7895333801019296E-3</v>
      </c>
      <c r="R22" s="977">
        <v>2.9380114432997232E-3</v>
      </c>
      <c r="S22" s="978" t="str">
        <v/>
      </c>
      <c r="T22" s="979" t="str">
        <v/>
      </c>
      <c r="U22" s="853" t="str">
        <v/>
      </c>
      <c r="V22" s="853" t="str">
        <v/>
      </c>
      <c r="W22" s="853">
        <v>3.232547733843817E-3</v>
      </c>
      <c r="X22" s="853">
        <v>2.9380114432997232E-3</v>
      </c>
      <c r="Y22" s="853" t="str">
        <v/>
      </c>
      <c r="Z22" s="853" t="str">
        <v/>
      </c>
      <c r="AA22" s="854">
        <v>3.232547733843817E-3</v>
      </c>
      <c r="AB22" s="937"/>
    </row>
    <row r="23" spans="1:28" s="62" customFormat="1" ht="15" hidden="1" customHeight="1" x14ac:dyDescent="0.45">
      <c r="B23" s="1600"/>
      <c r="C23" s="255" t="s">
        <v>143</v>
      </c>
      <c r="D23" s="1060" t="str">
        <v/>
      </c>
      <c r="E23" s="1061">
        <v>3.232547733843817E-3</v>
      </c>
      <c r="F23" s="1062">
        <v>2.9380114432997232E-3</v>
      </c>
      <c r="G23" s="1061">
        <v>2.9380114432997232E-3</v>
      </c>
      <c r="H23" s="1063">
        <v>2.696501275854901E-3</v>
      </c>
      <c r="I23" s="1061">
        <v>2.696501275854901E-3</v>
      </c>
      <c r="J23" s="1063">
        <v>2.4586007146743722E-3</v>
      </c>
      <c r="K23" s="1061">
        <v>2.4586007146743722E-3</v>
      </c>
      <c r="L23" s="1063">
        <v>2.4586007146743722E-3</v>
      </c>
      <c r="M23" s="1064">
        <v>2.2631630868691958E-3</v>
      </c>
      <c r="N23" s="1065">
        <v>2.2631630868691958E-3</v>
      </c>
      <c r="O23" s="1066">
        <v>2.151217743051958E-3</v>
      </c>
      <c r="P23" s="1067">
        <v>2.0998565133817206E-3</v>
      </c>
      <c r="Q23" s="1068">
        <v>1.5707615874829726E-3</v>
      </c>
      <c r="R23" s="1069">
        <v>2.4586007146743722E-3</v>
      </c>
      <c r="S23" s="1070" t="str">
        <v/>
      </c>
      <c r="T23" s="1069" t="str">
        <v/>
      </c>
      <c r="U23" s="855" t="str">
        <v/>
      </c>
      <c r="V23" s="855" t="str">
        <v/>
      </c>
      <c r="W23" s="855">
        <v>2.9380114432997232E-3</v>
      </c>
      <c r="X23" s="855">
        <v>2.696501275854901E-3</v>
      </c>
      <c r="Y23" s="855" t="str">
        <v/>
      </c>
      <c r="Z23" s="855" t="str">
        <v/>
      </c>
      <c r="AA23" s="856">
        <v>2.9380114432997232E-3</v>
      </c>
      <c r="AB23" s="937"/>
    </row>
    <row r="24" spans="1:28" s="4" customFormat="1" ht="15" hidden="1" customHeight="1" x14ac:dyDescent="0.45">
      <c r="B24" s="1600" t="s">
        <v>146</v>
      </c>
      <c r="C24" s="255" t="s">
        <v>141</v>
      </c>
      <c r="D24" s="332" t="str">
        <f t="array" ref="D24:AA26">IF(element_HR_percent=0,"",(0.233*EXP(1.4544*element_HR_percent)))</f>
        <v/>
      </c>
      <c r="E24" s="289">
        <v>0.57407867625073294</v>
      </c>
      <c r="F24" s="321">
        <v>0.6173810717308017</v>
      </c>
      <c r="G24" s="289">
        <v>0.6173810717308017</v>
      </c>
      <c r="H24" s="259">
        <v>0.66394973981754224</v>
      </c>
      <c r="I24" s="289">
        <v>0.66394973981754224</v>
      </c>
      <c r="J24" s="259">
        <v>0.6173810717308017</v>
      </c>
      <c r="K24" s="289">
        <v>0.6173810717308017</v>
      </c>
      <c r="L24" s="259">
        <v>0.76788996916382013</v>
      </c>
      <c r="M24" s="301">
        <v>0.86264086177078891</v>
      </c>
      <c r="N24" s="260">
        <v>0.86264086177078891</v>
      </c>
      <c r="O24" s="301">
        <v>0.66394973981754224</v>
      </c>
      <c r="P24" s="261">
        <v>0.94130052243343565</v>
      </c>
      <c r="Q24" s="316">
        <v>0.9976858563521056</v>
      </c>
      <c r="R24" s="849">
        <v>0.6173810717308017</v>
      </c>
      <c r="S24" s="850" t="str">
        <v/>
      </c>
      <c r="T24" s="849" t="str">
        <v/>
      </c>
      <c r="U24" s="851" t="str">
        <v/>
      </c>
      <c r="V24" s="851" t="str">
        <v/>
      </c>
      <c r="W24" s="851">
        <v>0.6173810717308017</v>
      </c>
      <c r="X24" s="851">
        <v>0.66394973981754224</v>
      </c>
      <c r="Y24" s="851" t="str">
        <v/>
      </c>
      <c r="Z24" s="851" t="str">
        <v/>
      </c>
      <c r="AA24" s="852">
        <v>0.6173810717308017</v>
      </c>
      <c r="AB24" s="938" t="s">
        <v>388</v>
      </c>
    </row>
    <row r="25" spans="1:28" s="4" customFormat="1" ht="15" hidden="1" customHeight="1" x14ac:dyDescent="0.45">
      <c r="B25" s="1600"/>
      <c r="C25" s="284" t="s">
        <v>142</v>
      </c>
      <c r="D25" s="288" t="str">
        <v/>
      </c>
      <c r="E25" s="970">
        <v>0.6173810717308017</v>
      </c>
      <c r="F25" s="971">
        <v>0.66394973981754224</v>
      </c>
      <c r="G25" s="970">
        <v>0.66394973981754224</v>
      </c>
      <c r="H25" s="972">
        <v>0.7140310534107176</v>
      </c>
      <c r="I25" s="970">
        <v>0.7140310534107176</v>
      </c>
      <c r="J25" s="972">
        <v>0.7140310534107176</v>
      </c>
      <c r="K25" s="970">
        <v>0.7140310534107176</v>
      </c>
      <c r="L25" s="972">
        <v>0.80213622781927441</v>
      </c>
      <c r="M25" s="973">
        <v>0.88810186883189945</v>
      </c>
      <c r="N25" s="972">
        <v>0.88810186883189945</v>
      </c>
      <c r="O25" s="974">
        <v>0.80213622781927441</v>
      </c>
      <c r="P25" s="975">
        <v>0.96908318415329364</v>
      </c>
      <c r="Q25" s="976">
        <v>1.2409077578644139</v>
      </c>
      <c r="R25" s="977">
        <v>0.7140310534107176</v>
      </c>
      <c r="S25" s="978" t="str">
        <v/>
      </c>
      <c r="T25" s="979" t="str">
        <v/>
      </c>
      <c r="U25" s="853" t="str">
        <v/>
      </c>
      <c r="V25" s="853" t="str">
        <v/>
      </c>
      <c r="W25" s="853">
        <v>0.66394973981754224</v>
      </c>
      <c r="X25" s="853">
        <v>0.7140310534107176</v>
      </c>
      <c r="Y25" s="853" t="str">
        <v/>
      </c>
      <c r="Z25" s="853" t="str">
        <v/>
      </c>
      <c r="AA25" s="854">
        <v>0.66394973981754224</v>
      </c>
      <c r="AB25" s="938" t="s">
        <v>388</v>
      </c>
    </row>
    <row r="26" spans="1:28" s="4" customFormat="1" ht="15" hidden="1" customHeight="1" x14ac:dyDescent="0.45">
      <c r="B26" s="1600"/>
      <c r="C26" s="255" t="s">
        <v>143</v>
      </c>
      <c r="D26" s="332" t="str">
        <v/>
      </c>
      <c r="E26" s="289">
        <v>0.66394973981754224</v>
      </c>
      <c r="F26" s="321">
        <v>0.7140310534107176</v>
      </c>
      <c r="G26" s="289">
        <v>0.7140310534107176</v>
      </c>
      <c r="H26" s="259">
        <v>0.76788996916382013</v>
      </c>
      <c r="I26" s="289">
        <v>0.76788996916382013</v>
      </c>
      <c r="J26" s="259">
        <v>0.83790979673921007</v>
      </c>
      <c r="K26" s="289">
        <v>0.83790979673921007</v>
      </c>
      <c r="L26" s="259">
        <v>0.83790979673921007</v>
      </c>
      <c r="M26" s="302">
        <v>0.91431436229864482</v>
      </c>
      <c r="N26" s="260">
        <v>0.91431436229864482</v>
      </c>
      <c r="O26" s="301">
        <v>0.96908318415329364</v>
      </c>
      <c r="P26" s="261">
        <v>0.9976858563521056</v>
      </c>
      <c r="Q26" s="316">
        <v>1.5434237678364346</v>
      </c>
      <c r="R26" s="849">
        <v>0.83790979673921007</v>
      </c>
      <c r="S26" s="850" t="str">
        <v/>
      </c>
      <c r="T26" s="849" t="str">
        <v/>
      </c>
      <c r="U26" s="855" t="str">
        <v/>
      </c>
      <c r="V26" s="855" t="str">
        <v/>
      </c>
      <c r="W26" s="855">
        <v>0.7140310534107176</v>
      </c>
      <c r="X26" s="855">
        <v>0.76788996916382013</v>
      </c>
      <c r="Y26" s="855" t="str">
        <v/>
      </c>
      <c r="Z26" s="855" t="str">
        <v/>
      </c>
      <c r="AA26" s="856">
        <v>0.7140310534107176</v>
      </c>
      <c r="AB26" s="938" t="s">
        <v>388</v>
      </c>
    </row>
    <row r="27" spans="1:28" s="62" customFormat="1" ht="15" hidden="1" customHeight="1" x14ac:dyDescent="0.45">
      <c r="B27" s="1601" t="s">
        <v>147</v>
      </c>
      <c r="C27" s="272" t="s">
        <v>141</v>
      </c>
      <c r="D27" s="290" t="str">
        <f t="array" ref="D27:AA29">IF(element_HR_percent=0,"",IFERROR(0.621371192/(29.54+5.000663*(athlete_VDOT*(athlete_calibration_VDOT+(1-athlete_calibration_VDOT)*(element_HR_percent-(athlete_calibration_HR/athlete_HR_max_run))/(1-athlete_calibration_HR/athlete_HR_max_run)))-0.007546*(athlete_VDOT*(athlete_calibration_VDOT+(1-athlete_calibration_VDOT)*(element_HR_percent-(athlete_calibration_HR/athlete_HR_max_run))/(1-athlete_calibration_HR/athlete_HR_max_run)))^2)*1609.344/1440,""))</f>
        <v/>
      </c>
      <c r="E27" s="290">
        <v>4.0692803800992557E-3</v>
      </c>
      <c r="F27" s="322">
        <v>3.5995480438760787E-3</v>
      </c>
      <c r="G27" s="290">
        <v>3.5995480438760787E-3</v>
      </c>
      <c r="H27" s="276">
        <v>3.232547733843817E-3</v>
      </c>
      <c r="I27" s="290">
        <v>3.232547733843817E-3</v>
      </c>
      <c r="J27" s="276">
        <v>3.5995480438760787E-3</v>
      </c>
      <c r="K27" s="290">
        <v>3.5995480438760787E-3</v>
      </c>
      <c r="L27" s="276">
        <v>2.696501275854901E-3</v>
      </c>
      <c r="M27" s="303">
        <v>2.3893268111538136E-3</v>
      </c>
      <c r="N27" s="277">
        <v>2.3893268111538136E-3</v>
      </c>
      <c r="O27" s="307">
        <v>3.232547733843817E-3</v>
      </c>
      <c r="P27" s="277">
        <v>2.2055654547942158E-3</v>
      </c>
      <c r="Q27" s="307">
        <v>2.0998565133817206E-3</v>
      </c>
      <c r="R27" s="277">
        <v>3.5995480438760787E-3</v>
      </c>
      <c r="S27" s="833" t="str">
        <v/>
      </c>
      <c r="T27" s="834" t="str">
        <v/>
      </c>
      <c r="U27" s="837" t="str">
        <v/>
      </c>
      <c r="V27" s="837" t="str">
        <v/>
      </c>
      <c r="W27" s="837">
        <v>3.5995480438760787E-3</v>
      </c>
      <c r="X27" s="837">
        <v>3.232547733843817E-3</v>
      </c>
      <c r="Y27" s="837" t="str">
        <v/>
      </c>
      <c r="Z27" s="837" t="str">
        <v/>
      </c>
      <c r="AA27" s="838">
        <v>3.5995480438760787E-3</v>
      </c>
      <c r="AB27" s="937" t="s">
        <v>388</v>
      </c>
    </row>
    <row r="28" spans="1:28" s="62" customFormat="1" ht="15" hidden="1" customHeight="1" x14ac:dyDescent="0.45">
      <c r="B28" s="1602"/>
      <c r="C28" s="283" t="s">
        <v>142</v>
      </c>
      <c r="D28" s="946" t="str">
        <v/>
      </c>
      <c r="E28" s="946">
        <v>3.5995480438760787E-3</v>
      </c>
      <c r="F28" s="947">
        <v>3.232547733843817E-3</v>
      </c>
      <c r="G28" s="946">
        <v>3.232547733843817E-3</v>
      </c>
      <c r="H28" s="948">
        <v>2.9380114432997232E-3</v>
      </c>
      <c r="I28" s="946">
        <v>2.9380114432997232E-3</v>
      </c>
      <c r="J28" s="948">
        <v>2.9380114432997232E-3</v>
      </c>
      <c r="K28" s="946">
        <v>2.9380114432997232E-3</v>
      </c>
      <c r="L28" s="948">
        <v>2.5714329067157201E-3</v>
      </c>
      <c r="M28" s="949">
        <v>2.3243060655449167E-3</v>
      </c>
      <c r="N28" s="950">
        <v>2.3243060655449167E-3</v>
      </c>
      <c r="O28" s="951">
        <v>2.5714329067157201E-3</v>
      </c>
      <c r="P28" s="950">
        <v>2.151217743051958E-3</v>
      </c>
      <c r="Q28" s="951">
        <v>1.7895333801019296E-3</v>
      </c>
      <c r="R28" s="950">
        <v>2.9380114432997232E-3</v>
      </c>
      <c r="S28" s="952" t="str">
        <v/>
      </c>
      <c r="T28" s="953" t="str">
        <v/>
      </c>
      <c r="U28" s="954" t="str">
        <v/>
      </c>
      <c r="V28" s="954" t="str">
        <v/>
      </c>
      <c r="W28" s="954">
        <v>3.232547733843817E-3</v>
      </c>
      <c r="X28" s="954">
        <v>2.9380114432997232E-3</v>
      </c>
      <c r="Y28" s="954" t="str">
        <v/>
      </c>
      <c r="Z28" s="954" t="str">
        <v/>
      </c>
      <c r="AA28" s="955">
        <v>3.232547733843817E-3</v>
      </c>
      <c r="AB28" s="937" t="s">
        <v>388</v>
      </c>
    </row>
    <row r="29" spans="1:28" s="62" customFormat="1" ht="15" hidden="1" customHeight="1" x14ac:dyDescent="0.45">
      <c r="B29" s="1603"/>
      <c r="C29" s="264" t="s">
        <v>143</v>
      </c>
      <c r="D29" s="291" t="str">
        <v/>
      </c>
      <c r="E29" s="291">
        <v>3.232547733843817E-3</v>
      </c>
      <c r="F29" s="323">
        <v>2.9380114432997232E-3</v>
      </c>
      <c r="G29" s="291">
        <v>2.9380114432997232E-3</v>
      </c>
      <c r="H29" s="268">
        <v>2.696501275854901E-3</v>
      </c>
      <c r="I29" s="291">
        <v>2.696501275854901E-3</v>
      </c>
      <c r="J29" s="268">
        <v>2.4586007146743722E-3</v>
      </c>
      <c r="K29" s="291">
        <v>2.4586007146743722E-3</v>
      </c>
      <c r="L29" s="268">
        <v>2.4586007146743722E-3</v>
      </c>
      <c r="M29" s="304">
        <v>2.2631630868691958E-3</v>
      </c>
      <c r="N29" s="269">
        <v>2.2631630868691958E-3</v>
      </c>
      <c r="O29" s="308">
        <v>2.151217743051958E-3</v>
      </c>
      <c r="P29" s="269">
        <v>2.0998565133817206E-3</v>
      </c>
      <c r="Q29" s="308">
        <v>1.5707615874829726E-3</v>
      </c>
      <c r="R29" s="269">
        <v>2.4586007146743722E-3</v>
      </c>
      <c r="S29" s="835" t="str">
        <v/>
      </c>
      <c r="T29" s="836" t="str">
        <v/>
      </c>
      <c r="U29" s="839" t="str">
        <v/>
      </c>
      <c r="V29" s="839" t="str">
        <v/>
      </c>
      <c r="W29" s="839">
        <v>2.9380114432997232E-3</v>
      </c>
      <c r="X29" s="839">
        <v>2.696501275854901E-3</v>
      </c>
      <c r="Y29" s="839" t="str">
        <v/>
      </c>
      <c r="Z29" s="839" t="str">
        <v/>
      </c>
      <c r="AA29" s="840">
        <v>2.9380114432997232E-3</v>
      </c>
      <c r="AB29" s="937" t="s">
        <v>388</v>
      </c>
    </row>
    <row r="30" spans="1:28" s="62" customFormat="1" ht="15" hidden="1" customHeight="1" x14ac:dyDescent="0.45">
      <c r="B30" s="1604" t="s">
        <v>395</v>
      </c>
      <c r="C30" s="350" t="s">
        <v>141</v>
      </c>
      <c r="D30" s="356">
        <f t="array" ref="D30:AA32">IF(elements_name="","",
IF(load_calculator="VDOT",elements_VDOTpoints,
IF(load_calculator="TRIMP",elements_TRIMP,
IF(load_calculator="rTSS",elements_rTSS
))))</f>
        <v>0</v>
      </c>
      <c r="E30" s="356">
        <v>0.79053139389142069</v>
      </c>
      <c r="F30" s="406">
        <v>1.0361404522538142</v>
      </c>
      <c r="G30" s="356">
        <v>1.0361404522538142</v>
      </c>
      <c r="H30" s="355">
        <v>1.3035376127570943</v>
      </c>
      <c r="I30" s="356">
        <v>1.3035376127570943</v>
      </c>
      <c r="J30" s="355">
        <v>1.0361404522538142</v>
      </c>
      <c r="K30" s="356">
        <v>1.0361404522538142</v>
      </c>
      <c r="L30" s="355">
        <v>2.0492527973541974</v>
      </c>
      <c r="M30" s="407">
        <v>2.9246323681790631</v>
      </c>
      <c r="N30" s="408">
        <v>2.9246323681790631</v>
      </c>
      <c r="O30" s="409">
        <v>1.3035376127570943</v>
      </c>
      <c r="P30" s="408">
        <v>3.6971291964446169</v>
      </c>
      <c r="Q30" s="409">
        <v>4.3654134203460799</v>
      </c>
      <c r="R30" s="408">
        <v>1.0361404522538142</v>
      </c>
      <c r="S30" s="823">
        <v>0</v>
      </c>
      <c r="T30" s="824">
        <v>0</v>
      </c>
      <c r="U30" s="815">
        <v>0</v>
      </c>
      <c r="V30" s="815">
        <v>0</v>
      </c>
      <c r="W30" s="815">
        <v>1.0361404522538142</v>
      </c>
      <c r="X30" s="815">
        <v>1.3035376127570943</v>
      </c>
      <c r="Y30" s="815" t="str">
        <v/>
      </c>
      <c r="Z30" s="815" t="str">
        <v/>
      </c>
      <c r="AA30" s="816">
        <v>1.0361404522538142</v>
      </c>
      <c r="AB30" s="937" t="s">
        <v>388</v>
      </c>
    </row>
    <row r="31" spans="1:28" s="62" customFormat="1" ht="15" hidden="1" customHeight="1" x14ac:dyDescent="0.45">
      <c r="B31" s="1600"/>
      <c r="C31" s="284" t="s">
        <v>142</v>
      </c>
      <c r="D31" s="416">
        <v>0</v>
      </c>
      <c r="E31" s="416">
        <v>1.0361404522538142</v>
      </c>
      <c r="F31" s="417">
        <v>1.3035376127570943</v>
      </c>
      <c r="G31" s="416">
        <v>1.3035376127570943</v>
      </c>
      <c r="H31" s="418">
        <v>1.6618372060036211</v>
      </c>
      <c r="I31" s="416">
        <v>1.6618372060036211</v>
      </c>
      <c r="J31" s="418">
        <v>1.6618372060036211</v>
      </c>
      <c r="K31" s="416">
        <v>1.6618372060036211</v>
      </c>
      <c r="L31" s="418">
        <v>2.3470541354876326</v>
      </c>
      <c r="M31" s="419">
        <v>3.1875609275280241</v>
      </c>
      <c r="N31" s="420">
        <v>3.1875609275280241</v>
      </c>
      <c r="O31" s="421">
        <v>2.3470541354876326</v>
      </c>
      <c r="P31" s="420">
        <v>4.0190880267827698</v>
      </c>
      <c r="Q31" s="421">
        <v>7.7808226550921527</v>
      </c>
      <c r="R31" s="420">
        <v>1.6618372060036211</v>
      </c>
      <c r="S31" s="825">
        <v>0</v>
      </c>
      <c r="T31" s="826">
        <v>0</v>
      </c>
      <c r="U31" s="831">
        <v>0</v>
      </c>
      <c r="V31" s="831">
        <v>0</v>
      </c>
      <c r="W31" s="831">
        <v>1.3035376127570943</v>
      </c>
      <c r="X31" s="831">
        <v>1.6618372060036211</v>
      </c>
      <c r="Y31" s="831" t="str">
        <v/>
      </c>
      <c r="Z31" s="831" t="str">
        <v/>
      </c>
      <c r="AA31" s="832">
        <v>1.3035376127570943</v>
      </c>
      <c r="AB31" s="937" t="s">
        <v>388</v>
      </c>
    </row>
    <row r="32" spans="1:28" s="62" customFormat="1" ht="15" hidden="1" customHeight="1" thickBot="1" x14ac:dyDescent="0.5">
      <c r="B32" s="1605"/>
      <c r="C32" s="394" t="s">
        <v>143</v>
      </c>
      <c r="D32" s="410">
        <v>0</v>
      </c>
      <c r="E32" s="410">
        <v>1.3035376127570943</v>
      </c>
      <c r="F32" s="411">
        <v>1.6618372060036211</v>
      </c>
      <c r="G32" s="410">
        <v>1.6618372060036211</v>
      </c>
      <c r="H32" s="412">
        <v>2.0492527973541974</v>
      </c>
      <c r="I32" s="410">
        <v>2.0492527973541974</v>
      </c>
      <c r="J32" s="412">
        <v>2.6805538064937902</v>
      </c>
      <c r="K32" s="410">
        <v>2.6805538064937902</v>
      </c>
      <c r="L32" s="412">
        <v>2.6805538064937902</v>
      </c>
      <c r="M32" s="413">
        <v>3.3979311770932425</v>
      </c>
      <c r="N32" s="414">
        <v>3.3979311770932425</v>
      </c>
      <c r="O32" s="415">
        <v>4.0190880267827698</v>
      </c>
      <c r="P32" s="414">
        <v>4.3654134203460799</v>
      </c>
      <c r="Q32" s="415">
        <v>13.469509270017177</v>
      </c>
      <c r="R32" s="414">
        <v>2.6805538064937902</v>
      </c>
      <c r="S32" s="827">
        <v>0</v>
      </c>
      <c r="T32" s="828">
        <v>0</v>
      </c>
      <c r="U32" s="829">
        <v>0</v>
      </c>
      <c r="V32" s="829">
        <v>0</v>
      </c>
      <c r="W32" s="829">
        <v>1.6618372060036211</v>
      </c>
      <c r="X32" s="829">
        <v>2.0492527973541974</v>
      </c>
      <c r="Y32" s="829" t="str">
        <v/>
      </c>
      <c r="Z32" s="829" t="str">
        <v/>
      </c>
      <c r="AA32" s="830">
        <v>1.6618372060036211</v>
      </c>
      <c r="AB32" s="937" t="s">
        <v>388</v>
      </c>
    </row>
    <row r="33" spans="2:28" s="62" customFormat="1" ht="15" hidden="1" customHeight="1" thickBot="1" x14ac:dyDescent="0.5">
      <c r="B33" s="397"/>
      <c r="C33" s="2"/>
      <c r="D33" s="395"/>
      <c r="E33" s="395"/>
      <c r="F33" s="395"/>
      <c r="G33" s="395"/>
      <c r="H33" s="395"/>
      <c r="I33" s="395"/>
      <c r="J33" s="395"/>
      <c r="K33" s="395"/>
      <c r="L33" s="395"/>
      <c r="M33" s="398"/>
      <c r="N33" s="396"/>
      <c r="O33" s="396"/>
      <c r="P33" s="396"/>
      <c r="Q33" s="396"/>
      <c r="R33" s="396"/>
      <c r="S33" s="396"/>
      <c r="T33" s="396"/>
      <c r="AB33" s="937" t="s">
        <v>388</v>
      </c>
    </row>
    <row r="34" spans="2:28" s="62" customFormat="1" ht="15" hidden="1" customHeight="1" x14ac:dyDescent="0.45">
      <c r="B34" s="1606" t="s">
        <v>434</v>
      </c>
      <c r="C34" s="399" t="s">
        <v>141</v>
      </c>
      <c r="D34" s="400"/>
      <c r="E34" s="401"/>
      <c r="F34" s="402"/>
      <c r="G34" s="401"/>
      <c r="H34" s="403"/>
      <c r="I34" s="401"/>
      <c r="J34" s="403"/>
      <c r="K34" s="401"/>
      <c r="L34" s="403"/>
      <c r="M34" s="401"/>
      <c r="N34" s="404"/>
      <c r="O34" s="405"/>
      <c r="P34" s="404"/>
      <c r="Q34" s="405"/>
      <c r="R34" s="404"/>
      <c r="S34" s="405"/>
      <c r="T34" s="754"/>
      <c r="U34" s="771"/>
      <c r="V34" s="771"/>
      <c r="W34" s="771"/>
      <c r="X34" s="771"/>
      <c r="Y34" s="771"/>
      <c r="Z34" s="771"/>
      <c r="AA34" s="772"/>
      <c r="AB34" s="937" t="s">
        <v>388</v>
      </c>
    </row>
    <row r="35" spans="2:28" s="62" customFormat="1" ht="15" hidden="1" customHeight="1" x14ac:dyDescent="0.45">
      <c r="B35" s="1600"/>
      <c r="C35" s="284" t="s">
        <v>142</v>
      </c>
      <c r="D35" s="330"/>
      <c r="E35" s="293"/>
      <c r="F35" s="325"/>
      <c r="G35" s="293"/>
      <c r="H35" s="281"/>
      <c r="I35" s="293"/>
      <c r="J35" s="281"/>
      <c r="K35" s="293"/>
      <c r="L35" s="281"/>
      <c r="M35" s="293"/>
      <c r="N35" s="282"/>
      <c r="O35" s="310"/>
      <c r="P35" s="282"/>
      <c r="Q35" s="310"/>
      <c r="R35" s="282"/>
      <c r="S35" s="310"/>
      <c r="T35" s="282"/>
      <c r="U35" s="310"/>
      <c r="V35" s="310"/>
      <c r="W35" s="310"/>
      <c r="X35" s="310"/>
      <c r="Y35" s="310"/>
      <c r="Z35" s="310"/>
      <c r="AA35" s="773"/>
      <c r="AB35" s="937" t="s">
        <v>388</v>
      </c>
    </row>
    <row r="36" spans="2:28" s="62" customFormat="1" ht="15" hidden="1" customHeight="1" x14ac:dyDescent="0.45">
      <c r="B36" s="1607"/>
      <c r="C36" s="357" t="s">
        <v>143</v>
      </c>
      <c r="D36" s="358"/>
      <c r="E36" s="359"/>
      <c r="F36" s="360"/>
      <c r="G36" s="359"/>
      <c r="H36" s="361"/>
      <c r="I36" s="359"/>
      <c r="J36" s="361"/>
      <c r="K36" s="359"/>
      <c r="L36" s="361"/>
      <c r="M36" s="359"/>
      <c r="N36" s="362"/>
      <c r="O36" s="363"/>
      <c r="P36" s="362"/>
      <c r="Q36" s="363"/>
      <c r="R36" s="362"/>
      <c r="S36" s="363"/>
      <c r="T36" s="362"/>
      <c r="U36" s="767"/>
      <c r="V36" s="767"/>
      <c r="W36" s="767"/>
      <c r="X36" s="767"/>
      <c r="Y36" s="767"/>
      <c r="Z36" s="767"/>
      <c r="AA36" s="774"/>
      <c r="AB36" s="937" t="s">
        <v>388</v>
      </c>
    </row>
    <row r="37" spans="2:28" s="4" customFormat="1" ht="15" hidden="1" customHeight="1" x14ac:dyDescent="0.45">
      <c r="B37" s="1600" t="s">
        <v>438</v>
      </c>
      <c r="C37" s="255" t="s">
        <v>141</v>
      </c>
      <c r="D37" s="332">
        <f t="array" ref="D37:AA39">IF(elements_name="","",IF(element_HR_percent="",0,
0.0147*0.65*element_HR_percent*EXP(2.44*1.92*element_HR_percent)-0.0305))</f>
        <v>0</v>
      </c>
      <c r="E37" s="292">
        <v>7.7659260669934532E-2</v>
      </c>
      <c r="F37" s="324">
        <v>0.11723247121288924</v>
      </c>
      <c r="G37" s="292">
        <v>0.11723247121288924</v>
      </c>
      <c r="H37" s="262">
        <v>0.17016091846761572</v>
      </c>
      <c r="I37" s="292">
        <v>0.17016091846761572</v>
      </c>
      <c r="J37" s="262">
        <v>0.11723247121288924</v>
      </c>
      <c r="K37" s="292">
        <v>0.11723247121288924</v>
      </c>
      <c r="L37" s="262">
        <v>0.33459209578257731</v>
      </c>
      <c r="M37" s="292">
        <v>0.55240490627998418</v>
      </c>
      <c r="N37" s="263">
        <v>0.55240490627998418</v>
      </c>
      <c r="O37" s="309">
        <v>0.17016091846761572</v>
      </c>
      <c r="P37" s="263">
        <v>0.79307167525098532</v>
      </c>
      <c r="Q37" s="309">
        <v>1.0041976916710285</v>
      </c>
      <c r="R37" s="263">
        <v>0.11723247121288924</v>
      </c>
      <c r="S37" s="309">
        <v>0</v>
      </c>
      <c r="T37" s="790">
        <v>0</v>
      </c>
      <c r="U37" s="797">
        <v>0</v>
      </c>
      <c r="V37" s="797">
        <v>0</v>
      </c>
      <c r="W37" s="797">
        <v>0.11723247121288924</v>
      </c>
      <c r="X37" s="797">
        <v>0.17016091846761572</v>
      </c>
      <c r="Y37" s="797" t="str">
        <v/>
      </c>
      <c r="Z37" s="797" t="str">
        <v/>
      </c>
      <c r="AA37" s="798">
        <v>0.11723247121288924</v>
      </c>
      <c r="AB37" s="938" t="s">
        <v>388</v>
      </c>
    </row>
    <row r="38" spans="2:28" s="4" customFormat="1" ht="15" hidden="1" customHeight="1" x14ac:dyDescent="0.45">
      <c r="B38" s="1600"/>
      <c r="C38" s="284" t="s">
        <v>142</v>
      </c>
      <c r="D38" s="330">
        <v>0</v>
      </c>
      <c r="E38" s="293">
        <v>0.11723247121288924</v>
      </c>
      <c r="F38" s="325">
        <v>0.17016091846761572</v>
      </c>
      <c r="G38" s="293">
        <v>0.17016091846761572</v>
      </c>
      <c r="H38" s="281">
        <v>0.24073776926148407</v>
      </c>
      <c r="I38" s="293">
        <v>0.24073776926148407</v>
      </c>
      <c r="J38" s="281">
        <v>0.24073776926148407</v>
      </c>
      <c r="K38" s="293">
        <v>0.24073776926148407</v>
      </c>
      <c r="L38" s="281">
        <v>0.40505698973180515</v>
      </c>
      <c r="M38" s="293">
        <v>0.62388703218775465</v>
      </c>
      <c r="N38" s="282">
        <v>0.62388703218775465</v>
      </c>
      <c r="O38" s="310">
        <v>0.40505698973180515</v>
      </c>
      <c r="P38" s="282">
        <v>0.89281076721449215</v>
      </c>
      <c r="Q38" s="310">
        <v>2.3721955215387172</v>
      </c>
      <c r="R38" s="282">
        <v>0.24073776926148407</v>
      </c>
      <c r="S38" s="310">
        <v>0</v>
      </c>
      <c r="T38" s="791">
        <v>0</v>
      </c>
      <c r="U38" s="799">
        <v>0</v>
      </c>
      <c r="V38" s="799">
        <v>0</v>
      </c>
      <c r="W38" s="799">
        <v>0.17016091846761572</v>
      </c>
      <c r="X38" s="799">
        <v>0.24073776926148407</v>
      </c>
      <c r="Y38" s="799" t="str">
        <v/>
      </c>
      <c r="Z38" s="799" t="str">
        <v/>
      </c>
      <c r="AA38" s="800">
        <v>0.17016091846761572</v>
      </c>
      <c r="AB38" s="938" t="s">
        <v>388</v>
      </c>
    </row>
    <row r="39" spans="2:28" s="4" customFormat="1" ht="15" hidden="1" customHeight="1" x14ac:dyDescent="0.45">
      <c r="B39" s="1600"/>
      <c r="C39" s="255" t="s">
        <v>143</v>
      </c>
      <c r="D39" s="332">
        <v>0</v>
      </c>
      <c r="E39" s="292">
        <v>0.17016091846761572</v>
      </c>
      <c r="F39" s="324">
        <v>0.24073776926148407</v>
      </c>
      <c r="G39" s="292">
        <v>0.24073776926148407</v>
      </c>
      <c r="H39" s="262">
        <v>0.33459209578257731</v>
      </c>
      <c r="I39" s="292">
        <v>0.33459209578257731</v>
      </c>
      <c r="J39" s="262">
        <v>0.48847473726040624</v>
      </c>
      <c r="K39" s="292">
        <v>0.48847473726040624</v>
      </c>
      <c r="L39" s="262">
        <v>0.48847473726040624</v>
      </c>
      <c r="M39" s="292">
        <v>0.70378789113786822</v>
      </c>
      <c r="N39" s="263">
        <v>0.70378789113786822</v>
      </c>
      <c r="O39" s="309">
        <v>0.89281076721449215</v>
      </c>
      <c r="P39" s="263">
        <v>1.0041976916710285</v>
      </c>
      <c r="Q39" s="309">
        <v>5.453932164330106</v>
      </c>
      <c r="R39" s="263">
        <v>0.48847473726040624</v>
      </c>
      <c r="S39" s="309">
        <v>0</v>
      </c>
      <c r="T39" s="790">
        <v>0</v>
      </c>
      <c r="U39" s="801">
        <v>0</v>
      </c>
      <c r="V39" s="801">
        <v>0</v>
      </c>
      <c r="W39" s="801">
        <v>0.24073776926148407</v>
      </c>
      <c r="X39" s="801">
        <v>0.33459209578257731</v>
      </c>
      <c r="Y39" s="801" t="str">
        <v/>
      </c>
      <c r="Z39" s="801" t="str">
        <v/>
      </c>
      <c r="AA39" s="802">
        <v>0.24073776926148407</v>
      </c>
      <c r="AB39" s="938" t="s">
        <v>388</v>
      </c>
    </row>
    <row r="40" spans="2:28" s="4" customFormat="1" ht="15" hidden="1" customHeight="1" x14ac:dyDescent="0.45">
      <c r="B40" s="1601" t="s">
        <v>148</v>
      </c>
      <c r="C40" s="272" t="s">
        <v>141</v>
      </c>
      <c r="D40" s="333">
        <f t="array" ref="D40:AA42">IF(elements_name="","",IF(element_HR_percent=0,0,
elements_HR_reserve*0.64*EXP(IF(athlete_gender="female",1.67,1.92)*elements_HR_reserve
)))</f>
        <v>0</v>
      </c>
      <c r="E40" s="422">
        <v>0.79053139389142069</v>
      </c>
      <c r="F40" s="423">
        <v>1.0361404522538142</v>
      </c>
      <c r="G40" s="422">
        <v>1.0361404522538142</v>
      </c>
      <c r="H40" s="424">
        <v>1.3035376127570943</v>
      </c>
      <c r="I40" s="422">
        <v>1.3035376127570943</v>
      </c>
      <c r="J40" s="424">
        <v>1.0361404522538142</v>
      </c>
      <c r="K40" s="422">
        <v>1.0361404522538142</v>
      </c>
      <c r="L40" s="424">
        <v>2.0492527973541974</v>
      </c>
      <c r="M40" s="422">
        <v>2.9246323681790631</v>
      </c>
      <c r="N40" s="279">
        <v>2.9246323681790631</v>
      </c>
      <c r="O40" s="311">
        <v>1.3035376127570943</v>
      </c>
      <c r="P40" s="279">
        <v>3.6971291964446169</v>
      </c>
      <c r="Q40" s="311">
        <v>4.3654134203460799</v>
      </c>
      <c r="R40" s="279">
        <v>1.0361404522538142</v>
      </c>
      <c r="S40" s="311">
        <v>0</v>
      </c>
      <c r="T40" s="792">
        <v>0</v>
      </c>
      <c r="U40" s="803">
        <v>0</v>
      </c>
      <c r="V40" s="803">
        <v>0</v>
      </c>
      <c r="W40" s="803">
        <v>1.0361404522538142</v>
      </c>
      <c r="X40" s="803">
        <v>1.3035376127570943</v>
      </c>
      <c r="Y40" s="803" t="str">
        <v/>
      </c>
      <c r="Z40" s="803" t="str">
        <v/>
      </c>
      <c r="AA40" s="804">
        <v>1.0361404522538142</v>
      </c>
      <c r="AB40" s="938" t="s">
        <v>388</v>
      </c>
    </row>
    <row r="41" spans="2:28" s="4" customFormat="1" ht="15" hidden="1" customHeight="1" x14ac:dyDescent="0.45">
      <c r="B41" s="1602"/>
      <c r="C41" s="283" t="s">
        <v>142</v>
      </c>
      <c r="D41" s="331">
        <v>0</v>
      </c>
      <c r="E41" s="425">
        <v>1.0361404522538142</v>
      </c>
      <c r="F41" s="426">
        <v>1.3035376127570943</v>
      </c>
      <c r="G41" s="425">
        <v>1.3035376127570943</v>
      </c>
      <c r="H41" s="427">
        <v>1.6618372060036211</v>
      </c>
      <c r="I41" s="425">
        <v>1.6618372060036211</v>
      </c>
      <c r="J41" s="427">
        <v>1.6618372060036211</v>
      </c>
      <c r="K41" s="425">
        <v>1.6618372060036211</v>
      </c>
      <c r="L41" s="427">
        <v>2.3470541354876326</v>
      </c>
      <c r="M41" s="425">
        <v>3.1875609275280241</v>
      </c>
      <c r="N41" s="428">
        <v>3.1875609275280241</v>
      </c>
      <c r="O41" s="429">
        <v>2.3470541354876326</v>
      </c>
      <c r="P41" s="428">
        <v>4.0190880267827698</v>
      </c>
      <c r="Q41" s="429">
        <v>7.7808226550921527</v>
      </c>
      <c r="R41" s="428">
        <v>1.6618372060036211</v>
      </c>
      <c r="S41" s="429">
        <v>0</v>
      </c>
      <c r="T41" s="793">
        <v>0</v>
      </c>
      <c r="U41" s="805">
        <v>0</v>
      </c>
      <c r="V41" s="805">
        <v>0</v>
      </c>
      <c r="W41" s="805">
        <v>1.3035376127570943</v>
      </c>
      <c r="X41" s="805">
        <v>1.6618372060036211</v>
      </c>
      <c r="Y41" s="805" t="str">
        <v/>
      </c>
      <c r="Z41" s="805" t="str">
        <v/>
      </c>
      <c r="AA41" s="806">
        <v>1.3035376127570943</v>
      </c>
      <c r="AB41" s="938" t="s">
        <v>388</v>
      </c>
    </row>
    <row r="42" spans="2:28" s="4" customFormat="1" ht="15" hidden="1" customHeight="1" x14ac:dyDescent="0.45">
      <c r="B42" s="1603"/>
      <c r="C42" s="264" t="s">
        <v>143</v>
      </c>
      <c r="D42" s="334">
        <v>0</v>
      </c>
      <c r="E42" s="430">
        <v>1.3035376127570943</v>
      </c>
      <c r="F42" s="431">
        <v>1.6618372060036211</v>
      </c>
      <c r="G42" s="430">
        <v>1.6618372060036211</v>
      </c>
      <c r="H42" s="432">
        <v>2.0492527973541974</v>
      </c>
      <c r="I42" s="430">
        <v>2.0492527973541974</v>
      </c>
      <c r="J42" s="432">
        <v>2.6805538064937902</v>
      </c>
      <c r="K42" s="430">
        <v>2.6805538064937902</v>
      </c>
      <c r="L42" s="432">
        <v>2.6805538064937902</v>
      </c>
      <c r="M42" s="430">
        <v>3.3979311770932425</v>
      </c>
      <c r="N42" s="271">
        <v>3.3979311770932425</v>
      </c>
      <c r="O42" s="312">
        <v>4.0190880267827698</v>
      </c>
      <c r="P42" s="271">
        <v>4.3654134203460799</v>
      </c>
      <c r="Q42" s="312">
        <v>13.469509270017177</v>
      </c>
      <c r="R42" s="271">
        <v>2.6805538064937902</v>
      </c>
      <c r="S42" s="312">
        <v>0</v>
      </c>
      <c r="T42" s="794">
        <v>0</v>
      </c>
      <c r="U42" s="807">
        <v>0</v>
      </c>
      <c r="V42" s="807">
        <v>0</v>
      </c>
      <c r="W42" s="807">
        <v>1.6618372060036211</v>
      </c>
      <c r="X42" s="807">
        <v>2.0492527973541974</v>
      </c>
      <c r="Y42" s="807" t="str">
        <v/>
      </c>
      <c r="Z42" s="807" t="str">
        <v/>
      </c>
      <c r="AA42" s="808">
        <v>1.6618372060036211</v>
      </c>
      <c r="AB42" s="938" t="s">
        <v>388</v>
      </c>
    </row>
    <row r="43" spans="2:28" s="4" customFormat="1" ht="15" hidden="1" customHeight="1" x14ac:dyDescent="0.45">
      <c r="B43" s="1604" t="s">
        <v>354</v>
      </c>
      <c r="C43" s="350" t="s">
        <v>141</v>
      </c>
      <c r="D43" s="351">
        <f t="array" ref="D43:AA45">IF(elements_name="","",IF(element_HR_percent=0,0,
1/(elements_pace/elements_pace_tempo)
))</f>
        <v>0</v>
      </c>
      <c r="E43" s="352">
        <v>0.57118356280188864</v>
      </c>
      <c r="F43" s="353">
        <v>0.64572163983177422</v>
      </c>
      <c r="G43" s="352">
        <v>0.64572163983177422</v>
      </c>
      <c r="H43" s="354">
        <v>0.71903224852957959</v>
      </c>
      <c r="I43" s="352">
        <v>0.71903224852957959</v>
      </c>
      <c r="J43" s="354">
        <v>0.64572163983177422</v>
      </c>
      <c r="K43" s="352">
        <v>0.64572163983177422</v>
      </c>
      <c r="L43" s="354">
        <v>0.86197106092895015</v>
      </c>
      <c r="M43" s="352">
        <v>0.97278700205205582</v>
      </c>
      <c r="N43" s="355">
        <v>0.97278700205205582</v>
      </c>
      <c r="O43" s="356">
        <v>0.71903224852957959</v>
      </c>
      <c r="P43" s="355">
        <v>1.0538368110964902</v>
      </c>
      <c r="Q43" s="356">
        <v>1.1068880424604493</v>
      </c>
      <c r="R43" s="355">
        <v>0.64572163983177422</v>
      </c>
      <c r="S43" s="356">
        <v>0</v>
      </c>
      <c r="T43" s="795">
        <v>0</v>
      </c>
      <c r="U43" s="797">
        <v>0</v>
      </c>
      <c r="V43" s="797">
        <v>0</v>
      </c>
      <c r="W43" s="797">
        <v>0.64572163983177422</v>
      </c>
      <c r="X43" s="797">
        <v>0.71903224852957959</v>
      </c>
      <c r="Y43" s="797" t="str">
        <v/>
      </c>
      <c r="Z43" s="797" t="str">
        <v/>
      </c>
      <c r="AA43" s="798">
        <v>0.64572163983177422</v>
      </c>
      <c r="AB43" s="938" t="s">
        <v>388</v>
      </c>
    </row>
    <row r="44" spans="2:28" s="4" customFormat="1" ht="15" hidden="1" customHeight="1" x14ac:dyDescent="0.45">
      <c r="B44" s="1600"/>
      <c r="C44" s="284" t="s">
        <v>142</v>
      </c>
      <c r="D44" s="330">
        <v>0</v>
      </c>
      <c r="E44" s="293">
        <v>0.64572163983177422</v>
      </c>
      <c r="F44" s="325">
        <v>0.71903224852957959</v>
      </c>
      <c r="G44" s="293">
        <v>0.71903224852957959</v>
      </c>
      <c r="H44" s="281">
        <v>0.79111538889530486</v>
      </c>
      <c r="I44" s="293">
        <v>0.79111538889530486</v>
      </c>
      <c r="J44" s="281">
        <v>0.79111538889530486</v>
      </c>
      <c r="K44" s="293">
        <v>0.79111538889530486</v>
      </c>
      <c r="L44" s="281">
        <v>0.9038952793497389</v>
      </c>
      <c r="M44" s="293">
        <v>1</v>
      </c>
      <c r="N44" s="282">
        <v>1</v>
      </c>
      <c r="O44" s="310">
        <v>0.9038952793497389</v>
      </c>
      <c r="P44" s="282">
        <v>1.0804606242450363</v>
      </c>
      <c r="Q44" s="310">
        <v>1.2988335905824384</v>
      </c>
      <c r="R44" s="282">
        <v>0.79111538889530486</v>
      </c>
      <c r="S44" s="310">
        <v>0</v>
      </c>
      <c r="T44" s="791">
        <v>0</v>
      </c>
      <c r="U44" s="799">
        <v>0</v>
      </c>
      <c r="V44" s="799">
        <v>0</v>
      </c>
      <c r="W44" s="799">
        <v>0.71903224852957959</v>
      </c>
      <c r="X44" s="799">
        <v>0.79111538889530486</v>
      </c>
      <c r="Y44" s="799" t="str">
        <v/>
      </c>
      <c r="Z44" s="799" t="str">
        <v/>
      </c>
      <c r="AA44" s="800">
        <v>0.71903224852957959</v>
      </c>
      <c r="AB44" s="938" t="s">
        <v>388</v>
      </c>
    </row>
    <row r="45" spans="2:28" s="4" customFormat="1" ht="15" hidden="1" customHeight="1" x14ac:dyDescent="0.45">
      <c r="B45" s="1607"/>
      <c r="C45" s="357" t="s">
        <v>143</v>
      </c>
      <c r="D45" s="358">
        <v>0</v>
      </c>
      <c r="E45" s="359">
        <v>0.71903224852957959</v>
      </c>
      <c r="F45" s="360">
        <v>0.79111538889530486</v>
      </c>
      <c r="G45" s="359">
        <v>0.79111538889530486</v>
      </c>
      <c r="H45" s="361">
        <v>0.86197106092895015</v>
      </c>
      <c r="I45" s="359">
        <v>0.86197106092895015</v>
      </c>
      <c r="J45" s="361">
        <v>0.94537760917097835</v>
      </c>
      <c r="K45" s="359">
        <v>0.94537760917097835</v>
      </c>
      <c r="L45" s="361">
        <v>0.94537760917097835</v>
      </c>
      <c r="M45" s="359">
        <v>1.0270166030148118</v>
      </c>
      <c r="N45" s="362">
        <v>1.0270166030148118</v>
      </c>
      <c r="O45" s="363">
        <v>1.0804606242450363</v>
      </c>
      <c r="P45" s="362">
        <v>1.1068880424604493</v>
      </c>
      <c r="Q45" s="363">
        <v>1.4797319237157069</v>
      </c>
      <c r="R45" s="362">
        <v>0.94537760917097835</v>
      </c>
      <c r="S45" s="363">
        <v>0</v>
      </c>
      <c r="T45" s="796">
        <v>0</v>
      </c>
      <c r="U45" s="801">
        <v>0</v>
      </c>
      <c r="V45" s="801">
        <v>0</v>
      </c>
      <c r="W45" s="801">
        <v>0.79111538889530486</v>
      </c>
      <c r="X45" s="801">
        <v>0.86197106092895015</v>
      </c>
      <c r="Y45" s="801" t="str">
        <v/>
      </c>
      <c r="Z45" s="801" t="str">
        <v/>
      </c>
      <c r="AA45" s="802">
        <v>0.79111538889530486</v>
      </c>
      <c r="AB45" s="938" t="s">
        <v>388</v>
      </c>
    </row>
    <row r="46" spans="2:28" hidden="1" x14ac:dyDescent="0.45">
      <c r="B46" s="1601" t="s">
        <v>353</v>
      </c>
      <c r="C46" s="272" t="s">
        <v>141</v>
      </c>
      <c r="D46" s="333">
        <f t="array" ref="D46:AA48">IF(elements_name="","",IF(element_HR_percent=0,0,
((60/(1400*elements_pace))*elements_rIF)/((60/(1400*elements_pace_tempo)))/60*100
))</f>
        <v>0</v>
      </c>
      <c r="E46" s="294">
        <v>0.54375110402509852</v>
      </c>
      <c r="F46" s="326">
        <v>0.69492739357839262</v>
      </c>
      <c r="G46" s="294">
        <v>0.69492739357839262</v>
      </c>
      <c r="H46" s="278">
        <v>0.86167895737583855</v>
      </c>
      <c r="I46" s="294">
        <v>0.86167895737583855</v>
      </c>
      <c r="J46" s="278">
        <v>0.69492739357839262</v>
      </c>
      <c r="K46" s="294">
        <v>0.69492739357839262</v>
      </c>
      <c r="L46" s="278">
        <v>1.2383235164649664</v>
      </c>
      <c r="M46" s="294">
        <v>1.5771909189357107</v>
      </c>
      <c r="N46" s="390">
        <v>1.5771909189357107</v>
      </c>
      <c r="O46" s="391">
        <v>0.86167895737583855</v>
      </c>
      <c r="P46" s="390">
        <v>1.8509533740366995</v>
      </c>
      <c r="Q46" s="391">
        <v>2.0420018975698753</v>
      </c>
      <c r="R46" s="390">
        <v>0.69492739357839262</v>
      </c>
      <c r="S46" s="391">
        <v>0</v>
      </c>
      <c r="T46" s="390">
        <v>0</v>
      </c>
      <c r="U46" s="809">
        <v>0</v>
      </c>
      <c r="V46" s="809">
        <v>0</v>
      </c>
      <c r="W46" s="809">
        <v>0.69492739357839262</v>
      </c>
      <c r="X46" s="809">
        <v>0.86167895737583855</v>
      </c>
      <c r="Y46" s="809" t="str">
        <v/>
      </c>
      <c r="Z46" s="809" t="str">
        <v/>
      </c>
      <c r="AA46" s="810">
        <v>0.69492739357839262</v>
      </c>
      <c r="AB46" s="931" t="s">
        <v>388</v>
      </c>
    </row>
    <row r="47" spans="2:28" hidden="1" x14ac:dyDescent="0.45">
      <c r="B47" s="1602"/>
      <c r="C47" s="283" t="s">
        <v>142</v>
      </c>
      <c r="D47" s="331">
        <v>0</v>
      </c>
      <c r="E47" s="370">
        <v>0.69492739357839262</v>
      </c>
      <c r="F47" s="371">
        <v>0.86167895737583855</v>
      </c>
      <c r="G47" s="370">
        <v>0.86167895737583855</v>
      </c>
      <c r="H47" s="372">
        <v>1.043105930911616</v>
      </c>
      <c r="I47" s="370">
        <v>1.043105930911616</v>
      </c>
      <c r="J47" s="372">
        <v>1.043105930911616</v>
      </c>
      <c r="K47" s="370">
        <v>1.043105930911616</v>
      </c>
      <c r="L47" s="372">
        <v>1.3617111267179041</v>
      </c>
      <c r="M47" s="370">
        <v>1.6666666666666667</v>
      </c>
      <c r="N47" s="373">
        <v>1.6666666666666667</v>
      </c>
      <c r="O47" s="374">
        <v>1.3617111267179041</v>
      </c>
      <c r="P47" s="373">
        <v>1.9456586009066226</v>
      </c>
      <c r="Q47" s="374">
        <v>2.8116144933754481</v>
      </c>
      <c r="R47" s="373">
        <v>1.043105930911616</v>
      </c>
      <c r="S47" s="374">
        <v>0</v>
      </c>
      <c r="T47" s="373">
        <v>0</v>
      </c>
      <c r="U47" s="811">
        <v>0</v>
      </c>
      <c r="V47" s="811">
        <v>0</v>
      </c>
      <c r="W47" s="811">
        <v>0.86167895737583855</v>
      </c>
      <c r="X47" s="811">
        <v>1.043105930911616</v>
      </c>
      <c r="Y47" s="811" t="str">
        <v/>
      </c>
      <c r="Z47" s="811" t="str">
        <v/>
      </c>
      <c r="AA47" s="812">
        <v>0.86167895737583855</v>
      </c>
      <c r="AB47" s="931" t="s">
        <v>388</v>
      </c>
    </row>
    <row r="48" spans="2:28" hidden="1" x14ac:dyDescent="0.45">
      <c r="B48" s="1603"/>
      <c r="C48" s="264" t="s">
        <v>143</v>
      </c>
      <c r="D48" s="334">
        <v>0</v>
      </c>
      <c r="E48" s="295">
        <v>0.86167895737583855</v>
      </c>
      <c r="F48" s="327">
        <v>1.043105930911616</v>
      </c>
      <c r="G48" s="295">
        <v>1.043105930911616</v>
      </c>
      <c r="H48" s="270">
        <v>1.2383235164649664</v>
      </c>
      <c r="I48" s="295">
        <v>1.2383235164649664</v>
      </c>
      <c r="J48" s="270">
        <v>1.4895647065363917</v>
      </c>
      <c r="K48" s="295">
        <v>1.4895647065363917</v>
      </c>
      <c r="L48" s="270">
        <v>1.4895647065363917</v>
      </c>
      <c r="M48" s="295">
        <v>1.757938504780139</v>
      </c>
      <c r="N48" s="392">
        <v>1.757938504780139</v>
      </c>
      <c r="O48" s="393">
        <v>1.9456586009066226</v>
      </c>
      <c r="P48" s="392">
        <v>2.0420018975698753</v>
      </c>
      <c r="Q48" s="393">
        <v>3.6493442767723114</v>
      </c>
      <c r="R48" s="392">
        <v>1.4895647065363917</v>
      </c>
      <c r="S48" s="393">
        <v>0</v>
      </c>
      <c r="T48" s="392">
        <v>0</v>
      </c>
      <c r="U48" s="813">
        <v>0</v>
      </c>
      <c r="V48" s="813">
        <v>0</v>
      </c>
      <c r="W48" s="813">
        <v>1.043105930911616</v>
      </c>
      <c r="X48" s="813">
        <v>1.2383235164649664</v>
      </c>
      <c r="Y48" s="813" t="str">
        <v/>
      </c>
      <c r="Z48" s="813" t="str">
        <v/>
      </c>
      <c r="AA48" s="814">
        <v>1.043105930911616</v>
      </c>
      <c r="AB48" s="931" t="s">
        <v>388</v>
      </c>
    </row>
    <row r="49" spans="2:28" hidden="1" x14ac:dyDescent="0.45">
      <c r="B49" s="1600" t="s">
        <v>355</v>
      </c>
      <c r="C49" s="255" t="s">
        <v>141</v>
      </c>
      <c r="D49" s="332">
        <f t="array" ref="D49:AA51">IF(elements_name="","",IF(element_HR_percent=0,0,
elements_VO2_percent/element_athlete_FTP
))</f>
        <v>0</v>
      </c>
      <c r="E49" s="292">
        <v>0.64641084136643667</v>
      </c>
      <c r="F49" s="324">
        <v>0.69516920681951633</v>
      </c>
      <c r="G49" s="292">
        <v>0.69516920681951633</v>
      </c>
      <c r="H49" s="262">
        <v>0.74760538528178133</v>
      </c>
      <c r="I49" s="292">
        <v>0.74760538528178133</v>
      </c>
      <c r="J49" s="262">
        <v>0.69516920681951633</v>
      </c>
      <c r="K49" s="292">
        <v>0.69516920681951633</v>
      </c>
      <c r="L49" s="262">
        <v>0.86464176702365081</v>
      </c>
      <c r="M49" s="292">
        <v>0.97133098357894587</v>
      </c>
      <c r="N49" s="263">
        <v>0.97133098357894587</v>
      </c>
      <c r="O49" s="309">
        <v>0.74760538528178133</v>
      </c>
      <c r="P49" s="263">
        <v>1.0599015219633612</v>
      </c>
      <c r="Q49" s="309">
        <v>1.1233912362602496</v>
      </c>
      <c r="R49" s="263">
        <v>0.69516920681951633</v>
      </c>
      <c r="S49" s="309">
        <v>0</v>
      </c>
      <c r="T49" s="263">
        <v>0</v>
      </c>
      <c r="U49" s="815">
        <v>0</v>
      </c>
      <c r="V49" s="815">
        <v>0</v>
      </c>
      <c r="W49" s="815">
        <v>0.69516920681951633</v>
      </c>
      <c r="X49" s="815">
        <v>0.74760538528178133</v>
      </c>
      <c r="Y49" s="815" t="str">
        <v/>
      </c>
      <c r="Z49" s="815" t="str">
        <v/>
      </c>
      <c r="AA49" s="816">
        <v>0.69516920681951633</v>
      </c>
      <c r="AB49" s="931" t="s">
        <v>388</v>
      </c>
    </row>
    <row r="50" spans="2:28" hidden="1" x14ac:dyDescent="0.45">
      <c r="B50" s="1600"/>
      <c r="C50" s="284" t="s">
        <v>142</v>
      </c>
      <c r="D50" s="330">
        <v>0</v>
      </c>
      <c r="E50" s="293">
        <v>0.69516920681951633</v>
      </c>
      <c r="F50" s="325">
        <v>0.74760538528178133</v>
      </c>
      <c r="G50" s="293">
        <v>0.74760538528178133</v>
      </c>
      <c r="H50" s="281">
        <v>0.80399679188814988</v>
      </c>
      <c r="I50" s="293">
        <v>0.80399679188814988</v>
      </c>
      <c r="J50" s="281">
        <v>0.80399679188814988</v>
      </c>
      <c r="K50" s="293">
        <v>0.80399679188814988</v>
      </c>
      <c r="L50" s="281">
        <v>0.90320294998850326</v>
      </c>
      <c r="M50" s="293">
        <v>1</v>
      </c>
      <c r="N50" s="282">
        <v>1</v>
      </c>
      <c r="O50" s="310">
        <v>0.90320294998850326</v>
      </c>
      <c r="P50" s="282">
        <v>1.0911847144606364</v>
      </c>
      <c r="Q50" s="310">
        <v>1.3972583567429626</v>
      </c>
      <c r="R50" s="282">
        <v>0.80399679188814988</v>
      </c>
      <c r="S50" s="310">
        <v>0</v>
      </c>
      <c r="T50" s="282">
        <v>0</v>
      </c>
      <c r="U50" s="817">
        <v>0</v>
      </c>
      <c r="V50" s="817">
        <v>0</v>
      </c>
      <c r="W50" s="817">
        <v>0.74760538528178133</v>
      </c>
      <c r="X50" s="817">
        <v>0.80399679188814988</v>
      </c>
      <c r="Y50" s="817" t="str">
        <v/>
      </c>
      <c r="Z50" s="817" t="str">
        <v/>
      </c>
      <c r="AA50" s="818">
        <v>0.74760538528178133</v>
      </c>
      <c r="AB50" s="931" t="s">
        <v>388</v>
      </c>
    </row>
    <row r="51" spans="2:28" hidden="1" x14ac:dyDescent="0.45">
      <c r="B51" s="1607"/>
      <c r="C51" s="357" t="s">
        <v>143</v>
      </c>
      <c r="D51" s="358">
        <v>0</v>
      </c>
      <c r="E51" s="359">
        <v>0.74760538528178133</v>
      </c>
      <c r="F51" s="360">
        <v>0.80399679188814988</v>
      </c>
      <c r="G51" s="359">
        <v>0.80399679188814988</v>
      </c>
      <c r="H51" s="361">
        <v>0.86464176702365081</v>
      </c>
      <c r="I51" s="359">
        <v>0.86464176702365081</v>
      </c>
      <c r="J51" s="361">
        <v>0.94348387966044267</v>
      </c>
      <c r="K51" s="359">
        <v>0.94348387966044267</v>
      </c>
      <c r="L51" s="361">
        <v>0.94348387966044267</v>
      </c>
      <c r="M51" s="359">
        <v>1.0295151878254936</v>
      </c>
      <c r="N51" s="362">
        <v>1.0295151878254936</v>
      </c>
      <c r="O51" s="363">
        <v>1.0911847144606364</v>
      </c>
      <c r="P51" s="362">
        <v>1.1233912362602496</v>
      </c>
      <c r="Q51" s="363">
        <v>1.7378904627984462</v>
      </c>
      <c r="R51" s="362">
        <v>0.94348387966044267</v>
      </c>
      <c r="S51" s="363">
        <v>0</v>
      </c>
      <c r="T51" s="362">
        <v>0</v>
      </c>
      <c r="U51" s="819">
        <v>0</v>
      </c>
      <c r="V51" s="819">
        <v>0</v>
      </c>
      <c r="W51" s="819">
        <v>0.80399679188814988</v>
      </c>
      <c r="X51" s="819">
        <v>0.86464176702365081</v>
      </c>
      <c r="Y51" s="819" t="str">
        <v/>
      </c>
      <c r="Z51" s="819" t="str">
        <v/>
      </c>
      <c r="AA51" s="820">
        <v>0.80399679188814988</v>
      </c>
      <c r="AB51" s="931" t="s">
        <v>388</v>
      </c>
    </row>
    <row r="52" spans="2:28" hidden="1" x14ac:dyDescent="0.45">
      <c r="B52" s="1602" t="s">
        <v>591</v>
      </c>
      <c r="C52" s="336" t="s">
        <v>141</v>
      </c>
      <c r="D52" s="364">
        <f t="array" ref="D52:AA54">IF(elements_name="","",IF(element_HR_percent=0,0,
(elements_VO2_percent*elements_cIF)/(element_athlete_FTP)/60*100
))</f>
        <v>0</v>
      </c>
      <c r="E52" s="365">
        <v>0.69641162639344101</v>
      </c>
      <c r="F52" s="366">
        <v>0.80543371018345933</v>
      </c>
      <c r="G52" s="365">
        <v>0.80543371018345933</v>
      </c>
      <c r="H52" s="367">
        <v>0.93152302017053457</v>
      </c>
      <c r="I52" s="365">
        <v>0.93152302017053457</v>
      </c>
      <c r="J52" s="367">
        <v>0.80543371018345933</v>
      </c>
      <c r="K52" s="365">
        <v>0.80543371018345933</v>
      </c>
      <c r="L52" s="367">
        <v>1.2460089754696353</v>
      </c>
      <c r="M52" s="365">
        <v>1.572473132767404</v>
      </c>
      <c r="N52" s="368">
        <v>1.572473132767404</v>
      </c>
      <c r="O52" s="369">
        <v>0.93152302017053457</v>
      </c>
      <c r="P52" s="368">
        <v>1.8723187271004158</v>
      </c>
      <c r="Q52" s="369">
        <v>2.1033464495105534</v>
      </c>
      <c r="R52" s="368">
        <v>0.80543371018345933</v>
      </c>
      <c r="S52" s="369">
        <v>0</v>
      </c>
      <c r="T52" s="368">
        <v>0</v>
      </c>
      <c r="U52" s="809">
        <v>0</v>
      </c>
      <c r="V52" s="809">
        <v>0</v>
      </c>
      <c r="W52" s="809">
        <v>0.80543371018345933</v>
      </c>
      <c r="X52" s="809">
        <v>0.93152302017053457</v>
      </c>
      <c r="Y52" s="809" t="str">
        <v/>
      </c>
      <c r="Z52" s="809" t="str">
        <v/>
      </c>
      <c r="AA52" s="810">
        <v>0.80543371018345933</v>
      </c>
      <c r="AB52" s="931" t="s">
        <v>388</v>
      </c>
    </row>
    <row r="53" spans="2:28" hidden="1" x14ac:dyDescent="0.45">
      <c r="B53" s="1602"/>
      <c r="C53" s="283" t="s">
        <v>142</v>
      </c>
      <c r="D53" s="331">
        <v>0</v>
      </c>
      <c r="E53" s="370">
        <v>0.80543371018345933</v>
      </c>
      <c r="F53" s="371">
        <v>0.93152302017053457</v>
      </c>
      <c r="G53" s="370">
        <v>0.93152302017053457</v>
      </c>
      <c r="H53" s="372">
        <v>1.0773514022773951</v>
      </c>
      <c r="I53" s="370">
        <v>1.0773514022773951</v>
      </c>
      <c r="J53" s="372">
        <v>1.0773514022773951</v>
      </c>
      <c r="K53" s="370">
        <v>1.0773514022773951</v>
      </c>
      <c r="L53" s="372">
        <v>1.3596259481132247</v>
      </c>
      <c r="M53" s="370">
        <v>1.6666666666666667</v>
      </c>
      <c r="N53" s="373">
        <v>1.6666666666666667</v>
      </c>
      <c r="O53" s="374">
        <v>1.3596259481132247</v>
      </c>
      <c r="P53" s="373">
        <v>1.9844734684542338</v>
      </c>
      <c r="Q53" s="374">
        <v>3.2538848591467406</v>
      </c>
      <c r="R53" s="373">
        <v>1.0773514022773951</v>
      </c>
      <c r="S53" s="374">
        <v>0</v>
      </c>
      <c r="T53" s="373">
        <v>0</v>
      </c>
      <c r="U53" s="811">
        <v>0</v>
      </c>
      <c r="V53" s="811">
        <v>0</v>
      </c>
      <c r="W53" s="811">
        <v>0.93152302017053457</v>
      </c>
      <c r="X53" s="811">
        <v>1.0773514022773951</v>
      </c>
      <c r="Y53" s="811" t="str">
        <v/>
      </c>
      <c r="Z53" s="811" t="str">
        <v/>
      </c>
      <c r="AA53" s="812">
        <v>0.93152302017053457</v>
      </c>
      <c r="AB53" s="931" t="s">
        <v>388</v>
      </c>
    </row>
    <row r="54" spans="2:28" ht="14.65" hidden="1" thickBot="1" x14ac:dyDescent="0.5">
      <c r="B54" s="1608"/>
      <c r="C54" s="375" t="s">
        <v>143</v>
      </c>
      <c r="D54" s="376">
        <v>0</v>
      </c>
      <c r="E54" s="377">
        <v>0.93152302017053457</v>
      </c>
      <c r="F54" s="378">
        <v>1.0773514022773951</v>
      </c>
      <c r="G54" s="377">
        <v>1.0773514022773951</v>
      </c>
      <c r="H54" s="379">
        <v>1.2460089754696353</v>
      </c>
      <c r="I54" s="377">
        <v>1.2460089754696353</v>
      </c>
      <c r="J54" s="379">
        <v>1.4836030519652013</v>
      </c>
      <c r="K54" s="377">
        <v>1.4836030519652013</v>
      </c>
      <c r="L54" s="379">
        <v>1.4836030519652013</v>
      </c>
      <c r="M54" s="377">
        <v>1.766502536605602</v>
      </c>
      <c r="N54" s="380">
        <v>1.766502536605602</v>
      </c>
      <c r="O54" s="381">
        <v>1.9844734684542338</v>
      </c>
      <c r="P54" s="380">
        <v>2.1033464495105534</v>
      </c>
      <c r="Q54" s="381">
        <v>5.0337721011429952</v>
      </c>
      <c r="R54" s="380">
        <v>1.4836030519652013</v>
      </c>
      <c r="S54" s="381">
        <v>0</v>
      </c>
      <c r="T54" s="380">
        <v>0</v>
      </c>
      <c r="U54" s="821">
        <v>0</v>
      </c>
      <c r="V54" s="821">
        <v>0</v>
      </c>
      <c r="W54" s="821">
        <v>1.0773514022773951</v>
      </c>
      <c r="X54" s="821">
        <v>1.2460089754696353</v>
      </c>
      <c r="Y54" s="821" t="str">
        <v/>
      </c>
      <c r="Z54" s="821" t="str">
        <v/>
      </c>
      <c r="AA54" s="822">
        <v>1.0773514022773951</v>
      </c>
      <c r="AB54" s="931" t="s">
        <v>388</v>
      </c>
    </row>
    <row r="55" spans="2:28" hidden="1" x14ac:dyDescent="0.45"/>
    <row r="56" spans="2:28" hidden="1" x14ac:dyDescent="0.45"/>
    <row r="57" spans="2:28" hidden="1" x14ac:dyDescent="0.45">
      <c r="D57" s="1000" t="s">
        <v>545</v>
      </c>
    </row>
    <row r="58" spans="2:28" hidden="1" x14ac:dyDescent="0.45">
      <c r="D58" s="1000" t="s">
        <v>546</v>
      </c>
    </row>
    <row r="59" spans="2:28" hidden="1" x14ac:dyDescent="0.45">
      <c r="D59" s="1000" t="s">
        <v>544</v>
      </c>
    </row>
    <row r="60" spans="2:28" hidden="1" x14ac:dyDescent="0.45">
      <c r="D60" s="1000" t="s">
        <v>547</v>
      </c>
    </row>
    <row r="61" spans="2:28" hidden="1" x14ac:dyDescent="0.45">
      <c r="D61" s="1000"/>
    </row>
    <row r="62" spans="2:28" hidden="1" x14ac:dyDescent="0.45">
      <c r="D62" s="1000"/>
    </row>
    <row r="63" spans="2:28" hidden="1" x14ac:dyDescent="0.45">
      <c r="D63" s="1000"/>
    </row>
    <row r="64" spans="2:28"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x2PPoSfgt+tVCC3nMlHYo2PUEjgmmAcixqKPbvAwkT9U1rr+QBlbspCdDxdocwn49LkJLBLNLP6e+Et6ucK0AQ==" saltValue="aRIULF/I90zJ4jGj/xqnOQ==" spinCount="100000" sheet="1" objects="1" scenarios="1" selectLockedCells="1" selectUnlockedCells="1"/>
  <mergeCells count="24">
    <mergeCell ref="B49:B51"/>
    <mergeCell ref="B52:B54"/>
    <mergeCell ref="B2:C2"/>
    <mergeCell ref="B7:C7"/>
    <mergeCell ref="B8:C8"/>
    <mergeCell ref="B12:B14"/>
    <mergeCell ref="B15:B17"/>
    <mergeCell ref="B6:C6"/>
    <mergeCell ref="B5:C5"/>
    <mergeCell ref="B46:B48"/>
    <mergeCell ref="B43:B45"/>
    <mergeCell ref="B9:C9"/>
    <mergeCell ref="B4:C4"/>
    <mergeCell ref="B11:C11"/>
    <mergeCell ref="B10:C10"/>
    <mergeCell ref="B24:B26"/>
    <mergeCell ref="B3:C3"/>
    <mergeCell ref="B37:B39"/>
    <mergeCell ref="B40:B42"/>
    <mergeCell ref="B18:B20"/>
    <mergeCell ref="B27:B29"/>
    <mergeCell ref="B30:B32"/>
    <mergeCell ref="B34:B36"/>
    <mergeCell ref="B21:B23"/>
  </mergeCell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tabColor theme="5" tint="0.59999389629810485"/>
  </sheetPr>
  <dimension ref="B1:S2000"/>
  <sheetViews>
    <sheetView showGridLines="0" showRowColHeaders="0" topLeftCell="A2001" zoomScale="85" zoomScaleNormal="85" workbookViewId="0">
      <selection activeCell="F20" sqref="F20"/>
    </sheetView>
  </sheetViews>
  <sheetFormatPr defaultRowHeight="14.25" x14ac:dyDescent="0.45"/>
  <cols>
    <col min="1" max="1" width="1.265625" customWidth="1"/>
    <col min="4" max="18" width="19.1328125" customWidth="1"/>
  </cols>
  <sheetData>
    <row r="1" spans="2:19" ht="7.5" hidden="1" customHeight="1" thickBot="1" x14ac:dyDescent="0.5"/>
    <row r="2" spans="2:19" ht="14.45" hidden="1" customHeight="1" x14ac:dyDescent="0.45">
      <c r="B2" s="1432"/>
      <c r="C2" s="1432"/>
      <c r="D2" s="1434" t="s">
        <v>710</v>
      </c>
      <c r="E2" s="1434" t="s">
        <v>711</v>
      </c>
      <c r="F2" s="1434" t="s">
        <v>712</v>
      </c>
    </row>
    <row r="3" spans="2:19" ht="14.45" hidden="1" customHeight="1" x14ac:dyDescent="0.45">
      <c r="B3" s="1432"/>
      <c r="C3" s="1432"/>
      <c r="D3" s="1435">
        <v>1</v>
      </c>
      <c r="E3" s="1435">
        <v>2</v>
      </c>
      <c r="F3" s="1435">
        <v>3</v>
      </c>
    </row>
    <row r="4" spans="2:19" ht="14.45" hidden="1" customHeight="1" x14ac:dyDescent="0.45">
      <c r="B4" s="1433"/>
      <c r="C4" s="1433"/>
      <c r="D4" s="1436" t="s">
        <v>718</v>
      </c>
      <c r="E4" s="1436" t="s">
        <v>718</v>
      </c>
      <c r="F4" s="1436">
        <v>30</v>
      </c>
    </row>
    <row r="5" spans="2:19" ht="14.45" hidden="1" customHeight="1" x14ac:dyDescent="0.45">
      <c r="B5" s="1433"/>
      <c r="C5" s="1433"/>
      <c r="D5" s="1437" t="s">
        <v>713</v>
      </c>
      <c r="E5" s="1437" t="s">
        <v>713</v>
      </c>
      <c r="F5" s="1437">
        <v>40</v>
      </c>
    </row>
    <row r="6" spans="2:19" ht="14.45" hidden="1" customHeight="1" x14ac:dyDescent="0.45">
      <c r="B6" s="1433"/>
      <c r="C6" s="1433"/>
      <c r="D6" s="1438" t="s">
        <v>717</v>
      </c>
      <c r="E6" s="1441" t="s">
        <v>717</v>
      </c>
      <c r="F6" s="1441">
        <v>50</v>
      </c>
    </row>
    <row r="7" spans="2:19" ht="14.45" hidden="1" customHeight="1" x14ac:dyDescent="0.45">
      <c r="B7" s="1433"/>
      <c r="C7" s="1433"/>
      <c r="D7" s="1437" t="s">
        <v>714</v>
      </c>
      <c r="E7" s="1437" t="s">
        <v>714</v>
      </c>
      <c r="F7" s="1437">
        <v>60</v>
      </c>
    </row>
    <row r="8" spans="2:19" ht="14.45" hidden="1" customHeight="1" x14ac:dyDescent="0.45">
      <c r="B8" s="1433"/>
      <c r="C8" s="1433"/>
      <c r="D8" s="1444"/>
      <c r="E8" s="1441"/>
      <c r="F8" s="1444">
        <v>70</v>
      </c>
    </row>
    <row r="9" spans="2:19" ht="14.45" hidden="1" customHeight="1" x14ac:dyDescent="0.45">
      <c r="B9" s="1433"/>
      <c r="C9" s="1433"/>
      <c r="D9" s="1437"/>
      <c r="E9" s="1437"/>
      <c r="F9" s="1437">
        <v>80</v>
      </c>
    </row>
    <row r="10" spans="2:19" ht="14.45" hidden="1" customHeight="1" x14ac:dyDescent="0.45">
      <c r="B10" s="1433"/>
      <c r="C10" s="1433"/>
      <c r="D10" s="1438"/>
      <c r="E10" s="1441"/>
      <c r="F10" s="1441">
        <v>90</v>
      </c>
    </row>
    <row r="11" spans="2:19" ht="14.45" hidden="1" customHeight="1" x14ac:dyDescent="0.45">
      <c r="B11" s="1433"/>
      <c r="C11" s="1433"/>
      <c r="D11" s="1439"/>
      <c r="E11" s="1442"/>
      <c r="F11" s="1442"/>
    </row>
    <row r="12" spans="2:19" ht="14.45" hidden="1" customHeight="1" thickBot="1" x14ac:dyDescent="0.5">
      <c r="B12" s="1433"/>
      <c r="C12" s="1433"/>
      <c r="D12" s="1440"/>
      <c r="E12" s="1440"/>
      <c r="F12" s="1440"/>
    </row>
    <row r="13" spans="2:19" ht="14.45" hidden="1" customHeight="1" thickBot="1" x14ac:dyDescent="0.5"/>
    <row r="14" spans="2:19" hidden="1" x14ac:dyDescent="0.45">
      <c r="B14" s="1629" t="s">
        <v>456</v>
      </c>
      <c r="C14" s="1630"/>
      <c r="D14" s="869" t="s">
        <v>738</v>
      </c>
      <c r="E14" s="869" t="s">
        <v>11</v>
      </c>
      <c r="F14" s="869" t="s">
        <v>732</v>
      </c>
      <c r="G14" s="869" t="s">
        <v>733</v>
      </c>
      <c r="H14" s="869" t="s">
        <v>719</v>
      </c>
      <c r="I14" s="869" t="s">
        <v>720</v>
      </c>
      <c r="J14" s="869" t="s">
        <v>721</v>
      </c>
      <c r="K14" s="869" t="s">
        <v>762</v>
      </c>
      <c r="L14" s="869" t="s">
        <v>770</v>
      </c>
      <c r="M14" s="869" t="s">
        <v>764</v>
      </c>
      <c r="N14" s="869"/>
      <c r="O14" s="869"/>
      <c r="P14" s="869"/>
      <c r="Q14" s="869"/>
      <c r="R14" s="870"/>
      <c r="S14" s="1443" t="s">
        <v>388</v>
      </c>
    </row>
    <row r="15" spans="2:19" hidden="1" x14ac:dyDescent="0.45">
      <c r="B15" s="1631"/>
      <c r="C15" s="1632"/>
      <c r="D15" s="867">
        <v>1</v>
      </c>
      <c r="E15" s="867">
        <v>2</v>
      </c>
      <c r="F15" s="867">
        <v>3</v>
      </c>
      <c r="G15" s="867">
        <v>4</v>
      </c>
      <c r="H15" s="867">
        <v>5</v>
      </c>
      <c r="I15" s="867">
        <v>6</v>
      </c>
      <c r="J15" s="867">
        <v>7</v>
      </c>
      <c r="K15" s="867">
        <v>8</v>
      </c>
      <c r="L15" s="867">
        <v>9</v>
      </c>
      <c r="M15" s="867">
        <v>10</v>
      </c>
      <c r="N15" s="867">
        <v>11</v>
      </c>
      <c r="O15" s="867">
        <v>12</v>
      </c>
      <c r="P15" s="867">
        <v>13</v>
      </c>
      <c r="Q15" s="867">
        <v>14</v>
      </c>
      <c r="R15" s="868">
        <v>15</v>
      </c>
      <c r="S15" s="1443" t="s">
        <v>388</v>
      </c>
    </row>
    <row r="16" spans="2:19" hidden="1" x14ac:dyDescent="0.45">
      <c r="B16" s="1621" t="s">
        <v>84</v>
      </c>
      <c r="C16" s="1622"/>
      <c r="D16" s="1497"/>
      <c r="E16" s="1497"/>
      <c r="F16" s="1497"/>
      <c r="G16" s="1497"/>
      <c r="H16" s="1497"/>
      <c r="I16" s="1497"/>
      <c r="J16" s="1497"/>
      <c r="K16" s="1497"/>
      <c r="L16" s="1497"/>
      <c r="M16" s="1497"/>
      <c r="N16" s="1497"/>
      <c r="O16" s="1497"/>
      <c r="P16" s="1497"/>
      <c r="Q16" s="1497"/>
      <c r="R16" s="1498"/>
      <c r="S16" s="1443"/>
    </row>
    <row r="17" spans="2:19" hidden="1" x14ac:dyDescent="0.45">
      <c r="B17" s="1617" t="s">
        <v>128</v>
      </c>
      <c r="C17" s="1618"/>
      <c r="D17" s="1531"/>
      <c r="E17" s="1531"/>
      <c r="F17" s="1531" t="s">
        <v>760</v>
      </c>
      <c r="G17" s="1531" t="s">
        <v>754</v>
      </c>
      <c r="H17" s="1531" t="s">
        <v>754</v>
      </c>
      <c r="I17" s="1531" t="s">
        <v>754</v>
      </c>
      <c r="J17" s="1531" t="s">
        <v>760</v>
      </c>
      <c r="K17" s="1531" t="s">
        <v>781</v>
      </c>
      <c r="L17" s="1531" t="s">
        <v>780</v>
      </c>
      <c r="M17" s="1531" t="s">
        <v>779</v>
      </c>
      <c r="N17" s="1531"/>
      <c r="O17" s="1531"/>
      <c r="P17" s="1531"/>
      <c r="Q17" s="1531"/>
      <c r="R17" s="1532"/>
      <c r="S17" s="1443"/>
    </row>
    <row r="18" spans="2:19" hidden="1" x14ac:dyDescent="0.45">
      <c r="B18" s="1633" t="s">
        <v>748</v>
      </c>
      <c r="C18" s="1634"/>
      <c r="D18" s="1505" t="s">
        <v>713</v>
      </c>
      <c r="E18" s="1505"/>
      <c r="F18" s="1505" t="s">
        <v>714</v>
      </c>
      <c r="G18" s="1505" t="s">
        <v>717</v>
      </c>
      <c r="H18" s="1505" t="s">
        <v>713</v>
      </c>
      <c r="I18" s="1505" t="s">
        <v>713</v>
      </c>
      <c r="J18" s="1505" t="s">
        <v>713</v>
      </c>
      <c r="K18" s="1505" t="s">
        <v>713</v>
      </c>
      <c r="L18" s="1505" t="s">
        <v>718</v>
      </c>
      <c r="M18" s="1505" t="s">
        <v>713</v>
      </c>
      <c r="N18" s="1505"/>
      <c r="O18" s="1505"/>
      <c r="P18" s="1505"/>
      <c r="Q18" s="1505"/>
      <c r="R18" s="1506"/>
      <c r="S18" s="1443" t="s">
        <v>388</v>
      </c>
    </row>
    <row r="19" spans="2:19" hidden="1" x14ac:dyDescent="0.45">
      <c r="B19" s="1635" t="s">
        <v>749</v>
      </c>
      <c r="C19" s="1636"/>
      <c r="D19" s="1507" t="s">
        <v>718</v>
      </c>
      <c r="E19" s="1507"/>
      <c r="F19" s="1507" t="s">
        <v>714</v>
      </c>
      <c r="G19" s="1507" t="s">
        <v>717</v>
      </c>
      <c r="H19" s="1507" t="s">
        <v>717</v>
      </c>
      <c r="I19" s="1507" t="s">
        <v>717</v>
      </c>
      <c r="J19" s="1508" t="s">
        <v>714</v>
      </c>
      <c r="K19" s="1507" t="s">
        <v>718</v>
      </c>
      <c r="L19" s="1507" t="s">
        <v>718</v>
      </c>
      <c r="M19" s="1507"/>
      <c r="N19" s="1507"/>
      <c r="O19" s="1507"/>
      <c r="P19" s="1507"/>
      <c r="Q19" s="1507"/>
      <c r="R19" s="1509"/>
      <c r="S19" s="1443" t="s">
        <v>388</v>
      </c>
    </row>
    <row r="20" spans="2:19" hidden="1" x14ac:dyDescent="0.45">
      <c r="B20" s="1637" t="s">
        <v>750</v>
      </c>
      <c r="C20" s="1638"/>
      <c r="D20" s="1510"/>
      <c r="E20" s="1510"/>
      <c r="F20" s="1510"/>
      <c r="G20" s="1510"/>
      <c r="H20" s="1510"/>
      <c r="I20" s="1510"/>
      <c r="J20" s="1510"/>
      <c r="K20" s="1510"/>
      <c r="L20" s="1510"/>
      <c r="M20" s="1510"/>
      <c r="N20" s="1510"/>
      <c r="O20" s="1510"/>
      <c r="P20" s="1510"/>
      <c r="Q20" s="1510"/>
      <c r="R20" s="1511"/>
      <c r="S20" s="1443" t="s">
        <v>388</v>
      </c>
    </row>
    <row r="21" spans="2:19" hidden="1" x14ac:dyDescent="0.45">
      <c r="B21" s="1647" t="s">
        <v>751</v>
      </c>
      <c r="C21" s="1648"/>
      <c r="D21" s="1512"/>
      <c r="E21" s="1512"/>
      <c r="F21" s="1512"/>
      <c r="G21" s="1512"/>
      <c r="H21" s="1512"/>
      <c r="I21" s="1512"/>
      <c r="J21" s="1512"/>
      <c r="K21" s="1512"/>
      <c r="L21" s="1512"/>
      <c r="M21" s="1512"/>
      <c r="N21" s="1512"/>
      <c r="O21" s="1512"/>
      <c r="P21" s="1512"/>
      <c r="Q21" s="1512"/>
      <c r="R21" s="1513"/>
      <c r="S21" s="1443" t="s">
        <v>388</v>
      </c>
    </row>
    <row r="22" spans="2:19" hidden="1" x14ac:dyDescent="0.45">
      <c r="B22" s="1641" t="s">
        <v>722</v>
      </c>
      <c r="C22" s="1642"/>
      <c r="D22" s="1514"/>
      <c r="E22" s="1514"/>
      <c r="F22" s="1514"/>
      <c r="G22" s="1514"/>
      <c r="H22" s="1514"/>
      <c r="I22" s="1514"/>
      <c r="J22" s="1514"/>
      <c r="K22" s="1514"/>
      <c r="L22" s="1514"/>
      <c r="M22" s="1514"/>
      <c r="N22" s="1514"/>
      <c r="O22" s="1514"/>
      <c r="P22" s="1514"/>
      <c r="Q22" s="1514"/>
      <c r="R22" s="1515"/>
      <c r="S22" s="1443" t="s">
        <v>388</v>
      </c>
    </row>
    <row r="23" spans="2:19" hidden="1" x14ac:dyDescent="0.45">
      <c r="B23" s="1639" t="s">
        <v>723</v>
      </c>
      <c r="C23" s="1640"/>
      <c r="D23" s="1516"/>
      <c r="E23" s="1516"/>
      <c r="F23" s="1516"/>
      <c r="G23" s="1516"/>
      <c r="H23" s="1516"/>
      <c r="I23" s="1516"/>
      <c r="J23" s="1516"/>
      <c r="K23" s="1516"/>
      <c r="L23" s="1516"/>
      <c r="M23" s="1516"/>
      <c r="N23" s="1516"/>
      <c r="O23" s="1516"/>
      <c r="P23" s="1516"/>
      <c r="Q23" s="1516"/>
      <c r="R23" s="1517"/>
      <c r="S23" s="1443" t="s">
        <v>388</v>
      </c>
    </row>
    <row r="24" spans="2:19" hidden="1" x14ac:dyDescent="0.45">
      <c r="B24" s="1649" t="s">
        <v>765</v>
      </c>
      <c r="C24" s="1650"/>
      <c r="D24" s="1518"/>
      <c r="E24" s="1518"/>
      <c r="F24" s="1518"/>
      <c r="G24" s="1518"/>
      <c r="H24" s="1518"/>
      <c r="I24" s="1518"/>
      <c r="J24" s="1518"/>
      <c r="K24" s="1518" t="s">
        <v>762</v>
      </c>
      <c r="L24" s="1518" t="s">
        <v>770</v>
      </c>
      <c r="M24" s="1518" t="s">
        <v>764</v>
      </c>
      <c r="N24" s="1518"/>
      <c r="O24" s="1518"/>
      <c r="P24" s="1518"/>
      <c r="Q24" s="1518"/>
      <c r="R24" s="1519"/>
      <c r="S24" s="1443"/>
    </row>
    <row r="25" spans="2:19" hidden="1" x14ac:dyDescent="0.45">
      <c r="B25" s="1641" t="s">
        <v>715</v>
      </c>
      <c r="C25" s="1642"/>
      <c r="D25" s="1520"/>
      <c r="E25" s="1520"/>
      <c r="F25" s="1520"/>
      <c r="G25" s="1520"/>
      <c r="H25" s="1520"/>
      <c r="I25" s="1520"/>
      <c r="J25" s="1520"/>
      <c r="K25" s="1520"/>
      <c r="L25" s="1520"/>
      <c r="M25" s="1520"/>
      <c r="N25" s="1520"/>
      <c r="O25" s="1520"/>
      <c r="P25" s="1520"/>
      <c r="Q25" s="1520"/>
      <c r="R25" s="1521"/>
      <c r="S25" s="1443" t="s">
        <v>388</v>
      </c>
    </row>
    <row r="26" spans="2:19" ht="71.25" hidden="1" x14ac:dyDescent="0.45">
      <c r="B26" s="1643" t="s">
        <v>63</v>
      </c>
      <c r="C26" s="1644"/>
      <c r="D26" s="1522"/>
      <c r="E26" s="1523"/>
      <c r="F26" s="1523" t="s">
        <v>739</v>
      </c>
      <c r="G26" s="1523" t="s">
        <v>746</v>
      </c>
      <c r="H26" s="1523"/>
      <c r="I26" s="1523"/>
      <c r="J26" s="1523"/>
      <c r="K26" s="1523" t="s">
        <v>772</v>
      </c>
      <c r="L26" s="1523" t="s">
        <v>771</v>
      </c>
      <c r="M26" s="1523" t="s">
        <v>778</v>
      </c>
      <c r="N26" s="1523"/>
      <c r="O26" s="1523"/>
      <c r="P26" s="1523"/>
      <c r="Q26" s="1523"/>
      <c r="R26" s="1524"/>
    </row>
    <row r="27" spans="2:19" ht="42.75" hidden="1" x14ac:dyDescent="0.45">
      <c r="B27" s="1645" t="s">
        <v>70</v>
      </c>
      <c r="C27" s="1646"/>
      <c r="D27" s="1525"/>
      <c r="E27" s="1526"/>
      <c r="F27" s="1526" t="s">
        <v>753</v>
      </c>
      <c r="G27" s="1526" t="s">
        <v>752</v>
      </c>
      <c r="H27" s="1526"/>
      <c r="I27" s="1526"/>
      <c r="J27" s="1526"/>
      <c r="K27" s="1526" t="s">
        <v>773</v>
      </c>
      <c r="L27" s="1526" t="s">
        <v>774</v>
      </c>
      <c r="M27" s="1526" t="s">
        <v>775</v>
      </c>
      <c r="N27" s="1526"/>
      <c r="O27" s="1526"/>
      <c r="P27" s="1526"/>
      <c r="Q27" s="1526"/>
      <c r="R27" s="1527"/>
    </row>
    <row r="28" spans="2:19" ht="99.75" hidden="1" x14ac:dyDescent="0.45">
      <c r="B28" s="1643" t="s">
        <v>117</v>
      </c>
      <c r="C28" s="1644"/>
      <c r="D28" s="1522"/>
      <c r="E28" s="1523"/>
      <c r="F28" s="1523" t="s">
        <v>741</v>
      </c>
      <c r="G28" s="1523" t="s">
        <v>747</v>
      </c>
      <c r="H28" s="1523"/>
      <c r="I28" s="1523"/>
      <c r="J28" s="1523"/>
      <c r="K28" s="1523" t="s">
        <v>776</v>
      </c>
      <c r="L28" s="1523" t="s">
        <v>777</v>
      </c>
      <c r="M28" s="1523" t="s">
        <v>777</v>
      </c>
      <c r="N28" s="1523"/>
      <c r="O28" s="1523"/>
      <c r="P28" s="1523"/>
      <c r="Q28" s="1523"/>
      <c r="R28" s="1524"/>
    </row>
    <row r="29" spans="2:19" ht="14.65" hidden="1" thickBot="1" x14ac:dyDescent="0.5">
      <c r="B29" s="1627"/>
      <c r="C29" s="1628"/>
      <c r="D29" s="1528"/>
      <c r="E29" s="1529"/>
      <c r="F29" s="1529"/>
      <c r="G29" s="1529"/>
      <c r="H29" s="1529"/>
      <c r="I29" s="1529"/>
      <c r="J29" s="1529"/>
      <c r="K29" s="1529"/>
      <c r="L29" s="1529"/>
      <c r="M29" s="1529"/>
      <c r="N29" s="1529"/>
      <c r="O29" s="1529"/>
      <c r="P29" s="1529"/>
      <c r="Q29" s="1529"/>
      <c r="R29" s="1530"/>
    </row>
    <row r="30" spans="2:19" hidden="1" x14ac:dyDescent="0.45"/>
    <row r="31" spans="2:19" hidden="1" x14ac:dyDescent="0.45"/>
    <row r="32" spans="2:19" hidden="1" x14ac:dyDescent="0.45"/>
    <row r="33" hidden="1" x14ac:dyDescent="0.45"/>
    <row r="34" hidden="1" x14ac:dyDescent="0.45"/>
    <row r="35" hidden="1" x14ac:dyDescent="0.45"/>
    <row r="36" hidden="1" x14ac:dyDescent="0.45"/>
    <row r="37" hidden="1" x14ac:dyDescent="0.45"/>
    <row r="38" hidden="1" x14ac:dyDescent="0.45"/>
    <row r="39" hidden="1" x14ac:dyDescent="0.45"/>
    <row r="40" hidden="1" x14ac:dyDescent="0.45"/>
    <row r="41" hidden="1" x14ac:dyDescent="0.45"/>
    <row r="42" hidden="1" x14ac:dyDescent="0.45"/>
    <row r="43" hidden="1" x14ac:dyDescent="0.45"/>
    <row r="44" hidden="1" x14ac:dyDescent="0.45"/>
    <row r="45" hidden="1" x14ac:dyDescent="0.45"/>
    <row r="46" hidden="1" x14ac:dyDescent="0.45"/>
    <row r="47" hidden="1" x14ac:dyDescent="0.45"/>
    <row r="48" hidden="1" x14ac:dyDescent="0.45"/>
    <row r="49" hidden="1" x14ac:dyDescent="0.45"/>
    <row r="50" hidden="1" x14ac:dyDescent="0.45"/>
    <row r="51" hidden="1" x14ac:dyDescent="0.45"/>
    <row r="52" hidden="1" x14ac:dyDescent="0.45"/>
    <row r="53" hidden="1" x14ac:dyDescent="0.45"/>
    <row r="54" hidden="1" x14ac:dyDescent="0.45"/>
    <row r="55" hidden="1" x14ac:dyDescent="0.45"/>
    <row r="56" hidden="1" x14ac:dyDescent="0.45"/>
    <row r="57" hidden="1" x14ac:dyDescent="0.45"/>
    <row r="58" hidden="1" x14ac:dyDescent="0.45"/>
    <row r="59" hidden="1" x14ac:dyDescent="0.45"/>
    <row r="60" hidden="1" x14ac:dyDescent="0.45"/>
    <row r="61" hidden="1" x14ac:dyDescent="0.45"/>
    <row r="62" hidden="1" x14ac:dyDescent="0.45"/>
    <row r="63" hidden="1" x14ac:dyDescent="0.45"/>
    <row r="64"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sXC9LtzrzxN4oQ9WmSX81smbXZkFvD4ZnyoE73WQzlTMAmRNaOJ7rtpJPKJBKFNeJyKjPfOHIqZ0vyCMhCakkw==" saltValue="vGlTHryp6UKRL0mi03v3+Q==" spinCount="100000" sheet="1" objects="1" scenarios="1" selectLockedCells="1" selectUnlockedCells="1"/>
  <mergeCells count="15">
    <mergeCell ref="B29:C29"/>
    <mergeCell ref="B14:C15"/>
    <mergeCell ref="B18:C18"/>
    <mergeCell ref="B19:C19"/>
    <mergeCell ref="B20:C20"/>
    <mergeCell ref="B23:C23"/>
    <mergeCell ref="B25:C25"/>
    <mergeCell ref="B16:C16"/>
    <mergeCell ref="B17:C17"/>
    <mergeCell ref="B26:C26"/>
    <mergeCell ref="B27:C27"/>
    <mergeCell ref="B28:C28"/>
    <mergeCell ref="B21:C21"/>
    <mergeCell ref="B22:C22"/>
    <mergeCell ref="B24:C24"/>
  </mergeCells>
  <dataValidations count="6">
    <dataValidation type="list" allowBlank="1" showInputMessage="1" showErrorMessage="1" sqref="D18:R18 E6" xr:uid="{00000000-0002-0000-0300-000000000000}">
      <formula1>fuelling_options_pre</formula1>
    </dataValidation>
    <dataValidation type="list" allowBlank="1" showInputMessage="1" showErrorMessage="1" sqref="D19:R19" xr:uid="{00000000-0002-0000-0300-000001000000}">
      <formula1>fuelling_options_during</formula1>
    </dataValidation>
    <dataValidation type="list" allowBlank="1" showInputMessage="1" showErrorMessage="1" sqref="D20:R20" xr:uid="{00000000-0002-0000-0300-000002000000}">
      <formula1>fuelling_options_post</formula1>
    </dataValidation>
    <dataValidation type="list" allowBlank="1" showInputMessage="1" showErrorMessage="1" sqref="D25:R25" xr:uid="{00000000-0002-0000-0300-000003000000}">
      <formula1>fuelling_options_info</formula1>
    </dataValidation>
    <dataValidation type="whole" operator="greaterThan" allowBlank="1" showInputMessage="1" showErrorMessage="1" sqref="D21:R23" xr:uid="{00000000-0002-0000-0300-000004000000}">
      <formula1>0</formula1>
    </dataValidation>
    <dataValidation operator="greaterThan" allowBlank="1" showInputMessage="1" showErrorMessage="1" sqref="D24:R24" xr:uid="{00000000-0002-0000-0300-000005000000}"/>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5" tint="0.59999389629810485"/>
  </sheetPr>
  <dimension ref="B1:DA2000"/>
  <sheetViews>
    <sheetView showGridLines="0" showRowColHeaders="0" topLeftCell="A2001" zoomScale="85" zoomScaleNormal="85" workbookViewId="0">
      <selection activeCell="H57" sqref="H57"/>
    </sheetView>
  </sheetViews>
  <sheetFormatPr defaultColWidth="9.1328125" defaultRowHeight="14.25" x14ac:dyDescent="0.45"/>
  <cols>
    <col min="1" max="1" width="1.3984375" style="148" customWidth="1"/>
    <col min="2" max="2" width="8.73046875" style="148" bestFit="1" customWidth="1"/>
    <col min="3" max="4" width="7.86328125" style="153" customWidth="1"/>
    <col min="5" max="68" width="25.73046875" style="148" customWidth="1"/>
    <col min="69" max="16384" width="9.1328125" style="148"/>
  </cols>
  <sheetData>
    <row r="1" spans="2:105" ht="7.5" hidden="1" customHeight="1" thickBot="1" x14ac:dyDescent="0.5"/>
    <row r="2" spans="2:105" hidden="1" x14ac:dyDescent="0.45">
      <c r="B2" s="1629" t="s">
        <v>456</v>
      </c>
      <c r="C2" s="1630"/>
      <c r="D2" s="1651"/>
      <c r="E2" s="668" t="str">
        <f>IF(E5="","", INDEX($C$9:$C$153,SUM($E$5:E$5)-E5+1,1))</f>
        <v>Split Tempo: 6mins w/ 1min</v>
      </c>
      <c r="F2" s="668" t="str">
        <f>IF(F5="","", INDEX($C$9:$C$153,SUM($E$5:F$5)-F5+1,1))</f>
        <v>Split Tempo: 12mins w/ 1min</v>
      </c>
      <c r="G2" s="668" t="str">
        <f>IF(G5="","", INDEX($C$9:$C$153,SUM($E$5:G$5)-G5+1,1))</f>
        <v>Split Hill Tempo: 6mins</v>
      </c>
      <c r="H2" s="668" t="str">
        <f>IF(H5="","", INDEX($C$9:$C$153,SUM($E$5:H$5)-H5+1,1))</f>
        <v>Split Hill Tempo: 12 mins</v>
      </c>
      <c r="I2" s="668" t="str">
        <f>IF(I5="","", INDEX($C$9:$C$153,SUM($E$5:I$5)-I5+1,1))</f>
        <v>Full Sweep</v>
      </c>
      <c r="J2" s="668" t="str">
        <f>IF(J5="","", INDEX($C$9:$C$153,SUM($E$5:J$5)-J5+1,1))</f>
        <v>Uphill-Downhill</v>
      </c>
      <c r="K2" s="668" t="str">
        <f>IF(K5="","", INDEX($C$9:$C$153,SUM($E$5:K$5)-K5+1,1))</f>
        <v>Randomiser</v>
      </c>
      <c r="L2" s="668" t="str">
        <f>IF(L5="","", INDEX($C$9:$C$153,SUM($E$5:L$5)-L5+1,1))</f>
        <v>Unstructured</v>
      </c>
      <c r="M2" s="668" t="str">
        <f>IF(M5="","", INDEX($C$9:$C$153,SUM($E$5:M$5)-M5+1,1))</f>
        <v>Moneghetti</v>
      </c>
      <c r="N2" s="668" t="str">
        <f>IF(N5="","", INDEX($C$9:$C$153,SUM($E$5:N$5)-N5+1,1))</f>
        <v>500m w/ 1min</v>
      </c>
      <c r="O2" s="668" t="str">
        <f>IF(O5="","", INDEX($C$9:$C$153,SUM($E$5:O$5)-O5+1,1))</f>
        <v>500m w/ 30sec</v>
      </c>
      <c r="P2" s="668" t="str">
        <f>IF(P5="","", INDEX($C$9:$C$153,SUM($E$5:P$5)-P5+1,1))</f>
        <v>1km w/ 2min</v>
      </c>
      <c r="Q2" s="668" t="str">
        <f>IF(Q5="","", INDEX($C$9:$C$153,SUM($E$5:Q$5)-Q5+1,1))</f>
        <v>1km w/ 1min</v>
      </c>
      <c r="R2" s="668" t="str">
        <f>IF(R5="","", INDEX($C$9:$C$153,SUM($E$5:R$5)-R5+1,1))</f>
        <v>1500m w/ 3min</v>
      </c>
      <c r="S2" s="668" t="str">
        <f>IF(S5="","", INDEX($C$9:$C$153,SUM($E$5:S$5)-S5+1,1))</f>
        <v>1500m w/ 90sec</v>
      </c>
      <c r="T2" s="668" t="str">
        <f>IF(T5="","", INDEX($C$9:$C$153,SUM($E$5:T$5)-T5+1,1))</f>
        <v>2km w/ 3mins</v>
      </c>
      <c r="U2" s="668" t="str">
        <f>IF(U5="","", INDEX($C$9:$C$153,SUM($E$5:U$5)-U5+1,1))</f>
        <v>2km w/ 90sec</v>
      </c>
      <c r="V2" s="668" t="str">
        <f>IF(V5="","", INDEX($C$9:$C$153,SUM($E$5:V$5)-V5+1,1))</f>
        <v>1-2-1 w/ 2mins</v>
      </c>
      <c r="W2" s="668" t="str">
        <f>IF(W5="","", INDEX($C$9:$C$153,SUM($E$5:W$5)-W5+1,1))</f>
        <v>Pyramid</v>
      </c>
      <c r="X2" s="668" t="str">
        <f>IF(X5="","", INDEX($C$9:$C$153,SUM($E$5:X$5)-X5+1,1))</f>
        <v>Track VO2 Max</v>
      </c>
      <c r="Y2" s="668" t="str">
        <f>IF(Y5="","", INDEX($C$9:$C$153,SUM($E$5:Y$5)-Y5+1,1))</f>
        <v>Ladder 800</v>
      </c>
      <c r="Z2" s="668" t="str">
        <f>IF(Z5="","", INDEX($C$9:$C$153,SUM($E$5:Z$5)-Z5+1,1))</f>
        <v>Intensive Hill Reps</v>
      </c>
      <c r="AA2" s="668" t="str">
        <f>IF(AA5="","", INDEX($C$9:$C$153,SUM($E$5:AA$5)-AA5+1,1))</f>
        <v>Extensive Hill Reps</v>
      </c>
      <c r="AB2" s="668" t="str">
        <f>IF(AB5="","", INDEX($C$9:$C$153,SUM($E$5:AB$5)-AB5+1,1))</f>
        <v>Lactic Hill Reps</v>
      </c>
      <c r="AC2" s="668" t="str">
        <f>IF(AC5="","", INDEX($C$9:$C$153,SUM($E$5:AC$5)-AC5+1,1))</f>
        <v>Hill Reps Progression</v>
      </c>
      <c r="AD2" s="668" t="str">
        <f>IF(AD5="","", INDEX($C$9:$C$153,SUM($E$5:AD$5)-AD5+1,1))</f>
        <v>Intensive Sprint Reps</v>
      </c>
      <c r="AE2" s="668" t="str">
        <f>IF(AE5="","", INDEX($C$9:$C$153,SUM($E$5:AE$5)-AE5+1,1))</f>
        <v>Extensive Sprints Reps</v>
      </c>
      <c r="AF2" s="668" t="str">
        <f>IF(AF5="","", INDEX($C$9:$C$153,SUM($E$5:AF$5)-AF5+1,1))</f>
        <v>Lactic Sprint Reps</v>
      </c>
      <c r="AG2" s="668" t="str">
        <f>IF(AG5="","", INDEX($C$9:$C$153,SUM($E$5:AG$5)-AG5+1,1))</f>
        <v>Sprint Reps Progression</v>
      </c>
      <c r="AH2" s="668" t="str">
        <f>IF(AH5="","", INDEX($C$9:$C$153,SUM($E$5:AH$5)-AH5+1,1))</f>
        <v>Tabata</v>
      </c>
      <c r="AI2" s="668" t="str">
        <f>IF(AI5="","", INDEX($C$9:$C$153,SUM($E$5:AI$5)-AI5+1,1))</f>
        <v/>
      </c>
      <c r="AJ2" s="668" t="str">
        <f>IF(AJ5="","", INDEX($C$9:$C$153,SUM($E$5:AJ$5)-AJ5+1,1))</f>
        <v/>
      </c>
      <c r="AK2" s="668" t="str">
        <f>IF(AK5="","", INDEX($C$9:$C$153,SUM($E$5:AK$5)-AK5+1,1))</f>
        <v/>
      </c>
      <c r="AL2" s="668" t="str">
        <f>IF(AL5="","", INDEX($C$9:$C$153,SUM($E$5:AL$5)-AL5+1,1))</f>
        <v/>
      </c>
      <c r="AM2" s="668" t="str">
        <f>IF(AM5="","", INDEX($C$9:$C$153,SUM($E$5:AM$5)-AM5+1,1))</f>
        <v/>
      </c>
      <c r="AN2" s="668" t="str">
        <f>IF(AN5="","", INDEX($C$9:$C$153,SUM($E$5:AN$5)-AN5+1,1))</f>
        <v/>
      </c>
      <c r="AO2" s="668" t="str">
        <f>IF(AO5="","", INDEX($C$9:$C$153,SUM($E$5:AO$5)-AO5+1,1))</f>
        <v/>
      </c>
      <c r="AP2" s="668" t="str">
        <f>IF(AP5="","", INDEX($C$9:$C$153,SUM($E$5:AP$5)-AP5+1,1))</f>
        <v/>
      </c>
      <c r="AQ2" s="668" t="str">
        <f>IF(AQ5="","", INDEX($C$9:$C$153,SUM($E$5:AQ$5)-AQ5+1,1))</f>
        <v/>
      </c>
      <c r="AR2" s="668" t="str">
        <f>IF(AR5="","", INDEX($C$9:$C$153,SUM($E$5:AR$5)-AR5+1,1))</f>
        <v/>
      </c>
      <c r="AS2" s="668" t="str">
        <f>IF(AS5="","", INDEX($C$9:$C$153,SUM($E$5:AS$5)-AS5+1,1))</f>
        <v/>
      </c>
      <c r="AT2" s="668" t="str">
        <f>IF(AT5="","", INDEX($C$9:$C$153,SUM($E$5:AT$5)-AT5+1,1))</f>
        <v/>
      </c>
      <c r="AU2" s="668" t="str">
        <f>IF(AU5="","", INDEX($C$9:$C$153,SUM($E$5:AU$5)-AU5+1,1))</f>
        <v/>
      </c>
      <c r="AV2" s="668" t="str">
        <f>IF(AV5="","", INDEX($C$9:$C$153,SUM($E$5:AV$5)-AV5+1,1))</f>
        <v/>
      </c>
      <c r="AW2" s="668" t="str">
        <f>IF(AW5="","", INDEX($C$9:$C$153,SUM($E$5:AW$5)-AW5+1,1))</f>
        <v/>
      </c>
      <c r="AX2" s="668" t="str">
        <f>IF(AX5="","", INDEX($C$9:$C$153,SUM($E$5:AX$5)-AX5+1,1))</f>
        <v/>
      </c>
      <c r="AY2" s="668" t="str">
        <f>IF(AY5="","", INDEX($C$9:$C$153,SUM($E$5:AY$5)-AY5+1,1))</f>
        <v/>
      </c>
      <c r="AZ2" s="668" t="str">
        <f>IF(AZ5="","", INDEX($C$9:$C$153,SUM($E$5:AZ$5)-AZ5+1,1))</f>
        <v/>
      </c>
      <c r="BA2" s="668" t="str">
        <f>IF(BA5="","", INDEX($C$9:$C$153,SUM($E$5:BA$5)-BA5+1,1))</f>
        <v/>
      </c>
      <c r="BB2" s="668" t="str">
        <f>IF(BB5="","", INDEX($C$9:$C$153,SUM($E$5:BB$5)-BB5+1,1))</f>
        <v/>
      </c>
      <c r="BC2" s="668" t="str">
        <f>IF(BC5="","", INDEX($C$9:$C$153,SUM($E$5:BC$5)-BC5+1,1))</f>
        <v/>
      </c>
      <c r="BD2" s="668" t="str">
        <f>IF(BD5="","", INDEX($C$9:$C$153,SUM($E$5:BD$5)-BD5+1,1))</f>
        <v/>
      </c>
      <c r="BE2" s="668" t="str">
        <f>IF(BE5="","", INDEX($C$9:$C$153,SUM($E$5:BE$5)-BE5+1,1))</f>
        <v/>
      </c>
      <c r="BF2" s="668" t="str">
        <f>IF(BF5="","", INDEX($C$9:$C$153,SUM($E$5:BF$5)-BF5+1,1))</f>
        <v/>
      </c>
      <c r="BG2" s="668" t="str">
        <f>IF(BG5="","", INDEX($C$9:$C$153,SUM($E$5:BG$5)-BG5+1,1))</f>
        <v/>
      </c>
      <c r="BH2" s="668" t="str">
        <f>IF(BH5="","", INDEX($C$9:$C$153,SUM($E$5:BH$5)-BH5+1,1))</f>
        <v/>
      </c>
      <c r="BI2" s="668" t="str">
        <f>IF(BI5="","", INDEX($C$9:$C$153,SUM($E$5:BI$5)-BI5+1,1))</f>
        <v/>
      </c>
      <c r="BJ2" s="668" t="str">
        <f>IF(BJ5="","", INDEX($C$9:$C$153,SUM($E$5:BJ$5)-BJ5+1,1))</f>
        <v/>
      </c>
      <c r="BK2" s="668" t="str">
        <f>IF(BK5="","", INDEX($C$9:$C$153,SUM($E$5:BK$5)-BK5+1,1))</f>
        <v/>
      </c>
      <c r="BL2" s="668" t="str">
        <f>IF(BL5="","", INDEX($C$9:$C$153,SUM($E$5:BL$5)-BL5+1,1))</f>
        <v/>
      </c>
      <c r="BM2" s="668" t="str">
        <f>IF(BM5="","", INDEX($C$9:$C$153,SUM($E$5:BM$5)-BM5+1,1))</f>
        <v/>
      </c>
      <c r="BN2" s="668" t="str">
        <f>IF(BN5="","", INDEX($C$9:$C$153,SUM($E$5:BN$5)-BN5+1,1))</f>
        <v/>
      </c>
      <c r="BO2" s="668" t="str">
        <f>IF(BO5="","", INDEX($C$9:$C$153,SUM($E$5:BO$5)-BO5+1,1))</f>
        <v/>
      </c>
      <c r="BP2" s="668" t="str">
        <f>IF(BP5="","", INDEX($C$9:$C$153,SUM($E$5:BP$5)-BP5+1,1))</f>
        <v/>
      </c>
      <c r="BQ2" s="668" t="str">
        <f>IF(BQ5="","", INDEX($C$9:$C$153,SUM($E$5:BQ$5)-BQ5+1,1))</f>
        <v/>
      </c>
      <c r="BR2" s="668" t="str">
        <f>IF(BR5="","", INDEX($C$9:$C$153,SUM($E$5:BR$5)-BR5+1,1))</f>
        <v/>
      </c>
      <c r="BS2" s="668" t="str">
        <f>IF(BS5="","", INDEX($C$9:$C$153,SUM($E$5:BS$5)-BS5+1,1))</f>
        <v/>
      </c>
      <c r="BT2" s="668" t="str">
        <f>IF(BT5="","", INDEX($C$9:$C$153,SUM($E$5:BT$5)-BT5+1,1))</f>
        <v/>
      </c>
      <c r="BU2" s="668" t="str">
        <f>IF(BU5="","", INDEX($C$9:$C$153,SUM($E$5:BU$5)-BU5+1,1))</f>
        <v/>
      </c>
      <c r="BV2" s="668" t="str">
        <f>IF(BV5="","", INDEX($C$9:$C$153,SUM($E$5:BV$5)-BV5+1,1))</f>
        <v/>
      </c>
      <c r="BW2" s="668" t="str">
        <f>IF(BW5="","", INDEX($C$9:$C$153,SUM($E$5:BW$5)-BW5+1,1))</f>
        <v/>
      </c>
      <c r="BX2" s="668" t="str">
        <f>IF(BX5="","", INDEX($C$9:$C$153,SUM($E$5:BX$5)-BX5+1,1))</f>
        <v/>
      </c>
      <c r="BY2" s="668" t="str">
        <f>IF(BY5="","", INDEX($C$9:$C$153,SUM($E$5:BY$5)-BY5+1,1))</f>
        <v/>
      </c>
      <c r="BZ2" s="668" t="str">
        <f>IF(BZ5="","", INDEX($C$9:$C$153,SUM($E$5:BZ$5)-BZ5+1,1))</f>
        <v/>
      </c>
      <c r="CA2" s="668" t="str">
        <f>IF(CA5="","", INDEX($C$9:$C$153,SUM($E$5:CA$5)-CA5+1,1))</f>
        <v/>
      </c>
      <c r="CB2" s="668" t="str">
        <f>IF(CB5="","", INDEX($C$9:$C$153,SUM($E$5:CB$5)-CB5+1,1))</f>
        <v/>
      </c>
      <c r="CC2" s="668" t="str">
        <f>IF(CC5="","", INDEX($C$9:$C$153,SUM($E$5:CC$5)-CC5+1,1))</f>
        <v/>
      </c>
      <c r="CD2" s="668" t="str">
        <f>IF(CD5="","", INDEX($C$9:$C$153,SUM($E$5:CD$5)-CD5+1,1))</f>
        <v/>
      </c>
      <c r="CE2" s="668" t="str">
        <f>IF(CE5="","", INDEX($C$9:$C$153,SUM($E$5:CE$5)-CE5+1,1))</f>
        <v/>
      </c>
      <c r="CF2" s="668" t="str">
        <f>IF(CF5="","", INDEX($C$9:$C$153,SUM($E$5:CF$5)-CF5+1,1))</f>
        <v/>
      </c>
      <c r="CG2" s="668" t="str">
        <f>IF(CG5="","", INDEX($C$9:$C$153,SUM($E$5:CG$5)-CG5+1,1))</f>
        <v/>
      </c>
      <c r="CH2" s="668" t="str">
        <f>IF(CH5="","", INDEX($C$9:$C$153,SUM($E$5:CH$5)-CH5+1,1))</f>
        <v/>
      </c>
      <c r="CI2" s="668" t="str">
        <f>IF(CI5="","", INDEX($C$9:$C$153,SUM($E$5:CI$5)-CI5+1,1))</f>
        <v/>
      </c>
      <c r="CJ2" s="668" t="str">
        <f>IF(CJ5="","", INDEX($C$9:$C$153,SUM($E$5:CJ$5)-CJ5+1,1))</f>
        <v/>
      </c>
      <c r="CK2" s="668" t="str">
        <f>IF(CK5="","", INDEX($C$9:$C$153,SUM($E$5:CK$5)-CK5+1,1))</f>
        <v/>
      </c>
      <c r="CL2" s="668" t="str">
        <f>IF(CL5="","", INDEX($C$9:$C$153,SUM($E$5:CL$5)-CL5+1,1))</f>
        <v/>
      </c>
      <c r="CM2" s="668" t="str">
        <f>IF(CM5="","", INDEX($C$9:$C$153,SUM($E$5:CM$5)-CM5+1,1))</f>
        <v/>
      </c>
      <c r="CN2" s="668" t="str">
        <f>IF(CN5="","", INDEX($C$9:$C$153,SUM($E$5:CN$5)-CN5+1,1))</f>
        <v/>
      </c>
      <c r="CO2" s="668" t="str">
        <f>IF(CO5="","", INDEX($C$9:$C$153,SUM($E$5:CO$5)-CO5+1,1))</f>
        <v/>
      </c>
      <c r="CP2" s="668" t="str">
        <f>IF(CP5="","", INDEX($C$9:$C$153,SUM($E$5:CP$5)-CP5+1,1))</f>
        <v/>
      </c>
      <c r="CQ2" s="668" t="str">
        <f>IF(CQ5="","", INDEX($C$9:$C$153,SUM($E$5:CQ$5)-CQ5+1,1))</f>
        <v/>
      </c>
      <c r="CR2" s="668" t="str">
        <f>IF(CR5="","", INDEX($C$9:$C$153,SUM($E$5:CR$5)-CR5+1,1))</f>
        <v/>
      </c>
      <c r="CS2" s="668" t="str">
        <f>IF(CS5="","", INDEX($C$9:$C$153,SUM($E$5:CS$5)-CS5+1,1))</f>
        <v/>
      </c>
      <c r="CT2" s="668" t="str">
        <f>IF(CT5="","", INDEX($C$9:$C$153,SUM($E$5:CT$5)-CT5+1,1))</f>
        <v/>
      </c>
      <c r="CU2" s="668" t="str">
        <f>IF(CU5="","", INDEX($C$9:$C$153,SUM($E$5:CU$5)-CU5+1,1))</f>
        <v/>
      </c>
      <c r="CV2" s="668" t="str">
        <f>IF(CV5="","", INDEX($C$9:$C$153,SUM($E$5:CV$5)-CV5+1,1))</f>
        <v/>
      </c>
      <c r="CW2" s="668" t="str">
        <f>IF(CW5="","", INDEX($C$9:$C$153,SUM($E$5:CW$5)-CW5+1,1))</f>
        <v/>
      </c>
      <c r="CX2" s="668" t="str">
        <f>IF(CX5="","", INDEX($C$9:$C$153,SUM($E$5:CX$5)-CX5+1,1))</f>
        <v/>
      </c>
      <c r="CY2" s="668" t="str">
        <f>IF(CY5="","", INDEX($C$9:$C$153,SUM($E$5:CY$5)-CY5+1,1))</f>
        <v/>
      </c>
      <c r="CZ2" s="668" t="str">
        <f>IF(CZ5="","", INDEX($C$9:$C$153,SUM($E$5:CZ$5)-CZ5+1,1))</f>
        <v/>
      </c>
      <c r="DA2" s="998" t="s">
        <v>388</v>
      </c>
    </row>
    <row r="3" spans="2:105" hidden="1" x14ac:dyDescent="0.45">
      <c r="B3" s="1652"/>
      <c r="C3" s="1653"/>
      <c r="D3" s="1654"/>
      <c r="E3" s="670">
        <f>D3+1</f>
        <v>1</v>
      </c>
      <c r="F3" s="670">
        <f t="shared" ref="F3:BQ3" si="0">E3+1</f>
        <v>2</v>
      </c>
      <c r="G3" s="670">
        <f t="shared" si="0"/>
        <v>3</v>
      </c>
      <c r="H3" s="670">
        <f t="shared" si="0"/>
        <v>4</v>
      </c>
      <c r="I3" s="670">
        <f t="shared" si="0"/>
        <v>5</v>
      </c>
      <c r="J3" s="670">
        <f t="shared" si="0"/>
        <v>6</v>
      </c>
      <c r="K3" s="670">
        <f t="shared" si="0"/>
        <v>7</v>
      </c>
      <c r="L3" s="670">
        <f t="shared" si="0"/>
        <v>8</v>
      </c>
      <c r="M3" s="670">
        <f t="shared" si="0"/>
        <v>9</v>
      </c>
      <c r="N3" s="670">
        <f t="shared" si="0"/>
        <v>10</v>
      </c>
      <c r="O3" s="670">
        <f t="shared" si="0"/>
        <v>11</v>
      </c>
      <c r="P3" s="670">
        <f t="shared" si="0"/>
        <v>12</v>
      </c>
      <c r="Q3" s="670">
        <f t="shared" si="0"/>
        <v>13</v>
      </c>
      <c r="R3" s="670">
        <f t="shared" si="0"/>
        <v>14</v>
      </c>
      <c r="S3" s="670">
        <f t="shared" si="0"/>
        <v>15</v>
      </c>
      <c r="T3" s="670">
        <f t="shared" si="0"/>
        <v>16</v>
      </c>
      <c r="U3" s="670">
        <f t="shared" si="0"/>
        <v>17</v>
      </c>
      <c r="V3" s="670">
        <f t="shared" si="0"/>
        <v>18</v>
      </c>
      <c r="W3" s="670">
        <f t="shared" si="0"/>
        <v>19</v>
      </c>
      <c r="X3" s="670">
        <f t="shared" si="0"/>
        <v>20</v>
      </c>
      <c r="Y3" s="670">
        <f t="shared" si="0"/>
        <v>21</v>
      </c>
      <c r="Z3" s="670">
        <f t="shared" si="0"/>
        <v>22</v>
      </c>
      <c r="AA3" s="670">
        <f t="shared" si="0"/>
        <v>23</v>
      </c>
      <c r="AB3" s="670">
        <f t="shared" si="0"/>
        <v>24</v>
      </c>
      <c r="AC3" s="670">
        <f t="shared" si="0"/>
        <v>25</v>
      </c>
      <c r="AD3" s="670">
        <f t="shared" si="0"/>
        <v>26</v>
      </c>
      <c r="AE3" s="670">
        <f t="shared" si="0"/>
        <v>27</v>
      </c>
      <c r="AF3" s="670">
        <f t="shared" si="0"/>
        <v>28</v>
      </c>
      <c r="AG3" s="670">
        <f t="shared" si="0"/>
        <v>29</v>
      </c>
      <c r="AH3" s="670">
        <f t="shared" si="0"/>
        <v>30</v>
      </c>
      <c r="AI3" s="670">
        <f t="shared" si="0"/>
        <v>31</v>
      </c>
      <c r="AJ3" s="670">
        <f t="shared" si="0"/>
        <v>32</v>
      </c>
      <c r="AK3" s="670">
        <f t="shared" si="0"/>
        <v>33</v>
      </c>
      <c r="AL3" s="670">
        <f t="shared" si="0"/>
        <v>34</v>
      </c>
      <c r="AM3" s="670">
        <f t="shared" si="0"/>
        <v>35</v>
      </c>
      <c r="AN3" s="670">
        <f t="shared" si="0"/>
        <v>36</v>
      </c>
      <c r="AO3" s="670">
        <f t="shared" si="0"/>
        <v>37</v>
      </c>
      <c r="AP3" s="670">
        <f t="shared" si="0"/>
        <v>38</v>
      </c>
      <c r="AQ3" s="670">
        <f t="shared" si="0"/>
        <v>39</v>
      </c>
      <c r="AR3" s="670">
        <f t="shared" si="0"/>
        <v>40</v>
      </c>
      <c r="AS3" s="670">
        <f t="shared" si="0"/>
        <v>41</v>
      </c>
      <c r="AT3" s="670">
        <f t="shared" si="0"/>
        <v>42</v>
      </c>
      <c r="AU3" s="670">
        <f t="shared" si="0"/>
        <v>43</v>
      </c>
      <c r="AV3" s="670">
        <f t="shared" si="0"/>
        <v>44</v>
      </c>
      <c r="AW3" s="670">
        <f t="shared" si="0"/>
        <v>45</v>
      </c>
      <c r="AX3" s="670">
        <f t="shared" si="0"/>
        <v>46</v>
      </c>
      <c r="AY3" s="670">
        <f t="shared" si="0"/>
        <v>47</v>
      </c>
      <c r="AZ3" s="670">
        <f t="shared" si="0"/>
        <v>48</v>
      </c>
      <c r="BA3" s="670">
        <f t="shared" si="0"/>
        <v>49</v>
      </c>
      <c r="BB3" s="670">
        <f t="shared" si="0"/>
        <v>50</v>
      </c>
      <c r="BC3" s="670">
        <f t="shared" si="0"/>
        <v>51</v>
      </c>
      <c r="BD3" s="670">
        <f t="shared" si="0"/>
        <v>52</v>
      </c>
      <c r="BE3" s="670">
        <f t="shared" si="0"/>
        <v>53</v>
      </c>
      <c r="BF3" s="670">
        <f t="shared" si="0"/>
        <v>54</v>
      </c>
      <c r="BG3" s="670">
        <f t="shared" si="0"/>
        <v>55</v>
      </c>
      <c r="BH3" s="670">
        <f t="shared" si="0"/>
        <v>56</v>
      </c>
      <c r="BI3" s="670">
        <f t="shared" si="0"/>
        <v>57</v>
      </c>
      <c r="BJ3" s="670">
        <f t="shared" si="0"/>
        <v>58</v>
      </c>
      <c r="BK3" s="670">
        <f t="shared" si="0"/>
        <v>59</v>
      </c>
      <c r="BL3" s="670">
        <f t="shared" si="0"/>
        <v>60</v>
      </c>
      <c r="BM3" s="670">
        <f t="shared" si="0"/>
        <v>61</v>
      </c>
      <c r="BN3" s="670">
        <f t="shared" si="0"/>
        <v>62</v>
      </c>
      <c r="BO3" s="670">
        <f t="shared" si="0"/>
        <v>63</v>
      </c>
      <c r="BP3" s="670">
        <f t="shared" si="0"/>
        <v>64</v>
      </c>
      <c r="BQ3" s="670">
        <f t="shared" si="0"/>
        <v>65</v>
      </c>
      <c r="BR3" s="670">
        <f t="shared" ref="BR3:CZ3" si="1">BQ3+1</f>
        <v>66</v>
      </c>
      <c r="BS3" s="670">
        <f t="shared" si="1"/>
        <v>67</v>
      </c>
      <c r="BT3" s="670">
        <f t="shared" si="1"/>
        <v>68</v>
      </c>
      <c r="BU3" s="670">
        <f t="shared" si="1"/>
        <v>69</v>
      </c>
      <c r="BV3" s="670">
        <f t="shared" si="1"/>
        <v>70</v>
      </c>
      <c r="BW3" s="670">
        <f t="shared" si="1"/>
        <v>71</v>
      </c>
      <c r="BX3" s="670">
        <f t="shared" si="1"/>
        <v>72</v>
      </c>
      <c r="BY3" s="670">
        <f t="shared" si="1"/>
        <v>73</v>
      </c>
      <c r="BZ3" s="670">
        <f t="shared" si="1"/>
        <v>74</v>
      </c>
      <c r="CA3" s="670">
        <f t="shared" si="1"/>
        <v>75</v>
      </c>
      <c r="CB3" s="670">
        <f t="shared" si="1"/>
        <v>76</v>
      </c>
      <c r="CC3" s="670">
        <f t="shared" si="1"/>
        <v>77</v>
      </c>
      <c r="CD3" s="670">
        <f t="shared" si="1"/>
        <v>78</v>
      </c>
      <c r="CE3" s="670">
        <f t="shared" si="1"/>
        <v>79</v>
      </c>
      <c r="CF3" s="670">
        <f t="shared" si="1"/>
        <v>80</v>
      </c>
      <c r="CG3" s="670">
        <f t="shared" si="1"/>
        <v>81</v>
      </c>
      <c r="CH3" s="670">
        <f t="shared" si="1"/>
        <v>82</v>
      </c>
      <c r="CI3" s="670">
        <f t="shared" si="1"/>
        <v>83</v>
      </c>
      <c r="CJ3" s="670">
        <f t="shared" si="1"/>
        <v>84</v>
      </c>
      <c r="CK3" s="670">
        <f t="shared" si="1"/>
        <v>85</v>
      </c>
      <c r="CL3" s="670">
        <f t="shared" si="1"/>
        <v>86</v>
      </c>
      <c r="CM3" s="670">
        <f t="shared" si="1"/>
        <v>87</v>
      </c>
      <c r="CN3" s="670">
        <f t="shared" si="1"/>
        <v>88</v>
      </c>
      <c r="CO3" s="670">
        <f t="shared" si="1"/>
        <v>89</v>
      </c>
      <c r="CP3" s="670">
        <f t="shared" si="1"/>
        <v>90</v>
      </c>
      <c r="CQ3" s="670">
        <f t="shared" si="1"/>
        <v>91</v>
      </c>
      <c r="CR3" s="670">
        <f t="shared" si="1"/>
        <v>92</v>
      </c>
      <c r="CS3" s="670">
        <f t="shared" si="1"/>
        <v>93</v>
      </c>
      <c r="CT3" s="670">
        <f t="shared" si="1"/>
        <v>94</v>
      </c>
      <c r="CU3" s="670">
        <f t="shared" si="1"/>
        <v>95</v>
      </c>
      <c r="CV3" s="670">
        <f t="shared" si="1"/>
        <v>96</v>
      </c>
      <c r="CW3" s="670">
        <f t="shared" si="1"/>
        <v>97</v>
      </c>
      <c r="CX3" s="670">
        <f t="shared" si="1"/>
        <v>98</v>
      </c>
      <c r="CY3" s="670">
        <f t="shared" si="1"/>
        <v>99</v>
      </c>
      <c r="CZ3" s="671">
        <f t="shared" si="1"/>
        <v>100</v>
      </c>
      <c r="DA3" s="998" t="s">
        <v>388</v>
      </c>
    </row>
    <row r="4" spans="2:105" s="994" customFormat="1" hidden="1" x14ac:dyDescent="0.45">
      <c r="B4" s="1655" t="s">
        <v>535</v>
      </c>
      <c r="C4" s="1656"/>
      <c r="D4" s="1657"/>
      <c r="E4" s="997" t="str">
        <f>IF(E5="","", INDEX($D$9:$D$153,SUM($E$5:E$5)-E5+1,1))</f>
        <v>tempo_split_6min</v>
      </c>
      <c r="F4" s="997" t="str">
        <f>IF(F5="","", INDEX($D$9:$D$153,SUM($E$5:F$5)-F5+1,1))</f>
        <v>tempo_split_12min</v>
      </c>
      <c r="G4" s="997" t="str">
        <f>IF(G5="","", INDEX($D$9:$D$153,SUM($E$5:G$5)-G5+1,1))</f>
        <v>hilltempo_split_6min</v>
      </c>
      <c r="H4" s="997" t="str">
        <f>IF(H5="","", INDEX($D$9:$D$153,SUM($E$5:H$5)-H5+1,1))</f>
        <v>hilltempo_split_12min</v>
      </c>
      <c r="I4" s="997" t="str">
        <f>IF(I5="","", INDEX($D$9:$D$153,SUM($E$5:I$5)-I5+1,1))</f>
        <v>fartlek_fullsweep</v>
      </c>
      <c r="J4" s="997" t="str">
        <f>IF(J5="","", INDEX($D$9:$D$153,SUM($E$5:J$5)-J5+1,1))</f>
        <v>fartlek_uphill_downhill</v>
      </c>
      <c r="K4" s="997" t="str">
        <f>IF(K5="","", INDEX($D$9:$D$153,SUM($E$5:K$5)-K5+1,1))</f>
        <v>fartlek_randomiser</v>
      </c>
      <c r="L4" s="997" t="str">
        <f>IF(L5="","", INDEX($D$9:$D$153,SUM($E$5:L$5)-L5+1,1))</f>
        <v>fartlek_unstructured</v>
      </c>
      <c r="M4" s="997" t="str">
        <f>IF(M5="","", INDEX($D$9:$D$153,SUM($E$5:M$5)-M5+1,1))</f>
        <v>intervals_moneghetti</v>
      </c>
      <c r="N4" s="997" t="str">
        <f>IF(N5="","", INDEX($D$9:$D$153,SUM($E$5:N$5)-N5+1,1))</f>
        <v>intervals_500m_r1min</v>
      </c>
      <c r="O4" s="997" t="str">
        <f>IF(O5="","", INDEX($D$9:$D$153,SUM($E$5:O$5)-O5+1,1))</f>
        <v>intervals_500m_r30sec</v>
      </c>
      <c r="P4" s="997" t="str">
        <f>IF(P5="","", INDEX($D$9:$D$153,SUM($E$5:P$5)-P5+1,1))</f>
        <v>intervals_1km_r2min</v>
      </c>
      <c r="Q4" s="997" t="str">
        <f>IF(Q5="","", INDEX($D$9:$D$153,SUM($E$5:Q$5)-Q5+1,1))</f>
        <v>intervals_1km_r1min</v>
      </c>
      <c r="R4" s="997" t="str">
        <f>IF(R5="","", INDEX($D$9:$D$153,SUM($E$5:R$5)-R5+1,1))</f>
        <v>intervals_1500m_r3min</v>
      </c>
      <c r="S4" s="997" t="str">
        <f>IF(S5="","", INDEX($D$9:$D$153,SUM($E$5:S$5)-S5+1,1))</f>
        <v>intervals_1500m_r90sec</v>
      </c>
      <c r="T4" s="997" t="str">
        <f>IF(T5="","", INDEX($D$9:$D$153,SUM($E$5:T$5)-T5+1,1))</f>
        <v>intervals_2km_r3min</v>
      </c>
      <c r="U4" s="997" t="str">
        <f>IF(U5="","", INDEX($D$9:$D$153,SUM($E$5:U$5)-U5+1,1))</f>
        <v>intervals_2km_r90sec</v>
      </c>
      <c r="V4" s="997" t="str">
        <f>IF(V5="","", INDEX($D$9:$D$153,SUM($E$5:V$5)-V5+1,1))</f>
        <v>intervals_121_r2min</v>
      </c>
      <c r="W4" s="997" t="str">
        <f>IF(W5="","", INDEX($D$9:$D$153,SUM($E$5:W$5)-W5+1,1))</f>
        <v>intervals_pyramid</v>
      </c>
      <c r="X4" s="997" t="str">
        <f>IF(X5="","", INDEX($D$9:$D$153,SUM($E$5:X$5)-X5+1,1))</f>
        <v>interval_trackO2_max</v>
      </c>
      <c r="Y4" s="997" t="str">
        <f>IF(Y5="","", INDEX($D$9:$D$153,SUM($E$5:Y$5)-Y5+1,1))</f>
        <v>reps_ladder_800</v>
      </c>
      <c r="Z4" s="997" t="str">
        <f>IF(Z5="","", INDEX($D$9:$D$153,SUM($E$5:Z$5)-Z5+1,1))</f>
        <v>reps_intensive_hills</v>
      </c>
      <c r="AA4" s="997" t="str">
        <f>IF(AA5="","", INDEX($D$9:$D$153,SUM($E$5:AA$5)-AA5+1,1))</f>
        <v>reps_extensive_hills</v>
      </c>
      <c r="AB4" s="997" t="str">
        <f>IF(AB5="","", INDEX($D$9:$D$153,SUM($E$5:AB$5)-AB5+1,1))</f>
        <v>reps_lactic_hills</v>
      </c>
      <c r="AC4" s="997" t="str">
        <f>IF(AC5="","", INDEX($D$9:$D$153,SUM($E$5:AC$5)-AC5+1,1))</f>
        <v>reps_complete_progression_hills</v>
      </c>
      <c r="AD4" s="997" t="str">
        <f>IF(AD5="","", INDEX($D$9:$D$153,SUM($E$5:AD$5)-AD5+1,1))</f>
        <v>reps_intensive_sprints</v>
      </c>
      <c r="AE4" s="997" t="str">
        <f>IF(AE5="","", INDEX($D$9:$D$153,SUM($E$5:AE$5)-AE5+1,1))</f>
        <v>reps_extensive_sprints</v>
      </c>
      <c r="AF4" s="997" t="str">
        <f>IF(AF5="","", INDEX($D$9:$D$153,SUM($E$5:AF$5)-AF5+1,1))</f>
        <v>reps_lactic_sprints</v>
      </c>
      <c r="AG4" s="997" t="str">
        <f>IF(AG5="","", INDEX($D$9:$D$153,SUM($E$5:AG$5)-AG5+1,1))</f>
        <v>reps_complete_progression_sprints</v>
      </c>
      <c r="AH4" s="997" t="str">
        <f>IF(AH5="","", INDEX($D$9:$D$153,SUM($E$5:AH$5)-AH5+1,1))</f>
        <v>reps_tabata</v>
      </c>
      <c r="AI4" s="997" t="str">
        <f>IF(AI5="","", INDEX($D$9:$D$153,SUM($E$5:AI$5)-AI5+1,1))</f>
        <v/>
      </c>
      <c r="AJ4" s="997" t="str">
        <f>IF(AJ5="","", INDEX($D$9:$D$153,SUM($E$5:AJ$5)-AJ5+1,1))</f>
        <v/>
      </c>
      <c r="AK4" s="997" t="str">
        <f>IF(AK5="","", INDEX($D$9:$D$153,SUM($E$5:AK$5)-AK5+1,1))</f>
        <v/>
      </c>
      <c r="AL4" s="997" t="str">
        <f>IF(AL5="","", INDEX($D$9:$D$153,SUM($E$5:AL$5)-AL5+1,1))</f>
        <v/>
      </c>
      <c r="AM4" s="997" t="str">
        <f>IF(AM5="","", INDEX($D$9:$D$153,SUM($E$5:AM$5)-AM5+1,1))</f>
        <v/>
      </c>
      <c r="AN4" s="997" t="str">
        <f>IF(AN5="","", INDEX($D$9:$D$153,SUM($E$5:AN$5)-AN5+1,1))</f>
        <v/>
      </c>
      <c r="AO4" s="997" t="str">
        <f>IF(AO5="","", INDEX($D$9:$D$153,SUM($E$5:AO$5)-AO5+1,1))</f>
        <v/>
      </c>
      <c r="AP4" s="997" t="str">
        <f>IF(AP5="","", INDEX($D$9:$D$153,SUM($E$5:AP$5)-AP5+1,1))</f>
        <v/>
      </c>
      <c r="AQ4" s="997" t="str">
        <f>IF(AQ5="","", INDEX($D$9:$D$153,SUM($E$5:AQ$5)-AQ5+1,1))</f>
        <v/>
      </c>
      <c r="AR4" s="997" t="str">
        <f>IF(AR5="","", INDEX($D$9:$D$153,SUM($E$5:AR$5)-AR5+1,1))</f>
        <v/>
      </c>
      <c r="AS4" s="997" t="str">
        <f>IF(AS5="","", INDEX($D$9:$D$153,SUM($E$5:AS$5)-AS5+1,1))</f>
        <v/>
      </c>
      <c r="AT4" s="997" t="str">
        <f>IF(AT5="","", INDEX($D$9:$D$153,SUM($E$5:AT$5)-AT5+1,1))</f>
        <v/>
      </c>
      <c r="AU4" s="997" t="str">
        <f>IF(AU5="","", INDEX($D$9:$D$153,SUM($E$5:AU$5)-AU5+1,1))</f>
        <v/>
      </c>
      <c r="AV4" s="997" t="str">
        <f>IF(AV5="","", INDEX($D$9:$D$153,SUM($E$5:AV$5)-AV5+1,1))</f>
        <v/>
      </c>
      <c r="AW4" s="997" t="str">
        <f>IF(AW5="","", INDEX($D$9:$D$153,SUM($E$5:AW$5)-AW5+1,1))</f>
        <v/>
      </c>
      <c r="AX4" s="997" t="str">
        <f>IF(AX5="","", INDEX($D$9:$D$153,SUM($E$5:AX$5)-AX5+1,1))</f>
        <v/>
      </c>
      <c r="AY4" s="997" t="str">
        <f>IF(AY5="","", INDEX($D$9:$D$153,SUM($E$5:AY$5)-AY5+1,1))</f>
        <v/>
      </c>
      <c r="AZ4" s="997" t="str">
        <f>IF(AZ5="","", INDEX($D$9:$D$153,SUM($E$5:AZ$5)-AZ5+1,1))</f>
        <v/>
      </c>
      <c r="BA4" s="997" t="str">
        <f>IF(BA5="","", INDEX($D$9:$D$153,SUM($E$5:BA$5)-BA5+1,1))</f>
        <v/>
      </c>
      <c r="BB4" s="997" t="str">
        <f>IF(BB5="","", INDEX($D$9:$D$153,SUM($E$5:BB$5)-BB5+1,1))</f>
        <v/>
      </c>
      <c r="BC4" s="997" t="str">
        <f>IF(BC5="","", INDEX($D$9:$D$153,SUM($E$5:BC$5)-BC5+1,1))</f>
        <v/>
      </c>
      <c r="BD4" s="997" t="str">
        <f>IF(BD5="","", INDEX($D$9:$D$153,SUM($E$5:BD$5)-BD5+1,1))</f>
        <v/>
      </c>
      <c r="BE4" s="997" t="str">
        <f>IF(BE5="","", INDEX($D$9:$D$153,SUM($E$5:BE$5)-BE5+1,1))</f>
        <v/>
      </c>
      <c r="BF4" s="997" t="str">
        <f>IF(BF5="","", INDEX($D$9:$D$153,SUM($E$5:BF$5)-BF5+1,1))</f>
        <v/>
      </c>
      <c r="BG4" s="997" t="str">
        <f>IF(BG5="","", INDEX($D$9:$D$153,SUM($E$5:BG$5)-BG5+1,1))</f>
        <v/>
      </c>
      <c r="BH4" s="997" t="str">
        <f>IF(BH5="","", INDEX($D$9:$D$153,SUM($E$5:BH$5)-BH5+1,1))</f>
        <v/>
      </c>
      <c r="BI4" s="997" t="str">
        <f>IF(BI5="","", INDEX($D$9:$D$153,SUM($E$5:BI$5)-BI5+1,1))</f>
        <v/>
      </c>
      <c r="BJ4" s="997" t="str">
        <f>IF(BJ5="","", INDEX($D$9:$D$153,SUM($E$5:BJ$5)-BJ5+1,1))</f>
        <v/>
      </c>
      <c r="BK4" s="997" t="str">
        <f>IF(BK5="","", INDEX($D$9:$D$153,SUM($E$5:BK$5)-BK5+1,1))</f>
        <v/>
      </c>
      <c r="BL4" s="997" t="str">
        <f>IF(BL5="","", INDEX($D$9:$D$153,SUM($E$5:BL$5)-BL5+1,1))</f>
        <v/>
      </c>
      <c r="BM4" s="997" t="str">
        <f>IF(BM5="","", INDEX($D$9:$D$153,SUM($E$5:BM$5)-BM5+1,1))</f>
        <v/>
      </c>
      <c r="BN4" s="997" t="str">
        <f>IF(BN5="","", INDEX($D$9:$D$153,SUM($E$5:BN$5)-BN5+1,1))</f>
        <v/>
      </c>
      <c r="BO4" s="997" t="str">
        <f>IF(BO5="","", INDEX($D$9:$D$153,SUM($E$5:BO$5)-BO5+1,1))</f>
        <v/>
      </c>
      <c r="BP4" s="997" t="str">
        <f>IF(BP5="","", INDEX($D$9:$D$153,SUM($E$5:BP$5)-BP5+1,1))</f>
        <v/>
      </c>
      <c r="BQ4" s="997" t="str">
        <f>IF(BQ5="","", INDEX($D$9:$D$153,SUM($E$5:BQ$5)-BQ5+1,1))</f>
        <v/>
      </c>
      <c r="BR4" s="997" t="str">
        <f>IF(BR5="","", INDEX($D$9:$D$153,SUM($E$5:BR$5)-BR5+1,1))</f>
        <v/>
      </c>
      <c r="BS4" s="997" t="str">
        <f>IF(BS5="","", INDEX($D$9:$D$153,SUM($E$5:BS$5)-BS5+1,1))</f>
        <v/>
      </c>
      <c r="BT4" s="997" t="str">
        <f>IF(BT5="","", INDEX($D$9:$D$153,SUM($E$5:BT$5)-BT5+1,1))</f>
        <v/>
      </c>
      <c r="BU4" s="997" t="str">
        <f>IF(BU5="","", INDEX($D$9:$D$153,SUM($E$5:BU$5)-BU5+1,1))</f>
        <v/>
      </c>
      <c r="BV4" s="997" t="str">
        <f>IF(BV5="","", INDEX($D$9:$D$153,SUM($E$5:BV$5)-BV5+1,1))</f>
        <v/>
      </c>
      <c r="BW4" s="997" t="str">
        <f>IF(BW5="","", INDEX($D$9:$D$153,SUM($E$5:BW$5)-BW5+1,1))</f>
        <v/>
      </c>
      <c r="BX4" s="997" t="str">
        <f>IF(BX5="","", INDEX($D$9:$D$153,SUM($E$5:BX$5)-BX5+1,1))</f>
        <v/>
      </c>
      <c r="BY4" s="997" t="str">
        <f>IF(BY5="","", INDEX($D$9:$D$153,SUM($E$5:BY$5)-BY5+1,1))</f>
        <v/>
      </c>
      <c r="BZ4" s="997" t="str">
        <f>IF(BZ5="","", INDEX($D$9:$D$153,SUM($E$5:BZ$5)-BZ5+1,1))</f>
        <v/>
      </c>
      <c r="CA4" s="997" t="str">
        <f>IF(CA5="","", INDEX($D$9:$D$153,SUM($E$5:CA$5)-CA5+1,1))</f>
        <v/>
      </c>
      <c r="CB4" s="997" t="str">
        <f>IF(CB5="","", INDEX($D$9:$D$153,SUM($E$5:CB$5)-CB5+1,1))</f>
        <v/>
      </c>
      <c r="CC4" s="997" t="str">
        <f>IF(CC5="","", INDEX($D$9:$D$153,SUM($E$5:CC$5)-CC5+1,1))</f>
        <v/>
      </c>
      <c r="CD4" s="997" t="str">
        <f>IF(CD5="","", INDEX($D$9:$D$153,SUM($E$5:CD$5)-CD5+1,1))</f>
        <v/>
      </c>
      <c r="CE4" s="997" t="str">
        <f>IF(CE5="","", INDEX($D$9:$D$153,SUM($E$5:CE$5)-CE5+1,1))</f>
        <v/>
      </c>
      <c r="CF4" s="997" t="str">
        <f>IF(CF5="","", INDEX($D$9:$D$153,SUM($E$5:CF$5)-CF5+1,1))</f>
        <v/>
      </c>
      <c r="CG4" s="997" t="str">
        <f>IF(CG5="","", INDEX($D$9:$D$153,SUM($E$5:CG$5)-CG5+1,1))</f>
        <v/>
      </c>
      <c r="CH4" s="997" t="str">
        <f>IF(CH5="","", INDEX($D$9:$D$153,SUM($E$5:CH$5)-CH5+1,1))</f>
        <v/>
      </c>
      <c r="CI4" s="997" t="str">
        <f>IF(CI5="","", INDEX($D$9:$D$153,SUM($E$5:CI$5)-CI5+1,1))</f>
        <v/>
      </c>
      <c r="CJ4" s="997" t="str">
        <f>IF(CJ5="","", INDEX($D$9:$D$153,SUM($E$5:CJ$5)-CJ5+1,1))</f>
        <v/>
      </c>
      <c r="CK4" s="997" t="str">
        <f>IF(CK5="","", INDEX($D$9:$D$153,SUM($E$5:CK$5)-CK5+1,1))</f>
        <v/>
      </c>
      <c r="CL4" s="997" t="str">
        <f>IF(CL5="","", INDEX($D$9:$D$153,SUM($E$5:CL$5)-CL5+1,1))</f>
        <v/>
      </c>
      <c r="CM4" s="997" t="str">
        <f>IF(CM5="","", INDEX($D$9:$D$153,SUM($E$5:CM$5)-CM5+1,1))</f>
        <v/>
      </c>
      <c r="CN4" s="997" t="str">
        <f>IF(CN5="","", INDEX($D$9:$D$153,SUM($E$5:CN$5)-CN5+1,1))</f>
        <v/>
      </c>
      <c r="CO4" s="997" t="str">
        <f>IF(CO5="","", INDEX($D$9:$D$153,SUM($E$5:CO$5)-CO5+1,1))</f>
        <v/>
      </c>
      <c r="CP4" s="997" t="str">
        <f>IF(CP5="","", INDEX($D$9:$D$153,SUM($E$5:CP$5)-CP5+1,1))</f>
        <v/>
      </c>
      <c r="CQ4" s="997" t="str">
        <f>IF(CQ5="","", INDEX($D$9:$D$153,SUM($E$5:CQ$5)-CQ5+1,1))</f>
        <v/>
      </c>
      <c r="CR4" s="997" t="str">
        <f>IF(CR5="","", INDEX($D$9:$D$153,SUM($E$5:CR$5)-CR5+1,1))</f>
        <v/>
      </c>
      <c r="CS4" s="997" t="str">
        <f>IF(CS5="","", INDEX($D$9:$D$153,SUM($E$5:CS$5)-CS5+1,1))</f>
        <v/>
      </c>
      <c r="CT4" s="997" t="str">
        <f>IF(CT5="","", INDEX($D$9:$D$153,SUM($E$5:CT$5)-CT5+1,1))</f>
        <v/>
      </c>
      <c r="CU4" s="997" t="str">
        <f>IF(CU5="","", INDEX($D$9:$D$153,SUM($E$5:CU$5)-CU5+1,1))</f>
        <v/>
      </c>
      <c r="CV4" s="997" t="str">
        <f>IF(CV5="","", INDEX($D$9:$D$153,SUM($E$5:CV$5)-CV5+1,1))</f>
        <v/>
      </c>
      <c r="CW4" s="997" t="str">
        <f>IF(CW5="","", INDEX($D$9:$D$153,SUM($E$5:CW$5)-CW5+1,1))</f>
        <v/>
      </c>
      <c r="CX4" s="997" t="str">
        <f>IF(CX5="","", INDEX($D$9:$D$153,SUM($E$5:CX$5)-CX5+1,1))</f>
        <v/>
      </c>
      <c r="CY4" s="997" t="str">
        <f>IF(CY5="","", INDEX($D$9:$D$153,SUM($E$5:CY$5)-CY5+1,1))</f>
        <v/>
      </c>
      <c r="CZ4" s="997" t="str">
        <f>IF(CZ5="","", INDEX($D$9:$D$153,SUM($E$5:CZ$5)-CZ5+1,1))</f>
        <v/>
      </c>
      <c r="DA4" s="999" t="s">
        <v>388</v>
      </c>
    </row>
    <row r="5" spans="2:105" ht="14.65" hidden="1" thickBot="1" x14ac:dyDescent="0.5">
      <c r="B5" s="1658" t="s">
        <v>538</v>
      </c>
      <c r="C5" s="1659"/>
      <c r="D5" s="1660"/>
      <c r="E5" s="995">
        <v>4</v>
      </c>
      <c r="F5" s="995">
        <v>4</v>
      </c>
      <c r="G5" s="995">
        <v>4</v>
      </c>
      <c r="H5" s="995">
        <v>4</v>
      </c>
      <c r="I5" s="995">
        <v>1</v>
      </c>
      <c r="J5" s="995">
        <v>1</v>
      </c>
      <c r="K5" s="995">
        <v>1</v>
      </c>
      <c r="L5" s="995">
        <v>1</v>
      </c>
      <c r="M5" s="995">
        <v>3</v>
      </c>
      <c r="N5" s="995">
        <v>12</v>
      </c>
      <c r="O5" s="995">
        <v>12</v>
      </c>
      <c r="P5" s="995">
        <v>6</v>
      </c>
      <c r="Q5" s="995">
        <v>6</v>
      </c>
      <c r="R5" s="995">
        <v>4</v>
      </c>
      <c r="S5" s="995">
        <v>4</v>
      </c>
      <c r="T5" s="995">
        <v>4</v>
      </c>
      <c r="U5" s="995">
        <v>4</v>
      </c>
      <c r="V5" s="995">
        <v>2</v>
      </c>
      <c r="W5" s="995">
        <v>4</v>
      </c>
      <c r="X5" s="995">
        <v>7</v>
      </c>
      <c r="Y5" s="995">
        <v>2</v>
      </c>
      <c r="Z5" s="995">
        <v>5</v>
      </c>
      <c r="AA5" s="995">
        <v>5</v>
      </c>
      <c r="AB5" s="995">
        <v>5</v>
      </c>
      <c r="AC5" s="995">
        <v>12</v>
      </c>
      <c r="AD5" s="995">
        <v>5</v>
      </c>
      <c r="AE5" s="995">
        <v>5</v>
      </c>
      <c r="AF5" s="995">
        <v>5</v>
      </c>
      <c r="AG5" s="995">
        <v>12</v>
      </c>
      <c r="AH5" s="995">
        <v>1</v>
      </c>
      <c r="AI5" s="995"/>
      <c r="AJ5" s="995"/>
      <c r="AK5" s="995"/>
      <c r="AL5" s="995"/>
      <c r="AM5" s="995"/>
      <c r="AN5" s="995"/>
      <c r="AO5" s="995"/>
      <c r="AP5" s="995"/>
      <c r="AQ5" s="995"/>
      <c r="AR5" s="995"/>
      <c r="AS5" s="995"/>
      <c r="AT5" s="995"/>
      <c r="AU5" s="995"/>
      <c r="AV5" s="995"/>
      <c r="AW5" s="995"/>
      <c r="AX5" s="995"/>
      <c r="AY5" s="995"/>
      <c r="AZ5" s="995"/>
      <c r="BA5" s="995"/>
      <c r="BB5" s="995"/>
      <c r="BC5" s="995"/>
      <c r="BD5" s="995"/>
      <c r="BE5" s="995"/>
      <c r="BF5" s="995"/>
      <c r="BG5" s="995"/>
      <c r="BH5" s="995"/>
      <c r="BI5" s="995"/>
      <c r="BJ5" s="995"/>
      <c r="BK5" s="995"/>
      <c r="BL5" s="995"/>
      <c r="BM5" s="995"/>
      <c r="BN5" s="995"/>
      <c r="BO5" s="995"/>
      <c r="BP5" s="995"/>
      <c r="BQ5" s="995"/>
      <c r="BR5" s="995"/>
      <c r="BS5" s="995"/>
      <c r="BT5" s="995"/>
      <c r="BU5" s="995"/>
      <c r="BV5" s="995"/>
      <c r="BW5" s="995"/>
      <c r="BX5" s="995"/>
      <c r="BY5" s="995"/>
      <c r="BZ5" s="995"/>
      <c r="CA5" s="995"/>
      <c r="CB5" s="995"/>
      <c r="CC5" s="995"/>
      <c r="CD5" s="995"/>
      <c r="CE5" s="995"/>
      <c r="CF5" s="995"/>
      <c r="CG5" s="995"/>
      <c r="CH5" s="995"/>
      <c r="CI5" s="995"/>
      <c r="CJ5" s="995"/>
      <c r="CK5" s="995"/>
      <c r="CL5" s="995"/>
      <c r="CM5" s="995"/>
      <c r="CN5" s="995"/>
      <c r="CO5" s="995"/>
      <c r="CP5" s="995"/>
      <c r="CQ5" s="995"/>
      <c r="CR5" s="995"/>
      <c r="CS5" s="995"/>
      <c r="CT5" s="995"/>
      <c r="CU5" s="995"/>
      <c r="CV5" s="995"/>
      <c r="CW5" s="995"/>
      <c r="CX5" s="995"/>
      <c r="CY5" s="995"/>
      <c r="CZ5" s="996"/>
      <c r="DA5" s="998" t="s">
        <v>388</v>
      </c>
    </row>
    <row r="6" spans="2:105" ht="7.5" hidden="1" customHeight="1" x14ac:dyDescent="0.45"/>
    <row r="7" spans="2:105" ht="7.5" hidden="1" customHeight="1" thickBot="1" x14ac:dyDescent="0.5"/>
    <row r="8" spans="2:105" ht="15.75" hidden="1" customHeight="1" x14ac:dyDescent="0.45">
      <c r="B8" s="149" t="s">
        <v>149</v>
      </c>
      <c r="C8" s="152" t="s">
        <v>150</v>
      </c>
      <c r="D8" s="152" t="s">
        <v>151</v>
      </c>
      <c r="E8" s="150" t="s">
        <v>152</v>
      </c>
      <c r="F8" s="150" t="s">
        <v>153</v>
      </c>
      <c r="G8" s="150" t="s">
        <v>154</v>
      </c>
      <c r="H8" s="150" t="s">
        <v>155</v>
      </c>
      <c r="I8" s="150" t="s">
        <v>156</v>
      </c>
      <c r="J8" s="150" t="s">
        <v>157</v>
      </c>
      <c r="K8" s="154" t="s">
        <v>158</v>
      </c>
      <c r="L8" s="151" t="s">
        <v>159</v>
      </c>
    </row>
    <row r="9" spans="2:105" ht="28.5" hidden="1" x14ac:dyDescent="0.45">
      <c r="B9" s="1664" t="s">
        <v>23</v>
      </c>
      <c r="C9" s="1667" t="s">
        <v>500</v>
      </c>
      <c r="D9" s="1667" t="s">
        <v>160</v>
      </c>
      <c r="E9" s="468">
        <f>ROUND(Intervals!$H9,0)</f>
        <v>6</v>
      </c>
      <c r="F9" s="469" t="s">
        <v>283</v>
      </c>
      <c r="G9" s="469" t="s">
        <v>507</v>
      </c>
      <c r="H9" s="470">
        <f>6 * 1</f>
        <v>6</v>
      </c>
      <c r="I9" s="471">
        <f t="shared" ref="I9:I20" si="2">H9/(elements_pace_tempo*60*24)</f>
        <v>1.7926497411130844</v>
      </c>
      <c r="J9" s="469" t="s">
        <v>189</v>
      </c>
      <c r="K9" s="472">
        <f>1 * 1 - 1</f>
        <v>0</v>
      </c>
      <c r="L9" s="473" t="str">
        <f t="shared" ref="L9:L16" si="3">CONCATENATE("Efforts of: ",G9,"
And recoveries of: ", J9)</f>
        <v>Efforts of: 6 mins x1
And recoveries of: 1 minute</v>
      </c>
    </row>
    <row r="10" spans="2:105" ht="28.5" hidden="1" x14ac:dyDescent="0.45">
      <c r="B10" s="1665"/>
      <c r="C10" s="1668"/>
      <c r="D10" s="1668"/>
      <c r="E10" s="468">
        <f>ROUND(Intervals!$H10,0)</f>
        <v>12</v>
      </c>
      <c r="F10" s="469" t="s">
        <v>283</v>
      </c>
      <c r="G10" s="469" t="s">
        <v>508</v>
      </c>
      <c r="H10" s="470">
        <f>6 * 2</f>
        <v>12</v>
      </c>
      <c r="I10" s="471">
        <f t="shared" si="2"/>
        <v>3.5852994822261688</v>
      </c>
      <c r="J10" s="469" t="s">
        <v>189</v>
      </c>
      <c r="K10" s="472">
        <f>2 * 1 - 1</f>
        <v>1</v>
      </c>
      <c r="L10" s="473" t="str">
        <f t="shared" si="3"/>
        <v>Efforts of: 6 mins x2
And recoveries of: 1 minute</v>
      </c>
    </row>
    <row r="11" spans="2:105" ht="28.5" hidden="1" x14ac:dyDescent="0.45">
      <c r="B11" s="1665"/>
      <c r="C11" s="1668"/>
      <c r="D11" s="1668"/>
      <c r="E11" s="468">
        <f>ROUND(Intervals!$H11,0)</f>
        <v>18</v>
      </c>
      <c r="F11" s="469" t="s">
        <v>283</v>
      </c>
      <c r="G11" s="469" t="s">
        <v>509</v>
      </c>
      <c r="H11" s="470">
        <f>6 * 3</f>
        <v>18</v>
      </c>
      <c r="I11" s="471">
        <f t="shared" si="2"/>
        <v>5.377949223339253</v>
      </c>
      <c r="J11" s="469" t="s">
        <v>189</v>
      </c>
      <c r="K11" s="472">
        <f>3 * 1 - 1</f>
        <v>2</v>
      </c>
      <c r="L11" s="473" t="str">
        <f t="shared" si="3"/>
        <v>Efforts of: 6 mins x3
And recoveries of: 1 minute</v>
      </c>
    </row>
    <row r="12" spans="2:105" ht="28.5" hidden="1" x14ac:dyDescent="0.45">
      <c r="B12" s="1665"/>
      <c r="C12" s="1669"/>
      <c r="D12" s="1669"/>
      <c r="E12" s="468">
        <f>ROUND(Intervals!$H12,0)</f>
        <v>24</v>
      </c>
      <c r="F12" s="469" t="s">
        <v>283</v>
      </c>
      <c r="G12" s="469" t="s">
        <v>510</v>
      </c>
      <c r="H12" s="470">
        <f>6 * 4</f>
        <v>24</v>
      </c>
      <c r="I12" s="471">
        <f t="shared" si="2"/>
        <v>7.1705989644523376</v>
      </c>
      <c r="J12" s="469" t="s">
        <v>189</v>
      </c>
      <c r="K12" s="472">
        <f>4 * 1 - 1</f>
        <v>3</v>
      </c>
      <c r="L12" s="473" t="str">
        <f t="shared" si="3"/>
        <v>Efforts of: 6 mins x4
And recoveries of: 1 minute</v>
      </c>
    </row>
    <row r="13" spans="2:105" ht="28.5" hidden="1" x14ac:dyDescent="0.45">
      <c r="B13" s="1665"/>
      <c r="C13" s="1667" t="s">
        <v>501</v>
      </c>
      <c r="D13" s="1667" t="s">
        <v>502</v>
      </c>
      <c r="E13" s="468">
        <f>ROUND(Intervals!$H13,0)</f>
        <v>12</v>
      </c>
      <c r="F13" s="469" t="s">
        <v>283</v>
      </c>
      <c r="G13" s="469" t="s">
        <v>503</v>
      </c>
      <c r="H13" s="470">
        <f>12 * 1</f>
        <v>12</v>
      </c>
      <c r="I13" s="471">
        <f>H13/(elements_pace_tempo*60*24)</f>
        <v>3.5852994822261688</v>
      </c>
      <c r="J13" s="469" t="s">
        <v>189</v>
      </c>
      <c r="K13" s="472">
        <f>1 * 1 - 1</f>
        <v>0</v>
      </c>
      <c r="L13" s="473" t="str">
        <f t="shared" si="3"/>
        <v>Efforts of: 12 mins x1
And recoveries of: 1 minute</v>
      </c>
    </row>
    <row r="14" spans="2:105" ht="28.5" hidden="1" x14ac:dyDescent="0.45">
      <c r="B14" s="1665"/>
      <c r="C14" s="1668"/>
      <c r="D14" s="1668"/>
      <c r="E14" s="468">
        <f>ROUND(Intervals!$H14,0)</f>
        <v>24</v>
      </c>
      <c r="F14" s="469" t="s">
        <v>283</v>
      </c>
      <c r="G14" s="469" t="s">
        <v>504</v>
      </c>
      <c r="H14" s="470">
        <f>12 * 2</f>
        <v>24</v>
      </c>
      <c r="I14" s="471">
        <f>H14/(elements_pace_tempo*60*24)</f>
        <v>7.1705989644523376</v>
      </c>
      <c r="J14" s="469" t="s">
        <v>189</v>
      </c>
      <c r="K14" s="472">
        <f>2 * 1 - 1</f>
        <v>1</v>
      </c>
      <c r="L14" s="473" t="str">
        <f t="shared" si="3"/>
        <v>Efforts of: 12 mins x2
And recoveries of: 1 minute</v>
      </c>
    </row>
    <row r="15" spans="2:105" ht="28.5" hidden="1" x14ac:dyDescent="0.45">
      <c r="B15" s="1665"/>
      <c r="C15" s="1668"/>
      <c r="D15" s="1668"/>
      <c r="E15" s="468">
        <f>ROUND(Intervals!$H15,0)</f>
        <v>36</v>
      </c>
      <c r="F15" s="469" t="s">
        <v>283</v>
      </c>
      <c r="G15" s="469" t="s">
        <v>505</v>
      </c>
      <c r="H15" s="470">
        <f>12 * 3</f>
        <v>36</v>
      </c>
      <c r="I15" s="471">
        <f>H15/(elements_pace_tempo*60*24)</f>
        <v>10.755898446678506</v>
      </c>
      <c r="J15" s="469" t="s">
        <v>189</v>
      </c>
      <c r="K15" s="472">
        <f>3 * 1 - 1</f>
        <v>2</v>
      </c>
      <c r="L15" s="473" t="str">
        <f t="shared" si="3"/>
        <v>Efforts of: 12 mins x3
And recoveries of: 1 minute</v>
      </c>
    </row>
    <row r="16" spans="2:105" ht="28.5" hidden="1" x14ac:dyDescent="0.45">
      <c r="B16" s="1665"/>
      <c r="C16" s="1669"/>
      <c r="D16" s="1669"/>
      <c r="E16" s="468">
        <f>ROUND(Intervals!$H16,0)</f>
        <v>48</v>
      </c>
      <c r="F16" s="469" t="s">
        <v>283</v>
      </c>
      <c r="G16" s="469" t="s">
        <v>506</v>
      </c>
      <c r="H16" s="470">
        <f>12 * 4</f>
        <v>48</v>
      </c>
      <c r="I16" s="471">
        <f>H16/(elements_pace_tempo*60*24)</f>
        <v>14.341197928904675</v>
      </c>
      <c r="J16" s="469" t="s">
        <v>189</v>
      </c>
      <c r="K16" s="472">
        <f>4 * 1 - 1</f>
        <v>3</v>
      </c>
      <c r="L16" s="473" t="str">
        <f t="shared" si="3"/>
        <v>Efforts of: 12 mins x4
And recoveries of: 1 minute</v>
      </c>
    </row>
    <row r="17" spans="2:12" ht="28.5" hidden="1" x14ac:dyDescent="0.45">
      <c r="B17" s="1665"/>
      <c r="C17" s="1667" t="s">
        <v>540</v>
      </c>
      <c r="D17" s="1667" t="s">
        <v>161</v>
      </c>
      <c r="E17" s="468">
        <f>ROUND(Intervals!$H17,0)</f>
        <v>6</v>
      </c>
      <c r="F17" s="469" t="s">
        <v>162</v>
      </c>
      <c r="G17" s="469" t="s">
        <v>507</v>
      </c>
      <c r="H17" s="470">
        <f>6 * 1</f>
        <v>6</v>
      </c>
      <c r="I17" s="471">
        <f t="shared" si="2"/>
        <v>1.7926497411130844</v>
      </c>
      <c r="J17" s="469"/>
      <c r="K17" s="472"/>
      <c r="L17" s="473" t="str">
        <f>CONCATENATE("Efforts of: ",G17,"
Spread thoughout the session", J17)</f>
        <v>Efforts of: 6 mins x1
Spread thoughout the session</v>
      </c>
    </row>
    <row r="18" spans="2:12" ht="28.5" hidden="1" x14ac:dyDescent="0.45">
      <c r="B18" s="1665"/>
      <c r="C18" s="1668"/>
      <c r="D18" s="1668"/>
      <c r="E18" s="468">
        <f>ROUND(Intervals!$H18,0)</f>
        <v>12</v>
      </c>
      <c r="F18" s="469" t="s">
        <v>162</v>
      </c>
      <c r="G18" s="469" t="s">
        <v>508</v>
      </c>
      <c r="H18" s="470">
        <f>6 * 2</f>
        <v>12</v>
      </c>
      <c r="I18" s="471">
        <f t="shared" si="2"/>
        <v>3.5852994822261688</v>
      </c>
      <c r="J18" s="469"/>
      <c r="K18" s="472"/>
      <c r="L18" s="473" t="str">
        <f t="shared" ref="L18:L24" si="4">CONCATENATE("Efforts of: ",G18,"
Spread thoughout the session", J18)</f>
        <v>Efforts of: 6 mins x2
Spread thoughout the session</v>
      </c>
    </row>
    <row r="19" spans="2:12" ht="28.5" hidden="1" x14ac:dyDescent="0.45">
      <c r="B19" s="1665"/>
      <c r="C19" s="1668"/>
      <c r="D19" s="1668"/>
      <c r="E19" s="468">
        <f>ROUND(Intervals!$H19,0)</f>
        <v>18</v>
      </c>
      <c r="F19" s="469" t="s">
        <v>162</v>
      </c>
      <c r="G19" s="469" t="s">
        <v>509</v>
      </c>
      <c r="H19" s="470">
        <f>6 * 3</f>
        <v>18</v>
      </c>
      <c r="I19" s="471">
        <f t="shared" si="2"/>
        <v>5.377949223339253</v>
      </c>
      <c r="J19" s="469"/>
      <c r="K19" s="472"/>
      <c r="L19" s="473" t="str">
        <f t="shared" si="4"/>
        <v>Efforts of: 6 mins x3
Spread thoughout the session</v>
      </c>
    </row>
    <row r="20" spans="2:12" ht="28.5" hidden="1" x14ac:dyDescent="0.45">
      <c r="B20" s="1665"/>
      <c r="C20" s="1669"/>
      <c r="D20" s="1669"/>
      <c r="E20" s="468">
        <f>ROUND(Intervals!$H20,0)</f>
        <v>24</v>
      </c>
      <c r="F20" s="469" t="s">
        <v>162</v>
      </c>
      <c r="G20" s="469" t="s">
        <v>510</v>
      </c>
      <c r="H20" s="470">
        <f>6 * 4</f>
        <v>24</v>
      </c>
      <c r="I20" s="471">
        <f t="shared" si="2"/>
        <v>7.1705989644523376</v>
      </c>
      <c r="J20" s="469"/>
      <c r="K20" s="472"/>
      <c r="L20" s="473" t="str">
        <f t="shared" si="4"/>
        <v>Efforts of: 6 mins x4
Spread thoughout the session</v>
      </c>
    </row>
    <row r="21" spans="2:12" ht="28.5" hidden="1" x14ac:dyDescent="0.45">
      <c r="B21" s="1665"/>
      <c r="C21" s="1667" t="s">
        <v>539</v>
      </c>
      <c r="D21" s="1667" t="s">
        <v>163</v>
      </c>
      <c r="E21" s="468">
        <f>ROUND(Intervals!$H21,0)</f>
        <v>12</v>
      </c>
      <c r="F21" s="469" t="s">
        <v>162</v>
      </c>
      <c r="G21" s="469" t="s">
        <v>503</v>
      </c>
      <c r="H21" s="470">
        <f>12 * 1</f>
        <v>12</v>
      </c>
      <c r="I21" s="471">
        <f>H21/(elements_pace_tempo*60*24)</f>
        <v>3.5852994822261688</v>
      </c>
      <c r="J21" s="469"/>
      <c r="K21" s="472"/>
      <c r="L21" s="473" t="str">
        <f t="shared" si="4"/>
        <v>Efforts of: 12 mins x1
Spread thoughout the session</v>
      </c>
    </row>
    <row r="22" spans="2:12" ht="28.5" hidden="1" x14ac:dyDescent="0.45">
      <c r="B22" s="1665"/>
      <c r="C22" s="1668"/>
      <c r="D22" s="1668"/>
      <c r="E22" s="468">
        <f>ROUND(Intervals!$H22,0)</f>
        <v>24</v>
      </c>
      <c r="F22" s="469" t="s">
        <v>162</v>
      </c>
      <c r="G22" s="469" t="s">
        <v>504</v>
      </c>
      <c r="H22" s="470">
        <f>12 * 2</f>
        <v>24</v>
      </c>
      <c r="I22" s="471">
        <f>H22/(elements_pace_tempo*60*24)</f>
        <v>7.1705989644523376</v>
      </c>
      <c r="J22" s="469"/>
      <c r="K22" s="472"/>
      <c r="L22" s="473" t="str">
        <f t="shared" si="4"/>
        <v>Efforts of: 12 mins x2
Spread thoughout the session</v>
      </c>
    </row>
    <row r="23" spans="2:12" ht="28.5" hidden="1" x14ac:dyDescent="0.45">
      <c r="B23" s="1665"/>
      <c r="C23" s="1668"/>
      <c r="D23" s="1668"/>
      <c r="E23" s="468">
        <f>ROUND(Intervals!$H23,0)</f>
        <v>36</v>
      </c>
      <c r="F23" s="469" t="s">
        <v>162</v>
      </c>
      <c r="G23" s="469" t="s">
        <v>505</v>
      </c>
      <c r="H23" s="470">
        <f>12 * 3</f>
        <v>36</v>
      </c>
      <c r="I23" s="471">
        <f>H23/(elements_pace_tempo*60*24)</f>
        <v>10.755898446678506</v>
      </c>
      <c r="J23" s="469"/>
      <c r="K23" s="472"/>
      <c r="L23" s="473" t="str">
        <f t="shared" si="4"/>
        <v>Efforts of: 12 mins x3
Spread thoughout the session</v>
      </c>
    </row>
    <row r="24" spans="2:12" ht="28.5" hidden="1" x14ac:dyDescent="0.45">
      <c r="B24" s="1666"/>
      <c r="C24" s="1669"/>
      <c r="D24" s="1669"/>
      <c r="E24" s="468">
        <f>ROUND(Intervals!$H24,0)</f>
        <v>48</v>
      </c>
      <c r="F24" s="469" t="s">
        <v>162</v>
      </c>
      <c r="G24" s="469" t="s">
        <v>506</v>
      </c>
      <c r="H24" s="470">
        <f>12 * 4</f>
        <v>48</v>
      </c>
      <c r="I24" s="471">
        <f>H24/(elements_pace_tempo*60*24)</f>
        <v>14.341197928904675</v>
      </c>
      <c r="J24" s="469"/>
      <c r="K24" s="472"/>
      <c r="L24" s="473" t="str">
        <f t="shared" si="4"/>
        <v>Efforts of: 12 mins x4
Spread thoughout the session</v>
      </c>
    </row>
    <row r="25" spans="2:12" ht="81.400000000000006" hidden="1" x14ac:dyDescent="0.45">
      <c r="B25" s="1675" t="s">
        <v>28</v>
      </c>
      <c r="C25" s="520" t="s">
        <v>164</v>
      </c>
      <c r="D25" s="521" t="s">
        <v>165</v>
      </c>
      <c r="E25" s="522"/>
      <c r="F25" s="522" t="s">
        <v>164</v>
      </c>
      <c r="G25" s="522" t="s">
        <v>166</v>
      </c>
      <c r="H25" s="523" t="s">
        <v>167</v>
      </c>
      <c r="I25" s="524"/>
      <c r="J25" s="522" t="s">
        <v>168</v>
      </c>
      <c r="K25" s="525"/>
      <c r="L25" s="526" t="str">
        <f t="shared" ref="L25:L32" si="5">CONCATENATE("Efforts of: ",G25,"
And recoveries of: ", J25)</f>
        <v>Efforts of: 15sec, 30sec, 1min, 1:30min, 2min, 3min, 6min. Repeat
And recoveries of: Equal duration to previous effort</v>
      </c>
    </row>
    <row r="26" spans="2:12" ht="107.65" hidden="1" x14ac:dyDescent="0.45">
      <c r="B26" s="1675"/>
      <c r="C26" s="527" t="s">
        <v>169</v>
      </c>
      <c r="D26" s="521" t="s">
        <v>170</v>
      </c>
      <c r="E26" s="528"/>
      <c r="F26" s="528" t="s">
        <v>169</v>
      </c>
      <c r="G26" s="528" t="s">
        <v>171</v>
      </c>
      <c r="H26" s="528" t="s">
        <v>167</v>
      </c>
      <c r="I26" s="529"/>
      <c r="J26" s="528" t="s">
        <v>172</v>
      </c>
      <c r="K26" s="530"/>
      <c r="L26" s="531" t="str">
        <f t="shared" si="5"/>
        <v>Efforts of: Push the pace when running uphill, even if the gradient is slight.
And recoveries of: Steady running on the downhills</v>
      </c>
    </row>
    <row r="27" spans="2:12" ht="89.25" hidden="1" x14ac:dyDescent="0.45">
      <c r="B27" s="1675"/>
      <c r="C27" s="520" t="s">
        <v>173</v>
      </c>
      <c r="D27" s="521" t="s">
        <v>174</v>
      </c>
      <c r="E27" s="522"/>
      <c r="F27" s="522" t="s">
        <v>173</v>
      </c>
      <c r="G27" s="522" t="s">
        <v>175</v>
      </c>
      <c r="H27" s="522" t="s">
        <v>167</v>
      </c>
      <c r="I27" s="524"/>
      <c r="J27" s="522" t="s">
        <v>168</v>
      </c>
      <c r="K27" s="525"/>
      <c r="L27" s="526" t="str">
        <f t="shared" si="5"/>
        <v>Efforts of: 1min, 2min, 3min, or 4min in any order you feel like.
And recoveries of: Equal duration to previous effort</v>
      </c>
    </row>
    <row r="28" spans="2:12" ht="96.4" hidden="1" x14ac:dyDescent="0.45">
      <c r="B28" s="1675"/>
      <c r="C28" s="527" t="s">
        <v>176</v>
      </c>
      <c r="D28" s="521" t="s">
        <v>177</v>
      </c>
      <c r="E28" s="528"/>
      <c r="F28" s="528" t="s">
        <v>176</v>
      </c>
      <c r="G28" s="528" t="s">
        <v>178</v>
      </c>
      <c r="H28" s="528" t="s">
        <v>167</v>
      </c>
      <c r="I28" s="529"/>
      <c r="J28" s="522" t="s">
        <v>168</v>
      </c>
      <c r="K28" s="530"/>
      <c r="L28" s="531" t="str">
        <f t="shared" si="5"/>
        <v>Efforts of: Do any length efforts from 15 seconds to 6 minutes as you feel at the time.
And recoveries of: Equal duration to previous effort</v>
      </c>
    </row>
    <row r="29" spans="2:12" ht="80.25" hidden="1" customHeight="1" x14ac:dyDescent="0.45">
      <c r="B29" s="1670" t="s">
        <v>30</v>
      </c>
      <c r="C29" s="1676" t="s">
        <v>179</v>
      </c>
      <c r="D29" s="1676" t="s">
        <v>180</v>
      </c>
      <c r="E29" s="474">
        <f>ROUND(Intervals!$H29,0)</f>
        <v>7</v>
      </c>
      <c r="F29" s="475" t="s">
        <v>181</v>
      </c>
      <c r="G29" s="475" t="s">
        <v>182</v>
      </c>
      <c r="H29" s="476">
        <v>6.5</v>
      </c>
      <c r="I29" s="477">
        <v>2.11</v>
      </c>
      <c r="J29" s="475" t="s">
        <v>183</v>
      </c>
      <c r="K29" s="478">
        <f>Intervals!$H29</f>
        <v>6.5</v>
      </c>
      <c r="L29" s="479" t="str">
        <f t="shared" si="5"/>
        <v>Efforts of: 1:30 x2, 1:00 x2, 0:30 x2, 0:15 x2
And recoveries of: Equal duration to previous effort at a STEADY pace</v>
      </c>
    </row>
    <row r="30" spans="2:12" ht="45" hidden="1" customHeight="1" x14ac:dyDescent="0.45">
      <c r="B30" s="1671"/>
      <c r="C30" s="1677"/>
      <c r="D30" s="1677"/>
      <c r="E30" s="474">
        <f>ROUND(Intervals!$H30,0)</f>
        <v>10</v>
      </c>
      <c r="F30" s="475" t="s">
        <v>184</v>
      </c>
      <c r="G30" s="475" t="s">
        <v>185</v>
      </c>
      <c r="H30" s="476">
        <f>ROUND(4*(0.25+0.5+1)+2*1.5,1)</f>
        <v>10</v>
      </c>
      <c r="I30" s="477">
        <f>ROUND(H30/(elements_pace_intervals*60*24),2)</f>
        <v>3.23</v>
      </c>
      <c r="J30" s="475" t="s">
        <v>183</v>
      </c>
      <c r="K30" s="478">
        <f>Intervals!$H30</f>
        <v>10</v>
      </c>
      <c r="L30" s="479" t="str">
        <f t="shared" si="5"/>
        <v>Efforts of: 1:30 x2, 1:00 x4, 0:30 x4, 0:15 x4
And recoveries of: Equal duration to previous effort at a STEADY pace</v>
      </c>
    </row>
    <row r="31" spans="2:12" ht="71.25" hidden="1" x14ac:dyDescent="0.45">
      <c r="B31" s="1671"/>
      <c r="C31" s="1678"/>
      <c r="D31" s="1678"/>
      <c r="E31" s="474">
        <f>ROUND(Intervals!$H31,0)</f>
        <v>13</v>
      </c>
      <c r="F31" s="475" t="s">
        <v>186</v>
      </c>
      <c r="G31" s="475" t="s">
        <v>187</v>
      </c>
      <c r="H31" s="476">
        <f>ROUND(4*(0.25+0.5+1+1.5),1)</f>
        <v>13</v>
      </c>
      <c r="I31" s="477">
        <f>ROUND(H31/(elements_pace_intervals*60*24),2)</f>
        <v>4.2</v>
      </c>
      <c r="J31" s="475" t="s">
        <v>183</v>
      </c>
      <c r="K31" s="478">
        <f>Intervals!$H31</f>
        <v>13</v>
      </c>
      <c r="L31" s="479" t="str">
        <f t="shared" si="5"/>
        <v>Efforts of: 1:30 x4, 1:00 x4, 0:30 x4, 0:15 x4
And recoveries of: Equal duration to previous effort at a STEADY pace</v>
      </c>
    </row>
    <row r="32" spans="2:12" ht="28.5" hidden="1" x14ac:dyDescent="0.45">
      <c r="B32" s="1671"/>
      <c r="C32" s="1662" t="s">
        <v>514</v>
      </c>
      <c r="D32" s="1661" t="s">
        <v>511</v>
      </c>
      <c r="E32" s="480">
        <f>ROUND(Intervals!$H32,0)</f>
        <v>2</v>
      </c>
      <c r="F32" s="481" t="s">
        <v>188</v>
      </c>
      <c r="G32" s="481" t="s">
        <v>188</v>
      </c>
      <c r="H32" s="482">
        <f t="shared" ref="H32:H43" si="6">ROUND(I32*60*24*elements_pace_intervals,1)</f>
        <v>1.5</v>
      </c>
      <c r="I32" s="483">
        <f>0.5*1</f>
        <v>0.5</v>
      </c>
      <c r="J32" s="481" t="s">
        <v>189</v>
      </c>
      <c r="K32" s="484">
        <v>0</v>
      </c>
      <c r="L32" s="485" t="str">
        <f t="shared" si="5"/>
        <v>Efforts of: 500m x1
And recoveries of: 1 minute</v>
      </c>
    </row>
    <row r="33" spans="2:12" ht="28.5" hidden="1" x14ac:dyDescent="0.45">
      <c r="B33" s="1671"/>
      <c r="C33" s="1662"/>
      <c r="D33" s="1662"/>
      <c r="E33" s="480">
        <f>ROUND(Intervals!$H33,0)</f>
        <v>3</v>
      </c>
      <c r="F33" s="481" t="s">
        <v>190</v>
      </c>
      <c r="G33" s="475" t="s">
        <v>190</v>
      </c>
      <c r="H33" s="482">
        <f t="shared" si="6"/>
        <v>3.1</v>
      </c>
      <c r="I33" s="477">
        <f>0.5*2</f>
        <v>1</v>
      </c>
      <c r="J33" s="481" t="s">
        <v>189</v>
      </c>
      <c r="K33" s="484">
        <v>1</v>
      </c>
      <c r="L33" s="485" t="str">
        <f t="shared" ref="L33:L43" si="7">CONCATENATE("Efforts of: ",G33,"
And recoveries of: ", J33)</f>
        <v>Efforts of: 500m x2
And recoveries of: 1 minute</v>
      </c>
    </row>
    <row r="34" spans="2:12" ht="28.5" hidden="1" x14ac:dyDescent="0.45">
      <c r="B34" s="1671"/>
      <c r="C34" s="1662"/>
      <c r="D34" s="1662"/>
      <c r="E34" s="480">
        <f>ROUND(Intervals!$H34,0)</f>
        <v>5</v>
      </c>
      <c r="F34" s="481" t="s">
        <v>191</v>
      </c>
      <c r="G34" s="475" t="s">
        <v>191</v>
      </c>
      <c r="H34" s="482">
        <f t="shared" si="6"/>
        <v>4.5999999999999996</v>
      </c>
      <c r="I34" s="477">
        <f>0.5*3</f>
        <v>1.5</v>
      </c>
      <c r="J34" s="481" t="s">
        <v>189</v>
      </c>
      <c r="K34" s="484">
        <v>2</v>
      </c>
      <c r="L34" s="485" t="str">
        <f t="shared" si="7"/>
        <v>Efforts of: 500m x3
And recoveries of: 1 minute</v>
      </c>
    </row>
    <row r="35" spans="2:12" ht="28.5" hidden="1" x14ac:dyDescent="0.45">
      <c r="B35" s="1671"/>
      <c r="C35" s="1662"/>
      <c r="D35" s="1662"/>
      <c r="E35" s="480">
        <f>ROUND(Intervals!$H35,0)</f>
        <v>6</v>
      </c>
      <c r="F35" s="481" t="s">
        <v>192</v>
      </c>
      <c r="G35" s="481" t="s">
        <v>192</v>
      </c>
      <c r="H35" s="482">
        <f t="shared" si="6"/>
        <v>6.2</v>
      </c>
      <c r="I35" s="483">
        <f>0.5*4</f>
        <v>2</v>
      </c>
      <c r="J35" s="481" t="s">
        <v>189</v>
      </c>
      <c r="K35" s="484">
        <v>3</v>
      </c>
      <c r="L35" s="485" t="str">
        <f t="shared" si="7"/>
        <v>Efforts of: 500m x4
And recoveries of: 1 minute</v>
      </c>
    </row>
    <row r="36" spans="2:12" ht="30" hidden="1" customHeight="1" x14ac:dyDescent="0.45">
      <c r="B36" s="1671"/>
      <c r="C36" s="1662"/>
      <c r="D36" s="1662"/>
      <c r="E36" s="480">
        <f>ROUND(Intervals!$H36,0)</f>
        <v>8</v>
      </c>
      <c r="F36" s="481" t="s">
        <v>193</v>
      </c>
      <c r="G36" s="475" t="s">
        <v>193</v>
      </c>
      <c r="H36" s="482">
        <f t="shared" si="6"/>
        <v>7.7</v>
      </c>
      <c r="I36" s="477">
        <f>0.5*5</f>
        <v>2.5</v>
      </c>
      <c r="J36" s="481" t="s">
        <v>189</v>
      </c>
      <c r="K36" s="484">
        <v>4</v>
      </c>
      <c r="L36" s="485" t="str">
        <f t="shared" si="7"/>
        <v>Efforts of: 500m x5
And recoveries of: 1 minute</v>
      </c>
    </row>
    <row r="37" spans="2:12" ht="28.5" hidden="1" x14ac:dyDescent="0.45">
      <c r="B37" s="1671"/>
      <c r="C37" s="1662"/>
      <c r="D37" s="1662"/>
      <c r="E37" s="474">
        <f>ROUND(Intervals!$H37,0)</f>
        <v>9</v>
      </c>
      <c r="F37" s="481" t="s">
        <v>194</v>
      </c>
      <c r="G37" s="475" t="s">
        <v>194</v>
      </c>
      <c r="H37" s="482">
        <f t="shared" si="6"/>
        <v>9.3000000000000007</v>
      </c>
      <c r="I37" s="477">
        <f>0.5*6</f>
        <v>3</v>
      </c>
      <c r="J37" s="481" t="s">
        <v>189</v>
      </c>
      <c r="K37" s="478">
        <v>5</v>
      </c>
      <c r="L37" s="485" t="str">
        <f t="shared" si="7"/>
        <v>Efforts of: 500m x6
And recoveries of: 1 minute</v>
      </c>
    </row>
    <row r="38" spans="2:12" ht="28.5" hidden="1" x14ac:dyDescent="0.45">
      <c r="B38" s="1671"/>
      <c r="C38" s="1662"/>
      <c r="D38" s="1662"/>
      <c r="E38" s="480">
        <f>ROUND(Intervals!$H38,0)</f>
        <v>11</v>
      </c>
      <c r="F38" s="481" t="s">
        <v>195</v>
      </c>
      <c r="G38" s="481" t="s">
        <v>195</v>
      </c>
      <c r="H38" s="482">
        <f t="shared" si="6"/>
        <v>10.8</v>
      </c>
      <c r="I38" s="483">
        <f>0.5*7</f>
        <v>3.5</v>
      </c>
      <c r="J38" s="481" t="s">
        <v>189</v>
      </c>
      <c r="K38" s="484">
        <v>6</v>
      </c>
      <c r="L38" s="485" t="str">
        <f t="shared" si="7"/>
        <v>Efforts of: 500m x7
And recoveries of: 1 minute</v>
      </c>
    </row>
    <row r="39" spans="2:12" ht="28.5" hidden="1" x14ac:dyDescent="0.45">
      <c r="B39" s="1671"/>
      <c r="C39" s="1662"/>
      <c r="D39" s="1662"/>
      <c r="E39" s="474">
        <f>ROUND(Intervals!$H39,0)</f>
        <v>12</v>
      </c>
      <c r="F39" s="481" t="s">
        <v>196</v>
      </c>
      <c r="G39" s="475" t="s">
        <v>196</v>
      </c>
      <c r="H39" s="482">
        <f t="shared" si="6"/>
        <v>12.4</v>
      </c>
      <c r="I39" s="477">
        <f>0.5*8</f>
        <v>4</v>
      </c>
      <c r="J39" s="481" t="s">
        <v>189</v>
      </c>
      <c r="K39" s="478">
        <v>7</v>
      </c>
      <c r="L39" s="485" t="str">
        <f t="shared" si="7"/>
        <v>Efforts of: 500m x8
And recoveries of: 1 minute</v>
      </c>
    </row>
    <row r="40" spans="2:12" ht="28.5" hidden="1" x14ac:dyDescent="0.45">
      <c r="B40" s="1671"/>
      <c r="C40" s="1662"/>
      <c r="D40" s="1662"/>
      <c r="E40" s="480">
        <f>ROUND(Intervals!$H40,0)</f>
        <v>14</v>
      </c>
      <c r="F40" s="481" t="s">
        <v>197</v>
      </c>
      <c r="G40" s="481" t="s">
        <v>197</v>
      </c>
      <c r="H40" s="482">
        <f t="shared" si="6"/>
        <v>13.9</v>
      </c>
      <c r="I40" s="483">
        <f>0.5*9</f>
        <v>4.5</v>
      </c>
      <c r="J40" s="481" t="s">
        <v>189</v>
      </c>
      <c r="K40" s="484">
        <v>8</v>
      </c>
      <c r="L40" s="485" t="str">
        <f t="shared" si="7"/>
        <v>Efforts of: 500m x9
And recoveries of: 1 minute</v>
      </c>
    </row>
    <row r="41" spans="2:12" ht="28.5" hidden="1" x14ac:dyDescent="0.45">
      <c r="B41" s="1671"/>
      <c r="C41" s="1662"/>
      <c r="D41" s="1662"/>
      <c r="E41" s="474">
        <f>ROUND(Intervals!$H41,0)</f>
        <v>16</v>
      </c>
      <c r="F41" s="481" t="s">
        <v>198</v>
      </c>
      <c r="G41" s="475" t="s">
        <v>198</v>
      </c>
      <c r="H41" s="482">
        <f t="shared" si="6"/>
        <v>15.5</v>
      </c>
      <c r="I41" s="477">
        <f>0.5*10</f>
        <v>5</v>
      </c>
      <c r="J41" s="481" t="s">
        <v>189</v>
      </c>
      <c r="K41" s="478">
        <v>9</v>
      </c>
      <c r="L41" s="485" t="str">
        <f t="shared" si="7"/>
        <v>Efforts of: 500m x10
And recoveries of: 1 minute</v>
      </c>
    </row>
    <row r="42" spans="2:12" ht="28.5" hidden="1" x14ac:dyDescent="0.45">
      <c r="B42" s="1671"/>
      <c r="C42" s="1662"/>
      <c r="D42" s="1662"/>
      <c r="E42" s="480">
        <f>ROUND(Intervals!$H42,0)</f>
        <v>17</v>
      </c>
      <c r="F42" s="481" t="s">
        <v>199</v>
      </c>
      <c r="G42" s="481" t="s">
        <v>199</v>
      </c>
      <c r="H42" s="482">
        <f t="shared" si="6"/>
        <v>17</v>
      </c>
      <c r="I42" s="483">
        <f>0.5*11</f>
        <v>5.5</v>
      </c>
      <c r="J42" s="481" t="s">
        <v>189</v>
      </c>
      <c r="K42" s="484">
        <v>10</v>
      </c>
      <c r="L42" s="485" t="str">
        <f t="shared" si="7"/>
        <v>Efforts of: 500m x11
And recoveries of: 1 minute</v>
      </c>
    </row>
    <row r="43" spans="2:12" ht="28.5" hidden="1" x14ac:dyDescent="0.45">
      <c r="B43" s="1671"/>
      <c r="C43" s="1663"/>
      <c r="D43" s="1663"/>
      <c r="E43" s="474">
        <f>ROUND(Intervals!$H43,0)</f>
        <v>19</v>
      </c>
      <c r="F43" s="481" t="s">
        <v>200</v>
      </c>
      <c r="G43" s="475" t="s">
        <v>200</v>
      </c>
      <c r="H43" s="482">
        <f t="shared" si="6"/>
        <v>18.600000000000001</v>
      </c>
      <c r="I43" s="477">
        <f>0.5*12</f>
        <v>6</v>
      </c>
      <c r="J43" s="481" t="s">
        <v>189</v>
      </c>
      <c r="K43" s="478">
        <v>11</v>
      </c>
      <c r="L43" s="485" t="str">
        <f t="shared" si="7"/>
        <v>Efforts of: 500m x12
And recoveries of: 1 minute</v>
      </c>
    </row>
    <row r="44" spans="2:12" ht="28.5" hidden="1" x14ac:dyDescent="0.45">
      <c r="B44" s="1671"/>
      <c r="C44" s="1662" t="s">
        <v>515</v>
      </c>
      <c r="D44" s="1661" t="s">
        <v>512</v>
      </c>
      <c r="E44" s="480">
        <f>ROUND(Intervals!$H44,0)</f>
        <v>2</v>
      </c>
      <c r="F44" s="481" t="s">
        <v>188</v>
      </c>
      <c r="G44" s="481" t="s">
        <v>188</v>
      </c>
      <c r="H44" s="482">
        <f t="shared" ref="H44:H55" si="8">ROUND(I44*60*24*elements_pace_intervals,1)</f>
        <v>1.5</v>
      </c>
      <c r="I44" s="483">
        <f>0.5*1</f>
        <v>0.5</v>
      </c>
      <c r="J44" s="481" t="s">
        <v>513</v>
      </c>
      <c r="K44" s="484">
        <v>0</v>
      </c>
      <c r="L44" s="485" t="str">
        <f>CONCATENATE("Efforts of: ",G44,"
And recoveries of: ", J44)</f>
        <v>Efforts of: 500m x1
And recoveries of: 30 seconds</v>
      </c>
    </row>
    <row r="45" spans="2:12" ht="28.5" hidden="1" x14ac:dyDescent="0.45">
      <c r="B45" s="1671"/>
      <c r="C45" s="1662"/>
      <c r="D45" s="1662"/>
      <c r="E45" s="480">
        <f>ROUND(Intervals!$H45,0)</f>
        <v>3</v>
      </c>
      <c r="F45" s="481" t="s">
        <v>190</v>
      </c>
      <c r="G45" s="475" t="s">
        <v>190</v>
      </c>
      <c r="H45" s="482">
        <f t="shared" si="8"/>
        <v>3.1</v>
      </c>
      <c r="I45" s="477">
        <f>0.5*2</f>
        <v>1</v>
      </c>
      <c r="J45" s="481" t="s">
        <v>513</v>
      </c>
      <c r="K45" s="484">
        <v>1</v>
      </c>
      <c r="L45" s="485" t="str">
        <f t="shared" ref="L45:L55" si="9">CONCATENATE("Efforts of: ",G45,"
And recoveries of: ", J45)</f>
        <v>Efforts of: 500m x2
And recoveries of: 30 seconds</v>
      </c>
    </row>
    <row r="46" spans="2:12" ht="28.5" hidden="1" x14ac:dyDescent="0.45">
      <c r="B46" s="1671"/>
      <c r="C46" s="1662"/>
      <c r="D46" s="1662"/>
      <c r="E46" s="480">
        <f>ROUND(Intervals!$H46,0)</f>
        <v>5</v>
      </c>
      <c r="F46" s="481" t="s">
        <v>191</v>
      </c>
      <c r="G46" s="475" t="s">
        <v>191</v>
      </c>
      <c r="H46" s="482">
        <f t="shared" si="8"/>
        <v>4.5999999999999996</v>
      </c>
      <c r="I46" s="477">
        <f>0.5*3</f>
        <v>1.5</v>
      </c>
      <c r="J46" s="481" t="s">
        <v>513</v>
      </c>
      <c r="K46" s="484">
        <v>2</v>
      </c>
      <c r="L46" s="485" t="str">
        <f t="shared" si="9"/>
        <v>Efforts of: 500m x3
And recoveries of: 30 seconds</v>
      </c>
    </row>
    <row r="47" spans="2:12" ht="28.5" hidden="1" x14ac:dyDescent="0.45">
      <c r="B47" s="1671"/>
      <c r="C47" s="1662"/>
      <c r="D47" s="1662"/>
      <c r="E47" s="480">
        <f>ROUND(Intervals!$H47,0)</f>
        <v>6</v>
      </c>
      <c r="F47" s="481" t="s">
        <v>192</v>
      </c>
      <c r="G47" s="481" t="s">
        <v>192</v>
      </c>
      <c r="H47" s="482">
        <f t="shared" si="8"/>
        <v>6.2</v>
      </c>
      <c r="I47" s="483">
        <f>0.5*4</f>
        <v>2</v>
      </c>
      <c r="J47" s="481" t="s">
        <v>513</v>
      </c>
      <c r="K47" s="484">
        <v>3</v>
      </c>
      <c r="L47" s="485" t="str">
        <f t="shared" si="9"/>
        <v>Efforts of: 500m x4
And recoveries of: 30 seconds</v>
      </c>
    </row>
    <row r="48" spans="2:12" ht="30" hidden="1" customHeight="1" x14ac:dyDescent="0.45">
      <c r="B48" s="1671"/>
      <c r="C48" s="1662"/>
      <c r="D48" s="1662"/>
      <c r="E48" s="480">
        <f>ROUND(Intervals!$H48,0)</f>
        <v>8</v>
      </c>
      <c r="F48" s="481" t="s">
        <v>193</v>
      </c>
      <c r="G48" s="475" t="s">
        <v>193</v>
      </c>
      <c r="H48" s="482">
        <f t="shared" si="8"/>
        <v>7.7</v>
      </c>
      <c r="I48" s="477">
        <f>0.5*5</f>
        <v>2.5</v>
      </c>
      <c r="J48" s="481" t="s">
        <v>513</v>
      </c>
      <c r="K48" s="484">
        <v>4</v>
      </c>
      <c r="L48" s="485" t="str">
        <f t="shared" si="9"/>
        <v>Efforts of: 500m x5
And recoveries of: 30 seconds</v>
      </c>
    </row>
    <row r="49" spans="2:13" ht="28.5" hidden="1" x14ac:dyDescent="0.45">
      <c r="B49" s="1671"/>
      <c r="C49" s="1662"/>
      <c r="D49" s="1662"/>
      <c r="E49" s="474">
        <f>ROUND(Intervals!$H49,0)</f>
        <v>9</v>
      </c>
      <c r="F49" s="481" t="s">
        <v>194</v>
      </c>
      <c r="G49" s="475" t="s">
        <v>194</v>
      </c>
      <c r="H49" s="482">
        <f t="shared" si="8"/>
        <v>9.3000000000000007</v>
      </c>
      <c r="I49" s="477">
        <f>0.5*6</f>
        <v>3</v>
      </c>
      <c r="J49" s="481" t="s">
        <v>513</v>
      </c>
      <c r="K49" s="478">
        <v>5</v>
      </c>
      <c r="L49" s="485" t="str">
        <f t="shared" si="9"/>
        <v>Efforts of: 500m x6
And recoveries of: 30 seconds</v>
      </c>
    </row>
    <row r="50" spans="2:13" ht="28.5" hidden="1" x14ac:dyDescent="0.45">
      <c r="B50" s="1671"/>
      <c r="C50" s="1662"/>
      <c r="D50" s="1662"/>
      <c r="E50" s="480">
        <f>ROUND(Intervals!$H50,0)</f>
        <v>11</v>
      </c>
      <c r="F50" s="481" t="s">
        <v>195</v>
      </c>
      <c r="G50" s="481" t="s">
        <v>195</v>
      </c>
      <c r="H50" s="482">
        <f>ROUND(I50*60*24*elements_pace_intervals,1)</f>
        <v>10.8</v>
      </c>
      <c r="I50" s="483">
        <f>0.5*7</f>
        <v>3.5</v>
      </c>
      <c r="J50" s="481" t="s">
        <v>513</v>
      </c>
      <c r="K50" s="484">
        <v>6</v>
      </c>
      <c r="L50" s="485" t="str">
        <f t="shared" si="9"/>
        <v>Efforts of: 500m x7
And recoveries of: 30 seconds</v>
      </c>
      <c r="M50" s="1023"/>
    </row>
    <row r="51" spans="2:13" ht="28.5" hidden="1" x14ac:dyDescent="0.45">
      <c r="B51" s="1671"/>
      <c r="C51" s="1662"/>
      <c r="D51" s="1662"/>
      <c r="E51" s="474">
        <f>ROUND(Intervals!$H51,0)</f>
        <v>12</v>
      </c>
      <c r="F51" s="481" t="s">
        <v>196</v>
      </c>
      <c r="G51" s="475" t="s">
        <v>196</v>
      </c>
      <c r="H51" s="482">
        <f t="shared" si="8"/>
        <v>12.4</v>
      </c>
      <c r="I51" s="477">
        <f>0.5*8</f>
        <v>4</v>
      </c>
      <c r="J51" s="481" t="s">
        <v>513</v>
      </c>
      <c r="K51" s="478">
        <v>7</v>
      </c>
      <c r="L51" s="485" t="str">
        <f t="shared" si="9"/>
        <v>Efforts of: 500m x8
And recoveries of: 30 seconds</v>
      </c>
    </row>
    <row r="52" spans="2:13" ht="28.5" hidden="1" x14ac:dyDescent="0.45">
      <c r="B52" s="1671"/>
      <c r="C52" s="1662"/>
      <c r="D52" s="1662"/>
      <c r="E52" s="480">
        <f>ROUND(Intervals!$H52,0)</f>
        <v>14</v>
      </c>
      <c r="F52" s="481" t="s">
        <v>197</v>
      </c>
      <c r="G52" s="481" t="s">
        <v>197</v>
      </c>
      <c r="H52" s="482">
        <f t="shared" si="8"/>
        <v>13.9</v>
      </c>
      <c r="I52" s="483">
        <f>0.5*9</f>
        <v>4.5</v>
      </c>
      <c r="J52" s="481" t="s">
        <v>513</v>
      </c>
      <c r="K52" s="484">
        <v>8</v>
      </c>
      <c r="L52" s="485" t="str">
        <f t="shared" si="9"/>
        <v>Efforts of: 500m x9
And recoveries of: 30 seconds</v>
      </c>
    </row>
    <row r="53" spans="2:13" ht="28.5" hidden="1" x14ac:dyDescent="0.45">
      <c r="B53" s="1671"/>
      <c r="C53" s="1662"/>
      <c r="D53" s="1662"/>
      <c r="E53" s="474">
        <f>ROUND(Intervals!$H53,0)</f>
        <v>16</v>
      </c>
      <c r="F53" s="481" t="s">
        <v>198</v>
      </c>
      <c r="G53" s="475" t="s">
        <v>198</v>
      </c>
      <c r="H53" s="482">
        <f t="shared" si="8"/>
        <v>15.5</v>
      </c>
      <c r="I53" s="477">
        <f>0.5*10</f>
        <v>5</v>
      </c>
      <c r="J53" s="481" t="s">
        <v>513</v>
      </c>
      <c r="K53" s="478">
        <v>9</v>
      </c>
      <c r="L53" s="485" t="str">
        <f t="shared" si="9"/>
        <v>Efforts of: 500m x10
And recoveries of: 30 seconds</v>
      </c>
    </row>
    <row r="54" spans="2:13" ht="28.5" hidden="1" x14ac:dyDescent="0.45">
      <c r="B54" s="1671"/>
      <c r="C54" s="1662"/>
      <c r="D54" s="1662"/>
      <c r="E54" s="480">
        <f>ROUND(Intervals!$H54,0)</f>
        <v>17</v>
      </c>
      <c r="F54" s="481" t="s">
        <v>199</v>
      </c>
      <c r="G54" s="481" t="s">
        <v>199</v>
      </c>
      <c r="H54" s="482">
        <f t="shared" si="8"/>
        <v>17</v>
      </c>
      <c r="I54" s="483">
        <f>0.5*11</f>
        <v>5.5</v>
      </c>
      <c r="J54" s="481" t="s">
        <v>513</v>
      </c>
      <c r="K54" s="484">
        <v>10</v>
      </c>
      <c r="L54" s="485" t="str">
        <f t="shared" si="9"/>
        <v>Efforts of: 500m x11
And recoveries of: 30 seconds</v>
      </c>
    </row>
    <row r="55" spans="2:13" ht="28.5" hidden="1" x14ac:dyDescent="0.45">
      <c r="B55" s="1671"/>
      <c r="C55" s="1663"/>
      <c r="D55" s="1663"/>
      <c r="E55" s="474">
        <f>ROUND(Intervals!$H55,0)</f>
        <v>19</v>
      </c>
      <c r="F55" s="481" t="s">
        <v>200</v>
      </c>
      <c r="G55" s="475" t="s">
        <v>200</v>
      </c>
      <c r="H55" s="482">
        <f t="shared" si="8"/>
        <v>18.600000000000001</v>
      </c>
      <c r="I55" s="477">
        <f>0.5*12</f>
        <v>6</v>
      </c>
      <c r="J55" s="481" t="s">
        <v>513</v>
      </c>
      <c r="K55" s="478">
        <v>11</v>
      </c>
      <c r="L55" s="485" t="str">
        <f t="shared" si="9"/>
        <v>Efforts of: 500m x12
And recoveries of: 30 seconds</v>
      </c>
    </row>
    <row r="56" spans="2:13" ht="28.5" hidden="1" x14ac:dyDescent="0.45">
      <c r="B56" s="1671"/>
      <c r="C56" s="1661" t="s">
        <v>516</v>
      </c>
      <c r="D56" s="1661" t="s">
        <v>518</v>
      </c>
      <c r="E56" s="480">
        <f>ROUND(Intervals!$H56,0)</f>
        <v>3</v>
      </c>
      <c r="F56" s="481" t="s">
        <v>201</v>
      </c>
      <c r="G56" s="481" t="s">
        <v>201</v>
      </c>
      <c r="H56" s="482">
        <f t="shared" ref="H56:H96" si="10">ROUND(I56*60*24*elements_pace_intervals,1)</f>
        <v>3.1</v>
      </c>
      <c r="I56" s="483">
        <f>1*1</f>
        <v>1</v>
      </c>
      <c r="J56" s="481" t="s">
        <v>202</v>
      </c>
      <c r="K56" s="478">
        <v>0</v>
      </c>
      <c r="L56" s="485" t="str">
        <f t="shared" ref="L56:L61" si="11">CONCATENATE("Efforts of: ",G56,"
And recoveries of: ", J56)</f>
        <v>Efforts of: 1km x1
And recoveries of: 2 minutes</v>
      </c>
    </row>
    <row r="57" spans="2:13" ht="28.5" hidden="1" x14ac:dyDescent="0.45">
      <c r="B57" s="1671"/>
      <c r="C57" s="1662"/>
      <c r="D57" s="1662"/>
      <c r="E57" s="480">
        <f>ROUND(Intervals!$H57,0)</f>
        <v>6</v>
      </c>
      <c r="F57" s="481" t="s">
        <v>203</v>
      </c>
      <c r="G57" s="481" t="s">
        <v>203</v>
      </c>
      <c r="H57" s="482">
        <f t="shared" si="10"/>
        <v>6.2</v>
      </c>
      <c r="I57" s="483">
        <f>1*2</f>
        <v>2</v>
      </c>
      <c r="J57" s="481" t="s">
        <v>202</v>
      </c>
      <c r="K57" s="484">
        <f>2*1</f>
        <v>2</v>
      </c>
      <c r="L57" s="485" t="str">
        <f t="shared" si="11"/>
        <v>Efforts of: 1km x2
And recoveries of: 2 minutes</v>
      </c>
    </row>
    <row r="58" spans="2:13" ht="30" hidden="1" customHeight="1" x14ac:dyDescent="0.45">
      <c r="B58" s="1671"/>
      <c r="C58" s="1662"/>
      <c r="D58" s="1662"/>
      <c r="E58" s="480">
        <f>ROUND(Intervals!$H58,0)</f>
        <v>9</v>
      </c>
      <c r="F58" s="481" t="s">
        <v>204</v>
      </c>
      <c r="G58" s="481" t="s">
        <v>204</v>
      </c>
      <c r="H58" s="482">
        <f t="shared" si="10"/>
        <v>9.3000000000000007</v>
      </c>
      <c r="I58" s="483">
        <f>1*3</f>
        <v>3</v>
      </c>
      <c r="J58" s="481" t="s">
        <v>202</v>
      </c>
      <c r="K58" s="484">
        <f>2*2</f>
        <v>4</v>
      </c>
      <c r="L58" s="485" t="str">
        <f t="shared" si="11"/>
        <v>Efforts of: 1km x3
And recoveries of: 2 minutes</v>
      </c>
    </row>
    <row r="59" spans="2:13" ht="28.5" hidden="1" x14ac:dyDescent="0.45">
      <c r="B59" s="1671"/>
      <c r="C59" s="1662"/>
      <c r="D59" s="1662"/>
      <c r="E59" s="474">
        <f>ROUND(Intervals!$H59,0)</f>
        <v>12</v>
      </c>
      <c r="F59" s="475" t="s">
        <v>205</v>
      </c>
      <c r="G59" s="475" t="s">
        <v>205</v>
      </c>
      <c r="H59" s="482">
        <f t="shared" si="10"/>
        <v>12.4</v>
      </c>
      <c r="I59" s="477">
        <f>1*4</f>
        <v>4</v>
      </c>
      <c r="J59" s="481" t="s">
        <v>202</v>
      </c>
      <c r="K59" s="478">
        <f>2*3</f>
        <v>6</v>
      </c>
      <c r="L59" s="485" t="str">
        <f t="shared" si="11"/>
        <v>Efforts of: 1km x4
And recoveries of: 2 minutes</v>
      </c>
    </row>
    <row r="60" spans="2:13" ht="28.5" hidden="1" x14ac:dyDescent="0.45">
      <c r="B60" s="1671"/>
      <c r="C60" s="1662"/>
      <c r="D60" s="1662"/>
      <c r="E60" s="480">
        <f>ROUND(Intervals!$H60,0)</f>
        <v>16</v>
      </c>
      <c r="F60" s="481" t="s">
        <v>206</v>
      </c>
      <c r="G60" s="481" t="s">
        <v>206</v>
      </c>
      <c r="H60" s="482">
        <f t="shared" si="10"/>
        <v>15.5</v>
      </c>
      <c r="I60" s="483">
        <f>1*5</f>
        <v>5</v>
      </c>
      <c r="J60" s="481" t="s">
        <v>202</v>
      </c>
      <c r="K60" s="484">
        <f>2*4</f>
        <v>8</v>
      </c>
      <c r="L60" s="485" t="str">
        <f t="shared" si="11"/>
        <v>Efforts of: 1km x5
And recoveries of: 2 minutes</v>
      </c>
    </row>
    <row r="61" spans="2:13" ht="28.5" hidden="1" x14ac:dyDescent="0.45">
      <c r="B61" s="1671"/>
      <c r="C61" s="1663"/>
      <c r="D61" s="1663"/>
      <c r="E61" s="474">
        <f>ROUND(Intervals!$H61,0)</f>
        <v>19</v>
      </c>
      <c r="F61" s="475" t="s">
        <v>207</v>
      </c>
      <c r="G61" s="475" t="s">
        <v>207</v>
      </c>
      <c r="H61" s="482">
        <f t="shared" si="10"/>
        <v>18.600000000000001</v>
      </c>
      <c r="I61" s="477">
        <f>1*6</f>
        <v>6</v>
      </c>
      <c r="J61" s="481" t="s">
        <v>202</v>
      </c>
      <c r="K61" s="478">
        <f>2*5</f>
        <v>10</v>
      </c>
      <c r="L61" s="485" t="str">
        <f t="shared" si="11"/>
        <v>Efforts of: 1km x6
And recoveries of: 2 minutes</v>
      </c>
    </row>
    <row r="62" spans="2:13" ht="28.5" hidden="1" x14ac:dyDescent="0.45">
      <c r="B62" s="1671"/>
      <c r="C62" s="1661" t="s">
        <v>517</v>
      </c>
      <c r="D62" s="1661" t="s">
        <v>519</v>
      </c>
      <c r="E62" s="480">
        <f>ROUND(Intervals!$H62,0)</f>
        <v>3</v>
      </c>
      <c r="F62" s="481" t="s">
        <v>201</v>
      </c>
      <c r="G62" s="481" t="s">
        <v>201</v>
      </c>
      <c r="H62" s="482">
        <f t="shared" ref="H62:H67" si="12">ROUND(I62*60*24*elements_pace_intervals,1)</f>
        <v>3.1</v>
      </c>
      <c r="I62" s="483">
        <f>1*1</f>
        <v>1</v>
      </c>
      <c r="J62" s="481" t="s">
        <v>520</v>
      </c>
      <c r="K62" s="478">
        <v>0</v>
      </c>
      <c r="L62" s="485" t="str">
        <f t="shared" ref="L62:L67" si="13">CONCATENATE("Efforts of: ",G62,"
And recoveries of: ", J62)</f>
        <v>Efforts of: 1km x1
And recoveries of: 1 minutes</v>
      </c>
    </row>
    <row r="63" spans="2:13" ht="28.5" hidden="1" x14ac:dyDescent="0.45">
      <c r="B63" s="1671"/>
      <c r="C63" s="1662"/>
      <c r="D63" s="1662"/>
      <c r="E63" s="1548">
        <v>8</v>
      </c>
      <c r="F63" s="481" t="s">
        <v>203</v>
      </c>
      <c r="G63" s="481" t="s">
        <v>203</v>
      </c>
      <c r="H63" s="482">
        <f t="shared" si="12"/>
        <v>6.2</v>
      </c>
      <c r="I63" s="483">
        <f>1*2</f>
        <v>2</v>
      </c>
      <c r="J63" s="481" t="s">
        <v>520</v>
      </c>
      <c r="K63" s="484">
        <f>1*1</f>
        <v>1</v>
      </c>
      <c r="L63" s="485" t="str">
        <f t="shared" si="13"/>
        <v>Efforts of: 1km x2
And recoveries of: 1 minutes</v>
      </c>
    </row>
    <row r="64" spans="2:13" ht="28.5" hidden="1" x14ac:dyDescent="0.45">
      <c r="B64" s="1671"/>
      <c r="C64" s="1662"/>
      <c r="D64" s="1662"/>
      <c r="E64" s="480">
        <f>ROUND(Intervals!$H64,0)</f>
        <v>9</v>
      </c>
      <c r="F64" s="481" t="s">
        <v>204</v>
      </c>
      <c r="G64" s="481" t="s">
        <v>204</v>
      </c>
      <c r="H64" s="482">
        <f t="shared" si="12"/>
        <v>9.3000000000000007</v>
      </c>
      <c r="I64" s="483">
        <f>1*3</f>
        <v>3</v>
      </c>
      <c r="J64" s="481" t="s">
        <v>520</v>
      </c>
      <c r="K64" s="484">
        <f>2*1</f>
        <v>2</v>
      </c>
      <c r="L64" s="485" t="str">
        <f t="shared" si="13"/>
        <v>Efforts of: 1km x3
And recoveries of: 1 minutes</v>
      </c>
    </row>
    <row r="65" spans="2:12" ht="28.5" hidden="1" x14ac:dyDescent="0.45">
      <c r="B65" s="1671"/>
      <c r="C65" s="1662"/>
      <c r="D65" s="1662"/>
      <c r="E65" s="474">
        <f>ROUND(Intervals!$H65,0)</f>
        <v>12</v>
      </c>
      <c r="F65" s="475" t="s">
        <v>205</v>
      </c>
      <c r="G65" s="475" t="s">
        <v>205</v>
      </c>
      <c r="H65" s="482">
        <f t="shared" si="12"/>
        <v>12.4</v>
      </c>
      <c r="I65" s="477">
        <f>1*4</f>
        <v>4</v>
      </c>
      <c r="J65" s="481" t="s">
        <v>520</v>
      </c>
      <c r="K65" s="484">
        <f>3*1</f>
        <v>3</v>
      </c>
      <c r="L65" s="485" t="str">
        <f t="shared" si="13"/>
        <v>Efforts of: 1km x4
And recoveries of: 1 minutes</v>
      </c>
    </row>
    <row r="66" spans="2:12" ht="28.5" hidden="1" x14ac:dyDescent="0.45">
      <c r="B66" s="1671"/>
      <c r="C66" s="1662"/>
      <c r="D66" s="1662"/>
      <c r="E66" s="480">
        <f>ROUND(Intervals!$H66,0)</f>
        <v>16</v>
      </c>
      <c r="F66" s="481" t="s">
        <v>206</v>
      </c>
      <c r="G66" s="481" t="s">
        <v>206</v>
      </c>
      <c r="H66" s="482">
        <f t="shared" si="12"/>
        <v>15.5</v>
      </c>
      <c r="I66" s="483">
        <f>1*5</f>
        <v>5</v>
      </c>
      <c r="J66" s="481" t="s">
        <v>520</v>
      </c>
      <c r="K66" s="484">
        <f>4*1</f>
        <v>4</v>
      </c>
      <c r="L66" s="485" t="str">
        <f t="shared" si="13"/>
        <v>Efforts of: 1km x5
And recoveries of: 1 minutes</v>
      </c>
    </row>
    <row r="67" spans="2:12" ht="28.5" hidden="1" x14ac:dyDescent="0.45">
      <c r="B67" s="1671"/>
      <c r="C67" s="1663"/>
      <c r="D67" s="1663"/>
      <c r="E67" s="474">
        <f>ROUND(Intervals!$H67,0)</f>
        <v>19</v>
      </c>
      <c r="F67" s="475" t="s">
        <v>207</v>
      </c>
      <c r="G67" s="475" t="s">
        <v>207</v>
      </c>
      <c r="H67" s="482">
        <f t="shared" si="12"/>
        <v>18.600000000000001</v>
      </c>
      <c r="I67" s="477">
        <f>1*6</f>
        <v>6</v>
      </c>
      <c r="J67" s="481" t="s">
        <v>520</v>
      </c>
      <c r="K67" s="484">
        <f>5*1</f>
        <v>5</v>
      </c>
      <c r="L67" s="485" t="str">
        <f t="shared" si="13"/>
        <v>Efforts of: 1km x6
And recoveries of: 1 minutes</v>
      </c>
    </row>
    <row r="68" spans="2:12" ht="28.5" hidden="1" x14ac:dyDescent="0.45">
      <c r="B68" s="1671"/>
      <c r="C68" s="1661" t="s">
        <v>527</v>
      </c>
      <c r="D68" s="1661" t="s">
        <v>523</v>
      </c>
      <c r="E68" s="480">
        <f>ROUND(Intervals!$H68,0)</f>
        <v>5</v>
      </c>
      <c r="F68" s="481" t="s">
        <v>208</v>
      </c>
      <c r="G68" s="481" t="s">
        <v>208</v>
      </c>
      <c r="H68" s="482">
        <f t="shared" si="10"/>
        <v>4.5999999999999996</v>
      </c>
      <c r="I68" s="483">
        <f>1.5*1</f>
        <v>1.5</v>
      </c>
      <c r="J68" s="481" t="s">
        <v>521</v>
      </c>
      <c r="K68" s="478">
        <f>3 *0</f>
        <v>0</v>
      </c>
      <c r="L68" s="485" t="str">
        <f t="shared" ref="L68:L88" si="14">CONCATENATE("Efforts of: ",G68,"
And recoveries of: ", J68)</f>
        <v>Efforts of: 1.5km x1
And recoveries of: 3 minutes</v>
      </c>
    </row>
    <row r="69" spans="2:12" ht="28.5" hidden="1" x14ac:dyDescent="0.45">
      <c r="B69" s="1671"/>
      <c r="C69" s="1662"/>
      <c r="D69" s="1662"/>
      <c r="E69" s="480">
        <f>ROUND(Intervals!$H69,0)</f>
        <v>9</v>
      </c>
      <c r="F69" s="481" t="s">
        <v>209</v>
      </c>
      <c r="G69" s="481" t="s">
        <v>209</v>
      </c>
      <c r="H69" s="482">
        <f t="shared" si="10"/>
        <v>9.3000000000000007</v>
      </c>
      <c r="I69" s="483">
        <f>1.5*2</f>
        <v>3</v>
      </c>
      <c r="J69" s="481" t="s">
        <v>521</v>
      </c>
      <c r="K69" s="478">
        <f>3 *1</f>
        <v>3</v>
      </c>
      <c r="L69" s="485" t="str">
        <f t="shared" si="14"/>
        <v>Efforts of: 1.5km x2
And recoveries of: 3 minutes</v>
      </c>
    </row>
    <row r="70" spans="2:12" ht="28.5" hidden="1" x14ac:dyDescent="0.45">
      <c r="B70" s="1671"/>
      <c r="C70" s="1662"/>
      <c r="D70" s="1662"/>
      <c r="E70" s="480">
        <f>ROUND(Intervals!$H70,0)</f>
        <v>14</v>
      </c>
      <c r="F70" s="481" t="s">
        <v>210</v>
      </c>
      <c r="G70" s="481" t="s">
        <v>210</v>
      </c>
      <c r="H70" s="482">
        <f t="shared" si="10"/>
        <v>13.9</v>
      </c>
      <c r="I70" s="483">
        <f>1.5*3</f>
        <v>4.5</v>
      </c>
      <c r="J70" s="481" t="s">
        <v>521</v>
      </c>
      <c r="K70" s="478">
        <f>2 *3</f>
        <v>6</v>
      </c>
      <c r="L70" s="485" t="str">
        <f t="shared" si="14"/>
        <v>Efforts of: 1.5km x3
And recoveries of: 3 minutes</v>
      </c>
    </row>
    <row r="71" spans="2:12" ht="28.5" hidden="1" x14ac:dyDescent="0.45">
      <c r="B71" s="1671"/>
      <c r="C71" s="1663"/>
      <c r="D71" s="1663"/>
      <c r="E71" s="480">
        <f>ROUND(Intervals!$H71,0)</f>
        <v>19</v>
      </c>
      <c r="F71" s="481" t="s">
        <v>211</v>
      </c>
      <c r="G71" s="481" t="s">
        <v>211</v>
      </c>
      <c r="H71" s="482">
        <f t="shared" si="10"/>
        <v>18.600000000000001</v>
      </c>
      <c r="I71" s="483">
        <f>1.5*4</f>
        <v>6</v>
      </c>
      <c r="J71" s="481" t="s">
        <v>521</v>
      </c>
      <c r="K71" s="478">
        <f>2 *4</f>
        <v>8</v>
      </c>
      <c r="L71" s="485" t="str">
        <f t="shared" si="14"/>
        <v>Efforts of: 1.5km x4
And recoveries of: 3 minutes</v>
      </c>
    </row>
    <row r="72" spans="2:12" ht="28.5" hidden="1" x14ac:dyDescent="0.45">
      <c r="B72" s="1671"/>
      <c r="C72" s="1661" t="s">
        <v>528</v>
      </c>
      <c r="D72" s="1661" t="s">
        <v>524</v>
      </c>
      <c r="E72" s="480">
        <f>ROUND(Intervals!$H72,0)</f>
        <v>5</v>
      </c>
      <c r="F72" s="481" t="s">
        <v>208</v>
      </c>
      <c r="G72" s="481" t="s">
        <v>208</v>
      </c>
      <c r="H72" s="482">
        <f t="shared" si="10"/>
        <v>4.5999999999999996</v>
      </c>
      <c r="I72" s="483">
        <f>1.5*1</f>
        <v>1.5</v>
      </c>
      <c r="J72" s="481" t="s">
        <v>522</v>
      </c>
      <c r="K72" s="478">
        <f>2 *0</f>
        <v>0</v>
      </c>
      <c r="L72" s="485" t="str">
        <f t="shared" si="14"/>
        <v>Efforts of: 1.5km x1
And recoveries of: 1.5 minutes</v>
      </c>
    </row>
    <row r="73" spans="2:12" ht="28.5" hidden="1" x14ac:dyDescent="0.45">
      <c r="B73" s="1671"/>
      <c r="C73" s="1662"/>
      <c r="D73" s="1662"/>
      <c r="E73" s="480">
        <f>ROUND(Intervals!$H73,0)</f>
        <v>9</v>
      </c>
      <c r="F73" s="481" t="s">
        <v>209</v>
      </c>
      <c r="G73" s="481" t="s">
        <v>209</v>
      </c>
      <c r="H73" s="482">
        <f t="shared" si="10"/>
        <v>9.3000000000000007</v>
      </c>
      <c r="I73" s="483">
        <f>1.5*2</f>
        <v>3</v>
      </c>
      <c r="J73" s="481" t="s">
        <v>522</v>
      </c>
      <c r="K73" s="478">
        <f>1.5 *1</f>
        <v>1.5</v>
      </c>
      <c r="L73" s="485" t="str">
        <f t="shared" si="14"/>
        <v>Efforts of: 1.5km x2
And recoveries of: 1.5 minutes</v>
      </c>
    </row>
    <row r="74" spans="2:12" ht="28.5" hidden="1" x14ac:dyDescent="0.45">
      <c r="B74" s="1671"/>
      <c r="C74" s="1662"/>
      <c r="D74" s="1662"/>
      <c r="E74" s="480">
        <f>ROUND(Intervals!$H74,0)</f>
        <v>14</v>
      </c>
      <c r="F74" s="481" t="s">
        <v>210</v>
      </c>
      <c r="G74" s="481" t="s">
        <v>210</v>
      </c>
      <c r="H74" s="482">
        <f t="shared" si="10"/>
        <v>13.9</v>
      </c>
      <c r="I74" s="483">
        <f>1.5*3</f>
        <v>4.5</v>
      </c>
      <c r="J74" s="481" t="s">
        <v>522</v>
      </c>
      <c r="K74" s="478">
        <f>1.5 *3</f>
        <v>4.5</v>
      </c>
      <c r="L74" s="485" t="str">
        <f t="shared" si="14"/>
        <v>Efforts of: 1.5km x3
And recoveries of: 1.5 minutes</v>
      </c>
    </row>
    <row r="75" spans="2:12" ht="28.5" hidden="1" x14ac:dyDescent="0.45">
      <c r="B75" s="1671"/>
      <c r="C75" s="1663"/>
      <c r="D75" s="1663"/>
      <c r="E75" s="480">
        <f>ROUND(Intervals!$H75,0)</f>
        <v>19</v>
      </c>
      <c r="F75" s="481" t="s">
        <v>211</v>
      </c>
      <c r="G75" s="481" t="s">
        <v>211</v>
      </c>
      <c r="H75" s="482">
        <f t="shared" si="10"/>
        <v>18.600000000000001</v>
      </c>
      <c r="I75" s="483">
        <f>1.5*4</f>
        <v>6</v>
      </c>
      <c r="J75" s="481" t="s">
        <v>522</v>
      </c>
      <c r="K75" s="478">
        <f>1.5 *4</f>
        <v>6</v>
      </c>
      <c r="L75" s="485" t="str">
        <f t="shared" si="14"/>
        <v>Efforts of: 1.5km x4
And recoveries of: 1.5 minutes</v>
      </c>
    </row>
    <row r="76" spans="2:12" ht="28.5" hidden="1" x14ac:dyDescent="0.45">
      <c r="B76" s="1671"/>
      <c r="C76" s="1661" t="s">
        <v>526</v>
      </c>
      <c r="D76" s="1661" t="s">
        <v>525</v>
      </c>
      <c r="E76" s="480">
        <f>ROUND(Intervals!$H76,0)</f>
        <v>6</v>
      </c>
      <c r="F76" s="481" t="s">
        <v>212</v>
      </c>
      <c r="G76" s="481" t="s">
        <v>212</v>
      </c>
      <c r="H76" s="482">
        <f t="shared" si="10"/>
        <v>6.2</v>
      </c>
      <c r="I76" s="483">
        <f>2 *1</f>
        <v>2</v>
      </c>
      <c r="J76" s="481" t="s">
        <v>521</v>
      </c>
      <c r="K76" s="478">
        <f>3 *0</f>
        <v>0</v>
      </c>
      <c r="L76" s="485" t="str">
        <f t="shared" si="14"/>
        <v>Efforts of: 2km x1
And recoveries of: 3 minutes</v>
      </c>
    </row>
    <row r="77" spans="2:12" ht="28.5" hidden="1" x14ac:dyDescent="0.45">
      <c r="B77" s="1671"/>
      <c r="C77" s="1662"/>
      <c r="D77" s="1662"/>
      <c r="E77" s="480">
        <f>ROUND(Intervals!$H77,0)</f>
        <v>12</v>
      </c>
      <c r="F77" s="481" t="s">
        <v>213</v>
      </c>
      <c r="G77" s="481" t="s">
        <v>213</v>
      </c>
      <c r="H77" s="482">
        <f t="shared" si="10"/>
        <v>12.4</v>
      </c>
      <c r="I77" s="483">
        <f>2 *2</f>
        <v>4</v>
      </c>
      <c r="J77" s="481" t="s">
        <v>521</v>
      </c>
      <c r="K77" s="478">
        <f>3 *1</f>
        <v>3</v>
      </c>
      <c r="L77" s="485" t="str">
        <f t="shared" si="14"/>
        <v>Efforts of: 2km x2
And recoveries of: 3 minutes</v>
      </c>
    </row>
    <row r="78" spans="2:12" ht="28.5" hidden="1" x14ac:dyDescent="0.45">
      <c r="B78" s="1671"/>
      <c r="C78" s="1662"/>
      <c r="D78" s="1662"/>
      <c r="E78" s="480">
        <f>ROUND(Intervals!$H78,0)</f>
        <v>19</v>
      </c>
      <c r="F78" s="481" t="s">
        <v>530</v>
      </c>
      <c r="G78" s="481" t="s">
        <v>214</v>
      </c>
      <c r="H78" s="482">
        <f t="shared" si="10"/>
        <v>18.600000000000001</v>
      </c>
      <c r="I78" s="483">
        <f>2 *3</f>
        <v>6</v>
      </c>
      <c r="J78" s="481" t="s">
        <v>521</v>
      </c>
      <c r="K78" s="478">
        <f>2 *3</f>
        <v>6</v>
      </c>
      <c r="L78" s="485" t="str">
        <f t="shared" si="14"/>
        <v>Efforts of: 2km x3
And recoveries of: 3 minutes</v>
      </c>
    </row>
    <row r="79" spans="2:12" ht="28.5" hidden="1" x14ac:dyDescent="0.45">
      <c r="B79" s="1671"/>
      <c r="C79" s="1663"/>
      <c r="D79" s="1663"/>
      <c r="E79" s="480">
        <f>ROUND(Intervals!$H79,0)</f>
        <v>25</v>
      </c>
      <c r="F79" s="481" t="s">
        <v>531</v>
      </c>
      <c r="G79" s="481" t="s">
        <v>215</v>
      </c>
      <c r="H79" s="482">
        <f t="shared" si="10"/>
        <v>24.8</v>
      </c>
      <c r="I79" s="483">
        <f>2 *4</f>
        <v>8</v>
      </c>
      <c r="J79" s="481" t="s">
        <v>521</v>
      </c>
      <c r="K79" s="478">
        <f>2 *4</f>
        <v>8</v>
      </c>
      <c r="L79" s="485" t="str">
        <f t="shared" si="14"/>
        <v>Efforts of: 2km x4
And recoveries of: 3 minutes</v>
      </c>
    </row>
    <row r="80" spans="2:12" ht="28.5" hidden="1" x14ac:dyDescent="0.45">
      <c r="B80" s="1671"/>
      <c r="C80" s="1661" t="s">
        <v>529</v>
      </c>
      <c r="D80" s="1661" t="s">
        <v>532</v>
      </c>
      <c r="E80" s="480">
        <v>15</v>
      </c>
      <c r="F80" s="481" t="s">
        <v>212</v>
      </c>
      <c r="G80" s="481" t="s">
        <v>212</v>
      </c>
      <c r="H80" s="482">
        <f>ROUND(I80*60*24*elements_pace_intervals,1)</f>
        <v>6.2</v>
      </c>
      <c r="I80" s="483">
        <f>2 *1</f>
        <v>2</v>
      </c>
      <c r="J80" s="481" t="s">
        <v>522</v>
      </c>
      <c r="K80" s="478">
        <f>2 *0</f>
        <v>0</v>
      </c>
      <c r="L80" s="485" t="str">
        <f>CONCATENATE("Efforts of: ",G80,"
And recoveries of: ", J80)</f>
        <v>Efforts of: 2km x1
And recoveries of: 1.5 minutes</v>
      </c>
    </row>
    <row r="81" spans="2:12" ht="28.5" hidden="1" x14ac:dyDescent="0.45">
      <c r="B81" s="1671"/>
      <c r="C81" s="1662"/>
      <c r="D81" s="1662"/>
      <c r="E81" s="480">
        <f>ROUND(Intervals!$H81,0)</f>
        <v>12</v>
      </c>
      <c r="F81" s="481" t="s">
        <v>213</v>
      </c>
      <c r="G81" s="481" t="s">
        <v>213</v>
      </c>
      <c r="H81" s="482">
        <f>ROUND(I81*60*24*elements_pace_intervals,1)</f>
        <v>12.4</v>
      </c>
      <c r="I81" s="483">
        <f>2 *2</f>
        <v>4</v>
      </c>
      <c r="J81" s="481" t="s">
        <v>522</v>
      </c>
      <c r="K81" s="478">
        <f>1.5 *1</f>
        <v>1.5</v>
      </c>
      <c r="L81" s="485" t="str">
        <f>CONCATENATE("Efforts of: ",G81,"
And recoveries of: ", J81)</f>
        <v>Efforts of: 2km x2
And recoveries of: 1.5 minutes</v>
      </c>
    </row>
    <row r="82" spans="2:12" ht="28.5" hidden="1" x14ac:dyDescent="0.45">
      <c r="B82" s="1671"/>
      <c r="C82" s="1662"/>
      <c r="D82" s="1662"/>
      <c r="E82" s="480">
        <f>ROUND(Intervals!$H82,0)</f>
        <v>19</v>
      </c>
      <c r="F82" s="481" t="s">
        <v>530</v>
      </c>
      <c r="G82" s="481" t="s">
        <v>530</v>
      </c>
      <c r="H82" s="482">
        <f>ROUND(I82*60*24*elements_pace_intervals,1)</f>
        <v>18.600000000000001</v>
      </c>
      <c r="I82" s="483">
        <f>2 *3</f>
        <v>6</v>
      </c>
      <c r="J82" s="481" t="s">
        <v>522</v>
      </c>
      <c r="K82" s="478">
        <f>1.5 *3</f>
        <v>4.5</v>
      </c>
      <c r="L82" s="485" t="str">
        <f>CONCATENATE("Efforts of: ",G82,"
And recoveries of: ", J82)</f>
        <v>Efforts of: 3km x3
And recoveries of: 1.5 minutes</v>
      </c>
    </row>
    <row r="83" spans="2:12" ht="28.5" hidden="1" x14ac:dyDescent="0.45">
      <c r="B83" s="1671"/>
      <c r="C83" s="1663"/>
      <c r="D83" s="1663"/>
      <c r="E83" s="480">
        <f>ROUND(Intervals!$H83,0)</f>
        <v>25</v>
      </c>
      <c r="F83" s="481" t="s">
        <v>531</v>
      </c>
      <c r="G83" s="481" t="s">
        <v>531</v>
      </c>
      <c r="H83" s="482">
        <f>ROUND(I83*60*24*elements_pace_intervals,1)</f>
        <v>24.8</v>
      </c>
      <c r="I83" s="483">
        <f>2 *4</f>
        <v>8</v>
      </c>
      <c r="J83" s="481" t="s">
        <v>522</v>
      </c>
      <c r="K83" s="478">
        <f>1.5 *4</f>
        <v>6</v>
      </c>
      <c r="L83" s="485" t="str">
        <f>CONCATENATE("Efforts of: ",G83,"
And recoveries of: ", J83)</f>
        <v>Efforts of: 4km x4
And recoveries of: 1.5 minutes</v>
      </c>
    </row>
    <row r="84" spans="2:12" ht="38.25" hidden="1" customHeight="1" x14ac:dyDescent="0.45">
      <c r="B84" s="1671"/>
      <c r="C84" s="1682" t="s">
        <v>533</v>
      </c>
      <c r="D84" s="1661" t="s">
        <v>534</v>
      </c>
      <c r="E84" s="486">
        <f>ROUND(Intervals!$H84,0)</f>
        <v>12</v>
      </c>
      <c r="F84" s="487" t="s">
        <v>216</v>
      </c>
      <c r="G84" s="481" t="s">
        <v>217</v>
      </c>
      <c r="H84" s="482">
        <f t="shared" si="10"/>
        <v>12.4</v>
      </c>
      <c r="I84" s="483">
        <f>1+2+1</f>
        <v>4</v>
      </c>
      <c r="J84" s="481" t="s">
        <v>202</v>
      </c>
      <c r="K84" s="478">
        <f>2 *2</f>
        <v>4</v>
      </c>
      <c r="L84" s="485" t="str">
        <f t="shared" si="14"/>
        <v>Efforts of: 1km, 2km, 1km
And recoveries of: 2 minutes</v>
      </c>
    </row>
    <row r="85" spans="2:12" ht="42.75" hidden="1" x14ac:dyDescent="0.45">
      <c r="B85" s="1671"/>
      <c r="C85" s="1683"/>
      <c r="D85" s="1663"/>
      <c r="E85" s="486">
        <f>ROUND(Intervals!$H85,0)</f>
        <v>19</v>
      </c>
      <c r="F85" s="487" t="s">
        <v>218</v>
      </c>
      <c r="G85" s="481" t="s">
        <v>219</v>
      </c>
      <c r="H85" s="482">
        <f t="shared" si="10"/>
        <v>18.600000000000001</v>
      </c>
      <c r="I85" s="483">
        <f>1+2+2+1</f>
        <v>6</v>
      </c>
      <c r="J85" s="481" t="s">
        <v>202</v>
      </c>
      <c r="K85" s="478">
        <f>2 *3</f>
        <v>6</v>
      </c>
      <c r="L85" s="485" t="str">
        <f t="shared" si="14"/>
        <v>Efforts of: 1km, 2km, 2km, 1km
And recoveries of: 2 minutes</v>
      </c>
    </row>
    <row r="86" spans="2:12" ht="71.25" hidden="1" x14ac:dyDescent="0.45">
      <c r="B86" s="1671"/>
      <c r="C86" s="1661" t="s">
        <v>220</v>
      </c>
      <c r="D86" s="1661" t="s">
        <v>221</v>
      </c>
      <c r="E86" s="474">
        <f>ROUND(Intervals!$H86,0)</f>
        <v>4</v>
      </c>
      <c r="F86" s="475" t="s">
        <v>222</v>
      </c>
      <c r="G86" s="475" t="s">
        <v>223</v>
      </c>
      <c r="H86" s="482">
        <f t="shared" si="10"/>
        <v>4.3</v>
      </c>
      <c r="I86" s="477">
        <f>0.1+0.2+0.4+0.4+0.2+0.1</f>
        <v>1.4000000000000001</v>
      </c>
      <c r="J86" s="481" t="s">
        <v>224</v>
      </c>
      <c r="K86" s="478">
        <f>elements_pace_recovery*Intervals!$I86*60*24/2</f>
        <v>3.6283444282270878</v>
      </c>
      <c r="L86" s="479" t="str">
        <f t="shared" si="14"/>
        <v>Efforts of: 100m, 200m, 400m, 400m, 200m, 100m
And recoveries of: jogging for half the distance of the previous interval</v>
      </c>
    </row>
    <row r="87" spans="2:12" ht="85.5" hidden="1" x14ac:dyDescent="0.45">
      <c r="B87" s="1671"/>
      <c r="C87" s="1662"/>
      <c r="D87" s="1662"/>
      <c r="E87" s="474">
        <f>ROUND(Intervals!$H87,0)</f>
        <v>7</v>
      </c>
      <c r="F87" s="475" t="s">
        <v>225</v>
      </c>
      <c r="G87" s="475" t="s">
        <v>226</v>
      </c>
      <c r="H87" s="482">
        <f t="shared" si="10"/>
        <v>6.8</v>
      </c>
      <c r="I87" s="477">
        <f>0.1+0.2+0.4+0.8+0.4+0.2+0.1</f>
        <v>2.2000000000000002</v>
      </c>
      <c r="J87" s="481" t="s">
        <v>224</v>
      </c>
      <c r="K87" s="478">
        <f>elements_pace_recovery*Intervals!$I87*60*24/2</f>
        <v>5.7016841014997093</v>
      </c>
      <c r="L87" s="479" t="str">
        <f t="shared" si="14"/>
        <v>Efforts of: 100m, 200m, 400m, 800m, 400m, 200m, 100m
And recoveries of: jogging for half the distance of the previous interval</v>
      </c>
    </row>
    <row r="88" spans="2:12" ht="85.5" hidden="1" x14ac:dyDescent="0.45">
      <c r="B88" s="1671"/>
      <c r="C88" s="1662"/>
      <c r="D88" s="1662"/>
      <c r="E88" s="474">
        <f>ROUND(Intervals!$H88,0)</f>
        <v>9</v>
      </c>
      <c r="F88" s="475" t="s">
        <v>227</v>
      </c>
      <c r="G88" s="475" t="s">
        <v>228</v>
      </c>
      <c r="H88" s="482">
        <f t="shared" si="10"/>
        <v>9.3000000000000007</v>
      </c>
      <c r="I88" s="477">
        <f>0.1+0.2+0.4+0.8+0.8+0.4+0.2+0.1</f>
        <v>3</v>
      </c>
      <c r="J88" s="481" t="s">
        <v>224</v>
      </c>
      <c r="K88" s="478">
        <f>elements_pace_recovery*Intervals!$I88*60*24/2</f>
        <v>7.7750237747723299</v>
      </c>
      <c r="L88" s="479" t="str">
        <f t="shared" si="14"/>
        <v>Efforts of: 100m, 200m, 400m, 800m, 800m, 400m, 200m, 100m
And recoveries of: jogging for half the distance of the previous interval</v>
      </c>
    </row>
    <row r="89" spans="2:12" ht="85.5" hidden="1" x14ac:dyDescent="0.45">
      <c r="B89" s="1671"/>
      <c r="C89" s="1662"/>
      <c r="D89" s="1662"/>
      <c r="E89" s="480">
        <f>ROUND(Intervals!$H89,0)</f>
        <v>14</v>
      </c>
      <c r="F89" s="481" t="s">
        <v>229</v>
      </c>
      <c r="G89" s="481" t="s">
        <v>230</v>
      </c>
      <c r="H89" s="482">
        <f t="shared" si="10"/>
        <v>14.2</v>
      </c>
      <c r="I89" s="483">
        <f>0.1+0.2+0.4+0.8+1.6+0.8+0.4+0.2+0.1</f>
        <v>4.6000000000000005</v>
      </c>
      <c r="J89" s="481" t="s">
        <v>224</v>
      </c>
      <c r="K89" s="478">
        <f>elements_pace_recovery*Intervals!$I89*60*24/2</f>
        <v>11.921703121317574</v>
      </c>
      <c r="L89" s="485" t="str">
        <f t="shared" ref="L89:L96" si="15">CONCATENATE("Efforts of: ",G89,"
And recoveries of: ", J89)</f>
        <v>Efforts of: 100m, 200m, 400m, 800m, 1600m, 800m, 400m, 200m, 100m
And recoveries of: jogging for half the distance of the previous interval</v>
      </c>
    </row>
    <row r="90" spans="2:12" ht="28.5" hidden="1" x14ac:dyDescent="0.45">
      <c r="B90" s="1671"/>
      <c r="C90" s="1661" t="s">
        <v>705</v>
      </c>
      <c r="D90" s="1661" t="s">
        <v>232</v>
      </c>
      <c r="E90" s="474">
        <f>ROUND(Intervals!$H90,0)</f>
        <v>6</v>
      </c>
      <c r="F90" s="475" t="str">
        <f>CONCATENATE($C$90, ": ", G90)</f>
        <v>Track VO2 Max: 800m x2, 400m x1</v>
      </c>
      <c r="G90" s="475" t="s">
        <v>233</v>
      </c>
      <c r="H90" s="482">
        <f t="shared" si="10"/>
        <v>6.2</v>
      </c>
      <c r="I90" s="477">
        <f>0.8*2 + 0.4*1</f>
        <v>2</v>
      </c>
      <c r="J90" s="481" t="s">
        <v>189</v>
      </c>
      <c r="K90" s="478">
        <f>1*2</f>
        <v>2</v>
      </c>
      <c r="L90" s="485" t="str">
        <f t="shared" si="15"/>
        <v>Efforts of: 800m x2, 400m x1
And recoveries of: 1 minute</v>
      </c>
    </row>
    <row r="91" spans="2:12" ht="28.5" hidden="1" x14ac:dyDescent="0.45">
      <c r="B91" s="1671"/>
      <c r="C91" s="1662"/>
      <c r="D91" s="1662"/>
      <c r="E91" s="474">
        <f>ROUND(Intervals!$H91,0)</f>
        <v>9</v>
      </c>
      <c r="F91" s="475" t="str">
        <f t="shared" ref="F91:F96" si="16">CONCATENATE($C$90, ": ", G91)</f>
        <v>Track VO2 Max: 800m x3, 400m x1</v>
      </c>
      <c r="G91" s="475" t="s">
        <v>234</v>
      </c>
      <c r="H91" s="482">
        <f t="shared" si="10"/>
        <v>8.6999999999999993</v>
      </c>
      <c r="I91" s="477">
        <f>0.8*3 + 0.4*1</f>
        <v>2.8000000000000003</v>
      </c>
      <c r="J91" s="481" t="s">
        <v>189</v>
      </c>
      <c r="K91" s="478">
        <f>1*3</f>
        <v>3</v>
      </c>
      <c r="L91" s="485" t="str">
        <f t="shared" si="15"/>
        <v>Efforts of: 800m x3, 400m x1
And recoveries of: 1 minute</v>
      </c>
    </row>
    <row r="92" spans="2:12" ht="28.5" hidden="1" x14ac:dyDescent="0.45">
      <c r="B92" s="1671"/>
      <c r="C92" s="1662"/>
      <c r="D92" s="1662"/>
      <c r="E92" s="474">
        <f>ROUND(Intervals!$H92,0)</f>
        <v>12</v>
      </c>
      <c r="F92" s="475" t="str">
        <f t="shared" si="16"/>
        <v>Track VO2 Max: 800m x4, 400m x2</v>
      </c>
      <c r="G92" s="475" t="s">
        <v>235</v>
      </c>
      <c r="H92" s="482">
        <f t="shared" si="10"/>
        <v>12.4</v>
      </c>
      <c r="I92" s="477">
        <f>0.8*4 + 0.4*2</f>
        <v>4</v>
      </c>
      <c r="J92" s="481" t="s">
        <v>189</v>
      </c>
      <c r="K92" s="478">
        <f>1*5</f>
        <v>5</v>
      </c>
      <c r="L92" s="485" t="str">
        <f t="shared" si="15"/>
        <v>Efforts of: 800m x4, 400m x2
And recoveries of: 1 minute</v>
      </c>
    </row>
    <row r="93" spans="2:12" ht="28.5" hidden="1" x14ac:dyDescent="0.45">
      <c r="B93" s="1671"/>
      <c r="C93" s="1662"/>
      <c r="D93" s="1662"/>
      <c r="E93" s="474">
        <f>ROUND(Intervals!$H93,0)</f>
        <v>15</v>
      </c>
      <c r="F93" s="475" t="str">
        <f t="shared" si="16"/>
        <v>Track VO2 Max: 800m x5, 400m x2</v>
      </c>
      <c r="G93" s="475" t="s">
        <v>236</v>
      </c>
      <c r="H93" s="482">
        <f t="shared" si="10"/>
        <v>14.9</v>
      </c>
      <c r="I93" s="477">
        <f>0.8*5 + 0.4*2</f>
        <v>4.8</v>
      </c>
      <c r="J93" s="481" t="s">
        <v>189</v>
      </c>
      <c r="K93" s="478">
        <f>1*6</f>
        <v>6</v>
      </c>
      <c r="L93" s="485" t="str">
        <f t="shared" si="15"/>
        <v>Efforts of: 800m x5, 400m x2
And recoveries of: 1 minute</v>
      </c>
    </row>
    <row r="94" spans="2:12" ht="28.5" hidden="1" x14ac:dyDescent="0.45">
      <c r="B94" s="1671"/>
      <c r="C94" s="1662"/>
      <c r="D94" s="1662"/>
      <c r="E94" s="474">
        <f>ROUND(Intervals!$H94,0)</f>
        <v>17</v>
      </c>
      <c r="F94" s="475" t="str">
        <f t="shared" si="16"/>
        <v>Track VO2 Max: 800m x6, 400m x2</v>
      </c>
      <c r="G94" s="475" t="s">
        <v>237</v>
      </c>
      <c r="H94" s="482">
        <f t="shared" si="10"/>
        <v>17.3</v>
      </c>
      <c r="I94" s="477">
        <f>0.8*6 + 0.4*2</f>
        <v>5.6000000000000005</v>
      </c>
      <c r="J94" s="481" t="s">
        <v>189</v>
      </c>
      <c r="K94" s="478">
        <f>1*7</f>
        <v>7</v>
      </c>
      <c r="L94" s="485" t="str">
        <f t="shared" si="15"/>
        <v>Efforts of: 800m x6, 400m x2
And recoveries of: 1 minute</v>
      </c>
    </row>
    <row r="95" spans="2:12" ht="28.5" hidden="1" x14ac:dyDescent="0.45">
      <c r="B95" s="1671"/>
      <c r="C95" s="1662"/>
      <c r="D95" s="1662"/>
      <c r="E95" s="474">
        <f>ROUND(Intervals!$H95,0)</f>
        <v>20</v>
      </c>
      <c r="F95" s="475" t="str">
        <f t="shared" si="16"/>
        <v>Track VO2 Max: 800m x7, 400m x2</v>
      </c>
      <c r="G95" s="475" t="s">
        <v>238</v>
      </c>
      <c r="H95" s="482">
        <f t="shared" si="10"/>
        <v>19.8</v>
      </c>
      <c r="I95" s="477">
        <f>0.8*7 + 0.4*2</f>
        <v>6.4</v>
      </c>
      <c r="J95" s="481" t="s">
        <v>189</v>
      </c>
      <c r="K95" s="478">
        <f>1*8</f>
        <v>8</v>
      </c>
      <c r="L95" s="485" t="str">
        <f t="shared" si="15"/>
        <v>Efforts of: 800m x7, 400m x2
And recoveries of: 1 minute</v>
      </c>
    </row>
    <row r="96" spans="2:12" ht="28.5" hidden="1" x14ac:dyDescent="0.45">
      <c r="B96" s="1672"/>
      <c r="C96" s="1663"/>
      <c r="D96" s="1663"/>
      <c r="E96" s="474">
        <f>ROUND(Intervals!$H96,0)</f>
        <v>22</v>
      </c>
      <c r="F96" s="475" t="str">
        <f t="shared" si="16"/>
        <v>Track VO2 Max: 800m x8, 400m x2</v>
      </c>
      <c r="G96" s="475" t="s">
        <v>239</v>
      </c>
      <c r="H96" s="482">
        <f t="shared" si="10"/>
        <v>22.3</v>
      </c>
      <c r="I96" s="477">
        <f>0.8*8 + 0.4*2</f>
        <v>7.2</v>
      </c>
      <c r="J96" s="481" t="s">
        <v>189</v>
      </c>
      <c r="K96" s="478">
        <f>1*9</f>
        <v>9</v>
      </c>
      <c r="L96" s="485" t="str">
        <f t="shared" si="15"/>
        <v>Efforts of: 800m x8, 400m x2
And recoveries of: 1 minute</v>
      </c>
    </row>
    <row r="97" spans="2:12" ht="71.25" hidden="1" x14ac:dyDescent="0.45">
      <c r="B97" s="1673" t="s">
        <v>32</v>
      </c>
      <c r="C97" s="1679" t="s">
        <v>240</v>
      </c>
      <c r="D97" s="1679" t="s">
        <v>241</v>
      </c>
      <c r="E97" s="488">
        <f>ROUND(Intervals!$H97,0)</f>
        <v>8</v>
      </c>
      <c r="F97" s="489" t="s">
        <v>240</v>
      </c>
      <c r="G97" s="489" t="s">
        <v>242</v>
      </c>
      <c r="H97" s="490">
        <f>ROUND(I97*elements_pace_reps*60*24,1)</f>
        <v>8.1999999999999993</v>
      </c>
      <c r="I97" s="491">
        <f>0.1*8+0.2*4+0.4*2+0.8</f>
        <v>3.2</v>
      </c>
      <c r="J97" s="489" t="s">
        <v>243</v>
      </c>
      <c r="K97" s="492">
        <f>I97</f>
        <v>3.2</v>
      </c>
      <c r="L97" s="493" t="str">
        <f>CONCATENATE("Efforts of: ",G97,"
And recoveries of: ", J97)</f>
        <v>Efforts of: 100 x8, 200 x4, 400 x2, 800 x1
And recoveries of: Equal distance to previous interval. Walk to recover fully.</v>
      </c>
    </row>
    <row r="98" spans="2:12" ht="71.25" hidden="1" x14ac:dyDescent="0.45">
      <c r="B98" s="1673"/>
      <c r="C98" s="1680"/>
      <c r="D98" s="1680"/>
      <c r="E98" s="494">
        <f>ROUND(Intervals!$H98,0)</f>
        <v>6</v>
      </c>
      <c r="F98" s="495" t="s">
        <v>244</v>
      </c>
      <c r="G98" s="495" t="s">
        <v>245</v>
      </c>
      <c r="H98" s="490">
        <f>ROUND(I98*elements_pace_reps*60*24,1)</f>
        <v>6.2</v>
      </c>
      <c r="I98" s="496">
        <f>0.1*8+0.2*4+0.4*2</f>
        <v>2.4000000000000004</v>
      </c>
      <c r="J98" s="495" t="s">
        <v>243</v>
      </c>
      <c r="K98" s="492">
        <f>I98</f>
        <v>2.4000000000000004</v>
      </c>
      <c r="L98" s="493" t="str">
        <f>CONCATENATE("Efforts of: ",G98,"
And recoveries of: ", J98)</f>
        <v>Efforts of: 100 x8, 200 x4, 400 x2
And recoveries of: Equal distance to previous interval. Walk to recover fully.</v>
      </c>
    </row>
    <row r="99" spans="2:12" ht="42.75" hidden="1" x14ac:dyDescent="0.45">
      <c r="B99" s="1673"/>
      <c r="C99" s="1679" t="s">
        <v>246</v>
      </c>
      <c r="D99" s="1679" t="s">
        <v>247</v>
      </c>
      <c r="E99" s="497">
        <v>1</v>
      </c>
      <c r="F99" s="489" t="str">
        <f>CONCATENATE($C$99, ": ", G99)</f>
        <v>Intensive Hill Reps: 15s x4</v>
      </c>
      <c r="G99" s="489" t="s">
        <v>248</v>
      </c>
      <c r="H99" s="490">
        <f>0.25*4</f>
        <v>1</v>
      </c>
      <c r="I99" s="491">
        <f t="shared" ref="I99:I107" si="17">ROUND(H99/(elements_pace_reps*60*24),1)</f>
        <v>0.4</v>
      </c>
      <c r="J99" s="489" t="s">
        <v>249</v>
      </c>
      <c r="K99" s="492">
        <f>0.25*4*3</f>
        <v>3</v>
      </c>
      <c r="L99" s="493" t="str">
        <f t="shared" ref="L99:L113" si="18">CONCATENATE("Efforts of: ",G99,"
And recoveries as ", J99)</f>
        <v>Efforts of: 15s x4
And recoveries as a slow walk back down</v>
      </c>
    </row>
    <row r="100" spans="2:12" ht="42.75" hidden="1" x14ac:dyDescent="0.45">
      <c r="B100" s="1673"/>
      <c r="C100" s="1681"/>
      <c r="D100" s="1681"/>
      <c r="E100" s="498">
        <v>2</v>
      </c>
      <c r="F100" s="489" t="str">
        <f>CONCATENATE($C$99, ": ", G100)</f>
        <v>Intensive Hill Reps: 15s x6</v>
      </c>
      <c r="G100" s="495" t="s">
        <v>250</v>
      </c>
      <c r="H100" s="499">
        <f>0.25*6</f>
        <v>1.5</v>
      </c>
      <c r="I100" s="496">
        <f t="shared" si="17"/>
        <v>0.6</v>
      </c>
      <c r="J100" s="489" t="s">
        <v>249</v>
      </c>
      <c r="K100" s="492">
        <f>0.25*4*5</f>
        <v>5</v>
      </c>
      <c r="L100" s="493" t="str">
        <f t="shared" si="18"/>
        <v>Efforts of: 15s x6
And recoveries as a slow walk back down</v>
      </c>
    </row>
    <row r="101" spans="2:12" ht="42.75" hidden="1" x14ac:dyDescent="0.45">
      <c r="B101" s="1673"/>
      <c r="C101" s="1681"/>
      <c r="D101" s="1681"/>
      <c r="E101" s="488">
        <v>3</v>
      </c>
      <c r="F101" s="489" t="str">
        <f>CONCATENATE($C$99, ": ", G101)</f>
        <v>Intensive Hill Reps: 15s x8</v>
      </c>
      <c r="G101" s="489" t="s">
        <v>251</v>
      </c>
      <c r="H101" s="490">
        <f>0.25*8</f>
        <v>2</v>
      </c>
      <c r="I101" s="491">
        <f t="shared" si="17"/>
        <v>0.8</v>
      </c>
      <c r="J101" s="489" t="s">
        <v>249</v>
      </c>
      <c r="K101" s="492">
        <f>0.25*4*7</f>
        <v>7</v>
      </c>
      <c r="L101" s="493" t="str">
        <f t="shared" si="18"/>
        <v>Efforts of: 15s x8
And recoveries as a slow walk back down</v>
      </c>
    </row>
    <row r="102" spans="2:12" ht="42.75" hidden="1" x14ac:dyDescent="0.45">
      <c r="B102" s="1673"/>
      <c r="C102" s="1681"/>
      <c r="D102" s="1681"/>
      <c r="E102" s="498">
        <v>4</v>
      </c>
      <c r="F102" s="489" t="str">
        <f>CONCATENATE($C$99, ": ", G102)</f>
        <v>Intensive Hill Reps: 15s x10</v>
      </c>
      <c r="G102" s="495" t="s">
        <v>252</v>
      </c>
      <c r="H102" s="499">
        <f>0.25*10</f>
        <v>2.5</v>
      </c>
      <c r="I102" s="496">
        <f t="shared" si="17"/>
        <v>1</v>
      </c>
      <c r="J102" s="489" t="s">
        <v>249</v>
      </c>
      <c r="K102" s="492">
        <f>0.25*4*9</f>
        <v>9</v>
      </c>
      <c r="L102" s="493" t="str">
        <f>CONCATENATE("Efforts of: ",G102,"
And recoveries as ", J102)</f>
        <v>Efforts of: 15s x10
And recoveries as a slow walk back down</v>
      </c>
    </row>
    <row r="103" spans="2:12" ht="42.75" hidden="1" x14ac:dyDescent="0.45">
      <c r="B103" s="1673"/>
      <c r="C103" s="1681"/>
      <c r="D103" s="1680"/>
      <c r="E103" s="498">
        <v>5</v>
      </c>
      <c r="F103" s="489" t="str">
        <f>CONCATENATE($C$99, ": ", G103)</f>
        <v>Intensive Hill Reps: 15s x12</v>
      </c>
      <c r="G103" s="495" t="s">
        <v>253</v>
      </c>
      <c r="H103" s="499">
        <f>0.25*12</f>
        <v>3</v>
      </c>
      <c r="I103" s="496">
        <f t="shared" si="17"/>
        <v>1.2</v>
      </c>
      <c r="J103" s="489" t="s">
        <v>249</v>
      </c>
      <c r="K103" s="492">
        <f>0.25*4*11</f>
        <v>11</v>
      </c>
      <c r="L103" s="493" t="str">
        <f t="shared" si="18"/>
        <v>Efforts of: 15s x12
And recoveries as a slow walk back down</v>
      </c>
    </row>
    <row r="104" spans="2:12" ht="42.75" hidden="1" x14ac:dyDescent="0.45">
      <c r="B104" s="1673"/>
      <c r="C104" s="1679" t="s">
        <v>254</v>
      </c>
      <c r="D104" s="1679" t="s">
        <v>255</v>
      </c>
      <c r="E104" s="497">
        <v>1</v>
      </c>
      <c r="F104" s="489" t="str">
        <f>CONCATENATE($C$104, ": ", G104)</f>
        <v>Extensive Hill Reps: 30s x4</v>
      </c>
      <c r="G104" s="489" t="s">
        <v>256</v>
      </c>
      <c r="H104" s="490">
        <f>0.5*4</f>
        <v>2</v>
      </c>
      <c r="I104" s="491">
        <f t="shared" si="17"/>
        <v>0.8</v>
      </c>
      <c r="J104" s="489" t="s">
        <v>249</v>
      </c>
      <c r="K104" s="492">
        <f>0.5*4*3</f>
        <v>6</v>
      </c>
      <c r="L104" s="493" t="str">
        <f t="shared" si="18"/>
        <v>Efforts of: 30s x4
And recoveries as a slow walk back down</v>
      </c>
    </row>
    <row r="105" spans="2:12" ht="42.75" hidden="1" x14ac:dyDescent="0.45">
      <c r="B105" s="1673"/>
      <c r="C105" s="1681"/>
      <c r="D105" s="1681"/>
      <c r="E105" s="498">
        <v>2</v>
      </c>
      <c r="F105" s="489" t="str">
        <f>CONCATENATE($C$104, ": ", G105)</f>
        <v>Extensive Hill Reps: 30s x6</v>
      </c>
      <c r="G105" s="495" t="s">
        <v>257</v>
      </c>
      <c r="H105" s="499">
        <f>0.5*6</f>
        <v>3</v>
      </c>
      <c r="I105" s="496">
        <f t="shared" si="17"/>
        <v>1.2</v>
      </c>
      <c r="J105" s="489" t="s">
        <v>249</v>
      </c>
      <c r="K105" s="492">
        <f>0.5*4*5</f>
        <v>10</v>
      </c>
      <c r="L105" s="493" t="str">
        <f t="shared" si="18"/>
        <v>Efforts of: 30s x6
And recoveries as a slow walk back down</v>
      </c>
    </row>
    <row r="106" spans="2:12" ht="42.75" hidden="1" x14ac:dyDescent="0.45">
      <c r="B106" s="1673"/>
      <c r="C106" s="1681"/>
      <c r="D106" s="1681"/>
      <c r="E106" s="488">
        <v>3</v>
      </c>
      <c r="F106" s="489" t="str">
        <f>CONCATENATE($C$104, ": ", G106)</f>
        <v>Extensive Hill Reps: 30s x8</v>
      </c>
      <c r="G106" s="489" t="s">
        <v>258</v>
      </c>
      <c r="H106" s="490">
        <f>0.5*8</f>
        <v>4</v>
      </c>
      <c r="I106" s="491">
        <f t="shared" si="17"/>
        <v>1.6</v>
      </c>
      <c r="J106" s="489" t="s">
        <v>249</v>
      </c>
      <c r="K106" s="492">
        <f>0.5*4*7</f>
        <v>14</v>
      </c>
      <c r="L106" s="493" t="str">
        <f t="shared" si="18"/>
        <v>Efforts of: 30s x8
And recoveries as a slow walk back down</v>
      </c>
    </row>
    <row r="107" spans="2:12" ht="42.75" hidden="1" x14ac:dyDescent="0.45">
      <c r="B107" s="1673"/>
      <c r="C107" s="1681"/>
      <c r="D107" s="1681"/>
      <c r="E107" s="498">
        <v>4</v>
      </c>
      <c r="F107" s="489" t="str">
        <f>CONCATENATE($C$104, ": ", G107)</f>
        <v>Extensive Hill Reps: 30s x10</v>
      </c>
      <c r="G107" s="495" t="s">
        <v>259</v>
      </c>
      <c r="H107" s="499">
        <f>0.5*10</f>
        <v>5</v>
      </c>
      <c r="I107" s="496">
        <f t="shared" si="17"/>
        <v>1.9</v>
      </c>
      <c r="J107" s="489" t="s">
        <v>249</v>
      </c>
      <c r="K107" s="492">
        <f>0.5*4*9</f>
        <v>18</v>
      </c>
      <c r="L107" s="493" t="str">
        <f>CONCATENATE("Efforts of: ",G107,"
And recoveries as ", J107)</f>
        <v>Efforts of: 30s x10
And recoveries as a slow walk back down</v>
      </c>
    </row>
    <row r="108" spans="2:12" ht="30" hidden="1" customHeight="1" x14ac:dyDescent="0.45">
      <c r="B108" s="1673"/>
      <c r="C108" s="1680"/>
      <c r="D108" s="1680"/>
      <c r="E108" s="498">
        <v>5</v>
      </c>
      <c r="F108" s="489" t="str">
        <f>CONCATENATE($C$104, ": ", G108)</f>
        <v>Extensive Hill Reps: 30s x12</v>
      </c>
      <c r="G108" s="495" t="s">
        <v>260</v>
      </c>
      <c r="H108" s="499">
        <f>0.5*10</f>
        <v>5</v>
      </c>
      <c r="I108" s="496">
        <v>2</v>
      </c>
      <c r="J108" s="489" t="s">
        <v>249</v>
      </c>
      <c r="K108" s="492">
        <f>0.5*4*11</f>
        <v>22</v>
      </c>
      <c r="L108" s="493" t="str">
        <f t="shared" si="18"/>
        <v>Efforts of: 30s x12
And recoveries as a slow walk back down</v>
      </c>
    </row>
    <row r="109" spans="2:12" ht="42.75" hidden="1" x14ac:dyDescent="0.45">
      <c r="B109" s="1673"/>
      <c r="C109" s="1681" t="s">
        <v>263</v>
      </c>
      <c r="D109" s="1679" t="s">
        <v>262</v>
      </c>
      <c r="E109" s="497">
        <v>1</v>
      </c>
      <c r="F109" s="489" t="str">
        <f>CONCATENATE($C$109, ": ", G109)</f>
        <v>Lactic Hill Reps: 75s x4</v>
      </c>
      <c r="G109" s="489" t="s">
        <v>264</v>
      </c>
      <c r="H109" s="490">
        <f>1.25*4</f>
        <v>5</v>
      </c>
      <c r="I109" s="491">
        <f>ROUND(H109/(elements_pace_reps*60*24),1)</f>
        <v>1.9</v>
      </c>
      <c r="J109" s="489" t="s">
        <v>249</v>
      </c>
      <c r="K109" s="492">
        <f>1.25*4*3</f>
        <v>15</v>
      </c>
      <c r="L109" s="493" t="str">
        <f t="shared" si="18"/>
        <v>Efforts of: 75s x4
And recoveries as a slow walk back down</v>
      </c>
    </row>
    <row r="110" spans="2:12" ht="42.75" hidden="1" x14ac:dyDescent="0.45">
      <c r="B110" s="1673"/>
      <c r="C110" s="1681"/>
      <c r="D110" s="1681"/>
      <c r="E110" s="498">
        <v>2</v>
      </c>
      <c r="F110" s="489" t="str">
        <f>CONCATENATE($C$109, ": ", G110)</f>
        <v>Lactic Hill Reps: 75s x6</v>
      </c>
      <c r="G110" s="495" t="s">
        <v>265</v>
      </c>
      <c r="H110" s="499">
        <f>1.25*6</f>
        <v>7.5</v>
      </c>
      <c r="I110" s="496">
        <f>ROUND(H110/(elements_pace_reps*60*24),1)</f>
        <v>2.9</v>
      </c>
      <c r="J110" s="489" t="s">
        <v>249</v>
      </c>
      <c r="K110" s="492">
        <f>1.25*4*5</f>
        <v>25</v>
      </c>
      <c r="L110" s="493" t="str">
        <f t="shared" si="18"/>
        <v>Efforts of: 75s x6
And recoveries as a slow walk back down</v>
      </c>
    </row>
    <row r="111" spans="2:12" ht="42.75" hidden="1" x14ac:dyDescent="0.45">
      <c r="B111" s="1673"/>
      <c r="C111" s="1681"/>
      <c r="D111" s="1681"/>
      <c r="E111" s="488">
        <v>3</v>
      </c>
      <c r="F111" s="489" t="str">
        <f>CONCATENATE($C$109, ": ", G111)</f>
        <v>Lactic Hill Reps: 75s x8</v>
      </c>
      <c r="G111" s="489" t="s">
        <v>266</v>
      </c>
      <c r="H111" s="490">
        <f>1.25*8</f>
        <v>10</v>
      </c>
      <c r="I111" s="491">
        <f>ROUND(H111/(elements_pace_reps*60*24),1)</f>
        <v>3.9</v>
      </c>
      <c r="J111" s="489" t="s">
        <v>249</v>
      </c>
      <c r="K111" s="492">
        <f>1.25*4*7</f>
        <v>35</v>
      </c>
      <c r="L111" s="493" t="str">
        <f t="shared" si="18"/>
        <v>Efforts of: 75s x8
And recoveries as a slow walk back down</v>
      </c>
    </row>
    <row r="112" spans="2:12" ht="42.75" hidden="1" x14ac:dyDescent="0.45">
      <c r="B112" s="1673"/>
      <c r="C112" s="1681"/>
      <c r="D112" s="1681"/>
      <c r="E112" s="498">
        <v>4</v>
      </c>
      <c r="F112" s="489" t="str">
        <f>CONCATENATE($C$109, ": ", G112)</f>
        <v>Lactic Hill Reps: 75s x10</v>
      </c>
      <c r="G112" s="495" t="s">
        <v>267</v>
      </c>
      <c r="H112" s="499">
        <f>1.25*10</f>
        <v>12.5</v>
      </c>
      <c r="I112" s="496">
        <f>ROUND(H112/(elements_pace_reps*60*24),1)</f>
        <v>4.9000000000000004</v>
      </c>
      <c r="J112" s="489" t="s">
        <v>249</v>
      </c>
      <c r="K112" s="492">
        <f>1.25*4*9</f>
        <v>45</v>
      </c>
      <c r="L112" s="493" t="str">
        <f>CONCATENATE("Efforts of: ",G112,"
And recoveries as ", J112)</f>
        <v>Efforts of: 75s x10
And recoveries as a slow walk back down</v>
      </c>
    </row>
    <row r="113" spans="2:12" ht="42.75" hidden="1" x14ac:dyDescent="0.45">
      <c r="B113" s="1673"/>
      <c r="C113" s="1680"/>
      <c r="D113" s="1680"/>
      <c r="E113" s="498">
        <v>5</v>
      </c>
      <c r="F113" s="489" t="str">
        <f>CONCATENATE($C$109, ": ", G113)</f>
        <v>Lactic Hill Reps: 75s x12</v>
      </c>
      <c r="G113" s="495" t="s">
        <v>268</v>
      </c>
      <c r="H113" s="499">
        <f>1.25*12</f>
        <v>15</v>
      </c>
      <c r="I113" s="496">
        <f>ROUND(H113/(elements_pace_reps*60*24),1)</f>
        <v>5.8</v>
      </c>
      <c r="J113" s="489" t="s">
        <v>249</v>
      </c>
      <c r="K113" s="492">
        <f>1.25*4*11</f>
        <v>55</v>
      </c>
      <c r="L113" s="493" t="str">
        <f t="shared" si="18"/>
        <v>Efforts of: 75s x12
And recoveries as a slow walk back down</v>
      </c>
    </row>
    <row r="114" spans="2:12" ht="30" hidden="1" customHeight="1" x14ac:dyDescent="0.45">
      <c r="B114" s="1674"/>
      <c r="C114" s="1679" t="s">
        <v>536</v>
      </c>
      <c r="D114" s="1679" t="s">
        <v>270</v>
      </c>
      <c r="E114" s="497">
        <v>1</v>
      </c>
      <c r="F114" s="489" t="str">
        <f>F99</f>
        <v>Intensive Hill Reps: 15s x4</v>
      </c>
      <c r="G114" s="489" t="s">
        <v>248</v>
      </c>
      <c r="H114" s="490">
        <f>0.25*4</f>
        <v>1</v>
      </c>
      <c r="I114" s="491">
        <f t="shared" ref="I114:I134" si="19">ROUND(H114/(elements_pace_reps*60*24),1)</f>
        <v>0.4</v>
      </c>
      <c r="J114" s="489" t="s">
        <v>249</v>
      </c>
      <c r="K114" s="492">
        <f>0.25*4*3</f>
        <v>3</v>
      </c>
      <c r="L114" s="493" t="str">
        <f t="shared" ref="L114:L140" si="20">CONCATENATE("Efforts of: ",G114,"
And recoveries as ", J114)</f>
        <v>Efforts of: 15s x4
And recoveries as a slow walk back down</v>
      </c>
    </row>
    <row r="115" spans="2:12" ht="42.75" hidden="1" x14ac:dyDescent="0.45">
      <c r="B115" s="1674"/>
      <c r="C115" s="1681"/>
      <c r="D115" s="1681"/>
      <c r="E115" s="498">
        <v>2</v>
      </c>
      <c r="F115" s="489" t="str">
        <f>F100</f>
        <v>Intensive Hill Reps: 15s x6</v>
      </c>
      <c r="G115" s="495" t="s">
        <v>250</v>
      </c>
      <c r="H115" s="499">
        <f>0.25*6</f>
        <v>1.5</v>
      </c>
      <c r="I115" s="496">
        <f t="shared" si="19"/>
        <v>0.6</v>
      </c>
      <c r="J115" s="489" t="s">
        <v>249</v>
      </c>
      <c r="K115" s="492">
        <f>0.25*4*5</f>
        <v>5</v>
      </c>
      <c r="L115" s="493" t="str">
        <f t="shared" si="20"/>
        <v>Efforts of: 15s x6
And recoveries as a slow walk back down</v>
      </c>
    </row>
    <row r="116" spans="2:12" ht="42.75" hidden="1" x14ac:dyDescent="0.45">
      <c r="B116" s="1674"/>
      <c r="C116" s="1681"/>
      <c r="D116" s="1681"/>
      <c r="E116" s="488">
        <v>3</v>
      </c>
      <c r="F116" s="489" t="str">
        <f>F101</f>
        <v>Intensive Hill Reps: 15s x8</v>
      </c>
      <c r="G116" s="489" t="s">
        <v>251</v>
      </c>
      <c r="H116" s="490">
        <f>0.25*8</f>
        <v>2</v>
      </c>
      <c r="I116" s="491">
        <f t="shared" si="19"/>
        <v>0.8</v>
      </c>
      <c r="J116" s="489" t="s">
        <v>249</v>
      </c>
      <c r="K116" s="492">
        <f>0.25*4*7</f>
        <v>7</v>
      </c>
      <c r="L116" s="493" t="str">
        <f t="shared" si="20"/>
        <v>Efforts of: 15s x8
And recoveries as a slow walk back down</v>
      </c>
    </row>
    <row r="117" spans="2:12" ht="42.75" hidden="1" x14ac:dyDescent="0.45">
      <c r="B117" s="1674"/>
      <c r="C117" s="1681"/>
      <c r="D117" s="1681"/>
      <c r="E117" s="498">
        <v>4</v>
      </c>
      <c r="F117" s="489" t="str">
        <f>F102</f>
        <v>Intensive Hill Reps: 15s x10</v>
      </c>
      <c r="G117" s="495" t="s">
        <v>252</v>
      </c>
      <c r="H117" s="499">
        <f>0.25*10</f>
        <v>2.5</v>
      </c>
      <c r="I117" s="496">
        <f t="shared" si="19"/>
        <v>1</v>
      </c>
      <c r="J117" s="489" t="s">
        <v>249</v>
      </c>
      <c r="K117" s="492">
        <f>0.25*4*9</f>
        <v>9</v>
      </c>
      <c r="L117" s="493" t="str">
        <f t="shared" si="20"/>
        <v>Efforts of: 15s x10
And recoveries as a slow walk back down</v>
      </c>
    </row>
    <row r="118" spans="2:12" ht="30" hidden="1" customHeight="1" x14ac:dyDescent="0.45">
      <c r="B118" s="1674"/>
      <c r="C118" s="1681"/>
      <c r="D118" s="1681"/>
      <c r="E118" s="488">
        <v>5</v>
      </c>
      <c r="F118" s="489" t="str">
        <f>F104</f>
        <v>Extensive Hill Reps: 30s x4</v>
      </c>
      <c r="G118" s="489" t="s">
        <v>256</v>
      </c>
      <c r="H118" s="490">
        <f>0.5*4</f>
        <v>2</v>
      </c>
      <c r="I118" s="491">
        <f t="shared" si="19"/>
        <v>0.8</v>
      </c>
      <c r="J118" s="489" t="s">
        <v>249</v>
      </c>
      <c r="K118" s="492">
        <f>0.5*4*4</f>
        <v>8</v>
      </c>
      <c r="L118" s="493" t="str">
        <f t="shared" si="20"/>
        <v>Efforts of: 30s x4
And recoveries as a slow walk back down</v>
      </c>
    </row>
    <row r="119" spans="2:12" ht="42.75" hidden="1" x14ac:dyDescent="0.45">
      <c r="B119" s="1674"/>
      <c r="C119" s="1681"/>
      <c r="D119" s="1681"/>
      <c r="E119" s="498">
        <v>6</v>
      </c>
      <c r="F119" s="489" t="str">
        <f>F105</f>
        <v>Extensive Hill Reps: 30s x6</v>
      </c>
      <c r="G119" s="495" t="s">
        <v>257</v>
      </c>
      <c r="H119" s="499">
        <f>0.5*6</f>
        <v>3</v>
      </c>
      <c r="I119" s="496">
        <f t="shared" si="19"/>
        <v>1.2</v>
      </c>
      <c r="J119" s="489" t="s">
        <v>249</v>
      </c>
      <c r="K119" s="492">
        <f>0.5*4*6</f>
        <v>12</v>
      </c>
      <c r="L119" s="493" t="str">
        <f t="shared" si="20"/>
        <v>Efforts of: 30s x6
And recoveries as a slow walk back down</v>
      </c>
    </row>
    <row r="120" spans="2:12" ht="42.75" hidden="1" x14ac:dyDescent="0.45">
      <c r="B120" s="1674"/>
      <c r="C120" s="1681"/>
      <c r="D120" s="1681"/>
      <c r="E120" s="488">
        <v>7</v>
      </c>
      <c r="F120" s="489" t="str">
        <f>F106</f>
        <v>Extensive Hill Reps: 30s x8</v>
      </c>
      <c r="G120" s="489" t="s">
        <v>258</v>
      </c>
      <c r="H120" s="490">
        <f>0.5*8</f>
        <v>4</v>
      </c>
      <c r="I120" s="491">
        <f t="shared" si="19"/>
        <v>1.6</v>
      </c>
      <c r="J120" s="489" t="s">
        <v>249</v>
      </c>
      <c r="K120" s="492">
        <f>0.5*4*8</f>
        <v>16</v>
      </c>
      <c r="L120" s="493" t="str">
        <f t="shared" si="20"/>
        <v>Efforts of: 30s x8
And recoveries as a slow walk back down</v>
      </c>
    </row>
    <row r="121" spans="2:12" ht="30" hidden="1" customHeight="1" x14ac:dyDescent="0.45">
      <c r="B121" s="1674"/>
      <c r="C121" s="1681"/>
      <c r="D121" s="1681"/>
      <c r="E121" s="498">
        <v>8</v>
      </c>
      <c r="F121" s="489" t="str">
        <f>F107</f>
        <v>Extensive Hill Reps: 30s x10</v>
      </c>
      <c r="G121" s="495" t="s">
        <v>259</v>
      </c>
      <c r="H121" s="499">
        <f>0.5*10</f>
        <v>5</v>
      </c>
      <c r="I121" s="496">
        <f t="shared" si="19"/>
        <v>1.9</v>
      </c>
      <c r="J121" s="489" t="s">
        <v>249</v>
      </c>
      <c r="K121" s="492">
        <f>0.5*4*10</f>
        <v>20</v>
      </c>
      <c r="L121" s="493" t="str">
        <f t="shared" si="20"/>
        <v>Efforts of: 30s x10
And recoveries as a slow walk back down</v>
      </c>
    </row>
    <row r="122" spans="2:12" ht="30" hidden="1" customHeight="1" x14ac:dyDescent="0.45">
      <c r="B122" s="1674"/>
      <c r="C122" s="1681"/>
      <c r="D122" s="1681"/>
      <c r="E122" s="488">
        <v>9</v>
      </c>
      <c r="F122" s="489" t="str">
        <f>F109</f>
        <v>Lactic Hill Reps: 75s x4</v>
      </c>
      <c r="G122" s="489" t="s">
        <v>264</v>
      </c>
      <c r="H122" s="490">
        <f>1.25*4</f>
        <v>5</v>
      </c>
      <c r="I122" s="491">
        <f t="shared" si="19"/>
        <v>1.9</v>
      </c>
      <c r="J122" s="489" t="s">
        <v>249</v>
      </c>
      <c r="K122" s="492">
        <f>1.25*4*4</f>
        <v>20</v>
      </c>
      <c r="L122" s="493" t="str">
        <f t="shared" si="20"/>
        <v>Efforts of: 75s x4
And recoveries as a slow walk back down</v>
      </c>
    </row>
    <row r="123" spans="2:12" ht="42.75" hidden="1" x14ac:dyDescent="0.45">
      <c r="B123" s="1674"/>
      <c r="C123" s="1681"/>
      <c r="D123" s="1681"/>
      <c r="E123" s="498">
        <v>10</v>
      </c>
      <c r="F123" s="489" t="str">
        <f>F110</f>
        <v>Lactic Hill Reps: 75s x6</v>
      </c>
      <c r="G123" s="495" t="s">
        <v>265</v>
      </c>
      <c r="H123" s="499">
        <f>1.25*6</f>
        <v>7.5</v>
      </c>
      <c r="I123" s="496">
        <f t="shared" si="19"/>
        <v>2.9</v>
      </c>
      <c r="J123" s="489" t="s">
        <v>249</v>
      </c>
      <c r="K123" s="492">
        <f>1.25*4*6</f>
        <v>30</v>
      </c>
      <c r="L123" s="493" t="str">
        <f t="shared" si="20"/>
        <v>Efforts of: 75s x6
And recoveries as a slow walk back down</v>
      </c>
    </row>
    <row r="124" spans="2:12" ht="42.75" hidden="1" x14ac:dyDescent="0.45">
      <c r="B124" s="1674"/>
      <c r="C124" s="1681"/>
      <c r="D124" s="1681"/>
      <c r="E124" s="488">
        <v>11</v>
      </c>
      <c r="F124" s="489" t="str">
        <f>F111</f>
        <v>Lactic Hill Reps: 75s x8</v>
      </c>
      <c r="G124" s="489" t="s">
        <v>266</v>
      </c>
      <c r="H124" s="490">
        <f>1.25*8</f>
        <v>10</v>
      </c>
      <c r="I124" s="491">
        <f t="shared" si="19"/>
        <v>3.9</v>
      </c>
      <c r="J124" s="489" t="s">
        <v>249</v>
      </c>
      <c r="K124" s="492">
        <f>1.25*4*8</f>
        <v>40</v>
      </c>
      <c r="L124" s="493" t="str">
        <f t="shared" si="20"/>
        <v>Efforts of: 75s x8
And recoveries as a slow walk back down</v>
      </c>
    </row>
    <row r="125" spans="2:12" ht="42.75" hidden="1" x14ac:dyDescent="0.45">
      <c r="B125" s="1674"/>
      <c r="C125" s="1680"/>
      <c r="D125" s="1680"/>
      <c r="E125" s="498">
        <v>12</v>
      </c>
      <c r="F125" s="489" t="str">
        <f>F112</f>
        <v>Lactic Hill Reps: 75s x10</v>
      </c>
      <c r="G125" s="495" t="s">
        <v>267</v>
      </c>
      <c r="H125" s="499">
        <f>1.25*10</f>
        <v>12.5</v>
      </c>
      <c r="I125" s="496">
        <f t="shared" si="19"/>
        <v>4.9000000000000004</v>
      </c>
      <c r="J125" s="489" t="s">
        <v>249</v>
      </c>
      <c r="K125" s="492">
        <f>1.25*4*10</f>
        <v>50</v>
      </c>
      <c r="L125" s="493" t="str">
        <f t="shared" si="20"/>
        <v>Efforts of: 75s x10
And recoveries as a slow walk back down</v>
      </c>
    </row>
    <row r="126" spans="2:12" ht="42.75" hidden="1" x14ac:dyDescent="0.45">
      <c r="B126" s="1674"/>
      <c r="C126" s="1679" t="s">
        <v>269</v>
      </c>
      <c r="D126" s="1679" t="s">
        <v>272</v>
      </c>
      <c r="E126" s="497">
        <v>1</v>
      </c>
      <c r="F126" s="489" t="str">
        <f>CONCATENATE($C$126, ": ", G126)</f>
        <v>Intensive Sprint Reps: 15s x4</v>
      </c>
      <c r="G126" s="489" t="s">
        <v>248</v>
      </c>
      <c r="H126" s="490">
        <f>0.25*4</f>
        <v>1</v>
      </c>
      <c r="I126" s="491">
        <f t="shared" si="19"/>
        <v>0.4</v>
      </c>
      <c r="J126" s="489" t="s">
        <v>249</v>
      </c>
      <c r="K126" s="492">
        <f>0.25*4*3</f>
        <v>3</v>
      </c>
      <c r="L126" s="493" t="str">
        <f t="shared" si="20"/>
        <v>Efforts of: 15s x4
And recoveries as a slow walk back down</v>
      </c>
    </row>
    <row r="127" spans="2:12" ht="42.75" hidden="1" x14ac:dyDescent="0.45">
      <c r="B127" s="1674"/>
      <c r="C127" s="1681"/>
      <c r="D127" s="1681"/>
      <c r="E127" s="498">
        <v>2</v>
      </c>
      <c r="F127" s="489" t="str">
        <f>CONCATENATE($C$126, ": ", G127)</f>
        <v>Intensive Sprint Reps: 15s x6</v>
      </c>
      <c r="G127" s="495" t="s">
        <v>250</v>
      </c>
      <c r="H127" s="499">
        <f>0.25*6</f>
        <v>1.5</v>
      </c>
      <c r="I127" s="496">
        <f t="shared" si="19"/>
        <v>0.6</v>
      </c>
      <c r="J127" s="489" t="s">
        <v>249</v>
      </c>
      <c r="K127" s="492">
        <f>0.25*4*5</f>
        <v>5</v>
      </c>
      <c r="L127" s="493" t="str">
        <f t="shared" si="20"/>
        <v>Efforts of: 15s x6
And recoveries as a slow walk back down</v>
      </c>
    </row>
    <row r="128" spans="2:12" ht="42.75" hidden="1" x14ac:dyDescent="0.45">
      <c r="B128" s="1674"/>
      <c r="C128" s="1681"/>
      <c r="D128" s="1681"/>
      <c r="E128" s="488">
        <v>3</v>
      </c>
      <c r="F128" s="489" t="str">
        <f>CONCATENATE($C$126, ": ", G128)</f>
        <v>Intensive Sprint Reps: 15s x8</v>
      </c>
      <c r="G128" s="489" t="s">
        <v>251</v>
      </c>
      <c r="H128" s="490">
        <f>0.25*8</f>
        <v>2</v>
      </c>
      <c r="I128" s="491">
        <f t="shared" si="19"/>
        <v>0.8</v>
      </c>
      <c r="J128" s="489" t="s">
        <v>249</v>
      </c>
      <c r="K128" s="492">
        <f>0.25*4*7</f>
        <v>7</v>
      </c>
      <c r="L128" s="493" t="str">
        <f t="shared" si="20"/>
        <v>Efforts of: 15s x8
And recoveries as a slow walk back down</v>
      </c>
    </row>
    <row r="129" spans="2:12" ht="42.75" hidden="1" x14ac:dyDescent="0.45">
      <c r="B129" s="1674"/>
      <c r="C129" s="1681"/>
      <c r="D129" s="1681"/>
      <c r="E129" s="498">
        <v>4</v>
      </c>
      <c r="F129" s="489" t="str">
        <f>CONCATENATE($C$126, ": ", G129)</f>
        <v>Intensive Sprint Reps: 15s x10</v>
      </c>
      <c r="G129" s="495" t="s">
        <v>252</v>
      </c>
      <c r="H129" s="499">
        <f>0.25*10</f>
        <v>2.5</v>
      </c>
      <c r="I129" s="496">
        <f t="shared" si="19"/>
        <v>1</v>
      </c>
      <c r="J129" s="489" t="s">
        <v>249</v>
      </c>
      <c r="K129" s="492">
        <f>0.25*4*9</f>
        <v>9</v>
      </c>
      <c r="L129" s="493" t="str">
        <f t="shared" si="20"/>
        <v>Efforts of: 15s x10
And recoveries as a slow walk back down</v>
      </c>
    </row>
    <row r="130" spans="2:12" ht="42.75" hidden="1" x14ac:dyDescent="0.45">
      <c r="B130" s="1674"/>
      <c r="C130" s="1681"/>
      <c r="D130" s="1680"/>
      <c r="E130" s="498">
        <v>5</v>
      </c>
      <c r="F130" s="489" t="str">
        <f>CONCATENATE($C$126, ": ", G130)</f>
        <v>Intensive Sprint Reps: 15s x12</v>
      </c>
      <c r="G130" s="495" t="s">
        <v>253</v>
      </c>
      <c r="H130" s="499">
        <f>0.25*12</f>
        <v>3</v>
      </c>
      <c r="I130" s="496">
        <f t="shared" si="19"/>
        <v>1.2</v>
      </c>
      <c r="J130" s="489" t="s">
        <v>249</v>
      </c>
      <c r="K130" s="492">
        <f>0.25*4*11</f>
        <v>11</v>
      </c>
      <c r="L130" s="493" t="str">
        <f t="shared" si="20"/>
        <v>Efforts of: 15s x12
And recoveries as a slow walk back down</v>
      </c>
    </row>
    <row r="131" spans="2:12" ht="42.75" hidden="1" x14ac:dyDescent="0.45">
      <c r="B131" s="1674"/>
      <c r="C131" s="1679" t="s">
        <v>537</v>
      </c>
      <c r="D131" s="1679" t="s">
        <v>273</v>
      </c>
      <c r="E131" s="497">
        <v>1</v>
      </c>
      <c r="F131" s="489" t="str">
        <f>CONCATENATE($C$131, ": ", G131)</f>
        <v>Extensive Sprints Reps: 30s x4</v>
      </c>
      <c r="G131" s="489" t="s">
        <v>256</v>
      </c>
      <c r="H131" s="490">
        <f>0.5*4</f>
        <v>2</v>
      </c>
      <c r="I131" s="491">
        <f t="shared" si="19"/>
        <v>0.8</v>
      </c>
      <c r="J131" s="489" t="s">
        <v>249</v>
      </c>
      <c r="K131" s="492">
        <f>0.5*4*3</f>
        <v>6</v>
      </c>
      <c r="L131" s="493" t="str">
        <f t="shared" si="20"/>
        <v>Efforts of: 30s x4
And recoveries as a slow walk back down</v>
      </c>
    </row>
    <row r="132" spans="2:12" ht="42.75" hidden="1" x14ac:dyDescent="0.45">
      <c r="B132" s="1674"/>
      <c r="C132" s="1681"/>
      <c r="D132" s="1681"/>
      <c r="E132" s="498">
        <v>2</v>
      </c>
      <c r="F132" s="489" t="str">
        <f>CONCATENATE($C$131, ": ", G132)</f>
        <v>Extensive Sprints Reps: 30s x6</v>
      </c>
      <c r="G132" s="495" t="s">
        <v>257</v>
      </c>
      <c r="H132" s="499">
        <f>0.5*6</f>
        <v>3</v>
      </c>
      <c r="I132" s="496">
        <f t="shared" si="19"/>
        <v>1.2</v>
      </c>
      <c r="J132" s="489" t="s">
        <v>249</v>
      </c>
      <c r="K132" s="492">
        <f>0.5*4*5</f>
        <v>10</v>
      </c>
      <c r="L132" s="493" t="str">
        <f t="shared" si="20"/>
        <v>Efforts of: 30s x6
And recoveries as a slow walk back down</v>
      </c>
    </row>
    <row r="133" spans="2:12" ht="42.75" hidden="1" x14ac:dyDescent="0.45">
      <c r="B133" s="1674"/>
      <c r="C133" s="1681"/>
      <c r="D133" s="1681"/>
      <c r="E133" s="488">
        <v>3</v>
      </c>
      <c r="F133" s="489" t="str">
        <f>CONCATENATE($C$131, ": ", G133)</f>
        <v>Extensive Sprints Reps: 30s x8</v>
      </c>
      <c r="G133" s="489" t="s">
        <v>258</v>
      </c>
      <c r="H133" s="490">
        <f>0.5*8</f>
        <v>4</v>
      </c>
      <c r="I133" s="491">
        <f t="shared" si="19"/>
        <v>1.6</v>
      </c>
      <c r="J133" s="489" t="s">
        <v>249</v>
      </c>
      <c r="K133" s="492">
        <f>0.5*4*7</f>
        <v>14</v>
      </c>
      <c r="L133" s="493" t="str">
        <f t="shared" si="20"/>
        <v>Efforts of: 30s x8
And recoveries as a slow walk back down</v>
      </c>
    </row>
    <row r="134" spans="2:12" ht="42.75" hidden="1" x14ac:dyDescent="0.45">
      <c r="B134" s="1674"/>
      <c r="C134" s="1681"/>
      <c r="D134" s="1681"/>
      <c r="E134" s="498">
        <v>4</v>
      </c>
      <c r="F134" s="489" t="str">
        <f>CONCATENATE($C$131, ": ", G134)</f>
        <v>Extensive Sprints Reps: 30s x10</v>
      </c>
      <c r="G134" s="495" t="s">
        <v>259</v>
      </c>
      <c r="H134" s="499">
        <f>0.5*10</f>
        <v>5</v>
      </c>
      <c r="I134" s="496">
        <f t="shared" si="19"/>
        <v>1.9</v>
      </c>
      <c r="J134" s="489" t="s">
        <v>249</v>
      </c>
      <c r="K134" s="492">
        <f>0.5*4*9</f>
        <v>18</v>
      </c>
      <c r="L134" s="493" t="str">
        <f t="shared" si="20"/>
        <v>Efforts of: 30s x10
And recoveries as a slow walk back down</v>
      </c>
    </row>
    <row r="135" spans="2:12" ht="30" hidden="1" customHeight="1" x14ac:dyDescent="0.45">
      <c r="B135" s="1674"/>
      <c r="C135" s="1680"/>
      <c r="D135" s="1680"/>
      <c r="E135" s="498">
        <v>5</v>
      </c>
      <c r="F135" s="489" t="str">
        <f>CONCATENATE($C$131, ": ", G135)</f>
        <v>Extensive Sprints Reps: 30s x12</v>
      </c>
      <c r="G135" s="495" t="s">
        <v>260</v>
      </c>
      <c r="H135" s="499">
        <f>0.5*10</f>
        <v>5</v>
      </c>
      <c r="I135" s="496">
        <v>2</v>
      </c>
      <c r="J135" s="489" t="s">
        <v>249</v>
      </c>
      <c r="K135" s="492">
        <f>0.5*4*11</f>
        <v>22</v>
      </c>
      <c r="L135" s="493" t="str">
        <f t="shared" si="20"/>
        <v>Efforts of: 30s x12
And recoveries as a slow walk back down</v>
      </c>
    </row>
    <row r="136" spans="2:12" ht="42.75" hidden="1" x14ac:dyDescent="0.45">
      <c r="B136" s="1674"/>
      <c r="C136" s="1681" t="s">
        <v>261</v>
      </c>
      <c r="D136" s="1679" t="s">
        <v>274</v>
      </c>
      <c r="E136" s="497">
        <v>1</v>
      </c>
      <c r="F136" s="489" t="str">
        <f>CONCATENATE($C$136, ": ", G136)</f>
        <v>Lactic Sprint Reps: 75s x4</v>
      </c>
      <c r="G136" s="489" t="s">
        <v>264</v>
      </c>
      <c r="H136" s="490">
        <f>1.25*4</f>
        <v>5</v>
      </c>
      <c r="I136" s="491">
        <f t="shared" ref="I136:I152" si="21">ROUND(H136/(elements_pace_reps*60*24),1)</f>
        <v>1.9</v>
      </c>
      <c r="J136" s="489" t="s">
        <v>249</v>
      </c>
      <c r="K136" s="492">
        <f>1.25*4*3</f>
        <v>15</v>
      </c>
      <c r="L136" s="493" t="str">
        <f t="shared" si="20"/>
        <v>Efforts of: 75s x4
And recoveries as a slow walk back down</v>
      </c>
    </row>
    <row r="137" spans="2:12" ht="42.75" hidden="1" x14ac:dyDescent="0.45">
      <c r="B137" s="1674"/>
      <c r="C137" s="1681"/>
      <c r="D137" s="1681"/>
      <c r="E137" s="498">
        <v>2</v>
      </c>
      <c r="F137" s="489" t="str">
        <f>CONCATENATE($C$136, ": ", G137)</f>
        <v>Lactic Sprint Reps: 75s x6</v>
      </c>
      <c r="G137" s="495" t="s">
        <v>265</v>
      </c>
      <c r="H137" s="499">
        <f>1.25*6</f>
        <v>7.5</v>
      </c>
      <c r="I137" s="496">
        <f t="shared" si="21"/>
        <v>2.9</v>
      </c>
      <c r="J137" s="489" t="s">
        <v>249</v>
      </c>
      <c r="K137" s="492">
        <f>1.25*4*5</f>
        <v>25</v>
      </c>
      <c r="L137" s="493" t="str">
        <f t="shared" si="20"/>
        <v>Efforts of: 75s x6
And recoveries as a slow walk back down</v>
      </c>
    </row>
    <row r="138" spans="2:12" ht="42.75" hidden="1" x14ac:dyDescent="0.45">
      <c r="B138" s="1674"/>
      <c r="C138" s="1681"/>
      <c r="D138" s="1681"/>
      <c r="E138" s="488">
        <v>3</v>
      </c>
      <c r="F138" s="489" t="str">
        <f>CONCATENATE($C$136, ": ", G138)</f>
        <v>Lactic Sprint Reps: 75s x8</v>
      </c>
      <c r="G138" s="489" t="s">
        <v>266</v>
      </c>
      <c r="H138" s="490">
        <f>1.25*8</f>
        <v>10</v>
      </c>
      <c r="I138" s="491">
        <f t="shared" si="21"/>
        <v>3.9</v>
      </c>
      <c r="J138" s="489" t="s">
        <v>249</v>
      </c>
      <c r="K138" s="492">
        <f>1.25*4*7</f>
        <v>35</v>
      </c>
      <c r="L138" s="493" t="str">
        <f t="shared" si="20"/>
        <v>Efforts of: 75s x8
And recoveries as a slow walk back down</v>
      </c>
    </row>
    <row r="139" spans="2:12" ht="42.75" hidden="1" x14ac:dyDescent="0.45">
      <c r="B139" s="1674"/>
      <c r="C139" s="1681"/>
      <c r="D139" s="1681"/>
      <c r="E139" s="498">
        <v>4</v>
      </c>
      <c r="F139" s="489" t="str">
        <f>CONCATENATE($C$136, ": ", G139)</f>
        <v>Lactic Sprint Reps: 75s x10</v>
      </c>
      <c r="G139" s="495" t="s">
        <v>267</v>
      </c>
      <c r="H139" s="499">
        <f>1.25*10</f>
        <v>12.5</v>
      </c>
      <c r="I139" s="496">
        <f t="shared" si="21"/>
        <v>4.9000000000000004</v>
      </c>
      <c r="J139" s="489" t="s">
        <v>249</v>
      </c>
      <c r="K139" s="492">
        <f>1.25*4*9</f>
        <v>45</v>
      </c>
      <c r="L139" s="493" t="str">
        <f t="shared" si="20"/>
        <v>Efforts of: 75s x10
And recoveries as a slow walk back down</v>
      </c>
    </row>
    <row r="140" spans="2:12" ht="42.75" hidden="1" x14ac:dyDescent="0.45">
      <c r="B140" s="1674"/>
      <c r="C140" s="1680"/>
      <c r="D140" s="1680"/>
      <c r="E140" s="498">
        <v>5</v>
      </c>
      <c r="F140" s="489" t="str">
        <f>CONCATENATE($C$136, ": ", G140)</f>
        <v>Lactic Sprint Reps: 75s x12</v>
      </c>
      <c r="G140" s="495" t="s">
        <v>268</v>
      </c>
      <c r="H140" s="499">
        <f>1.25*12</f>
        <v>15</v>
      </c>
      <c r="I140" s="496">
        <f t="shared" si="21"/>
        <v>5.8</v>
      </c>
      <c r="J140" s="489" t="s">
        <v>249</v>
      </c>
      <c r="K140" s="492">
        <f>1.25*4*11</f>
        <v>55</v>
      </c>
      <c r="L140" s="493" t="str">
        <f t="shared" si="20"/>
        <v>Efforts of: 75s x12
And recoveries as a slow walk back down</v>
      </c>
    </row>
    <row r="141" spans="2:12" ht="30" hidden="1" customHeight="1" x14ac:dyDescent="0.45">
      <c r="B141" s="1674"/>
      <c r="C141" s="1679" t="s">
        <v>292</v>
      </c>
      <c r="D141" s="1679" t="s">
        <v>275</v>
      </c>
      <c r="E141" s="497">
        <v>1</v>
      </c>
      <c r="F141" s="489" t="str">
        <f>F126</f>
        <v>Intensive Sprint Reps: 15s x4</v>
      </c>
      <c r="G141" s="489" t="s">
        <v>248</v>
      </c>
      <c r="H141" s="490">
        <f>0.25*4</f>
        <v>1</v>
      </c>
      <c r="I141" s="491">
        <f t="shared" si="21"/>
        <v>0.4</v>
      </c>
      <c r="J141" s="489" t="s">
        <v>249</v>
      </c>
      <c r="K141" s="492">
        <f>0.25*4*3</f>
        <v>3</v>
      </c>
      <c r="L141" s="493" t="str">
        <f t="shared" ref="L141:L152" si="22">CONCATENATE("Efforts of: ",G141,"
And recoveries as ", J141)</f>
        <v>Efforts of: 15s x4
And recoveries as a slow walk back down</v>
      </c>
    </row>
    <row r="142" spans="2:12" ht="42.75" hidden="1" x14ac:dyDescent="0.45">
      <c r="B142" s="1674"/>
      <c r="C142" s="1681"/>
      <c r="D142" s="1681"/>
      <c r="E142" s="498">
        <v>2</v>
      </c>
      <c r="F142" s="489" t="str">
        <f>F127</f>
        <v>Intensive Sprint Reps: 15s x6</v>
      </c>
      <c r="G142" s="495" t="s">
        <v>250</v>
      </c>
      <c r="H142" s="499">
        <f>0.25*6</f>
        <v>1.5</v>
      </c>
      <c r="I142" s="496">
        <f t="shared" si="21"/>
        <v>0.6</v>
      </c>
      <c r="J142" s="489" t="s">
        <v>249</v>
      </c>
      <c r="K142" s="492">
        <f>0.25*4*5</f>
        <v>5</v>
      </c>
      <c r="L142" s="493" t="str">
        <f t="shared" si="22"/>
        <v>Efforts of: 15s x6
And recoveries as a slow walk back down</v>
      </c>
    </row>
    <row r="143" spans="2:12" ht="42.75" hidden="1" x14ac:dyDescent="0.45">
      <c r="B143" s="1674"/>
      <c r="C143" s="1681"/>
      <c r="D143" s="1681"/>
      <c r="E143" s="488">
        <v>3</v>
      </c>
      <c r="F143" s="489" t="str">
        <f>F128</f>
        <v>Intensive Sprint Reps: 15s x8</v>
      </c>
      <c r="G143" s="489" t="s">
        <v>251</v>
      </c>
      <c r="H143" s="490">
        <f>0.25*8</f>
        <v>2</v>
      </c>
      <c r="I143" s="491">
        <f t="shared" si="21"/>
        <v>0.8</v>
      </c>
      <c r="J143" s="489" t="s">
        <v>249</v>
      </c>
      <c r="K143" s="492">
        <f>0.25*4*7</f>
        <v>7</v>
      </c>
      <c r="L143" s="493" t="str">
        <f t="shared" si="22"/>
        <v>Efforts of: 15s x8
And recoveries as a slow walk back down</v>
      </c>
    </row>
    <row r="144" spans="2:12" ht="42.75" hidden="1" x14ac:dyDescent="0.45">
      <c r="B144" s="1674"/>
      <c r="C144" s="1681"/>
      <c r="D144" s="1681"/>
      <c r="E144" s="498">
        <v>4</v>
      </c>
      <c r="F144" s="489" t="str">
        <f>F129</f>
        <v>Intensive Sprint Reps: 15s x10</v>
      </c>
      <c r="G144" s="495" t="s">
        <v>252</v>
      </c>
      <c r="H144" s="499">
        <f>0.25*10</f>
        <v>2.5</v>
      </c>
      <c r="I144" s="496">
        <f t="shared" si="21"/>
        <v>1</v>
      </c>
      <c r="J144" s="489" t="s">
        <v>249</v>
      </c>
      <c r="K144" s="492">
        <f>0.25*4*9</f>
        <v>9</v>
      </c>
      <c r="L144" s="493" t="str">
        <f t="shared" si="22"/>
        <v>Efforts of: 15s x10
And recoveries as a slow walk back down</v>
      </c>
    </row>
    <row r="145" spans="2:12" ht="30" hidden="1" customHeight="1" x14ac:dyDescent="0.45">
      <c r="B145" s="1674"/>
      <c r="C145" s="1681"/>
      <c r="D145" s="1681"/>
      <c r="E145" s="488">
        <v>5</v>
      </c>
      <c r="F145" s="489" t="str">
        <f>F131</f>
        <v>Extensive Sprints Reps: 30s x4</v>
      </c>
      <c r="G145" s="489" t="s">
        <v>256</v>
      </c>
      <c r="H145" s="490">
        <f>0.5*4</f>
        <v>2</v>
      </c>
      <c r="I145" s="491">
        <f t="shared" si="21"/>
        <v>0.8</v>
      </c>
      <c r="J145" s="489" t="s">
        <v>249</v>
      </c>
      <c r="K145" s="492">
        <f>0.5*4*4</f>
        <v>8</v>
      </c>
      <c r="L145" s="493" t="str">
        <f t="shared" si="22"/>
        <v>Efforts of: 30s x4
And recoveries as a slow walk back down</v>
      </c>
    </row>
    <row r="146" spans="2:12" ht="42.75" hidden="1" x14ac:dyDescent="0.45">
      <c r="B146" s="1674"/>
      <c r="C146" s="1681"/>
      <c r="D146" s="1681"/>
      <c r="E146" s="498">
        <v>6</v>
      </c>
      <c r="F146" s="489" t="str">
        <f>F132</f>
        <v>Extensive Sprints Reps: 30s x6</v>
      </c>
      <c r="G146" s="495" t="s">
        <v>257</v>
      </c>
      <c r="H146" s="499">
        <f>0.5*6</f>
        <v>3</v>
      </c>
      <c r="I146" s="496">
        <f t="shared" si="21"/>
        <v>1.2</v>
      </c>
      <c r="J146" s="489" t="s">
        <v>249</v>
      </c>
      <c r="K146" s="492">
        <f>0.5*4*6</f>
        <v>12</v>
      </c>
      <c r="L146" s="493" t="str">
        <f t="shared" si="22"/>
        <v>Efforts of: 30s x6
And recoveries as a slow walk back down</v>
      </c>
    </row>
    <row r="147" spans="2:12" ht="42.75" hidden="1" x14ac:dyDescent="0.45">
      <c r="B147" s="1674"/>
      <c r="C147" s="1681"/>
      <c r="D147" s="1681"/>
      <c r="E147" s="488">
        <v>7</v>
      </c>
      <c r="F147" s="489" t="str">
        <f>F133</f>
        <v>Extensive Sprints Reps: 30s x8</v>
      </c>
      <c r="G147" s="489" t="s">
        <v>258</v>
      </c>
      <c r="H147" s="490">
        <f>0.5*8</f>
        <v>4</v>
      </c>
      <c r="I147" s="491">
        <f t="shared" si="21"/>
        <v>1.6</v>
      </c>
      <c r="J147" s="489" t="s">
        <v>249</v>
      </c>
      <c r="K147" s="492">
        <f>0.5*4*8</f>
        <v>16</v>
      </c>
      <c r="L147" s="493" t="str">
        <f t="shared" si="22"/>
        <v>Efforts of: 30s x8
And recoveries as a slow walk back down</v>
      </c>
    </row>
    <row r="148" spans="2:12" ht="30" hidden="1" customHeight="1" x14ac:dyDescent="0.45">
      <c r="B148" s="1674"/>
      <c r="C148" s="1681"/>
      <c r="D148" s="1681"/>
      <c r="E148" s="498">
        <v>8</v>
      </c>
      <c r="F148" s="489" t="str">
        <f>F134</f>
        <v>Extensive Sprints Reps: 30s x10</v>
      </c>
      <c r="G148" s="495" t="s">
        <v>259</v>
      </c>
      <c r="H148" s="499">
        <f>0.5*10</f>
        <v>5</v>
      </c>
      <c r="I148" s="496">
        <f t="shared" si="21"/>
        <v>1.9</v>
      </c>
      <c r="J148" s="489" t="s">
        <v>249</v>
      </c>
      <c r="K148" s="492">
        <f>0.5*4*10</f>
        <v>20</v>
      </c>
      <c r="L148" s="493" t="str">
        <f t="shared" si="22"/>
        <v>Efforts of: 30s x10
And recoveries as a slow walk back down</v>
      </c>
    </row>
    <row r="149" spans="2:12" ht="30" hidden="1" customHeight="1" x14ac:dyDescent="0.45">
      <c r="B149" s="1674"/>
      <c r="C149" s="1681"/>
      <c r="D149" s="1681"/>
      <c r="E149" s="488">
        <v>9</v>
      </c>
      <c r="F149" s="489" t="str">
        <f>F136</f>
        <v>Lactic Sprint Reps: 75s x4</v>
      </c>
      <c r="G149" s="489" t="s">
        <v>264</v>
      </c>
      <c r="H149" s="490">
        <f>1.25*4</f>
        <v>5</v>
      </c>
      <c r="I149" s="491">
        <f t="shared" si="21"/>
        <v>1.9</v>
      </c>
      <c r="J149" s="489" t="s">
        <v>249</v>
      </c>
      <c r="K149" s="492">
        <f>1.25*4*4</f>
        <v>20</v>
      </c>
      <c r="L149" s="493" t="str">
        <f t="shared" si="22"/>
        <v>Efforts of: 75s x4
And recoveries as a slow walk back down</v>
      </c>
    </row>
    <row r="150" spans="2:12" ht="42.75" hidden="1" x14ac:dyDescent="0.45">
      <c r="B150" s="1674"/>
      <c r="C150" s="1681"/>
      <c r="D150" s="1681"/>
      <c r="E150" s="498">
        <v>10</v>
      </c>
      <c r="F150" s="489" t="str">
        <f>F137</f>
        <v>Lactic Sprint Reps: 75s x6</v>
      </c>
      <c r="G150" s="495" t="s">
        <v>265</v>
      </c>
      <c r="H150" s="499">
        <f>1.25*6</f>
        <v>7.5</v>
      </c>
      <c r="I150" s="496">
        <f t="shared" si="21"/>
        <v>2.9</v>
      </c>
      <c r="J150" s="489" t="s">
        <v>249</v>
      </c>
      <c r="K150" s="492">
        <f>1.25*4*6</f>
        <v>30</v>
      </c>
      <c r="L150" s="493" t="str">
        <f t="shared" si="22"/>
        <v>Efforts of: 75s x6
And recoveries as a slow walk back down</v>
      </c>
    </row>
    <row r="151" spans="2:12" ht="42.75" hidden="1" x14ac:dyDescent="0.45">
      <c r="B151" s="1674"/>
      <c r="C151" s="1681"/>
      <c r="D151" s="1681"/>
      <c r="E151" s="488">
        <v>11</v>
      </c>
      <c r="F151" s="489" t="str">
        <f>F138</f>
        <v>Lactic Sprint Reps: 75s x8</v>
      </c>
      <c r="G151" s="489" t="s">
        <v>266</v>
      </c>
      <c r="H151" s="490">
        <f>1.25*8</f>
        <v>10</v>
      </c>
      <c r="I151" s="491">
        <f t="shared" si="21"/>
        <v>3.9</v>
      </c>
      <c r="J151" s="489" t="s">
        <v>249</v>
      </c>
      <c r="K151" s="492">
        <f>1.25*4*8</f>
        <v>40</v>
      </c>
      <c r="L151" s="493" t="str">
        <f t="shared" si="22"/>
        <v>Efforts of: 75s x8
And recoveries as a slow walk back down</v>
      </c>
    </row>
    <row r="152" spans="2:12" ht="42.75" hidden="1" x14ac:dyDescent="0.45">
      <c r="B152" s="1674"/>
      <c r="C152" s="1680"/>
      <c r="D152" s="1680"/>
      <c r="E152" s="498">
        <v>12</v>
      </c>
      <c r="F152" s="489" t="str">
        <f>F139</f>
        <v>Lactic Sprint Reps: 75s x10</v>
      </c>
      <c r="G152" s="495" t="s">
        <v>267</v>
      </c>
      <c r="H152" s="499">
        <f>1.25*10</f>
        <v>12.5</v>
      </c>
      <c r="I152" s="496">
        <f t="shared" si="21"/>
        <v>4.9000000000000004</v>
      </c>
      <c r="J152" s="489" t="s">
        <v>249</v>
      </c>
      <c r="K152" s="492">
        <f>1.25*4*10</f>
        <v>50</v>
      </c>
      <c r="L152" s="493" t="str">
        <f t="shared" si="22"/>
        <v>Efforts of: 75s x10
And recoveries as a slow walk back down</v>
      </c>
    </row>
    <row r="153" spans="2:12" ht="58.15" hidden="1" x14ac:dyDescent="0.45">
      <c r="B153" s="1674"/>
      <c r="C153" s="1007" t="s">
        <v>276</v>
      </c>
      <c r="D153" s="1007" t="s">
        <v>277</v>
      </c>
      <c r="E153" s="1008">
        <f>ROUND(Intervals!$H153,0)</f>
        <v>4</v>
      </c>
      <c r="F153" s="1009" t="s">
        <v>276</v>
      </c>
      <c r="G153" s="1008" t="s">
        <v>278</v>
      </c>
      <c r="H153" s="1010">
        <f>0.25*8*2</f>
        <v>4</v>
      </c>
      <c r="I153" s="1011">
        <f>ROUND(H153/(elements_pace_reps*60*24),1)</f>
        <v>1.6</v>
      </c>
      <c r="J153" s="1008" t="s">
        <v>279</v>
      </c>
      <c r="K153" s="1012">
        <f>1.25*4*4</f>
        <v>20</v>
      </c>
      <c r="L153" s="1013" t="str">
        <f>CONCATENATE("Efforts of: ",G153,"
And recoveries of: ", J153)</f>
        <v>Efforts of: (15sec hard, 15sec  easy) x8, 2 minutes easy,  (15sec hard, 15sec  easy) x8
And recoveries of: Jog</v>
      </c>
    </row>
    <row r="154" spans="2:12" ht="73.5" hidden="1" x14ac:dyDescent="0.45">
      <c r="B154" s="1014" t="s">
        <v>553</v>
      </c>
      <c r="C154" s="1015" t="s">
        <v>555</v>
      </c>
      <c r="D154" s="1016" t="s">
        <v>554</v>
      </c>
      <c r="E154" s="1003" t="e">
        <f>ROUND(Intervals!$H154,0)</f>
        <v>#VALUE!</v>
      </c>
      <c r="F154" s="1004" t="s">
        <v>556</v>
      </c>
      <c r="G154" s="1004" t="s">
        <v>212</v>
      </c>
      <c r="H154" s="1005" t="e">
        <f>ROUND(I154*60*24*IFERROR(0.621371192/(29.54+5.000663*(athlete_VDOT*(athlete_calibration_VDOT+(1-athlete_calibration_VDOT)*(element_HR_percent-(athlete_calibration_HR/athlete_HR_max_run))/(1-athlete_calibration_HR/athlete_HR_max_run)))-0.007546*(athlete_VDOT*(athlete_calibration_VDOT+(1-athlete_calibration_VDOT)*(element_HR_percent-(athlete_calibration_HR/athlete_HR_max_run))/(1-athlete_calibration_HR/athlete_HR_max_run)))^2)*1609.344/1440,""),1)</f>
        <v>#VALUE!</v>
      </c>
      <c r="I154" s="1006">
        <f>2 *1</f>
        <v>2</v>
      </c>
      <c r="J154" s="1004" t="s">
        <v>521</v>
      </c>
      <c r="K154" s="1017">
        <f>3 *0</f>
        <v>0</v>
      </c>
      <c r="L154" s="1005" t="str">
        <f>CONCATENATE("Efforts of: ",G154,"
And recoveries of: ", J154)</f>
        <v>Efforts of: 2km x1
And recoveries of: 3 minutes</v>
      </c>
    </row>
    <row r="155" spans="2:12" hidden="1" x14ac:dyDescent="0.45">
      <c r="B155" s="1014"/>
      <c r="C155" s="1015"/>
      <c r="D155" s="1016"/>
      <c r="E155" s="1004"/>
      <c r="F155" s="1004"/>
      <c r="G155" s="1004"/>
      <c r="H155" s="1004"/>
      <c r="I155" s="1004"/>
      <c r="J155" s="1004"/>
      <c r="K155" s="1004"/>
      <c r="L155" s="1004"/>
    </row>
    <row r="156" spans="2:12" ht="120.75" hidden="1" x14ac:dyDescent="0.45">
      <c r="B156" s="1014"/>
      <c r="C156" s="1015" t="s">
        <v>552</v>
      </c>
      <c r="D156" s="1016"/>
      <c r="E156" s="1004"/>
      <c r="F156" s="1004"/>
      <c r="G156" s="1004"/>
      <c r="H156" s="1004"/>
      <c r="I156" s="1004"/>
      <c r="J156" s="1004"/>
      <c r="K156" s="1004"/>
      <c r="L156" s="1004"/>
    </row>
    <row r="157" spans="2:12" hidden="1" x14ac:dyDescent="0.45">
      <c r="B157" s="1014"/>
      <c r="C157" s="1016"/>
      <c r="D157" s="1016"/>
      <c r="E157" s="1004"/>
      <c r="F157" s="1004"/>
      <c r="G157" s="1004"/>
      <c r="H157" s="1004"/>
      <c r="I157" s="1004"/>
      <c r="J157" s="1004"/>
      <c r="K157" s="1004"/>
      <c r="L157" s="1004"/>
    </row>
    <row r="158" spans="2:12" hidden="1" x14ac:dyDescent="0.45">
      <c r="B158" s="1014"/>
      <c r="C158" s="1016"/>
      <c r="D158" s="1016"/>
      <c r="E158" s="1004"/>
      <c r="F158" s="1004"/>
      <c r="G158" s="1004"/>
      <c r="H158" s="1004"/>
      <c r="I158" s="1004"/>
      <c r="J158" s="1004"/>
      <c r="K158" s="1004"/>
      <c r="L158" s="1004"/>
    </row>
    <row r="159" spans="2:12" hidden="1" x14ac:dyDescent="0.45">
      <c r="B159" s="1014"/>
      <c r="C159" s="1016"/>
      <c r="D159" s="1016"/>
      <c r="E159" s="1004"/>
      <c r="F159" s="1004"/>
      <c r="G159" s="1004"/>
      <c r="H159" s="1004"/>
      <c r="I159" s="1004"/>
      <c r="J159" s="1004"/>
      <c r="K159" s="1004"/>
      <c r="L159" s="1004"/>
    </row>
    <row r="160" spans="2:12" hidden="1" x14ac:dyDescent="0.45">
      <c r="B160" s="1014"/>
      <c r="C160" s="1016"/>
      <c r="D160" s="1016"/>
      <c r="E160" s="1004"/>
      <c r="F160" s="1004"/>
      <c r="G160" s="1004"/>
      <c r="H160" s="1004"/>
      <c r="I160" s="1004"/>
      <c r="J160" s="1004"/>
      <c r="K160" s="1004"/>
      <c r="L160" s="1004"/>
    </row>
    <row r="161" spans="2:12" hidden="1" x14ac:dyDescent="0.45">
      <c r="B161" s="1014"/>
      <c r="C161" s="1016"/>
      <c r="D161" s="1016"/>
      <c r="E161" s="1004"/>
      <c r="F161" s="1004"/>
      <c r="G161" s="1004"/>
      <c r="H161" s="1004"/>
      <c r="I161" s="1004"/>
      <c r="J161" s="1004"/>
      <c r="K161" s="1004"/>
      <c r="L161" s="1004"/>
    </row>
    <row r="162" spans="2:12" hidden="1" x14ac:dyDescent="0.45">
      <c r="B162" s="1014"/>
      <c r="C162" s="1016"/>
      <c r="D162" s="1016"/>
      <c r="E162" s="1004"/>
      <c r="F162" s="1004"/>
      <c r="G162" s="1004"/>
      <c r="H162" s="1004"/>
      <c r="I162" s="1004"/>
      <c r="J162" s="1004"/>
      <c r="K162" s="1004"/>
      <c r="L162" s="1004"/>
    </row>
    <row r="163" spans="2:12" hidden="1" x14ac:dyDescent="0.45">
      <c r="B163" s="1014"/>
      <c r="C163" s="1016"/>
      <c r="D163" s="1016"/>
      <c r="E163" s="1004"/>
      <c r="F163" s="1004"/>
      <c r="G163" s="1004"/>
      <c r="H163" s="1004"/>
      <c r="I163" s="1004"/>
      <c r="J163" s="1004"/>
      <c r="K163" s="1004"/>
      <c r="L163" s="1004"/>
    </row>
    <row r="164" spans="2:12" hidden="1" x14ac:dyDescent="0.45">
      <c r="B164" s="1014"/>
      <c r="C164" s="1016"/>
      <c r="D164" s="1016"/>
      <c r="E164" s="1004"/>
      <c r="F164" s="1004"/>
      <c r="G164" s="1004"/>
      <c r="H164" s="1004"/>
      <c r="I164" s="1004"/>
      <c r="J164" s="1004"/>
      <c r="K164" s="1004"/>
      <c r="L164" s="1004"/>
    </row>
    <row r="165" spans="2:12" hidden="1" x14ac:dyDescent="0.45">
      <c r="B165" s="1014"/>
      <c r="C165" s="1016"/>
      <c r="D165" s="1016"/>
      <c r="E165" s="1004"/>
      <c r="F165" s="1004"/>
      <c r="G165" s="1004"/>
      <c r="H165" s="1004"/>
      <c r="I165" s="1004"/>
      <c r="J165" s="1004"/>
      <c r="K165" s="1004"/>
      <c r="L165" s="1004"/>
    </row>
    <row r="166" spans="2:12" hidden="1" x14ac:dyDescent="0.45">
      <c r="B166" s="1014"/>
      <c r="C166" s="1016"/>
      <c r="D166" s="1016"/>
      <c r="E166" s="1004"/>
      <c r="F166" s="1004"/>
      <c r="G166" s="1004"/>
      <c r="H166" s="1004"/>
      <c r="I166" s="1004"/>
      <c r="J166" s="1004"/>
      <c r="K166" s="1004"/>
      <c r="L166" s="1004"/>
    </row>
    <row r="167" spans="2:12" hidden="1" x14ac:dyDescent="0.45">
      <c r="B167" s="1014"/>
      <c r="C167" s="1016"/>
      <c r="D167" s="1016"/>
      <c r="E167" s="1004"/>
      <c r="F167" s="1004"/>
      <c r="G167" s="1004"/>
      <c r="H167" s="1004"/>
      <c r="I167" s="1004"/>
      <c r="J167" s="1004"/>
      <c r="K167" s="1004"/>
      <c r="L167" s="1004"/>
    </row>
    <row r="168" spans="2:12" hidden="1" x14ac:dyDescent="0.45">
      <c r="B168" s="1004"/>
      <c r="C168" s="1018"/>
      <c r="D168" s="1018"/>
      <c r="E168" s="1004"/>
      <c r="F168" s="1004"/>
      <c r="G168" s="1004"/>
      <c r="H168" s="1004"/>
      <c r="I168" s="1004"/>
      <c r="J168" s="1004"/>
      <c r="K168" s="1004"/>
      <c r="L168" s="1004"/>
    </row>
    <row r="169" spans="2:12" hidden="1" x14ac:dyDescent="0.45">
      <c r="B169" s="1004"/>
      <c r="C169" s="1018"/>
      <c r="D169" s="1018"/>
      <c r="E169" s="1004"/>
      <c r="F169" s="1004"/>
      <c r="G169" s="1004"/>
      <c r="H169" s="1004"/>
      <c r="I169" s="1004"/>
      <c r="J169" s="1004"/>
      <c r="K169" s="1004"/>
      <c r="L169" s="1004"/>
    </row>
    <row r="170" spans="2:12" hidden="1" x14ac:dyDescent="0.45">
      <c r="B170" s="1004"/>
      <c r="C170" s="1018"/>
      <c r="D170" s="1018"/>
      <c r="E170" s="1004"/>
      <c r="F170" s="1004"/>
      <c r="G170" s="1004"/>
      <c r="H170" s="1004"/>
      <c r="I170" s="1004"/>
      <c r="J170" s="1004"/>
      <c r="K170" s="1004"/>
      <c r="L170" s="1004"/>
    </row>
    <row r="171" spans="2:12" hidden="1" x14ac:dyDescent="0.45">
      <c r="B171" s="1004"/>
      <c r="C171" s="1018"/>
      <c r="D171" s="1018"/>
      <c r="E171" s="1004"/>
      <c r="F171" s="1004"/>
      <c r="G171" s="1004"/>
      <c r="H171" s="1004"/>
      <c r="I171" s="1004"/>
      <c r="J171" s="1004"/>
      <c r="K171" s="1004"/>
      <c r="L171" s="1004"/>
    </row>
    <row r="172" spans="2:12" hidden="1" x14ac:dyDescent="0.45">
      <c r="B172" s="1004"/>
      <c r="C172" s="1018"/>
      <c r="D172" s="1018"/>
      <c r="E172" s="1004"/>
      <c r="F172" s="1004"/>
      <c r="G172" s="1004"/>
      <c r="H172" s="1004"/>
      <c r="I172" s="1004"/>
      <c r="J172" s="1004"/>
      <c r="K172" s="1004"/>
      <c r="L172" s="1004"/>
    </row>
    <row r="173" spans="2:12" hidden="1" x14ac:dyDescent="0.45">
      <c r="B173" s="1004"/>
      <c r="C173" s="1018"/>
      <c r="D173" s="1018"/>
      <c r="E173" s="1004"/>
      <c r="F173" s="1004"/>
      <c r="G173" s="1004"/>
      <c r="H173" s="1004"/>
      <c r="I173" s="1004"/>
      <c r="J173" s="1004"/>
      <c r="K173" s="1004"/>
      <c r="L173" s="1004"/>
    </row>
    <row r="174" spans="2:12" hidden="1" x14ac:dyDescent="0.45">
      <c r="B174" s="1004"/>
      <c r="C174" s="1018"/>
      <c r="D174" s="1018"/>
      <c r="E174" s="1004"/>
      <c r="F174" s="1004"/>
      <c r="G174" s="1004"/>
      <c r="H174" s="1004"/>
      <c r="I174" s="1004"/>
      <c r="J174" s="1004"/>
      <c r="K174" s="1004"/>
      <c r="L174" s="1004"/>
    </row>
    <row r="175" spans="2:12" hidden="1" x14ac:dyDescent="0.45">
      <c r="B175" s="1004"/>
      <c r="C175" s="1018"/>
      <c r="D175" s="1018"/>
      <c r="E175" s="1004"/>
      <c r="F175" s="1004"/>
      <c r="G175" s="1004"/>
      <c r="H175" s="1004"/>
      <c r="I175" s="1004"/>
      <c r="J175" s="1004"/>
      <c r="K175" s="1004"/>
      <c r="L175" s="1004"/>
    </row>
    <row r="176" spans="2:12" hidden="1" x14ac:dyDescent="0.45">
      <c r="B176" s="1004"/>
      <c r="C176" s="1018"/>
      <c r="D176" s="1018"/>
      <c r="E176" s="1004"/>
      <c r="F176" s="1004"/>
      <c r="G176" s="1004"/>
      <c r="H176" s="1004"/>
      <c r="I176" s="1004"/>
      <c r="J176" s="1004"/>
      <c r="K176" s="1004"/>
      <c r="L176" s="1004"/>
    </row>
    <row r="177" spans="2:12" hidden="1" x14ac:dyDescent="0.45">
      <c r="B177" s="1004"/>
      <c r="C177" s="1018"/>
      <c r="D177" s="1018"/>
      <c r="E177" s="1004"/>
      <c r="F177" s="1004"/>
      <c r="G177" s="1004"/>
      <c r="H177" s="1004"/>
      <c r="I177" s="1004"/>
      <c r="J177" s="1004"/>
      <c r="K177" s="1004"/>
      <c r="L177" s="1004"/>
    </row>
    <row r="178" spans="2:12" hidden="1" x14ac:dyDescent="0.45">
      <c r="B178" s="1004"/>
      <c r="C178" s="1018"/>
      <c r="D178" s="1018"/>
      <c r="E178" s="1004"/>
      <c r="F178" s="1004"/>
      <c r="G178" s="1004"/>
      <c r="H178" s="1004"/>
      <c r="I178" s="1004"/>
      <c r="J178" s="1004"/>
      <c r="K178" s="1004"/>
      <c r="L178" s="1004"/>
    </row>
    <row r="179" spans="2:12" hidden="1" x14ac:dyDescent="0.45"/>
    <row r="180" spans="2:12" hidden="1" x14ac:dyDescent="0.45"/>
    <row r="181" spans="2:12" hidden="1" x14ac:dyDescent="0.45"/>
    <row r="182" spans="2:12" hidden="1" x14ac:dyDescent="0.45"/>
    <row r="183" spans="2:12" hidden="1" x14ac:dyDescent="0.45"/>
    <row r="184" spans="2:12" hidden="1" x14ac:dyDescent="0.45"/>
    <row r="185" spans="2:12" hidden="1" x14ac:dyDescent="0.45"/>
    <row r="186" spans="2:12" hidden="1" x14ac:dyDescent="0.45"/>
    <row r="187" spans="2:12" hidden="1" x14ac:dyDescent="0.45"/>
    <row r="188" spans="2:12" hidden="1" x14ac:dyDescent="0.45"/>
    <row r="189" spans="2:12" hidden="1" x14ac:dyDescent="0.45"/>
    <row r="190" spans="2:12" hidden="1" x14ac:dyDescent="0.45"/>
    <row r="191" spans="2:12" hidden="1" x14ac:dyDescent="0.45"/>
    <row r="192" spans="2:1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8f5B5SM26G9m34CwKTiJJZczJDyAC687zkik3DrIapAgAC3UOpTI8rBrmpomJf7BcWVdCQ780C0nMzk5YavZWQ==" saltValue="0XBApAYRwmPKfgCtDNziIQ==" spinCount="100000" sheet="1" objects="1" scenarios="1" selectLockedCells="1" selectUnlockedCells="1"/>
  <mergeCells count="57">
    <mergeCell ref="C13:C16"/>
    <mergeCell ref="D13:D16"/>
    <mergeCell ref="C126:C130"/>
    <mergeCell ref="D126:D130"/>
    <mergeCell ref="D109:D113"/>
    <mergeCell ref="D29:D31"/>
    <mergeCell ref="D86:D89"/>
    <mergeCell ref="D84:D85"/>
    <mergeCell ref="D68:D71"/>
    <mergeCell ref="D72:D75"/>
    <mergeCell ref="D76:D79"/>
    <mergeCell ref="D90:D96"/>
    <mergeCell ref="D97:D98"/>
    <mergeCell ref="D99:D103"/>
    <mergeCell ref="D104:D108"/>
    <mergeCell ref="D131:D135"/>
    <mergeCell ref="D114:D125"/>
    <mergeCell ref="D136:D140"/>
    <mergeCell ref="D141:D152"/>
    <mergeCell ref="C114:C125"/>
    <mergeCell ref="C141:C152"/>
    <mergeCell ref="D9:D12"/>
    <mergeCell ref="D17:D20"/>
    <mergeCell ref="D56:D61"/>
    <mergeCell ref="D32:D43"/>
    <mergeCell ref="D21:D24"/>
    <mergeCell ref="D44:D55"/>
    <mergeCell ref="B97:B153"/>
    <mergeCell ref="B25:B28"/>
    <mergeCell ref="C86:C89"/>
    <mergeCell ref="C29:C31"/>
    <mergeCell ref="C97:C98"/>
    <mergeCell ref="C99:C103"/>
    <mergeCell ref="C104:C108"/>
    <mergeCell ref="C109:C113"/>
    <mergeCell ref="C90:C96"/>
    <mergeCell ref="C136:C140"/>
    <mergeCell ref="C84:C85"/>
    <mergeCell ref="C68:C71"/>
    <mergeCell ref="C72:C75"/>
    <mergeCell ref="C131:C135"/>
    <mergeCell ref="B2:D3"/>
    <mergeCell ref="B4:D4"/>
    <mergeCell ref="B5:D5"/>
    <mergeCell ref="D62:D67"/>
    <mergeCell ref="C80:C83"/>
    <mergeCell ref="D80:D83"/>
    <mergeCell ref="B9:B24"/>
    <mergeCell ref="C9:C12"/>
    <mergeCell ref="C17:C20"/>
    <mergeCell ref="C56:C61"/>
    <mergeCell ref="C32:C43"/>
    <mergeCell ref="C21:C24"/>
    <mergeCell ref="B29:B96"/>
    <mergeCell ref="C76:C79"/>
    <mergeCell ref="C44:C55"/>
    <mergeCell ref="C62:C67"/>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theme="5" tint="0.59999389629810485"/>
  </sheetPr>
  <dimension ref="B1:P2000"/>
  <sheetViews>
    <sheetView showGridLines="0" showRowColHeaders="0" topLeftCell="A2001" zoomScale="70" zoomScaleNormal="70" workbookViewId="0">
      <selection activeCell="P9" sqref="P9"/>
    </sheetView>
  </sheetViews>
  <sheetFormatPr defaultRowHeight="14.25" x14ac:dyDescent="0.45"/>
  <cols>
    <col min="1" max="1" width="1.3984375" customWidth="1"/>
    <col min="2" max="2" width="21" bestFit="1" customWidth="1"/>
    <col min="3" max="16" width="31.1328125" customWidth="1"/>
  </cols>
  <sheetData>
    <row r="1" spans="2:16" ht="7.5" hidden="1" customHeight="1" thickBot="1" x14ac:dyDescent="0.5"/>
    <row r="2" spans="2:16" hidden="1" x14ac:dyDescent="0.45">
      <c r="B2" s="452"/>
      <c r="C2" s="992" t="s">
        <v>542</v>
      </c>
      <c r="D2" s="992" t="s">
        <v>452</v>
      </c>
      <c r="E2" s="992" t="s">
        <v>51</v>
      </c>
      <c r="F2" s="992" t="s">
        <v>463</v>
      </c>
      <c r="G2" s="992" t="s">
        <v>464</v>
      </c>
      <c r="H2" s="992" t="s">
        <v>465</v>
      </c>
      <c r="I2" s="992" t="s">
        <v>460</v>
      </c>
      <c r="J2" s="992" t="s">
        <v>462</v>
      </c>
      <c r="K2" s="992" t="s">
        <v>466</v>
      </c>
      <c r="L2" s="992" t="s">
        <v>467</v>
      </c>
      <c r="M2" s="992" t="s">
        <v>468</v>
      </c>
      <c r="N2" s="1189" t="s">
        <v>627</v>
      </c>
      <c r="O2" s="992" t="s">
        <v>52</v>
      </c>
      <c r="P2" s="993" t="s">
        <v>53</v>
      </c>
    </row>
    <row r="3" spans="2:16" hidden="1" x14ac:dyDescent="0.45">
      <c r="B3" s="691"/>
      <c r="C3" s="692">
        <v>1</v>
      </c>
      <c r="D3" s="692">
        <v>2</v>
      </c>
      <c r="E3" s="692">
        <v>3</v>
      </c>
      <c r="F3" s="692">
        <v>4</v>
      </c>
      <c r="G3" s="692">
        <v>5</v>
      </c>
      <c r="H3" s="692">
        <v>6</v>
      </c>
      <c r="I3" s="692">
        <v>7</v>
      </c>
      <c r="J3" s="692">
        <v>8</v>
      </c>
      <c r="K3" s="692">
        <v>9</v>
      </c>
      <c r="L3" s="692">
        <v>10</v>
      </c>
      <c r="M3" s="692">
        <v>11</v>
      </c>
      <c r="N3" s="1190">
        <v>12</v>
      </c>
      <c r="O3" s="692">
        <v>13</v>
      </c>
      <c r="P3" s="693">
        <v>14</v>
      </c>
    </row>
    <row r="4" spans="2:16" hidden="1" x14ac:dyDescent="0.45">
      <c r="B4" s="461" t="s">
        <v>54</v>
      </c>
      <c r="C4" s="462" t="s">
        <v>55</v>
      </c>
      <c r="D4" s="463" t="s">
        <v>56</v>
      </c>
      <c r="E4" s="463" t="s">
        <v>56</v>
      </c>
      <c r="F4" s="462" t="s">
        <v>57</v>
      </c>
      <c r="G4" s="463" t="s">
        <v>58</v>
      </c>
      <c r="H4" s="462" t="s">
        <v>59</v>
      </c>
      <c r="I4" s="463" t="s">
        <v>60</v>
      </c>
      <c r="J4" s="462" t="s">
        <v>57</v>
      </c>
      <c r="K4" s="463" t="s">
        <v>58</v>
      </c>
      <c r="L4" s="462" t="s">
        <v>59</v>
      </c>
      <c r="M4" s="463" t="s">
        <v>60</v>
      </c>
      <c r="N4" s="463" t="s">
        <v>56</v>
      </c>
      <c r="O4" s="462" t="s">
        <v>61</v>
      </c>
      <c r="P4" s="464" t="s">
        <v>62</v>
      </c>
    </row>
    <row r="5" spans="2:16" ht="42.75" hidden="1" x14ac:dyDescent="0.45">
      <c r="B5" s="453" t="s">
        <v>63</v>
      </c>
      <c r="C5" s="454" t="s">
        <v>64</v>
      </c>
      <c r="D5" s="455" t="s">
        <v>377</v>
      </c>
      <c r="E5" s="454" t="s">
        <v>541</v>
      </c>
      <c r="F5" s="454" t="s">
        <v>378</v>
      </c>
      <c r="G5" s="455" t="s">
        <v>65</v>
      </c>
      <c r="H5" s="454" t="s">
        <v>66</v>
      </c>
      <c r="I5" s="455" t="s">
        <v>67</v>
      </c>
      <c r="J5" s="454" t="s">
        <v>378</v>
      </c>
      <c r="K5" s="455" t="s">
        <v>65</v>
      </c>
      <c r="L5" s="454" t="s">
        <v>66</v>
      </c>
      <c r="M5" s="455" t="s">
        <v>67</v>
      </c>
      <c r="N5" s="454" t="s">
        <v>628</v>
      </c>
      <c r="O5" s="454" t="s">
        <v>68</v>
      </c>
      <c r="P5" s="456" t="s">
        <v>69</v>
      </c>
    </row>
    <row r="6" spans="2:16" ht="114" hidden="1" x14ac:dyDescent="0.45">
      <c r="B6" s="457" t="s">
        <v>70</v>
      </c>
      <c r="C6" s="458" t="s">
        <v>71</v>
      </c>
      <c r="D6" s="459" t="s">
        <v>71</v>
      </c>
      <c r="E6" s="458" t="s">
        <v>543</v>
      </c>
      <c r="F6" s="458" t="s">
        <v>72</v>
      </c>
      <c r="G6" s="459" t="s">
        <v>73</v>
      </c>
      <c r="H6" s="458" t="s">
        <v>449</v>
      </c>
      <c r="I6" s="459" t="s">
        <v>450</v>
      </c>
      <c r="J6" s="458" t="s">
        <v>72</v>
      </c>
      <c r="K6" s="459" t="s">
        <v>73</v>
      </c>
      <c r="L6" s="458" t="s">
        <v>449</v>
      </c>
      <c r="M6" s="459" t="s">
        <v>450</v>
      </c>
      <c r="N6" s="458" t="s">
        <v>629</v>
      </c>
      <c r="O6" s="458" t="s">
        <v>74</v>
      </c>
      <c r="P6" s="460" t="s">
        <v>451</v>
      </c>
    </row>
    <row r="7" spans="2:16" hidden="1" x14ac:dyDescent="0.45">
      <c r="B7" s="710" t="s">
        <v>457</v>
      </c>
      <c r="C7" s="711" t="s">
        <v>75</v>
      </c>
      <c r="D7" s="712" t="s">
        <v>75</v>
      </c>
      <c r="E7" s="712" t="s">
        <v>75</v>
      </c>
      <c r="F7" s="711" t="s">
        <v>76</v>
      </c>
      <c r="G7" s="712" t="s">
        <v>77</v>
      </c>
      <c r="H7" s="711" t="s">
        <v>78</v>
      </c>
      <c r="I7" s="712" t="s">
        <v>78</v>
      </c>
      <c r="J7" s="711" t="s">
        <v>76</v>
      </c>
      <c r="K7" s="712" t="s">
        <v>77</v>
      </c>
      <c r="L7" s="711" t="s">
        <v>78</v>
      </c>
      <c r="M7" s="712" t="s">
        <v>78</v>
      </c>
      <c r="N7" s="711" t="s">
        <v>630</v>
      </c>
      <c r="O7" s="711" t="s">
        <v>79</v>
      </c>
      <c r="P7" s="713" t="s">
        <v>75</v>
      </c>
    </row>
    <row r="8" spans="2:16" ht="14.65" hidden="1" thickBot="1" x14ac:dyDescent="0.5">
      <c r="B8" s="709" t="s">
        <v>458</v>
      </c>
      <c r="C8" s="733" t="s">
        <v>459</v>
      </c>
      <c r="D8" s="733" t="s">
        <v>793</v>
      </c>
      <c r="E8" s="733" t="s">
        <v>794</v>
      </c>
      <c r="F8" s="733" t="s">
        <v>461</v>
      </c>
      <c r="G8" s="733" t="s">
        <v>461</v>
      </c>
      <c r="H8" s="733" t="s">
        <v>461</v>
      </c>
      <c r="I8" s="733" t="s">
        <v>461</v>
      </c>
      <c r="J8" s="734" t="s">
        <v>469</v>
      </c>
      <c r="K8" s="734" t="s">
        <v>469</v>
      </c>
      <c r="L8" s="734" t="s">
        <v>469</v>
      </c>
      <c r="M8" s="734" t="s">
        <v>469</v>
      </c>
      <c r="N8" s="734" t="s">
        <v>789</v>
      </c>
      <c r="O8" s="733" t="s">
        <v>796</v>
      </c>
      <c r="P8" s="735" t="s">
        <v>794</v>
      </c>
    </row>
    <row r="9" spans="2:16" hidden="1" x14ac:dyDescent="0.45"/>
    <row r="10" spans="2:16" hidden="1" x14ac:dyDescent="0.45"/>
    <row r="11" spans="2:16" hidden="1" x14ac:dyDescent="0.45"/>
    <row r="12" spans="2:16" hidden="1" x14ac:dyDescent="0.45"/>
    <row r="13" spans="2:16" hidden="1" x14ac:dyDescent="0.45"/>
    <row r="14" spans="2:16" hidden="1" x14ac:dyDescent="0.45"/>
    <row r="15" spans="2:16" hidden="1" x14ac:dyDescent="0.45"/>
    <row r="16" spans="2:16" hidden="1" x14ac:dyDescent="0.45"/>
    <row r="17" hidden="1" x14ac:dyDescent="0.45"/>
    <row r="18" hidden="1" x14ac:dyDescent="0.45"/>
    <row r="19" hidden="1" x14ac:dyDescent="0.45"/>
    <row r="20" hidden="1" x14ac:dyDescent="0.45"/>
    <row r="21" hidden="1" x14ac:dyDescent="0.45"/>
    <row r="22" hidden="1" x14ac:dyDescent="0.45"/>
    <row r="23" hidden="1" x14ac:dyDescent="0.45"/>
    <row r="24" hidden="1" x14ac:dyDescent="0.45"/>
    <row r="25" hidden="1" x14ac:dyDescent="0.45"/>
    <row r="26" hidden="1" x14ac:dyDescent="0.45"/>
    <row r="27" hidden="1" x14ac:dyDescent="0.45"/>
    <row r="28" hidden="1" x14ac:dyDescent="0.45"/>
    <row r="29" hidden="1" x14ac:dyDescent="0.45"/>
    <row r="30" hidden="1" x14ac:dyDescent="0.45"/>
    <row r="31" hidden="1" x14ac:dyDescent="0.45"/>
    <row r="32" hidden="1" x14ac:dyDescent="0.45"/>
    <row r="33" hidden="1" x14ac:dyDescent="0.45"/>
    <row r="34" hidden="1" x14ac:dyDescent="0.45"/>
    <row r="35" hidden="1" x14ac:dyDescent="0.45"/>
    <row r="36" hidden="1" x14ac:dyDescent="0.45"/>
    <row r="37" hidden="1" x14ac:dyDescent="0.45"/>
    <row r="38" hidden="1" x14ac:dyDescent="0.45"/>
    <row r="39" hidden="1" x14ac:dyDescent="0.45"/>
    <row r="40" hidden="1" x14ac:dyDescent="0.45"/>
    <row r="41" hidden="1" x14ac:dyDescent="0.45"/>
    <row r="42" hidden="1" x14ac:dyDescent="0.45"/>
    <row r="43" hidden="1" x14ac:dyDescent="0.45"/>
    <row r="44" hidden="1" x14ac:dyDescent="0.45"/>
    <row r="45" hidden="1" x14ac:dyDescent="0.45"/>
    <row r="46" hidden="1" x14ac:dyDescent="0.45"/>
    <row r="47" hidden="1" x14ac:dyDescent="0.45"/>
    <row r="48" hidden="1" x14ac:dyDescent="0.45"/>
    <row r="49" hidden="1" x14ac:dyDescent="0.45"/>
    <row r="50" hidden="1" x14ac:dyDescent="0.45"/>
    <row r="51" hidden="1" x14ac:dyDescent="0.45"/>
    <row r="52" hidden="1" x14ac:dyDescent="0.45"/>
    <row r="53" hidden="1" x14ac:dyDescent="0.45"/>
    <row r="54" hidden="1" x14ac:dyDescent="0.45"/>
    <row r="55" hidden="1" x14ac:dyDescent="0.45"/>
    <row r="56" hidden="1" x14ac:dyDescent="0.45"/>
    <row r="57" hidden="1" x14ac:dyDescent="0.45"/>
    <row r="58" hidden="1" x14ac:dyDescent="0.45"/>
    <row r="59" hidden="1" x14ac:dyDescent="0.45"/>
    <row r="60" hidden="1" x14ac:dyDescent="0.45"/>
    <row r="61" hidden="1" x14ac:dyDescent="0.45"/>
    <row r="62" hidden="1" x14ac:dyDescent="0.45"/>
    <row r="63" hidden="1" x14ac:dyDescent="0.45"/>
    <row r="64"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padrKsL+8ax3hvc2bL5Ni83LFlPCRhY9wlHF6+w1llW2elglFVUuJUxXSaGMaqWzHczQuzKEYsHoWfeerDj7w==" saltValue="LDVMU/UB6Bi7oCXHSbNL3w==" spinCount="100000" sheet="1" objects="1" scenarios="1" selectLockedCells="1" selectUnlockedCell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theme="5" tint="0.59999389629810485"/>
  </sheetPr>
  <dimension ref="B1:W2000"/>
  <sheetViews>
    <sheetView showGridLines="0" showRowColHeaders="0" topLeftCell="A2001" zoomScale="85" zoomScaleNormal="85" workbookViewId="0">
      <selection activeCell="T6" sqref="T6"/>
    </sheetView>
  </sheetViews>
  <sheetFormatPr defaultRowHeight="14.25" x14ac:dyDescent="0.45"/>
  <cols>
    <col min="1" max="1" width="1.3984375" customWidth="1"/>
    <col min="4" max="23" width="20.73046875" customWidth="1"/>
  </cols>
  <sheetData>
    <row r="1" spans="2:23" ht="7.5" hidden="1" customHeight="1" thickBot="1" x14ac:dyDescent="0.5"/>
    <row r="2" spans="2:23" hidden="1" x14ac:dyDescent="0.45">
      <c r="B2" s="1629" t="s">
        <v>456</v>
      </c>
      <c r="C2" s="1630"/>
      <c r="D2" s="869" t="s">
        <v>27</v>
      </c>
      <c r="E2" s="869" t="s">
        <v>29</v>
      </c>
      <c r="F2" s="869" t="s">
        <v>31</v>
      </c>
      <c r="G2" s="869" t="s">
        <v>33</v>
      </c>
      <c r="H2" s="869" t="s">
        <v>35</v>
      </c>
      <c r="I2" s="869" t="s">
        <v>37</v>
      </c>
      <c r="J2" s="869" t="s">
        <v>41</v>
      </c>
      <c r="K2" s="869" t="s">
        <v>43</v>
      </c>
      <c r="L2" s="869" t="s">
        <v>574</v>
      </c>
      <c r="M2" s="869" t="s">
        <v>47</v>
      </c>
      <c r="N2" s="869" t="s">
        <v>48</v>
      </c>
      <c r="O2" s="869" t="s">
        <v>646</v>
      </c>
      <c r="P2" s="869" t="s">
        <v>44</v>
      </c>
      <c r="Q2" s="869" t="s">
        <v>45</v>
      </c>
      <c r="R2" s="1201" t="s">
        <v>50</v>
      </c>
      <c r="S2" s="1201" t="s">
        <v>647</v>
      </c>
      <c r="T2" s="1201" t="s">
        <v>619</v>
      </c>
      <c r="U2" s="1201" t="s">
        <v>573</v>
      </c>
      <c r="V2" s="1201" t="s">
        <v>756</v>
      </c>
      <c r="W2" s="870"/>
    </row>
    <row r="3" spans="2:23" hidden="1" x14ac:dyDescent="0.45">
      <c r="B3" s="1631"/>
      <c r="C3" s="1632"/>
      <c r="D3" s="867">
        <v>1</v>
      </c>
      <c r="E3" s="867">
        <v>2</v>
      </c>
      <c r="F3" s="867">
        <v>3</v>
      </c>
      <c r="G3" s="867">
        <v>4</v>
      </c>
      <c r="H3" s="867">
        <v>5</v>
      </c>
      <c r="I3" s="867">
        <v>6</v>
      </c>
      <c r="J3" s="867">
        <v>7</v>
      </c>
      <c r="K3" s="867">
        <v>8</v>
      </c>
      <c r="L3" s="867">
        <v>9</v>
      </c>
      <c r="M3" s="867">
        <v>10</v>
      </c>
      <c r="N3" s="867">
        <v>11</v>
      </c>
      <c r="O3" s="867">
        <v>12</v>
      </c>
      <c r="P3" s="867">
        <v>13</v>
      </c>
      <c r="Q3" s="867">
        <v>14</v>
      </c>
      <c r="R3" s="867">
        <v>15</v>
      </c>
      <c r="S3" s="867">
        <v>16</v>
      </c>
      <c r="T3" s="867">
        <v>17</v>
      </c>
      <c r="U3" s="867">
        <v>18</v>
      </c>
      <c r="V3" s="1202">
        <v>19</v>
      </c>
      <c r="W3" s="868">
        <v>20</v>
      </c>
    </row>
    <row r="4" spans="2:23" hidden="1" x14ac:dyDescent="0.45">
      <c r="B4" s="1686" t="s">
        <v>656</v>
      </c>
      <c r="C4" s="1687"/>
      <c r="D4" s="689" t="s">
        <v>26</v>
      </c>
      <c r="E4" s="689" t="s">
        <v>26</v>
      </c>
      <c r="F4" s="689" t="s">
        <v>26</v>
      </c>
      <c r="G4" s="689" t="s">
        <v>26</v>
      </c>
      <c r="H4" s="689" t="s">
        <v>26</v>
      </c>
      <c r="I4" s="689" t="s">
        <v>40</v>
      </c>
      <c r="J4" s="689" t="s">
        <v>40</v>
      </c>
      <c r="K4" s="689" t="s">
        <v>40</v>
      </c>
      <c r="L4" s="689" t="s">
        <v>46</v>
      </c>
      <c r="M4" s="689" t="s">
        <v>46</v>
      </c>
      <c r="N4" s="689" t="s">
        <v>46</v>
      </c>
      <c r="O4" s="689" t="s">
        <v>650</v>
      </c>
      <c r="P4" s="689" t="s">
        <v>650</v>
      </c>
      <c r="Q4" s="689" t="s">
        <v>650</v>
      </c>
      <c r="R4" s="1203" t="s">
        <v>50</v>
      </c>
      <c r="S4" s="1203" t="s">
        <v>49</v>
      </c>
      <c r="T4" s="1203" t="s">
        <v>49</v>
      </c>
      <c r="U4" s="1203" t="s">
        <v>49</v>
      </c>
      <c r="V4" s="1203" t="s">
        <v>49</v>
      </c>
      <c r="W4" s="690"/>
    </row>
    <row r="5" spans="2:23" hidden="1" x14ac:dyDescent="0.45">
      <c r="B5" s="1635" t="s">
        <v>655</v>
      </c>
      <c r="C5" s="1636"/>
      <c r="D5" s="702" t="s">
        <v>651</v>
      </c>
      <c r="E5" s="702" t="s">
        <v>651</v>
      </c>
      <c r="F5" s="702" t="s">
        <v>651</v>
      </c>
      <c r="G5" s="702" t="s">
        <v>651</v>
      </c>
      <c r="H5" s="702" t="s">
        <v>651</v>
      </c>
      <c r="I5" s="702" t="s">
        <v>652</v>
      </c>
      <c r="J5" s="702" t="s">
        <v>652</v>
      </c>
      <c r="K5" s="702" t="s">
        <v>652</v>
      </c>
      <c r="L5" s="702" t="s">
        <v>653</v>
      </c>
      <c r="M5" s="702" t="s">
        <v>653</v>
      </c>
      <c r="N5" s="702" t="s">
        <v>653</v>
      </c>
      <c r="O5" s="1204" t="s">
        <v>649</v>
      </c>
      <c r="P5" s="1204" t="s">
        <v>649</v>
      </c>
      <c r="Q5" s="1204" t="s">
        <v>649</v>
      </c>
      <c r="R5" s="1204" t="s">
        <v>654</v>
      </c>
      <c r="S5" s="1204" t="s">
        <v>649</v>
      </c>
      <c r="T5" s="1204" t="s">
        <v>761</v>
      </c>
      <c r="U5" s="1204" t="s">
        <v>755</v>
      </c>
      <c r="V5" s="1204" t="s">
        <v>757</v>
      </c>
      <c r="W5" s="703"/>
    </row>
    <row r="6" spans="2:23" hidden="1" x14ac:dyDescent="0.45">
      <c r="B6" s="1637" t="s">
        <v>672</v>
      </c>
      <c r="C6" s="1638"/>
      <c r="D6" s="704" t="s">
        <v>26</v>
      </c>
      <c r="E6" s="704" t="s">
        <v>26</v>
      </c>
      <c r="F6" s="704" t="s">
        <v>677</v>
      </c>
      <c r="G6" s="704" t="s">
        <v>677</v>
      </c>
      <c r="H6" s="704" t="s">
        <v>677</v>
      </c>
      <c r="I6" s="704" t="s">
        <v>40</v>
      </c>
      <c r="J6" s="704" t="s">
        <v>40</v>
      </c>
      <c r="K6" s="704" t="s">
        <v>673</v>
      </c>
      <c r="L6" s="704" t="s">
        <v>46</v>
      </c>
      <c r="M6" s="704" t="s">
        <v>674</v>
      </c>
      <c r="N6" s="704" t="s">
        <v>48</v>
      </c>
      <c r="O6" s="1205" t="s">
        <v>49</v>
      </c>
      <c r="P6" s="1205" t="s">
        <v>49</v>
      </c>
      <c r="Q6" s="1205" t="s">
        <v>49</v>
      </c>
      <c r="R6" s="1205" t="s">
        <v>676</v>
      </c>
      <c r="S6" s="1205" t="s">
        <v>49</v>
      </c>
      <c r="T6" s="1205" t="s">
        <v>675</v>
      </c>
      <c r="U6" s="1205" t="s">
        <v>49</v>
      </c>
      <c r="V6" s="1205" t="s">
        <v>49</v>
      </c>
      <c r="W6" s="705"/>
    </row>
    <row r="7" spans="2:23" hidden="1" x14ac:dyDescent="0.45">
      <c r="B7" s="1647"/>
      <c r="C7" s="1648"/>
      <c r="D7" s="781"/>
      <c r="E7" s="781"/>
      <c r="F7" s="781"/>
      <c r="G7" s="781"/>
      <c r="H7" s="781"/>
      <c r="I7" s="781"/>
      <c r="J7" s="781"/>
      <c r="K7" s="781"/>
      <c r="L7" s="781"/>
      <c r="M7" s="781"/>
      <c r="N7" s="781"/>
      <c r="O7" s="781"/>
      <c r="P7" s="781"/>
      <c r="Q7" s="781"/>
      <c r="R7" s="1206"/>
      <c r="S7" s="1206"/>
      <c r="T7" s="1206"/>
      <c r="U7" s="1206"/>
      <c r="V7" s="1206"/>
      <c r="W7" s="782"/>
    </row>
    <row r="8" spans="2:23" ht="14.65" hidden="1" thickBot="1" x14ac:dyDescent="0.5">
      <c r="B8" s="1684"/>
      <c r="C8" s="1685"/>
      <c r="D8" s="783"/>
      <c r="E8" s="783"/>
      <c r="F8" s="783"/>
      <c r="G8" s="783"/>
      <c r="H8" s="783"/>
      <c r="I8" s="783"/>
      <c r="J8" s="783"/>
      <c r="K8" s="783"/>
      <c r="L8" s="783"/>
      <c r="M8" s="783"/>
      <c r="N8" s="783"/>
      <c r="O8" s="783"/>
      <c r="P8" s="783"/>
      <c r="Q8" s="783"/>
      <c r="R8" s="1207"/>
      <c r="S8" s="1207"/>
      <c r="T8" s="1207"/>
      <c r="U8" s="1207"/>
      <c r="V8" s="1207"/>
      <c r="W8" s="784"/>
    </row>
    <row r="9" spans="2:23" hidden="1" x14ac:dyDescent="0.45">
      <c r="B9" s="666"/>
      <c r="C9" s="666"/>
      <c r="D9" s="667"/>
    </row>
    <row r="10" spans="2:23" hidden="1" x14ac:dyDescent="0.45"/>
    <row r="11" spans="2:23" hidden="1" x14ac:dyDescent="0.45"/>
    <row r="12" spans="2:23" hidden="1" x14ac:dyDescent="0.45"/>
    <row r="13" spans="2:23" hidden="1" x14ac:dyDescent="0.45"/>
    <row r="14" spans="2:23" hidden="1" x14ac:dyDescent="0.45"/>
    <row r="15" spans="2:23" hidden="1" x14ac:dyDescent="0.45"/>
    <row r="16" spans="2:23" hidden="1" x14ac:dyDescent="0.45"/>
    <row r="17" hidden="1" x14ac:dyDescent="0.45"/>
    <row r="18" hidden="1" x14ac:dyDescent="0.45"/>
    <row r="19" hidden="1" x14ac:dyDescent="0.45"/>
    <row r="20" hidden="1" x14ac:dyDescent="0.45"/>
    <row r="21" hidden="1" x14ac:dyDescent="0.45"/>
    <row r="22" hidden="1" x14ac:dyDescent="0.45"/>
    <row r="23" hidden="1" x14ac:dyDescent="0.45"/>
    <row r="24" hidden="1" x14ac:dyDescent="0.45"/>
    <row r="25" hidden="1" x14ac:dyDescent="0.45"/>
    <row r="26" hidden="1" x14ac:dyDescent="0.45"/>
    <row r="27" hidden="1" x14ac:dyDescent="0.45"/>
    <row r="28" hidden="1" x14ac:dyDescent="0.45"/>
    <row r="29" hidden="1" x14ac:dyDescent="0.45"/>
    <row r="30" hidden="1" x14ac:dyDescent="0.45"/>
    <row r="31" hidden="1" x14ac:dyDescent="0.45"/>
    <row r="32" hidden="1" x14ac:dyDescent="0.45"/>
    <row r="33" hidden="1" x14ac:dyDescent="0.45"/>
    <row r="34" hidden="1" x14ac:dyDescent="0.45"/>
    <row r="35" hidden="1" x14ac:dyDescent="0.45"/>
    <row r="36" hidden="1" x14ac:dyDescent="0.45"/>
    <row r="37" hidden="1" x14ac:dyDescent="0.45"/>
    <row r="38" hidden="1" x14ac:dyDescent="0.45"/>
    <row r="39" hidden="1" x14ac:dyDescent="0.45"/>
    <row r="40" hidden="1" x14ac:dyDescent="0.45"/>
    <row r="41" hidden="1" x14ac:dyDescent="0.45"/>
    <row r="42" hidden="1" x14ac:dyDescent="0.45"/>
    <row r="43" hidden="1" x14ac:dyDescent="0.45"/>
    <row r="44" hidden="1" x14ac:dyDescent="0.45"/>
    <row r="45" hidden="1" x14ac:dyDescent="0.45"/>
    <row r="46" hidden="1" x14ac:dyDescent="0.45"/>
    <row r="47" hidden="1" x14ac:dyDescent="0.45"/>
    <row r="48" hidden="1" x14ac:dyDescent="0.45"/>
    <row r="49" hidden="1" x14ac:dyDescent="0.45"/>
    <row r="50" hidden="1" x14ac:dyDescent="0.45"/>
    <row r="51" hidden="1" x14ac:dyDescent="0.45"/>
    <row r="52" hidden="1" x14ac:dyDescent="0.45"/>
    <row r="53" hidden="1" x14ac:dyDescent="0.45"/>
    <row r="54" hidden="1" x14ac:dyDescent="0.45"/>
    <row r="55" hidden="1" x14ac:dyDescent="0.45"/>
    <row r="56" hidden="1" x14ac:dyDescent="0.45"/>
    <row r="57" hidden="1" x14ac:dyDescent="0.45"/>
    <row r="58" hidden="1" x14ac:dyDescent="0.45"/>
    <row r="59" hidden="1" x14ac:dyDescent="0.45"/>
    <row r="60" hidden="1" x14ac:dyDescent="0.45"/>
    <row r="61" hidden="1" x14ac:dyDescent="0.45"/>
    <row r="62" hidden="1" x14ac:dyDescent="0.45"/>
    <row r="63" hidden="1" x14ac:dyDescent="0.45"/>
    <row r="64"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rN+xjVJ2ICNjBR5UeU1sOA2w2zabLGoLDrHT+eNtMJvsfjxjjxqW/+2PjOlB7oRAbl2VFnOFlmYhEQQYl0LPJA==" saltValue="G/XGzd+e9HZdaBCWvKlVhQ==" spinCount="100000" sheet="1" objects="1" scenarios="1" selectLockedCells="1" selectUnlockedCells="1"/>
  <mergeCells count="6">
    <mergeCell ref="B8:C8"/>
    <mergeCell ref="B2:C3"/>
    <mergeCell ref="B4:C4"/>
    <mergeCell ref="B5:C5"/>
    <mergeCell ref="B6:C6"/>
    <mergeCell ref="B7:C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tabColor theme="5" tint="0.59999389629810485"/>
  </sheetPr>
  <dimension ref="A1:DA2000"/>
  <sheetViews>
    <sheetView showGridLines="0" showRowColHeaders="0" topLeftCell="A2001" zoomScale="70" zoomScaleNormal="70" workbookViewId="0">
      <selection activeCell="W236" sqref="W236"/>
    </sheetView>
  </sheetViews>
  <sheetFormatPr defaultColWidth="9.1328125" defaultRowHeight="14.25" x14ac:dyDescent="0.45"/>
  <cols>
    <col min="1" max="1" width="1.265625" style="694" customWidth="1"/>
    <col min="2" max="2" width="7.1328125" style="694" customWidth="1"/>
    <col min="3" max="3" width="15.1328125" style="694" customWidth="1"/>
    <col min="4" max="4" width="19.3984375" style="694" customWidth="1"/>
    <col min="5" max="104" width="20.73046875" style="694" customWidth="1"/>
    <col min="105" max="16384" width="9.1328125" style="694"/>
  </cols>
  <sheetData>
    <row r="1" spans="3:105" ht="7.5" hidden="1" customHeight="1" thickBot="1" x14ac:dyDescent="0.5"/>
    <row r="2" spans="3:105" hidden="1" x14ac:dyDescent="0.45">
      <c r="C2" s="1629" t="s">
        <v>456</v>
      </c>
      <c r="D2" s="1651"/>
      <c r="E2" s="668" t="s">
        <v>418</v>
      </c>
      <c r="F2" s="668" t="s">
        <v>419</v>
      </c>
      <c r="G2" s="668" t="s">
        <v>420</v>
      </c>
      <c r="H2" s="668" t="s">
        <v>442</v>
      </c>
      <c r="I2" s="668" t="s">
        <v>786</v>
      </c>
      <c r="J2" s="668" t="s">
        <v>444</v>
      </c>
      <c r="K2" s="668" t="s">
        <v>567</v>
      </c>
      <c r="L2" s="668" t="s">
        <v>568</v>
      </c>
      <c r="M2" s="668" t="s">
        <v>569</v>
      </c>
      <c r="N2" s="668" t="s">
        <v>570</v>
      </c>
      <c r="O2" s="668" t="s">
        <v>571</v>
      </c>
      <c r="P2" s="668" t="s">
        <v>572</v>
      </c>
      <c r="Q2" s="668" t="s">
        <v>622</v>
      </c>
      <c r="R2" s="668" t="s">
        <v>737</v>
      </c>
      <c r="S2" s="668" t="s">
        <v>769</v>
      </c>
      <c r="T2" s="668" t="s">
        <v>798</v>
      </c>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c r="AT2" s="668"/>
      <c r="AU2" s="668"/>
      <c r="AV2" s="668"/>
      <c r="AW2" s="668"/>
      <c r="AX2" s="668"/>
      <c r="AY2" s="668"/>
      <c r="AZ2" s="668"/>
      <c r="BA2" s="668"/>
      <c r="BB2" s="668"/>
      <c r="BC2" s="668"/>
      <c r="BD2" s="668"/>
      <c r="BE2" s="668"/>
      <c r="BF2" s="668"/>
      <c r="BG2" s="668"/>
      <c r="BH2" s="668"/>
      <c r="BI2" s="668"/>
      <c r="BJ2" s="668"/>
      <c r="BK2" s="668"/>
      <c r="BL2" s="668"/>
      <c r="BM2" s="668"/>
      <c r="BN2" s="668"/>
      <c r="BO2" s="668"/>
      <c r="BP2" s="668"/>
      <c r="BQ2" s="668"/>
      <c r="BR2" s="668"/>
      <c r="BS2" s="668"/>
      <c r="BT2" s="668"/>
      <c r="BU2" s="668"/>
      <c r="BV2" s="668"/>
      <c r="BW2" s="668"/>
      <c r="BX2" s="668"/>
      <c r="BY2" s="668"/>
      <c r="BZ2" s="668"/>
      <c r="CA2" s="668"/>
      <c r="CB2" s="668"/>
      <c r="CC2" s="668"/>
      <c r="CD2" s="668"/>
      <c r="CE2" s="668"/>
      <c r="CF2" s="668"/>
      <c r="CG2" s="668"/>
      <c r="CH2" s="668"/>
      <c r="CI2" s="668"/>
      <c r="CJ2" s="668"/>
      <c r="CK2" s="668"/>
      <c r="CL2" s="668"/>
      <c r="CM2" s="668"/>
      <c r="CN2" s="668"/>
      <c r="CO2" s="668"/>
      <c r="CP2" s="668"/>
      <c r="CQ2" s="668"/>
      <c r="CR2" s="668"/>
      <c r="CS2" s="668"/>
      <c r="CT2" s="668"/>
      <c r="CU2" s="668"/>
      <c r="CV2" s="668"/>
      <c r="CW2" s="668"/>
      <c r="CX2" s="668"/>
      <c r="CY2" s="668"/>
      <c r="CZ2" s="665" t="s">
        <v>689</v>
      </c>
      <c r="DA2" s="707" t="s">
        <v>388</v>
      </c>
    </row>
    <row r="3" spans="3:105" hidden="1" x14ac:dyDescent="0.45">
      <c r="C3" s="1631"/>
      <c r="D3" s="1632"/>
      <c r="E3" s="670">
        <v>1</v>
      </c>
      <c r="F3" s="670">
        <v>2</v>
      </c>
      <c r="G3" s="670">
        <v>3</v>
      </c>
      <c r="H3" s="670">
        <v>4</v>
      </c>
      <c r="I3" s="670">
        <v>5</v>
      </c>
      <c r="J3" s="670">
        <v>6</v>
      </c>
      <c r="K3" s="670">
        <v>7</v>
      </c>
      <c r="L3" s="670">
        <v>8</v>
      </c>
      <c r="M3" s="670">
        <v>9</v>
      </c>
      <c r="N3" s="670">
        <v>10</v>
      </c>
      <c r="O3" s="670">
        <v>11</v>
      </c>
      <c r="P3" s="670">
        <v>12</v>
      </c>
      <c r="Q3" s="670">
        <v>13</v>
      </c>
      <c r="R3" s="670">
        <v>14</v>
      </c>
      <c r="S3" s="670">
        <v>15</v>
      </c>
      <c r="T3" s="670">
        <v>16</v>
      </c>
      <c r="U3" s="670">
        <v>17</v>
      </c>
      <c r="V3" s="670">
        <v>18</v>
      </c>
      <c r="W3" s="670">
        <v>19</v>
      </c>
      <c r="X3" s="670">
        <v>20</v>
      </c>
      <c r="Y3" s="670">
        <v>21</v>
      </c>
      <c r="Z3" s="670">
        <v>22</v>
      </c>
      <c r="AA3" s="670">
        <v>23</v>
      </c>
      <c r="AB3" s="670">
        <v>24</v>
      </c>
      <c r="AC3" s="670">
        <v>25</v>
      </c>
      <c r="AD3" s="670">
        <v>26</v>
      </c>
      <c r="AE3" s="670">
        <v>27</v>
      </c>
      <c r="AF3" s="670">
        <v>28</v>
      </c>
      <c r="AG3" s="670">
        <v>29</v>
      </c>
      <c r="AH3" s="670">
        <v>30</v>
      </c>
      <c r="AI3" s="670">
        <v>31</v>
      </c>
      <c r="AJ3" s="670">
        <v>32</v>
      </c>
      <c r="AK3" s="670">
        <v>33</v>
      </c>
      <c r="AL3" s="670">
        <v>34</v>
      </c>
      <c r="AM3" s="670">
        <v>35</v>
      </c>
      <c r="AN3" s="670">
        <v>36</v>
      </c>
      <c r="AO3" s="670">
        <v>37</v>
      </c>
      <c r="AP3" s="670">
        <v>38</v>
      </c>
      <c r="AQ3" s="670">
        <v>39</v>
      </c>
      <c r="AR3" s="670">
        <v>40</v>
      </c>
      <c r="AS3" s="670">
        <v>41</v>
      </c>
      <c r="AT3" s="670">
        <v>42</v>
      </c>
      <c r="AU3" s="670">
        <v>43</v>
      </c>
      <c r="AV3" s="670">
        <v>44</v>
      </c>
      <c r="AW3" s="670">
        <v>45</v>
      </c>
      <c r="AX3" s="670">
        <v>46</v>
      </c>
      <c r="AY3" s="670">
        <v>47</v>
      </c>
      <c r="AZ3" s="670">
        <v>48</v>
      </c>
      <c r="BA3" s="670">
        <v>49</v>
      </c>
      <c r="BB3" s="670">
        <v>50</v>
      </c>
      <c r="BC3" s="670">
        <v>51</v>
      </c>
      <c r="BD3" s="670">
        <v>52</v>
      </c>
      <c r="BE3" s="670">
        <v>53</v>
      </c>
      <c r="BF3" s="670">
        <v>54</v>
      </c>
      <c r="BG3" s="670">
        <v>55</v>
      </c>
      <c r="BH3" s="670">
        <v>56</v>
      </c>
      <c r="BI3" s="670">
        <v>57</v>
      </c>
      <c r="BJ3" s="670">
        <v>58</v>
      </c>
      <c r="BK3" s="670">
        <v>59</v>
      </c>
      <c r="BL3" s="670">
        <v>60</v>
      </c>
      <c r="BM3" s="670">
        <v>61</v>
      </c>
      <c r="BN3" s="670">
        <v>62</v>
      </c>
      <c r="BO3" s="670">
        <v>63</v>
      </c>
      <c r="BP3" s="670">
        <v>64</v>
      </c>
      <c r="BQ3" s="670">
        <v>65</v>
      </c>
      <c r="BR3" s="670">
        <v>66</v>
      </c>
      <c r="BS3" s="670">
        <v>67</v>
      </c>
      <c r="BT3" s="670">
        <v>68</v>
      </c>
      <c r="BU3" s="670">
        <v>69</v>
      </c>
      <c r="BV3" s="670">
        <v>70</v>
      </c>
      <c r="BW3" s="670">
        <v>71</v>
      </c>
      <c r="BX3" s="670">
        <v>72</v>
      </c>
      <c r="BY3" s="670">
        <v>73</v>
      </c>
      <c r="BZ3" s="670">
        <v>74</v>
      </c>
      <c r="CA3" s="670">
        <v>75</v>
      </c>
      <c r="CB3" s="670">
        <v>76</v>
      </c>
      <c r="CC3" s="670">
        <v>77</v>
      </c>
      <c r="CD3" s="670">
        <v>78</v>
      </c>
      <c r="CE3" s="670">
        <v>79</v>
      </c>
      <c r="CF3" s="670">
        <v>80</v>
      </c>
      <c r="CG3" s="670">
        <v>81</v>
      </c>
      <c r="CH3" s="670">
        <v>82</v>
      </c>
      <c r="CI3" s="670">
        <v>83</v>
      </c>
      <c r="CJ3" s="670">
        <v>84</v>
      </c>
      <c r="CK3" s="670">
        <v>85</v>
      </c>
      <c r="CL3" s="670">
        <v>86</v>
      </c>
      <c r="CM3" s="670">
        <v>87</v>
      </c>
      <c r="CN3" s="670">
        <v>88</v>
      </c>
      <c r="CO3" s="670">
        <v>89</v>
      </c>
      <c r="CP3" s="670">
        <v>90</v>
      </c>
      <c r="CQ3" s="670">
        <v>91</v>
      </c>
      <c r="CR3" s="670">
        <v>92</v>
      </c>
      <c r="CS3" s="670">
        <v>93</v>
      </c>
      <c r="CT3" s="670">
        <v>94</v>
      </c>
      <c r="CU3" s="670">
        <v>95</v>
      </c>
      <c r="CV3" s="670">
        <v>96</v>
      </c>
      <c r="CW3" s="670">
        <v>97</v>
      </c>
      <c r="CX3" s="670">
        <v>98</v>
      </c>
      <c r="CY3" s="670">
        <v>99</v>
      </c>
      <c r="CZ3" s="671">
        <v>100</v>
      </c>
      <c r="DA3" s="707" t="s">
        <v>388</v>
      </c>
    </row>
    <row r="4" spans="3:105" hidden="1" x14ac:dyDescent="0.45">
      <c r="C4" s="1686" t="s">
        <v>445</v>
      </c>
      <c r="D4" s="1687"/>
      <c r="E4" s="689" t="str">
        <f t="array" ref="E4:CZ4">CONCATENATE("Plans!E", (plans_index-1)*16 + ROW(E22), ":AB", (plans_index-1)*16 +  ROW(E22) + 13)</f>
        <v>Plans!E22:AB35</v>
      </c>
      <c r="F4" s="689" t="str">
        <v>Plans!E38:AB51</v>
      </c>
      <c r="G4" s="689" t="str">
        <v>Plans!E54:AB67</v>
      </c>
      <c r="H4" s="689" t="str">
        <v>Plans!E70:AB83</v>
      </c>
      <c r="I4" s="689" t="str">
        <v>Plans!E86:AB99</v>
      </c>
      <c r="J4" s="689" t="str">
        <v>Plans!E102:AB115</v>
      </c>
      <c r="K4" s="689" t="str">
        <v>Plans!E118:AB131</v>
      </c>
      <c r="L4" s="689" t="str">
        <v>Plans!E134:AB147</v>
      </c>
      <c r="M4" s="689" t="str">
        <v>Plans!E150:AB163</v>
      </c>
      <c r="N4" s="689" t="str">
        <v>Plans!E166:AB179</v>
      </c>
      <c r="O4" s="689" t="str">
        <v>Plans!E182:AB195</v>
      </c>
      <c r="P4" s="689" t="str">
        <v>Plans!E198:AB211</v>
      </c>
      <c r="Q4" s="689" t="str">
        <v>Plans!E214:AB227</v>
      </c>
      <c r="R4" s="689" t="str">
        <v>Plans!E230:AB243</v>
      </c>
      <c r="S4" s="689" t="str">
        <v>Plans!E246:AB259</v>
      </c>
      <c r="T4" s="689" t="str">
        <v>Plans!E262:AB275</v>
      </c>
      <c r="U4" s="689" t="str">
        <v>Plans!E278:AB291</v>
      </c>
      <c r="V4" s="689" t="str">
        <v>Plans!E294:AB307</v>
      </c>
      <c r="W4" s="689" t="str">
        <v>Plans!E310:AB323</v>
      </c>
      <c r="X4" s="689" t="str">
        <v>Plans!E326:AB339</v>
      </c>
      <c r="Y4" s="689" t="str">
        <v>Plans!E342:AB355</v>
      </c>
      <c r="Z4" s="689" t="str">
        <v>Plans!E358:AB371</v>
      </c>
      <c r="AA4" s="689" t="str">
        <v>Plans!E374:AB387</v>
      </c>
      <c r="AB4" s="689" t="str">
        <v>Plans!E390:AB403</v>
      </c>
      <c r="AC4" s="689" t="str">
        <v>Plans!E406:AB419</v>
      </c>
      <c r="AD4" s="689" t="str">
        <v>Plans!E422:AB435</v>
      </c>
      <c r="AE4" s="689" t="str">
        <v>Plans!E438:AB451</v>
      </c>
      <c r="AF4" s="689" t="str">
        <v>Plans!E454:AB467</v>
      </c>
      <c r="AG4" s="689" t="str">
        <v>Plans!E470:AB483</v>
      </c>
      <c r="AH4" s="689" t="str">
        <v>Plans!E486:AB499</v>
      </c>
      <c r="AI4" s="689" t="str">
        <v>Plans!E502:AB515</v>
      </c>
      <c r="AJ4" s="689" t="str">
        <v>Plans!E518:AB531</v>
      </c>
      <c r="AK4" s="689" t="str">
        <v>Plans!E534:AB547</v>
      </c>
      <c r="AL4" s="689" t="str">
        <v>Plans!E550:AB563</v>
      </c>
      <c r="AM4" s="689" t="str">
        <v>Plans!E566:AB579</v>
      </c>
      <c r="AN4" s="689" t="str">
        <v>Plans!E582:AB595</v>
      </c>
      <c r="AO4" s="689" t="str">
        <v>Plans!E598:AB611</v>
      </c>
      <c r="AP4" s="689" t="str">
        <v>Plans!E614:AB627</v>
      </c>
      <c r="AQ4" s="689" t="str">
        <v>Plans!E630:AB643</v>
      </c>
      <c r="AR4" s="689" t="str">
        <v>Plans!E646:AB659</v>
      </c>
      <c r="AS4" s="689" t="str">
        <v>Plans!E662:AB675</v>
      </c>
      <c r="AT4" s="689" t="str">
        <v>Plans!E678:AB691</v>
      </c>
      <c r="AU4" s="689" t="str">
        <v>Plans!E694:AB707</v>
      </c>
      <c r="AV4" s="689" t="str">
        <v>Plans!E710:AB723</v>
      </c>
      <c r="AW4" s="689" t="str">
        <v>Plans!E726:AB739</v>
      </c>
      <c r="AX4" s="689" t="str">
        <v>Plans!E742:AB755</v>
      </c>
      <c r="AY4" s="689" t="str">
        <v>Plans!E758:AB771</v>
      </c>
      <c r="AZ4" s="689" t="str">
        <v>Plans!E774:AB787</v>
      </c>
      <c r="BA4" s="689" t="str">
        <v>Plans!E790:AB803</v>
      </c>
      <c r="BB4" s="689" t="str">
        <v>Plans!E806:AB819</v>
      </c>
      <c r="BC4" s="689" t="str">
        <v>Plans!E822:AB835</v>
      </c>
      <c r="BD4" s="689" t="str">
        <v>Plans!E838:AB851</v>
      </c>
      <c r="BE4" s="689" t="str">
        <v>Plans!E854:AB867</v>
      </c>
      <c r="BF4" s="689" t="str">
        <v>Plans!E870:AB883</v>
      </c>
      <c r="BG4" s="689" t="str">
        <v>Plans!E886:AB899</v>
      </c>
      <c r="BH4" s="689" t="str">
        <v>Plans!E902:AB915</v>
      </c>
      <c r="BI4" s="689" t="str">
        <v>Plans!E918:AB931</v>
      </c>
      <c r="BJ4" s="689" t="str">
        <v>Plans!E934:AB947</v>
      </c>
      <c r="BK4" s="689" t="str">
        <v>Plans!E950:AB963</v>
      </c>
      <c r="BL4" s="689" t="str">
        <v>Plans!E966:AB979</v>
      </c>
      <c r="BM4" s="689" t="str">
        <v>Plans!E982:AB995</v>
      </c>
      <c r="BN4" s="689" t="str">
        <v>Plans!E998:AB1011</v>
      </c>
      <c r="BO4" s="689" t="str">
        <v>Plans!E1014:AB1027</v>
      </c>
      <c r="BP4" s="689" t="str">
        <v>Plans!E1030:AB1043</v>
      </c>
      <c r="BQ4" s="689" t="str">
        <v>Plans!E1046:AB1059</v>
      </c>
      <c r="BR4" s="689" t="str">
        <v>Plans!E1062:AB1075</v>
      </c>
      <c r="BS4" s="689" t="str">
        <v>Plans!E1078:AB1091</v>
      </c>
      <c r="BT4" s="689" t="str">
        <v>Plans!E1094:AB1107</v>
      </c>
      <c r="BU4" s="689" t="str">
        <v>Plans!E1110:AB1123</v>
      </c>
      <c r="BV4" s="689" t="str">
        <v>Plans!E1126:AB1139</v>
      </c>
      <c r="BW4" s="689" t="str">
        <v>Plans!E1142:AB1155</v>
      </c>
      <c r="BX4" s="689" t="str">
        <v>Plans!E1158:AB1171</v>
      </c>
      <c r="BY4" s="689" t="str">
        <v>Plans!E1174:AB1187</v>
      </c>
      <c r="BZ4" s="689" t="str">
        <v>Plans!E1190:AB1203</v>
      </c>
      <c r="CA4" s="689" t="str">
        <v>Plans!E1206:AB1219</v>
      </c>
      <c r="CB4" s="689" t="str">
        <v>Plans!E1222:AB1235</v>
      </c>
      <c r="CC4" s="689" t="str">
        <v>Plans!E1238:AB1251</v>
      </c>
      <c r="CD4" s="689" t="str">
        <v>Plans!E1254:AB1267</v>
      </c>
      <c r="CE4" s="689" t="str">
        <v>Plans!E1270:AB1283</v>
      </c>
      <c r="CF4" s="689" t="str">
        <v>Plans!E1286:AB1299</v>
      </c>
      <c r="CG4" s="689" t="str">
        <v>Plans!E1302:AB1315</v>
      </c>
      <c r="CH4" s="689" t="str">
        <v>Plans!E1318:AB1331</v>
      </c>
      <c r="CI4" s="689" t="str">
        <v>Plans!E1334:AB1347</v>
      </c>
      <c r="CJ4" s="689" t="str">
        <v>Plans!E1350:AB1363</v>
      </c>
      <c r="CK4" s="689" t="str">
        <v>Plans!E1366:AB1379</v>
      </c>
      <c r="CL4" s="689" t="str">
        <v>Plans!E1382:AB1395</v>
      </c>
      <c r="CM4" s="689" t="str">
        <v>Plans!E1398:AB1411</v>
      </c>
      <c r="CN4" s="689" t="str">
        <v>Plans!E1414:AB1427</v>
      </c>
      <c r="CO4" s="689" t="str">
        <v>Plans!E1430:AB1443</v>
      </c>
      <c r="CP4" s="689" t="str">
        <v>Plans!E1446:AB1459</v>
      </c>
      <c r="CQ4" s="689" t="str">
        <v>Plans!E1462:AB1475</v>
      </c>
      <c r="CR4" s="689" t="str">
        <v>Plans!E1478:AB1491</v>
      </c>
      <c r="CS4" s="689" t="str">
        <v>Plans!E1494:AB1507</v>
      </c>
      <c r="CT4" s="689" t="str">
        <v>Plans!E1510:AB1523</v>
      </c>
      <c r="CU4" s="689" t="str">
        <v>Plans!E1526:AB1539</v>
      </c>
      <c r="CV4" s="689" t="str">
        <v>Plans!E1542:AB1555</v>
      </c>
      <c r="CW4" s="689" t="str">
        <v>Plans!E1558:AB1571</v>
      </c>
      <c r="CX4" s="689" t="str">
        <v>Plans!E1574:AB1587</v>
      </c>
      <c r="CY4" s="689" t="str">
        <v>Plans!E1590:AB1603</v>
      </c>
      <c r="CZ4" s="690" t="str">
        <v>Plans!E1606:AB1619</v>
      </c>
      <c r="DA4" s="707" t="s">
        <v>388</v>
      </c>
    </row>
    <row r="5" spans="3:105" hidden="1" x14ac:dyDescent="0.45">
      <c r="C5" s="1635" t="s">
        <v>455</v>
      </c>
      <c r="D5" s="1636"/>
      <c r="E5" s="702" t="str">
        <f t="array" ref="E5:CZ5">CONCATENATE("Plans!E", (plans_index-1)*16 + ROW(E21), ":AB", (plans_index-1)*16 +  ROW(E21))</f>
        <v>Plans!E21:AB21</v>
      </c>
      <c r="F5" s="702" t="str">
        <v>Plans!E37:AB37</v>
      </c>
      <c r="G5" s="702" t="str">
        <v>Plans!E53:AB53</v>
      </c>
      <c r="H5" s="702" t="str">
        <v>Plans!E69:AB69</v>
      </c>
      <c r="I5" s="702" t="str">
        <v>Plans!E85:AB85</v>
      </c>
      <c r="J5" s="702" t="str">
        <v>Plans!E101:AB101</v>
      </c>
      <c r="K5" s="702" t="str">
        <v>Plans!E117:AB117</v>
      </c>
      <c r="L5" s="702" t="str">
        <v>Plans!E133:AB133</v>
      </c>
      <c r="M5" s="702" t="str">
        <v>Plans!E149:AB149</v>
      </c>
      <c r="N5" s="702" t="str">
        <v>Plans!E165:AB165</v>
      </c>
      <c r="O5" s="702" t="str">
        <v>Plans!E181:AB181</v>
      </c>
      <c r="P5" s="702" t="str">
        <v>Plans!E197:AB197</v>
      </c>
      <c r="Q5" s="702" t="str">
        <v>Plans!E213:AB213</v>
      </c>
      <c r="R5" s="702" t="str">
        <v>Plans!E229:AB229</v>
      </c>
      <c r="S5" s="702" t="str">
        <v>Plans!E245:AB245</v>
      </c>
      <c r="T5" s="702" t="str">
        <v>Plans!E261:AB261</v>
      </c>
      <c r="U5" s="702" t="str">
        <v>Plans!E277:AB277</v>
      </c>
      <c r="V5" s="702" t="str">
        <v>Plans!E293:AB293</v>
      </c>
      <c r="W5" s="702" t="str">
        <v>Plans!E309:AB309</v>
      </c>
      <c r="X5" s="702" t="str">
        <v>Plans!E325:AB325</v>
      </c>
      <c r="Y5" s="702" t="str">
        <v>Plans!E341:AB341</v>
      </c>
      <c r="Z5" s="702" t="str">
        <v>Plans!E357:AB357</v>
      </c>
      <c r="AA5" s="702" t="str">
        <v>Plans!E373:AB373</v>
      </c>
      <c r="AB5" s="702" t="str">
        <v>Plans!E389:AB389</v>
      </c>
      <c r="AC5" s="702" t="str">
        <v>Plans!E405:AB405</v>
      </c>
      <c r="AD5" s="702" t="str">
        <v>Plans!E421:AB421</v>
      </c>
      <c r="AE5" s="702" t="str">
        <v>Plans!E437:AB437</v>
      </c>
      <c r="AF5" s="702" t="str">
        <v>Plans!E453:AB453</v>
      </c>
      <c r="AG5" s="702" t="str">
        <v>Plans!E469:AB469</v>
      </c>
      <c r="AH5" s="702" t="str">
        <v>Plans!E485:AB485</v>
      </c>
      <c r="AI5" s="702" t="str">
        <v>Plans!E501:AB501</v>
      </c>
      <c r="AJ5" s="702" t="str">
        <v>Plans!E517:AB517</v>
      </c>
      <c r="AK5" s="702" t="str">
        <v>Plans!E533:AB533</v>
      </c>
      <c r="AL5" s="702" t="str">
        <v>Plans!E549:AB549</v>
      </c>
      <c r="AM5" s="702" t="str">
        <v>Plans!E565:AB565</v>
      </c>
      <c r="AN5" s="702" t="str">
        <v>Plans!E581:AB581</v>
      </c>
      <c r="AO5" s="702" t="str">
        <v>Plans!E597:AB597</v>
      </c>
      <c r="AP5" s="702" t="str">
        <v>Plans!E613:AB613</v>
      </c>
      <c r="AQ5" s="702" t="str">
        <v>Plans!E629:AB629</v>
      </c>
      <c r="AR5" s="702" t="str">
        <v>Plans!E645:AB645</v>
      </c>
      <c r="AS5" s="702" t="str">
        <v>Plans!E661:AB661</v>
      </c>
      <c r="AT5" s="702" t="str">
        <v>Plans!E677:AB677</v>
      </c>
      <c r="AU5" s="702" t="str">
        <v>Plans!E693:AB693</v>
      </c>
      <c r="AV5" s="702" t="str">
        <v>Plans!E709:AB709</v>
      </c>
      <c r="AW5" s="702" t="str">
        <v>Plans!E725:AB725</v>
      </c>
      <c r="AX5" s="702" t="str">
        <v>Plans!E741:AB741</v>
      </c>
      <c r="AY5" s="702" t="str">
        <v>Plans!E757:AB757</v>
      </c>
      <c r="AZ5" s="702" t="str">
        <v>Plans!E773:AB773</v>
      </c>
      <c r="BA5" s="702" t="str">
        <v>Plans!E789:AB789</v>
      </c>
      <c r="BB5" s="702" t="str">
        <v>Plans!E805:AB805</v>
      </c>
      <c r="BC5" s="702" t="str">
        <v>Plans!E821:AB821</v>
      </c>
      <c r="BD5" s="702" t="str">
        <v>Plans!E837:AB837</v>
      </c>
      <c r="BE5" s="702" t="str">
        <v>Plans!E853:AB853</v>
      </c>
      <c r="BF5" s="702" t="str">
        <v>Plans!E869:AB869</v>
      </c>
      <c r="BG5" s="702" t="str">
        <v>Plans!E885:AB885</v>
      </c>
      <c r="BH5" s="702" t="str">
        <v>Plans!E901:AB901</v>
      </c>
      <c r="BI5" s="702" t="str">
        <v>Plans!E917:AB917</v>
      </c>
      <c r="BJ5" s="702" t="str">
        <v>Plans!E933:AB933</v>
      </c>
      <c r="BK5" s="702" t="str">
        <v>Plans!E949:AB949</v>
      </c>
      <c r="BL5" s="702" t="str">
        <v>Plans!E965:AB965</v>
      </c>
      <c r="BM5" s="702" t="str">
        <v>Plans!E981:AB981</v>
      </c>
      <c r="BN5" s="702" t="str">
        <v>Plans!E997:AB997</v>
      </c>
      <c r="BO5" s="702" t="str">
        <v>Plans!E1013:AB1013</v>
      </c>
      <c r="BP5" s="702" t="str">
        <v>Plans!E1029:AB1029</v>
      </c>
      <c r="BQ5" s="702" t="str">
        <v>Plans!E1045:AB1045</v>
      </c>
      <c r="BR5" s="702" t="str">
        <v>Plans!E1061:AB1061</v>
      </c>
      <c r="BS5" s="702" t="str">
        <v>Plans!E1077:AB1077</v>
      </c>
      <c r="BT5" s="702" t="str">
        <v>Plans!E1093:AB1093</v>
      </c>
      <c r="BU5" s="702" t="str">
        <v>Plans!E1109:AB1109</v>
      </c>
      <c r="BV5" s="702" t="str">
        <v>Plans!E1125:AB1125</v>
      </c>
      <c r="BW5" s="702" t="str">
        <v>Plans!E1141:AB1141</v>
      </c>
      <c r="BX5" s="702" t="str">
        <v>Plans!E1157:AB1157</v>
      </c>
      <c r="BY5" s="702" t="str">
        <v>Plans!E1173:AB1173</v>
      </c>
      <c r="BZ5" s="702" t="str">
        <v>Plans!E1189:AB1189</v>
      </c>
      <c r="CA5" s="702" t="str">
        <v>Plans!E1205:AB1205</v>
      </c>
      <c r="CB5" s="702" t="str">
        <v>Plans!E1221:AB1221</v>
      </c>
      <c r="CC5" s="702" t="str">
        <v>Plans!E1237:AB1237</v>
      </c>
      <c r="CD5" s="702" t="str">
        <v>Plans!E1253:AB1253</v>
      </c>
      <c r="CE5" s="702" t="str">
        <v>Plans!E1269:AB1269</v>
      </c>
      <c r="CF5" s="702" t="str">
        <v>Plans!E1285:AB1285</v>
      </c>
      <c r="CG5" s="702" t="str">
        <v>Plans!E1301:AB1301</v>
      </c>
      <c r="CH5" s="702" t="str">
        <v>Plans!E1317:AB1317</v>
      </c>
      <c r="CI5" s="702" t="str">
        <v>Plans!E1333:AB1333</v>
      </c>
      <c r="CJ5" s="702" t="str">
        <v>Plans!E1349:AB1349</v>
      </c>
      <c r="CK5" s="702" t="str">
        <v>Plans!E1365:AB1365</v>
      </c>
      <c r="CL5" s="702" t="str">
        <v>Plans!E1381:AB1381</v>
      </c>
      <c r="CM5" s="702" t="str">
        <v>Plans!E1397:AB1397</v>
      </c>
      <c r="CN5" s="702" t="str">
        <v>Plans!E1413:AB1413</v>
      </c>
      <c r="CO5" s="702" t="str">
        <v>Plans!E1429:AB1429</v>
      </c>
      <c r="CP5" s="702" t="str">
        <v>Plans!E1445:AB1445</v>
      </c>
      <c r="CQ5" s="702" t="str">
        <v>Plans!E1461:AB1461</v>
      </c>
      <c r="CR5" s="702" t="str">
        <v>Plans!E1477:AB1477</v>
      </c>
      <c r="CS5" s="702" t="str">
        <v>Plans!E1493:AB1493</v>
      </c>
      <c r="CT5" s="702" t="str">
        <v>Plans!E1509:AB1509</v>
      </c>
      <c r="CU5" s="702" t="str">
        <v>Plans!E1525:AB1525</v>
      </c>
      <c r="CV5" s="702" t="str">
        <v>Plans!E1541:AB1541</v>
      </c>
      <c r="CW5" s="702" t="str">
        <v>Plans!E1557:AB1557</v>
      </c>
      <c r="CX5" s="702" t="str">
        <v>Plans!E1573:AB1573</v>
      </c>
      <c r="CY5" s="702" t="str">
        <v>Plans!E1589:AB1589</v>
      </c>
      <c r="CZ5" s="703" t="str">
        <v>Plans!E1605:AB1605</v>
      </c>
      <c r="DA5" s="707" t="s">
        <v>388</v>
      </c>
    </row>
    <row r="6" spans="3:105" hidden="1" x14ac:dyDescent="0.45">
      <c r="C6" s="1637" t="s">
        <v>446</v>
      </c>
      <c r="D6" s="1638"/>
      <c r="E6" s="704">
        <v>43171</v>
      </c>
      <c r="F6" s="704">
        <v>43108</v>
      </c>
      <c r="G6" s="704"/>
      <c r="H6" s="704">
        <v>43437</v>
      </c>
      <c r="I6" s="704">
        <v>43444</v>
      </c>
      <c r="J6" s="704"/>
      <c r="K6" s="704">
        <v>43129</v>
      </c>
      <c r="L6" s="704">
        <v>43206</v>
      </c>
      <c r="M6" s="704">
        <v>43129</v>
      </c>
      <c r="N6" s="704">
        <v>43129</v>
      </c>
      <c r="O6" s="704">
        <v>43129</v>
      </c>
      <c r="P6" s="704">
        <v>43129</v>
      </c>
      <c r="Q6" s="704">
        <v>43388</v>
      </c>
      <c r="R6" s="704">
        <v>43374</v>
      </c>
      <c r="S6" s="704">
        <v>43360</v>
      </c>
      <c r="T6" s="704">
        <v>43472</v>
      </c>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c r="AT6" s="704"/>
      <c r="AU6" s="704"/>
      <c r="AV6" s="704"/>
      <c r="AW6" s="704"/>
      <c r="AX6" s="704"/>
      <c r="AY6" s="704"/>
      <c r="AZ6" s="704"/>
      <c r="BA6" s="704"/>
      <c r="BB6" s="704"/>
      <c r="BC6" s="704"/>
      <c r="BD6" s="704"/>
      <c r="BE6" s="704"/>
      <c r="BF6" s="704"/>
      <c r="BG6" s="704"/>
      <c r="BH6" s="704"/>
      <c r="BI6" s="704"/>
      <c r="BJ6" s="704"/>
      <c r="BK6" s="704"/>
      <c r="BL6" s="704"/>
      <c r="BM6" s="704"/>
      <c r="BN6" s="704"/>
      <c r="BO6" s="704"/>
      <c r="BP6" s="704"/>
      <c r="BQ6" s="704"/>
      <c r="BR6" s="704"/>
      <c r="BS6" s="704"/>
      <c r="BT6" s="704"/>
      <c r="BU6" s="704"/>
      <c r="BV6" s="704"/>
      <c r="BW6" s="704"/>
      <c r="BX6" s="704"/>
      <c r="BY6" s="704"/>
      <c r="BZ6" s="704"/>
      <c r="CA6" s="704"/>
      <c r="CB6" s="704"/>
      <c r="CC6" s="704"/>
      <c r="CD6" s="704"/>
      <c r="CE6" s="704"/>
      <c r="CF6" s="704"/>
      <c r="CG6" s="704"/>
      <c r="CH6" s="704"/>
      <c r="CI6" s="704"/>
      <c r="CJ6" s="704"/>
      <c r="CK6" s="704"/>
      <c r="CL6" s="704"/>
      <c r="CM6" s="704"/>
      <c r="CN6" s="704"/>
      <c r="CO6" s="704"/>
      <c r="CP6" s="704"/>
      <c r="CQ6" s="704"/>
      <c r="CR6" s="704"/>
      <c r="CS6" s="704"/>
      <c r="CT6" s="704"/>
      <c r="CU6" s="704"/>
      <c r="CV6" s="704"/>
      <c r="CW6" s="704"/>
      <c r="CX6" s="704"/>
      <c r="CY6" s="704"/>
      <c r="CZ6" s="705">
        <v>43101</v>
      </c>
      <c r="DA6" s="707" t="s">
        <v>388</v>
      </c>
    </row>
    <row r="7" spans="3:105" hidden="1" x14ac:dyDescent="0.45">
      <c r="C7" s="1647" t="s">
        <v>447</v>
      </c>
      <c r="D7" s="1648"/>
      <c r="E7" s="781">
        <v>43323</v>
      </c>
      <c r="F7" s="781">
        <v>43197</v>
      </c>
      <c r="G7" s="781"/>
      <c r="H7" s="781">
        <v>43519</v>
      </c>
      <c r="I7" s="781">
        <v>43526</v>
      </c>
      <c r="J7" s="781"/>
      <c r="K7" s="781">
        <v>43191</v>
      </c>
      <c r="L7" s="781">
        <v>43282</v>
      </c>
      <c r="M7" s="781">
        <v>43191</v>
      </c>
      <c r="N7" s="781">
        <v>43191</v>
      </c>
      <c r="O7" s="781">
        <v>43191</v>
      </c>
      <c r="P7" s="781">
        <v>43191</v>
      </c>
      <c r="Q7" s="781">
        <v>43505</v>
      </c>
      <c r="R7" s="781">
        <v>43505</v>
      </c>
      <c r="S7" s="781">
        <v>43435</v>
      </c>
      <c r="T7" s="781">
        <v>43589</v>
      </c>
      <c r="U7" s="781"/>
      <c r="V7" s="781"/>
      <c r="W7" s="781"/>
      <c r="X7" s="781"/>
      <c r="Y7" s="781"/>
      <c r="Z7" s="781"/>
      <c r="AA7" s="781"/>
      <c r="AB7" s="781"/>
      <c r="AC7" s="781"/>
      <c r="AD7" s="781"/>
      <c r="AE7" s="781"/>
      <c r="AF7" s="781"/>
      <c r="AG7" s="781"/>
      <c r="AH7" s="781"/>
      <c r="AI7" s="781"/>
      <c r="AJ7" s="781"/>
      <c r="AK7" s="781"/>
      <c r="AL7" s="781"/>
      <c r="AM7" s="781"/>
      <c r="AN7" s="781"/>
      <c r="AO7" s="781"/>
      <c r="AP7" s="781"/>
      <c r="AQ7" s="781"/>
      <c r="AR7" s="781"/>
      <c r="AS7" s="781"/>
      <c r="AT7" s="781"/>
      <c r="AU7" s="781"/>
      <c r="AV7" s="781"/>
      <c r="AW7" s="781"/>
      <c r="AX7" s="781"/>
      <c r="AY7" s="781"/>
      <c r="AZ7" s="781"/>
      <c r="BA7" s="781"/>
      <c r="BB7" s="781"/>
      <c r="BC7" s="781"/>
      <c r="BD7" s="781"/>
      <c r="BE7" s="781"/>
      <c r="BF7" s="781"/>
      <c r="BG7" s="781"/>
      <c r="BH7" s="781"/>
      <c r="BI7" s="781"/>
      <c r="BJ7" s="781"/>
      <c r="BK7" s="781"/>
      <c r="BL7" s="781"/>
      <c r="BM7" s="781"/>
      <c r="BN7" s="781"/>
      <c r="BO7" s="781"/>
      <c r="BP7" s="781"/>
      <c r="BQ7" s="781"/>
      <c r="BR7" s="781"/>
      <c r="BS7" s="781"/>
      <c r="BT7" s="781"/>
      <c r="BU7" s="781"/>
      <c r="BV7" s="781"/>
      <c r="BW7" s="781"/>
      <c r="BX7" s="781"/>
      <c r="BY7" s="781"/>
      <c r="BZ7" s="781"/>
      <c r="CA7" s="781"/>
      <c r="CB7" s="781"/>
      <c r="CC7" s="781"/>
      <c r="CD7" s="781"/>
      <c r="CE7" s="781"/>
      <c r="CF7" s="781"/>
      <c r="CG7" s="781"/>
      <c r="CH7" s="781"/>
      <c r="CI7" s="781"/>
      <c r="CJ7" s="781"/>
      <c r="CK7" s="781"/>
      <c r="CL7" s="781"/>
      <c r="CM7" s="781"/>
      <c r="CN7" s="781"/>
      <c r="CO7" s="781"/>
      <c r="CP7" s="781"/>
      <c r="CQ7" s="781"/>
      <c r="CR7" s="781"/>
      <c r="CS7" s="781"/>
      <c r="CT7" s="781"/>
      <c r="CU7" s="781"/>
      <c r="CV7" s="781"/>
      <c r="CW7" s="781"/>
      <c r="CX7" s="781"/>
      <c r="CY7" s="781"/>
      <c r="CZ7" s="782">
        <v>43268</v>
      </c>
      <c r="DA7" s="707" t="s">
        <v>388</v>
      </c>
    </row>
    <row r="8" spans="3:105" s="780" customFormat="1" ht="14.65" hidden="1" thickBot="1" x14ac:dyDescent="0.5">
      <c r="C8" s="1684" t="s">
        <v>474</v>
      </c>
      <c r="D8" s="1685"/>
      <c r="E8" s="783" t="s">
        <v>626</v>
      </c>
      <c r="F8" s="783" t="s">
        <v>618</v>
      </c>
      <c r="G8" s="783"/>
      <c r="H8" s="783" t="s">
        <v>785</v>
      </c>
      <c r="I8" s="783" t="s">
        <v>787</v>
      </c>
      <c r="J8" s="783"/>
      <c r="K8" s="783" t="s">
        <v>576</v>
      </c>
      <c r="L8" s="783" t="s">
        <v>700</v>
      </c>
      <c r="M8" s="783" t="s">
        <v>576</v>
      </c>
      <c r="N8" s="783" t="s">
        <v>576</v>
      </c>
      <c r="O8" s="783" t="s">
        <v>576</v>
      </c>
      <c r="P8" s="783" t="s">
        <v>576</v>
      </c>
      <c r="Q8" s="783" t="s">
        <v>782</v>
      </c>
      <c r="R8" s="783" t="s">
        <v>797</v>
      </c>
      <c r="S8" s="783" t="s">
        <v>736</v>
      </c>
      <c r="T8" s="783" t="s">
        <v>799</v>
      </c>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4" t="s">
        <v>690</v>
      </c>
      <c r="DA8" s="707" t="s">
        <v>388</v>
      </c>
    </row>
    <row r="9" spans="3:105" ht="14.65" hidden="1" thickBot="1" x14ac:dyDescent="0.5">
      <c r="C9" s="666"/>
      <c r="D9" s="666"/>
      <c r="E9" s="667"/>
      <c r="F9" s="667"/>
      <c r="G9" s="667"/>
      <c r="H9" s="667"/>
      <c r="I9" s="667"/>
      <c r="J9" s="667"/>
      <c r="K9" s="667"/>
      <c r="L9" s="667"/>
      <c r="M9" s="667"/>
      <c r="N9" s="667"/>
      <c r="O9" s="667"/>
      <c r="P9" s="667"/>
      <c r="Q9" s="667"/>
      <c r="R9" s="667"/>
      <c r="S9" s="667"/>
      <c r="T9" s="667"/>
      <c r="U9" s="667"/>
      <c r="V9" s="667"/>
      <c r="W9" s="667"/>
      <c r="X9" s="667"/>
      <c r="Y9" s="667"/>
      <c r="Z9" s="667"/>
      <c r="AA9" s="667"/>
      <c r="AB9" s="667"/>
      <c r="AC9" s="667"/>
      <c r="AD9" s="667"/>
      <c r="AE9" s="667"/>
      <c r="AF9" s="667"/>
      <c r="AG9" s="667"/>
      <c r="AH9" s="667"/>
      <c r="AI9" s="667"/>
      <c r="AJ9" s="667"/>
      <c r="AK9" s="667"/>
      <c r="AL9" s="667"/>
      <c r="AM9" s="667"/>
      <c r="AN9" s="667"/>
      <c r="AO9" s="667"/>
      <c r="AP9" s="667"/>
      <c r="AQ9" s="667"/>
      <c r="AR9" s="667"/>
      <c r="AS9" s="667"/>
      <c r="AT9" s="667"/>
      <c r="AU9" s="667"/>
      <c r="AV9" s="667"/>
      <c r="AW9" s="667"/>
      <c r="AX9" s="667"/>
      <c r="AY9" s="667"/>
      <c r="AZ9" s="667"/>
      <c r="BA9" s="667"/>
      <c r="BB9" s="667"/>
      <c r="BC9" s="667"/>
      <c r="BD9" s="667"/>
      <c r="BE9" s="667"/>
      <c r="BF9" s="667"/>
      <c r="BG9" s="667"/>
      <c r="BH9" s="667"/>
      <c r="BI9" s="667"/>
      <c r="BJ9" s="667"/>
      <c r="BK9" s="667"/>
      <c r="BL9" s="667"/>
      <c r="BM9" s="667"/>
      <c r="BN9" s="667"/>
      <c r="BO9" s="667"/>
      <c r="BP9" s="667"/>
      <c r="BQ9" s="667"/>
      <c r="BR9" s="667"/>
      <c r="BS9" s="667"/>
      <c r="BT9" s="667"/>
      <c r="BU9" s="667"/>
      <c r="BV9" s="667"/>
      <c r="BW9" s="667"/>
      <c r="BX9" s="667"/>
      <c r="BY9" s="667"/>
      <c r="BZ9" s="667"/>
      <c r="CA9" s="667"/>
      <c r="CB9" s="667"/>
      <c r="CC9" s="667"/>
      <c r="CD9" s="667"/>
      <c r="CE9" s="667"/>
      <c r="CF9" s="667"/>
      <c r="CG9" s="667"/>
      <c r="CH9" s="667"/>
      <c r="CI9" s="667"/>
      <c r="CJ9" s="667"/>
      <c r="CK9" s="667"/>
      <c r="CL9" s="667"/>
      <c r="CM9" s="667"/>
      <c r="CN9" s="667"/>
      <c r="CO9" s="667"/>
      <c r="CP9" s="667"/>
      <c r="CQ9" s="667"/>
      <c r="CR9" s="667"/>
      <c r="CS9" s="667"/>
      <c r="CT9" s="667"/>
      <c r="CU9" s="667"/>
      <c r="CV9" s="667"/>
      <c r="CW9" s="667"/>
      <c r="CX9" s="667"/>
      <c r="CY9" s="667"/>
      <c r="CZ9" s="667"/>
    </row>
    <row r="10" spans="3:105" hidden="1" x14ac:dyDescent="0.45">
      <c r="C10" s="1629" t="s">
        <v>6</v>
      </c>
      <c r="D10" s="1651"/>
      <c r="E10" s="647" t="str">
        <f>INDEX(plans_name, plan_index)</f>
        <v>Gene Beveridge 2</v>
      </c>
      <c r="F10" s="667"/>
      <c r="G10" s="667"/>
      <c r="H10" s="667"/>
      <c r="I10" s="667"/>
      <c r="J10" s="667"/>
      <c r="K10" s="667"/>
      <c r="L10" s="667"/>
      <c r="M10" s="667"/>
      <c r="N10" s="667"/>
      <c r="O10" s="667"/>
      <c r="P10" s="667"/>
      <c r="Q10" s="667"/>
      <c r="R10" s="667"/>
      <c r="S10" s="667"/>
      <c r="T10" s="667"/>
      <c r="U10" s="667"/>
      <c r="V10" s="667"/>
      <c r="W10" s="667"/>
      <c r="X10" s="667"/>
      <c r="Y10" s="667"/>
      <c r="Z10" s="667"/>
      <c r="AA10" s="667"/>
      <c r="AB10" s="667"/>
      <c r="AC10" s="667"/>
      <c r="AD10" s="667"/>
      <c r="AE10" s="667"/>
      <c r="AF10" s="667"/>
      <c r="AG10" s="667"/>
      <c r="AH10" s="667"/>
      <c r="AI10" s="667"/>
      <c r="AJ10" s="667"/>
      <c r="AK10" s="667"/>
      <c r="AL10" s="667"/>
      <c r="AM10" s="667"/>
      <c r="AN10" s="667"/>
      <c r="AO10" s="667"/>
      <c r="AP10" s="667"/>
      <c r="AQ10" s="667"/>
      <c r="AR10" s="667"/>
      <c r="AS10" s="667"/>
      <c r="AT10" s="667"/>
      <c r="AU10" s="667"/>
      <c r="AV10" s="667"/>
      <c r="AW10" s="667"/>
      <c r="AX10" s="667"/>
      <c r="AY10" s="667"/>
      <c r="AZ10" s="667"/>
      <c r="BA10" s="667"/>
      <c r="BB10" s="667"/>
      <c r="BC10" s="667"/>
      <c r="BD10" s="667"/>
      <c r="BE10" s="667"/>
      <c r="BF10" s="667"/>
      <c r="BG10" s="667"/>
      <c r="BH10" s="667"/>
      <c r="BI10" s="667"/>
      <c r="BJ10" s="667"/>
      <c r="BK10" s="667"/>
      <c r="BL10" s="667"/>
      <c r="BM10" s="667"/>
      <c r="BN10" s="667"/>
      <c r="BO10" s="667"/>
      <c r="BP10" s="667"/>
      <c r="BQ10" s="667"/>
      <c r="BR10" s="667"/>
      <c r="BS10" s="667"/>
      <c r="BT10" s="667"/>
      <c r="BU10" s="667"/>
      <c r="BV10" s="667"/>
      <c r="BW10" s="667"/>
      <c r="BX10" s="667"/>
      <c r="BY10" s="667"/>
      <c r="BZ10" s="667"/>
      <c r="CA10" s="667"/>
      <c r="CB10" s="667"/>
      <c r="CC10" s="667"/>
      <c r="CD10" s="667"/>
      <c r="CE10" s="667"/>
      <c r="CF10" s="667"/>
      <c r="CG10" s="667"/>
      <c r="CH10" s="667"/>
      <c r="CI10" s="667"/>
      <c r="CJ10" s="667"/>
      <c r="CK10" s="667"/>
      <c r="CL10" s="667"/>
      <c r="CM10" s="667"/>
      <c r="CN10" s="667"/>
      <c r="CO10" s="667"/>
      <c r="CP10" s="667"/>
      <c r="CQ10" s="667"/>
      <c r="CR10" s="667"/>
      <c r="CS10" s="667"/>
      <c r="CT10" s="667"/>
      <c r="CU10" s="667"/>
      <c r="CV10" s="667"/>
      <c r="CW10" s="667"/>
      <c r="CX10" s="667"/>
      <c r="CY10" s="667"/>
      <c r="CZ10" s="667"/>
    </row>
    <row r="11" spans="3:105" hidden="1" x14ac:dyDescent="0.45">
      <c r="C11" s="1631"/>
      <c r="D11" s="1632"/>
      <c r="E11" s="669">
        <f>HLOOKUP(athlete_plan_name,plans,2,FALSE)</f>
        <v>14</v>
      </c>
      <c r="F11" s="667"/>
      <c r="G11" s="667"/>
      <c r="H11" s="667"/>
      <c r="I11" s="667"/>
      <c r="J11" s="667"/>
      <c r="K11" s="667"/>
      <c r="L11" s="667"/>
      <c r="M11" s="667"/>
      <c r="N11" s="667"/>
      <c r="O11" s="667"/>
      <c r="P11" s="667"/>
      <c r="Q11" s="667"/>
      <c r="R11" s="667"/>
      <c r="S11" s="667"/>
      <c r="T11" s="667"/>
      <c r="U11" s="667"/>
      <c r="V11" s="667"/>
      <c r="W11" s="667"/>
      <c r="X11" s="667"/>
      <c r="Y11" s="667"/>
      <c r="Z11" s="667"/>
      <c r="AA11" s="667"/>
      <c r="AB11" s="667"/>
      <c r="AC11" s="667"/>
      <c r="AD11" s="667"/>
      <c r="AE11" s="667"/>
      <c r="AF11" s="667"/>
      <c r="AG11" s="667"/>
      <c r="AH11" s="667"/>
      <c r="AI11" s="667"/>
      <c r="AJ11" s="667"/>
      <c r="AK11" s="667"/>
      <c r="AL11" s="667"/>
      <c r="AM11" s="667"/>
      <c r="AN11" s="667"/>
      <c r="AO11" s="667"/>
      <c r="AP11" s="667"/>
      <c r="AQ11" s="667"/>
      <c r="AR11" s="667"/>
      <c r="AS11" s="667"/>
      <c r="AT11" s="667"/>
      <c r="AU11" s="667"/>
      <c r="AV11" s="667"/>
      <c r="AW11" s="667"/>
      <c r="AX11" s="667"/>
      <c r="AY11" s="667"/>
      <c r="AZ11" s="667"/>
      <c r="BA11" s="667"/>
      <c r="BB11" s="667"/>
      <c r="BC11" s="667"/>
      <c r="BD11" s="667"/>
      <c r="BE11" s="667"/>
      <c r="BF11" s="667"/>
      <c r="BG11" s="667"/>
      <c r="BH11" s="667"/>
      <c r="BI11" s="667"/>
      <c r="BJ11" s="667"/>
      <c r="BK11" s="667"/>
      <c r="BL11" s="667"/>
      <c r="BM11" s="667"/>
      <c r="BN11" s="667"/>
      <c r="BO11" s="667"/>
      <c r="BP11" s="667"/>
      <c r="BQ11" s="667"/>
      <c r="BR11" s="667"/>
      <c r="BS11" s="667"/>
      <c r="BT11" s="667"/>
      <c r="BU11" s="667"/>
      <c r="BV11" s="667"/>
      <c r="BW11" s="667"/>
      <c r="BX11" s="667"/>
      <c r="BY11" s="667"/>
      <c r="BZ11" s="667"/>
      <c r="CA11" s="667"/>
      <c r="CB11" s="667"/>
      <c r="CC11" s="667"/>
      <c r="CD11" s="667"/>
      <c r="CE11" s="667"/>
      <c r="CF11" s="667"/>
      <c r="CG11" s="667"/>
      <c r="CH11" s="667"/>
      <c r="CI11" s="667"/>
      <c r="CJ11" s="667"/>
      <c r="CK11" s="667"/>
      <c r="CL11" s="667"/>
      <c r="CM11" s="667"/>
      <c r="CN11" s="667"/>
      <c r="CO11" s="667"/>
      <c r="CP11" s="667"/>
      <c r="CQ11" s="667"/>
      <c r="CR11" s="667"/>
      <c r="CS11" s="667"/>
      <c r="CT11" s="667"/>
      <c r="CU11" s="667"/>
      <c r="CV11" s="667"/>
      <c r="CW11" s="667"/>
      <c r="CX11" s="667"/>
      <c r="CY11" s="667"/>
      <c r="CZ11" s="667"/>
    </row>
    <row r="12" spans="3:105" hidden="1" x14ac:dyDescent="0.45">
      <c r="C12" s="1686" t="s">
        <v>445</v>
      </c>
      <c r="D12" s="1687"/>
      <c r="E12" s="690" t="str">
        <f>INDEX(plans_array, plan_index)</f>
        <v>Plans!E230:AB243</v>
      </c>
      <c r="F12" s="66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c r="AD12" s="667"/>
      <c r="AE12" s="667"/>
      <c r="AF12" s="667"/>
      <c r="AG12" s="667"/>
      <c r="AH12" s="667"/>
      <c r="AI12" s="667"/>
      <c r="AJ12" s="667"/>
      <c r="AK12" s="667"/>
      <c r="AL12" s="667"/>
      <c r="AM12" s="667"/>
      <c r="AN12" s="667"/>
      <c r="AO12" s="667"/>
      <c r="AP12" s="667"/>
      <c r="AQ12" s="667"/>
      <c r="AR12" s="667"/>
      <c r="AS12" s="667"/>
      <c r="AT12" s="667"/>
      <c r="AU12" s="667"/>
      <c r="AV12" s="667"/>
      <c r="AW12" s="667"/>
      <c r="AX12" s="667"/>
      <c r="AY12" s="667"/>
      <c r="AZ12" s="667"/>
      <c r="BA12" s="667"/>
      <c r="BB12" s="667"/>
      <c r="BC12" s="667"/>
      <c r="BD12" s="667"/>
      <c r="BE12" s="667"/>
      <c r="BF12" s="667"/>
      <c r="BG12" s="667"/>
      <c r="BH12" s="667"/>
      <c r="BI12" s="667"/>
      <c r="BJ12" s="667"/>
      <c r="BK12" s="667"/>
      <c r="BL12" s="667"/>
      <c r="BM12" s="667"/>
      <c r="BN12" s="667"/>
      <c r="BO12" s="667"/>
      <c r="BP12" s="667"/>
      <c r="BQ12" s="667"/>
      <c r="BR12" s="667"/>
      <c r="BS12" s="667"/>
      <c r="BT12" s="667"/>
      <c r="BU12" s="667"/>
      <c r="BV12" s="667"/>
      <c r="BW12" s="667"/>
      <c r="BX12" s="667"/>
      <c r="BY12" s="667"/>
      <c r="BZ12" s="667"/>
      <c r="CA12" s="667"/>
      <c r="CB12" s="667"/>
      <c r="CC12" s="667"/>
      <c r="CD12" s="667"/>
      <c r="CE12" s="667"/>
      <c r="CF12" s="667"/>
      <c r="CG12" s="667"/>
      <c r="CH12" s="667"/>
      <c r="CI12" s="667"/>
      <c r="CJ12" s="667"/>
      <c r="CK12" s="667"/>
      <c r="CL12" s="667"/>
      <c r="CM12" s="667"/>
      <c r="CN12" s="667"/>
      <c r="CO12" s="667"/>
      <c r="CP12" s="667"/>
      <c r="CQ12" s="667"/>
      <c r="CR12" s="667"/>
      <c r="CS12" s="667"/>
      <c r="CT12" s="667"/>
      <c r="CU12" s="667"/>
      <c r="CV12" s="667"/>
      <c r="CW12" s="667"/>
      <c r="CX12" s="667"/>
      <c r="CY12" s="667"/>
      <c r="CZ12" s="667"/>
    </row>
    <row r="13" spans="3:105" hidden="1" x14ac:dyDescent="0.45">
      <c r="C13" s="1635" t="s">
        <v>454</v>
      </c>
      <c r="D13" s="1636"/>
      <c r="E13" s="703" t="str">
        <f>INDEX(strategies_array, plan_index)</f>
        <v>Plans!E229:AB229</v>
      </c>
      <c r="F13" s="667"/>
      <c r="G13" s="667"/>
      <c r="H13" s="667"/>
      <c r="I13" s="667"/>
      <c r="J13" s="667"/>
      <c r="K13" s="667"/>
      <c r="L13" s="667"/>
      <c r="M13" s="667"/>
      <c r="N13" s="667"/>
      <c r="O13" s="667"/>
      <c r="P13" s="667"/>
      <c r="Q13" s="667"/>
      <c r="R13" s="667"/>
      <c r="S13" s="667"/>
      <c r="T13" s="667"/>
      <c r="U13" s="667"/>
      <c r="V13" s="667"/>
      <c r="W13" s="667"/>
      <c r="X13" s="667"/>
      <c r="Y13" s="667"/>
      <c r="Z13" s="667"/>
      <c r="AA13" s="667"/>
      <c r="AB13" s="667"/>
      <c r="AC13" s="667"/>
      <c r="AD13" s="667"/>
      <c r="AE13" s="667"/>
      <c r="AF13" s="667"/>
      <c r="AG13" s="667"/>
      <c r="AH13" s="667"/>
      <c r="AI13" s="667"/>
      <c r="AJ13" s="667"/>
      <c r="AK13" s="667"/>
      <c r="AL13" s="667"/>
      <c r="AM13" s="667"/>
      <c r="AN13" s="667"/>
      <c r="AO13" s="667"/>
      <c r="AP13" s="667"/>
      <c r="AQ13" s="667"/>
      <c r="AR13" s="667"/>
      <c r="AS13" s="667"/>
      <c r="AT13" s="667"/>
      <c r="AU13" s="667"/>
      <c r="AV13" s="667"/>
      <c r="AW13" s="667"/>
      <c r="AX13" s="667"/>
      <c r="AY13" s="667"/>
      <c r="AZ13" s="667"/>
      <c r="BA13" s="667"/>
      <c r="BB13" s="667"/>
      <c r="BC13" s="667"/>
      <c r="BD13" s="667"/>
      <c r="BE13" s="667"/>
      <c r="BF13" s="667"/>
      <c r="BG13" s="667"/>
      <c r="BH13" s="667"/>
      <c r="BI13" s="667"/>
      <c r="BJ13" s="667"/>
      <c r="BK13" s="667"/>
      <c r="BL13" s="667"/>
      <c r="BM13" s="667"/>
      <c r="BN13" s="667"/>
      <c r="BO13" s="667"/>
      <c r="BP13" s="667"/>
      <c r="BQ13" s="667"/>
      <c r="BR13" s="667"/>
      <c r="BS13" s="667"/>
      <c r="BT13" s="667"/>
      <c r="BU13" s="667"/>
      <c r="BV13" s="667"/>
      <c r="BW13" s="667"/>
      <c r="BX13" s="667"/>
      <c r="BY13" s="667"/>
      <c r="BZ13" s="667"/>
      <c r="CA13" s="667"/>
      <c r="CB13" s="667"/>
      <c r="CC13" s="667"/>
      <c r="CD13" s="667"/>
      <c r="CE13" s="667"/>
      <c r="CF13" s="667"/>
      <c r="CG13" s="667"/>
      <c r="CH13" s="667"/>
      <c r="CI13" s="667"/>
      <c r="CJ13" s="667"/>
      <c r="CK13" s="667"/>
      <c r="CL13" s="667"/>
      <c r="CM13" s="667"/>
      <c r="CN13" s="667"/>
      <c r="CO13" s="667"/>
      <c r="CP13" s="667"/>
      <c r="CQ13" s="667"/>
      <c r="CR13" s="667"/>
      <c r="CS13" s="667"/>
      <c r="CT13" s="667"/>
      <c r="CU13" s="667"/>
      <c r="CV13" s="667"/>
      <c r="CW13" s="667"/>
      <c r="CX13" s="667"/>
      <c r="CY13" s="667"/>
      <c r="CZ13" s="667"/>
    </row>
    <row r="14" spans="3:105" hidden="1" x14ac:dyDescent="0.45">
      <c r="C14" s="1637" t="s">
        <v>446</v>
      </c>
      <c r="D14" s="1638"/>
      <c r="E14" s="705">
        <f>INDEX(plans_start_date, plan_index)</f>
        <v>43374</v>
      </c>
      <c r="F14" s="667"/>
      <c r="G14" s="667"/>
      <c r="H14" s="667"/>
      <c r="I14" s="667"/>
      <c r="J14" s="667"/>
      <c r="K14" s="667"/>
      <c r="L14" s="667"/>
      <c r="M14" s="667"/>
      <c r="N14" s="667"/>
      <c r="O14" s="667"/>
      <c r="P14" s="667"/>
      <c r="Q14" s="667"/>
      <c r="R14" s="667"/>
      <c r="S14" s="667"/>
      <c r="T14" s="667"/>
      <c r="U14" s="667"/>
      <c r="V14" s="667"/>
      <c r="W14" s="667"/>
      <c r="X14" s="667"/>
      <c r="Y14" s="667"/>
      <c r="Z14" s="667"/>
      <c r="AA14" s="667"/>
      <c r="AB14" s="667"/>
      <c r="AC14" s="667"/>
      <c r="AD14" s="667"/>
      <c r="AE14" s="667"/>
      <c r="AF14" s="667"/>
      <c r="AG14" s="667"/>
      <c r="AH14" s="667"/>
      <c r="AI14" s="667"/>
      <c r="AJ14" s="667"/>
      <c r="AK14" s="667"/>
      <c r="AL14" s="667"/>
      <c r="AM14" s="667"/>
      <c r="AN14" s="667"/>
      <c r="AO14" s="667"/>
      <c r="AP14" s="667"/>
      <c r="AQ14" s="667"/>
      <c r="AR14" s="667"/>
      <c r="AS14" s="667"/>
      <c r="AT14" s="667"/>
      <c r="AU14" s="667"/>
      <c r="AV14" s="667"/>
      <c r="AW14" s="667"/>
      <c r="AX14" s="667"/>
      <c r="AY14" s="667"/>
      <c r="AZ14" s="667"/>
      <c r="BA14" s="667"/>
      <c r="BB14" s="667"/>
      <c r="BC14" s="667"/>
      <c r="BD14" s="667"/>
      <c r="BE14" s="667"/>
      <c r="BF14" s="667"/>
      <c r="BG14" s="667"/>
      <c r="BH14" s="667"/>
      <c r="BI14" s="667"/>
      <c r="BJ14" s="667"/>
      <c r="BK14" s="667"/>
      <c r="BL14" s="667"/>
      <c r="BM14" s="667"/>
      <c r="BN14" s="667"/>
      <c r="BO14" s="667"/>
      <c r="BP14" s="667"/>
      <c r="BQ14" s="667"/>
      <c r="BR14" s="667"/>
      <c r="BS14" s="667"/>
      <c r="BT14" s="667"/>
      <c r="BU14" s="667"/>
      <c r="BV14" s="667"/>
      <c r="BW14" s="667"/>
      <c r="BX14" s="667"/>
      <c r="BY14" s="667"/>
      <c r="BZ14" s="667"/>
      <c r="CA14" s="667"/>
      <c r="CB14" s="667"/>
      <c r="CC14" s="667"/>
      <c r="CD14" s="667"/>
      <c r="CE14" s="667"/>
      <c r="CF14" s="667"/>
      <c r="CG14" s="667"/>
      <c r="CH14" s="667"/>
      <c r="CI14" s="667"/>
      <c r="CJ14" s="667"/>
      <c r="CK14" s="667"/>
      <c r="CL14" s="667"/>
      <c r="CM14" s="667"/>
      <c r="CN14" s="667"/>
      <c r="CO14" s="667"/>
      <c r="CP14" s="667"/>
      <c r="CQ14" s="667"/>
      <c r="CR14" s="667"/>
      <c r="CS14" s="667"/>
      <c r="CT14" s="667"/>
      <c r="CU14" s="667"/>
      <c r="CV14" s="667"/>
      <c r="CW14" s="667"/>
      <c r="CX14" s="667"/>
      <c r="CY14" s="667"/>
      <c r="CZ14" s="667"/>
    </row>
    <row r="15" spans="3:105" hidden="1" x14ac:dyDescent="0.45">
      <c r="C15" s="1639" t="s">
        <v>447</v>
      </c>
      <c r="D15" s="1640"/>
      <c r="E15" s="782">
        <f>INDEX(plans_finish_date, plan_index)</f>
        <v>43505</v>
      </c>
      <c r="F15" s="667"/>
      <c r="G15" s="667"/>
      <c r="H15" s="667"/>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7"/>
      <c r="AO15" s="667"/>
      <c r="AP15" s="667"/>
      <c r="AQ15" s="667"/>
      <c r="AR15" s="667"/>
      <c r="AS15" s="667"/>
      <c r="AT15" s="667"/>
      <c r="AU15" s="667"/>
      <c r="AV15" s="667"/>
      <c r="AW15" s="667"/>
      <c r="AX15" s="667"/>
      <c r="AY15" s="667"/>
      <c r="AZ15" s="667"/>
      <c r="BA15" s="667"/>
      <c r="BB15" s="667"/>
      <c r="BC15" s="667"/>
      <c r="BD15" s="667"/>
      <c r="BE15" s="667"/>
      <c r="BF15" s="667"/>
      <c r="BG15" s="667"/>
      <c r="BH15" s="667"/>
      <c r="BI15" s="667"/>
      <c r="BJ15" s="667"/>
      <c r="BK15" s="667"/>
      <c r="BL15" s="667"/>
      <c r="BM15" s="667"/>
      <c r="BN15" s="667"/>
      <c r="BO15" s="667"/>
      <c r="BP15" s="667"/>
      <c r="BQ15" s="667"/>
      <c r="BR15" s="667"/>
      <c r="BS15" s="667"/>
      <c r="BT15" s="667"/>
      <c r="BU15" s="667"/>
      <c r="BV15" s="667"/>
      <c r="BW15" s="667"/>
      <c r="BX15" s="667"/>
      <c r="BY15" s="667"/>
      <c r="BZ15" s="667"/>
      <c r="CA15" s="667"/>
      <c r="CB15" s="667"/>
      <c r="CC15" s="667"/>
      <c r="CD15" s="667"/>
      <c r="CE15" s="667"/>
      <c r="CF15" s="667"/>
      <c r="CG15" s="667"/>
      <c r="CH15" s="667"/>
      <c r="CI15" s="667"/>
      <c r="CJ15" s="667"/>
      <c r="CK15" s="667"/>
      <c r="CL15" s="667"/>
      <c r="CM15" s="667"/>
      <c r="CN15" s="667"/>
      <c r="CO15" s="667"/>
      <c r="CP15" s="667"/>
      <c r="CQ15" s="667"/>
      <c r="CR15" s="667"/>
      <c r="CS15" s="667"/>
      <c r="CT15" s="667"/>
      <c r="CU15" s="667"/>
      <c r="CV15" s="667"/>
      <c r="CW15" s="667"/>
      <c r="CX15" s="667"/>
      <c r="CY15" s="667"/>
      <c r="CZ15" s="667"/>
    </row>
    <row r="16" spans="3:105" s="780" customFormat="1" ht="14.65" hidden="1" thickBot="1" x14ac:dyDescent="0.5">
      <c r="C16" s="1627" t="s">
        <v>474</v>
      </c>
      <c r="D16" s="1628"/>
      <c r="E16" s="785" t="str">
        <f>INDEX(plans_event, plan_index)</f>
        <v>Tarawera 50km</v>
      </c>
      <c r="F16" s="667"/>
      <c r="G16" s="667"/>
      <c r="H16" s="667"/>
      <c r="I16" s="667"/>
      <c r="J16" s="667"/>
      <c r="K16" s="667"/>
      <c r="L16" s="667"/>
      <c r="M16" s="667"/>
      <c r="N16" s="667"/>
      <c r="O16" s="667"/>
      <c r="P16" s="667"/>
      <c r="Q16" s="667"/>
      <c r="R16" s="667"/>
      <c r="S16" s="667"/>
      <c r="T16" s="667"/>
      <c r="U16" s="667"/>
      <c r="V16" s="667"/>
      <c r="W16" s="667"/>
      <c r="X16" s="667"/>
      <c r="Y16" s="667"/>
      <c r="Z16" s="667"/>
      <c r="AA16" s="667"/>
      <c r="AB16" s="667"/>
      <c r="AC16" s="667"/>
      <c r="AD16" s="667"/>
      <c r="AE16" s="667"/>
      <c r="AF16" s="667"/>
      <c r="AG16" s="667"/>
      <c r="AH16" s="667"/>
      <c r="AI16" s="667"/>
      <c r="AJ16" s="667"/>
      <c r="AK16" s="667"/>
      <c r="AL16" s="667"/>
      <c r="AM16" s="667"/>
      <c r="AN16" s="667"/>
      <c r="AO16" s="667"/>
      <c r="AP16" s="667"/>
      <c r="AQ16" s="667"/>
      <c r="AR16" s="667"/>
      <c r="AS16" s="667"/>
      <c r="AT16" s="667"/>
      <c r="AU16" s="667"/>
      <c r="AV16" s="667"/>
      <c r="AW16" s="667"/>
      <c r="AX16" s="667"/>
      <c r="AY16" s="667"/>
      <c r="AZ16" s="667"/>
      <c r="BA16" s="667"/>
      <c r="BB16" s="667"/>
      <c r="BC16" s="667"/>
      <c r="BD16" s="667"/>
      <c r="BE16" s="667"/>
      <c r="BF16" s="667"/>
      <c r="BG16" s="667"/>
      <c r="BH16" s="667"/>
      <c r="BI16" s="667"/>
      <c r="BJ16" s="667"/>
      <c r="BK16" s="667"/>
      <c r="BL16" s="667"/>
      <c r="BM16" s="667"/>
      <c r="BN16" s="667"/>
      <c r="BO16" s="667"/>
      <c r="BP16" s="667"/>
      <c r="BQ16" s="667"/>
      <c r="BR16" s="667"/>
      <c r="BS16" s="667"/>
      <c r="BT16" s="667"/>
      <c r="BU16" s="667"/>
      <c r="BV16" s="667"/>
      <c r="BW16" s="667"/>
      <c r="BX16" s="667"/>
      <c r="BY16" s="667"/>
      <c r="BZ16" s="667"/>
      <c r="CA16" s="667"/>
      <c r="CB16" s="667"/>
      <c r="CC16" s="667"/>
      <c r="CD16" s="667"/>
      <c r="CE16" s="667"/>
      <c r="CF16" s="667"/>
      <c r="CG16" s="667"/>
      <c r="CH16" s="667"/>
      <c r="CI16" s="667"/>
      <c r="CJ16" s="667"/>
      <c r="CK16" s="667"/>
      <c r="CL16" s="667"/>
      <c r="CM16" s="667"/>
      <c r="CN16" s="667"/>
      <c r="CO16" s="667"/>
      <c r="CP16" s="667"/>
      <c r="CQ16" s="667"/>
      <c r="CR16" s="667"/>
      <c r="CS16" s="667"/>
      <c r="CT16" s="667"/>
      <c r="CU16" s="667"/>
      <c r="CV16" s="667"/>
      <c r="CW16" s="667"/>
      <c r="CX16" s="667"/>
      <c r="CY16" s="667"/>
      <c r="CZ16" s="667"/>
    </row>
    <row r="17" spans="1:104" hidden="1" x14ac:dyDescent="0.45">
      <c r="B17" s="666"/>
      <c r="C17" s="695"/>
      <c r="D17" s="695"/>
      <c r="E17" s="696"/>
      <c r="F17" s="667"/>
      <c r="G17" s="667"/>
      <c r="H17" s="667"/>
      <c r="I17" s="667"/>
      <c r="J17" s="667"/>
      <c r="K17" s="667"/>
      <c r="L17" s="667"/>
      <c r="M17" s="667"/>
      <c r="N17" s="667"/>
      <c r="O17" s="667"/>
      <c r="P17" s="667"/>
      <c r="Q17" s="667"/>
      <c r="R17" s="667"/>
      <c r="S17" s="667"/>
      <c r="T17" s="667"/>
      <c r="U17" s="667"/>
      <c r="V17" s="667"/>
      <c r="W17" s="667"/>
      <c r="X17" s="667"/>
      <c r="Y17" s="667"/>
      <c r="Z17" s="667"/>
      <c r="AA17" s="667"/>
      <c r="AB17" s="667"/>
      <c r="AC17" s="667"/>
      <c r="AD17" s="667"/>
      <c r="AE17" s="667"/>
      <c r="AF17" s="667"/>
      <c r="AG17" s="667"/>
      <c r="AH17" s="667"/>
      <c r="AI17" s="667"/>
      <c r="AJ17" s="667"/>
      <c r="AK17" s="667"/>
      <c r="AL17" s="667"/>
      <c r="AM17" s="667"/>
      <c r="AN17" s="667"/>
      <c r="AO17" s="667"/>
      <c r="AP17" s="667"/>
      <c r="AQ17" s="667"/>
      <c r="AR17" s="667"/>
      <c r="AS17" s="667"/>
      <c r="AT17" s="667"/>
      <c r="AU17" s="667"/>
      <c r="AV17" s="667"/>
      <c r="AW17" s="667"/>
      <c r="AX17" s="667"/>
      <c r="AY17" s="667"/>
      <c r="AZ17" s="667"/>
      <c r="BA17" s="667"/>
      <c r="BB17" s="667"/>
      <c r="BC17" s="667"/>
      <c r="BD17" s="667"/>
      <c r="BE17" s="667"/>
      <c r="BF17" s="667"/>
      <c r="BG17" s="667"/>
      <c r="BH17" s="667"/>
      <c r="BI17" s="667"/>
      <c r="BJ17" s="667"/>
      <c r="BK17" s="667"/>
      <c r="BL17" s="667"/>
      <c r="BM17" s="667"/>
      <c r="BN17" s="667"/>
      <c r="BO17" s="667"/>
      <c r="BP17" s="667"/>
      <c r="BQ17" s="667"/>
      <c r="BR17" s="667"/>
      <c r="BS17" s="667"/>
      <c r="BT17" s="667"/>
      <c r="BU17" s="667"/>
      <c r="BV17" s="667"/>
      <c r="BW17" s="667"/>
      <c r="BX17" s="667"/>
      <c r="BY17" s="667"/>
      <c r="BZ17" s="667"/>
      <c r="CA17" s="667"/>
      <c r="CB17" s="667"/>
      <c r="CC17" s="667"/>
      <c r="CD17" s="667"/>
      <c r="CE17" s="667"/>
      <c r="CF17" s="667"/>
      <c r="CG17" s="667"/>
      <c r="CH17" s="667"/>
      <c r="CI17" s="667"/>
      <c r="CJ17" s="667"/>
      <c r="CK17" s="667"/>
      <c r="CL17" s="667"/>
      <c r="CM17" s="667"/>
      <c r="CN17" s="667"/>
      <c r="CO17" s="667"/>
      <c r="CP17" s="667"/>
      <c r="CQ17" s="667"/>
      <c r="CR17" s="667"/>
      <c r="CS17" s="667"/>
      <c r="CT17" s="667"/>
      <c r="CU17" s="667"/>
      <c r="CV17" s="667"/>
      <c r="CW17" s="667"/>
      <c r="CX17" s="667"/>
      <c r="CY17" s="667"/>
      <c r="CZ17" s="667"/>
    </row>
    <row r="18" spans="1:104" s="666" customFormat="1" hidden="1" x14ac:dyDescent="0.45">
      <c r="A18" s="694"/>
      <c r="B18" s="1700" t="s">
        <v>318</v>
      </c>
      <c r="C18" s="1701"/>
      <c r="D18" s="1701"/>
      <c r="E18" s="786">
        <v>1</v>
      </c>
      <c r="F18" s="786">
        <v>2</v>
      </c>
      <c r="G18" s="786">
        <v>3</v>
      </c>
      <c r="H18" s="786">
        <v>4</v>
      </c>
      <c r="I18" s="786">
        <v>5</v>
      </c>
      <c r="J18" s="786">
        <v>6</v>
      </c>
      <c r="K18" s="786">
        <v>7</v>
      </c>
      <c r="L18" s="786">
        <v>8</v>
      </c>
      <c r="M18" s="786">
        <v>9</v>
      </c>
      <c r="N18" s="786">
        <v>10</v>
      </c>
      <c r="O18" s="786">
        <v>11</v>
      </c>
      <c r="P18" s="786">
        <v>12</v>
      </c>
      <c r="Q18" s="786">
        <v>13</v>
      </c>
      <c r="R18" s="786">
        <v>14</v>
      </c>
      <c r="S18" s="786">
        <v>15</v>
      </c>
      <c r="T18" s="786">
        <v>16</v>
      </c>
      <c r="U18" s="786">
        <v>17</v>
      </c>
      <c r="V18" s="786">
        <v>18</v>
      </c>
      <c r="W18" s="786">
        <v>19</v>
      </c>
      <c r="X18" s="786">
        <v>20</v>
      </c>
      <c r="Y18" s="786">
        <v>21</v>
      </c>
      <c r="Z18" s="786">
        <v>22</v>
      </c>
      <c r="AA18" s="786">
        <v>23</v>
      </c>
      <c r="AB18" s="787">
        <v>24</v>
      </c>
      <c r="AC18" s="667"/>
      <c r="AD18" s="667"/>
      <c r="AE18" s="667"/>
      <c r="AF18" s="667"/>
      <c r="AG18" s="667"/>
      <c r="AH18" s="667"/>
      <c r="AI18" s="667"/>
      <c r="AJ18" s="667"/>
      <c r="AK18" s="667"/>
      <c r="AL18" s="667"/>
      <c r="AM18" s="667"/>
      <c r="AN18" s="667"/>
      <c r="AO18" s="667"/>
      <c r="AP18" s="667"/>
      <c r="AQ18" s="667"/>
      <c r="AR18" s="667"/>
      <c r="AS18" s="667"/>
      <c r="AT18" s="667"/>
      <c r="AU18" s="667"/>
      <c r="AV18" s="667"/>
      <c r="AW18" s="667"/>
      <c r="AX18" s="667"/>
      <c r="AY18" s="667"/>
      <c r="AZ18" s="667"/>
      <c r="BA18" s="667"/>
      <c r="BB18" s="667"/>
      <c r="BC18" s="667"/>
      <c r="BD18" s="667"/>
      <c r="BE18" s="667"/>
      <c r="BF18" s="667"/>
      <c r="BG18" s="667"/>
      <c r="BH18" s="667"/>
      <c r="BI18" s="667"/>
      <c r="BJ18" s="667"/>
      <c r="BK18" s="667"/>
      <c r="BL18" s="667"/>
      <c r="BM18" s="667"/>
      <c r="BN18" s="667"/>
      <c r="BO18" s="667"/>
      <c r="BP18" s="667"/>
      <c r="BQ18" s="667"/>
      <c r="BR18" s="667"/>
      <c r="BS18" s="667"/>
      <c r="BT18" s="667"/>
      <c r="BU18" s="667"/>
      <c r="BV18" s="667"/>
      <c r="BW18" s="667"/>
      <c r="BX18" s="667"/>
      <c r="BY18" s="667"/>
      <c r="BZ18" s="667"/>
      <c r="CA18" s="667"/>
      <c r="CB18" s="667"/>
      <c r="CC18" s="667"/>
      <c r="CD18" s="667"/>
      <c r="CE18" s="667"/>
      <c r="CF18" s="667"/>
      <c r="CG18" s="667"/>
      <c r="CH18" s="667"/>
      <c r="CI18" s="667"/>
      <c r="CJ18" s="667"/>
      <c r="CK18" s="667"/>
      <c r="CL18" s="667"/>
      <c r="CM18" s="667"/>
      <c r="CN18" s="667"/>
      <c r="CO18" s="667"/>
      <c r="CP18" s="667"/>
      <c r="CQ18" s="667"/>
      <c r="CR18" s="667"/>
      <c r="CS18" s="667"/>
      <c r="CT18" s="667"/>
      <c r="CU18" s="667"/>
      <c r="CV18" s="667"/>
      <c r="CW18" s="667"/>
      <c r="CX18" s="667"/>
      <c r="CY18" s="667"/>
      <c r="CZ18" s="667"/>
    </row>
    <row r="19" spans="1:104" s="666" customFormat="1" hidden="1" x14ac:dyDescent="0.45">
      <c r="A19" s="751"/>
      <c r="B19" s="1700" t="s">
        <v>317</v>
      </c>
      <c r="C19" s="1701"/>
      <c r="D19" s="1701"/>
      <c r="E19" s="788">
        <f t="array" ref="E19:AB19">IF(plan_start_date+plans_week*7-7 &gt; plan_finish_date,"",plan_start_date+plans_week*7-7)</f>
        <v>43374</v>
      </c>
      <c r="F19" s="788">
        <v>43381</v>
      </c>
      <c r="G19" s="788">
        <v>43388</v>
      </c>
      <c r="H19" s="788">
        <v>43395</v>
      </c>
      <c r="I19" s="788">
        <v>43402</v>
      </c>
      <c r="J19" s="788">
        <v>43409</v>
      </c>
      <c r="K19" s="788">
        <v>43416</v>
      </c>
      <c r="L19" s="788">
        <v>43423</v>
      </c>
      <c r="M19" s="788">
        <v>43430</v>
      </c>
      <c r="N19" s="788">
        <v>43437</v>
      </c>
      <c r="O19" s="788">
        <v>43444</v>
      </c>
      <c r="P19" s="788">
        <v>43451</v>
      </c>
      <c r="Q19" s="788">
        <v>43458</v>
      </c>
      <c r="R19" s="788">
        <v>43465</v>
      </c>
      <c r="S19" s="788">
        <v>43472</v>
      </c>
      <c r="T19" s="788">
        <v>43479</v>
      </c>
      <c r="U19" s="788">
        <v>43486</v>
      </c>
      <c r="V19" s="788">
        <v>43493</v>
      </c>
      <c r="W19" s="788">
        <v>43500</v>
      </c>
      <c r="X19" s="788" t="str">
        <v/>
      </c>
      <c r="Y19" s="788" t="str">
        <v/>
      </c>
      <c r="Z19" s="788" t="str">
        <v/>
      </c>
      <c r="AA19" s="788" t="str">
        <v/>
      </c>
      <c r="AB19" s="789" t="str">
        <v/>
      </c>
      <c r="AC19" s="667"/>
      <c r="AD19" s="667"/>
      <c r="AE19" s="667"/>
      <c r="AF19" s="667"/>
      <c r="AG19" s="667"/>
      <c r="AH19" s="667"/>
      <c r="AI19" s="667"/>
      <c r="AJ19" s="667"/>
      <c r="AK19" s="667"/>
      <c r="AL19" s="667"/>
      <c r="AM19" s="667"/>
      <c r="AN19" s="667"/>
      <c r="AO19" s="667"/>
      <c r="AP19" s="667"/>
      <c r="AQ19" s="667"/>
      <c r="AR19" s="667"/>
      <c r="AS19" s="667"/>
      <c r="AT19" s="667"/>
      <c r="AU19" s="667"/>
      <c r="AV19" s="667"/>
      <c r="AW19" s="667"/>
      <c r="AX19" s="667"/>
      <c r="AY19" s="667"/>
      <c r="AZ19" s="667"/>
      <c r="BA19" s="667"/>
      <c r="BB19" s="667"/>
      <c r="BC19" s="667"/>
      <c r="BD19" s="667"/>
      <c r="BE19" s="667"/>
      <c r="BF19" s="667"/>
      <c r="BG19" s="667"/>
      <c r="BH19" s="667"/>
      <c r="BI19" s="667"/>
      <c r="BJ19" s="667"/>
      <c r="BK19" s="667"/>
      <c r="BL19" s="667"/>
      <c r="BM19" s="667"/>
      <c r="BN19" s="667"/>
      <c r="BO19" s="667"/>
      <c r="BP19" s="667"/>
      <c r="BQ19" s="667"/>
      <c r="BR19" s="667"/>
      <c r="BS19" s="667"/>
      <c r="BT19" s="667"/>
      <c r="BU19" s="667"/>
      <c r="BV19" s="667"/>
      <c r="BW19" s="667"/>
      <c r="BX19" s="667"/>
      <c r="BY19" s="667"/>
      <c r="BZ19" s="667"/>
      <c r="CA19" s="667"/>
      <c r="CB19" s="667"/>
      <c r="CC19" s="667"/>
      <c r="CD19" s="667"/>
      <c r="CE19" s="667"/>
      <c r="CF19" s="667"/>
      <c r="CG19" s="667"/>
      <c r="CH19" s="667"/>
      <c r="CI19" s="667"/>
      <c r="CJ19" s="667"/>
      <c r="CK19" s="667"/>
      <c r="CL19" s="667"/>
      <c r="CM19" s="667"/>
      <c r="CN19" s="667"/>
      <c r="CO19" s="667"/>
      <c r="CP19" s="667"/>
      <c r="CQ19" s="667"/>
      <c r="CR19" s="667"/>
      <c r="CS19" s="667"/>
      <c r="CT19" s="667"/>
      <c r="CU19" s="667"/>
      <c r="CV19" s="667"/>
      <c r="CW19" s="667"/>
      <c r="CX19" s="667"/>
      <c r="CY19" s="667"/>
      <c r="CZ19" s="667"/>
    </row>
    <row r="20" spans="1:104" hidden="1" x14ac:dyDescent="0.45">
      <c r="B20" s="666"/>
      <c r="C20" s="666"/>
      <c r="D20" s="666"/>
      <c r="E20" s="667"/>
      <c r="F20" s="667"/>
      <c r="G20" s="667"/>
      <c r="H20" s="667"/>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7"/>
      <c r="AR20" s="667"/>
      <c r="AS20" s="667"/>
      <c r="AT20" s="667"/>
      <c r="AU20" s="667"/>
      <c r="AV20" s="667"/>
      <c r="AW20" s="667"/>
      <c r="AX20" s="667"/>
      <c r="AY20" s="667"/>
      <c r="AZ20" s="667"/>
      <c r="BA20" s="667"/>
      <c r="BB20" s="667"/>
      <c r="BC20" s="667"/>
      <c r="BD20" s="667"/>
      <c r="BE20" s="667"/>
      <c r="BF20" s="667"/>
      <c r="BG20" s="667"/>
      <c r="BH20" s="667"/>
      <c r="BI20" s="667"/>
      <c r="BJ20" s="667"/>
      <c r="BK20" s="667"/>
      <c r="BL20" s="667"/>
      <c r="BM20" s="667"/>
      <c r="BN20" s="667"/>
      <c r="BO20" s="667"/>
      <c r="BP20" s="667"/>
      <c r="BQ20" s="667"/>
      <c r="BR20" s="667"/>
      <c r="BS20" s="667"/>
      <c r="BT20" s="667"/>
      <c r="BU20" s="667"/>
      <c r="BV20" s="667"/>
      <c r="BW20" s="667"/>
      <c r="BX20" s="667"/>
      <c r="BY20" s="667"/>
      <c r="BZ20" s="667"/>
      <c r="CA20" s="667"/>
      <c r="CB20" s="667"/>
      <c r="CC20" s="667"/>
      <c r="CD20" s="667"/>
      <c r="CE20" s="667"/>
      <c r="CF20" s="667"/>
      <c r="CG20" s="667"/>
      <c r="CH20" s="667"/>
      <c r="CI20" s="667"/>
      <c r="CJ20" s="667"/>
      <c r="CK20" s="667"/>
      <c r="CL20" s="667"/>
      <c r="CM20" s="667"/>
      <c r="CN20" s="667"/>
      <c r="CO20" s="667"/>
      <c r="CP20" s="667"/>
      <c r="CQ20" s="667"/>
      <c r="CR20" s="667"/>
      <c r="CS20" s="667"/>
      <c r="CT20" s="667"/>
      <c r="CU20" s="667"/>
      <c r="CV20" s="667"/>
      <c r="CW20" s="667"/>
      <c r="CX20" s="667"/>
      <c r="CY20" s="667"/>
      <c r="CZ20" s="667"/>
    </row>
    <row r="21" spans="1:104" ht="15" hidden="1" customHeight="1" x14ac:dyDescent="0.45">
      <c r="B21" s="1688" t="s">
        <v>453</v>
      </c>
      <c r="C21" s="1689"/>
      <c r="D21" s="1690"/>
      <c r="E21" s="697">
        <v>9</v>
      </c>
      <c r="F21" s="706">
        <v>9</v>
      </c>
      <c r="G21" s="706">
        <v>5</v>
      </c>
      <c r="H21" s="706">
        <v>3</v>
      </c>
      <c r="I21" s="706">
        <v>5</v>
      </c>
      <c r="J21" s="706">
        <v>5</v>
      </c>
      <c r="K21" s="706">
        <v>5</v>
      </c>
      <c r="L21" s="706">
        <v>5</v>
      </c>
      <c r="M21" s="697">
        <v>12</v>
      </c>
      <c r="N21" s="697">
        <v>2</v>
      </c>
      <c r="O21" s="706">
        <v>5</v>
      </c>
      <c r="P21" s="706">
        <v>14</v>
      </c>
      <c r="Q21" s="706">
        <v>6</v>
      </c>
      <c r="R21" s="1191">
        <v>6</v>
      </c>
      <c r="S21" s="1191">
        <v>6</v>
      </c>
      <c r="T21" s="1191">
        <v>7</v>
      </c>
      <c r="U21" s="1191">
        <v>7</v>
      </c>
      <c r="V21" s="1191">
        <v>13</v>
      </c>
      <c r="W21" s="1191">
        <v>13</v>
      </c>
      <c r="X21" s="1191">
        <v>13</v>
      </c>
      <c r="Y21" s="1191">
        <v>13</v>
      </c>
      <c r="Z21" s="697">
        <v>14</v>
      </c>
      <c r="AA21" s="697"/>
      <c r="AB21" s="708"/>
    </row>
    <row r="22" spans="1:104" ht="15" hidden="1" customHeight="1" x14ac:dyDescent="0.45">
      <c r="B22" s="1691" t="str">
        <f>CONCATENATE("Plan ", INDEX(plans_index,,(ROW(B22)-6)/16), ": ", INDEX(plans_name,,(ROW(B22)-6)/16))</f>
        <v>Plan 1: Gene Beveridge</v>
      </c>
      <c r="C22" s="1694" t="s">
        <v>325</v>
      </c>
      <c r="D22" s="123" t="s">
        <v>326</v>
      </c>
      <c r="E22" s="672">
        <v>110</v>
      </c>
      <c r="F22" s="672">
        <v>110</v>
      </c>
      <c r="G22" s="672">
        <v>110</v>
      </c>
      <c r="H22" s="672">
        <v>82</v>
      </c>
      <c r="I22" s="672">
        <v>110</v>
      </c>
      <c r="J22" s="672">
        <v>110</v>
      </c>
      <c r="K22" s="672">
        <v>110</v>
      </c>
      <c r="L22" s="672">
        <v>110</v>
      </c>
      <c r="M22" s="672">
        <v>4</v>
      </c>
      <c r="N22" s="672">
        <v>110</v>
      </c>
      <c r="O22" s="672">
        <v>110</v>
      </c>
      <c r="P22" s="672">
        <v>110</v>
      </c>
      <c r="Q22" s="672">
        <v>85</v>
      </c>
      <c r="R22" s="672">
        <v>110</v>
      </c>
      <c r="S22" s="672">
        <v>110</v>
      </c>
      <c r="T22" s="672">
        <v>110</v>
      </c>
      <c r="U22" s="672">
        <v>110</v>
      </c>
      <c r="V22" s="672">
        <v>110</v>
      </c>
      <c r="W22" s="672">
        <v>110</v>
      </c>
      <c r="X22" s="672">
        <v>7</v>
      </c>
      <c r="Y22" s="672">
        <v>7</v>
      </c>
      <c r="Z22" s="672">
        <v>10</v>
      </c>
      <c r="AA22" s="672"/>
      <c r="AB22" s="674"/>
    </row>
    <row r="23" spans="1:104" hidden="1" x14ac:dyDescent="0.45">
      <c r="B23" s="1692"/>
      <c r="C23" s="1695"/>
      <c r="D23" s="124" t="s">
        <v>327</v>
      </c>
      <c r="E23" s="675">
        <v>76</v>
      </c>
      <c r="F23" s="675">
        <v>76</v>
      </c>
      <c r="G23" s="675">
        <v>76</v>
      </c>
      <c r="H23" s="675"/>
      <c r="I23" s="675">
        <v>76</v>
      </c>
      <c r="J23" s="675">
        <v>76</v>
      </c>
      <c r="K23" s="675">
        <v>76</v>
      </c>
      <c r="L23" s="675">
        <v>76</v>
      </c>
      <c r="M23" s="675"/>
      <c r="N23" s="675">
        <v>76</v>
      </c>
      <c r="O23" s="675">
        <v>76</v>
      </c>
      <c r="P23" s="675">
        <v>76</v>
      </c>
      <c r="Q23" s="675"/>
      <c r="R23" s="675">
        <v>76</v>
      </c>
      <c r="S23" s="675">
        <v>76</v>
      </c>
      <c r="T23" s="675">
        <v>76</v>
      </c>
      <c r="U23" s="675">
        <v>76</v>
      </c>
      <c r="V23" s="675">
        <v>76</v>
      </c>
      <c r="W23" s="675">
        <v>76</v>
      </c>
      <c r="X23" s="675">
        <v>76</v>
      </c>
      <c r="Y23" s="675">
        <v>76</v>
      </c>
      <c r="Z23" s="675"/>
      <c r="AA23" s="675"/>
      <c r="AB23" s="677"/>
    </row>
    <row r="24" spans="1:104" hidden="1" x14ac:dyDescent="0.45">
      <c r="B24" s="1692"/>
      <c r="C24" s="1696" t="s">
        <v>328</v>
      </c>
      <c r="D24" s="122" t="s">
        <v>326</v>
      </c>
      <c r="E24" s="678">
        <v>110</v>
      </c>
      <c r="F24" s="678">
        <v>110</v>
      </c>
      <c r="G24" s="678">
        <v>110</v>
      </c>
      <c r="H24" s="678"/>
      <c r="I24" s="678">
        <v>110</v>
      </c>
      <c r="J24" s="678"/>
      <c r="K24" s="678">
        <v>110</v>
      </c>
      <c r="L24" s="678">
        <v>110</v>
      </c>
      <c r="M24" s="678">
        <v>4</v>
      </c>
      <c r="N24" s="678">
        <v>110</v>
      </c>
      <c r="O24" s="678">
        <v>110</v>
      </c>
      <c r="P24" s="678">
        <v>110</v>
      </c>
      <c r="Q24" s="678"/>
      <c r="R24" s="678">
        <v>110</v>
      </c>
      <c r="S24" s="678">
        <v>110</v>
      </c>
      <c r="T24" s="678">
        <v>110</v>
      </c>
      <c r="U24" s="678">
        <v>110</v>
      </c>
      <c r="V24" s="678"/>
      <c r="W24" s="678"/>
      <c r="X24" s="678"/>
      <c r="Y24" s="678"/>
      <c r="Z24" s="678"/>
      <c r="AA24" s="678"/>
      <c r="AB24" s="680"/>
    </row>
    <row r="25" spans="1:104" hidden="1" x14ac:dyDescent="0.45">
      <c r="B25" s="1692"/>
      <c r="C25" s="1697"/>
      <c r="D25" s="122" t="s">
        <v>327</v>
      </c>
      <c r="E25" s="678">
        <v>3</v>
      </c>
      <c r="F25" s="678">
        <v>3</v>
      </c>
      <c r="G25" s="678">
        <v>3</v>
      </c>
      <c r="H25" s="678"/>
      <c r="I25" s="678">
        <v>2</v>
      </c>
      <c r="J25" s="678">
        <v>2</v>
      </c>
      <c r="K25" s="678">
        <v>2</v>
      </c>
      <c r="L25" s="678">
        <v>2</v>
      </c>
      <c r="M25" s="678"/>
      <c r="N25" s="678">
        <v>2</v>
      </c>
      <c r="O25" s="678">
        <v>2</v>
      </c>
      <c r="P25" s="678">
        <v>2</v>
      </c>
      <c r="Q25" s="678"/>
      <c r="R25" s="678">
        <v>2</v>
      </c>
      <c r="S25" s="678">
        <v>2</v>
      </c>
      <c r="T25" s="678">
        <v>2</v>
      </c>
      <c r="U25" s="678">
        <v>2</v>
      </c>
      <c r="V25" s="678">
        <v>2</v>
      </c>
      <c r="W25" s="678">
        <v>2</v>
      </c>
      <c r="X25" s="678">
        <v>21</v>
      </c>
      <c r="Y25" s="678">
        <v>21</v>
      </c>
      <c r="Z25" s="678"/>
      <c r="AA25" s="678"/>
      <c r="AB25" s="680"/>
    </row>
    <row r="26" spans="1:104" hidden="1" x14ac:dyDescent="0.45">
      <c r="B26" s="1692"/>
      <c r="C26" s="1698" t="s">
        <v>329</v>
      </c>
      <c r="D26" s="125" t="s">
        <v>326</v>
      </c>
      <c r="E26" s="682">
        <v>42</v>
      </c>
      <c r="F26" s="682"/>
      <c r="G26" s="682"/>
      <c r="H26" s="682"/>
      <c r="I26" s="682"/>
      <c r="J26" s="682"/>
      <c r="K26" s="682"/>
      <c r="L26" s="682"/>
      <c r="M26" s="682">
        <v>4</v>
      </c>
      <c r="N26" s="682"/>
      <c r="O26" s="682"/>
      <c r="P26" s="682"/>
      <c r="Q26" s="682"/>
      <c r="R26" s="682"/>
      <c r="S26" s="682"/>
      <c r="T26" s="682"/>
      <c r="U26" s="682"/>
      <c r="V26" s="682"/>
      <c r="W26" s="682"/>
      <c r="X26" s="682"/>
      <c r="Y26" s="682"/>
      <c r="Z26" s="682"/>
      <c r="AA26" s="682"/>
      <c r="AB26" s="684"/>
    </row>
    <row r="27" spans="1:104" hidden="1" x14ac:dyDescent="0.45">
      <c r="B27" s="1692"/>
      <c r="C27" s="1695"/>
      <c r="D27" s="124" t="s">
        <v>327</v>
      </c>
      <c r="E27" s="675">
        <v>101</v>
      </c>
      <c r="F27" s="675">
        <v>101</v>
      </c>
      <c r="G27" s="675">
        <v>101</v>
      </c>
      <c r="H27" s="675">
        <v>101</v>
      </c>
      <c r="I27" s="675">
        <v>101</v>
      </c>
      <c r="J27" s="675">
        <v>101</v>
      </c>
      <c r="K27" s="675">
        <v>101</v>
      </c>
      <c r="L27" s="675">
        <v>101</v>
      </c>
      <c r="M27" s="675"/>
      <c r="N27" s="675">
        <v>101</v>
      </c>
      <c r="O27" s="675">
        <v>101</v>
      </c>
      <c r="P27" s="675">
        <v>101</v>
      </c>
      <c r="Q27" s="675">
        <v>101</v>
      </c>
      <c r="R27" s="675">
        <v>101</v>
      </c>
      <c r="S27" s="675">
        <v>101</v>
      </c>
      <c r="T27" s="675">
        <v>101</v>
      </c>
      <c r="U27" s="675">
        <v>101</v>
      </c>
      <c r="V27" s="675">
        <v>101</v>
      </c>
      <c r="W27" s="675">
        <v>101</v>
      </c>
      <c r="X27" s="675">
        <v>101</v>
      </c>
      <c r="Y27" s="675">
        <v>101</v>
      </c>
      <c r="Z27" s="675">
        <v>8</v>
      </c>
      <c r="AA27" s="675"/>
      <c r="AB27" s="677"/>
    </row>
    <row r="28" spans="1:104" hidden="1" x14ac:dyDescent="0.45">
      <c r="B28" s="1692"/>
      <c r="C28" s="1696" t="s">
        <v>330</v>
      </c>
      <c r="D28" s="122" t="s">
        <v>326</v>
      </c>
      <c r="E28" s="678">
        <v>110</v>
      </c>
      <c r="F28" s="678">
        <v>110</v>
      </c>
      <c r="G28" s="678"/>
      <c r="H28" s="678">
        <v>110</v>
      </c>
      <c r="I28" s="678">
        <v>110</v>
      </c>
      <c r="J28" s="678"/>
      <c r="K28" s="678"/>
      <c r="L28" s="678"/>
      <c r="M28" s="678">
        <v>4</v>
      </c>
      <c r="N28" s="678"/>
      <c r="O28" s="678"/>
      <c r="P28" s="678"/>
      <c r="Q28" s="678">
        <v>110</v>
      </c>
      <c r="R28" s="678">
        <v>110</v>
      </c>
      <c r="S28" s="678">
        <v>110</v>
      </c>
      <c r="T28" s="678">
        <v>110</v>
      </c>
      <c r="U28" s="678">
        <v>110</v>
      </c>
      <c r="V28" s="678"/>
      <c r="W28" s="678"/>
      <c r="X28" s="678">
        <v>7</v>
      </c>
      <c r="Y28" s="678">
        <v>7</v>
      </c>
      <c r="Z28" s="678">
        <v>83</v>
      </c>
      <c r="AA28" s="678"/>
      <c r="AB28" s="680"/>
    </row>
    <row r="29" spans="1:104" hidden="1" x14ac:dyDescent="0.45">
      <c r="B29" s="1692"/>
      <c r="C29" s="1697"/>
      <c r="D29" s="122" t="s">
        <v>327</v>
      </c>
      <c r="E29" s="678">
        <v>3</v>
      </c>
      <c r="F29" s="678">
        <v>3</v>
      </c>
      <c r="G29" s="678">
        <v>9</v>
      </c>
      <c r="H29" s="678">
        <v>3</v>
      </c>
      <c r="I29" s="678">
        <v>3</v>
      </c>
      <c r="J29" s="678">
        <v>3</v>
      </c>
      <c r="K29" s="678">
        <v>3</v>
      </c>
      <c r="L29" s="678">
        <v>3</v>
      </c>
      <c r="M29" s="678"/>
      <c r="N29" s="678">
        <v>3</v>
      </c>
      <c r="O29" s="678">
        <v>3</v>
      </c>
      <c r="P29" s="678">
        <v>3</v>
      </c>
      <c r="Q29" s="678">
        <v>3</v>
      </c>
      <c r="R29" s="678">
        <v>3</v>
      </c>
      <c r="S29" s="678">
        <v>3</v>
      </c>
      <c r="T29" s="678">
        <v>3</v>
      </c>
      <c r="U29" s="678">
        <v>3</v>
      </c>
      <c r="V29" s="678">
        <v>3</v>
      </c>
      <c r="W29" s="678">
        <v>3</v>
      </c>
      <c r="X29" s="678">
        <v>3</v>
      </c>
      <c r="Y29" s="678">
        <v>3</v>
      </c>
      <c r="Z29" s="678"/>
      <c r="AA29" s="678"/>
      <c r="AB29" s="680"/>
    </row>
    <row r="30" spans="1:104" hidden="1" x14ac:dyDescent="0.45">
      <c r="B30" s="1692"/>
      <c r="C30" s="1698" t="s">
        <v>331</v>
      </c>
      <c r="D30" s="125" t="s">
        <v>326</v>
      </c>
      <c r="E30" s="682">
        <v>110</v>
      </c>
      <c r="F30" s="682">
        <v>110</v>
      </c>
      <c r="G30" s="682"/>
      <c r="H30" s="682"/>
      <c r="I30" s="682">
        <v>110</v>
      </c>
      <c r="J30" s="682">
        <v>110</v>
      </c>
      <c r="K30" s="682">
        <v>110</v>
      </c>
      <c r="L30" s="682">
        <v>110</v>
      </c>
      <c r="M30" s="682">
        <v>4</v>
      </c>
      <c r="N30" s="682">
        <v>110</v>
      </c>
      <c r="O30" s="682">
        <v>110</v>
      </c>
      <c r="P30" s="682"/>
      <c r="Q30" s="682">
        <v>110</v>
      </c>
      <c r="R30" s="682">
        <v>110</v>
      </c>
      <c r="S30" s="682">
        <v>110</v>
      </c>
      <c r="T30" s="682">
        <v>110</v>
      </c>
      <c r="U30" s="682">
        <v>110</v>
      </c>
      <c r="V30" s="682">
        <v>110</v>
      </c>
      <c r="W30" s="682">
        <v>110</v>
      </c>
      <c r="X30" s="682">
        <v>7</v>
      </c>
      <c r="Y30" s="682">
        <v>7</v>
      </c>
      <c r="Z30" s="682"/>
      <c r="AA30" s="682"/>
      <c r="AB30" s="684"/>
    </row>
    <row r="31" spans="1:104" hidden="1" x14ac:dyDescent="0.45">
      <c r="B31" s="1692"/>
      <c r="C31" s="1695"/>
      <c r="D31" s="124" t="s">
        <v>327</v>
      </c>
      <c r="E31" s="675">
        <v>76</v>
      </c>
      <c r="F31" s="675">
        <v>76</v>
      </c>
      <c r="G31" s="675">
        <v>81</v>
      </c>
      <c r="H31" s="675"/>
      <c r="I31" s="675">
        <v>76</v>
      </c>
      <c r="J31" s="675">
        <v>76</v>
      </c>
      <c r="K31" s="675">
        <v>76</v>
      </c>
      <c r="L31" s="675">
        <v>76</v>
      </c>
      <c r="M31" s="675"/>
      <c r="N31" s="675">
        <v>76</v>
      </c>
      <c r="O31" s="675">
        <v>76</v>
      </c>
      <c r="P31" s="675"/>
      <c r="Q31" s="675">
        <v>76</v>
      </c>
      <c r="R31" s="675">
        <v>76</v>
      </c>
      <c r="S31" s="675">
        <v>76</v>
      </c>
      <c r="T31" s="675">
        <v>76</v>
      </c>
      <c r="U31" s="675">
        <v>76</v>
      </c>
      <c r="V31" s="675">
        <v>76</v>
      </c>
      <c r="W31" s="675">
        <v>76</v>
      </c>
      <c r="X31" s="675">
        <v>76</v>
      </c>
      <c r="Y31" s="675">
        <v>76</v>
      </c>
      <c r="Z31" s="675"/>
      <c r="AA31" s="675"/>
      <c r="AB31" s="677"/>
    </row>
    <row r="32" spans="1:104" hidden="1" x14ac:dyDescent="0.45">
      <c r="B32" s="1692"/>
      <c r="C32" s="1696" t="s">
        <v>332</v>
      </c>
      <c r="D32" s="122" t="s">
        <v>326</v>
      </c>
      <c r="E32" s="678">
        <v>70</v>
      </c>
      <c r="F32" s="678">
        <v>70</v>
      </c>
      <c r="G32" s="678">
        <v>82</v>
      </c>
      <c r="H32" s="678">
        <v>88</v>
      </c>
      <c r="I32" s="678">
        <v>74</v>
      </c>
      <c r="J32" s="678">
        <v>74</v>
      </c>
      <c r="K32" s="678">
        <v>74</v>
      </c>
      <c r="L32" s="678">
        <v>88</v>
      </c>
      <c r="M32" s="678">
        <v>4</v>
      </c>
      <c r="N32" s="678">
        <v>74</v>
      </c>
      <c r="O32" s="678">
        <v>74</v>
      </c>
      <c r="P32" s="678">
        <v>82</v>
      </c>
      <c r="Q32" s="678">
        <v>74</v>
      </c>
      <c r="R32" s="678">
        <v>74</v>
      </c>
      <c r="S32" s="678">
        <v>74</v>
      </c>
      <c r="T32" s="678">
        <v>74</v>
      </c>
      <c r="U32" s="678">
        <v>74</v>
      </c>
      <c r="V32" s="678">
        <v>72</v>
      </c>
      <c r="W32" s="678">
        <v>74</v>
      </c>
      <c r="X32" s="678">
        <v>33</v>
      </c>
      <c r="Y32" s="678">
        <v>4</v>
      </c>
      <c r="Z32" s="678">
        <v>88</v>
      </c>
      <c r="AA32" s="678"/>
      <c r="AB32" s="680"/>
    </row>
    <row r="33" spans="2:28" hidden="1" x14ac:dyDescent="0.45">
      <c r="B33" s="1692"/>
      <c r="C33" s="1697"/>
      <c r="D33" s="122" t="s">
        <v>327</v>
      </c>
      <c r="E33" s="678">
        <v>101</v>
      </c>
      <c r="F33" s="678">
        <v>101</v>
      </c>
      <c r="G33" s="678"/>
      <c r="H33" s="678"/>
      <c r="I33" s="678">
        <v>107</v>
      </c>
      <c r="J33" s="678">
        <v>33</v>
      </c>
      <c r="K33" s="678">
        <v>33</v>
      </c>
      <c r="L33" s="678"/>
      <c r="M33" s="678"/>
      <c r="N33" s="678">
        <v>33</v>
      </c>
      <c r="O33" s="678">
        <v>33</v>
      </c>
      <c r="P33" s="678">
        <v>82</v>
      </c>
      <c r="Q33" s="678">
        <v>33</v>
      </c>
      <c r="R33" s="678">
        <v>33</v>
      </c>
      <c r="S33" s="678">
        <v>33</v>
      </c>
      <c r="T33" s="678">
        <v>33</v>
      </c>
      <c r="U33" s="678">
        <v>33</v>
      </c>
      <c r="V33" s="678">
        <v>33</v>
      </c>
      <c r="W33" s="678">
        <v>33</v>
      </c>
      <c r="X33" s="678"/>
      <c r="Y33" s="678"/>
      <c r="Z33" s="678"/>
      <c r="AA33" s="678"/>
      <c r="AB33" s="680"/>
    </row>
    <row r="34" spans="2:28" hidden="1" x14ac:dyDescent="0.45">
      <c r="B34" s="1692"/>
      <c r="C34" s="1698" t="s">
        <v>333</v>
      </c>
      <c r="D34" s="124" t="s">
        <v>326</v>
      </c>
      <c r="E34" s="675">
        <v>4</v>
      </c>
      <c r="F34" s="675">
        <v>4</v>
      </c>
      <c r="G34" s="675">
        <v>86</v>
      </c>
      <c r="H34" s="675">
        <v>111</v>
      </c>
      <c r="I34" s="675">
        <v>86</v>
      </c>
      <c r="J34" s="675">
        <v>4</v>
      </c>
      <c r="K34" s="675">
        <v>4</v>
      </c>
      <c r="L34" s="675">
        <v>84</v>
      </c>
      <c r="M34" s="675">
        <v>86</v>
      </c>
      <c r="N34" s="675">
        <v>4</v>
      </c>
      <c r="O34" s="675">
        <v>4</v>
      </c>
      <c r="P34" s="675">
        <v>85</v>
      </c>
      <c r="Q34" s="675">
        <v>4</v>
      </c>
      <c r="R34" s="675">
        <v>86</v>
      </c>
      <c r="S34" s="675">
        <v>4</v>
      </c>
      <c r="T34" s="675">
        <v>4</v>
      </c>
      <c r="U34" s="675">
        <v>4</v>
      </c>
      <c r="V34" s="675">
        <v>4</v>
      </c>
      <c r="W34" s="675">
        <v>4</v>
      </c>
      <c r="X34" s="675">
        <v>4</v>
      </c>
      <c r="Y34" s="675">
        <v>33</v>
      </c>
      <c r="Z34" s="675"/>
      <c r="AA34" s="675"/>
      <c r="AB34" s="677"/>
    </row>
    <row r="35" spans="2:28" hidden="1" x14ac:dyDescent="0.45">
      <c r="B35" s="1693"/>
      <c r="C35" s="1699"/>
      <c r="D35" s="126" t="s">
        <v>327</v>
      </c>
      <c r="E35" s="687"/>
      <c r="F35" s="687"/>
      <c r="G35" s="687"/>
      <c r="H35" s="687"/>
      <c r="I35" s="687"/>
      <c r="J35" s="687"/>
      <c r="K35" s="687"/>
      <c r="L35" s="687"/>
      <c r="M35" s="687"/>
      <c r="N35" s="687"/>
      <c r="O35" s="687"/>
      <c r="P35" s="687"/>
      <c r="Q35" s="687"/>
      <c r="R35" s="687"/>
      <c r="S35" s="687"/>
      <c r="T35" s="687"/>
      <c r="U35" s="687"/>
      <c r="V35" s="687"/>
      <c r="W35" s="687"/>
      <c r="X35" s="687"/>
      <c r="Y35" s="687"/>
      <c r="Z35" s="687"/>
      <c r="AA35" s="687"/>
      <c r="AB35" s="688"/>
    </row>
    <row r="36" spans="2:28" hidden="1" x14ac:dyDescent="0.45"/>
    <row r="37" spans="2:28" hidden="1" x14ac:dyDescent="0.45">
      <c r="B37" s="1688" t="s">
        <v>54</v>
      </c>
      <c r="C37" s="1689"/>
      <c r="D37" s="1690"/>
      <c r="E37" s="697">
        <v>5</v>
      </c>
      <c r="F37" s="697">
        <v>5</v>
      </c>
      <c r="G37" s="697">
        <v>5</v>
      </c>
      <c r="H37" s="697">
        <v>4</v>
      </c>
      <c r="I37" s="697">
        <v>4</v>
      </c>
      <c r="J37" s="697">
        <v>4</v>
      </c>
      <c r="K37" s="697">
        <v>4</v>
      </c>
      <c r="L37" s="697">
        <v>4</v>
      </c>
      <c r="M37" s="697">
        <v>4</v>
      </c>
      <c r="N37" s="697">
        <v>4</v>
      </c>
      <c r="O37" s="697">
        <v>13</v>
      </c>
      <c r="P37" s="697">
        <v>13</v>
      </c>
      <c r="Q37" s="697">
        <v>14</v>
      </c>
      <c r="R37" s="697"/>
      <c r="S37" s="697"/>
      <c r="T37" s="697"/>
      <c r="U37" s="697"/>
      <c r="V37" s="697"/>
      <c r="W37" s="697"/>
      <c r="X37" s="697"/>
      <c r="Y37" s="697"/>
      <c r="Z37" s="697"/>
      <c r="AA37" s="697"/>
      <c r="AB37" s="708"/>
    </row>
    <row r="38" spans="2:28" ht="15" hidden="1" customHeight="1" x14ac:dyDescent="0.45">
      <c r="B38" s="1691" t="str">
        <f>CONCATENATE("Plan ", INDEX(plans_index,,(ROW(B38)-6)/16), ": ", INDEX(plans_name,,(ROW(B38)-6)/16))</f>
        <v>Plan 2: Ben Grew</v>
      </c>
      <c r="C38" s="1694" t="s">
        <v>325</v>
      </c>
      <c r="D38" s="123" t="s">
        <v>326</v>
      </c>
      <c r="E38" s="672">
        <v>9</v>
      </c>
      <c r="F38" s="672">
        <v>9</v>
      </c>
      <c r="G38" s="672">
        <v>9</v>
      </c>
      <c r="H38" s="673">
        <v>9</v>
      </c>
      <c r="I38" s="672">
        <v>9</v>
      </c>
      <c r="J38" s="672">
        <v>9</v>
      </c>
      <c r="K38" s="672">
        <v>9</v>
      </c>
      <c r="L38" s="672">
        <v>9</v>
      </c>
      <c r="M38" s="672">
        <v>9</v>
      </c>
      <c r="N38" s="672">
        <v>9</v>
      </c>
      <c r="O38" s="672">
        <v>9</v>
      </c>
      <c r="P38" s="672">
        <v>9</v>
      </c>
      <c r="Q38" s="672">
        <v>9</v>
      </c>
      <c r="R38" s="672"/>
      <c r="S38" s="672"/>
      <c r="T38" s="672"/>
      <c r="U38" s="672"/>
      <c r="V38" s="672"/>
      <c r="W38" s="672"/>
      <c r="X38" s="672"/>
      <c r="Y38" s="672"/>
      <c r="Z38" s="672"/>
      <c r="AA38" s="672"/>
      <c r="AB38" s="674"/>
    </row>
    <row r="39" spans="2:28" hidden="1" x14ac:dyDescent="0.45">
      <c r="B39" s="1692"/>
      <c r="C39" s="1695"/>
      <c r="D39" s="124" t="s">
        <v>327</v>
      </c>
      <c r="E39" s="675">
        <v>76</v>
      </c>
      <c r="F39" s="675">
        <v>76</v>
      </c>
      <c r="G39" s="675">
        <v>76</v>
      </c>
      <c r="H39" s="675">
        <v>76</v>
      </c>
      <c r="I39" s="675">
        <v>76</v>
      </c>
      <c r="J39" s="675">
        <v>76</v>
      </c>
      <c r="K39" s="675">
        <v>76</v>
      </c>
      <c r="L39" s="675">
        <v>76</v>
      </c>
      <c r="M39" s="675">
        <v>76</v>
      </c>
      <c r="N39" s="675">
        <v>76</v>
      </c>
      <c r="O39" s="675">
        <v>76</v>
      </c>
      <c r="P39" s="675">
        <v>76</v>
      </c>
      <c r="Q39" s="675">
        <v>76</v>
      </c>
      <c r="R39" s="675"/>
      <c r="S39" s="675"/>
      <c r="T39" s="675"/>
      <c r="U39" s="675"/>
      <c r="V39" s="675"/>
      <c r="W39" s="675"/>
      <c r="X39" s="675"/>
      <c r="Y39" s="676"/>
      <c r="Z39" s="676"/>
      <c r="AA39" s="676"/>
      <c r="AB39" s="677"/>
    </row>
    <row r="40" spans="2:28" hidden="1" x14ac:dyDescent="0.45">
      <c r="B40" s="1692"/>
      <c r="C40" s="1696" t="s">
        <v>328</v>
      </c>
      <c r="D40" s="122" t="s">
        <v>326</v>
      </c>
      <c r="E40" s="678"/>
      <c r="F40" s="678"/>
      <c r="G40" s="678"/>
      <c r="H40" s="678"/>
      <c r="I40" s="678"/>
      <c r="J40" s="678"/>
      <c r="K40" s="678"/>
      <c r="L40" s="678"/>
      <c r="M40" s="678"/>
      <c r="N40" s="678"/>
      <c r="O40" s="678"/>
      <c r="P40" s="678"/>
      <c r="Q40" s="678"/>
      <c r="R40" s="678"/>
      <c r="S40" s="678"/>
      <c r="T40" s="678"/>
      <c r="U40" s="678"/>
      <c r="V40" s="678"/>
      <c r="W40" s="678"/>
      <c r="X40" s="678"/>
      <c r="Y40" s="679"/>
      <c r="Z40" s="679"/>
      <c r="AA40" s="679"/>
      <c r="AB40" s="680"/>
    </row>
    <row r="41" spans="2:28" hidden="1" x14ac:dyDescent="0.45">
      <c r="B41" s="1692"/>
      <c r="C41" s="1697"/>
      <c r="D41" s="122" t="s">
        <v>327</v>
      </c>
      <c r="E41" s="678">
        <v>3</v>
      </c>
      <c r="F41" s="678">
        <v>3</v>
      </c>
      <c r="G41" s="678">
        <v>3</v>
      </c>
      <c r="H41" s="678">
        <v>21</v>
      </c>
      <c r="I41" s="678">
        <v>21</v>
      </c>
      <c r="J41" s="678">
        <v>109</v>
      </c>
      <c r="K41" s="678">
        <v>21</v>
      </c>
      <c r="L41" s="678">
        <v>21</v>
      </c>
      <c r="M41" s="678">
        <v>109</v>
      </c>
      <c r="N41" s="678">
        <v>21</v>
      </c>
      <c r="O41" s="678">
        <v>21</v>
      </c>
      <c r="P41" s="678">
        <v>21</v>
      </c>
      <c r="Q41" s="678">
        <v>21</v>
      </c>
      <c r="R41" s="678"/>
      <c r="S41" s="678"/>
      <c r="T41" s="678"/>
      <c r="U41" s="678"/>
      <c r="V41" s="678"/>
      <c r="W41" s="678"/>
      <c r="X41" s="681"/>
      <c r="Y41" s="679"/>
      <c r="Z41" s="679"/>
      <c r="AA41" s="679"/>
      <c r="AB41" s="680"/>
    </row>
    <row r="42" spans="2:28" hidden="1" x14ac:dyDescent="0.45">
      <c r="B42" s="1692"/>
      <c r="C42" s="1698" t="s">
        <v>329</v>
      </c>
      <c r="D42" s="125" t="s">
        <v>326</v>
      </c>
      <c r="E42" s="682">
        <v>101</v>
      </c>
      <c r="F42" s="682">
        <v>101</v>
      </c>
      <c r="G42" s="682">
        <v>101</v>
      </c>
      <c r="H42" s="682">
        <v>101</v>
      </c>
      <c r="I42" s="682">
        <v>101</v>
      </c>
      <c r="J42" s="682"/>
      <c r="K42" s="682"/>
      <c r="L42" s="682">
        <v>101</v>
      </c>
      <c r="M42" s="682"/>
      <c r="N42" s="682">
        <v>101</v>
      </c>
      <c r="O42" s="682">
        <v>101</v>
      </c>
      <c r="P42" s="682">
        <v>101</v>
      </c>
      <c r="Q42" s="682"/>
      <c r="R42" s="682"/>
      <c r="S42" s="682"/>
      <c r="T42" s="682"/>
      <c r="U42" s="682"/>
      <c r="V42" s="682"/>
      <c r="W42" s="682"/>
      <c r="X42" s="682"/>
      <c r="Y42" s="683"/>
      <c r="Z42" s="683"/>
      <c r="AA42" s="683"/>
      <c r="AB42" s="684"/>
    </row>
    <row r="43" spans="2:28" hidden="1" x14ac:dyDescent="0.45">
      <c r="B43" s="1692"/>
      <c r="C43" s="1695"/>
      <c r="D43" s="124" t="s">
        <v>327</v>
      </c>
      <c r="E43" s="675">
        <v>76</v>
      </c>
      <c r="F43" s="675">
        <v>76</v>
      </c>
      <c r="G43" s="675">
        <v>76</v>
      </c>
      <c r="H43" s="675">
        <v>76</v>
      </c>
      <c r="I43" s="675">
        <v>76</v>
      </c>
      <c r="J43" s="675">
        <v>76</v>
      </c>
      <c r="K43" s="675">
        <v>76</v>
      </c>
      <c r="L43" s="675">
        <v>76</v>
      </c>
      <c r="M43" s="675">
        <v>76</v>
      </c>
      <c r="N43" s="675">
        <v>76</v>
      </c>
      <c r="O43" s="675">
        <v>76</v>
      </c>
      <c r="P43" s="675">
        <v>76</v>
      </c>
      <c r="Q43" s="675">
        <v>75</v>
      </c>
      <c r="R43" s="675"/>
      <c r="S43" s="675"/>
      <c r="T43" s="675"/>
      <c r="U43" s="675"/>
      <c r="V43" s="675"/>
      <c r="W43" s="675"/>
      <c r="X43" s="675"/>
      <c r="Y43" s="676"/>
      <c r="Z43" s="676"/>
      <c r="AA43" s="676"/>
      <c r="AB43" s="677"/>
    </row>
    <row r="44" spans="2:28" hidden="1" x14ac:dyDescent="0.45">
      <c r="B44" s="1692"/>
      <c r="C44" s="1696" t="s">
        <v>330</v>
      </c>
      <c r="D44" s="122" t="s">
        <v>326</v>
      </c>
      <c r="E44" s="678"/>
      <c r="F44" s="678"/>
      <c r="G44" s="678"/>
      <c r="H44" s="678"/>
      <c r="I44" s="678"/>
      <c r="J44" s="678"/>
      <c r="K44" s="678"/>
      <c r="L44" s="678"/>
      <c r="M44" s="678"/>
      <c r="N44" s="678"/>
      <c r="O44" s="678"/>
      <c r="P44" s="678"/>
      <c r="Q44" s="678"/>
      <c r="R44" s="678"/>
      <c r="S44" s="678"/>
      <c r="T44" s="678"/>
      <c r="U44" s="678"/>
      <c r="V44" s="678"/>
      <c r="W44" s="678"/>
      <c r="X44" s="678"/>
      <c r="Y44" s="679"/>
      <c r="Z44" s="679"/>
      <c r="AA44" s="679"/>
      <c r="AB44" s="680"/>
    </row>
    <row r="45" spans="2:28" hidden="1" x14ac:dyDescent="0.45">
      <c r="B45" s="1692"/>
      <c r="C45" s="1697"/>
      <c r="D45" s="122" t="s">
        <v>327</v>
      </c>
      <c r="E45" s="678">
        <v>131</v>
      </c>
      <c r="F45" s="678">
        <v>131</v>
      </c>
      <c r="G45" s="678">
        <v>131</v>
      </c>
      <c r="H45" s="678">
        <v>131</v>
      </c>
      <c r="I45" s="678">
        <v>131</v>
      </c>
      <c r="J45" s="678">
        <v>21</v>
      </c>
      <c r="K45" s="678">
        <v>8</v>
      </c>
      <c r="L45" s="678">
        <v>131</v>
      </c>
      <c r="M45" s="678">
        <v>21</v>
      </c>
      <c r="N45" s="678">
        <v>131</v>
      </c>
      <c r="O45" s="678">
        <v>131</v>
      </c>
      <c r="P45" s="678">
        <v>131</v>
      </c>
      <c r="Q45" s="678">
        <v>109</v>
      </c>
      <c r="R45" s="678"/>
      <c r="S45" s="678"/>
      <c r="T45" s="678"/>
      <c r="U45" s="678"/>
      <c r="V45" s="678"/>
      <c r="W45" s="678"/>
      <c r="X45" s="681"/>
      <c r="Y45" s="679"/>
      <c r="Z45" s="679"/>
      <c r="AA45" s="679"/>
      <c r="AB45" s="680"/>
    </row>
    <row r="46" spans="2:28" hidden="1" x14ac:dyDescent="0.45">
      <c r="B46" s="1692"/>
      <c r="C46" s="1698" t="s">
        <v>331</v>
      </c>
      <c r="D46" s="125" t="s">
        <v>326</v>
      </c>
      <c r="E46" s="682"/>
      <c r="F46" s="682"/>
      <c r="G46" s="685"/>
      <c r="H46" s="682"/>
      <c r="I46" s="682"/>
      <c r="J46" s="682"/>
      <c r="K46" s="682"/>
      <c r="L46" s="682"/>
      <c r="M46" s="682"/>
      <c r="N46" s="682"/>
      <c r="O46" s="682"/>
      <c r="P46" s="682"/>
      <c r="Q46" s="682"/>
      <c r="R46" s="682"/>
      <c r="S46" s="682"/>
      <c r="T46" s="682"/>
      <c r="U46" s="682"/>
      <c r="V46" s="682"/>
      <c r="W46" s="682"/>
      <c r="X46" s="682"/>
      <c r="Y46" s="683"/>
      <c r="Z46" s="683"/>
      <c r="AA46" s="683"/>
      <c r="AB46" s="684"/>
    </row>
    <row r="47" spans="2:28" hidden="1" x14ac:dyDescent="0.45">
      <c r="B47" s="1692"/>
      <c r="C47" s="1695"/>
      <c r="D47" s="124" t="s">
        <v>327</v>
      </c>
      <c r="E47" s="675"/>
      <c r="F47" s="675"/>
      <c r="G47" s="686"/>
      <c r="H47" s="675"/>
      <c r="I47" s="675"/>
      <c r="J47" s="675"/>
      <c r="K47" s="675"/>
      <c r="L47" s="675"/>
      <c r="M47" s="675"/>
      <c r="N47" s="675"/>
      <c r="O47" s="675"/>
      <c r="P47" s="675"/>
      <c r="Q47" s="675"/>
      <c r="R47" s="675"/>
      <c r="S47" s="675"/>
      <c r="T47" s="675"/>
      <c r="U47" s="675"/>
      <c r="V47" s="675"/>
      <c r="W47" s="675"/>
      <c r="X47" s="675"/>
      <c r="Y47" s="676"/>
      <c r="Z47" s="676"/>
      <c r="AA47" s="676"/>
      <c r="AB47" s="677"/>
    </row>
    <row r="48" spans="2:28" hidden="1" x14ac:dyDescent="0.45">
      <c r="B48" s="1692"/>
      <c r="C48" s="1696" t="s">
        <v>332</v>
      </c>
      <c r="D48" s="122" t="s">
        <v>326</v>
      </c>
      <c r="E48" s="678">
        <v>104</v>
      </c>
      <c r="F48" s="678">
        <v>104</v>
      </c>
      <c r="G48" s="678">
        <v>104</v>
      </c>
      <c r="H48" s="678">
        <v>104</v>
      </c>
      <c r="I48" s="678">
        <v>117</v>
      </c>
      <c r="J48" s="678">
        <v>104</v>
      </c>
      <c r="K48" s="678">
        <v>188</v>
      </c>
      <c r="L48" s="678">
        <v>118</v>
      </c>
      <c r="M48" s="678">
        <v>104</v>
      </c>
      <c r="N48" s="678">
        <v>104</v>
      </c>
      <c r="O48" s="678">
        <v>104</v>
      </c>
      <c r="P48" s="678">
        <v>104</v>
      </c>
      <c r="Q48" s="678">
        <v>91</v>
      </c>
      <c r="R48" s="678"/>
      <c r="S48" s="678"/>
      <c r="T48" s="678"/>
      <c r="U48" s="678"/>
      <c r="V48" s="678"/>
      <c r="W48" s="679"/>
      <c r="X48" s="679"/>
      <c r="Y48" s="679"/>
      <c r="Z48" s="679"/>
      <c r="AA48" s="679"/>
      <c r="AB48" s="680"/>
    </row>
    <row r="49" spans="2:28" hidden="1" x14ac:dyDescent="0.45">
      <c r="B49" s="1692"/>
      <c r="C49" s="1697"/>
      <c r="D49" s="122" t="s">
        <v>327</v>
      </c>
      <c r="E49" s="678"/>
      <c r="F49" s="678"/>
      <c r="G49" s="678"/>
      <c r="H49" s="678"/>
      <c r="I49" s="678"/>
      <c r="J49" s="678"/>
      <c r="K49" s="678"/>
      <c r="L49" s="678"/>
      <c r="M49" s="678"/>
      <c r="N49" s="678"/>
      <c r="O49" s="678"/>
      <c r="P49" s="678"/>
      <c r="Q49" s="678"/>
      <c r="R49" s="678"/>
      <c r="S49" s="678"/>
      <c r="T49" s="678"/>
      <c r="U49" s="678"/>
      <c r="V49" s="678"/>
      <c r="W49" s="678"/>
      <c r="X49" s="678"/>
      <c r="Y49" s="679"/>
      <c r="Z49" s="679"/>
      <c r="AA49" s="679"/>
      <c r="AB49" s="680"/>
    </row>
    <row r="50" spans="2:28" hidden="1" x14ac:dyDescent="0.45">
      <c r="B50" s="1692"/>
      <c r="C50" s="1698" t="s">
        <v>333</v>
      </c>
      <c r="D50" s="124" t="s">
        <v>326</v>
      </c>
      <c r="E50" s="675">
        <v>4</v>
      </c>
      <c r="F50" s="675">
        <v>4</v>
      </c>
      <c r="G50" s="675">
        <v>4</v>
      </c>
      <c r="H50" s="675">
        <v>4</v>
      </c>
      <c r="I50" s="675">
        <v>17</v>
      </c>
      <c r="J50" s="675">
        <v>4</v>
      </c>
      <c r="K50" s="675">
        <v>101</v>
      </c>
      <c r="L50" s="675">
        <v>18</v>
      </c>
      <c r="M50" s="675">
        <v>4</v>
      </c>
      <c r="N50" s="675">
        <v>4</v>
      </c>
      <c r="O50" s="675">
        <v>4</v>
      </c>
      <c r="P50" s="675">
        <v>4</v>
      </c>
      <c r="Q50" s="675"/>
      <c r="R50" s="675"/>
      <c r="S50" s="675"/>
      <c r="T50" s="675"/>
      <c r="U50" s="675"/>
      <c r="V50" s="675"/>
      <c r="W50" s="676"/>
      <c r="X50" s="676"/>
      <c r="Y50" s="676"/>
      <c r="Z50" s="676"/>
      <c r="AA50" s="676"/>
      <c r="AB50" s="677"/>
    </row>
    <row r="51" spans="2:28" hidden="1" x14ac:dyDescent="0.45">
      <c r="B51" s="1693"/>
      <c r="C51" s="1699"/>
      <c r="D51" s="126" t="s">
        <v>327</v>
      </c>
      <c r="E51" s="687"/>
      <c r="F51" s="687"/>
      <c r="G51" s="687"/>
      <c r="H51" s="687"/>
      <c r="I51" s="687"/>
      <c r="J51" s="687"/>
      <c r="K51" s="687"/>
      <c r="L51" s="687"/>
      <c r="M51" s="687"/>
      <c r="N51" s="687"/>
      <c r="O51" s="687"/>
      <c r="P51" s="687"/>
      <c r="Q51" s="687"/>
      <c r="R51" s="687"/>
      <c r="S51" s="687"/>
      <c r="T51" s="687"/>
      <c r="U51" s="687"/>
      <c r="V51" s="687"/>
      <c r="W51" s="687"/>
      <c r="X51" s="687"/>
      <c r="Y51" s="687"/>
      <c r="Z51" s="687"/>
      <c r="AA51" s="687"/>
      <c r="AB51" s="688"/>
    </row>
    <row r="52" spans="2:28" hidden="1" x14ac:dyDescent="0.45"/>
    <row r="53" spans="2:28" hidden="1" x14ac:dyDescent="0.45">
      <c r="B53" s="1688" t="s">
        <v>54</v>
      </c>
      <c r="C53" s="1689"/>
      <c r="D53" s="1690"/>
      <c r="E53" s="697"/>
      <c r="F53" s="697"/>
      <c r="G53" s="697"/>
      <c r="H53" s="697"/>
      <c r="I53" s="697"/>
      <c r="J53" s="697"/>
      <c r="K53" s="697"/>
      <c r="L53" s="697"/>
      <c r="M53" s="697"/>
      <c r="N53" s="697"/>
      <c r="O53" s="697"/>
      <c r="P53" s="697"/>
      <c r="Q53" s="697"/>
      <c r="R53" s="697"/>
      <c r="S53" s="697"/>
      <c r="T53" s="697"/>
      <c r="U53" s="697"/>
      <c r="V53" s="697"/>
      <c r="W53" s="697"/>
      <c r="X53" s="697"/>
      <c r="Y53" s="697"/>
      <c r="Z53" s="697"/>
      <c r="AA53" s="697"/>
      <c r="AB53" s="708"/>
    </row>
    <row r="54" spans="2:28" ht="15" hidden="1" customHeight="1" x14ac:dyDescent="0.45">
      <c r="B54" s="1691" t="str">
        <f>CONCATENATE("Plan ", INDEX(plans_index,,(ROW(B54)-6)/16), ": ", INDEX(plans_name,,(ROW(B54)-6)/16))</f>
        <v>Plan 3: Imogene Scott</v>
      </c>
      <c r="C54" s="1694" t="s">
        <v>325</v>
      </c>
      <c r="D54" s="123" t="s">
        <v>326</v>
      </c>
      <c r="E54" s="672"/>
      <c r="F54" s="672"/>
      <c r="G54" s="672"/>
      <c r="H54" s="673"/>
      <c r="I54" s="672"/>
      <c r="J54" s="672"/>
      <c r="K54" s="672"/>
      <c r="L54" s="672"/>
      <c r="M54" s="672"/>
      <c r="N54" s="672"/>
      <c r="O54" s="672"/>
      <c r="P54" s="672"/>
      <c r="Q54" s="672"/>
      <c r="R54" s="672"/>
      <c r="S54" s="672"/>
      <c r="T54" s="672"/>
      <c r="U54" s="672"/>
      <c r="V54" s="672"/>
      <c r="W54" s="672"/>
      <c r="X54" s="672"/>
      <c r="Y54" s="672"/>
      <c r="Z54" s="672"/>
      <c r="AA54" s="672"/>
      <c r="AB54" s="674"/>
    </row>
    <row r="55" spans="2:28" hidden="1" x14ac:dyDescent="0.45">
      <c r="B55" s="1692"/>
      <c r="C55" s="1695"/>
      <c r="D55" s="124" t="s">
        <v>327</v>
      </c>
      <c r="E55" s="675"/>
      <c r="F55" s="675"/>
      <c r="G55" s="675"/>
      <c r="H55" s="675"/>
      <c r="I55" s="675"/>
      <c r="J55" s="675"/>
      <c r="K55" s="675"/>
      <c r="L55" s="675"/>
      <c r="M55" s="675"/>
      <c r="N55" s="675"/>
      <c r="O55" s="675"/>
      <c r="P55" s="675"/>
      <c r="Q55" s="675"/>
      <c r="R55" s="675"/>
      <c r="S55" s="675"/>
      <c r="T55" s="675"/>
      <c r="U55" s="675"/>
      <c r="V55" s="675"/>
      <c r="W55" s="675"/>
      <c r="X55" s="675"/>
      <c r="Y55" s="676"/>
      <c r="Z55" s="676"/>
      <c r="AA55" s="676"/>
      <c r="AB55" s="677"/>
    </row>
    <row r="56" spans="2:28" hidden="1" x14ac:dyDescent="0.45">
      <c r="B56" s="1692"/>
      <c r="C56" s="1696" t="s">
        <v>328</v>
      </c>
      <c r="D56" s="122" t="s">
        <v>326</v>
      </c>
      <c r="E56" s="678"/>
      <c r="F56" s="678"/>
      <c r="G56" s="678"/>
      <c r="H56" s="678"/>
      <c r="I56" s="678"/>
      <c r="J56" s="678"/>
      <c r="K56" s="678"/>
      <c r="L56" s="678"/>
      <c r="M56" s="678"/>
      <c r="N56" s="678"/>
      <c r="O56" s="678"/>
      <c r="P56" s="678"/>
      <c r="Q56" s="678"/>
      <c r="R56" s="678"/>
      <c r="S56" s="678"/>
      <c r="T56" s="678"/>
      <c r="U56" s="678"/>
      <c r="V56" s="678"/>
      <c r="W56" s="678"/>
      <c r="X56" s="678"/>
      <c r="Y56" s="679"/>
      <c r="Z56" s="679"/>
      <c r="AA56" s="679"/>
      <c r="AB56" s="680"/>
    </row>
    <row r="57" spans="2:28" hidden="1" x14ac:dyDescent="0.45">
      <c r="B57" s="1692"/>
      <c r="C57" s="1697"/>
      <c r="D57" s="122" t="s">
        <v>327</v>
      </c>
      <c r="E57" s="678"/>
      <c r="F57" s="678"/>
      <c r="G57" s="678"/>
      <c r="H57" s="678"/>
      <c r="I57" s="678"/>
      <c r="J57" s="678"/>
      <c r="K57" s="678"/>
      <c r="L57" s="678"/>
      <c r="M57" s="678"/>
      <c r="N57" s="678"/>
      <c r="O57" s="678"/>
      <c r="P57" s="678"/>
      <c r="Q57" s="678"/>
      <c r="R57" s="678"/>
      <c r="S57" s="678"/>
      <c r="T57" s="678"/>
      <c r="U57" s="678"/>
      <c r="V57" s="678"/>
      <c r="W57" s="678"/>
      <c r="X57" s="681"/>
      <c r="Y57" s="679"/>
      <c r="Z57" s="679"/>
      <c r="AA57" s="679"/>
      <c r="AB57" s="680"/>
    </row>
    <row r="58" spans="2:28" hidden="1" x14ac:dyDescent="0.45">
      <c r="B58" s="1692"/>
      <c r="C58" s="1698" t="s">
        <v>329</v>
      </c>
      <c r="D58" s="125" t="s">
        <v>326</v>
      </c>
      <c r="E58" s="682"/>
      <c r="F58" s="682"/>
      <c r="G58" s="682"/>
      <c r="H58" s="682"/>
      <c r="I58" s="682"/>
      <c r="J58" s="682"/>
      <c r="K58" s="682"/>
      <c r="L58" s="682"/>
      <c r="M58" s="682"/>
      <c r="N58" s="682"/>
      <c r="O58" s="682"/>
      <c r="P58" s="682"/>
      <c r="Q58" s="682"/>
      <c r="R58" s="682"/>
      <c r="S58" s="682"/>
      <c r="T58" s="682"/>
      <c r="U58" s="682"/>
      <c r="V58" s="682"/>
      <c r="W58" s="682"/>
      <c r="X58" s="682"/>
      <c r="Y58" s="683"/>
      <c r="Z58" s="683"/>
      <c r="AA58" s="683"/>
      <c r="AB58" s="684"/>
    </row>
    <row r="59" spans="2:28" hidden="1" x14ac:dyDescent="0.45">
      <c r="B59" s="1692"/>
      <c r="C59" s="1695"/>
      <c r="D59" s="124" t="s">
        <v>327</v>
      </c>
      <c r="E59" s="675"/>
      <c r="F59" s="675"/>
      <c r="G59" s="675"/>
      <c r="H59" s="675"/>
      <c r="I59" s="675"/>
      <c r="J59" s="675"/>
      <c r="K59" s="675"/>
      <c r="L59" s="675"/>
      <c r="M59" s="675"/>
      <c r="N59" s="675"/>
      <c r="O59" s="675"/>
      <c r="P59" s="675"/>
      <c r="Q59" s="675"/>
      <c r="R59" s="675"/>
      <c r="S59" s="675"/>
      <c r="T59" s="675"/>
      <c r="U59" s="675"/>
      <c r="V59" s="675"/>
      <c r="W59" s="675"/>
      <c r="X59" s="675"/>
      <c r="Y59" s="676"/>
      <c r="Z59" s="676"/>
      <c r="AA59" s="676"/>
      <c r="AB59" s="677"/>
    </row>
    <row r="60" spans="2:28" hidden="1" x14ac:dyDescent="0.45">
      <c r="B60" s="1692"/>
      <c r="C60" s="1696" t="s">
        <v>330</v>
      </c>
      <c r="D60" s="122" t="s">
        <v>326</v>
      </c>
      <c r="E60" s="678"/>
      <c r="F60" s="678"/>
      <c r="G60" s="678"/>
      <c r="H60" s="678"/>
      <c r="I60" s="678"/>
      <c r="J60" s="678"/>
      <c r="K60" s="678"/>
      <c r="L60" s="678"/>
      <c r="M60" s="678"/>
      <c r="N60" s="678"/>
      <c r="O60" s="678"/>
      <c r="P60" s="678"/>
      <c r="Q60" s="678"/>
      <c r="R60" s="678"/>
      <c r="S60" s="678"/>
      <c r="T60" s="678"/>
      <c r="U60" s="678"/>
      <c r="V60" s="678"/>
      <c r="W60" s="678"/>
      <c r="X60" s="678"/>
      <c r="Y60" s="679"/>
      <c r="Z60" s="679"/>
      <c r="AA60" s="679"/>
      <c r="AB60" s="680"/>
    </row>
    <row r="61" spans="2:28" hidden="1" x14ac:dyDescent="0.45">
      <c r="B61" s="1692"/>
      <c r="C61" s="1697"/>
      <c r="D61" s="122" t="s">
        <v>327</v>
      </c>
      <c r="E61" s="678"/>
      <c r="F61" s="678"/>
      <c r="G61" s="678"/>
      <c r="H61" s="678"/>
      <c r="I61" s="678"/>
      <c r="J61" s="678"/>
      <c r="K61" s="678"/>
      <c r="L61" s="678"/>
      <c r="M61" s="678"/>
      <c r="N61" s="678"/>
      <c r="O61" s="678"/>
      <c r="P61" s="678"/>
      <c r="Q61" s="678"/>
      <c r="R61" s="678"/>
      <c r="S61" s="678"/>
      <c r="T61" s="678"/>
      <c r="U61" s="678"/>
      <c r="V61" s="678"/>
      <c r="W61" s="678"/>
      <c r="X61" s="681"/>
      <c r="Y61" s="679"/>
      <c r="Z61" s="679"/>
      <c r="AA61" s="679"/>
      <c r="AB61" s="680"/>
    </row>
    <row r="62" spans="2:28" hidden="1" x14ac:dyDescent="0.45">
      <c r="B62" s="1692"/>
      <c r="C62" s="1698" t="s">
        <v>331</v>
      </c>
      <c r="D62" s="125" t="s">
        <v>326</v>
      </c>
      <c r="E62" s="682"/>
      <c r="F62" s="682"/>
      <c r="G62" s="685"/>
      <c r="H62" s="682"/>
      <c r="I62" s="682"/>
      <c r="J62" s="682"/>
      <c r="K62" s="682"/>
      <c r="L62" s="682"/>
      <c r="M62" s="682"/>
      <c r="N62" s="682"/>
      <c r="O62" s="682"/>
      <c r="P62" s="682"/>
      <c r="Q62" s="682"/>
      <c r="R62" s="682"/>
      <c r="S62" s="682"/>
      <c r="T62" s="682"/>
      <c r="U62" s="682"/>
      <c r="V62" s="682"/>
      <c r="W62" s="682"/>
      <c r="X62" s="682"/>
      <c r="Y62" s="683"/>
      <c r="Z62" s="683"/>
      <c r="AA62" s="683"/>
      <c r="AB62" s="684"/>
    </row>
    <row r="63" spans="2:28" hidden="1" x14ac:dyDescent="0.45">
      <c r="B63" s="1692"/>
      <c r="C63" s="1695"/>
      <c r="D63" s="124" t="s">
        <v>327</v>
      </c>
      <c r="E63" s="675"/>
      <c r="F63" s="675"/>
      <c r="G63" s="686"/>
      <c r="H63" s="675"/>
      <c r="I63" s="675"/>
      <c r="J63" s="675"/>
      <c r="K63" s="675"/>
      <c r="L63" s="675"/>
      <c r="M63" s="675"/>
      <c r="N63" s="675"/>
      <c r="O63" s="675"/>
      <c r="P63" s="675"/>
      <c r="Q63" s="675"/>
      <c r="R63" s="675"/>
      <c r="S63" s="675"/>
      <c r="T63" s="675"/>
      <c r="U63" s="675"/>
      <c r="V63" s="675"/>
      <c r="W63" s="675"/>
      <c r="X63" s="675"/>
      <c r="Y63" s="676"/>
      <c r="Z63" s="676"/>
      <c r="AA63" s="676"/>
      <c r="AB63" s="677"/>
    </row>
    <row r="64" spans="2:28" hidden="1" x14ac:dyDescent="0.45">
      <c r="B64" s="1692"/>
      <c r="C64" s="1696" t="s">
        <v>332</v>
      </c>
      <c r="D64" s="122" t="s">
        <v>326</v>
      </c>
      <c r="E64" s="678"/>
      <c r="F64" s="678"/>
      <c r="G64" s="678"/>
      <c r="H64" s="678"/>
      <c r="I64" s="678"/>
      <c r="J64" s="678"/>
      <c r="K64" s="678"/>
      <c r="L64" s="678"/>
      <c r="M64" s="678"/>
      <c r="N64" s="678"/>
      <c r="O64" s="678"/>
      <c r="P64" s="678"/>
      <c r="Q64" s="678"/>
      <c r="R64" s="678"/>
      <c r="S64" s="678"/>
      <c r="T64" s="678"/>
      <c r="U64" s="678"/>
      <c r="V64" s="678"/>
      <c r="W64" s="679"/>
      <c r="X64" s="679"/>
      <c r="Y64" s="679"/>
      <c r="Z64" s="679"/>
      <c r="AA64" s="679"/>
      <c r="AB64" s="680"/>
    </row>
    <row r="65" spans="2:28" hidden="1" x14ac:dyDescent="0.45">
      <c r="B65" s="1692"/>
      <c r="C65" s="1697"/>
      <c r="D65" s="122" t="s">
        <v>327</v>
      </c>
      <c r="E65" s="678"/>
      <c r="F65" s="678"/>
      <c r="G65" s="678"/>
      <c r="H65" s="678"/>
      <c r="I65" s="678"/>
      <c r="J65" s="678"/>
      <c r="K65" s="678"/>
      <c r="L65" s="678"/>
      <c r="M65" s="678"/>
      <c r="N65" s="678"/>
      <c r="O65" s="678"/>
      <c r="P65" s="678"/>
      <c r="Q65" s="678"/>
      <c r="R65" s="678"/>
      <c r="S65" s="678"/>
      <c r="T65" s="678"/>
      <c r="U65" s="678"/>
      <c r="V65" s="678"/>
      <c r="W65" s="678"/>
      <c r="X65" s="678"/>
      <c r="Y65" s="679"/>
      <c r="Z65" s="679"/>
      <c r="AA65" s="679"/>
      <c r="AB65" s="680"/>
    </row>
    <row r="66" spans="2:28" hidden="1" x14ac:dyDescent="0.45">
      <c r="B66" s="1692"/>
      <c r="C66" s="1698" t="s">
        <v>333</v>
      </c>
      <c r="D66" s="124" t="s">
        <v>326</v>
      </c>
      <c r="E66" s="675"/>
      <c r="F66" s="675"/>
      <c r="G66" s="675"/>
      <c r="H66" s="675"/>
      <c r="I66" s="675"/>
      <c r="J66" s="675"/>
      <c r="K66" s="675"/>
      <c r="L66" s="675"/>
      <c r="M66" s="675"/>
      <c r="N66" s="675"/>
      <c r="O66" s="675"/>
      <c r="P66" s="675"/>
      <c r="Q66" s="675"/>
      <c r="R66" s="675"/>
      <c r="S66" s="675"/>
      <c r="T66" s="675"/>
      <c r="U66" s="675"/>
      <c r="V66" s="675"/>
      <c r="W66" s="676"/>
      <c r="X66" s="676"/>
      <c r="Y66" s="676"/>
      <c r="Z66" s="676"/>
      <c r="AA66" s="676"/>
      <c r="AB66" s="677"/>
    </row>
    <row r="67" spans="2:28" hidden="1" x14ac:dyDescent="0.45">
      <c r="B67" s="1693"/>
      <c r="C67" s="1699"/>
      <c r="D67" s="126" t="s">
        <v>327</v>
      </c>
      <c r="E67" s="687"/>
      <c r="F67" s="687"/>
      <c r="G67" s="687"/>
      <c r="H67" s="687"/>
      <c r="I67" s="687"/>
      <c r="J67" s="687"/>
      <c r="K67" s="687"/>
      <c r="L67" s="687"/>
      <c r="M67" s="687"/>
      <c r="N67" s="687"/>
      <c r="O67" s="687"/>
      <c r="P67" s="687"/>
      <c r="Q67" s="687"/>
      <c r="R67" s="687"/>
      <c r="S67" s="687"/>
      <c r="T67" s="687"/>
      <c r="U67" s="687"/>
      <c r="V67" s="687"/>
      <c r="W67" s="687"/>
      <c r="X67" s="687"/>
      <c r="Y67" s="687"/>
      <c r="Z67" s="687"/>
      <c r="AA67" s="687"/>
      <c r="AB67" s="688"/>
    </row>
    <row r="68" spans="2:28" hidden="1" x14ac:dyDescent="0.45"/>
    <row r="69" spans="2:28" hidden="1" x14ac:dyDescent="0.45">
      <c r="B69" s="1688" t="s">
        <v>54</v>
      </c>
      <c r="C69" s="1689"/>
      <c r="D69" s="1690"/>
      <c r="E69" s="697">
        <v>5</v>
      </c>
      <c r="F69" s="697">
        <v>5</v>
      </c>
      <c r="G69" s="697">
        <v>2</v>
      </c>
      <c r="H69" s="697">
        <v>5</v>
      </c>
      <c r="I69" s="1537">
        <v>5</v>
      </c>
      <c r="J69" s="1537">
        <v>5</v>
      </c>
      <c r="K69" s="1537">
        <v>2</v>
      </c>
      <c r="L69" s="1537">
        <v>12</v>
      </c>
      <c r="M69" s="1537">
        <v>12</v>
      </c>
      <c r="N69" s="1538">
        <v>3</v>
      </c>
      <c r="O69" s="1538">
        <v>13</v>
      </c>
      <c r="P69" s="1538">
        <v>14</v>
      </c>
      <c r="Q69" s="1537"/>
      <c r="R69" s="1537"/>
      <c r="S69" s="1537"/>
      <c r="T69" s="1537"/>
      <c r="U69" s="697"/>
      <c r="V69" s="697"/>
      <c r="W69" s="697"/>
      <c r="X69" s="697"/>
      <c r="Y69" s="697"/>
      <c r="Z69" s="697"/>
      <c r="AA69" s="697"/>
      <c r="AB69" s="708"/>
    </row>
    <row r="70" spans="2:28" ht="15" hidden="1" customHeight="1" x14ac:dyDescent="0.45">
      <c r="B70" s="1691" t="str">
        <f>CONCATENATE("Plan ", INDEX(plans_index,,(ROW(B70)-6)/16), ": ", INDEX(plans_name,,(ROW(B70)-6)/16))</f>
        <v>Plan 4: Duncan Darroch</v>
      </c>
      <c r="C70" s="1694" t="s">
        <v>325</v>
      </c>
      <c r="D70" s="123" t="s">
        <v>326</v>
      </c>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4"/>
    </row>
    <row r="71" spans="2:28" hidden="1" x14ac:dyDescent="0.45">
      <c r="B71" s="1692"/>
      <c r="C71" s="1695"/>
      <c r="D71" s="124" t="s">
        <v>327</v>
      </c>
      <c r="E71" s="675"/>
      <c r="F71" s="675"/>
      <c r="G71" s="675"/>
      <c r="H71" s="675"/>
      <c r="I71" s="675"/>
      <c r="J71" s="675"/>
      <c r="K71" s="675"/>
      <c r="L71" s="675"/>
      <c r="M71" s="675"/>
      <c r="N71" s="675"/>
      <c r="O71" s="675"/>
      <c r="P71" s="675"/>
      <c r="Q71" s="675"/>
      <c r="R71" s="675"/>
      <c r="S71" s="675"/>
      <c r="T71" s="675"/>
      <c r="U71" s="675"/>
      <c r="V71" s="675"/>
      <c r="W71" s="675"/>
      <c r="X71" s="675"/>
      <c r="Y71" s="676"/>
      <c r="Z71" s="676"/>
      <c r="AA71" s="676"/>
      <c r="AB71" s="677"/>
    </row>
    <row r="72" spans="2:28" hidden="1" x14ac:dyDescent="0.45">
      <c r="B72" s="1692"/>
      <c r="C72" s="1696" t="s">
        <v>328</v>
      </c>
      <c r="D72" s="122" t="s">
        <v>326</v>
      </c>
      <c r="E72" s="678">
        <v>1</v>
      </c>
      <c r="F72" s="678">
        <v>1</v>
      </c>
      <c r="G72" s="678">
        <v>1</v>
      </c>
      <c r="H72" s="678">
        <v>1</v>
      </c>
      <c r="I72" s="678">
        <v>23</v>
      </c>
      <c r="J72" s="678">
        <v>21</v>
      </c>
      <c r="K72" s="678">
        <v>23</v>
      </c>
      <c r="L72" s="678">
        <v>23</v>
      </c>
      <c r="M72" s="678">
        <v>23</v>
      </c>
      <c r="N72" s="678">
        <v>23</v>
      </c>
      <c r="O72" s="678">
        <v>23</v>
      </c>
      <c r="P72" s="678"/>
      <c r="Q72" s="678"/>
      <c r="R72" s="678"/>
      <c r="S72" s="678"/>
      <c r="T72" s="678"/>
      <c r="U72" s="678"/>
      <c r="V72" s="678"/>
      <c r="W72" s="678"/>
      <c r="X72" s="678"/>
      <c r="Y72" s="679"/>
      <c r="Z72" s="679"/>
      <c r="AA72" s="679"/>
      <c r="AB72" s="680"/>
    </row>
    <row r="73" spans="2:28" hidden="1" x14ac:dyDescent="0.45">
      <c r="B73" s="1692"/>
      <c r="C73" s="1697"/>
      <c r="D73" s="122" t="s">
        <v>327</v>
      </c>
      <c r="E73" s="678"/>
      <c r="F73" s="678"/>
      <c r="G73" s="678"/>
      <c r="H73" s="678"/>
      <c r="I73" s="678"/>
      <c r="J73" s="678"/>
      <c r="K73" s="678"/>
      <c r="L73" s="678"/>
      <c r="M73" s="678"/>
      <c r="N73" s="678"/>
      <c r="O73" s="678"/>
      <c r="P73" s="678">
        <v>3</v>
      </c>
      <c r="Q73" s="678"/>
      <c r="R73" s="678"/>
      <c r="S73" s="678"/>
      <c r="T73" s="678"/>
      <c r="U73" s="678"/>
      <c r="V73" s="678"/>
      <c r="W73" s="678"/>
      <c r="X73" s="681"/>
      <c r="Y73" s="679"/>
      <c r="Z73" s="679"/>
      <c r="AA73" s="679"/>
      <c r="AB73" s="680"/>
    </row>
    <row r="74" spans="2:28" hidden="1" x14ac:dyDescent="0.45">
      <c r="B74" s="1692"/>
      <c r="C74" s="1698" t="s">
        <v>329</v>
      </c>
      <c r="D74" s="125" t="s">
        <v>326</v>
      </c>
      <c r="E74" s="675">
        <v>7</v>
      </c>
      <c r="F74" s="675">
        <v>7</v>
      </c>
      <c r="G74" s="675">
        <v>7</v>
      </c>
      <c r="H74" s="675">
        <v>7</v>
      </c>
      <c r="I74" s="682">
        <v>7</v>
      </c>
      <c r="J74" s="682">
        <v>11</v>
      </c>
      <c r="K74" s="682">
        <v>7</v>
      </c>
      <c r="L74" s="682">
        <v>43</v>
      </c>
      <c r="M74" s="682">
        <v>48</v>
      </c>
      <c r="N74" s="682">
        <v>7</v>
      </c>
      <c r="O74" s="682">
        <v>7</v>
      </c>
      <c r="P74" s="682"/>
      <c r="Q74" s="682"/>
      <c r="R74" s="682"/>
      <c r="S74" s="682"/>
      <c r="T74" s="682"/>
      <c r="U74" s="682"/>
      <c r="V74" s="682"/>
      <c r="W74" s="682"/>
      <c r="X74" s="682"/>
      <c r="Y74" s="683"/>
      <c r="Z74" s="683"/>
      <c r="AA74" s="683"/>
      <c r="AB74" s="684"/>
    </row>
    <row r="75" spans="2:28" hidden="1" x14ac:dyDescent="0.45">
      <c r="B75" s="1692"/>
      <c r="C75" s="1695"/>
      <c r="D75" s="124" t="s">
        <v>327</v>
      </c>
      <c r="E75" s="675"/>
      <c r="F75" s="675"/>
      <c r="G75" s="675"/>
      <c r="H75" s="675"/>
      <c r="I75" s="675"/>
      <c r="J75" s="675"/>
      <c r="K75" s="675"/>
      <c r="L75" s="675"/>
      <c r="M75" s="675"/>
      <c r="N75" s="675"/>
      <c r="O75" s="675"/>
      <c r="P75" s="675"/>
      <c r="Q75" s="675"/>
      <c r="R75" s="675"/>
      <c r="S75" s="675"/>
      <c r="T75" s="675"/>
      <c r="U75" s="675"/>
      <c r="V75" s="675"/>
      <c r="W75" s="675"/>
      <c r="X75" s="675"/>
      <c r="Y75" s="676"/>
      <c r="Z75" s="676"/>
      <c r="AA75" s="676"/>
      <c r="AB75" s="677"/>
    </row>
    <row r="76" spans="2:28" hidden="1" x14ac:dyDescent="0.45">
      <c r="B76" s="1692"/>
      <c r="C76" s="1696" t="s">
        <v>330</v>
      </c>
      <c r="D76" s="122" t="s">
        <v>326</v>
      </c>
      <c r="E76" s="678">
        <v>3</v>
      </c>
      <c r="F76" s="678">
        <v>3</v>
      </c>
      <c r="G76" s="678">
        <v>3</v>
      </c>
      <c r="H76" s="678">
        <v>3</v>
      </c>
      <c r="I76" s="678">
        <v>3</v>
      </c>
      <c r="J76" s="678"/>
      <c r="K76" s="678">
        <v>3</v>
      </c>
      <c r="L76" s="678">
        <v>3</v>
      </c>
      <c r="M76" s="678">
        <v>3</v>
      </c>
      <c r="N76" s="678">
        <v>3</v>
      </c>
      <c r="O76" s="678">
        <v>3</v>
      </c>
      <c r="P76" s="678"/>
      <c r="Q76" s="678"/>
      <c r="R76" s="678"/>
      <c r="S76" s="678"/>
      <c r="T76" s="678"/>
      <c r="U76" s="678"/>
      <c r="V76" s="678"/>
      <c r="W76" s="678"/>
      <c r="X76" s="678"/>
      <c r="Y76" s="679"/>
      <c r="Z76" s="679"/>
      <c r="AA76" s="679"/>
      <c r="AB76" s="680"/>
    </row>
    <row r="77" spans="2:28" hidden="1" x14ac:dyDescent="0.45">
      <c r="B77" s="1692"/>
      <c r="C77" s="1697"/>
      <c r="D77" s="122" t="s">
        <v>327</v>
      </c>
      <c r="E77" s="678"/>
      <c r="F77" s="678"/>
      <c r="G77" s="678"/>
      <c r="H77" s="678"/>
      <c r="I77" s="678"/>
      <c r="J77" s="678"/>
      <c r="K77" s="678"/>
      <c r="L77" s="678"/>
      <c r="M77" s="678"/>
      <c r="N77" s="678"/>
      <c r="O77" s="678"/>
      <c r="P77" s="678">
        <v>6</v>
      </c>
      <c r="Q77" s="678"/>
      <c r="R77" s="678"/>
      <c r="S77" s="678"/>
      <c r="T77" s="678"/>
      <c r="U77" s="678"/>
      <c r="V77" s="678"/>
      <c r="W77" s="678"/>
      <c r="X77" s="681"/>
      <c r="Y77" s="679"/>
      <c r="Z77" s="679"/>
      <c r="AA77" s="679"/>
      <c r="AB77" s="680"/>
    </row>
    <row r="78" spans="2:28" hidden="1" x14ac:dyDescent="0.45">
      <c r="B78" s="1692"/>
      <c r="C78" s="1698" t="s">
        <v>331</v>
      </c>
      <c r="D78" s="125" t="s">
        <v>326</v>
      </c>
      <c r="E78" s="682">
        <v>7</v>
      </c>
      <c r="F78" s="682">
        <v>7</v>
      </c>
      <c r="G78" s="682">
        <v>7</v>
      </c>
      <c r="H78" s="682">
        <v>7</v>
      </c>
      <c r="I78" s="682">
        <v>7</v>
      </c>
      <c r="J78" s="682">
        <v>5</v>
      </c>
      <c r="K78" s="682">
        <v>7</v>
      </c>
      <c r="L78" s="682">
        <v>7</v>
      </c>
      <c r="M78" s="682">
        <v>7</v>
      </c>
      <c r="N78" s="682">
        <v>7</v>
      </c>
      <c r="O78" s="682">
        <v>7</v>
      </c>
      <c r="P78" s="682">
        <v>5</v>
      </c>
      <c r="Q78" s="682"/>
      <c r="R78" s="682"/>
      <c r="S78" s="682"/>
      <c r="T78" s="682"/>
      <c r="U78" s="682"/>
      <c r="V78" s="682"/>
      <c r="W78" s="682"/>
      <c r="X78" s="682"/>
      <c r="Y78" s="683"/>
      <c r="Z78" s="683"/>
      <c r="AA78" s="683"/>
      <c r="AB78" s="684"/>
    </row>
    <row r="79" spans="2:28" hidden="1" x14ac:dyDescent="0.45">
      <c r="B79" s="1692"/>
      <c r="C79" s="1695"/>
      <c r="D79" s="124" t="s">
        <v>327</v>
      </c>
      <c r="E79" s="675"/>
      <c r="F79" s="675"/>
      <c r="G79" s="675"/>
      <c r="H79" s="675"/>
      <c r="I79" s="675"/>
      <c r="J79" s="675"/>
      <c r="K79" s="675"/>
      <c r="L79" s="675"/>
      <c r="M79" s="675"/>
      <c r="N79" s="675"/>
      <c r="O79" s="675"/>
      <c r="P79" s="675"/>
      <c r="Q79" s="675"/>
      <c r="R79" s="675"/>
      <c r="S79" s="675"/>
      <c r="T79" s="675"/>
      <c r="U79" s="675"/>
      <c r="V79" s="675"/>
      <c r="W79" s="675"/>
      <c r="X79" s="675"/>
      <c r="Y79" s="676"/>
      <c r="Z79" s="676"/>
      <c r="AA79" s="676"/>
      <c r="AB79" s="677"/>
    </row>
    <row r="80" spans="2:28" hidden="1" x14ac:dyDescent="0.45">
      <c r="B80" s="1692"/>
      <c r="C80" s="1696" t="s">
        <v>332</v>
      </c>
      <c r="D80" s="122" t="s">
        <v>326</v>
      </c>
      <c r="E80" s="678">
        <v>3</v>
      </c>
      <c r="F80" s="678">
        <v>3</v>
      </c>
      <c r="G80" s="678">
        <v>3</v>
      </c>
      <c r="H80" s="678">
        <v>3</v>
      </c>
      <c r="I80" s="678">
        <v>31</v>
      </c>
      <c r="J80" s="678">
        <v>96</v>
      </c>
      <c r="K80" s="678">
        <v>31</v>
      </c>
      <c r="L80" s="678">
        <v>31</v>
      </c>
      <c r="M80" s="678">
        <v>31</v>
      </c>
      <c r="N80" s="678">
        <v>31</v>
      </c>
      <c r="O80" s="678">
        <v>31</v>
      </c>
      <c r="P80" s="678">
        <v>88</v>
      </c>
      <c r="Q80" s="678"/>
      <c r="R80" s="678"/>
      <c r="S80" s="678"/>
      <c r="T80" s="678"/>
      <c r="U80" s="678"/>
      <c r="V80" s="678"/>
      <c r="W80" s="679"/>
      <c r="X80" s="679"/>
      <c r="Y80" s="679"/>
      <c r="Z80" s="679"/>
      <c r="AA80" s="679"/>
      <c r="AB80" s="680"/>
    </row>
    <row r="81" spans="2:28" hidden="1" x14ac:dyDescent="0.45">
      <c r="B81" s="1692"/>
      <c r="C81" s="1697"/>
      <c r="D81" s="122" t="s">
        <v>327</v>
      </c>
      <c r="E81" s="678"/>
      <c r="F81" s="678"/>
      <c r="G81" s="678"/>
      <c r="H81" s="678"/>
      <c r="I81" s="678"/>
      <c r="J81" s="678"/>
      <c r="K81" s="678"/>
      <c r="L81" s="678"/>
      <c r="M81" s="678"/>
      <c r="N81" s="678"/>
      <c r="O81" s="678"/>
      <c r="P81" s="678"/>
      <c r="Q81" s="678"/>
      <c r="R81" s="678"/>
      <c r="S81" s="678"/>
      <c r="T81" s="678"/>
      <c r="U81" s="678"/>
      <c r="V81" s="678"/>
      <c r="W81" s="678"/>
      <c r="X81" s="678"/>
      <c r="Y81" s="679"/>
      <c r="Z81" s="679"/>
      <c r="AA81" s="679"/>
      <c r="AB81" s="680"/>
    </row>
    <row r="82" spans="2:28" hidden="1" x14ac:dyDescent="0.45">
      <c r="B82" s="1692"/>
      <c r="C82" s="1698" t="s">
        <v>333</v>
      </c>
      <c r="D82" s="124" t="s">
        <v>326</v>
      </c>
      <c r="E82" s="675">
        <v>4</v>
      </c>
      <c r="F82" s="675">
        <v>4</v>
      </c>
      <c r="G82" s="675">
        <v>4</v>
      </c>
      <c r="H82" s="675">
        <v>4</v>
      </c>
      <c r="I82" s="675">
        <v>4</v>
      </c>
      <c r="J82" s="675"/>
      <c r="K82" s="675">
        <v>4</v>
      </c>
      <c r="L82" s="675">
        <v>19</v>
      </c>
      <c r="M82" s="675">
        <v>4</v>
      </c>
      <c r="N82" s="675">
        <v>4</v>
      </c>
      <c r="O82" s="675">
        <v>4</v>
      </c>
      <c r="P82" s="675"/>
      <c r="Q82" s="675"/>
      <c r="R82" s="675"/>
      <c r="S82" s="675"/>
      <c r="T82" s="675"/>
      <c r="U82" s="675"/>
      <c r="V82" s="675"/>
      <c r="W82" s="676"/>
      <c r="X82" s="676"/>
      <c r="Y82" s="676"/>
      <c r="Z82" s="676"/>
      <c r="AA82" s="676"/>
      <c r="AB82" s="677"/>
    </row>
    <row r="83" spans="2:28" hidden="1" x14ac:dyDescent="0.45">
      <c r="B83" s="1693"/>
      <c r="C83" s="1699"/>
      <c r="D83" s="126" t="s">
        <v>327</v>
      </c>
      <c r="E83" s="687"/>
      <c r="F83" s="687"/>
      <c r="G83" s="687"/>
      <c r="H83" s="687"/>
      <c r="I83" s="687"/>
      <c r="J83" s="687"/>
      <c r="K83" s="687"/>
      <c r="L83" s="687"/>
      <c r="M83" s="687"/>
      <c r="N83" s="687"/>
      <c r="O83" s="687"/>
      <c r="P83" s="687"/>
      <c r="Q83" s="687"/>
      <c r="R83" s="687"/>
      <c r="S83" s="687"/>
      <c r="T83" s="687"/>
      <c r="U83" s="687"/>
      <c r="V83" s="687"/>
      <c r="W83" s="687"/>
      <c r="X83" s="687"/>
      <c r="Y83" s="687"/>
      <c r="Z83" s="687"/>
      <c r="AA83" s="687"/>
      <c r="AB83" s="688"/>
    </row>
    <row r="84" spans="2:28" hidden="1" x14ac:dyDescent="0.45"/>
    <row r="85" spans="2:28" hidden="1" x14ac:dyDescent="0.45">
      <c r="B85" s="1688" t="s">
        <v>54</v>
      </c>
      <c r="C85" s="1689"/>
      <c r="D85" s="1690"/>
      <c r="E85" s="697">
        <v>5</v>
      </c>
      <c r="F85" s="697">
        <v>5</v>
      </c>
      <c r="G85" s="697">
        <v>5</v>
      </c>
      <c r="H85" s="697">
        <v>5</v>
      </c>
      <c r="I85" s="697">
        <v>5</v>
      </c>
      <c r="J85" s="697">
        <v>5</v>
      </c>
      <c r="K85" s="697">
        <v>5</v>
      </c>
      <c r="L85" s="697">
        <v>12</v>
      </c>
      <c r="M85" s="697">
        <v>2</v>
      </c>
      <c r="N85" s="697">
        <v>13</v>
      </c>
      <c r="O85" s="697">
        <v>13</v>
      </c>
      <c r="P85" s="697">
        <v>14</v>
      </c>
      <c r="Q85" s="697"/>
      <c r="R85" s="697"/>
      <c r="S85" s="697"/>
      <c r="T85" s="697"/>
      <c r="U85" s="697"/>
      <c r="V85" s="697"/>
      <c r="W85" s="697"/>
      <c r="X85" s="697"/>
      <c r="Y85" s="697"/>
      <c r="Z85" s="697"/>
      <c r="AA85" s="697"/>
      <c r="AB85" s="708"/>
    </row>
    <row r="86" spans="2:28" ht="15" hidden="1" customHeight="1" x14ac:dyDescent="0.45">
      <c r="B86" s="1691" t="str">
        <f>CONCATENATE("Plan ", INDEX(plans_index,,(ROW(B86)-6)/16), ": ", INDEX(plans_name,,(ROW(B86)-6)/16))</f>
        <v>Plan 5: Jason Reid</v>
      </c>
      <c r="C86" s="1694" t="s">
        <v>325</v>
      </c>
      <c r="D86" s="123" t="s">
        <v>326</v>
      </c>
      <c r="E86" s="672">
        <v>7</v>
      </c>
      <c r="F86" s="672">
        <v>7</v>
      </c>
      <c r="G86" s="672">
        <v>7</v>
      </c>
      <c r="H86" s="672">
        <v>7</v>
      </c>
      <c r="I86" s="672">
        <v>7</v>
      </c>
      <c r="J86" s="672">
        <v>7</v>
      </c>
      <c r="K86" s="672">
        <v>7</v>
      </c>
      <c r="L86" s="672">
        <v>7</v>
      </c>
      <c r="M86" s="672">
        <v>7</v>
      </c>
      <c r="N86" s="672">
        <v>7</v>
      </c>
      <c r="O86" s="672">
        <v>7</v>
      </c>
      <c r="P86" s="672"/>
      <c r="Q86" s="672"/>
      <c r="R86" s="672"/>
      <c r="S86" s="672"/>
      <c r="T86" s="672"/>
      <c r="U86" s="672"/>
      <c r="V86" s="672"/>
      <c r="W86" s="672"/>
      <c r="X86" s="672"/>
      <c r="Y86" s="672"/>
      <c r="Z86" s="672"/>
      <c r="AA86" s="672"/>
      <c r="AB86" s="674"/>
    </row>
    <row r="87" spans="2:28" hidden="1" x14ac:dyDescent="0.45">
      <c r="B87" s="1692"/>
      <c r="C87" s="1695"/>
      <c r="D87" s="124" t="s">
        <v>327</v>
      </c>
      <c r="E87" s="675">
        <v>76</v>
      </c>
      <c r="F87" s="675">
        <v>76</v>
      </c>
      <c r="G87" s="675">
        <v>76</v>
      </c>
      <c r="H87" s="675">
        <v>76</v>
      </c>
      <c r="I87" s="675">
        <v>76</v>
      </c>
      <c r="J87" s="675">
        <v>76</v>
      </c>
      <c r="K87" s="675">
        <v>76</v>
      </c>
      <c r="L87" s="675">
        <v>76</v>
      </c>
      <c r="M87" s="675">
        <v>76</v>
      </c>
      <c r="N87" s="675">
        <v>76</v>
      </c>
      <c r="O87" s="675">
        <v>76</v>
      </c>
      <c r="P87" s="675"/>
      <c r="Q87" s="675"/>
      <c r="R87" s="675"/>
      <c r="S87" s="675"/>
      <c r="T87" s="675"/>
      <c r="U87" s="675"/>
      <c r="V87" s="675"/>
      <c r="W87" s="675"/>
      <c r="X87" s="675"/>
      <c r="Y87" s="676"/>
      <c r="Z87" s="676"/>
      <c r="AA87" s="676"/>
      <c r="AB87" s="677"/>
    </row>
    <row r="88" spans="2:28" hidden="1" x14ac:dyDescent="0.45">
      <c r="B88" s="1692"/>
      <c r="C88" s="1696" t="s">
        <v>328</v>
      </c>
      <c r="D88" s="122" t="s">
        <v>326</v>
      </c>
      <c r="E88" s="678">
        <v>1</v>
      </c>
      <c r="F88" s="678">
        <v>1</v>
      </c>
      <c r="G88" s="678">
        <v>1</v>
      </c>
      <c r="H88" s="678">
        <v>21</v>
      </c>
      <c r="I88" s="678">
        <v>21</v>
      </c>
      <c r="J88" s="678">
        <v>21</v>
      </c>
      <c r="K88" s="678">
        <v>21</v>
      </c>
      <c r="L88" s="678">
        <v>21</v>
      </c>
      <c r="M88" s="678">
        <v>21</v>
      </c>
      <c r="N88" s="678">
        <v>21</v>
      </c>
      <c r="O88" s="678">
        <v>21</v>
      </c>
      <c r="P88" s="678">
        <v>6</v>
      </c>
      <c r="Q88" s="678"/>
      <c r="R88" s="678"/>
      <c r="S88" s="678"/>
      <c r="T88" s="678"/>
      <c r="U88" s="678"/>
      <c r="V88" s="678"/>
      <c r="W88" s="678"/>
      <c r="X88" s="678"/>
      <c r="Y88" s="679"/>
      <c r="Z88" s="679"/>
      <c r="AA88" s="679"/>
      <c r="AB88" s="680"/>
    </row>
    <row r="89" spans="2:28" hidden="1" x14ac:dyDescent="0.45">
      <c r="B89" s="1692"/>
      <c r="C89" s="1697"/>
      <c r="D89" s="122" t="s">
        <v>327</v>
      </c>
      <c r="E89" s="678"/>
      <c r="F89" s="678"/>
      <c r="G89" s="678"/>
      <c r="H89" s="678"/>
      <c r="I89" s="678"/>
      <c r="J89" s="678"/>
      <c r="K89" s="678"/>
      <c r="L89" s="678"/>
      <c r="M89" s="678"/>
      <c r="N89" s="678"/>
      <c r="O89" s="678"/>
      <c r="P89" s="678"/>
      <c r="Q89" s="678"/>
      <c r="R89" s="678"/>
      <c r="S89" s="678"/>
      <c r="T89" s="678"/>
      <c r="U89" s="678"/>
      <c r="V89" s="678"/>
      <c r="W89" s="678"/>
      <c r="X89" s="681"/>
      <c r="Y89" s="679"/>
      <c r="Z89" s="679"/>
      <c r="AA89" s="679"/>
      <c r="AB89" s="680"/>
    </row>
    <row r="90" spans="2:28" hidden="1" x14ac:dyDescent="0.45">
      <c r="B90" s="1692"/>
      <c r="C90" s="1698" t="s">
        <v>329</v>
      </c>
      <c r="D90" s="125" t="s">
        <v>326</v>
      </c>
      <c r="E90" s="682">
        <v>7</v>
      </c>
      <c r="F90" s="682">
        <v>7</v>
      </c>
      <c r="G90" s="682">
        <v>7</v>
      </c>
      <c r="H90" s="682">
        <v>1</v>
      </c>
      <c r="I90" s="682">
        <v>1</v>
      </c>
      <c r="J90" s="682">
        <v>1</v>
      </c>
      <c r="K90" s="682">
        <v>1</v>
      </c>
      <c r="L90" s="682">
        <v>1</v>
      </c>
      <c r="M90" s="682">
        <v>1</v>
      </c>
      <c r="N90" s="682">
        <v>7</v>
      </c>
      <c r="O90" s="682">
        <v>7</v>
      </c>
      <c r="P90" s="682"/>
      <c r="Q90" s="682"/>
      <c r="R90" s="682"/>
      <c r="S90" s="682"/>
      <c r="T90" s="682"/>
      <c r="U90" s="682"/>
      <c r="V90" s="682"/>
      <c r="W90" s="682"/>
      <c r="X90" s="682"/>
      <c r="Y90" s="683"/>
      <c r="Z90" s="683"/>
      <c r="AA90" s="683"/>
      <c r="AB90" s="684"/>
    </row>
    <row r="91" spans="2:28" hidden="1" x14ac:dyDescent="0.45">
      <c r="B91" s="1692"/>
      <c r="C91" s="1695"/>
      <c r="D91" s="124" t="s">
        <v>327</v>
      </c>
      <c r="E91" s="675">
        <v>76</v>
      </c>
      <c r="F91" s="675">
        <v>76</v>
      </c>
      <c r="G91" s="675">
        <v>76</v>
      </c>
      <c r="H91" s="675">
        <v>76</v>
      </c>
      <c r="I91" s="675">
        <v>76</v>
      </c>
      <c r="J91" s="675">
        <v>76</v>
      </c>
      <c r="K91" s="675">
        <v>76</v>
      </c>
      <c r="L91" s="675">
        <v>76</v>
      </c>
      <c r="M91" s="675">
        <v>76</v>
      </c>
      <c r="N91" s="675">
        <v>76</v>
      </c>
      <c r="O91" s="675">
        <v>76</v>
      </c>
      <c r="P91" s="675">
        <v>20</v>
      </c>
      <c r="Q91" s="675"/>
      <c r="R91" s="675"/>
      <c r="S91" s="675"/>
      <c r="T91" s="675"/>
      <c r="U91" s="675"/>
      <c r="V91" s="675"/>
      <c r="W91" s="675"/>
      <c r="X91" s="675"/>
      <c r="Y91" s="676"/>
      <c r="Z91" s="676"/>
      <c r="AA91" s="676"/>
      <c r="AB91" s="677"/>
    </row>
    <row r="92" spans="2:28" hidden="1" x14ac:dyDescent="0.45">
      <c r="B92" s="1692"/>
      <c r="C92" s="1696" t="s">
        <v>330</v>
      </c>
      <c r="D92" s="122" t="s">
        <v>326</v>
      </c>
      <c r="E92" s="678">
        <v>3</v>
      </c>
      <c r="F92" s="678">
        <v>3</v>
      </c>
      <c r="G92" s="678">
        <v>3</v>
      </c>
      <c r="H92" s="678">
        <v>1</v>
      </c>
      <c r="I92" s="678">
        <v>1</v>
      </c>
      <c r="J92" s="678">
        <v>1</v>
      </c>
      <c r="K92" s="678">
        <v>1</v>
      </c>
      <c r="L92" s="678">
        <v>1</v>
      </c>
      <c r="M92" s="678">
        <v>1</v>
      </c>
      <c r="N92" s="678">
        <v>1</v>
      </c>
      <c r="O92" s="678">
        <v>1</v>
      </c>
      <c r="P92" s="678"/>
      <c r="Q92" s="678"/>
      <c r="R92" s="678"/>
      <c r="S92" s="678"/>
      <c r="T92" s="678"/>
      <c r="U92" s="678"/>
      <c r="V92" s="678"/>
      <c r="W92" s="678"/>
      <c r="X92" s="678"/>
      <c r="Y92" s="679"/>
      <c r="Z92" s="679"/>
      <c r="AA92" s="679"/>
      <c r="AB92" s="680"/>
    </row>
    <row r="93" spans="2:28" hidden="1" x14ac:dyDescent="0.45">
      <c r="B93" s="1692"/>
      <c r="C93" s="1697"/>
      <c r="D93" s="122" t="s">
        <v>327</v>
      </c>
      <c r="E93" s="678"/>
      <c r="F93" s="678"/>
      <c r="G93" s="678"/>
      <c r="H93" s="678"/>
      <c r="I93" s="678"/>
      <c r="J93" s="678"/>
      <c r="K93" s="678"/>
      <c r="L93" s="678"/>
      <c r="M93" s="678"/>
      <c r="N93" s="678"/>
      <c r="O93" s="678"/>
      <c r="P93" s="678"/>
      <c r="Q93" s="678"/>
      <c r="R93" s="678"/>
      <c r="S93" s="678"/>
      <c r="T93" s="678"/>
      <c r="U93" s="678"/>
      <c r="V93" s="678"/>
      <c r="W93" s="678"/>
      <c r="X93" s="681"/>
      <c r="Y93" s="679"/>
      <c r="Z93" s="679"/>
      <c r="AA93" s="679"/>
      <c r="AB93" s="680"/>
    </row>
    <row r="94" spans="2:28" hidden="1" x14ac:dyDescent="0.45">
      <c r="B94" s="1692"/>
      <c r="C94" s="1698" t="s">
        <v>331</v>
      </c>
      <c r="D94" s="125" t="s">
        <v>326</v>
      </c>
      <c r="E94" s="682"/>
      <c r="F94" s="682"/>
      <c r="G94" s="682"/>
      <c r="H94" s="682"/>
      <c r="I94" s="682"/>
      <c r="J94" s="682">
        <v>7</v>
      </c>
      <c r="K94" s="682">
        <v>7</v>
      </c>
      <c r="L94" s="682">
        <v>7</v>
      </c>
      <c r="M94" s="682"/>
      <c r="N94" s="682"/>
      <c r="O94" s="682"/>
      <c r="P94" s="682">
        <v>5</v>
      </c>
      <c r="Q94" s="682"/>
      <c r="R94" s="682"/>
      <c r="S94" s="682"/>
      <c r="T94" s="682"/>
      <c r="U94" s="682"/>
      <c r="V94" s="682"/>
      <c r="W94" s="682"/>
      <c r="X94" s="682"/>
      <c r="Y94" s="683"/>
      <c r="Z94" s="683"/>
      <c r="AA94" s="683"/>
      <c r="AB94" s="684"/>
    </row>
    <row r="95" spans="2:28" hidden="1" x14ac:dyDescent="0.45">
      <c r="B95" s="1692"/>
      <c r="C95" s="1695"/>
      <c r="D95" s="124" t="s">
        <v>327</v>
      </c>
      <c r="E95" s="675"/>
      <c r="F95" s="675"/>
      <c r="G95" s="675"/>
      <c r="H95" s="675"/>
      <c r="I95" s="675"/>
      <c r="J95" s="675"/>
      <c r="K95" s="675"/>
      <c r="L95" s="675"/>
      <c r="M95" s="675"/>
      <c r="N95" s="675"/>
      <c r="O95" s="675"/>
      <c r="P95" s="675"/>
      <c r="Q95" s="675"/>
      <c r="R95" s="675"/>
      <c r="S95" s="675"/>
      <c r="T95" s="675"/>
      <c r="U95" s="675"/>
      <c r="V95" s="675"/>
      <c r="W95" s="675"/>
      <c r="X95" s="675"/>
      <c r="Y95" s="676"/>
      <c r="Z95" s="676"/>
      <c r="AA95" s="676"/>
      <c r="AB95" s="677"/>
    </row>
    <row r="96" spans="2:28" hidden="1" x14ac:dyDescent="0.45">
      <c r="B96" s="1692"/>
      <c r="C96" s="1696" t="s">
        <v>332</v>
      </c>
      <c r="D96" s="122" t="s">
        <v>326</v>
      </c>
      <c r="E96" s="678">
        <v>82</v>
      </c>
      <c r="F96" s="678">
        <v>82</v>
      </c>
      <c r="G96" s="678">
        <v>82</v>
      </c>
      <c r="H96" s="678">
        <v>3</v>
      </c>
      <c r="I96" s="678">
        <v>3</v>
      </c>
      <c r="J96" s="678">
        <v>3</v>
      </c>
      <c r="K96" s="678">
        <v>3</v>
      </c>
      <c r="L96" s="678">
        <v>3</v>
      </c>
      <c r="M96" s="678">
        <v>3</v>
      </c>
      <c r="N96" s="678">
        <v>20</v>
      </c>
      <c r="O96" s="678">
        <v>20</v>
      </c>
      <c r="P96" s="678">
        <v>91</v>
      </c>
      <c r="Q96" s="678"/>
      <c r="R96" s="678"/>
      <c r="S96" s="678"/>
      <c r="T96" s="678"/>
      <c r="U96" s="678"/>
      <c r="V96" s="678"/>
      <c r="W96" s="679"/>
      <c r="X96" s="679"/>
      <c r="Y96" s="679"/>
      <c r="Z96" s="679"/>
      <c r="AA96" s="679"/>
      <c r="AB96" s="680"/>
    </row>
    <row r="97" spans="2:28" hidden="1" x14ac:dyDescent="0.45">
      <c r="B97" s="1692"/>
      <c r="C97" s="1697"/>
      <c r="D97" s="122" t="s">
        <v>327</v>
      </c>
      <c r="E97" s="678"/>
      <c r="F97" s="678"/>
      <c r="G97" s="678"/>
      <c r="H97" s="678"/>
      <c r="I97" s="678"/>
      <c r="J97" s="678"/>
      <c r="K97" s="678"/>
      <c r="L97" s="678"/>
      <c r="M97" s="678"/>
      <c r="N97" s="678"/>
      <c r="O97" s="678"/>
      <c r="P97" s="678"/>
      <c r="Q97" s="678"/>
      <c r="R97" s="678"/>
      <c r="S97" s="678"/>
      <c r="T97" s="678"/>
      <c r="U97" s="678"/>
      <c r="V97" s="678"/>
      <c r="W97" s="678"/>
      <c r="X97" s="678"/>
      <c r="Y97" s="679"/>
      <c r="Z97" s="679"/>
      <c r="AA97" s="679"/>
      <c r="AB97" s="680"/>
    </row>
    <row r="98" spans="2:28" hidden="1" x14ac:dyDescent="0.45">
      <c r="B98" s="1692"/>
      <c r="C98" s="1698" t="s">
        <v>333</v>
      </c>
      <c r="D98" s="124" t="s">
        <v>326</v>
      </c>
      <c r="E98" s="675">
        <v>4</v>
      </c>
      <c r="F98" s="675">
        <v>4</v>
      </c>
      <c r="G98" s="675">
        <v>4</v>
      </c>
      <c r="H98" s="675">
        <v>4</v>
      </c>
      <c r="I98" s="675">
        <v>4</v>
      </c>
      <c r="J98" s="675">
        <v>4</v>
      </c>
      <c r="K98" s="675">
        <v>4</v>
      </c>
      <c r="L98" s="675">
        <v>4</v>
      </c>
      <c r="M98" s="675">
        <v>4</v>
      </c>
      <c r="N98" s="675">
        <v>4</v>
      </c>
      <c r="O98" s="675">
        <v>4</v>
      </c>
      <c r="P98" s="675"/>
      <c r="Q98" s="675"/>
      <c r="R98" s="675"/>
      <c r="S98" s="675"/>
      <c r="T98" s="675"/>
      <c r="U98" s="675"/>
      <c r="V98" s="675"/>
      <c r="W98" s="676"/>
      <c r="X98" s="676"/>
      <c r="Y98" s="676"/>
      <c r="Z98" s="676"/>
      <c r="AA98" s="676"/>
      <c r="AB98" s="677"/>
    </row>
    <row r="99" spans="2:28" hidden="1" x14ac:dyDescent="0.45">
      <c r="B99" s="1693"/>
      <c r="C99" s="1699"/>
      <c r="D99" s="126" t="s">
        <v>327</v>
      </c>
      <c r="E99" s="687"/>
      <c r="F99" s="687"/>
      <c r="G99" s="687"/>
      <c r="H99" s="687"/>
      <c r="I99" s="687"/>
      <c r="J99" s="687"/>
      <c r="K99" s="687"/>
      <c r="L99" s="687"/>
      <c r="M99" s="687"/>
      <c r="N99" s="687"/>
      <c r="O99" s="687"/>
      <c r="P99" s="687"/>
      <c r="Q99" s="687"/>
      <c r="R99" s="687"/>
      <c r="S99" s="687"/>
      <c r="T99" s="687"/>
      <c r="U99" s="687"/>
      <c r="V99" s="687"/>
      <c r="W99" s="687"/>
      <c r="X99" s="687"/>
      <c r="Y99" s="687"/>
      <c r="Z99" s="687"/>
      <c r="AA99" s="687"/>
      <c r="AB99" s="688"/>
    </row>
    <row r="100" spans="2:28" hidden="1" x14ac:dyDescent="0.45"/>
    <row r="101" spans="2:28" hidden="1" x14ac:dyDescent="0.45">
      <c r="B101" s="1688" t="s">
        <v>54</v>
      </c>
      <c r="C101" s="1689"/>
      <c r="D101" s="1690"/>
      <c r="E101" s="697"/>
      <c r="F101" s="697"/>
      <c r="G101" s="697"/>
      <c r="H101" s="697"/>
      <c r="I101" s="697"/>
      <c r="J101" s="697"/>
      <c r="K101" s="697"/>
      <c r="L101" s="697"/>
      <c r="M101" s="697"/>
      <c r="N101" s="697"/>
      <c r="O101" s="697"/>
      <c r="P101" s="697"/>
      <c r="Q101" s="697"/>
      <c r="R101" s="697"/>
      <c r="S101" s="697"/>
      <c r="T101" s="697"/>
      <c r="U101" s="697"/>
      <c r="V101" s="697"/>
      <c r="W101" s="697"/>
      <c r="X101" s="697"/>
      <c r="Y101" s="697"/>
      <c r="Z101" s="697"/>
      <c r="AA101" s="697"/>
      <c r="AB101" s="708"/>
    </row>
    <row r="102" spans="2:28" ht="15" hidden="1" customHeight="1" x14ac:dyDescent="0.45">
      <c r="B102" s="1691" t="str">
        <f>CONCATENATE("Plan ", INDEX(plans_index,,(ROW(B102)-6)/16), ": ", INDEX(plans_name,,(ROW(B102)-6)/16))</f>
        <v>Plan 6: Beginner Marathon</v>
      </c>
      <c r="C102" s="1694" t="s">
        <v>325</v>
      </c>
      <c r="D102" s="123" t="s">
        <v>326</v>
      </c>
      <c r="E102" s="672"/>
      <c r="F102" s="672"/>
      <c r="G102" s="672"/>
      <c r="H102" s="673"/>
      <c r="I102" s="672"/>
      <c r="J102" s="672"/>
      <c r="K102" s="672"/>
      <c r="L102" s="672"/>
      <c r="M102" s="672"/>
      <c r="N102" s="672"/>
      <c r="O102" s="672"/>
      <c r="P102" s="672"/>
      <c r="Q102" s="672"/>
      <c r="R102" s="672"/>
      <c r="S102" s="672"/>
      <c r="T102" s="672"/>
      <c r="U102" s="672"/>
      <c r="V102" s="672"/>
      <c r="W102" s="672"/>
      <c r="X102" s="672"/>
      <c r="Y102" s="672"/>
      <c r="Z102" s="672"/>
      <c r="AA102" s="672"/>
      <c r="AB102" s="674"/>
    </row>
    <row r="103" spans="2:28" hidden="1" x14ac:dyDescent="0.45">
      <c r="B103" s="1692"/>
      <c r="C103" s="1695"/>
      <c r="D103" s="124" t="s">
        <v>327</v>
      </c>
      <c r="E103" s="675"/>
      <c r="F103" s="675"/>
      <c r="G103" s="675"/>
      <c r="H103" s="675"/>
      <c r="I103" s="675"/>
      <c r="J103" s="675"/>
      <c r="K103" s="675"/>
      <c r="L103" s="675"/>
      <c r="M103" s="675"/>
      <c r="N103" s="675"/>
      <c r="O103" s="675"/>
      <c r="P103" s="675"/>
      <c r="Q103" s="675"/>
      <c r="R103" s="675"/>
      <c r="S103" s="675"/>
      <c r="T103" s="675"/>
      <c r="U103" s="675"/>
      <c r="V103" s="675"/>
      <c r="W103" s="675"/>
      <c r="X103" s="675"/>
      <c r="Y103" s="676"/>
      <c r="Z103" s="676"/>
      <c r="AA103" s="676"/>
      <c r="AB103" s="677"/>
    </row>
    <row r="104" spans="2:28" hidden="1" x14ac:dyDescent="0.45">
      <c r="B104" s="1692"/>
      <c r="C104" s="1696" t="s">
        <v>328</v>
      </c>
      <c r="D104" s="122" t="s">
        <v>326</v>
      </c>
      <c r="E104" s="678"/>
      <c r="F104" s="678"/>
      <c r="G104" s="678"/>
      <c r="H104" s="678"/>
      <c r="I104" s="678"/>
      <c r="J104" s="678"/>
      <c r="K104" s="678"/>
      <c r="L104" s="678"/>
      <c r="M104" s="678"/>
      <c r="N104" s="678"/>
      <c r="O104" s="678"/>
      <c r="P104" s="678"/>
      <c r="Q104" s="678"/>
      <c r="R104" s="678"/>
      <c r="S104" s="678"/>
      <c r="T104" s="678"/>
      <c r="U104" s="678"/>
      <c r="V104" s="678"/>
      <c r="W104" s="678"/>
      <c r="X104" s="678"/>
      <c r="Y104" s="679"/>
      <c r="Z104" s="679"/>
      <c r="AA104" s="679"/>
      <c r="AB104" s="680"/>
    </row>
    <row r="105" spans="2:28" hidden="1" x14ac:dyDescent="0.45">
      <c r="B105" s="1692"/>
      <c r="C105" s="1697"/>
      <c r="D105" s="122" t="s">
        <v>327</v>
      </c>
      <c r="E105" s="678"/>
      <c r="F105" s="678"/>
      <c r="G105" s="678"/>
      <c r="H105" s="678"/>
      <c r="I105" s="678"/>
      <c r="J105" s="678"/>
      <c r="K105" s="678"/>
      <c r="L105" s="678"/>
      <c r="M105" s="678"/>
      <c r="N105" s="678"/>
      <c r="O105" s="678"/>
      <c r="P105" s="678"/>
      <c r="Q105" s="678"/>
      <c r="R105" s="678"/>
      <c r="S105" s="678"/>
      <c r="T105" s="678"/>
      <c r="U105" s="678"/>
      <c r="V105" s="678"/>
      <c r="W105" s="678"/>
      <c r="X105" s="681"/>
      <c r="Y105" s="679"/>
      <c r="Z105" s="679"/>
      <c r="AA105" s="679"/>
      <c r="AB105" s="680"/>
    </row>
    <row r="106" spans="2:28" hidden="1" x14ac:dyDescent="0.45">
      <c r="B106" s="1692"/>
      <c r="C106" s="1698" t="s">
        <v>329</v>
      </c>
      <c r="D106" s="125" t="s">
        <v>326</v>
      </c>
      <c r="E106" s="682"/>
      <c r="F106" s="682"/>
      <c r="G106" s="682"/>
      <c r="H106" s="682"/>
      <c r="I106" s="682"/>
      <c r="J106" s="682"/>
      <c r="K106" s="682"/>
      <c r="L106" s="682"/>
      <c r="M106" s="682"/>
      <c r="N106" s="682"/>
      <c r="O106" s="682"/>
      <c r="P106" s="682"/>
      <c r="Q106" s="682"/>
      <c r="R106" s="682"/>
      <c r="S106" s="682"/>
      <c r="T106" s="682"/>
      <c r="U106" s="682"/>
      <c r="V106" s="682"/>
      <c r="W106" s="682"/>
      <c r="X106" s="682"/>
      <c r="Y106" s="683"/>
      <c r="Z106" s="683"/>
      <c r="AA106" s="683"/>
      <c r="AB106" s="684"/>
    </row>
    <row r="107" spans="2:28" hidden="1" x14ac:dyDescent="0.45">
      <c r="B107" s="1692"/>
      <c r="C107" s="1695"/>
      <c r="D107" s="124" t="s">
        <v>327</v>
      </c>
      <c r="E107" s="675"/>
      <c r="F107" s="675"/>
      <c r="G107" s="675"/>
      <c r="H107" s="675"/>
      <c r="I107" s="675"/>
      <c r="J107" s="675"/>
      <c r="K107" s="675"/>
      <c r="L107" s="675"/>
      <c r="M107" s="675"/>
      <c r="N107" s="675"/>
      <c r="O107" s="675"/>
      <c r="P107" s="675"/>
      <c r="Q107" s="675"/>
      <c r="R107" s="675"/>
      <c r="S107" s="675"/>
      <c r="T107" s="675"/>
      <c r="U107" s="675"/>
      <c r="V107" s="675"/>
      <c r="W107" s="675"/>
      <c r="X107" s="675"/>
      <c r="Y107" s="676"/>
      <c r="Z107" s="676"/>
      <c r="AA107" s="676"/>
      <c r="AB107" s="677"/>
    </row>
    <row r="108" spans="2:28" hidden="1" x14ac:dyDescent="0.45">
      <c r="B108" s="1692"/>
      <c r="C108" s="1696" t="s">
        <v>330</v>
      </c>
      <c r="D108" s="122" t="s">
        <v>326</v>
      </c>
      <c r="E108" s="678"/>
      <c r="F108" s="678"/>
      <c r="G108" s="678"/>
      <c r="H108" s="678"/>
      <c r="I108" s="678"/>
      <c r="J108" s="678"/>
      <c r="K108" s="678"/>
      <c r="L108" s="678"/>
      <c r="M108" s="678"/>
      <c r="N108" s="678"/>
      <c r="O108" s="678"/>
      <c r="P108" s="678"/>
      <c r="Q108" s="678"/>
      <c r="R108" s="678"/>
      <c r="S108" s="678"/>
      <c r="T108" s="678"/>
      <c r="U108" s="678"/>
      <c r="V108" s="678"/>
      <c r="W108" s="678"/>
      <c r="X108" s="678"/>
      <c r="Y108" s="679"/>
      <c r="Z108" s="679"/>
      <c r="AA108" s="679"/>
      <c r="AB108" s="680"/>
    </row>
    <row r="109" spans="2:28" hidden="1" x14ac:dyDescent="0.45">
      <c r="B109" s="1692"/>
      <c r="C109" s="1697"/>
      <c r="D109" s="122" t="s">
        <v>327</v>
      </c>
      <c r="E109" s="678"/>
      <c r="F109" s="678"/>
      <c r="G109" s="678"/>
      <c r="H109" s="678"/>
      <c r="I109" s="678"/>
      <c r="J109" s="678"/>
      <c r="K109" s="678"/>
      <c r="L109" s="678"/>
      <c r="M109" s="678"/>
      <c r="N109" s="678"/>
      <c r="O109" s="678"/>
      <c r="P109" s="678"/>
      <c r="Q109" s="678"/>
      <c r="R109" s="678"/>
      <c r="S109" s="678"/>
      <c r="T109" s="678"/>
      <c r="U109" s="678"/>
      <c r="V109" s="678"/>
      <c r="W109" s="678"/>
      <c r="X109" s="681"/>
      <c r="Y109" s="679"/>
      <c r="Z109" s="679"/>
      <c r="AA109" s="679"/>
      <c r="AB109" s="680"/>
    </row>
    <row r="110" spans="2:28" hidden="1" x14ac:dyDescent="0.45">
      <c r="B110" s="1692"/>
      <c r="C110" s="1698" t="s">
        <v>331</v>
      </c>
      <c r="D110" s="125" t="s">
        <v>326</v>
      </c>
      <c r="E110" s="682"/>
      <c r="F110" s="682"/>
      <c r="G110" s="685"/>
      <c r="H110" s="682"/>
      <c r="I110" s="682"/>
      <c r="J110" s="682"/>
      <c r="K110" s="682"/>
      <c r="L110" s="682"/>
      <c r="M110" s="682"/>
      <c r="N110" s="682"/>
      <c r="O110" s="682"/>
      <c r="P110" s="682"/>
      <c r="Q110" s="682"/>
      <c r="R110" s="682"/>
      <c r="S110" s="682"/>
      <c r="T110" s="682"/>
      <c r="U110" s="682"/>
      <c r="V110" s="682"/>
      <c r="W110" s="682"/>
      <c r="X110" s="682"/>
      <c r="Y110" s="683"/>
      <c r="Z110" s="683"/>
      <c r="AA110" s="683"/>
      <c r="AB110" s="684"/>
    </row>
    <row r="111" spans="2:28" hidden="1" x14ac:dyDescent="0.45">
      <c r="B111" s="1692"/>
      <c r="C111" s="1695"/>
      <c r="D111" s="124" t="s">
        <v>327</v>
      </c>
      <c r="E111" s="675"/>
      <c r="F111" s="675"/>
      <c r="G111" s="686"/>
      <c r="H111" s="675"/>
      <c r="I111" s="675"/>
      <c r="J111" s="675"/>
      <c r="K111" s="675"/>
      <c r="L111" s="675"/>
      <c r="M111" s="675"/>
      <c r="N111" s="675"/>
      <c r="O111" s="675"/>
      <c r="P111" s="675"/>
      <c r="Q111" s="675"/>
      <c r="R111" s="675"/>
      <c r="S111" s="675"/>
      <c r="T111" s="675"/>
      <c r="U111" s="675"/>
      <c r="V111" s="675"/>
      <c r="W111" s="675"/>
      <c r="X111" s="675"/>
      <c r="Y111" s="676"/>
      <c r="Z111" s="676"/>
      <c r="AA111" s="676"/>
      <c r="AB111" s="677"/>
    </row>
    <row r="112" spans="2:28" hidden="1" x14ac:dyDescent="0.45">
      <c r="B112" s="1692"/>
      <c r="C112" s="1696" t="s">
        <v>332</v>
      </c>
      <c r="D112" s="122" t="s">
        <v>326</v>
      </c>
      <c r="E112" s="678"/>
      <c r="F112" s="678"/>
      <c r="G112" s="678"/>
      <c r="H112" s="678"/>
      <c r="I112" s="678"/>
      <c r="J112" s="678"/>
      <c r="K112" s="678"/>
      <c r="L112" s="678"/>
      <c r="M112" s="678"/>
      <c r="N112" s="678"/>
      <c r="O112" s="678"/>
      <c r="P112" s="678"/>
      <c r="Q112" s="678"/>
      <c r="R112" s="678"/>
      <c r="S112" s="678"/>
      <c r="T112" s="678"/>
      <c r="U112" s="678"/>
      <c r="V112" s="678"/>
      <c r="W112" s="679"/>
      <c r="X112" s="679"/>
      <c r="Y112" s="679"/>
      <c r="Z112" s="679"/>
      <c r="AA112" s="679"/>
      <c r="AB112" s="680"/>
    </row>
    <row r="113" spans="2:28" hidden="1" x14ac:dyDescent="0.45">
      <c r="B113" s="1692"/>
      <c r="C113" s="1697"/>
      <c r="D113" s="122" t="s">
        <v>327</v>
      </c>
      <c r="E113" s="678"/>
      <c r="F113" s="678"/>
      <c r="G113" s="678"/>
      <c r="H113" s="678"/>
      <c r="I113" s="678"/>
      <c r="J113" s="678"/>
      <c r="K113" s="678"/>
      <c r="L113" s="678"/>
      <c r="M113" s="678"/>
      <c r="N113" s="678"/>
      <c r="O113" s="678"/>
      <c r="P113" s="678"/>
      <c r="Q113" s="678"/>
      <c r="R113" s="678"/>
      <c r="S113" s="678"/>
      <c r="T113" s="678"/>
      <c r="U113" s="678"/>
      <c r="V113" s="678"/>
      <c r="W113" s="678"/>
      <c r="X113" s="678"/>
      <c r="Y113" s="679"/>
      <c r="Z113" s="679"/>
      <c r="AA113" s="679"/>
      <c r="AB113" s="680"/>
    </row>
    <row r="114" spans="2:28" hidden="1" x14ac:dyDescent="0.45">
      <c r="B114" s="1692"/>
      <c r="C114" s="1698" t="s">
        <v>333</v>
      </c>
      <c r="D114" s="124" t="s">
        <v>326</v>
      </c>
      <c r="E114" s="675"/>
      <c r="F114" s="675"/>
      <c r="G114" s="675"/>
      <c r="H114" s="675"/>
      <c r="I114" s="675"/>
      <c r="J114" s="675"/>
      <c r="K114" s="675"/>
      <c r="L114" s="675"/>
      <c r="M114" s="675"/>
      <c r="N114" s="675"/>
      <c r="O114" s="675"/>
      <c r="P114" s="675"/>
      <c r="Q114" s="675"/>
      <c r="R114" s="675"/>
      <c r="S114" s="675"/>
      <c r="T114" s="675"/>
      <c r="U114" s="675"/>
      <c r="V114" s="675"/>
      <c r="W114" s="676"/>
      <c r="X114" s="676"/>
      <c r="Y114" s="676"/>
      <c r="Z114" s="676"/>
      <c r="AA114" s="676"/>
      <c r="AB114" s="677"/>
    </row>
    <row r="115" spans="2:28" hidden="1" x14ac:dyDescent="0.45">
      <c r="B115" s="1693"/>
      <c r="C115" s="1699"/>
      <c r="D115" s="126" t="s">
        <v>327</v>
      </c>
      <c r="E115" s="687"/>
      <c r="F115" s="687"/>
      <c r="G115" s="687"/>
      <c r="H115" s="687"/>
      <c r="I115" s="687"/>
      <c r="J115" s="687"/>
      <c r="K115" s="687"/>
      <c r="L115" s="687"/>
      <c r="M115" s="687"/>
      <c r="N115" s="687"/>
      <c r="O115" s="687"/>
      <c r="P115" s="687"/>
      <c r="Q115" s="687"/>
      <c r="R115" s="687"/>
      <c r="S115" s="687"/>
      <c r="T115" s="687"/>
      <c r="U115" s="687"/>
      <c r="V115" s="687"/>
      <c r="W115" s="687"/>
      <c r="X115" s="687"/>
      <c r="Y115" s="687"/>
      <c r="Z115" s="687"/>
      <c r="AA115" s="687"/>
      <c r="AB115" s="688"/>
    </row>
    <row r="116" spans="2:28" s="780" customFormat="1" hidden="1" x14ac:dyDescent="0.45"/>
    <row r="117" spans="2:28" s="780" customFormat="1" hidden="1" x14ac:dyDescent="0.45">
      <c r="B117" s="1688" t="s">
        <v>54</v>
      </c>
      <c r="C117" s="1689"/>
      <c r="D117" s="1690"/>
      <c r="E117" s="1030">
        <v>8</v>
      </c>
      <c r="F117" s="1030">
        <v>8</v>
      </c>
      <c r="G117" s="1030">
        <v>8</v>
      </c>
      <c r="H117" s="1030">
        <v>8</v>
      </c>
      <c r="I117" s="1030">
        <v>8</v>
      </c>
      <c r="J117" s="1030">
        <v>8</v>
      </c>
      <c r="K117" s="1030">
        <v>13</v>
      </c>
      <c r="L117" s="1030">
        <v>13</v>
      </c>
      <c r="M117" s="1030">
        <v>14</v>
      </c>
      <c r="N117" s="779"/>
      <c r="O117" s="779"/>
      <c r="P117" s="779"/>
      <c r="Q117" s="779"/>
      <c r="R117" s="779"/>
      <c r="S117" s="779"/>
      <c r="T117" s="779"/>
      <c r="U117" s="779"/>
      <c r="V117" s="779"/>
      <c r="W117" s="779"/>
      <c r="X117" s="779"/>
      <c r="Y117" s="779"/>
      <c r="Z117" s="779"/>
      <c r="AA117" s="779"/>
      <c r="AB117" s="708"/>
    </row>
    <row r="118" spans="2:28" s="780" customFormat="1" ht="15" hidden="1" customHeight="1" x14ac:dyDescent="0.45">
      <c r="B118" s="1691" t="str">
        <f>CONCATENATE("Plan ", INDEX(plans_index,,(ROW(B118)-6)/16), ": ", INDEX(plans_name,,(ROW(B118)-6)/16))</f>
        <v>Plan 7: Georgia Skelton</v>
      </c>
      <c r="C118" s="1694" t="s">
        <v>325</v>
      </c>
      <c r="D118" s="123" t="s">
        <v>326</v>
      </c>
      <c r="E118" s="672">
        <v>200</v>
      </c>
      <c r="F118" s="672">
        <v>200</v>
      </c>
      <c r="G118" s="672">
        <v>200</v>
      </c>
      <c r="H118" s="672">
        <v>200</v>
      </c>
      <c r="I118" s="672">
        <v>200</v>
      </c>
      <c r="J118" s="672">
        <v>200</v>
      </c>
      <c r="K118" s="672">
        <v>200</v>
      </c>
      <c r="L118" s="672">
        <v>200</v>
      </c>
      <c r="M118" s="672">
        <v>200</v>
      </c>
      <c r="N118" s="672"/>
      <c r="O118" s="672"/>
      <c r="P118" s="672"/>
      <c r="Q118" s="672"/>
      <c r="R118" s="672"/>
      <c r="S118" s="672"/>
      <c r="T118" s="672"/>
      <c r="U118" s="672"/>
      <c r="V118" s="672"/>
      <c r="W118" s="672"/>
      <c r="X118" s="672"/>
      <c r="Y118" s="672"/>
      <c r="Z118" s="672"/>
      <c r="AA118" s="672"/>
      <c r="AB118" s="674"/>
    </row>
    <row r="119" spans="2:28" s="780" customFormat="1" hidden="1" x14ac:dyDescent="0.45">
      <c r="B119" s="1692"/>
      <c r="C119" s="1695"/>
      <c r="D119" s="124" t="s">
        <v>327</v>
      </c>
      <c r="E119" s="675"/>
      <c r="F119" s="675"/>
      <c r="G119" s="675"/>
      <c r="H119" s="675"/>
      <c r="I119" s="675"/>
      <c r="J119" s="675"/>
      <c r="K119" s="675"/>
      <c r="L119" s="675"/>
      <c r="M119" s="675"/>
      <c r="N119" s="675"/>
      <c r="O119" s="675"/>
      <c r="P119" s="675"/>
      <c r="Q119" s="675"/>
      <c r="R119" s="675"/>
      <c r="S119" s="675"/>
      <c r="T119" s="675"/>
      <c r="U119" s="675"/>
      <c r="V119" s="675"/>
      <c r="W119" s="675"/>
      <c r="X119" s="675"/>
      <c r="Y119" s="676"/>
      <c r="Z119" s="676"/>
      <c r="AA119" s="676"/>
      <c r="AB119" s="677"/>
    </row>
    <row r="120" spans="2:28" s="780" customFormat="1" hidden="1" x14ac:dyDescent="0.45">
      <c r="B120" s="1692"/>
      <c r="C120" s="1696" t="s">
        <v>328</v>
      </c>
      <c r="D120" s="122" t="s">
        <v>326</v>
      </c>
      <c r="E120" s="678">
        <v>9</v>
      </c>
      <c r="F120" s="678">
        <v>9</v>
      </c>
      <c r="G120" s="678">
        <v>9</v>
      </c>
      <c r="H120" s="678">
        <v>9</v>
      </c>
      <c r="I120" s="678">
        <v>9</v>
      </c>
      <c r="J120" s="678">
        <v>9</v>
      </c>
      <c r="K120" s="678">
        <v>9</v>
      </c>
      <c r="L120" s="678">
        <v>9</v>
      </c>
      <c r="M120" s="678">
        <v>9</v>
      </c>
      <c r="N120" s="678"/>
      <c r="O120" s="678"/>
      <c r="P120" s="678"/>
      <c r="Q120" s="678"/>
      <c r="R120" s="678"/>
      <c r="S120" s="678"/>
      <c r="T120" s="678"/>
      <c r="U120" s="678"/>
      <c r="V120" s="678"/>
      <c r="W120" s="678"/>
      <c r="X120" s="678"/>
      <c r="Y120" s="679"/>
      <c r="Z120" s="679"/>
      <c r="AA120" s="679"/>
      <c r="AB120" s="680"/>
    </row>
    <row r="121" spans="2:28" s="780" customFormat="1" hidden="1" x14ac:dyDescent="0.45">
      <c r="B121" s="1692"/>
      <c r="C121" s="1697"/>
      <c r="D121" s="122" t="s">
        <v>327</v>
      </c>
      <c r="E121" s="678">
        <v>102</v>
      </c>
      <c r="F121" s="678">
        <v>102</v>
      </c>
      <c r="G121" s="678">
        <v>102</v>
      </c>
      <c r="H121" s="678">
        <v>81</v>
      </c>
      <c r="I121" s="678">
        <v>81</v>
      </c>
      <c r="J121" s="678">
        <v>81</v>
      </c>
      <c r="K121" s="678">
        <v>81</v>
      </c>
      <c r="L121" s="678">
        <v>81</v>
      </c>
      <c r="M121" s="678">
        <v>102</v>
      </c>
      <c r="N121" s="678"/>
      <c r="O121" s="678"/>
      <c r="P121" s="678"/>
      <c r="Q121" s="678"/>
      <c r="R121" s="678"/>
      <c r="S121" s="678"/>
      <c r="T121" s="678"/>
      <c r="U121" s="678"/>
      <c r="V121" s="678"/>
      <c r="W121" s="678"/>
      <c r="X121" s="681"/>
      <c r="Y121" s="679"/>
      <c r="Z121" s="679"/>
      <c r="AA121" s="679"/>
      <c r="AB121" s="680"/>
    </row>
    <row r="122" spans="2:28" s="780" customFormat="1" hidden="1" x14ac:dyDescent="0.45">
      <c r="B122" s="1692"/>
      <c r="C122" s="1698" t="s">
        <v>329</v>
      </c>
      <c r="D122" s="125" t="s">
        <v>326</v>
      </c>
      <c r="E122" s="682"/>
      <c r="F122" s="682"/>
      <c r="G122" s="682"/>
      <c r="H122" s="682"/>
      <c r="I122" s="682"/>
      <c r="J122" s="682"/>
      <c r="K122" s="682"/>
      <c r="L122" s="682"/>
      <c r="M122" s="682"/>
      <c r="N122" s="682"/>
      <c r="O122" s="682"/>
      <c r="P122" s="682"/>
      <c r="Q122" s="682"/>
      <c r="R122" s="682"/>
      <c r="S122" s="682"/>
      <c r="T122" s="682"/>
      <c r="U122" s="682"/>
      <c r="V122" s="682"/>
      <c r="W122" s="682"/>
      <c r="X122" s="682"/>
      <c r="Y122" s="683"/>
      <c r="Z122" s="683"/>
      <c r="AA122" s="683"/>
      <c r="AB122" s="684"/>
    </row>
    <row r="123" spans="2:28" s="780" customFormat="1" hidden="1" x14ac:dyDescent="0.45">
      <c r="B123" s="1692"/>
      <c r="C123" s="1695"/>
      <c r="D123" s="124" t="s">
        <v>327</v>
      </c>
      <c r="E123" s="675">
        <v>104</v>
      </c>
      <c r="F123" s="675">
        <v>104</v>
      </c>
      <c r="G123" s="675">
        <v>104</v>
      </c>
      <c r="H123" s="675">
        <v>104</v>
      </c>
      <c r="I123" s="675">
        <v>104</v>
      </c>
      <c r="J123" s="675">
        <v>104</v>
      </c>
      <c r="K123" s="675">
        <v>104</v>
      </c>
      <c r="L123" s="675">
        <v>104</v>
      </c>
      <c r="M123" s="675">
        <v>104</v>
      </c>
      <c r="N123" s="675"/>
      <c r="O123" s="675"/>
      <c r="P123" s="675"/>
      <c r="Q123" s="675"/>
      <c r="R123" s="675"/>
      <c r="S123" s="675"/>
      <c r="T123" s="675"/>
      <c r="U123" s="675"/>
      <c r="V123" s="675"/>
      <c r="W123" s="675"/>
      <c r="X123" s="675"/>
      <c r="Y123" s="676"/>
      <c r="Z123" s="676"/>
      <c r="AA123" s="676"/>
      <c r="AB123" s="677"/>
    </row>
    <row r="124" spans="2:28" s="780" customFormat="1" hidden="1" x14ac:dyDescent="0.45">
      <c r="B124" s="1692"/>
      <c r="C124" s="1696" t="s">
        <v>330</v>
      </c>
      <c r="D124" s="122" t="s">
        <v>326</v>
      </c>
      <c r="E124" s="678">
        <v>109</v>
      </c>
      <c r="F124" s="678">
        <v>109</v>
      </c>
      <c r="G124" s="678">
        <v>109</v>
      </c>
      <c r="H124" s="678">
        <v>109</v>
      </c>
      <c r="I124" s="678">
        <v>109</v>
      </c>
      <c r="J124" s="678">
        <v>109</v>
      </c>
      <c r="K124" s="678">
        <v>109</v>
      </c>
      <c r="L124" s="678">
        <v>109</v>
      </c>
      <c r="M124" s="678">
        <v>109</v>
      </c>
      <c r="N124" s="678"/>
      <c r="O124" s="678"/>
      <c r="P124" s="678"/>
      <c r="Q124" s="678"/>
      <c r="R124" s="678"/>
      <c r="S124" s="678"/>
      <c r="T124" s="678"/>
      <c r="U124" s="678"/>
      <c r="V124" s="678"/>
      <c r="W124" s="678"/>
      <c r="X124" s="678"/>
      <c r="Y124" s="679"/>
      <c r="Z124" s="679"/>
      <c r="AA124" s="679"/>
      <c r="AB124" s="680"/>
    </row>
    <row r="125" spans="2:28" s="780" customFormat="1" hidden="1" x14ac:dyDescent="0.45">
      <c r="B125" s="1692"/>
      <c r="C125" s="1697"/>
      <c r="D125" s="122" t="s">
        <v>327</v>
      </c>
      <c r="E125" s="678">
        <v>9</v>
      </c>
      <c r="F125" s="678">
        <v>9</v>
      </c>
      <c r="G125" s="678">
        <v>9</v>
      </c>
      <c r="H125" s="678">
        <v>9</v>
      </c>
      <c r="I125" s="678">
        <v>9</v>
      </c>
      <c r="J125" s="678">
        <v>9</v>
      </c>
      <c r="K125" s="678">
        <v>9</v>
      </c>
      <c r="L125" s="678">
        <v>9</v>
      </c>
      <c r="M125" s="678">
        <v>9</v>
      </c>
      <c r="N125" s="678"/>
      <c r="O125" s="678"/>
      <c r="P125" s="678"/>
      <c r="Q125" s="678"/>
      <c r="R125" s="678"/>
      <c r="S125" s="678"/>
      <c r="T125" s="678"/>
      <c r="U125" s="678"/>
      <c r="V125" s="678"/>
      <c r="W125" s="678"/>
      <c r="X125" s="681"/>
      <c r="Y125" s="679"/>
      <c r="Z125" s="679"/>
      <c r="AA125" s="679"/>
      <c r="AB125" s="680"/>
    </row>
    <row r="126" spans="2:28" s="780" customFormat="1" hidden="1" x14ac:dyDescent="0.45">
      <c r="B126" s="1692"/>
      <c r="C126" s="1698" t="s">
        <v>331</v>
      </c>
      <c r="D126" s="125" t="s">
        <v>326</v>
      </c>
      <c r="E126" s="682">
        <v>200</v>
      </c>
      <c r="F126" s="682">
        <v>200</v>
      </c>
      <c r="G126" s="682">
        <v>200</v>
      </c>
      <c r="H126" s="682">
        <v>200</v>
      </c>
      <c r="I126" s="682">
        <v>200</v>
      </c>
      <c r="J126" s="682">
        <v>200</v>
      </c>
      <c r="K126" s="682">
        <v>200</v>
      </c>
      <c r="L126" s="682">
        <v>200</v>
      </c>
      <c r="M126" s="682"/>
      <c r="N126" s="682"/>
      <c r="O126" s="682"/>
      <c r="P126" s="682"/>
      <c r="Q126" s="682"/>
      <c r="R126" s="682"/>
      <c r="S126" s="682"/>
      <c r="T126" s="682"/>
      <c r="U126" s="682"/>
      <c r="V126" s="682"/>
      <c r="W126" s="682"/>
      <c r="X126" s="682"/>
      <c r="Y126" s="683"/>
      <c r="Z126" s="683"/>
      <c r="AA126" s="683"/>
      <c r="AB126" s="684"/>
    </row>
    <row r="127" spans="2:28" s="780" customFormat="1" hidden="1" x14ac:dyDescent="0.45">
      <c r="B127" s="1692"/>
      <c r="C127" s="1695"/>
      <c r="D127" s="124" t="s">
        <v>327</v>
      </c>
      <c r="E127" s="675">
        <v>9</v>
      </c>
      <c r="F127" s="675">
        <v>9</v>
      </c>
      <c r="G127" s="675">
        <v>9</v>
      </c>
      <c r="H127" s="675">
        <v>9</v>
      </c>
      <c r="I127" s="675">
        <v>9</v>
      </c>
      <c r="J127" s="675">
        <v>9</v>
      </c>
      <c r="K127" s="675">
        <v>9</v>
      </c>
      <c r="L127" s="675">
        <v>9</v>
      </c>
      <c r="M127" s="675">
        <v>81</v>
      </c>
      <c r="N127" s="675"/>
      <c r="O127" s="675"/>
      <c r="P127" s="675"/>
      <c r="Q127" s="675"/>
      <c r="R127" s="675"/>
      <c r="S127" s="675"/>
      <c r="T127" s="675"/>
      <c r="U127" s="675"/>
      <c r="V127" s="675"/>
      <c r="W127" s="675"/>
      <c r="X127" s="675"/>
      <c r="Y127" s="676"/>
      <c r="Z127" s="676"/>
      <c r="AA127" s="676"/>
      <c r="AB127" s="677"/>
    </row>
    <row r="128" spans="2:28" s="780" customFormat="1" hidden="1" x14ac:dyDescent="0.45">
      <c r="B128" s="1692"/>
      <c r="C128" s="1696" t="s">
        <v>332</v>
      </c>
      <c r="D128" s="122" t="s">
        <v>326</v>
      </c>
      <c r="E128" s="678">
        <v>70</v>
      </c>
      <c r="F128" s="678">
        <v>70</v>
      </c>
      <c r="G128" s="678">
        <v>70</v>
      </c>
      <c r="H128" s="678">
        <v>70</v>
      </c>
      <c r="I128" s="678">
        <v>70</v>
      </c>
      <c r="J128" s="678">
        <v>70</v>
      </c>
      <c r="K128" s="678">
        <v>180</v>
      </c>
      <c r="L128" s="678">
        <v>70</v>
      </c>
      <c r="M128" s="678">
        <v>82</v>
      </c>
      <c r="N128" s="678"/>
      <c r="O128" s="678"/>
      <c r="P128" s="678"/>
      <c r="Q128" s="678"/>
      <c r="R128" s="678"/>
      <c r="S128" s="678"/>
      <c r="T128" s="678"/>
      <c r="U128" s="678"/>
      <c r="V128" s="678"/>
      <c r="W128" s="679"/>
      <c r="X128" s="679"/>
      <c r="Y128" s="679"/>
      <c r="Z128" s="679"/>
      <c r="AA128" s="679"/>
      <c r="AB128" s="680"/>
    </row>
    <row r="129" spans="2:28" s="780" customFormat="1" hidden="1" x14ac:dyDescent="0.45">
      <c r="B129" s="1692"/>
      <c r="C129" s="1697"/>
      <c r="D129" s="122" t="s">
        <v>327</v>
      </c>
      <c r="E129" s="678">
        <v>104</v>
      </c>
      <c r="F129" s="678">
        <v>104</v>
      </c>
      <c r="G129" s="678">
        <v>104</v>
      </c>
      <c r="H129" s="678">
        <v>104</v>
      </c>
      <c r="I129" s="678">
        <v>104</v>
      </c>
      <c r="J129" s="678">
        <v>104</v>
      </c>
      <c r="K129" s="678">
        <v>182</v>
      </c>
      <c r="L129" s="678">
        <v>104</v>
      </c>
      <c r="M129" s="678"/>
      <c r="N129" s="678"/>
      <c r="O129" s="678"/>
      <c r="P129" s="678"/>
      <c r="Q129" s="678"/>
      <c r="R129" s="678"/>
      <c r="S129" s="678"/>
      <c r="T129" s="678"/>
      <c r="U129" s="678"/>
      <c r="V129" s="678"/>
      <c r="W129" s="678"/>
      <c r="X129" s="678"/>
      <c r="Y129" s="679"/>
      <c r="Z129" s="679"/>
      <c r="AA129" s="679"/>
      <c r="AB129" s="680"/>
    </row>
    <row r="130" spans="2:28" s="780" customFormat="1" hidden="1" x14ac:dyDescent="0.45">
      <c r="B130" s="1692"/>
      <c r="C130" s="1698" t="s">
        <v>333</v>
      </c>
      <c r="D130" s="124" t="s">
        <v>326</v>
      </c>
      <c r="E130" s="675">
        <v>4</v>
      </c>
      <c r="F130" s="675">
        <v>4</v>
      </c>
      <c r="G130" s="675">
        <v>4</v>
      </c>
      <c r="H130" s="675">
        <v>4</v>
      </c>
      <c r="I130" s="675">
        <v>4</v>
      </c>
      <c r="J130" s="675">
        <v>4</v>
      </c>
      <c r="K130" s="675">
        <v>185</v>
      </c>
      <c r="L130" s="675">
        <v>4</v>
      </c>
      <c r="M130" s="675">
        <v>84</v>
      </c>
      <c r="N130" s="675"/>
      <c r="O130" s="675"/>
      <c r="P130" s="675"/>
      <c r="Q130" s="675"/>
      <c r="R130" s="675"/>
      <c r="S130" s="675"/>
      <c r="T130" s="675"/>
      <c r="U130" s="675"/>
      <c r="V130" s="675"/>
      <c r="W130" s="676"/>
      <c r="X130" s="676"/>
      <c r="Y130" s="676"/>
      <c r="Z130" s="676"/>
      <c r="AA130" s="676"/>
      <c r="AB130" s="677"/>
    </row>
    <row r="131" spans="2:28" s="780" customFormat="1" hidden="1" x14ac:dyDescent="0.45">
      <c r="B131" s="1693"/>
      <c r="C131" s="1699"/>
      <c r="D131" s="126" t="s">
        <v>327</v>
      </c>
      <c r="E131" s="687"/>
      <c r="F131" s="687"/>
      <c r="G131" s="687"/>
      <c r="H131" s="687"/>
      <c r="I131" s="687"/>
      <c r="J131" s="687"/>
      <c r="K131" s="687"/>
      <c r="L131" s="687"/>
      <c r="M131" s="687"/>
      <c r="N131" s="687"/>
      <c r="O131" s="687"/>
      <c r="P131" s="687"/>
      <c r="Q131" s="687"/>
      <c r="R131" s="687"/>
      <c r="S131" s="687"/>
      <c r="T131" s="687"/>
      <c r="U131" s="687"/>
      <c r="V131" s="687"/>
      <c r="W131" s="687"/>
      <c r="X131" s="687"/>
      <c r="Y131" s="687"/>
      <c r="Z131" s="687"/>
      <c r="AA131" s="687"/>
      <c r="AB131" s="688"/>
    </row>
    <row r="132" spans="2:28" s="780" customFormat="1" hidden="1" x14ac:dyDescent="0.45"/>
    <row r="133" spans="2:28" s="780" customFormat="1" hidden="1" x14ac:dyDescent="0.45">
      <c r="B133" s="1688" t="s">
        <v>54</v>
      </c>
      <c r="C133" s="1689"/>
      <c r="D133" s="1690"/>
      <c r="E133" s="779">
        <v>4</v>
      </c>
      <c r="F133" s="779">
        <v>4</v>
      </c>
      <c r="G133" s="779">
        <v>4</v>
      </c>
      <c r="H133" s="779">
        <v>4</v>
      </c>
      <c r="I133" s="779">
        <v>4</v>
      </c>
      <c r="J133" s="779">
        <v>4</v>
      </c>
      <c r="K133" s="1348">
        <v>4</v>
      </c>
      <c r="L133" s="1348">
        <v>13</v>
      </c>
      <c r="M133" s="1348">
        <v>13</v>
      </c>
      <c r="N133" s="1348">
        <v>13</v>
      </c>
      <c r="O133" s="1348">
        <v>14</v>
      </c>
      <c r="P133" s="779"/>
      <c r="Q133" s="779"/>
      <c r="R133" s="779"/>
      <c r="S133" s="779"/>
      <c r="T133" s="779"/>
      <c r="U133" s="779"/>
      <c r="V133" s="779"/>
      <c r="W133" s="779"/>
      <c r="X133" s="779"/>
      <c r="Y133" s="779"/>
      <c r="Z133" s="779"/>
      <c r="AA133" s="779"/>
      <c r="AB133" s="708"/>
    </row>
    <row r="134" spans="2:28" s="780" customFormat="1" ht="15" hidden="1" customHeight="1" x14ac:dyDescent="0.45">
      <c r="B134" s="1691" t="str">
        <f>CONCATENATE("Plan ", INDEX(plans_index,,(ROW(B134)-6)/16), ": ", INDEX(plans_name,,(ROW(B134)-6)/16))</f>
        <v>Plan 8: Jessica Sewell</v>
      </c>
      <c r="C134" s="1694" t="s">
        <v>325</v>
      </c>
      <c r="D134" s="123" t="s">
        <v>326</v>
      </c>
      <c r="E134" s="672"/>
      <c r="F134" s="672"/>
      <c r="G134" s="672"/>
      <c r="H134" s="672"/>
      <c r="I134" s="672"/>
      <c r="J134" s="672"/>
      <c r="K134" s="672"/>
      <c r="L134" s="672"/>
      <c r="M134" s="672"/>
      <c r="N134" s="672"/>
      <c r="O134" s="672">
        <v>6</v>
      </c>
      <c r="P134" s="672"/>
      <c r="Q134" s="672"/>
      <c r="R134" s="672"/>
      <c r="S134" s="672"/>
      <c r="T134" s="672"/>
      <c r="U134" s="672"/>
      <c r="V134" s="672"/>
      <c r="W134" s="672"/>
      <c r="X134" s="672"/>
      <c r="Y134" s="672"/>
      <c r="Z134" s="672"/>
      <c r="AA134" s="672"/>
      <c r="AB134" s="674"/>
    </row>
    <row r="135" spans="2:28" s="780" customFormat="1" hidden="1" x14ac:dyDescent="0.45">
      <c r="B135" s="1692"/>
      <c r="C135" s="1695"/>
      <c r="D135" s="124" t="s">
        <v>327</v>
      </c>
      <c r="E135" s="675">
        <v>240</v>
      </c>
      <c r="F135" s="675">
        <v>240</v>
      </c>
      <c r="G135" s="675">
        <v>240</v>
      </c>
      <c r="H135" s="675">
        <v>240</v>
      </c>
      <c r="I135" s="675">
        <v>240</v>
      </c>
      <c r="J135" s="675">
        <v>240</v>
      </c>
      <c r="K135" s="675">
        <v>240</v>
      </c>
      <c r="L135" s="675">
        <v>240</v>
      </c>
      <c r="M135" s="675">
        <v>240</v>
      </c>
      <c r="N135" s="675">
        <v>240</v>
      </c>
      <c r="O135" s="675"/>
      <c r="P135" s="675"/>
      <c r="Q135" s="675"/>
      <c r="R135" s="675"/>
      <c r="S135" s="675"/>
      <c r="T135" s="675"/>
      <c r="U135" s="675"/>
      <c r="V135" s="675"/>
      <c r="W135" s="675"/>
      <c r="X135" s="675"/>
      <c r="Y135" s="676"/>
      <c r="Z135" s="676"/>
      <c r="AA135" s="676"/>
      <c r="AB135" s="677"/>
    </row>
    <row r="136" spans="2:28" s="780" customFormat="1" hidden="1" x14ac:dyDescent="0.45">
      <c r="B136" s="1692"/>
      <c r="C136" s="1696" t="s">
        <v>328</v>
      </c>
      <c r="D136" s="122" t="s">
        <v>326</v>
      </c>
      <c r="E136" s="678">
        <v>41</v>
      </c>
      <c r="F136" s="678">
        <v>41</v>
      </c>
      <c r="G136" s="678">
        <v>41</v>
      </c>
      <c r="H136" s="678">
        <v>41</v>
      </c>
      <c r="I136" s="678">
        <v>41</v>
      </c>
      <c r="J136" s="678">
        <v>41</v>
      </c>
      <c r="K136" s="678">
        <v>41</v>
      </c>
      <c r="L136" s="678">
        <v>32</v>
      </c>
      <c r="M136" s="678">
        <v>32</v>
      </c>
      <c r="N136" s="678">
        <v>32</v>
      </c>
      <c r="O136" s="678">
        <v>32</v>
      </c>
      <c r="P136" s="678"/>
      <c r="Q136" s="678"/>
      <c r="R136" s="678"/>
      <c r="S136" s="678"/>
      <c r="T136" s="678"/>
      <c r="U136" s="678"/>
      <c r="V136" s="678"/>
      <c r="W136" s="678"/>
      <c r="X136" s="678"/>
      <c r="Y136" s="679"/>
      <c r="Z136" s="679"/>
      <c r="AA136" s="679"/>
      <c r="AB136" s="680"/>
    </row>
    <row r="137" spans="2:28" s="780" customFormat="1" hidden="1" x14ac:dyDescent="0.45">
      <c r="B137" s="1692"/>
      <c r="C137" s="1697"/>
      <c r="D137" s="122" t="s">
        <v>327</v>
      </c>
      <c r="E137" s="678">
        <v>1</v>
      </c>
      <c r="F137" s="678">
        <v>1</v>
      </c>
      <c r="G137" s="678">
        <v>1</v>
      </c>
      <c r="H137" s="678">
        <v>1</v>
      </c>
      <c r="I137" s="678">
        <v>1</v>
      </c>
      <c r="J137" s="678">
        <v>1</v>
      </c>
      <c r="K137" s="678">
        <v>1</v>
      </c>
      <c r="L137" s="678">
        <v>1</v>
      </c>
      <c r="M137" s="678">
        <v>1</v>
      </c>
      <c r="N137" s="678">
        <v>1</v>
      </c>
      <c r="O137" s="678"/>
      <c r="P137" s="678"/>
      <c r="Q137" s="678"/>
      <c r="R137" s="678"/>
      <c r="S137" s="678"/>
      <c r="T137" s="678"/>
      <c r="U137" s="678"/>
      <c r="V137" s="678"/>
      <c r="W137" s="678"/>
      <c r="X137" s="681"/>
      <c r="Y137" s="679"/>
      <c r="Z137" s="679"/>
      <c r="AA137" s="679"/>
      <c r="AB137" s="680"/>
    </row>
    <row r="138" spans="2:28" s="780" customFormat="1" hidden="1" x14ac:dyDescent="0.45">
      <c r="B138" s="1692"/>
      <c r="C138" s="1698" t="s">
        <v>329</v>
      </c>
      <c r="D138" s="125" t="s">
        <v>326</v>
      </c>
      <c r="E138" s="682">
        <v>210</v>
      </c>
      <c r="F138" s="682">
        <v>210</v>
      </c>
      <c r="G138" s="682">
        <v>210</v>
      </c>
      <c r="H138" s="682">
        <v>210</v>
      </c>
      <c r="I138" s="682">
        <v>210</v>
      </c>
      <c r="J138" s="682">
        <v>210</v>
      </c>
      <c r="K138" s="682">
        <v>210</v>
      </c>
      <c r="L138" s="682">
        <v>210</v>
      </c>
      <c r="M138" s="682">
        <v>210</v>
      </c>
      <c r="N138" s="682">
        <v>210</v>
      </c>
      <c r="O138" s="682"/>
      <c r="P138" s="682"/>
      <c r="Q138" s="682"/>
      <c r="R138" s="682"/>
      <c r="S138" s="682"/>
      <c r="T138" s="682"/>
      <c r="U138" s="682"/>
      <c r="V138" s="682"/>
      <c r="W138" s="682"/>
      <c r="X138" s="682"/>
      <c r="Y138" s="683"/>
      <c r="Z138" s="683"/>
      <c r="AA138" s="683"/>
      <c r="AB138" s="684"/>
    </row>
    <row r="139" spans="2:28" s="780" customFormat="1" hidden="1" x14ac:dyDescent="0.45">
      <c r="B139" s="1692"/>
      <c r="C139" s="1695"/>
      <c r="D139" s="124" t="s">
        <v>327</v>
      </c>
      <c r="E139" s="675"/>
      <c r="F139" s="675"/>
      <c r="G139" s="675"/>
      <c r="H139" s="675"/>
      <c r="I139" s="675"/>
      <c r="J139" s="675"/>
      <c r="K139" s="675"/>
      <c r="L139" s="675"/>
      <c r="M139" s="675"/>
      <c r="N139" s="675"/>
      <c r="O139" s="675"/>
      <c r="P139" s="675"/>
      <c r="Q139" s="675"/>
      <c r="R139" s="675"/>
      <c r="S139" s="675"/>
      <c r="T139" s="675"/>
      <c r="U139" s="675"/>
      <c r="V139" s="675"/>
      <c r="W139" s="675"/>
      <c r="X139" s="675"/>
      <c r="Y139" s="676"/>
      <c r="Z139" s="676"/>
      <c r="AA139" s="676"/>
      <c r="AB139" s="677"/>
    </row>
    <row r="140" spans="2:28" s="780" customFormat="1" hidden="1" x14ac:dyDescent="0.45">
      <c r="B140" s="1692"/>
      <c r="C140" s="1696" t="s">
        <v>330</v>
      </c>
      <c r="D140" s="122" t="s">
        <v>326</v>
      </c>
      <c r="E140" s="678">
        <v>2</v>
      </c>
      <c r="F140" s="678">
        <v>2</v>
      </c>
      <c r="G140" s="678">
        <v>2</v>
      </c>
      <c r="H140" s="678">
        <v>2</v>
      </c>
      <c r="I140" s="678">
        <v>2</v>
      </c>
      <c r="J140" s="678">
        <v>2</v>
      </c>
      <c r="K140" s="678">
        <v>2</v>
      </c>
      <c r="L140" s="678">
        <v>2</v>
      </c>
      <c r="M140" s="678">
        <v>2</v>
      </c>
      <c r="N140" s="678">
        <v>2</v>
      </c>
      <c r="O140" s="678">
        <v>8</v>
      </c>
      <c r="P140" s="678"/>
      <c r="Q140" s="678"/>
      <c r="R140" s="678"/>
      <c r="S140" s="678"/>
      <c r="T140" s="678"/>
      <c r="U140" s="678"/>
      <c r="V140" s="678"/>
      <c r="W140" s="678"/>
      <c r="X140" s="678"/>
      <c r="Y140" s="679"/>
      <c r="Z140" s="679"/>
      <c r="AA140" s="679"/>
      <c r="AB140" s="680"/>
    </row>
    <row r="141" spans="2:28" s="780" customFormat="1" hidden="1" x14ac:dyDescent="0.45">
      <c r="B141" s="1692"/>
      <c r="C141" s="1697"/>
      <c r="D141" s="122" t="s">
        <v>327</v>
      </c>
      <c r="E141" s="678">
        <v>1</v>
      </c>
      <c r="F141" s="678">
        <v>1</v>
      </c>
      <c r="G141" s="678">
        <v>1</v>
      </c>
      <c r="H141" s="678">
        <v>1</v>
      </c>
      <c r="I141" s="678">
        <v>1</v>
      </c>
      <c r="J141" s="678">
        <v>1</v>
      </c>
      <c r="K141" s="678">
        <v>1</v>
      </c>
      <c r="L141" s="678">
        <v>1</v>
      </c>
      <c r="M141" s="678">
        <v>1</v>
      </c>
      <c r="N141" s="678">
        <v>1</v>
      </c>
      <c r="O141" s="678"/>
      <c r="P141" s="678"/>
      <c r="Q141" s="678"/>
      <c r="R141" s="678"/>
      <c r="S141" s="678"/>
      <c r="T141" s="678"/>
      <c r="U141" s="678"/>
      <c r="V141" s="678"/>
      <c r="W141" s="678"/>
      <c r="X141" s="681"/>
      <c r="Y141" s="679"/>
      <c r="Z141" s="679"/>
      <c r="AA141" s="679"/>
      <c r="AB141" s="680"/>
    </row>
    <row r="142" spans="2:28" s="780" customFormat="1" hidden="1" x14ac:dyDescent="0.45">
      <c r="B142" s="1692"/>
      <c r="C142" s="1698" t="s">
        <v>331</v>
      </c>
      <c r="D142" s="125" t="s">
        <v>326</v>
      </c>
      <c r="E142" s="682"/>
      <c r="F142" s="682"/>
      <c r="G142" s="685"/>
      <c r="H142" s="682"/>
      <c r="I142" s="682"/>
      <c r="J142" s="682"/>
      <c r="K142" s="682"/>
      <c r="L142" s="682"/>
      <c r="M142" s="682"/>
      <c r="N142" s="682"/>
      <c r="O142" s="682">
        <v>81</v>
      </c>
      <c r="P142" s="682"/>
      <c r="Q142" s="682"/>
      <c r="R142" s="682"/>
      <c r="S142" s="682"/>
      <c r="T142" s="682"/>
      <c r="U142" s="682"/>
      <c r="V142" s="682"/>
      <c r="W142" s="682"/>
      <c r="X142" s="682"/>
      <c r="Y142" s="683"/>
      <c r="Z142" s="683"/>
      <c r="AA142" s="683"/>
      <c r="AB142" s="684"/>
    </row>
    <row r="143" spans="2:28" s="780" customFormat="1" hidden="1" x14ac:dyDescent="0.45">
      <c r="B143" s="1692"/>
      <c r="C143" s="1695"/>
      <c r="D143" s="124" t="s">
        <v>327</v>
      </c>
      <c r="E143" s="675"/>
      <c r="F143" s="675">
        <v>81</v>
      </c>
      <c r="G143" s="686"/>
      <c r="H143" s="675"/>
      <c r="I143" s="675"/>
      <c r="J143" s="675"/>
      <c r="K143" s="675"/>
      <c r="L143" s="675"/>
      <c r="M143" s="675">
        <v>81</v>
      </c>
      <c r="N143" s="675"/>
      <c r="O143" s="675"/>
      <c r="P143" s="675"/>
      <c r="Q143" s="675"/>
      <c r="R143" s="675"/>
      <c r="S143" s="675"/>
      <c r="T143" s="675"/>
      <c r="U143" s="675"/>
      <c r="V143" s="675"/>
      <c r="W143" s="675"/>
      <c r="X143" s="675"/>
      <c r="Y143" s="676"/>
      <c r="Z143" s="676"/>
      <c r="AA143" s="676"/>
      <c r="AB143" s="677"/>
    </row>
    <row r="144" spans="2:28" s="780" customFormat="1" hidden="1" x14ac:dyDescent="0.45">
      <c r="B144" s="1692"/>
      <c r="C144" s="1696" t="s">
        <v>332</v>
      </c>
      <c r="D144" s="122" t="s">
        <v>326</v>
      </c>
      <c r="E144" s="678">
        <v>82</v>
      </c>
      <c r="F144" s="678">
        <v>83</v>
      </c>
      <c r="G144" s="678">
        <v>86</v>
      </c>
      <c r="H144" s="678">
        <v>70</v>
      </c>
      <c r="I144" s="678">
        <v>70</v>
      </c>
      <c r="J144" s="678">
        <v>70</v>
      </c>
      <c r="K144" s="678">
        <v>82</v>
      </c>
      <c r="L144" s="678">
        <v>70</v>
      </c>
      <c r="M144" s="678">
        <v>82</v>
      </c>
      <c r="N144" s="678">
        <v>70</v>
      </c>
      <c r="O144" s="678">
        <v>85</v>
      </c>
      <c r="P144" s="678"/>
      <c r="Q144" s="678"/>
      <c r="R144" s="678"/>
      <c r="S144" s="678"/>
      <c r="T144" s="678"/>
      <c r="U144" s="678"/>
      <c r="V144" s="678"/>
      <c r="W144" s="679"/>
      <c r="X144" s="679"/>
      <c r="Y144" s="679"/>
      <c r="Z144" s="679"/>
      <c r="AA144" s="679"/>
      <c r="AB144" s="680"/>
    </row>
    <row r="145" spans="2:28" s="780" customFormat="1" hidden="1" x14ac:dyDescent="0.45">
      <c r="B145" s="1692"/>
      <c r="C145" s="1697"/>
      <c r="D145" s="122" t="s">
        <v>327</v>
      </c>
      <c r="E145" s="678"/>
      <c r="F145" s="678"/>
      <c r="G145" s="678"/>
      <c r="H145" s="678">
        <v>7</v>
      </c>
      <c r="I145" s="678">
        <v>7</v>
      </c>
      <c r="J145" s="678">
        <v>7</v>
      </c>
      <c r="K145" s="678">
        <v>82</v>
      </c>
      <c r="L145" s="678">
        <v>7</v>
      </c>
      <c r="M145" s="678"/>
      <c r="N145" s="678">
        <v>7</v>
      </c>
      <c r="O145" s="678"/>
      <c r="P145" s="678"/>
      <c r="Q145" s="678"/>
      <c r="R145" s="678"/>
      <c r="S145" s="678"/>
      <c r="T145" s="678"/>
      <c r="U145" s="678"/>
      <c r="V145" s="678"/>
      <c r="W145" s="678"/>
      <c r="X145" s="678"/>
      <c r="Y145" s="679"/>
      <c r="Z145" s="679"/>
      <c r="AA145" s="679"/>
      <c r="AB145" s="680"/>
    </row>
    <row r="146" spans="2:28" s="780" customFormat="1" hidden="1" x14ac:dyDescent="0.45">
      <c r="B146" s="1692"/>
      <c r="C146" s="1698" t="s">
        <v>333</v>
      </c>
      <c r="D146" s="124" t="s">
        <v>326</v>
      </c>
      <c r="E146" s="675">
        <v>83</v>
      </c>
      <c r="F146" s="675">
        <v>82</v>
      </c>
      <c r="G146" s="675">
        <v>84</v>
      </c>
      <c r="H146" s="675">
        <v>86</v>
      </c>
      <c r="I146" s="675">
        <v>84</v>
      </c>
      <c r="J146" s="675">
        <v>4</v>
      </c>
      <c r="K146" s="675">
        <v>84</v>
      </c>
      <c r="L146" s="675">
        <v>86</v>
      </c>
      <c r="M146" s="675">
        <v>84</v>
      </c>
      <c r="N146" s="675">
        <v>81</v>
      </c>
      <c r="O146" s="675">
        <v>82</v>
      </c>
      <c r="P146" s="675"/>
      <c r="Q146" s="675"/>
      <c r="R146" s="675"/>
      <c r="S146" s="675"/>
      <c r="T146" s="675"/>
      <c r="U146" s="675"/>
      <c r="V146" s="675"/>
      <c r="W146" s="676"/>
      <c r="X146" s="676"/>
      <c r="Y146" s="676"/>
      <c r="Z146" s="676"/>
      <c r="AA146" s="676"/>
      <c r="AB146" s="677"/>
    </row>
    <row r="147" spans="2:28" s="780" customFormat="1" hidden="1" x14ac:dyDescent="0.45">
      <c r="B147" s="1693"/>
      <c r="C147" s="1699"/>
      <c r="D147" s="126" t="s">
        <v>327</v>
      </c>
      <c r="E147" s="687"/>
      <c r="F147" s="687"/>
      <c r="G147" s="687"/>
      <c r="H147" s="687"/>
      <c r="I147" s="687"/>
      <c r="J147" s="687"/>
      <c r="K147" s="687"/>
      <c r="L147" s="687"/>
      <c r="M147" s="687"/>
      <c r="N147" s="687"/>
      <c r="O147" s="687"/>
      <c r="P147" s="687"/>
      <c r="Q147" s="687"/>
      <c r="R147" s="687"/>
      <c r="S147" s="687"/>
      <c r="T147" s="687"/>
      <c r="U147" s="687"/>
      <c r="V147" s="687"/>
      <c r="W147" s="687"/>
      <c r="X147" s="687"/>
      <c r="Y147" s="687"/>
      <c r="Z147" s="687"/>
      <c r="AA147" s="687"/>
      <c r="AB147" s="688"/>
    </row>
    <row r="148" spans="2:28" s="780" customFormat="1" hidden="1" x14ac:dyDescent="0.45"/>
    <row r="149" spans="2:28" s="780" customFormat="1" hidden="1" x14ac:dyDescent="0.45">
      <c r="B149" s="1688" t="s">
        <v>54</v>
      </c>
      <c r="C149" s="1689"/>
      <c r="D149" s="1690"/>
      <c r="E149" s="1034">
        <v>4</v>
      </c>
      <c r="F149" s="1034">
        <v>4</v>
      </c>
      <c r="G149" s="1034">
        <v>4</v>
      </c>
      <c r="H149" s="1034">
        <v>4</v>
      </c>
      <c r="I149" s="1034">
        <v>4</v>
      </c>
      <c r="J149" s="1034">
        <v>4</v>
      </c>
      <c r="K149" s="1199">
        <v>13</v>
      </c>
      <c r="L149" s="1199">
        <v>13</v>
      </c>
      <c r="M149" s="1199">
        <v>14</v>
      </c>
      <c r="N149" s="779"/>
      <c r="O149" s="779"/>
      <c r="P149" s="779"/>
      <c r="Q149" s="779"/>
      <c r="R149" s="779"/>
      <c r="S149" s="779"/>
      <c r="T149" s="779"/>
      <c r="U149" s="779"/>
      <c r="V149" s="779"/>
      <c r="W149" s="779"/>
      <c r="X149" s="779"/>
      <c r="Y149" s="779"/>
      <c r="Z149" s="779"/>
      <c r="AA149" s="779"/>
      <c r="AB149" s="708"/>
    </row>
    <row r="150" spans="2:28" s="780" customFormat="1" ht="15" hidden="1" customHeight="1" x14ac:dyDescent="0.45">
      <c r="B150" s="1691" t="str">
        <f>CONCATENATE("Plan ", INDEX(plans_index,,(ROW(B150)-6)/16), ": ", INDEX(plans_name,,(ROW(B150)-6)/16))</f>
        <v>Plan 9: Oliva Collins</v>
      </c>
      <c r="C150" s="1694" t="s">
        <v>325</v>
      </c>
      <c r="D150" s="123" t="s">
        <v>326</v>
      </c>
      <c r="E150" s="672"/>
      <c r="F150" s="672"/>
      <c r="G150" s="672"/>
      <c r="H150" s="673"/>
      <c r="I150" s="672"/>
      <c r="J150" s="672"/>
      <c r="K150" s="672"/>
      <c r="L150" s="672"/>
      <c r="M150" s="672"/>
      <c r="N150" s="672"/>
      <c r="O150" s="672"/>
      <c r="P150" s="672"/>
      <c r="Q150" s="672"/>
      <c r="R150" s="672"/>
      <c r="S150" s="672"/>
      <c r="T150" s="672"/>
      <c r="U150" s="672"/>
      <c r="V150" s="672"/>
      <c r="W150" s="672"/>
      <c r="X150" s="672"/>
      <c r="Y150" s="672"/>
      <c r="Z150" s="672"/>
      <c r="AA150" s="672"/>
      <c r="AB150" s="674"/>
    </row>
    <row r="151" spans="2:28" s="780" customFormat="1" hidden="1" x14ac:dyDescent="0.45">
      <c r="B151" s="1692"/>
      <c r="C151" s="1695"/>
      <c r="D151" s="124" t="s">
        <v>327</v>
      </c>
      <c r="E151" s="675"/>
      <c r="F151" s="675"/>
      <c r="G151" s="675"/>
      <c r="H151" s="675"/>
      <c r="I151" s="675"/>
      <c r="J151" s="675"/>
      <c r="K151" s="675"/>
      <c r="L151" s="675"/>
      <c r="M151" s="675"/>
      <c r="N151" s="675"/>
      <c r="O151" s="675"/>
      <c r="P151" s="675"/>
      <c r="Q151" s="675"/>
      <c r="R151" s="675"/>
      <c r="S151" s="675"/>
      <c r="T151" s="675"/>
      <c r="U151" s="675"/>
      <c r="V151" s="675"/>
      <c r="W151" s="675"/>
      <c r="X151" s="675"/>
      <c r="Y151" s="676"/>
      <c r="Z151" s="676"/>
      <c r="AA151" s="676"/>
      <c r="AB151" s="677"/>
    </row>
    <row r="152" spans="2:28" s="780" customFormat="1" hidden="1" x14ac:dyDescent="0.45">
      <c r="B152" s="1692"/>
      <c r="C152" s="1696" t="s">
        <v>328</v>
      </c>
      <c r="D152" s="122" t="s">
        <v>326</v>
      </c>
      <c r="E152" s="678">
        <v>3</v>
      </c>
      <c r="F152" s="678">
        <v>3</v>
      </c>
      <c r="G152" s="678">
        <v>3</v>
      </c>
      <c r="H152" s="678">
        <v>3</v>
      </c>
      <c r="I152" s="678">
        <v>3</v>
      </c>
      <c r="J152" s="678">
        <v>3</v>
      </c>
      <c r="K152" s="678">
        <v>3</v>
      </c>
      <c r="L152" s="678">
        <v>3</v>
      </c>
      <c r="M152" s="678"/>
      <c r="N152" s="678"/>
      <c r="O152" s="678"/>
      <c r="P152" s="678"/>
      <c r="Q152" s="678"/>
      <c r="R152" s="678"/>
      <c r="S152" s="678"/>
      <c r="T152" s="678"/>
      <c r="U152" s="678"/>
      <c r="V152" s="678"/>
      <c r="W152" s="678"/>
      <c r="X152" s="678"/>
      <c r="Y152" s="679"/>
      <c r="Z152" s="679"/>
      <c r="AA152" s="679"/>
      <c r="AB152" s="680"/>
    </row>
    <row r="153" spans="2:28" s="780" customFormat="1" hidden="1" x14ac:dyDescent="0.45">
      <c r="B153" s="1692"/>
      <c r="C153" s="1697"/>
      <c r="D153" s="122" t="s">
        <v>327</v>
      </c>
      <c r="E153" s="678"/>
      <c r="F153" s="678"/>
      <c r="G153" s="678"/>
      <c r="H153" s="678">
        <v>81</v>
      </c>
      <c r="I153" s="678">
        <v>81</v>
      </c>
      <c r="J153" s="678">
        <v>81</v>
      </c>
      <c r="K153" s="678">
        <v>81</v>
      </c>
      <c r="L153" s="678">
        <v>81</v>
      </c>
      <c r="M153" s="678">
        <v>41</v>
      </c>
      <c r="N153" s="678"/>
      <c r="O153" s="678"/>
      <c r="P153" s="678"/>
      <c r="Q153" s="678"/>
      <c r="R153" s="678"/>
      <c r="S153" s="678"/>
      <c r="T153" s="678"/>
      <c r="U153" s="678"/>
      <c r="V153" s="678"/>
      <c r="W153" s="678"/>
      <c r="X153" s="681"/>
      <c r="Y153" s="679"/>
      <c r="Z153" s="679"/>
      <c r="AA153" s="679"/>
      <c r="AB153" s="680"/>
    </row>
    <row r="154" spans="2:28" s="780" customFormat="1" hidden="1" x14ac:dyDescent="0.45">
      <c r="B154" s="1692"/>
      <c r="C154" s="1698" t="s">
        <v>329</v>
      </c>
      <c r="D154" s="125" t="s">
        <v>326</v>
      </c>
      <c r="E154" s="682"/>
      <c r="F154" s="682"/>
      <c r="G154" s="682"/>
      <c r="H154" s="682"/>
      <c r="I154" s="682"/>
      <c r="J154" s="682"/>
      <c r="K154" s="682"/>
      <c r="L154" s="682"/>
      <c r="M154" s="682"/>
      <c r="N154" s="682"/>
      <c r="O154" s="682"/>
      <c r="P154" s="682"/>
      <c r="Q154" s="682"/>
      <c r="R154" s="682"/>
      <c r="S154" s="682"/>
      <c r="T154" s="682"/>
      <c r="U154" s="682"/>
      <c r="V154" s="682"/>
      <c r="W154" s="682"/>
      <c r="X154" s="682"/>
      <c r="Y154" s="683"/>
      <c r="Z154" s="683"/>
      <c r="AA154" s="683"/>
      <c r="AB154" s="684"/>
    </row>
    <row r="155" spans="2:28" s="780" customFormat="1" hidden="1" x14ac:dyDescent="0.45">
      <c r="B155" s="1692"/>
      <c r="C155" s="1695"/>
      <c r="D155" s="124" t="s">
        <v>327</v>
      </c>
      <c r="E155" s="675">
        <v>1</v>
      </c>
      <c r="F155" s="675">
        <v>1</v>
      </c>
      <c r="G155" s="675">
        <v>1</v>
      </c>
      <c r="H155" s="675">
        <v>1</v>
      </c>
      <c r="I155" s="675">
        <v>1</v>
      </c>
      <c r="J155" s="675">
        <v>1</v>
      </c>
      <c r="K155" s="675">
        <v>1</v>
      </c>
      <c r="L155" s="675">
        <v>1</v>
      </c>
      <c r="M155" s="675">
        <v>9</v>
      </c>
      <c r="N155" s="675"/>
      <c r="O155" s="675"/>
      <c r="P155" s="675"/>
      <c r="Q155" s="675"/>
      <c r="R155" s="675"/>
      <c r="S155" s="675"/>
      <c r="T155" s="675"/>
      <c r="U155" s="675"/>
      <c r="V155" s="675"/>
      <c r="W155" s="675"/>
      <c r="X155" s="675"/>
      <c r="Y155" s="676"/>
      <c r="Z155" s="676"/>
      <c r="AA155" s="676"/>
      <c r="AB155" s="677"/>
    </row>
    <row r="156" spans="2:28" s="780" customFormat="1" hidden="1" x14ac:dyDescent="0.45">
      <c r="B156" s="1692"/>
      <c r="C156" s="1696" t="s">
        <v>330</v>
      </c>
      <c r="D156" s="122" t="s">
        <v>326</v>
      </c>
      <c r="E156" s="678">
        <v>41</v>
      </c>
      <c r="F156" s="678">
        <v>41</v>
      </c>
      <c r="G156" s="678">
        <v>41</v>
      </c>
      <c r="H156" s="678">
        <v>41</v>
      </c>
      <c r="I156" s="678">
        <v>41</v>
      </c>
      <c r="J156" s="678">
        <v>41</v>
      </c>
      <c r="K156" s="678">
        <v>41</v>
      </c>
      <c r="L156" s="678">
        <v>41</v>
      </c>
      <c r="M156" s="678"/>
      <c r="N156" s="678"/>
      <c r="O156" s="678"/>
      <c r="P156" s="678"/>
      <c r="Q156" s="678"/>
      <c r="R156" s="678"/>
      <c r="S156" s="678"/>
      <c r="T156" s="678"/>
      <c r="U156" s="678"/>
      <c r="V156" s="678"/>
      <c r="W156" s="678"/>
      <c r="X156" s="678"/>
      <c r="Y156" s="679"/>
      <c r="Z156" s="679"/>
      <c r="AA156" s="679"/>
      <c r="AB156" s="680"/>
    </row>
    <row r="157" spans="2:28" s="780" customFormat="1" hidden="1" x14ac:dyDescent="0.45">
      <c r="B157" s="1692"/>
      <c r="C157" s="1697"/>
      <c r="D157" s="122" t="s">
        <v>327</v>
      </c>
      <c r="E157" s="678">
        <v>1</v>
      </c>
      <c r="F157" s="678">
        <v>1</v>
      </c>
      <c r="G157" s="678">
        <v>1</v>
      </c>
      <c r="H157" s="678">
        <v>81</v>
      </c>
      <c r="I157" s="678">
        <v>81</v>
      </c>
      <c r="J157" s="678">
        <v>81</v>
      </c>
      <c r="K157" s="678">
        <v>81</v>
      </c>
      <c r="L157" s="678">
        <v>81</v>
      </c>
      <c r="M157" s="678"/>
      <c r="N157" s="678"/>
      <c r="O157" s="678"/>
      <c r="P157" s="678"/>
      <c r="Q157" s="678"/>
      <c r="R157" s="678"/>
      <c r="S157" s="678"/>
      <c r="T157" s="678"/>
      <c r="U157" s="678"/>
      <c r="V157" s="678"/>
      <c r="W157" s="678"/>
      <c r="X157" s="681"/>
      <c r="Y157" s="679"/>
      <c r="Z157" s="679"/>
      <c r="AA157" s="679"/>
      <c r="AB157" s="680"/>
    </row>
    <row r="158" spans="2:28" s="780" customFormat="1" hidden="1" x14ac:dyDescent="0.45">
      <c r="B158" s="1692"/>
      <c r="C158" s="1698" t="s">
        <v>331</v>
      </c>
      <c r="D158" s="125" t="s">
        <v>326</v>
      </c>
      <c r="E158" s="682"/>
      <c r="F158" s="682"/>
      <c r="G158" s="685"/>
      <c r="H158" s="682"/>
      <c r="I158" s="682"/>
      <c r="J158" s="682"/>
      <c r="K158" s="682"/>
      <c r="L158" s="682"/>
      <c r="M158" s="682"/>
      <c r="N158" s="682"/>
      <c r="O158" s="682"/>
      <c r="P158" s="682"/>
      <c r="Q158" s="682"/>
      <c r="R158" s="682"/>
      <c r="S158" s="682"/>
      <c r="T158" s="682"/>
      <c r="U158" s="682"/>
      <c r="V158" s="682"/>
      <c r="W158" s="682"/>
      <c r="X158" s="682"/>
      <c r="Y158" s="683"/>
      <c r="Z158" s="683"/>
      <c r="AA158" s="683"/>
      <c r="AB158" s="684"/>
    </row>
    <row r="159" spans="2:28" s="780" customFormat="1" hidden="1" x14ac:dyDescent="0.45">
      <c r="B159" s="1692"/>
      <c r="C159" s="1695"/>
      <c r="D159" s="124" t="s">
        <v>327</v>
      </c>
      <c r="E159" s="675"/>
      <c r="F159" s="675"/>
      <c r="G159" s="686"/>
      <c r="H159" s="675"/>
      <c r="I159" s="675"/>
      <c r="J159" s="675"/>
      <c r="K159" s="675"/>
      <c r="L159" s="675"/>
      <c r="M159" s="675">
        <v>81</v>
      </c>
      <c r="N159" s="675"/>
      <c r="O159" s="675"/>
      <c r="P159" s="675"/>
      <c r="Q159" s="675"/>
      <c r="R159" s="675"/>
      <c r="S159" s="675"/>
      <c r="T159" s="675"/>
      <c r="U159" s="675"/>
      <c r="V159" s="675"/>
      <c r="W159" s="675"/>
      <c r="X159" s="675"/>
      <c r="Y159" s="676"/>
      <c r="Z159" s="676"/>
      <c r="AA159" s="676"/>
      <c r="AB159" s="677"/>
    </row>
    <row r="160" spans="2:28" s="780" customFormat="1" hidden="1" x14ac:dyDescent="0.45">
      <c r="B160" s="1692"/>
      <c r="C160" s="1696" t="s">
        <v>332</v>
      </c>
      <c r="D160" s="122" t="s">
        <v>326</v>
      </c>
      <c r="E160" s="678">
        <v>70</v>
      </c>
      <c r="F160" s="678">
        <v>70</v>
      </c>
      <c r="G160" s="678">
        <v>70</v>
      </c>
      <c r="H160" s="678">
        <v>70</v>
      </c>
      <c r="I160" s="678">
        <v>70</v>
      </c>
      <c r="J160" s="678">
        <v>70</v>
      </c>
      <c r="K160" s="678">
        <v>70</v>
      </c>
      <c r="L160" s="678">
        <v>70</v>
      </c>
      <c r="M160" s="678">
        <v>82</v>
      </c>
      <c r="N160" s="678"/>
      <c r="O160" s="678"/>
      <c r="P160" s="678"/>
      <c r="Q160" s="678"/>
      <c r="R160" s="678"/>
      <c r="S160" s="678"/>
      <c r="T160" s="678"/>
      <c r="U160" s="678"/>
      <c r="V160" s="678"/>
      <c r="W160" s="679"/>
      <c r="X160" s="679"/>
      <c r="Y160" s="679"/>
      <c r="Z160" s="679"/>
      <c r="AA160" s="679"/>
      <c r="AB160" s="680"/>
    </row>
    <row r="161" spans="2:28" s="780" customFormat="1" hidden="1" x14ac:dyDescent="0.45">
      <c r="B161" s="1692"/>
      <c r="C161" s="1697"/>
      <c r="D161" s="122" t="s">
        <v>327</v>
      </c>
      <c r="E161" s="678"/>
      <c r="F161" s="678"/>
      <c r="G161" s="678"/>
      <c r="H161" s="678"/>
      <c r="I161" s="678"/>
      <c r="J161" s="678"/>
      <c r="K161" s="678"/>
      <c r="L161" s="678"/>
      <c r="M161" s="678"/>
      <c r="N161" s="678"/>
      <c r="O161" s="678"/>
      <c r="P161" s="678"/>
      <c r="Q161" s="678"/>
      <c r="R161" s="678"/>
      <c r="S161" s="678"/>
      <c r="T161" s="678"/>
      <c r="U161" s="678"/>
      <c r="V161" s="678"/>
      <c r="W161" s="678"/>
      <c r="X161" s="678"/>
      <c r="Y161" s="679"/>
      <c r="Z161" s="679"/>
      <c r="AA161" s="679"/>
      <c r="AB161" s="680"/>
    </row>
    <row r="162" spans="2:28" s="780" customFormat="1" hidden="1" x14ac:dyDescent="0.45">
      <c r="B162" s="1692"/>
      <c r="C162" s="1698" t="s">
        <v>333</v>
      </c>
      <c r="D162" s="124" t="s">
        <v>326</v>
      </c>
      <c r="E162" s="675">
        <v>4</v>
      </c>
      <c r="F162" s="675">
        <v>4</v>
      </c>
      <c r="G162" s="675">
        <v>4</v>
      </c>
      <c r="H162" s="675">
        <v>4</v>
      </c>
      <c r="I162" s="675">
        <v>4</v>
      </c>
      <c r="J162" s="675">
        <v>4</v>
      </c>
      <c r="K162" s="675">
        <v>4</v>
      </c>
      <c r="L162" s="675">
        <v>4</v>
      </c>
      <c r="M162" s="675">
        <v>84</v>
      </c>
      <c r="N162" s="675"/>
      <c r="O162" s="675"/>
      <c r="P162" s="675"/>
      <c r="Q162" s="675"/>
      <c r="R162" s="675"/>
      <c r="S162" s="675"/>
      <c r="T162" s="675"/>
      <c r="U162" s="675"/>
      <c r="V162" s="675"/>
      <c r="W162" s="676"/>
      <c r="X162" s="676"/>
      <c r="Y162" s="676"/>
      <c r="Z162" s="676"/>
      <c r="AA162" s="676"/>
      <c r="AB162" s="677"/>
    </row>
    <row r="163" spans="2:28" s="780" customFormat="1" hidden="1" x14ac:dyDescent="0.45">
      <c r="B163" s="1693"/>
      <c r="C163" s="1699"/>
      <c r="D163" s="126" t="s">
        <v>327</v>
      </c>
      <c r="E163" s="687"/>
      <c r="F163" s="687"/>
      <c r="G163" s="687"/>
      <c r="H163" s="687"/>
      <c r="I163" s="687"/>
      <c r="J163" s="687"/>
      <c r="K163" s="687"/>
      <c r="L163" s="687"/>
      <c r="M163" s="687"/>
      <c r="N163" s="687"/>
      <c r="O163" s="687"/>
      <c r="P163" s="687"/>
      <c r="Q163" s="687"/>
      <c r="R163" s="687"/>
      <c r="S163" s="687"/>
      <c r="T163" s="687"/>
      <c r="U163" s="687"/>
      <c r="V163" s="687"/>
      <c r="W163" s="687"/>
      <c r="X163" s="687"/>
      <c r="Y163" s="687"/>
      <c r="Z163" s="687"/>
      <c r="AA163" s="687"/>
      <c r="AB163" s="688"/>
    </row>
    <row r="164" spans="2:28" s="780" customFormat="1" hidden="1" x14ac:dyDescent="0.45"/>
    <row r="165" spans="2:28" s="780" customFormat="1" hidden="1" x14ac:dyDescent="0.45">
      <c r="B165" s="1688" t="s">
        <v>54</v>
      </c>
      <c r="C165" s="1689"/>
      <c r="D165" s="1690"/>
      <c r="E165" s="1034">
        <v>4</v>
      </c>
      <c r="F165" s="1034">
        <v>4</v>
      </c>
      <c r="G165" s="1034">
        <v>4</v>
      </c>
      <c r="H165" s="1034">
        <v>4</v>
      </c>
      <c r="I165" s="1034">
        <v>4</v>
      </c>
      <c r="J165" s="1034">
        <v>4</v>
      </c>
      <c r="K165" s="1199">
        <v>13</v>
      </c>
      <c r="L165" s="1199">
        <v>13</v>
      </c>
      <c r="M165" s="1199">
        <v>14</v>
      </c>
      <c r="N165" s="779"/>
      <c r="O165" s="779"/>
      <c r="P165" s="779"/>
      <c r="Q165" s="779"/>
      <c r="R165" s="779"/>
      <c r="S165" s="779"/>
      <c r="T165" s="779"/>
      <c r="U165" s="779"/>
      <c r="V165" s="779"/>
      <c r="W165" s="779"/>
      <c r="X165" s="779"/>
      <c r="Y165" s="779"/>
      <c r="Z165" s="779"/>
      <c r="AA165" s="779"/>
      <c r="AB165" s="708"/>
    </row>
    <row r="166" spans="2:28" s="780" customFormat="1" ht="15" hidden="1" customHeight="1" x14ac:dyDescent="0.45">
      <c r="B166" s="1691" t="str">
        <f>CONCATENATE("Plan ", INDEX(plans_index,,(ROW(B166)-6)/16), ": ", INDEX(plans_name,,(ROW(B166)-6)/16))</f>
        <v>Plan 10: Cara Bradding</v>
      </c>
      <c r="C166" s="1694" t="s">
        <v>325</v>
      </c>
      <c r="D166" s="123" t="s">
        <v>326</v>
      </c>
      <c r="E166" s="672"/>
      <c r="F166" s="672"/>
      <c r="G166" s="672"/>
      <c r="H166" s="673"/>
      <c r="I166" s="672"/>
      <c r="J166" s="672"/>
      <c r="K166" s="672"/>
      <c r="L166" s="672"/>
      <c r="M166" s="672"/>
      <c r="N166" s="672"/>
      <c r="O166" s="672"/>
      <c r="P166" s="672"/>
      <c r="Q166" s="672"/>
      <c r="R166" s="672"/>
      <c r="S166" s="672"/>
      <c r="T166" s="672"/>
      <c r="U166" s="672"/>
      <c r="V166" s="672"/>
      <c r="W166" s="672"/>
      <c r="X166" s="672"/>
      <c r="Y166" s="672"/>
      <c r="Z166" s="672"/>
      <c r="AA166" s="672"/>
      <c r="AB166" s="674"/>
    </row>
    <row r="167" spans="2:28" s="780" customFormat="1" hidden="1" x14ac:dyDescent="0.45">
      <c r="B167" s="1692"/>
      <c r="C167" s="1695"/>
      <c r="D167" s="124" t="s">
        <v>327</v>
      </c>
      <c r="E167" s="675"/>
      <c r="F167" s="675"/>
      <c r="G167" s="675"/>
      <c r="H167" s="675"/>
      <c r="I167" s="675"/>
      <c r="J167" s="675"/>
      <c r="K167" s="675"/>
      <c r="L167" s="675"/>
      <c r="M167" s="675"/>
      <c r="N167" s="675"/>
      <c r="O167" s="675"/>
      <c r="P167" s="675"/>
      <c r="Q167" s="675"/>
      <c r="R167" s="675"/>
      <c r="S167" s="675"/>
      <c r="T167" s="675"/>
      <c r="U167" s="675"/>
      <c r="V167" s="675"/>
      <c r="W167" s="675"/>
      <c r="X167" s="675"/>
      <c r="Y167" s="676"/>
      <c r="Z167" s="676"/>
      <c r="AA167" s="676"/>
      <c r="AB167" s="677"/>
    </row>
    <row r="168" spans="2:28" s="780" customFormat="1" hidden="1" x14ac:dyDescent="0.45">
      <c r="B168" s="1692"/>
      <c r="C168" s="1696" t="s">
        <v>328</v>
      </c>
      <c r="D168" s="122" t="s">
        <v>326</v>
      </c>
      <c r="E168" s="678"/>
      <c r="F168" s="678"/>
      <c r="G168" s="678"/>
      <c r="H168" s="678"/>
      <c r="I168" s="678"/>
      <c r="J168" s="678"/>
      <c r="K168" s="678"/>
      <c r="L168" s="678"/>
      <c r="M168" s="678">
        <v>41</v>
      </c>
      <c r="N168" s="678"/>
      <c r="O168" s="678"/>
      <c r="P168" s="678"/>
      <c r="Q168" s="678"/>
      <c r="R168" s="678"/>
      <c r="S168" s="678"/>
      <c r="T168" s="678"/>
      <c r="U168" s="678"/>
      <c r="V168" s="678"/>
      <c r="W168" s="678"/>
      <c r="X168" s="678"/>
      <c r="Y168" s="679"/>
      <c r="Z168" s="679"/>
      <c r="AA168" s="679"/>
      <c r="AB168" s="680"/>
    </row>
    <row r="169" spans="2:28" s="780" customFormat="1" hidden="1" x14ac:dyDescent="0.45">
      <c r="B169" s="1692"/>
      <c r="C169" s="1697"/>
      <c r="D169" s="122" t="s">
        <v>327</v>
      </c>
      <c r="E169" s="678">
        <v>1</v>
      </c>
      <c r="F169" s="678">
        <v>1</v>
      </c>
      <c r="G169" s="678">
        <v>1</v>
      </c>
      <c r="H169" s="678">
        <v>81</v>
      </c>
      <c r="I169" s="678">
        <v>81</v>
      </c>
      <c r="J169" s="678">
        <v>81</v>
      </c>
      <c r="K169" s="678">
        <v>81</v>
      </c>
      <c r="L169" s="678">
        <v>81</v>
      </c>
      <c r="M169" s="678"/>
      <c r="N169" s="678"/>
      <c r="O169" s="678"/>
      <c r="P169" s="678"/>
      <c r="Q169" s="678"/>
      <c r="R169" s="678"/>
      <c r="S169" s="678"/>
      <c r="T169" s="678"/>
      <c r="U169" s="678"/>
      <c r="V169" s="678"/>
      <c r="W169" s="678"/>
      <c r="X169" s="681"/>
      <c r="Y169" s="679"/>
      <c r="Z169" s="679"/>
      <c r="AA169" s="679"/>
      <c r="AB169" s="680"/>
    </row>
    <row r="170" spans="2:28" s="780" customFormat="1" hidden="1" x14ac:dyDescent="0.45">
      <c r="B170" s="1692"/>
      <c r="C170" s="1698" t="s">
        <v>329</v>
      </c>
      <c r="D170" s="125" t="s">
        <v>326</v>
      </c>
      <c r="E170" s="682">
        <v>3</v>
      </c>
      <c r="F170" s="682">
        <v>3</v>
      </c>
      <c r="G170" s="682">
        <v>3</v>
      </c>
      <c r="H170" s="682">
        <v>3</v>
      </c>
      <c r="I170" s="682">
        <v>3</v>
      </c>
      <c r="J170" s="682">
        <v>3</v>
      </c>
      <c r="K170" s="682">
        <v>3</v>
      </c>
      <c r="L170" s="682">
        <v>3</v>
      </c>
      <c r="M170" s="682">
        <v>9</v>
      </c>
      <c r="N170" s="682"/>
      <c r="O170" s="682"/>
      <c r="P170" s="682"/>
      <c r="Q170" s="682"/>
      <c r="R170" s="682"/>
      <c r="S170" s="682"/>
      <c r="T170" s="682"/>
      <c r="U170" s="682"/>
      <c r="V170" s="682"/>
      <c r="W170" s="682"/>
      <c r="X170" s="682"/>
      <c r="Y170" s="683"/>
      <c r="Z170" s="683"/>
      <c r="AA170" s="683"/>
      <c r="AB170" s="684"/>
    </row>
    <row r="171" spans="2:28" s="780" customFormat="1" hidden="1" x14ac:dyDescent="0.45">
      <c r="B171" s="1692"/>
      <c r="C171" s="1695"/>
      <c r="D171" s="124" t="s">
        <v>327</v>
      </c>
      <c r="E171" s="675"/>
      <c r="F171" s="675"/>
      <c r="G171" s="675"/>
      <c r="H171" s="675"/>
      <c r="I171" s="675"/>
      <c r="J171" s="675"/>
      <c r="K171" s="675"/>
      <c r="L171" s="675"/>
      <c r="M171" s="675"/>
      <c r="N171" s="675"/>
      <c r="O171" s="675"/>
      <c r="P171" s="675"/>
      <c r="Q171" s="675"/>
      <c r="R171" s="675"/>
      <c r="S171" s="675"/>
      <c r="T171" s="675"/>
      <c r="U171" s="675"/>
      <c r="V171" s="675"/>
      <c r="W171" s="675"/>
      <c r="X171" s="675"/>
      <c r="Y171" s="676"/>
      <c r="Z171" s="676"/>
      <c r="AA171" s="676"/>
      <c r="AB171" s="677"/>
    </row>
    <row r="172" spans="2:28" s="780" customFormat="1" hidden="1" x14ac:dyDescent="0.45">
      <c r="B172" s="1692"/>
      <c r="C172" s="1696" t="s">
        <v>330</v>
      </c>
      <c r="D172" s="122" t="s">
        <v>326</v>
      </c>
      <c r="E172" s="678">
        <v>41</v>
      </c>
      <c r="F172" s="678">
        <v>41</v>
      </c>
      <c r="G172" s="678">
        <v>41</v>
      </c>
      <c r="H172" s="678">
        <v>41</v>
      </c>
      <c r="I172" s="678">
        <v>41</v>
      </c>
      <c r="J172" s="678">
        <v>41</v>
      </c>
      <c r="K172" s="678">
        <v>41</v>
      </c>
      <c r="L172" s="678">
        <v>41</v>
      </c>
      <c r="M172" s="678"/>
      <c r="N172" s="678"/>
      <c r="O172" s="678"/>
      <c r="P172" s="678"/>
      <c r="Q172" s="678"/>
      <c r="R172" s="678"/>
      <c r="S172" s="678"/>
      <c r="T172" s="678"/>
      <c r="U172" s="678"/>
      <c r="V172" s="678"/>
      <c r="W172" s="678"/>
      <c r="X172" s="678"/>
      <c r="Y172" s="679"/>
      <c r="Z172" s="679"/>
      <c r="AA172" s="679"/>
      <c r="AB172" s="680"/>
    </row>
    <row r="173" spans="2:28" s="780" customFormat="1" hidden="1" x14ac:dyDescent="0.45">
      <c r="B173" s="1692"/>
      <c r="C173" s="1697"/>
      <c r="D173" s="122" t="s">
        <v>327</v>
      </c>
      <c r="E173" s="678"/>
      <c r="F173" s="678"/>
      <c r="G173" s="678"/>
      <c r="H173" s="678"/>
      <c r="I173" s="678"/>
      <c r="J173" s="678"/>
      <c r="K173" s="678"/>
      <c r="L173" s="678"/>
      <c r="M173" s="678"/>
      <c r="N173" s="678"/>
      <c r="O173" s="678"/>
      <c r="P173" s="678"/>
      <c r="Q173" s="678"/>
      <c r="R173" s="678"/>
      <c r="S173" s="678"/>
      <c r="T173" s="678"/>
      <c r="U173" s="678"/>
      <c r="V173" s="678"/>
      <c r="W173" s="678"/>
      <c r="X173" s="681"/>
      <c r="Y173" s="679"/>
      <c r="Z173" s="679"/>
      <c r="AA173" s="679"/>
      <c r="AB173" s="680"/>
    </row>
    <row r="174" spans="2:28" s="780" customFormat="1" hidden="1" x14ac:dyDescent="0.45">
      <c r="B174" s="1692"/>
      <c r="C174" s="1698" t="s">
        <v>331</v>
      </c>
      <c r="D174" s="125" t="s">
        <v>326</v>
      </c>
      <c r="E174" s="682">
        <v>1</v>
      </c>
      <c r="F174" s="682">
        <v>1</v>
      </c>
      <c r="G174" s="685">
        <v>1</v>
      </c>
      <c r="H174" s="682">
        <v>1</v>
      </c>
      <c r="I174" s="682">
        <v>1</v>
      </c>
      <c r="J174" s="682">
        <v>1</v>
      </c>
      <c r="K174" s="682">
        <v>1</v>
      </c>
      <c r="L174" s="682">
        <v>1</v>
      </c>
      <c r="M174" s="682"/>
      <c r="N174" s="682"/>
      <c r="O174" s="682"/>
      <c r="P174" s="682"/>
      <c r="Q174" s="682"/>
      <c r="R174" s="682"/>
      <c r="S174" s="682"/>
      <c r="T174" s="682"/>
      <c r="U174" s="682"/>
      <c r="V174" s="682"/>
      <c r="W174" s="682"/>
      <c r="X174" s="682"/>
      <c r="Y174" s="683"/>
      <c r="Z174" s="683"/>
      <c r="AA174" s="683"/>
      <c r="AB174" s="684"/>
    </row>
    <row r="175" spans="2:28" s="780" customFormat="1" hidden="1" x14ac:dyDescent="0.45">
      <c r="B175" s="1692"/>
      <c r="C175" s="1695"/>
      <c r="D175" s="124" t="s">
        <v>327</v>
      </c>
      <c r="E175" s="675"/>
      <c r="F175" s="675"/>
      <c r="G175" s="686"/>
      <c r="H175" s="675"/>
      <c r="I175" s="675"/>
      <c r="J175" s="675"/>
      <c r="K175" s="675"/>
      <c r="L175" s="675"/>
      <c r="M175" s="675">
        <v>81</v>
      </c>
      <c r="N175" s="675"/>
      <c r="O175" s="675"/>
      <c r="P175" s="675"/>
      <c r="Q175" s="675"/>
      <c r="R175" s="675"/>
      <c r="S175" s="675"/>
      <c r="T175" s="675"/>
      <c r="U175" s="675"/>
      <c r="V175" s="675"/>
      <c r="W175" s="675"/>
      <c r="X175" s="675"/>
      <c r="Y175" s="676"/>
      <c r="Z175" s="676"/>
      <c r="AA175" s="676"/>
      <c r="AB175" s="677"/>
    </row>
    <row r="176" spans="2:28" s="780" customFormat="1" hidden="1" x14ac:dyDescent="0.45">
      <c r="B176" s="1692"/>
      <c r="C176" s="1696" t="s">
        <v>332</v>
      </c>
      <c r="D176" s="122" t="s">
        <v>326</v>
      </c>
      <c r="E176" s="678">
        <v>70</v>
      </c>
      <c r="F176" s="678">
        <v>70</v>
      </c>
      <c r="G176" s="678">
        <v>70</v>
      </c>
      <c r="H176" s="678">
        <v>70</v>
      </c>
      <c r="I176" s="678">
        <v>70</v>
      </c>
      <c r="J176" s="678">
        <v>70</v>
      </c>
      <c r="K176" s="678">
        <v>70</v>
      </c>
      <c r="L176" s="678">
        <v>70</v>
      </c>
      <c r="M176" s="678">
        <v>82</v>
      </c>
      <c r="N176" s="678"/>
      <c r="O176" s="678"/>
      <c r="P176" s="678"/>
      <c r="Q176" s="678"/>
      <c r="R176" s="678"/>
      <c r="S176" s="678"/>
      <c r="T176" s="678"/>
      <c r="U176" s="678"/>
      <c r="V176" s="678"/>
      <c r="W176" s="679"/>
      <c r="X176" s="679"/>
      <c r="Y176" s="679"/>
      <c r="Z176" s="679"/>
      <c r="AA176" s="679"/>
      <c r="AB176" s="680"/>
    </row>
    <row r="177" spans="2:28" s="780" customFormat="1" hidden="1" x14ac:dyDescent="0.45">
      <c r="B177" s="1692"/>
      <c r="C177" s="1697"/>
      <c r="D177" s="122" t="s">
        <v>327</v>
      </c>
      <c r="E177" s="678"/>
      <c r="F177" s="678"/>
      <c r="G177" s="678"/>
      <c r="H177" s="678"/>
      <c r="I177" s="678"/>
      <c r="J177" s="678"/>
      <c r="K177" s="678"/>
      <c r="L177" s="678"/>
      <c r="M177" s="678"/>
      <c r="N177" s="678"/>
      <c r="O177" s="678"/>
      <c r="P177" s="678"/>
      <c r="Q177" s="678"/>
      <c r="R177" s="678"/>
      <c r="S177" s="678"/>
      <c r="T177" s="678"/>
      <c r="U177" s="678"/>
      <c r="V177" s="678"/>
      <c r="W177" s="678"/>
      <c r="X177" s="678"/>
      <c r="Y177" s="679"/>
      <c r="Z177" s="679"/>
      <c r="AA177" s="679"/>
      <c r="AB177" s="680"/>
    </row>
    <row r="178" spans="2:28" s="780" customFormat="1" hidden="1" x14ac:dyDescent="0.45">
      <c r="B178" s="1692"/>
      <c r="C178" s="1698" t="s">
        <v>333</v>
      </c>
      <c r="D178" s="124" t="s">
        <v>326</v>
      </c>
      <c r="E178" s="675">
        <v>4</v>
      </c>
      <c r="F178" s="675">
        <v>4</v>
      </c>
      <c r="G178" s="675">
        <v>4</v>
      </c>
      <c r="H178" s="675">
        <v>4</v>
      </c>
      <c r="I178" s="675">
        <v>4</v>
      </c>
      <c r="J178" s="675">
        <v>4</v>
      </c>
      <c r="K178" s="675">
        <v>4</v>
      </c>
      <c r="L178" s="675">
        <v>4</v>
      </c>
      <c r="M178" s="675">
        <v>84</v>
      </c>
      <c r="N178" s="675"/>
      <c r="O178" s="675"/>
      <c r="P178" s="675"/>
      <c r="Q178" s="675"/>
      <c r="R178" s="675"/>
      <c r="S178" s="675"/>
      <c r="T178" s="675"/>
      <c r="U178" s="675"/>
      <c r="V178" s="675"/>
      <c r="W178" s="676"/>
      <c r="X178" s="676"/>
      <c r="Y178" s="676"/>
      <c r="Z178" s="676"/>
      <c r="AA178" s="676"/>
      <c r="AB178" s="677"/>
    </row>
    <row r="179" spans="2:28" s="780" customFormat="1" hidden="1" x14ac:dyDescent="0.45">
      <c r="B179" s="1693"/>
      <c r="C179" s="1699"/>
      <c r="D179" s="126" t="s">
        <v>327</v>
      </c>
      <c r="E179" s="687"/>
      <c r="F179" s="687"/>
      <c r="G179" s="687"/>
      <c r="H179" s="687"/>
      <c r="I179" s="687"/>
      <c r="J179" s="687"/>
      <c r="K179" s="687"/>
      <c r="L179" s="687"/>
      <c r="M179" s="687"/>
      <c r="N179" s="687"/>
      <c r="O179" s="687"/>
      <c r="P179" s="687"/>
      <c r="Q179" s="687"/>
      <c r="R179" s="687"/>
      <c r="S179" s="687"/>
      <c r="T179" s="687"/>
      <c r="U179" s="687"/>
      <c r="V179" s="687"/>
      <c r="W179" s="687"/>
      <c r="X179" s="687"/>
      <c r="Y179" s="687"/>
      <c r="Z179" s="687"/>
      <c r="AA179" s="687"/>
      <c r="AB179" s="688"/>
    </row>
    <row r="180" spans="2:28" s="780" customFormat="1" hidden="1" x14ac:dyDescent="0.45"/>
    <row r="181" spans="2:28" s="780" customFormat="1" hidden="1" x14ac:dyDescent="0.45">
      <c r="B181" s="1688" t="s">
        <v>54</v>
      </c>
      <c r="C181" s="1689"/>
      <c r="D181" s="1690"/>
      <c r="E181" s="1034">
        <v>4</v>
      </c>
      <c r="F181" s="1034">
        <v>4</v>
      </c>
      <c r="G181" s="1034">
        <v>4</v>
      </c>
      <c r="H181" s="1034">
        <v>4</v>
      </c>
      <c r="I181" s="1034">
        <v>4</v>
      </c>
      <c r="J181" s="1034">
        <v>4</v>
      </c>
      <c r="K181" s="1199">
        <v>13</v>
      </c>
      <c r="L181" s="1199">
        <v>13</v>
      </c>
      <c r="M181" s="1199">
        <v>14</v>
      </c>
      <c r="N181" s="779"/>
      <c r="O181" s="779"/>
      <c r="P181" s="779"/>
      <c r="Q181" s="779"/>
      <c r="R181" s="779"/>
      <c r="S181" s="779"/>
      <c r="T181" s="779"/>
      <c r="U181" s="779"/>
      <c r="V181" s="779"/>
      <c r="W181" s="779"/>
      <c r="X181" s="779"/>
      <c r="Y181" s="779"/>
      <c r="Z181" s="779"/>
      <c r="AA181" s="779"/>
      <c r="AB181" s="708"/>
    </row>
    <row r="182" spans="2:28" s="780" customFormat="1" ht="15" hidden="1" customHeight="1" x14ac:dyDescent="0.45">
      <c r="B182" s="1691" t="str">
        <f>CONCATENATE("Plan ", INDEX(plans_index,,(ROW(B182)-6)/16), ": ", INDEX(plans_name,,(ROW(B182)-6)/16))</f>
        <v>Plan 11: Katie Ryan</v>
      </c>
      <c r="C182" s="1694" t="s">
        <v>325</v>
      </c>
      <c r="D182" s="123" t="s">
        <v>326</v>
      </c>
      <c r="E182" s="672"/>
      <c r="F182" s="672"/>
      <c r="G182" s="672"/>
      <c r="H182" s="673"/>
      <c r="I182" s="672"/>
      <c r="J182" s="672"/>
      <c r="K182" s="672"/>
      <c r="L182" s="672"/>
      <c r="M182" s="672"/>
      <c r="N182" s="672"/>
      <c r="O182" s="672"/>
      <c r="P182" s="672"/>
      <c r="Q182" s="672"/>
      <c r="R182" s="672"/>
      <c r="S182" s="672"/>
      <c r="T182" s="672"/>
      <c r="U182" s="672"/>
      <c r="V182" s="672"/>
      <c r="W182" s="672"/>
      <c r="X182" s="672"/>
      <c r="Y182" s="672"/>
      <c r="Z182" s="672"/>
      <c r="AA182" s="672"/>
      <c r="AB182" s="674"/>
    </row>
    <row r="183" spans="2:28" s="780" customFormat="1" hidden="1" x14ac:dyDescent="0.45">
      <c r="B183" s="1692"/>
      <c r="C183" s="1695"/>
      <c r="D183" s="124" t="s">
        <v>327</v>
      </c>
      <c r="E183" s="675"/>
      <c r="F183" s="675"/>
      <c r="G183" s="675"/>
      <c r="H183" s="675"/>
      <c r="I183" s="675"/>
      <c r="J183" s="675"/>
      <c r="K183" s="675"/>
      <c r="L183" s="675"/>
      <c r="M183" s="675"/>
      <c r="N183" s="675"/>
      <c r="O183" s="675"/>
      <c r="P183" s="675"/>
      <c r="Q183" s="675"/>
      <c r="R183" s="675"/>
      <c r="S183" s="675"/>
      <c r="T183" s="675"/>
      <c r="U183" s="675"/>
      <c r="V183" s="675"/>
      <c r="W183" s="675"/>
      <c r="X183" s="675"/>
      <c r="Y183" s="676"/>
      <c r="Z183" s="676"/>
      <c r="AA183" s="676"/>
      <c r="AB183" s="677"/>
    </row>
    <row r="184" spans="2:28" s="780" customFormat="1" hidden="1" x14ac:dyDescent="0.45">
      <c r="B184" s="1692"/>
      <c r="C184" s="1696" t="s">
        <v>328</v>
      </c>
      <c r="D184" s="122" t="s">
        <v>326</v>
      </c>
      <c r="E184" s="678"/>
      <c r="F184" s="678"/>
      <c r="G184" s="678"/>
      <c r="H184" s="678"/>
      <c r="I184" s="678"/>
      <c r="J184" s="678"/>
      <c r="K184" s="678"/>
      <c r="L184" s="678"/>
      <c r="M184" s="678">
        <v>41</v>
      </c>
      <c r="N184" s="678"/>
      <c r="O184" s="678"/>
      <c r="P184" s="678"/>
      <c r="Q184" s="678"/>
      <c r="R184" s="678"/>
      <c r="S184" s="678"/>
      <c r="T184" s="678"/>
      <c r="U184" s="678"/>
      <c r="V184" s="678"/>
      <c r="W184" s="678"/>
      <c r="X184" s="678"/>
      <c r="Y184" s="679"/>
      <c r="Z184" s="679"/>
      <c r="AA184" s="679"/>
      <c r="AB184" s="680"/>
    </row>
    <row r="185" spans="2:28" s="780" customFormat="1" hidden="1" x14ac:dyDescent="0.45">
      <c r="B185" s="1692"/>
      <c r="C185" s="1697"/>
      <c r="D185" s="122" t="s">
        <v>327</v>
      </c>
      <c r="E185" s="678">
        <v>1</v>
      </c>
      <c r="F185" s="678">
        <v>1</v>
      </c>
      <c r="G185" s="678">
        <v>1</v>
      </c>
      <c r="H185" s="678">
        <v>81</v>
      </c>
      <c r="I185" s="678">
        <v>81</v>
      </c>
      <c r="J185" s="678">
        <v>81</v>
      </c>
      <c r="K185" s="678">
        <v>81</v>
      </c>
      <c r="L185" s="678">
        <v>81</v>
      </c>
      <c r="M185" s="678"/>
      <c r="N185" s="678"/>
      <c r="O185" s="678"/>
      <c r="P185" s="678"/>
      <c r="Q185" s="678"/>
      <c r="R185" s="678"/>
      <c r="S185" s="678"/>
      <c r="T185" s="678"/>
      <c r="U185" s="678"/>
      <c r="V185" s="678"/>
      <c r="W185" s="678"/>
      <c r="X185" s="681"/>
      <c r="Y185" s="679"/>
      <c r="Z185" s="679"/>
      <c r="AA185" s="679"/>
      <c r="AB185" s="680"/>
    </row>
    <row r="186" spans="2:28" s="780" customFormat="1" hidden="1" x14ac:dyDescent="0.45">
      <c r="B186" s="1692"/>
      <c r="C186" s="1698" t="s">
        <v>329</v>
      </c>
      <c r="D186" s="125" t="s">
        <v>326</v>
      </c>
      <c r="E186" s="682">
        <v>3</v>
      </c>
      <c r="F186" s="682">
        <v>3</v>
      </c>
      <c r="G186" s="682">
        <v>3</v>
      </c>
      <c r="H186" s="682">
        <v>3</v>
      </c>
      <c r="I186" s="682">
        <v>3</v>
      </c>
      <c r="J186" s="682">
        <v>3</v>
      </c>
      <c r="K186" s="682">
        <v>3</v>
      </c>
      <c r="L186" s="682">
        <v>3</v>
      </c>
      <c r="M186" s="682">
        <v>9</v>
      </c>
      <c r="N186" s="682"/>
      <c r="O186" s="682"/>
      <c r="P186" s="682"/>
      <c r="Q186" s="682"/>
      <c r="R186" s="682"/>
      <c r="S186" s="682"/>
      <c r="T186" s="682"/>
      <c r="U186" s="682"/>
      <c r="V186" s="682"/>
      <c r="W186" s="682"/>
      <c r="X186" s="682"/>
      <c r="Y186" s="683"/>
      <c r="Z186" s="683"/>
      <c r="AA186" s="683"/>
      <c r="AB186" s="684"/>
    </row>
    <row r="187" spans="2:28" s="780" customFormat="1" hidden="1" x14ac:dyDescent="0.45">
      <c r="B187" s="1692"/>
      <c r="C187" s="1695"/>
      <c r="D187" s="124" t="s">
        <v>327</v>
      </c>
      <c r="E187" s="675"/>
      <c r="F187" s="675"/>
      <c r="G187" s="675"/>
      <c r="H187" s="675"/>
      <c r="I187" s="675"/>
      <c r="J187" s="675"/>
      <c r="K187" s="675"/>
      <c r="L187" s="675"/>
      <c r="M187" s="675"/>
      <c r="N187" s="675"/>
      <c r="O187" s="675"/>
      <c r="P187" s="675"/>
      <c r="Q187" s="675"/>
      <c r="R187" s="675"/>
      <c r="S187" s="675"/>
      <c r="T187" s="675"/>
      <c r="U187" s="675"/>
      <c r="V187" s="675"/>
      <c r="W187" s="675"/>
      <c r="X187" s="675"/>
      <c r="Y187" s="676"/>
      <c r="Z187" s="676"/>
      <c r="AA187" s="676"/>
      <c r="AB187" s="677"/>
    </row>
    <row r="188" spans="2:28" s="780" customFormat="1" hidden="1" x14ac:dyDescent="0.45">
      <c r="B188" s="1692"/>
      <c r="C188" s="1696" t="s">
        <v>330</v>
      </c>
      <c r="D188" s="122" t="s">
        <v>326</v>
      </c>
      <c r="E188" s="678">
        <v>41</v>
      </c>
      <c r="F188" s="678">
        <v>41</v>
      </c>
      <c r="G188" s="678">
        <v>41</v>
      </c>
      <c r="H188" s="678">
        <v>41</v>
      </c>
      <c r="I188" s="678">
        <v>41</v>
      </c>
      <c r="J188" s="678">
        <v>41</v>
      </c>
      <c r="K188" s="678">
        <v>41</v>
      </c>
      <c r="L188" s="678">
        <v>41</v>
      </c>
      <c r="M188" s="678"/>
      <c r="N188" s="678"/>
      <c r="O188" s="678"/>
      <c r="P188" s="678"/>
      <c r="Q188" s="678"/>
      <c r="R188" s="678"/>
      <c r="S188" s="678"/>
      <c r="T188" s="678"/>
      <c r="U188" s="678"/>
      <c r="V188" s="678"/>
      <c r="W188" s="678"/>
      <c r="X188" s="678"/>
      <c r="Y188" s="679"/>
      <c r="Z188" s="679"/>
      <c r="AA188" s="679"/>
      <c r="AB188" s="680"/>
    </row>
    <row r="189" spans="2:28" s="780" customFormat="1" hidden="1" x14ac:dyDescent="0.45">
      <c r="B189" s="1692"/>
      <c r="C189" s="1697"/>
      <c r="D189" s="122" t="s">
        <v>327</v>
      </c>
      <c r="E189" s="678"/>
      <c r="F189" s="678"/>
      <c r="G189" s="678"/>
      <c r="H189" s="678"/>
      <c r="I189" s="678"/>
      <c r="J189" s="678"/>
      <c r="K189" s="678"/>
      <c r="L189" s="678"/>
      <c r="M189" s="678"/>
      <c r="N189" s="678"/>
      <c r="O189" s="678"/>
      <c r="P189" s="678"/>
      <c r="Q189" s="678"/>
      <c r="R189" s="678"/>
      <c r="S189" s="678"/>
      <c r="T189" s="678"/>
      <c r="U189" s="678"/>
      <c r="V189" s="678"/>
      <c r="W189" s="678"/>
      <c r="X189" s="681"/>
      <c r="Y189" s="679"/>
      <c r="Z189" s="679"/>
      <c r="AA189" s="679"/>
      <c r="AB189" s="680"/>
    </row>
    <row r="190" spans="2:28" s="780" customFormat="1" hidden="1" x14ac:dyDescent="0.45">
      <c r="B190" s="1692"/>
      <c r="C190" s="1698" t="s">
        <v>331</v>
      </c>
      <c r="D190" s="125" t="s">
        <v>326</v>
      </c>
      <c r="E190" s="682">
        <v>1</v>
      </c>
      <c r="F190" s="682">
        <v>1</v>
      </c>
      <c r="G190" s="685">
        <v>1</v>
      </c>
      <c r="H190" s="682">
        <v>1</v>
      </c>
      <c r="I190" s="682">
        <v>1</v>
      </c>
      <c r="J190" s="682">
        <v>1</v>
      </c>
      <c r="K190" s="682">
        <v>1</v>
      </c>
      <c r="L190" s="682">
        <v>1</v>
      </c>
      <c r="M190" s="682"/>
      <c r="N190" s="682"/>
      <c r="O190" s="682"/>
      <c r="P190" s="682"/>
      <c r="Q190" s="682"/>
      <c r="R190" s="682"/>
      <c r="S190" s="682"/>
      <c r="T190" s="682"/>
      <c r="U190" s="682"/>
      <c r="V190" s="682"/>
      <c r="W190" s="682"/>
      <c r="X190" s="682"/>
      <c r="Y190" s="683"/>
      <c r="Z190" s="683"/>
      <c r="AA190" s="683"/>
      <c r="AB190" s="684"/>
    </row>
    <row r="191" spans="2:28" s="780" customFormat="1" hidden="1" x14ac:dyDescent="0.45">
      <c r="B191" s="1692"/>
      <c r="C191" s="1695"/>
      <c r="D191" s="124" t="s">
        <v>327</v>
      </c>
      <c r="E191" s="675"/>
      <c r="F191" s="675"/>
      <c r="G191" s="686"/>
      <c r="H191" s="675"/>
      <c r="I191" s="675"/>
      <c r="J191" s="675"/>
      <c r="K191" s="675"/>
      <c r="L191" s="675"/>
      <c r="M191" s="675">
        <v>81</v>
      </c>
      <c r="N191" s="675"/>
      <c r="O191" s="675"/>
      <c r="P191" s="675"/>
      <c r="Q191" s="675"/>
      <c r="R191" s="675"/>
      <c r="S191" s="675"/>
      <c r="T191" s="675"/>
      <c r="U191" s="675"/>
      <c r="V191" s="675"/>
      <c r="W191" s="675"/>
      <c r="X191" s="675"/>
      <c r="Y191" s="676"/>
      <c r="Z191" s="676"/>
      <c r="AA191" s="676"/>
      <c r="AB191" s="677"/>
    </row>
    <row r="192" spans="2:28" s="780" customFormat="1" hidden="1" x14ac:dyDescent="0.45">
      <c r="B192" s="1692"/>
      <c r="C192" s="1696" t="s">
        <v>332</v>
      </c>
      <c r="D192" s="122" t="s">
        <v>326</v>
      </c>
      <c r="E192" s="678">
        <v>70</v>
      </c>
      <c r="F192" s="678">
        <v>70</v>
      </c>
      <c r="G192" s="678">
        <v>70</v>
      </c>
      <c r="H192" s="678">
        <v>70</v>
      </c>
      <c r="I192" s="678">
        <v>70</v>
      </c>
      <c r="J192" s="678">
        <v>70</v>
      </c>
      <c r="K192" s="678">
        <v>70</v>
      </c>
      <c r="L192" s="678">
        <v>70</v>
      </c>
      <c r="M192" s="678">
        <v>82</v>
      </c>
      <c r="N192" s="678"/>
      <c r="O192" s="678"/>
      <c r="P192" s="678"/>
      <c r="Q192" s="678"/>
      <c r="R192" s="678"/>
      <c r="S192" s="678"/>
      <c r="T192" s="678"/>
      <c r="U192" s="678"/>
      <c r="V192" s="678"/>
      <c r="W192" s="679"/>
      <c r="X192" s="679"/>
      <c r="Y192" s="679"/>
      <c r="Z192" s="679"/>
      <c r="AA192" s="679"/>
      <c r="AB192" s="680"/>
    </row>
    <row r="193" spans="2:28" s="780" customFormat="1" hidden="1" x14ac:dyDescent="0.45">
      <c r="B193" s="1692"/>
      <c r="C193" s="1697"/>
      <c r="D193" s="122" t="s">
        <v>327</v>
      </c>
      <c r="E193" s="678"/>
      <c r="F193" s="678"/>
      <c r="G193" s="678"/>
      <c r="H193" s="678"/>
      <c r="I193" s="678"/>
      <c r="J193" s="678"/>
      <c r="K193" s="678"/>
      <c r="L193" s="678"/>
      <c r="M193" s="678"/>
      <c r="N193" s="678"/>
      <c r="O193" s="678"/>
      <c r="P193" s="678"/>
      <c r="Q193" s="678"/>
      <c r="R193" s="678"/>
      <c r="S193" s="678"/>
      <c r="T193" s="678"/>
      <c r="U193" s="678"/>
      <c r="V193" s="678"/>
      <c r="W193" s="678"/>
      <c r="X193" s="678"/>
      <c r="Y193" s="679"/>
      <c r="Z193" s="679"/>
      <c r="AA193" s="679"/>
      <c r="AB193" s="680"/>
    </row>
    <row r="194" spans="2:28" s="780" customFormat="1" hidden="1" x14ac:dyDescent="0.45">
      <c r="B194" s="1692"/>
      <c r="C194" s="1698" t="s">
        <v>333</v>
      </c>
      <c r="D194" s="124" t="s">
        <v>326</v>
      </c>
      <c r="E194" s="675">
        <v>4</v>
      </c>
      <c r="F194" s="675">
        <v>4</v>
      </c>
      <c r="G194" s="675">
        <v>4</v>
      </c>
      <c r="H194" s="675">
        <v>4</v>
      </c>
      <c r="I194" s="675">
        <v>4</v>
      </c>
      <c r="J194" s="675">
        <v>4</v>
      </c>
      <c r="K194" s="675">
        <v>4</v>
      </c>
      <c r="L194" s="675">
        <v>4</v>
      </c>
      <c r="M194" s="675">
        <v>84</v>
      </c>
      <c r="N194" s="675"/>
      <c r="O194" s="675"/>
      <c r="P194" s="675"/>
      <c r="Q194" s="675"/>
      <c r="R194" s="675"/>
      <c r="S194" s="675"/>
      <c r="T194" s="675"/>
      <c r="U194" s="675"/>
      <c r="V194" s="675"/>
      <c r="W194" s="676"/>
      <c r="X194" s="676"/>
      <c r="Y194" s="676"/>
      <c r="Z194" s="676"/>
      <c r="AA194" s="676"/>
      <c r="AB194" s="677"/>
    </row>
    <row r="195" spans="2:28" s="780" customFormat="1" hidden="1" x14ac:dyDescent="0.45">
      <c r="B195" s="1693"/>
      <c r="C195" s="1699"/>
      <c r="D195" s="126" t="s">
        <v>327</v>
      </c>
      <c r="E195" s="687"/>
      <c r="F195" s="687"/>
      <c r="G195" s="687"/>
      <c r="H195" s="687"/>
      <c r="I195" s="687"/>
      <c r="J195" s="687"/>
      <c r="K195" s="687"/>
      <c r="L195" s="687"/>
      <c r="M195" s="687"/>
      <c r="N195" s="687"/>
      <c r="O195" s="687"/>
      <c r="P195" s="687"/>
      <c r="Q195" s="687"/>
      <c r="R195" s="687"/>
      <c r="S195" s="687"/>
      <c r="T195" s="687"/>
      <c r="U195" s="687"/>
      <c r="V195" s="687"/>
      <c r="W195" s="687"/>
      <c r="X195" s="687"/>
      <c r="Y195" s="687"/>
      <c r="Z195" s="687"/>
      <c r="AA195" s="687"/>
      <c r="AB195" s="688"/>
    </row>
    <row r="196" spans="2:28" s="780" customFormat="1" hidden="1" x14ac:dyDescent="0.45"/>
    <row r="197" spans="2:28" s="780" customFormat="1" hidden="1" x14ac:dyDescent="0.45">
      <c r="B197" s="1688" t="s">
        <v>54</v>
      </c>
      <c r="C197" s="1689"/>
      <c r="D197" s="1690"/>
      <c r="E197" s="1034">
        <v>4</v>
      </c>
      <c r="F197" s="1034">
        <v>4</v>
      </c>
      <c r="G197" s="1034">
        <v>4</v>
      </c>
      <c r="H197" s="1034">
        <v>4</v>
      </c>
      <c r="I197" s="1034">
        <v>4</v>
      </c>
      <c r="J197" s="1034">
        <v>4</v>
      </c>
      <c r="K197" s="1199">
        <v>13</v>
      </c>
      <c r="L197" s="1199">
        <v>13</v>
      </c>
      <c r="M197" s="1199">
        <v>14</v>
      </c>
      <c r="N197" s="779"/>
      <c r="O197" s="779"/>
      <c r="P197" s="779"/>
      <c r="Q197" s="779"/>
      <c r="R197" s="779"/>
      <c r="S197" s="779"/>
      <c r="T197" s="779"/>
      <c r="U197" s="779"/>
      <c r="V197" s="779"/>
      <c r="W197" s="779"/>
      <c r="X197" s="779"/>
      <c r="Y197" s="779"/>
      <c r="Z197" s="779"/>
      <c r="AA197" s="779"/>
      <c r="AB197" s="708"/>
    </row>
    <row r="198" spans="2:28" s="780" customFormat="1" ht="15" hidden="1" customHeight="1" x14ac:dyDescent="0.45">
      <c r="B198" s="1691" t="str">
        <f>CONCATENATE("Plan ", INDEX(plans_index,,(ROW(B198)-6)/16), ": ", INDEX(plans_name,,(ROW(B198)-6)/16))</f>
        <v>Plan 12: Lauren Dunne</v>
      </c>
      <c r="C198" s="1694" t="s">
        <v>325</v>
      </c>
      <c r="D198" s="123" t="s">
        <v>326</v>
      </c>
      <c r="E198" s="672"/>
      <c r="F198" s="672"/>
      <c r="G198" s="672"/>
      <c r="H198" s="673"/>
      <c r="I198" s="672"/>
      <c r="J198" s="672"/>
      <c r="K198" s="672"/>
      <c r="L198" s="672"/>
      <c r="M198" s="672"/>
      <c r="N198" s="672"/>
      <c r="O198" s="672"/>
      <c r="P198" s="672"/>
      <c r="Q198" s="672"/>
      <c r="R198" s="672"/>
      <c r="S198" s="672"/>
      <c r="T198" s="672"/>
      <c r="U198" s="672"/>
      <c r="V198" s="672"/>
      <c r="W198" s="672"/>
      <c r="X198" s="672"/>
      <c r="Y198" s="672"/>
      <c r="Z198" s="672"/>
      <c r="AA198" s="672"/>
      <c r="AB198" s="674"/>
    </row>
    <row r="199" spans="2:28" s="780" customFormat="1" hidden="1" x14ac:dyDescent="0.45">
      <c r="B199" s="1692"/>
      <c r="C199" s="1695"/>
      <c r="D199" s="124" t="s">
        <v>327</v>
      </c>
      <c r="E199" s="675"/>
      <c r="F199" s="675"/>
      <c r="G199" s="675"/>
      <c r="H199" s="675"/>
      <c r="I199" s="675"/>
      <c r="J199" s="675"/>
      <c r="K199" s="675"/>
      <c r="L199" s="675"/>
      <c r="M199" s="675"/>
      <c r="N199" s="675"/>
      <c r="O199" s="675"/>
      <c r="P199" s="675"/>
      <c r="Q199" s="675"/>
      <c r="R199" s="675"/>
      <c r="S199" s="675"/>
      <c r="T199" s="675"/>
      <c r="U199" s="675"/>
      <c r="V199" s="675"/>
      <c r="W199" s="675"/>
      <c r="X199" s="675"/>
      <c r="Y199" s="676"/>
      <c r="Z199" s="676"/>
      <c r="AA199" s="676"/>
      <c r="AB199" s="677"/>
    </row>
    <row r="200" spans="2:28" s="780" customFormat="1" hidden="1" x14ac:dyDescent="0.45">
      <c r="B200" s="1692"/>
      <c r="C200" s="1696" t="s">
        <v>328</v>
      </c>
      <c r="D200" s="122" t="s">
        <v>326</v>
      </c>
      <c r="E200" s="678"/>
      <c r="F200" s="678"/>
      <c r="G200" s="678"/>
      <c r="H200" s="678"/>
      <c r="I200" s="678"/>
      <c r="J200" s="678"/>
      <c r="K200" s="678"/>
      <c r="L200" s="678"/>
      <c r="M200" s="678">
        <v>41</v>
      </c>
      <c r="N200" s="678"/>
      <c r="O200" s="678"/>
      <c r="P200" s="678"/>
      <c r="Q200" s="678"/>
      <c r="R200" s="678"/>
      <c r="S200" s="678"/>
      <c r="T200" s="678"/>
      <c r="U200" s="678"/>
      <c r="V200" s="678"/>
      <c r="W200" s="678"/>
      <c r="X200" s="678"/>
      <c r="Y200" s="679"/>
      <c r="Z200" s="679"/>
      <c r="AA200" s="679"/>
      <c r="AB200" s="680"/>
    </row>
    <row r="201" spans="2:28" s="780" customFormat="1" hidden="1" x14ac:dyDescent="0.45">
      <c r="B201" s="1692"/>
      <c r="C201" s="1697"/>
      <c r="D201" s="122" t="s">
        <v>327</v>
      </c>
      <c r="E201" s="678">
        <v>1</v>
      </c>
      <c r="F201" s="678">
        <v>1</v>
      </c>
      <c r="G201" s="678">
        <v>1</v>
      </c>
      <c r="H201" s="678">
        <v>81</v>
      </c>
      <c r="I201" s="678">
        <v>81</v>
      </c>
      <c r="J201" s="678">
        <v>81</v>
      </c>
      <c r="K201" s="678">
        <v>81</v>
      </c>
      <c r="L201" s="678">
        <v>81</v>
      </c>
      <c r="M201" s="678"/>
      <c r="N201" s="678"/>
      <c r="O201" s="678"/>
      <c r="P201" s="678"/>
      <c r="Q201" s="678"/>
      <c r="R201" s="678"/>
      <c r="S201" s="678"/>
      <c r="T201" s="678"/>
      <c r="U201" s="678"/>
      <c r="V201" s="678"/>
      <c r="W201" s="678"/>
      <c r="X201" s="681"/>
      <c r="Y201" s="679"/>
      <c r="Z201" s="679"/>
      <c r="AA201" s="679"/>
      <c r="AB201" s="680"/>
    </row>
    <row r="202" spans="2:28" s="780" customFormat="1" hidden="1" x14ac:dyDescent="0.45">
      <c r="B202" s="1692"/>
      <c r="C202" s="1698" t="s">
        <v>329</v>
      </c>
      <c r="D202" s="125" t="s">
        <v>326</v>
      </c>
      <c r="E202" s="682">
        <v>3</v>
      </c>
      <c r="F202" s="682">
        <v>3</v>
      </c>
      <c r="G202" s="682">
        <v>3</v>
      </c>
      <c r="H202" s="682">
        <v>3</v>
      </c>
      <c r="I202" s="682">
        <v>3</v>
      </c>
      <c r="J202" s="682">
        <v>3</v>
      </c>
      <c r="K202" s="682">
        <v>3</v>
      </c>
      <c r="L202" s="682">
        <v>3</v>
      </c>
      <c r="M202" s="682">
        <v>9</v>
      </c>
      <c r="N202" s="682"/>
      <c r="O202" s="682"/>
      <c r="P202" s="682"/>
      <c r="Q202" s="682"/>
      <c r="R202" s="682"/>
      <c r="S202" s="682"/>
      <c r="T202" s="682"/>
      <c r="U202" s="682"/>
      <c r="V202" s="682"/>
      <c r="W202" s="682"/>
      <c r="X202" s="682"/>
      <c r="Y202" s="683"/>
      <c r="Z202" s="683"/>
      <c r="AA202" s="683"/>
      <c r="AB202" s="684"/>
    </row>
    <row r="203" spans="2:28" s="780" customFormat="1" hidden="1" x14ac:dyDescent="0.45">
      <c r="B203" s="1692"/>
      <c r="C203" s="1695"/>
      <c r="D203" s="124" t="s">
        <v>327</v>
      </c>
      <c r="E203" s="675"/>
      <c r="F203" s="675"/>
      <c r="G203" s="675"/>
      <c r="H203" s="675"/>
      <c r="I203" s="675"/>
      <c r="J203" s="675"/>
      <c r="K203" s="675"/>
      <c r="L203" s="675"/>
      <c r="M203" s="675"/>
      <c r="N203" s="675"/>
      <c r="O203" s="675"/>
      <c r="P203" s="675"/>
      <c r="Q203" s="675"/>
      <c r="R203" s="675"/>
      <c r="S203" s="675"/>
      <c r="T203" s="675"/>
      <c r="U203" s="675"/>
      <c r="V203" s="675"/>
      <c r="W203" s="675"/>
      <c r="X203" s="675"/>
      <c r="Y203" s="676"/>
      <c r="Z203" s="676"/>
      <c r="AA203" s="676"/>
      <c r="AB203" s="677"/>
    </row>
    <row r="204" spans="2:28" s="780" customFormat="1" hidden="1" x14ac:dyDescent="0.45">
      <c r="B204" s="1692"/>
      <c r="C204" s="1696" t="s">
        <v>330</v>
      </c>
      <c r="D204" s="122" t="s">
        <v>326</v>
      </c>
      <c r="E204" s="678">
        <v>41</v>
      </c>
      <c r="F204" s="678">
        <v>41</v>
      </c>
      <c r="G204" s="678">
        <v>41</v>
      </c>
      <c r="H204" s="678">
        <v>41</v>
      </c>
      <c r="I204" s="678">
        <v>41</v>
      </c>
      <c r="J204" s="678">
        <v>41</v>
      </c>
      <c r="K204" s="678">
        <v>41</v>
      </c>
      <c r="L204" s="678">
        <v>41</v>
      </c>
      <c r="M204" s="678"/>
      <c r="N204" s="678"/>
      <c r="O204" s="678"/>
      <c r="P204" s="678"/>
      <c r="Q204" s="678"/>
      <c r="R204" s="678"/>
      <c r="S204" s="678"/>
      <c r="T204" s="678"/>
      <c r="U204" s="678"/>
      <c r="V204" s="678"/>
      <c r="W204" s="678"/>
      <c r="X204" s="678"/>
      <c r="Y204" s="679"/>
      <c r="Z204" s="679"/>
      <c r="AA204" s="679"/>
      <c r="AB204" s="680"/>
    </row>
    <row r="205" spans="2:28" s="780" customFormat="1" hidden="1" x14ac:dyDescent="0.45">
      <c r="B205" s="1692"/>
      <c r="C205" s="1697"/>
      <c r="D205" s="122" t="s">
        <v>327</v>
      </c>
      <c r="E205" s="678"/>
      <c r="F205" s="678"/>
      <c r="G205" s="678"/>
      <c r="H205" s="678"/>
      <c r="I205" s="678"/>
      <c r="J205" s="678"/>
      <c r="K205" s="678"/>
      <c r="L205" s="678"/>
      <c r="M205" s="678"/>
      <c r="N205" s="678"/>
      <c r="O205" s="678"/>
      <c r="P205" s="678"/>
      <c r="Q205" s="678"/>
      <c r="R205" s="678"/>
      <c r="S205" s="678"/>
      <c r="T205" s="678"/>
      <c r="U205" s="678"/>
      <c r="V205" s="678"/>
      <c r="W205" s="678"/>
      <c r="X205" s="681"/>
      <c r="Y205" s="679"/>
      <c r="Z205" s="679"/>
      <c r="AA205" s="679"/>
      <c r="AB205" s="680"/>
    </row>
    <row r="206" spans="2:28" s="780" customFormat="1" hidden="1" x14ac:dyDescent="0.45">
      <c r="B206" s="1692"/>
      <c r="C206" s="1698" t="s">
        <v>331</v>
      </c>
      <c r="D206" s="125" t="s">
        <v>326</v>
      </c>
      <c r="E206" s="682">
        <v>1</v>
      </c>
      <c r="F206" s="682">
        <v>1</v>
      </c>
      <c r="G206" s="685">
        <v>1</v>
      </c>
      <c r="H206" s="682">
        <v>1</v>
      </c>
      <c r="I206" s="682">
        <v>1</v>
      </c>
      <c r="J206" s="682">
        <v>1</v>
      </c>
      <c r="K206" s="682">
        <v>1</v>
      </c>
      <c r="L206" s="682">
        <v>1</v>
      </c>
      <c r="M206" s="682"/>
      <c r="N206" s="682"/>
      <c r="O206" s="682"/>
      <c r="P206" s="682"/>
      <c r="Q206" s="682"/>
      <c r="R206" s="682"/>
      <c r="S206" s="682"/>
      <c r="T206" s="682"/>
      <c r="U206" s="682"/>
      <c r="V206" s="682"/>
      <c r="W206" s="682"/>
      <c r="X206" s="682"/>
      <c r="Y206" s="683"/>
      <c r="Z206" s="683"/>
      <c r="AA206" s="683"/>
      <c r="AB206" s="684"/>
    </row>
    <row r="207" spans="2:28" s="780" customFormat="1" hidden="1" x14ac:dyDescent="0.45">
      <c r="B207" s="1692"/>
      <c r="C207" s="1695"/>
      <c r="D207" s="124" t="s">
        <v>327</v>
      </c>
      <c r="E207" s="675"/>
      <c r="F207" s="675"/>
      <c r="G207" s="686"/>
      <c r="H207" s="675"/>
      <c r="I207" s="675"/>
      <c r="J207" s="675"/>
      <c r="K207" s="675"/>
      <c r="L207" s="675"/>
      <c r="M207" s="675">
        <v>81</v>
      </c>
      <c r="N207" s="675"/>
      <c r="O207" s="675"/>
      <c r="P207" s="675"/>
      <c r="Q207" s="675"/>
      <c r="R207" s="675"/>
      <c r="S207" s="675"/>
      <c r="T207" s="675"/>
      <c r="U207" s="675"/>
      <c r="V207" s="675"/>
      <c r="W207" s="675"/>
      <c r="X207" s="675"/>
      <c r="Y207" s="676"/>
      <c r="Z207" s="676"/>
      <c r="AA207" s="676"/>
      <c r="AB207" s="677"/>
    </row>
    <row r="208" spans="2:28" s="780" customFormat="1" hidden="1" x14ac:dyDescent="0.45">
      <c r="B208" s="1692"/>
      <c r="C208" s="1696" t="s">
        <v>332</v>
      </c>
      <c r="D208" s="122" t="s">
        <v>326</v>
      </c>
      <c r="E208" s="678">
        <v>70</v>
      </c>
      <c r="F208" s="678">
        <v>70</v>
      </c>
      <c r="G208" s="678">
        <v>70</v>
      </c>
      <c r="H208" s="678">
        <v>70</v>
      </c>
      <c r="I208" s="678">
        <v>70</v>
      </c>
      <c r="J208" s="678">
        <v>70</v>
      </c>
      <c r="K208" s="678">
        <v>70</v>
      </c>
      <c r="L208" s="678">
        <v>70</v>
      </c>
      <c r="M208" s="678">
        <v>82</v>
      </c>
      <c r="N208" s="678"/>
      <c r="O208" s="678"/>
      <c r="P208" s="678"/>
      <c r="Q208" s="678"/>
      <c r="R208" s="678"/>
      <c r="S208" s="678"/>
      <c r="T208" s="678"/>
      <c r="U208" s="678"/>
      <c r="V208" s="678"/>
      <c r="W208" s="679"/>
      <c r="X208" s="679"/>
      <c r="Y208" s="679"/>
      <c r="Z208" s="679"/>
      <c r="AA208" s="679"/>
      <c r="AB208" s="680"/>
    </row>
    <row r="209" spans="2:28" s="780" customFormat="1" hidden="1" x14ac:dyDescent="0.45">
      <c r="B209" s="1692"/>
      <c r="C209" s="1697"/>
      <c r="D209" s="122" t="s">
        <v>327</v>
      </c>
      <c r="E209" s="678"/>
      <c r="F209" s="678"/>
      <c r="G209" s="678"/>
      <c r="H209" s="678"/>
      <c r="I209" s="678"/>
      <c r="J209" s="678"/>
      <c r="K209" s="678"/>
      <c r="L209" s="678"/>
      <c r="M209" s="678"/>
      <c r="N209" s="678"/>
      <c r="O209" s="678"/>
      <c r="P209" s="678"/>
      <c r="Q209" s="678"/>
      <c r="R209" s="678"/>
      <c r="S209" s="678"/>
      <c r="T209" s="678"/>
      <c r="U209" s="678"/>
      <c r="V209" s="678"/>
      <c r="W209" s="678"/>
      <c r="X209" s="678"/>
      <c r="Y209" s="679"/>
      <c r="Z209" s="679"/>
      <c r="AA209" s="679"/>
      <c r="AB209" s="680"/>
    </row>
    <row r="210" spans="2:28" s="780" customFormat="1" hidden="1" x14ac:dyDescent="0.45">
      <c r="B210" s="1692"/>
      <c r="C210" s="1698" t="s">
        <v>333</v>
      </c>
      <c r="D210" s="124" t="s">
        <v>326</v>
      </c>
      <c r="E210" s="675">
        <v>4</v>
      </c>
      <c r="F210" s="675">
        <v>4</v>
      </c>
      <c r="G210" s="675">
        <v>4</v>
      </c>
      <c r="H210" s="675">
        <v>4</v>
      </c>
      <c r="I210" s="675">
        <v>4</v>
      </c>
      <c r="J210" s="675">
        <v>4</v>
      </c>
      <c r="K210" s="675">
        <v>4</v>
      </c>
      <c r="L210" s="675">
        <v>4</v>
      </c>
      <c r="M210" s="675">
        <v>84</v>
      </c>
      <c r="N210" s="675"/>
      <c r="O210" s="675"/>
      <c r="P210" s="675"/>
      <c r="Q210" s="675"/>
      <c r="R210" s="675"/>
      <c r="S210" s="675"/>
      <c r="T210" s="675"/>
      <c r="U210" s="675"/>
      <c r="V210" s="675"/>
      <c r="W210" s="676"/>
      <c r="X210" s="676"/>
      <c r="Y210" s="676"/>
      <c r="Z210" s="676"/>
      <c r="AA210" s="676"/>
      <c r="AB210" s="677"/>
    </row>
    <row r="211" spans="2:28" s="780" customFormat="1" hidden="1" x14ac:dyDescent="0.45">
      <c r="B211" s="1693"/>
      <c r="C211" s="1699"/>
      <c r="D211" s="126" t="s">
        <v>327</v>
      </c>
      <c r="E211" s="687"/>
      <c r="F211" s="687"/>
      <c r="G211" s="687"/>
      <c r="H211" s="687"/>
      <c r="I211" s="687"/>
      <c r="J211" s="687"/>
      <c r="K211" s="687"/>
      <c r="L211" s="687"/>
      <c r="M211" s="687"/>
      <c r="N211" s="687"/>
      <c r="O211" s="687"/>
      <c r="P211" s="687"/>
      <c r="Q211" s="687"/>
      <c r="R211" s="687"/>
      <c r="S211" s="687"/>
      <c r="T211" s="687"/>
      <c r="U211" s="687"/>
      <c r="V211" s="687"/>
      <c r="W211" s="687"/>
      <c r="X211" s="687"/>
      <c r="Y211" s="687"/>
      <c r="Z211" s="687"/>
      <c r="AA211" s="687"/>
      <c r="AB211" s="688"/>
    </row>
    <row r="212" spans="2:28" s="780" customFormat="1" hidden="1" x14ac:dyDescent="0.45"/>
    <row r="213" spans="2:28" s="780" customFormat="1" hidden="1" x14ac:dyDescent="0.45">
      <c r="B213" s="1688" t="s">
        <v>54</v>
      </c>
      <c r="C213" s="1689"/>
      <c r="D213" s="1690"/>
      <c r="E213" s="779">
        <v>9</v>
      </c>
      <c r="F213" s="779">
        <v>9</v>
      </c>
      <c r="G213" s="779">
        <v>9</v>
      </c>
      <c r="H213" s="779">
        <v>9</v>
      </c>
      <c r="I213" s="779">
        <v>9</v>
      </c>
      <c r="J213" s="779">
        <v>2</v>
      </c>
      <c r="K213" s="779">
        <v>6</v>
      </c>
      <c r="L213" s="779">
        <v>6</v>
      </c>
      <c r="M213" s="779">
        <v>6</v>
      </c>
      <c r="N213" s="779">
        <v>6</v>
      </c>
      <c r="O213" s="779">
        <v>2</v>
      </c>
      <c r="P213" s="779">
        <v>2</v>
      </c>
      <c r="Q213" s="779">
        <v>3</v>
      </c>
      <c r="R213" s="779">
        <v>3</v>
      </c>
      <c r="S213" s="779">
        <v>13</v>
      </c>
      <c r="T213" s="779">
        <v>13</v>
      </c>
      <c r="U213" s="779">
        <v>14</v>
      </c>
      <c r="V213" s="779"/>
      <c r="W213" s="779"/>
      <c r="X213" s="779"/>
      <c r="Y213" s="779"/>
      <c r="Z213" s="779"/>
      <c r="AA213" s="779"/>
      <c r="AB213" s="708"/>
    </row>
    <row r="214" spans="2:28" s="780" customFormat="1" ht="15" hidden="1" customHeight="1" x14ac:dyDescent="0.45">
      <c r="B214" s="1691" t="str">
        <f>CONCATENATE("Plan ", INDEX(plans_index,,(ROW(B214)-6)/16), ": ", INDEX(plans_name,,(ROW(B214)-6)/16))</f>
        <v>Plan 13: Ashleigh Neave</v>
      </c>
      <c r="C214" s="1694" t="s">
        <v>325</v>
      </c>
      <c r="D214" s="123" t="s">
        <v>326</v>
      </c>
      <c r="E214" s="672"/>
      <c r="F214" s="672"/>
      <c r="G214" s="672"/>
      <c r="H214" s="672"/>
      <c r="I214" s="672"/>
      <c r="J214" s="672"/>
      <c r="K214" s="672"/>
      <c r="L214" s="672"/>
      <c r="M214" s="672"/>
      <c r="N214" s="672"/>
      <c r="O214" s="672"/>
      <c r="P214" s="672"/>
      <c r="Q214" s="672"/>
      <c r="R214" s="672"/>
      <c r="S214" s="672"/>
      <c r="T214" s="672"/>
      <c r="U214" s="672"/>
      <c r="V214" s="672"/>
      <c r="W214" s="672"/>
      <c r="X214" s="672"/>
      <c r="Y214" s="672"/>
      <c r="Z214" s="672"/>
      <c r="AA214" s="672"/>
      <c r="AB214" s="674"/>
    </row>
    <row r="215" spans="2:28" s="780" customFormat="1" hidden="1" x14ac:dyDescent="0.45">
      <c r="B215" s="1692"/>
      <c r="C215" s="1695"/>
      <c r="D215" s="124" t="s">
        <v>327</v>
      </c>
      <c r="E215" s="675">
        <v>222</v>
      </c>
      <c r="F215" s="675">
        <v>222</v>
      </c>
      <c r="G215" s="675">
        <v>222</v>
      </c>
      <c r="H215" s="675">
        <v>222</v>
      </c>
      <c r="I215" s="675">
        <v>78</v>
      </c>
      <c r="J215" s="675">
        <v>2</v>
      </c>
      <c r="K215" s="675">
        <v>222</v>
      </c>
      <c r="L215" s="675">
        <v>222</v>
      </c>
      <c r="M215" s="675">
        <v>222</v>
      </c>
      <c r="N215" s="675">
        <v>222</v>
      </c>
      <c r="O215" s="675">
        <v>222</v>
      </c>
      <c r="P215" s="675">
        <v>222</v>
      </c>
      <c r="Q215" s="675">
        <v>222</v>
      </c>
      <c r="R215" s="675">
        <v>222</v>
      </c>
      <c r="S215" s="675">
        <v>222</v>
      </c>
      <c r="T215" s="675">
        <v>222</v>
      </c>
      <c r="U215" s="675">
        <v>231</v>
      </c>
      <c r="V215" s="675"/>
      <c r="W215" s="675"/>
      <c r="X215" s="675"/>
      <c r="Y215" s="675"/>
      <c r="Z215" s="675"/>
      <c r="AA215" s="675"/>
      <c r="AB215" s="1421"/>
    </row>
    <row r="216" spans="2:28" s="780" customFormat="1" hidden="1" x14ac:dyDescent="0.45">
      <c r="B216" s="1692"/>
      <c r="C216" s="1696" t="s">
        <v>328</v>
      </c>
      <c r="D216" s="122" t="s">
        <v>326</v>
      </c>
      <c r="E216" s="678">
        <v>126</v>
      </c>
      <c r="F216" s="678">
        <v>126</v>
      </c>
      <c r="G216" s="678">
        <v>126</v>
      </c>
      <c r="H216" s="678">
        <v>7</v>
      </c>
      <c r="I216" s="678">
        <v>126</v>
      </c>
      <c r="J216" s="678">
        <v>126</v>
      </c>
      <c r="K216" s="678">
        <v>126</v>
      </c>
      <c r="L216" s="678">
        <v>126</v>
      </c>
      <c r="M216" s="678">
        <v>126</v>
      </c>
      <c r="N216" s="678">
        <v>126</v>
      </c>
      <c r="O216" s="678">
        <v>126</v>
      </c>
      <c r="P216" s="678">
        <v>18</v>
      </c>
      <c r="Q216" s="678">
        <v>126</v>
      </c>
      <c r="R216" s="678">
        <v>126</v>
      </c>
      <c r="S216" s="678">
        <v>126</v>
      </c>
      <c r="T216" s="678">
        <v>126</v>
      </c>
      <c r="U216" s="678">
        <v>126</v>
      </c>
      <c r="V216" s="678"/>
      <c r="W216" s="678"/>
      <c r="X216" s="678"/>
      <c r="Y216" s="678"/>
      <c r="Z216" s="678"/>
      <c r="AA216" s="678"/>
      <c r="AB216" s="1422"/>
    </row>
    <row r="217" spans="2:28" s="780" customFormat="1" hidden="1" x14ac:dyDescent="0.45">
      <c r="B217" s="1692"/>
      <c r="C217" s="1697"/>
      <c r="D217" s="122" t="s">
        <v>327</v>
      </c>
      <c r="E217" s="678"/>
      <c r="F217" s="678"/>
      <c r="G217" s="678"/>
      <c r="H217" s="678"/>
      <c r="I217" s="678"/>
      <c r="J217" s="678"/>
      <c r="K217" s="678"/>
      <c r="L217" s="678"/>
      <c r="M217" s="678"/>
      <c r="N217" s="678"/>
      <c r="O217" s="678"/>
      <c r="P217" s="678"/>
      <c r="Q217" s="678"/>
      <c r="R217" s="678"/>
      <c r="S217" s="678"/>
      <c r="T217" s="678"/>
      <c r="U217" s="678"/>
      <c r="V217" s="678"/>
      <c r="W217" s="678"/>
      <c r="X217" s="678"/>
      <c r="Y217" s="678"/>
      <c r="Z217" s="678"/>
      <c r="AA217" s="678"/>
      <c r="AB217" s="1422"/>
    </row>
    <row r="218" spans="2:28" s="780" customFormat="1" hidden="1" x14ac:dyDescent="0.45">
      <c r="B218" s="1692"/>
      <c r="C218" s="1698" t="s">
        <v>329</v>
      </c>
      <c r="D218" s="125" t="s">
        <v>326</v>
      </c>
      <c r="E218" s="682">
        <v>78</v>
      </c>
      <c r="F218" s="682">
        <v>78</v>
      </c>
      <c r="G218" s="682">
        <v>78</v>
      </c>
      <c r="H218" s="682">
        <v>78</v>
      </c>
      <c r="I218" s="682">
        <v>2</v>
      </c>
      <c r="J218" s="682">
        <v>78</v>
      </c>
      <c r="K218" s="682">
        <v>78</v>
      </c>
      <c r="L218" s="682">
        <v>78</v>
      </c>
      <c r="M218" s="682">
        <v>78</v>
      </c>
      <c r="N218" s="682">
        <v>78</v>
      </c>
      <c r="O218" s="682">
        <v>78</v>
      </c>
      <c r="P218" s="682">
        <v>78</v>
      </c>
      <c r="Q218" s="682">
        <v>224</v>
      </c>
      <c r="R218" s="682">
        <v>78</v>
      </c>
      <c r="S218" s="682">
        <v>78</v>
      </c>
      <c r="T218" s="682">
        <v>78</v>
      </c>
      <c r="U218" s="682"/>
      <c r="V218" s="682"/>
      <c r="W218" s="682"/>
      <c r="X218" s="682"/>
      <c r="Y218" s="682"/>
      <c r="Z218" s="682"/>
      <c r="AA218" s="682"/>
      <c r="AB218" s="1423"/>
    </row>
    <row r="219" spans="2:28" s="780" customFormat="1" hidden="1" x14ac:dyDescent="0.45">
      <c r="B219" s="1692"/>
      <c r="C219" s="1695"/>
      <c r="D219" s="124" t="s">
        <v>327</v>
      </c>
      <c r="E219" s="675"/>
      <c r="F219" s="675"/>
      <c r="G219" s="675"/>
      <c r="H219" s="675"/>
      <c r="I219" s="675"/>
      <c r="J219" s="675"/>
      <c r="K219" s="675"/>
      <c r="L219" s="675"/>
      <c r="M219" s="675"/>
      <c r="N219" s="675"/>
      <c r="O219" s="675"/>
      <c r="P219" s="675"/>
      <c r="Q219" s="675"/>
      <c r="R219" s="675"/>
      <c r="S219" s="675"/>
      <c r="T219" s="675"/>
      <c r="U219" s="675"/>
      <c r="V219" s="675"/>
      <c r="W219" s="675"/>
      <c r="X219" s="675"/>
      <c r="Y219" s="675"/>
      <c r="Z219" s="675"/>
      <c r="AA219" s="675"/>
      <c r="AB219" s="1421"/>
    </row>
    <row r="220" spans="2:28" s="780" customFormat="1" hidden="1" x14ac:dyDescent="0.45">
      <c r="B220" s="1692"/>
      <c r="C220" s="1696" t="s">
        <v>330</v>
      </c>
      <c r="D220" s="122" t="s">
        <v>326</v>
      </c>
      <c r="E220" s="678">
        <v>7</v>
      </c>
      <c r="F220" s="678">
        <v>7</v>
      </c>
      <c r="G220" s="678">
        <v>7</v>
      </c>
      <c r="H220" s="678">
        <v>126</v>
      </c>
      <c r="I220" s="678"/>
      <c r="J220" s="678">
        <v>7</v>
      </c>
      <c r="K220" s="678">
        <v>7</v>
      </c>
      <c r="L220" s="678">
        <v>7</v>
      </c>
      <c r="M220" s="678">
        <v>7</v>
      </c>
      <c r="N220" s="678">
        <v>7</v>
      </c>
      <c r="O220" s="678">
        <v>7</v>
      </c>
      <c r="P220" s="678">
        <v>7</v>
      </c>
      <c r="Q220" s="678">
        <v>7</v>
      </c>
      <c r="R220" s="678">
        <v>7</v>
      </c>
      <c r="S220" s="678">
        <v>7</v>
      </c>
      <c r="T220" s="678">
        <v>7</v>
      </c>
      <c r="U220" s="678">
        <v>6</v>
      </c>
      <c r="V220" s="678"/>
      <c r="W220" s="678"/>
      <c r="X220" s="678"/>
      <c r="Y220" s="678"/>
      <c r="Z220" s="678"/>
      <c r="AA220" s="678"/>
      <c r="AB220" s="1422"/>
    </row>
    <row r="221" spans="2:28" s="780" customFormat="1" hidden="1" x14ac:dyDescent="0.45">
      <c r="B221" s="1692"/>
      <c r="C221" s="1697"/>
      <c r="D221" s="122" t="s">
        <v>327</v>
      </c>
      <c r="E221" s="678"/>
      <c r="F221" s="678"/>
      <c r="G221" s="678"/>
      <c r="H221" s="678"/>
      <c r="I221" s="678">
        <v>232</v>
      </c>
      <c r="J221" s="678"/>
      <c r="K221" s="678"/>
      <c r="L221" s="678"/>
      <c r="M221" s="678"/>
      <c r="N221" s="678"/>
      <c r="O221" s="678"/>
      <c r="P221" s="678"/>
      <c r="Q221" s="678"/>
      <c r="R221" s="678"/>
      <c r="S221" s="678"/>
      <c r="T221" s="678"/>
      <c r="U221" s="678"/>
      <c r="V221" s="678"/>
      <c r="W221" s="678"/>
      <c r="X221" s="678"/>
      <c r="Y221" s="678"/>
      <c r="Z221" s="678"/>
      <c r="AA221" s="678"/>
      <c r="AB221" s="1422"/>
    </row>
    <row r="222" spans="2:28" s="780" customFormat="1" hidden="1" x14ac:dyDescent="0.45">
      <c r="B222" s="1692"/>
      <c r="C222" s="1698" t="s">
        <v>331</v>
      </c>
      <c r="D222" s="125" t="s">
        <v>326</v>
      </c>
      <c r="E222" s="682"/>
      <c r="F222" s="682"/>
      <c r="G222" s="682"/>
      <c r="H222" s="682"/>
      <c r="I222" s="682"/>
      <c r="J222" s="682"/>
      <c r="K222" s="682"/>
      <c r="L222" s="682"/>
      <c r="M222" s="682"/>
      <c r="N222" s="682"/>
      <c r="O222" s="682"/>
      <c r="P222" s="682"/>
      <c r="Q222" s="682"/>
      <c r="R222" s="682"/>
      <c r="S222" s="682"/>
      <c r="T222" s="682"/>
      <c r="U222" s="682"/>
      <c r="V222" s="682"/>
      <c r="W222" s="682"/>
      <c r="X222" s="682"/>
      <c r="Y222" s="682"/>
      <c r="Z222" s="682"/>
      <c r="AA222" s="682"/>
      <c r="AB222" s="1423"/>
    </row>
    <row r="223" spans="2:28" s="780" customFormat="1" hidden="1" x14ac:dyDescent="0.45">
      <c r="B223" s="1692"/>
      <c r="C223" s="1695"/>
      <c r="D223" s="124" t="s">
        <v>327</v>
      </c>
      <c r="E223" s="675">
        <v>1</v>
      </c>
      <c r="F223" s="675">
        <v>1</v>
      </c>
      <c r="G223" s="675">
        <v>1</v>
      </c>
      <c r="H223" s="675">
        <v>221</v>
      </c>
      <c r="I223" s="675">
        <v>232</v>
      </c>
      <c r="J223" s="675">
        <v>104</v>
      </c>
      <c r="K223" s="675">
        <v>31</v>
      </c>
      <c r="L223" s="675">
        <v>31</v>
      </c>
      <c r="M223" s="675">
        <v>31</v>
      </c>
      <c r="N223" s="675">
        <v>31</v>
      </c>
      <c r="O223" s="675">
        <v>1</v>
      </c>
      <c r="P223" s="675">
        <v>1</v>
      </c>
      <c r="Q223" s="675">
        <v>1</v>
      </c>
      <c r="R223" s="675">
        <v>1</v>
      </c>
      <c r="S223" s="675">
        <v>1</v>
      </c>
      <c r="T223" s="675">
        <v>1</v>
      </c>
      <c r="U223" s="675">
        <v>106</v>
      </c>
      <c r="V223" s="675"/>
      <c r="W223" s="675"/>
      <c r="X223" s="675"/>
      <c r="Y223" s="675"/>
      <c r="Z223" s="675"/>
      <c r="AA223" s="675"/>
      <c r="AB223" s="1421"/>
    </row>
    <row r="224" spans="2:28" s="780" customFormat="1" hidden="1" x14ac:dyDescent="0.45">
      <c r="B224" s="1692"/>
      <c r="C224" s="1696" t="s">
        <v>332</v>
      </c>
      <c r="D224" s="122" t="s">
        <v>326</v>
      </c>
      <c r="E224" s="678">
        <v>224</v>
      </c>
      <c r="F224" s="678">
        <v>224</v>
      </c>
      <c r="G224" s="678">
        <v>224</v>
      </c>
      <c r="H224" s="678">
        <v>18</v>
      </c>
      <c r="I224" s="678">
        <v>232</v>
      </c>
      <c r="J224" s="678">
        <v>1</v>
      </c>
      <c r="K224" s="678">
        <v>224</v>
      </c>
      <c r="L224" s="678">
        <v>224</v>
      </c>
      <c r="M224" s="678">
        <v>224</v>
      </c>
      <c r="N224" s="678">
        <v>224</v>
      </c>
      <c r="O224" s="678">
        <v>224</v>
      </c>
      <c r="P224" s="678">
        <v>224</v>
      </c>
      <c r="Q224" s="678">
        <v>78</v>
      </c>
      <c r="R224" s="678">
        <v>224</v>
      </c>
      <c r="S224" s="678">
        <v>224</v>
      </c>
      <c r="T224" s="678">
        <v>224</v>
      </c>
      <c r="U224" s="678"/>
      <c r="V224" s="678"/>
      <c r="W224" s="678"/>
      <c r="X224" s="678"/>
      <c r="Y224" s="678"/>
      <c r="Z224" s="678"/>
      <c r="AA224" s="678"/>
      <c r="AB224" s="1422"/>
    </row>
    <row r="225" spans="2:28" s="780" customFormat="1" hidden="1" x14ac:dyDescent="0.45">
      <c r="B225" s="1692"/>
      <c r="C225" s="1697"/>
      <c r="D225" s="122" t="s">
        <v>327</v>
      </c>
      <c r="E225" s="678"/>
      <c r="F225" s="678"/>
      <c r="G225" s="678"/>
      <c r="H225" s="678"/>
      <c r="I225" s="678"/>
      <c r="J225" s="678"/>
      <c r="K225" s="678">
        <v>7</v>
      </c>
      <c r="L225" s="678">
        <v>7</v>
      </c>
      <c r="M225" s="678">
        <v>7</v>
      </c>
      <c r="N225" s="678">
        <v>7</v>
      </c>
      <c r="O225" s="678"/>
      <c r="P225" s="678"/>
      <c r="Q225" s="678"/>
      <c r="R225" s="678">
        <v>104</v>
      </c>
      <c r="S225" s="678">
        <v>4</v>
      </c>
      <c r="T225" s="678">
        <v>4</v>
      </c>
      <c r="U225" s="678"/>
      <c r="V225" s="678"/>
      <c r="W225" s="678"/>
      <c r="X225" s="678"/>
      <c r="Y225" s="678"/>
      <c r="Z225" s="678"/>
      <c r="AA225" s="678"/>
      <c r="AB225" s="1422"/>
    </row>
    <row r="226" spans="2:28" s="780" customFormat="1" hidden="1" x14ac:dyDescent="0.45">
      <c r="B226" s="1692"/>
      <c r="C226" s="1698" t="s">
        <v>333</v>
      </c>
      <c r="D226" s="124" t="s">
        <v>326</v>
      </c>
      <c r="E226" s="675">
        <v>118</v>
      </c>
      <c r="F226" s="675">
        <v>118</v>
      </c>
      <c r="G226" s="675">
        <v>118</v>
      </c>
      <c r="H226" s="675">
        <v>118</v>
      </c>
      <c r="I226" s="675">
        <v>232</v>
      </c>
      <c r="J226" s="675">
        <v>237</v>
      </c>
      <c r="K226" s="675">
        <v>118</v>
      </c>
      <c r="L226" s="675">
        <v>118</v>
      </c>
      <c r="M226" s="675">
        <v>118</v>
      </c>
      <c r="N226" s="675">
        <v>118</v>
      </c>
      <c r="O226" s="675">
        <v>118</v>
      </c>
      <c r="P226" s="675">
        <v>126</v>
      </c>
      <c r="Q226" s="675">
        <v>118</v>
      </c>
      <c r="R226" s="675">
        <v>4</v>
      </c>
      <c r="S226" s="675">
        <v>104</v>
      </c>
      <c r="T226" s="675">
        <v>104</v>
      </c>
      <c r="U226" s="675">
        <v>98</v>
      </c>
      <c r="V226" s="675"/>
      <c r="W226" s="675"/>
      <c r="X226" s="675"/>
      <c r="Y226" s="675"/>
      <c r="Z226" s="675"/>
      <c r="AA226" s="675"/>
      <c r="AB226" s="1421"/>
    </row>
    <row r="227" spans="2:28" s="780" customFormat="1" hidden="1" x14ac:dyDescent="0.45">
      <c r="B227" s="1693"/>
      <c r="C227" s="1699"/>
      <c r="D227" s="126" t="s">
        <v>327</v>
      </c>
      <c r="E227" s="687"/>
      <c r="F227" s="687"/>
      <c r="G227" s="687"/>
      <c r="H227" s="687"/>
      <c r="I227" s="687"/>
      <c r="J227" s="687"/>
      <c r="K227" s="687"/>
      <c r="L227" s="687"/>
      <c r="M227" s="687"/>
      <c r="N227" s="687"/>
      <c r="O227" s="687"/>
      <c r="P227" s="687"/>
      <c r="Q227" s="687"/>
      <c r="R227" s="687"/>
      <c r="S227" s="687"/>
      <c r="T227" s="687"/>
      <c r="U227" s="687"/>
      <c r="V227" s="687"/>
      <c r="W227" s="687"/>
      <c r="X227" s="687"/>
      <c r="Y227" s="687"/>
      <c r="Z227" s="687"/>
      <c r="AA227" s="687"/>
      <c r="AB227" s="688"/>
    </row>
    <row r="228" spans="2:28" s="780" customFormat="1" hidden="1" x14ac:dyDescent="0.45"/>
    <row r="229" spans="2:28" s="780" customFormat="1" hidden="1" x14ac:dyDescent="0.45">
      <c r="B229" s="1688" t="s">
        <v>54</v>
      </c>
      <c r="C229" s="1689"/>
      <c r="D229" s="1690"/>
      <c r="E229" s="779">
        <v>4</v>
      </c>
      <c r="F229" s="779">
        <v>4</v>
      </c>
      <c r="G229" s="779">
        <v>4</v>
      </c>
      <c r="H229" s="779">
        <v>4</v>
      </c>
      <c r="I229" s="779">
        <v>4</v>
      </c>
      <c r="J229" s="779">
        <v>4</v>
      </c>
      <c r="K229" s="1499">
        <v>13</v>
      </c>
      <c r="L229" s="1499">
        <v>13</v>
      </c>
      <c r="M229" s="1499">
        <v>3</v>
      </c>
      <c r="N229" s="1499">
        <v>2</v>
      </c>
      <c r="O229" s="1499">
        <v>12</v>
      </c>
      <c r="P229" s="779">
        <v>4</v>
      </c>
      <c r="Q229" s="779">
        <v>4</v>
      </c>
      <c r="R229" s="779">
        <v>12</v>
      </c>
      <c r="S229" s="779">
        <v>2</v>
      </c>
      <c r="T229" s="779">
        <v>2</v>
      </c>
      <c r="U229" s="779">
        <v>3</v>
      </c>
      <c r="V229" s="779">
        <v>3</v>
      </c>
      <c r="W229" s="779">
        <v>14</v>
      </c>
      <c r="X229" s="779"/>
      <c r="Y229" s="779"/>
      <c r="Z229" s="779"/>
      <c r="AA229" s="779"/>
      <c r="AB229" s="708"/>
    </row>
    <row r="230" spans="2:28" s="780" customFormat="1" ht="15" hidden="1" customHeight="1" x14ac:dyDescent="0.45">
      <c r="B230" s="1691" t="str">
        <f>CONCATENATE("Plan ", INDEX(plans_index,,(ROW(B230)-6)/16), ": ", INDEX(plans_name,,(ROW(B230)-6)/16))</f>
        <v>Plan 14: Gene Beveridge 2</v>
      </c>
      <c r="C230" s="1694" t="s">
        <v>325</v>
      </c>
      <c r="D230" s="123" t="s">
        <v>326</v>
      </c>
      <c r="E230" s="672">
        <v>110</v>
      </c>
      <c r="F230" s="672">
        <v>110</v>
      </c>
      <c r="G230" s="672">
        <v>110</v>
      </c>
      <c r="H230" s="672">
        <v>110</v>
      </c>
      <c r="I230" s="672">
        <v>110</v>
      </c>
      <c r="J230" s="672">
        <v>110</v>
      </c>
      <c r="K230" s="672">
        <v>110</v>
      </c>
      <c r="L230" s="672">
        <v>110</v>
      </c>
      <c r="M230" s="672">
        <v>110</v>
      </c>
      <c r="N230" s="672"/>
      <c r="O230" s="672"/>
      <c r="P230" s="672">
        <v>110</v>
      </c>
      <c r="Q230" s="672">
        <v>110</v>
      </c>
      <c r="R230" s="672">
        <v>110</v>
      </c>
      <c r="S230" s="672">
        <v>109</v>
      </c>
      <c r="T230" s="672">
        <v>109</v>
      </c>
      <c r="U230" s="672">
        <v>109</v>
      </c>
      <c r="V230" s="672">
        <v>109</v>
      </c>
      <c r="W230" s="672"/>
      <c r="X230" s="672"/>
      <c r="Y230" s="672"/>
      <c r="Z230" s="672"/>
      <c r="AA230" s="672"/>
      <c r="AB230" s="674"/>
    </row>
    <row r="231" spans="2:28" s="780" customFormat="1" hidden="1" x14ac:dyDescent="0.45">
      <c r="B231" s="1692"/>
      <c r="C231" s="1695"/>
      <c r="D231" s="124" t="s">
        <v>327</v>
      </c>
      <c r="E231" s="675">
        <v>76</v>
      </c>
      <c r="F231" s="675">
        <v>76</v>
      </c>
      <c r="G231" s="675">
        <v>76</v>
      </c>
      <c r="H231" s="675">
        <v>76</v>
      </c>
      <c r="I231" s="675">
        <v>76</v>
      </c>
      <c r="J231" s="675">
        <v>76</v>
      </c>
      <c r="K231" s="675">
        <v>76</v>
      </c>
      <c r="L231" s="675">
        <v>76</v>
      </c>
      <c r="M231" s="675">
        <v>76</v>
      </c>
      <c r="N231" s="675"/>
      <c r="O231" s="675">
        <v>3</v>
      </c>
      <c r="P231" s="675">
        <v>76</v>
      </c>
      <c r="Q231" s="675">
        <v>76</v>
      </c>
      <c r="R231" s="675">
        <v>76</v>
      </c>
      <c r="S231" s="675">
        <v>76</v>
      </c>
      <c r="T231" s="675">
        <v>76</v>
      </c>
      <c r="U231" s="675">
        <v>76</v>
      </c>
      <c r="V231" s="675">
        <v>76</v>
      </c>
      <c r="W231" s="675"/>
      <c r="X231" s="675"/>
      <c r="Y231" s="676"/>
      <c r="Z231" s="676"/>
      <c r="AA231" s="676"/>
      <c r="AB231" s="677"/>
    </row>
    <row r="232" spans="2:28" s="780" customFormat="1" hidden="1" x14ac:dyDescent="0.45">
      <c r="B232" s="1692"/>
      <c r="C232" s="1696" t="s">
        <v>328</v>
      </c>
      <c r="D232" s="122" t="s">
        <v>326</v>
      </c>
      <c r="E232" s="678">
        <v>110</v>
      </c>
      <c r="F232" s="678">
        <v>110</v>
      </c>
      <c r="G232" s="678">
        <v>110</v>
      </c>
      <c r="H232" s="678">
        <v>110</v>
      </c>
      <c r="I232" s="678">
        <v>110</v>
      </c>
      <c r="J232" s="678">
        <v>110</v>
      </c>
      <c r="K232" s="678">
        <v>110</v>
      </c>
      <c r="L232" s="678"/>
      <c r="M232" s="678"/>
      <c r="N232" s="678"/>
      <c r="O232" s="678"/>
      <c r="P232" s="678">
        <v>110</v>
      </c>
      <c r="Q232" s="678">
        <v>110</v>
      </c>
      <c r="R232" s="678">
        <v>110</v>
      </c>
      <c r="S232" s="678"/>
      <c r="T232" s="678"/>
      <c r="U232" s="678"/>
      <c r="V232" s="678"/>
      <c r="W232" s="678"/>
      <c r="X232" s="678"/>
      <c r="Y232" s="679"/>
      <c r="Z232" s="679"/>
      <c r="AA232" s="679"/>
      <c r="AB232" s="680"/>
    </row>
    <row r="233" spans="2:28" s="780" customFormat="1" hidden="1" x14ac:dyDescent="0.45">
      <c r="B233" s="1692"/>
      <c r="C233" s="1697"/>
      <c r="D233" s="122" t="s">
        <v>327</v>
      </c>
      <c r="E233" s="678">
        <v>23</v>
      </c>
      <c r="F233" s="678">
        <v>23</v>
      </c>
      <c r="G233" s="678">
        <v>23</v>
      </c>
      <c r="H233" s="678">
        <v>23</v>
      </c>
      <c r="I233" s="678">
        <v>23</v>
      </c>
      <c r="J233" s="678">
        <v>23</v>
      </c>
      <c r="K233" s="678">
        <v>23</v>
      </c>
      <c r="L233" s="678">
        <v>22</v>
      </c>
      <c r="M233" s="678">
        <v>22</v>
      </c>
      <c r="N233" s="678"/>
      <c r="O233" s="678">
        <v>4</v>
      </c>
      <c r="P233" s="678">
        <v>23</v>
      </c>
      <c r="Q233" s="678">
        <v>23</v>
      </c>
      <c r="R233" s="678">
        <v>23</v>
      </c>
      <c r="S233" s="678">
        <v>23</v>
      </c>
      <c r="T233" s="678">
        <v>23</v>
      </c>
      <c r="U233" s="678">
        <v>1</v>
      </c>
      <c r="V233" s="678">
        <v>23</v>
      </c>
      <c r="W233" s="678">
        <v>44</v>
      </c>
      <c r="X233" s="681"/>
      <c r="Y233" s="679"/>
      <c r="Z233" s="679"/>
      <c r="AA233" s="679"/>
      <c r="AB233" s="680"/>
    </row>
    <row r="234" spans="2:28" s="780" customFormat="1" hidden="1" x14ac:dyDescent="0.45">
      <c r="B234" s="1692"/>
      <c r="C234" s="1698" t="s">
        <v>329</v>
      </c>
      <c r="D234" s="125" t="s">
        <v>326</v>
      </c>
      <c r="E234" s="682"/>
      <c r="F234" s="682"/>
      <c r="G234" s="682"/>
      <c r="H234" s="682"/>
      <c r="I234" s="682"/>
      <c r="J234" s="682"/>
      <c r="K234" s="682"/>
      <c r="L234" s="682"/>
      <c r="M234" s="682"/>
      <c r="N234" s="682"/>
      <c r="O234" s="682"/>
      <c r="P234" s="682"/>
      <c r="Q234" s="682"/>
      <c r="R234" s="682"/>
      <c r="S234" s="682"/>
      <c r="T234" s="682"/>
      <c r="U234" s="682"/>
      <c r="V234" s="682"/>
      <c r="W234" s="682"/>
      <c r="X234" s="682"/>
      <c r="Y234" s="683"/>
      <c r="Z234" s="683"/>
      <c r="AA234" s="683"/>
      <c r="AB234" s="684"/>
    </row>
    <row r="235" spans="2:28" s="780" customFormat="1" hidden="1" x14ac:dyDescent="0.45">
      <c r="B235" s="1692"/>
      <c r="C235" s="1695"/>
      <c r="D235" s="124" t="s">
        <v>327</v>
      </c>
      <c r="E235" s="675">
        <v>101</v>
      </c>
      <c r="F235" s="675">
        <v>101</v>
      </c>
      <c r="G235" s="675">
        <v>101</v>
      </c>
      <c r="H235" s="675">
        <v>101</v>
      </c>
      <c r="I235" s="675">
        <v>101</v>
      </c>
      <c r="J235" s="675">
        <v>101</v>
      </c>
      <c r="K235" s="675">
        <v>101</v>
      </c>
      <c r="L235" s="675">
        <v>101</v>
      </c>
      <c r="M235" s="675">
        <v>102</v>
      </c>
      <c r="N235" s="675"/>
      <c r="O235" s="675">
        <v>4</v>
      </c>
      <c r="P235" s="675">
        <v>101</v>
      </c>
      <c r="Q235" s="675">
        <v>101</v>
      </c>
      <c r="R235" s="675">
        <v>101</v>
      </c>
      <c r="S235" s="675">
        <v>101</v>
      </c>
      <c r="T235" s="675">
        <v>101</v>
      </c>
      <c r="U235" s="675">
        <v>1</v>
      </c>
      <c r="V235" s="675">
        <v>101</v>
      </c>
      <c r="W235" s="675">
        <v>10</v>
      </c>
      <c r="X235" s="675"/>
      <c r="Y235" s="676"/>
      <c r="Z235" s="676"/>
      <c r="AA235" s="676"/>
      <c r="AB235" s="677"/>
    </row>
    <row r="236" spans="2:28" s="780" customFormat="1" hidden="1" x14ac:dyDescent="0.45">
      <c r="B236" s="1692"/>
      <c r="C236" s="1696" t="s">
        <v>330</v>
      </c>
      <c r="D236" s="122" t="s">
        <v>326</v>
      </c>
      <c r="E236" s="678">
        <v>110</v>
      </c>
      <c r="F236" s="678">
        <v>110</v>
      </c>
      <c r="G236" s="678">
        <v>110</v>
      </c>
      <c r="H236" s="678">
        <v>110</v>
      </c>
      <c r="I236" s="678">
        <v>110</v>
      </c>
      <c r="J236" s="678">
        <v>110</v>
      </c>
      <c r="K236" s="678"/>
      <c r="L236" s="678"/>
      <c r="M236" s="678"/>
      <c r="N236" s="678"/>
      <c r="O236" s="678"/>
      <c r="P236" s="678">
        <v>110</v>
      </c>
      <c r="Q236" s="678">
        <v>110</v>
      </c>
      <c r="R236" s="678">
        <v>110</v>
      </c>
      <c r="S236" s="678"/>
      <c r="T236" s="678"/>
      <c r="U236" s="678"/>
      <c r="V236" s="678"/>
      <c r="W236" s="678">
        <v>5</v>
      </c>
      <c r="X236" s="678"/>
      <c r="Y236" s="679"/>
      <c r="Z236" s="679"/>
      <c r="AA236" s="679"/>
      <c r="AB236" s="680"/>
    </row>
    <row r="237" spans="2:28" s="780" customFormat="1" hidden="1" x14ac:dyDescent="0.45">
      <c r="B237" s="1692"/>
      <c r="C237" s="1697"/>
      <c r="D237" s="122" t="s">
        <v>327</v>
      </c>
      <c r="E237" s="678">
        <v>3</v>
      </c>
      <c r="F237" s="678">
        <v>3</v>
      </c>
      <c r="G237" s="678">
        <v>3</v>
      </c>
      <c r="H237" s="678">
        <v>3</v>
      </c>
      <c r="I237" s="678">
        <v>3</v>
      </c>
      <c r="J237" s="678">
        <v>3</v>
      </c>
      <c r="K237" s="678">
        <v>3</v>
      </c>
      <c r="L237" s="678">
        <v>3</v>
      </c>
      <c r="M237" s="678"/>
      <c r="N237" s="678"/>
      <c r="O237" s="678">
        <v>3</v>
      </c>
      <c r="P237" s="678">
        <v>43</v>
      </c>
      <c r="Q237" s="678">
        <v>43</v>
      </c>
      <c r="R237" s="678">
        <v>44</v>
      </c>
      <c r="S237" s="678">
        <v>44</v>
      </c>
      <c r="T237" s="678">
        <v>44</v>
      </c>
      <c r="U237" s="678"/>
      <c r="V237" s="678">
        <v>44</v>
      </c>
      <c r="W237" s="678"/>
      <c r="X237" s="681"/>
      <c r="Y237" s="679"/>
      <c r="Z237" s="679"/>
      <c r="AA237" s="679"/>
      <c r="AB237" s="680"/>
    </row>
    <row r="238" spans="2:28" s="780" customFormat="1" hidden="1" x14ac:dyDescent="0.45">
      <c r="B238" s="1692"/>
      <c r="C238" s="1698" t="s">
        <v>331</v>
      </c>
      <c r="D238" s="125" t="s">
        <v>326</v>
      </c>
      <c r="E238" s="682">
        <v>110</v>
      </c>
      <c r="F238" s="682">
        <v>110</v>
      </c>
      <c r="G238" s="682">
        <v>110</v>
      </c>
      <c r="H238" s="682">
        <v>110</v>
      </c>
      <c r="I238" s="682">
        <v>110</v>
      </c>
      <c r="J238" s="682">
        <v>110</v>
      </c>
      <c r="K238" s="682">
        <v>110</v>
      </c>
      <c r="L238" s="682">
        <v>110</v>
      </c>
      <c r="M238" s="682">
        <v>8</v>
      </c>
      <c r="N238" s="682"/>
      <c r="O238" s="682"/>
      <c r="P238" s="682">
        <v>110</v>
      </c>
      <c r="Q238" s="682">
        <v>110</v>
      </c>
      <c r="R238" s="682">
        <v>110</v>
      </c>
      <c r="S238" s="682">
        <v>109</v>
      </c>
      <c r="T238" s="682">
        <v>109</v>
      </c>
      <c r="U238" s="682"/>
      <c r="V238" s="682">
        <v>109</v>
      </c>
      <c r="W238" s="682">
        <v>6</v>
      </c>
      <c r="X238" s="682"/>
      <c r="Y238" s="683"/>
      <c r="Z238" s="683"/>
      <c r="AA238" s="683"/>
      <c r="AB238" s="684"/>
    </row>
    <row r="239" spans="2:28" s="780" customFormat="1" hidden="1" x14ac:dyDescent="0.45">
      <c r="B239" s="1692"/>
      <c r="C239" s="1695"/>
      <c r="D239" s="124" t="s">
        <v>327</v>
      </c>
      <c r="E239" s="675">
        <v>76</v>
      </c>
      <c r="F239" s="675">
        <v>76</v>
      </c>
      <c r="G239" s="675">
        <v>76</v>
      </c>
      <c r="H239" s="675">
        <v>76</v>
      </c>
      <c r="I239" s="675">
        <v>76</v>
      </c>
      <c r="J239" s="675">
        <v>76</v>
      </c>
      <c r="K239" s="675">
        <v>76</v>
      </c>
      <c r="L239" s="675">
        <v>76</v>
      </c>
      <c r="M239" s="675"/>
      <c r="N239" s="675"/>
      <c r="O239" s="675">
        <v>3</v>
      </c>
      <c r="P239" s="675">
        <v>76</v>
      </c>
      <c r="Q239" s="675">
        <v>76</v>
      </c>
      <c r="R239" s="675">
        <v>76</v>
      </c>
      <c r="S239" s="675">
        <v>76</v>
      </c>
      <c r="T239" s="675">
        <v>76</v>
      </c>
      <c r="U239" s="675">
        <v>81</v>
      </c>
      <c r="V239" s="675">
        <v>76</v>
      </c>
      <c r="W239" s="675"/>
      <c r="X239" s="675"/>
      <c r="Y239" s="676"/>
      <c r="Z239" s="676"/>
      <c r="AA239" s="676"/>
      <c r="AB239" s="677"/>
    </row>
    <row r="240" spans="2:28" s="780" customFormat="1" hidden="1" x14ac:dyDescent="0.45">
      <c r="B240" s="1692"/>
      <c r="C240" s="1696" t="s">
        <v>332</v>
      </c>
      <c r="D240" s="122" t="s">
        <v>326</v>
      </c>
      <c r="E240" s="678">
        <v>70</v>
      </c>
      <c r="F240" s="678">
        <v>70</v>
      </c>
      <c r="G240" s="678">
        <v>70</v>
      </c>
      <c r="H240" s="678">
        <v>73</v>
      </c>
      <c r="I240" s="678">
        <v>73</v>
      </c>
      <c r="J240" s="678">
        <v>19</v>
      </c>
      <c r="K240" s="678">
        <v>73</v>
      </c>
      <c r="L240" s="678">
        <v>73</v>
      </c>
      <c r="M240" s="678">
        <v>93</v>
      </c>
      <c r="N240" s="678"/>
      <c r="O240" s="678">
        <v>4</v>
      </c>
      <c r="P240" s="678">
        <v>3</v>
      </c>
      <c r="Q240" s="678">
        <v>3</v>
      </c>
      <c r="R240" s="678">
        <v>3</v>
      </c>
      <c r="S240" s="678">
        <v>3</v>
      </c>
      <c r="T240" s="678">
        <v>3</v>
      </c>
      <c r="U240" s="678">
        <v>86</v>
      </c>
      <c r="V240" s="678">
        <v>3</v>
      </c>
      <c r="W240" s="678">
        <v>90</v>
      </c>
      <c r="X240" s="679"/>
      <c r="Y240" s="679"/>
      <c r="Z240" s="679"/>
      <c r="AA240" s="679"/>
      <c r="AB240" s="680"/>
    </row>
    <row r="241" spans="2:28" s="780" customFormat="1" hidden="1" x14ac:dyDescent="0.45">
      <c r="B241" s="1692"/>
      <c r="C241" s="1697"/>
      <c r="D241" s="122" t="s">
        <v>327</v>
      </c>
      <c r="E241" s="678">
        <v>2</v>
      </c>
      <c r="F241" s="678">
        <v>2</v>
      </c>
      <c r="G241" s="678">
        <v>2</v>
      </c>
      <c r="H241" s="678">
        <v>2</v>
      </c>
      <c r="I241" s="678">
        <v>2</v>
      </c>
      <c r="J241" s="678"/>
      <c r="K241" s="678">
        <v>2</v>
      </c>
      <c r="L241" s="678">
        <v>2</v>
      </c>
      <c r="M241" s="678"/>
      <c r="N241" s="678"/>
      <c r="O241" s="678"/>
      <c r="P241" s="678">
        <v>101</v>
      </c>
      <c r="Q241" s="678">
        <v>101</v>
      </c>
      <c r="R241" s="678">
        <v>101</v>
      </c>
      <c r="S241" s="678"/>
      <c r="T241" s="678"/>
      <c r="U241" s="678"/>
      <c r="V241" s="678"/>
      <c r="W241" s="678"/>
      <c r="X241" s="678"/>
      <c r="Y241" s="679"/>
      <c r="Z241" s="679"/>
      <c r="AA241" s="679"/>
      <c r="AB241" s="680"/>
    </row>
    <row r="242" spans="2:28" s="780" customFormat="1" hidden="1" x14ac:dyDescent="0.45">
      <c r="B242" s="1692"/>
      <c r="C242" s="1698" t="s">
        <v>333</v>
      </c>
      <c r="D242" s="124" t="s">
        <v>326</v>
      </c>
      <c r="E242" s="675">
        <v>104</v>
      </c>
      <c r="F242" s="675">
        <v>104</v>
      </c>
      <c r="G242" s="675">
        <v>104</v>
      </c>
      <c r="H242" s="675">
        <v>4</v>
      </c>
      <c r="I242" s="675">
        <v>4</v>
      </c>
      <c r="J242" s="675">
        <v>11</v>
      </c>
      <c r="K242" s="675">
        <v>4</v>
      </c>
      <c r="L242" s="675">
        <v>4</v>
      </c>
      <c r="M242" s="675"/>
      <c r="N242" s="675"/>
      <c r="O242" s="675">
        <v>4</v>
      </c>
      <c r="P242" s="675">
        <v>4</v>
      </c>
      <c r="Q242" s="675">
        <v>4</v>
      </c>
      <c r="R242" s="675">
        <v>4</v>
      </c>
      <c r="S242" s="675">
        <v>4</v>
      </c>
      <c r="T242" s="675">
        <v>4</v>
      </c>
      <c r="U242" s="675">
        <v>82</v>
      </c>
      <c r="V242" s="675">
        <v>4</v>
      </c>
      <c r="W242" s="676"/>
      <c r="X242" s="676"/>
      <c r="Y242" s="676"/>
      <c r="Z242" s="676"/>
      <c r="AA242" s="676"/>
      <c r="AB242" s="677"/>
    </row>
    <row r="243" spans="2:28" s="780" customFormat="1" hidden="1" x14ac:dyDescent="0.45">
      <c r="B243" s="1693"/>
      <c r="C243" s="1699"/>
      <c r="D243" s="126" t="s">
        <v>327</v>
      </c>
      <c r="E243" s="687"/>
      <c r="F243" s="687"/>
      <c r="G243" s="687"/>
      <c r="H243" s="687"/>
      <c r="I243" s="687"/>
      <c r="J243" s="687"/>
      <c r="K243" s="687"/>
      <c r="L243" s="687"/>
      <c r="M243" s="687"/>
      <c r="N243" s="687">
        <v>3</v>
      </c>
      <c r="O243" s="687"/>
      <c r="P243" s="687"/>
      <c r="Q243" s="687"/>
      <c r="R243" s="687"/>
      <c r="S243" s="687"/>
      <c r="T243" s="687"/>
      <c r="U243" s="687"/>
      <c r="V243" s="687"/>
      <c r="W243" s="687"/>
      <c r="X243" s="687"/>
      <c r="Y243" s="687"/>
      <c r="Z243" s="687"/>
      <c r="AA243" s="687"/>
      <c r="AB243" s="688"/>
    </row>
    <row r="244" spans="2:28" s="780" customFormat="1" hidden="1" x14ac:dyDescent="0.45"/>
    <row r="245" spans="2:28" s="780" customFormat="1" hidden="1" x14ac:dyDescent="0.45">
      <c r="B245" s="1688" t="s">
        <v>54</v>
      </c>
      <c r="C245" s="1689"/>
      <c r="D245" s="1690"/>
      <c r="E245" s="1504">
        <v>4</v>
      </c>
      <c r="F245" s="1504">
        <v>4</v>
      </c>
      <c r="G245" s="1504">
        <v>4</v>
      </c>
      <c r="H245" s="1504">
        <v>4</v>
      </c>
      <c r="I245" s="1504">
        <v>8</v>
      </c>
      <c r="J245" s="1504">
        <v>2</v>
      </c>
      <c r="K245" s="1504">
        <v>4</v>
      </c>
      <c r="L245" s="1504">
        <v>8</v>
      </c>
      <c r="M245" s="1504">
        <v>13</v>
      </c>
      <c r="N245" s="1504">
        <v>13</v>
      </c>
      <c r="O245" s="1504">
        <v>14</v>
      </c>
      <c r="P245" s="779"/>
      <c r="Q245" s="779"/>
      <c r="R245" s="779"/>
      <c r="S245" s="779"/>
      <c r="T245" s="779"/>
      <c r="U245" s="779"/>
      <c r="V245" s="779"/>
      <c r="W245" s="779"/>
      <c r="X245" s="779"/>
      <c r="Y245" s="779"/>
      <c r="Z245" s="779"/>
      <c r="AA245" s="779"/>
      <c r="AB245" s="708"/>
    </row>
    <row r="246" spans="2:28" s="780" customFormat="1" ht="15" hidden="1" customHeight="1" x14ac:dyDescent="0.45">
      <c r="B246" s="1691" t="str">
        <f>CONCATENATE("Plan ", INDEX(plans_index,,(ROW(B246)-6)/16), ": ", INDEX(plans_name,,(ROW(B246)-6)/16))</f>
        <v>Plan 15: Kepler Sub-9</v>
      </c>
      <c r="C246" s="1694" t="s">
        <v>325</v>
      </c>
      <c r="D246" s="123" t="s">
        <v>326</v>
      </c>
      <c r="E246" s="672">
        <v>7</v>
      </c>
      <c r="F246" s="672">
        <v>7</v>
      </c>
      <c r="G246" s="672">
        <v>7</v>
      </c>
      <c r="H246" s="672">
        <v>7</v>
      </c>
      <c r="I246" s="672"/>
      <c r="J246" s="672">
        <v>7</v>
      </c>
      <c r="K246" s="672">
        <v>7</v>
      </c>
      <c r="L246" s="672"/>
      <c r="M246" s="672">
        <v>7</v>
      </c>
      <c r="N246" s="672">
        <v>7</v>
      </c>
      <c r="O246" s="672"/>
      <c r="P246" s="672"/>
      <c r="Q246" s="672"/>
      <c r="R246" s="672"/>
      <c r="S246" s="672"/>
      <c r="T246" s="672"/>
      <c r="U246" s="672"/>
      <c r="V246" s="672"/>
      <c r="W246" s="672"/>
      <c r="X246" s="672"/>
      <c r="Y246" s="672"/>
      <c r="Z246" s="672"/>
      <c r="AA246" s="672"/>
      <c r="AB246" s="674"/>
    </row>
    <row r="247" spans="2:28" s="780" customFormat="1" hidden="1" x14ac:dyDescent="0.45">
      <c r="B247" s="1692"/>
      <c r="C247" s="1695"/>
      <c r="D247" s="124" t="s">
        <v>327</v>
      </c>
      <c r="E247" s="675"/>
      <c r="F247" s="675"/>
      <c r="G247" s="675"/>
      <c r="H247" s="675"/>
      <c r="I247" s="675"/>
      <c r="J247" s="675"/>
      <c r="K247" s="675"/>
      <c r="L247" s="675"/>
      <c r="M247" s="675"/>
      <c r="N247" s="675"/>
      <c r="O247" s="675"/>
      <c r="P247" s="675"/>
      <c r="Q247" s="675"/>
      <c r="R247" s="675"/>
      <c r="S247" s="675"/>
      <c r="T247" s="675"/>
      <c r="U247" s="675"/>
      <c r="V247" s="675"/>
      <c r="W247" s="675"/>
      <c r="X247" s="675"/>
      <c r="Y247" s="676"/>
      <c r="Z247" s="676"/>
      <c r="AA247" s="676"/>
      <c r="AB247" s="677"/>
    </row>
    <row r="248" spans="2:28" s="780" customFormat="1" hidden="1" x14ac:dyDescent="0.45">
      <c r="B248" s="1692"/>
      <c r="C248" s="1696" t="s">
        <v>328</v>
      </c>
      <c r="D248" s="122" t="s">
        <v>326</v>
      </c>
      <c r="E248" s="678">
        <v>3</v>
      </c>
      <c r="F248" s="678">
        <v>3</v>
      </c>
      <c r="G248" s="678">
        <v>3</v>
      </c>
      <c r="H248" s="678">
        <v>3</v>
      </c>
      <c r="I248" s="678">
        <v>3</v>
      </c>
      <c r="J248" s="678">
        <v>3</v>
      </c>
      <c r="K248" s="678">
        <v>3</v>
      </c>
      <c r="L248" s="678">
        <v>3</v>
      </c>
      <c r="M248" s="678">
        <v>3</v>
      </c>
      <c r="N248" s="678">
        <v>3</v>
      </c>
      <c r="O248" s="678">
        <v>21</v>
      </c>
      <c r="P248" s="678"/>
      <c r="Q248" s="678"/>
      <c r="R248" s="678"/>
      <c r="S248" s="678"/>
      <c r="T248" s="678"/>
      <c r="U248" s="678"/>
      <c r="V248" s="678"/>
      <c r="W248" s="678"/>
      <c r="X248" s="678"/>
      <c r="Y248" s="679"/>
      <c r="Z248" s="679"/>
      <c r="AA248" s="679"/>
      <c r="AB248" s="680"/>
    </row>
    <row r="249" spans="2:28" s="780" customFormat="1" hidden="1" x14ac:dyDescent="0.45">
      <c r="B249" s="1692"/>
      <c r="C249" s="1697"/>
      <c r="D249" s="122" t="s">
        <v>327</v>
      </c>
      <c r="E249" s="678"/>
      <c r="F249" s="678"/>
      <c r="G249" s="678"/>
      <c r="H249" s="678"/>
      <c r="I249" s="678"/>
      <c r="J249" s="678"/>
      <c r="K249" s="678"/>
      <c r="L249" s="678"/>
      <c r="M249" s="678"/>
      <c r="N249" s="678"/>
      <c r="O249" s="678"/>
      <c r="P249" s="678"/>
      <c r="Q249" s="678"/>
      <c r="R249" s="678"/>
      <c r="S249" s="678"/>
      <c r="T249" s="678"/>
      <c r="U249" s="678"/>
      <c r="V249" s="678"/>
      <c r="W249" s="678"/>
      <c r="X249" s="681"/>
      <c r="Y249" s="679"/>
      <c r="Z249" s="679"/>
      <c r="AA249" s="679"/>
      <c r="AB249" s="680"/>
    </row>
    <row r="250" spans="2:28" s="780" customFormat="1" hidden="1" x14ac:dyDescent="0.45">
      <c r="B250" s="1692"/>
      <c r="C250" s="1698" t="s">
        <v>329</v>
      </c>
      <c r="D250" s="125" t="s">
        <v>326</v>
      </c>
      <c r="E250" s="682">
        <v>21</v>
      </c>
      <c r="F250" s="682">
        <v>21</v>
      </c>
      <c r="G250" s="682">
        <v>21</v>
      </c>
      <c r="H250" s="682">
        <v>21</v>
      </c>
      <c r="I250" s="682">
        <v>21</v>
      </c>
      <c r="J250" s="682">
        <v>21</v>
      </c>
      <c r="K250" s="682">
        <v>21</v>
      </c>
      <c r="L250" s="682">
        <v>21</v>
      </c>
      <c r="M250" s="682">
        <v>21</v>
      </c>
      <c r="N250" s="682">
        <v>21</v>
      </c>
      <c r="O250" s="682">
        <v>3</v>
      </c>
      <c r="P250" s="682"/>
      <c r="Q250" s="682"/>
      <c r="R250" s="682"/>
      <c r="S250" s="682"/>
      <c r="T250" s="682"/>
      <c r="U250" s="682"/>
      <c r="V250" s="682"/>
      <c r="W250" s="682"/>
      <c r="X250" s="682"/>
      <c r="Y250" s="683"/>
      <c r="Z250" s="683"/>
      <c r="AA250" s="683"/>
      <c r="AB250" s="684"/>
    </row>
    <row r="251" spans="2:28" s="780" customFormat="1" hidden="1" x14ac:dyDescent="0.45">
      <c r="B251" s="1692"/>
      <c r="C251" s="1695"/>
      <c r="D251" s="124" t="s">
        <v>327</v>
      </c>
      <c r="E251" s="675"/>
      <c r="F251" s="675"/>
      <c r="G251" s="675"/>
      <c r="H251" s="675"/>
      <c r="I251" s="675"/>
      <c r="J251" s="675"/>
      <c r="K251" s="675"/>
      <c r="L251" s="675"/>
      <c r="M251" s="675"/>
      <c r="N251" s="675"/>
      <c r="O251" s="675"/>
      <c r="P251" s="675"/>
      <c r="Q251" s="675"/>
      <c r="R251" s="675"/>
      <c r="S251" s="675"/>
      <c r="T251" s="675"/>
      <c r="U251" s="675"/>
      <c r="V251" s="675"/>
      <c r="W251" s="675"/>
      <c r="X251" s="675"/>
      <c r="Y251" s="676"/>
      <c r="Z251" s="676"/>
      <c r="AA251" s="676"/>
      <c r="AB251" s="677"/>
    </row>
    <row r="252" spans="2:28" s="780" customFormat="1" hidden="1" x14ac:dyDescent="0.45">
      <c r="B252" s="1692"/>
      <c r="C252" s="1696" t="s">
        <v>330</v>
      </c>
      <c r="D252" s="122" t="s">
        <v>326</v>
      </c>
      <c r="E252" s="678">
        <v>1</v>
      </c>
      <c r="F252" s="678">
        <v>1</v>
      </c>
      <c r="G252" s="678">
        <v>1</v>
      </c>
      <c r="H252" s="678">
        <v>1</v>
      </c>
      <c r="I252" s="678">
        <v>1</v>
      </c>
      <c r="J252" s="678">
        <v>1</v>
      </c>
      <c r="K252" s="678">
        <v>1</v>
      </c>
      <c r="L252" s="678">
        <v>1</v>
      </c>
      <c r="M252" s="678">
        <v>1</v>
      </c>
      <c r="N252" s="678">
        <v>1</v>
      </c>
      <c r="O252" s="678"/>
      <c r="P252" s="678"/>
      <c r="Q252" s="678"/>
      <c r="R252" s="678"/>
      <c r="S252" s="678"/>
      <c r="T252" s="678"/>
      <c r="U252" s="678"/>
      <c r="V252" s="678"/>
      <c r="W252" s="678"/>
      <c r="X252" s="678"/>
      <c r="Y252" s="679"/>
      <c r="Z252" s="679"/>
      <c r="AA252" s="679"/>
      <c r="AB252" s="680"/>
    </row>
    <row r="253" spans="2:28" s="780" customFormat="1" hidden="1" x14ac:dyDescent="0.45">
      <c r="B253" s="1692"/>
      <c r="C253" s="1697"/>
      <c r="D253" s="122" t="s">
        <v>327</v>
      </c>
      <c r="E253" s="678"/>
      <c r="F253" s="678"/>
      <c r="G253" s="678"/>
      <c r="H253" s="678"/>
      <c r="I253" s="678"/>
      <c r="J253" s="678"/>
      <c r="K253" s="678"/>
      <c r="L253" s="678"/>
      <c r="M253" s="678"/>
      <c r="N253" s="678"/>
      <c r="O253" s="678"/>
      <c r="P253" s="678"/>
      <c r="Q253" s="678"/>
      <c r="R253" s="678"/>
      <c r="S253" s="678"/>
      <c r="T253" s="678"/>
      <c r="U253" s="678"/>
      <c r="V253" s="678"/>
      <c r="W253" s="678"/>
      <c r="X253" s="681"/>
      <c r="Y253" s="679"/>
      <c r="Z253" s="679"/>
      <c r="AA253" s="679"/>
      <c r="AB253" s="680"/>
    </row>
    <row r="254" spans="2:28" s="780" customFormat="1" hidden="1" x14ac:dyDescent="0.45">
      <c r="B254" s="1692"/>
      <c r="C254" s="1698" t="s">
        <v>331</v>
      </c>
      <c r="D254" s="125" t="s">
        <v>326</v>
      </c>
      <c r="E254" s="682">
        <v>250</v>
      </c>
      <c r="F254" s="682"/>
      <c r="G254" s="682"/>
      <c r="H254" s="682"/>
      <c r="I254" s="682"/>
      <c r="J254" s="682"/>
      <c r="K254" s="682"/>
      <c r="L254" s="682"/>
      <c r="M254" s="682"/>
      <c r="N254" s="682"/>
      <c r="O254" s="682">
        <v>5</v>
      </c>
      <c r="P254" s="682"/>
      <c r="Q254" s="682"/>
      <c r="R254" s="682"/>
      <c r="S254" s="682"/>
      <c r="T254" s="682"/>
      <c r="U254" s="682"/>
      <c r="V254" s="682"/>
      <c r="W254" s="682"/>
      <c r="X254" s="682"/>
      <c r="Y254" s="683"/>
      <c r="Z254" s="683"/>
      <c r="AA254" s="683"/>
      <c r="AB254" s="684"/>
    </row>
    <row r="255" spans="2:28" s="780" customFormat="1" hidden="1" x14ac:dyDescent="0.45">
      <c r="B255" s="1692"/>
      <c r="C255" s="1695"/>
      <c r="D255" s="124" t="s">
        <v>327</v>
      </c>
      <c r="E255" s="675"/>
      <c r="F255" s="675"/>
      <c r="G255" s="675"/>
      <c r="H255" s="675"/>
      <c r="I255" s="675"/>
      <c r="J255" s="675"/>
      <c r="K255" s="675"/>
      <c r="L255" s="675"/>
      <c r="M255" s="675"/>
      <c r="N255" s="675"/>
      <c r="O255" s="675"/>
      <c r="P255" s="675"/>
      <c r="Q255" s="675"/>
      <c r="R255" s="675"/>
      <c r="S255" s="675"/>
      <c r="T255" s="675"/>
      <c r="U255" s="675"/>
      <c r="V255" s="675"/>
      <c r="W255" s="675"/>
      <c r="X255" s="675"/>
      <c r="Y255" s="676"/>
      <c r="Z255" s="676"/>
      <c r="AA255" s="676"/>
      <c r="AB255" s="677"/>
    </row>
    <row r="256" spans="2:28" s="780" customFormat="1" hidden="1" x14ac:dyDescent="0.45">
      <c r="B256" s="1692"/>
      <c r="C256" s="1696" t="s">
        <v>332</v>
      </c>
      <c r="D256" s="122" t="s">
        <v>326</v>
      </c>
      <c r="E256" s="678">
        <v>3</v>
      </c>
      <c r="F256" s="678">
        <v>3</v>
      </c>
      <c r="G256" s="678">
        <v>3</v>
      </c>
      <c r="H256" s="678">
        <v>3</v>
      </c>
      <c r="I256" s="678">
        <v>3</v>
      </c>
      <c r="J256" s="678">
        <v>3</v>
      </c>
      <c r="K256" s="678">
        <v>3</v>
      </c>
      <c r="L256" s="678">
        <v>3</v>
      </c>
      <c r="M256" s="678">
        <v>3</v>
      </c>
      <c r="N256" s="678">
        <v>3</v>
      </c>
      <c r="O256" s="678">
        <v>93</v>
      </c>
      <c r="P256" s="678"/>
      <c r="Q256" s="678"/>
      <c r="R256" s="678"/>
      <c r="S256" s="678"/>
      <c r="T256" s="678"/>
      <c r="U256" s="678"/>
      <c r="V256" s="678"/>
      <c r="W256" s="679"/>
      <c r="X256" s="679"/>
      <c r="Y256" s="679"/>
      <c r="Z256" s="679"/>
      <c r="AA256" s="679"/>
      <c r="AB256" s="680"/>
    </row>
    <row r="257" spans="2:28" s="780" customFormat="1" hidden="1" x14ac:dyDescent="0.45">
      <c r="B257" s="1692"/>
      <c r="C257" s="1697"/>
      <c r="D257" s="122" t="s">
        <v>327</v>
      </c>
      <c r="E257" s="678"/>
      <c r="F257" s="678"/>
      <c r="G257" s="678"/>
      <c r="H257" s="678"/>
      <c r="I257" s="678"/>
      <c r="J257" s="678"/>
      <c r="K257" s="678"/>
      <c r="L257" s="678"/>
      <c r="M257" s="678"/>
      <c r="N257" s="678"/>
      <c r="O257" s="678"/>
      <c r="P257" s="678"/>
      <c r="Q257" s="678"/>
      <c r="R257" s="678"/>
      <c r="S257" s="678"/>
      <c r="T257" s="678"/>
      <c r="U257" s="678"/>
      <c r="V257" s="678"/>
      <c r="W257" s="678"/>
      <c r="X257" s="678"/>
      <c r="Y257" s="679"/>
      <c r="Z257" s="679"/>
      <c r="AA257" s="679"/>
      <c r="AB257" s="680"/>
    </row>
    <row r="258" spans="2:28" s="780" customFormat="1" hidden="1" x14ac:dyDescent="0.45">
      <c r="B258" s="1692"/>
      <c r="C258" s="1698" t="s">
        <v>333</v>
      </c>
      <c r="D258" s="124" t="s">
        <v>326</v>
      </c>
      <c r="E258" s="675">
        <v>4</v>
      </c>
      <c r="F258" s="675">
        <v>4</v>
      </c>
      <c r="G258" s="675">
        <v>4</v>
      </c>
      <c r="H258" s="675">
        <v>4</v>
      </c>
      <c r="I258" s="675">
        <v>17</v>
      </c>
      <c r="J258" s="675">
        <v>4</v>
      </c>
      <c r="K258" s="675">
        <v>4</v>
      </c>
      <c r="L258" s="675">
        <v>18</v>
      </c>
      <c r="M258" s="675">
        <v>4</v>
      </c>
      <c r="N258" s="675">
        <v>4</v>
      </c>
      <c r="O258" s="675"/>
      <c r="P258" s="675"/>
      <c r="Q258" s="675"/>
      <c r="R258" s="675"/>
      <c r="S258" s="675"/>
      <c r="T258" s="675"/>
      <c r="U258" s="675"/>
      <c r="V258" s="675"/>
      <c r="W258" s="676"/>
      <c r="X258" s="676"/>
      <c r="Y258" s="676"/>
      <c r="Z258" s="676"/>
      <c r="AA258" s="676"/>
      <c r="AB258" s="677"/>
    </row>
    <row r="259" spans="2:28" s="780" customFormat="1" hidden="1" x14ac:dyDescent="0.45">
      <c r="B259" s="1693"/>
      <c r="C259" s="1699"/>
      <c r="D259" s="126" t="s">
        <v>327</v>
      </c>
      <c r="E259" s="687"/>
      <c r="F259" s="687"/>
      <c r="G259" s="687"/>
      <c r="H259" s="687"/>
      <c r="I259" s="687"/>
      <c r="J259" s="687"/>
      <c r="K259" s="687"/>
      <c r="L259" s="687"/>
      <c r="M259" s="687"/>
      <c r="N259" s="687"/>
      <c r="O259" s="687"/>
      <c r="P259" s="687"/>
      <c r="Q259" s="687"/>
      <c r="R259" s="687"/>
      <c r="S259" s="687"/>
      <c r="T259" s="687"/>
      <c r="U259" s="687"/>
      <c r="V259" s="687"/>
      <c r="W259" s="687"/>
      <c r="X259" s="687"/>
      <c r="Y259" s="687"/>
      <c r="Z259" s="687"/>
      <c r="AA259" s="687"/>
      <c r="AB259" s="688"/>
    </row>
    <row r="260" spans="2:28" s="780" customFormat="1" hidden="1" x14ac:dyDescent="0.45"/>
    <row r="261" spans="2:28" s="780" customFormat="1" hidden="1" x14ac:dyDescent="0.45">
      <c r="B261" s="1688" t="s">
        <v>54</v>
      </c>
      <c r="C261" s="1689"/>
      <c r="D261" s="1690"/>
      <c r="E261" s="779">
        <v>5</v>
      </c>
      <c r="F261" s="779">
        <v>5</v>
      </c>
      <c r="G261" s="779">
        <v>12</v>
      </c>
      <c r="H261" s="779">
        <v>2</v>
      </c>
      <c r="I261" s="779">
        <v>5</v>
      </c>
      <c r="J261" s="779">
        <v>5</v>
      </c>
      <c r="K261" s="779">
        <v>5</v>
      </c>
      <c r="L261" s="779">
        <v>5</v>
      </c>
      <c r="M261" s="779">
        <v>12</v>
      </c>
      <c r="N261" s="779">
        <v>2</v>
      </c>
      <c r="O261" s="779">
        <v>13</v>
      </c>
      <c r="P261" s="779">
        <v>14</v>
      </c>
      <c r="Q261" s="779">
        <v>13</v>
      </c>
      <c r="R261" s="779">
        <v>3</v>
      </c>
      <c r="S261" s="779">
        <v>14</v>
      </c>
      <c r="T261" s="779">
        <v>3</v>
      </c>
      <c r="U261" s="779">
        <v>14</v>
      </c>
      <c r="V261" s="779"/>
      <c r="W261" s="779"/>
      <c r="X261" s="779"/>
      <c r="Y261" s="779"/>
      <c r="Z261" s="779"/>
      <c r="AA261" s="779"/>
      <c r="AB261" s="708"/>
    </row>
    <row r="262" spans="2:28" s="780" customFormat="1" ht="15" hidden="1" customHeight="1" x14ac:dyDescent="0.45">
      <c r="B262" s="1691" t="str">
        <f>CONCATENATE("Plan ", INDEX(plans_index,,(ROW(B262)-6)/16), ": ", INDEX(plans_name,,(ROW(B262)-6)/16))</f>
        <v>Plan 16: Dio Girls</v>
      </c>
      <c r="C262" s="1694" t="s">
        <v>325</v>
      </c>
      <c r="D262" s="123" t="s">
        <v>326</v>
      </c>
      <c r="E262" s="672">
        <v>240</v>
      </c>
      <c r="F262" s="672">
        <v>240</v>
      </c>
      <c r="G262" s="672">
        <v>240</v>
      </c>
      <c r="H262" s="672">
        <v>240</v>
      </c>
      <c r="I262" s="672">
        <v>240</v>
      </c>
      <c r="J262" s="672">
        <v>240</v>
      </c>
      <c r="K262" s="672">
        <v>240</v>
      </c>
      <c r="L262" s="672">
        <v>240</v>
      </c>
      <c r="M262" s="672">
        <v>240</v>
      </c>
      <c r="N262" s="672">
        <v>240</v>
      </c>
      <c r="O262" s="672">
        <v>240</v>
      </c>
      <c r="P262" s="672">
        <v>240</v>
      </c>
      <c r="Q262" s="672">
        <v>240</v>
      </c>
      <c r="R262" s="672">
        <v>240</v>
      </c>
      <c r="S262" s="672">
        <v>240</v>
      </c>
      <c r="T262" s="672"/>
      <c r="U262" s="672">
        <v>8</v>
      </c>
      <c r="V262" s="672"/>
      <c r="W262" s="672"/>
      <c r="X262" s="672"/>
      <c r="Y262" s="672"/>
      <c r="Z262" s="672"/>
      <c r="AA262" s="672"/>
      <c r="AB262" s="674"/>
    </row>
    <row r="263" spans="2:28" s="780" customFormat="1" hidden="1" x14ac:dyDescent="0.45">
      <c r="B263" s="1692"/>
      <c r="C263" s="1695"/>
      <c r="D263" s="124" t="s">
        <v>327</v>
      </c>
      <c r="E263" s="675"/>
      <c r="F263" s="675"/>
      <c r="G263" s="675"/>
      <c r="H263" s="675"/>
      <c r="I263" s="675"/>
      <c r="J263" s="675"/>
      <c r="K263" s="675"/>
      <c r="L263" s="675"/>
      <c r="M263" s="675"/>
      <c r="N263" s="675"/>
      <c r="O263" s="675"/>
      <c r="P263" s="675"/>
      <c r="Q263" s="675"/>
      <c r="R263" s="675"/>
      <c r="S263" s="675"/>
      <c r="T263" s="675"/>
      <c r="U263" s="675"/>
      <c r="V263" s="675"/>
      <c r="W263" s="675"/>
      <c r="X263" s="675"/>
      <c r="Y263" s="676"/>
      <c r="Z263" s="676"/>
      <c r="AA263" s="676"/>
      <c r="AB263" s="677"/>
    </row>
    <row r="264" spans="2:28" s="780" customFormat="1" hidden="1" x14ac:dyDescent="0.45">
      <c r="B264" s="1692"/>
      <c r="C264" s="1696" t="s">
        <v>328</v>
      </c>
      <c r="D264" s="122" t="s">
        <v>326</v>
      </c>
      <c r="E264" s="678">
        <v>1</v>
      </c>
      <c r="F264" s="678">
        <v>1</v>
      </c>
      <c r="G264" s="678">
        <v>41</v>
      </c>
      <c r="H264" s="678">
        <v>1</v>
      </c>
      <c r="I264" s="678">
        <v>43</v>
      </c>
      <c r="J264" s="678">
        <v>43</v>
      </c>
      <c r="K264" s="678">
        <v>43</v>
      </c>
      <c r="L264" s="678">
        <v>44</v>
      </c>
      <c r="M264" s="678">
        <v>44</v>
      </c>
      <c r="N264" s="678">
        <v>1</v>
      </c>
      <c r="O264" s="678">
        <v>42</v>
      </c>
      <c r="P264" s="678">
        <v>42</v>
      </c>
      <c r="Q264" s="678">
        <v>1</v>
      </c>
      <c r="R264" s="678">
        <v>42</v>
      </c>
      <c r="S264" s="678">
        <v>42</v>
      </c>
      <c r="T264" s="678"/>
      <c r="U264" s="678"/>
      <c r="V264" s="678"/>
      <c r="W264" s="678"/>
      <c r="X264" s="678"/>
      <c r="Y264" s="679"/>
      <c r="Z264" s="679"/>
      <c r="AA264" s="679"/>
      <c r="AB264" s="680"/>
    </row>
    <row r="265" spans="2:28" s="780" customFormat="1" hidden="1" x14ac:dyDescent="0.45">
      <c r="B265" s="1692"/>
      <c r="C265" s="1697"/>
      <c r="D265" s="122" t="s">
        <v>327</v>
      </c>
      <c r="E265" s="678"/>
      <c r="F265" s="678"/>
      <c r="G265" s="678"/>
      <c r="H265" s="678"/>
      <c r="I265" s="678"/>
      <c r="J265" s="678"/>
      <c r="K265" s="678"/>
      <c r="L265" s="678"/>
      <c r="M265" s="678"/>
      <c r="N265" s="678"/>
      <c r="O265" s="678"/>
      <c r="P265" s="678"/>
      <c r="Q265" s="678"/>
      <c r="R265" s="678"/>
      <c r="S265" s="678"/>
      <c r="T265" s="678"/>
      <c r="U265" s="678"/>
      <c r="V265" s="678"/>
      <c r="W265" s="678"/>
      <c r="X265" s="681"/>
      <c r="Y265" s="679"/>
      <c r="Z265" s="679"/>
      <c r="AA265" s="679"/>
      <c r="AB265" s="680"/>
    </row>
    <row r="266" spans="2:28" s="780" customFormat="1" hidden="1" x14ac:dyDescent="0.45">
      <c r="B266" s="1692"/>
      <c r="C266" s="1698" t="s">
        <v>329</v>
      </c>
      <c r="D266" s="125" t="s">
        <v>326</v>
      </c>
      <c r="E266" s="682">
        <v>1</v>
      </c>
      <c r="F266" s="682">
        <v>1</v>
      </c>
      <c r="G266" s="682">
        <v>10</v>
      </c>
      <c r="H266" s="682"/>
      <c r="I266" s="682">
        <v>1</v>
      </c>
      <c r="J266" s="682">
        <v>1</v>
      </c>
      <c r="K266" s="682">
        <v>1</v>
      </c>
      <c r="L266" s="682">
        <v>1</v>
      </c>
      <c r="M266" s="682">
        <v>1</v>
      </c>
      <c r="N266" s="682"/>
      <c r="O266" s="682">
        <v>1</v>
      </c>
      <c r="P266" s="682"/>
      <c r="Q266" s="682"/>
      <c r="R266" s="682">
        <v>1</v>
      </c>
      <c r="S266" s="682">
        <v>6</v>
      </c>
      <c r="T266" s="682">
        <v>21</v>
      </c>
      <c r="U266" s="682">
        <v>84</v>
      </c>
      <c r="V266" s="682"/>
      <c r="W266" s="682"/>
      <c r="X266" s="682"/>
      <c r="Y266" s="683"/>
      <c r="Z266" s="683"/>
      <c r="AA266" s="683"/>
      <c r="AB266" s="684"/>
    </row>
    <row r="267" spans="2:28" s="780" customFormat="1" hidden="1" x14ac:dyDescent="0.45">
      <c r="B267" s="1692"/>
      <c r="C267" s="1695"/>
      <c r="D267" s="124" t="s">
        <v>327</v>
      </c>
      <c r="E267" s="675"/>
      <c r="F267" s="675"/>
      <c r="G267" s="675"/>
      <c r="H267" s="675"/>
      <c r="I267" s="675"/>
      <c r="J267" s="675"/>
      <c r="K267" s="675"/>
      <c r="L267" s="675"/>
      <c r="M267" s="675"/>
      <c r="N267" s="675"/>
      <c r="O267" s="675"/>
      <c r="P267" s="675"/>
      <c r="Q267" s="675"/>
      <c r="R267" s="675"/>
      <c r="S267" s="675"/>
      <c r="T267" s="675"/>
      <c r="U267" s="675"/>
      <c r="V267" s="675"/>
      <c r="W267" s="675"/>
      <c r="X267" s="675"/>
      <c r="Y267" s="676"/>
      <c r="Z267" s="676"/>
      <c r="AA267" s="676"/>
      <c r="AB267" s="677"/>
    </row>
    <row r="268" spans="2:28" s="780" customFormat="1" hidden="1" x14ac:dyDescent="0.45">
      <c r="B268" s="1692"/>
      <c r="C268" s="1696" t="s">
        <v>330</v>
      </c>
      <c r="D268" s="122" t="s">
        <v>326</v>
      </c>
      <c r="E268" s="678">
        <v>41</v>
      </c>
      <c r="F268" s="678">
        <v>41</v>
      </c>
      <c r="G268" s="678">
        <v>1</v>
      </c>
      <c r="H268" s="678">
        <v>43</v>
      </c>
      <c r="I268" s="678">
        <v>1</v>
      </c>
      <c r="J268" s="678">
        <v>1</v>
      </c>
      <c r="K268" s="678">
        <v>1</v>
      </c>
      <c r="L268" s="678">
        <v>1</v>
      </c>
      <c r="M268" s="678">
        <v>1</v>
      </c>
      <c r="N268" s="678">
        <v>44</v>
      </c>
      <c r="O268" s="678">
        <v>1</v>
      </c>
      <c r="P268" s="678">
        <v>6</v>
      </c>
      <c r="Q268" s="678">
        <v>42</v>
      </c>
      <c r="R268" s="678">
        <v>1</v>
      </c>
      <c r="S268" s="678"/>
      <c r="T268" s="678"/>
      <c r="U268" s="678"/>
      <c r="V268" s="678"/>
      <c r="W268" s="678"/>
      <c r="X268" s="678"/>
      <c r="Y268" s="679"/>
      <c r="Z268" s="679"/>
      <c r="AA268" s="679"/>
      <c r="AB268" s="680"/>
    </row>
    <row r="269" spans="2:28" s="780" customFormat="1" hidden="1" x14ac:dyDescent="0.45">
      <c r="B269" s="1692"/>
      <c r="C269" s="1697"/>
      <c r="D269" s="122" t="s">
        <v>327</v>
      </c>
      <c r="E269" s="678"/>
      <c r="F269" s="678"/>
      <c r="G269" s="678"/>
      <c r="H269" s="678"/>
      <c r="I269" s="678"/>
      <c r="J269" s="678"/>
      <c r="K269" s="678"/>
      <c r="L269" s="678"/>
      <c r="M269" s="678"/>
      <c r="N269" s="678"/>
      <c r="O269" s="678"/>
      <c r="P269" s="678"/>
      <c r="Q269" s="678"/>
      <c r="R269" s="678"/>
      <c r="S269" s="678"/>
      <c r="T269" s="678"/>
      <c r="U269" s="678"/>
      <c r="V269" s="678"/>
      <c r="W269" s="678"/>
      <c r="X269" s="681"/>
      <c r="Y269" s="679"/>
      <c r="Z269" s="679"/>
      <c r="AA269" s="679"/>
      <c r="AB269" s="680"/>
    </row>
    <row r="270" spans="2:28" s="780" customFormat="1" hidden="1" x14ac:dyDescent="0.45">
      <c r="B270" s="1692"/>
      <c r="C270" s="1698" t="s">
        <v>331</v>
      </c>
      <c r="D270" s="125" t="s">
        <v>326</v>
      </c>
      <c r="E270" s="682"/>
      <c r="F270" s="682"/>
      <c r="G270" s="685"/>
      <c r="H270" s="682"/>
      <c r="I270" s="682"/>
      <c r="J270" s="682"/>
      <c r="K270" s="682"/>
      <c r="L270" s="682"/>
      <c r="M270" s="682"/>
      <c r="N270" s="682"/>
      <c r="O270" s="682"/>
      <c r="P270" s="682"/>
      <c r="Q270" s="682"/>
      <c r="R270" s="682"/>
      <c r="S270" s="682">
        <v>81</v>
      </c>
      <c r="T270" s="682">
        <v>16</v>
      </c>
      <c r="U270" s="682">
        <v>82</v>
      </c>
      <c r="V270" s="682"/>
      <c r="W270" s="682"/>
      <c r="X270" s="682"/>
      <c r="Y270" s="683"/>
      <c r="Z270" s="683"/>
      <c r="AA270" s="683"/>
      <c r="AB270" s="684"/>
    </row>
    <row r="271" spans="2:28" s="780" customFormat="1" hidden="1" x14ac:dyDescent="0.45">
      <c r="B271" s="1692"/>
      <c r="C271" s="1695"/>
      <c r="D271" s="124" t="s">
        <v>327</v>
      </c>
      <c r="E271" s="675"/>
      <c r="F271" s="675"/>
      <c r="G271" s="686">
        <v>81</v>
      </c>
      <c r="H271" s="675"/>
      <c r="I271" s="675"/>
      <c r="J271" s="675"/>
      <c r="K271" s="675"/>
      <c r="L271" s="675"/>
      <c r="M271" s="675"/>
      <c r="N271" s="675"/>
      <c r="O271" s="675"/>
      <c r="P271" s="675"/>
      <c r="Q271" s="675"/>
      <c r="R271" s="675"/>
      <c r="S271" s="675"/>
      <c r="T271" s="675"/>
      <c r="U271" s="675"/>
      <c r="V271" s="675"/>
      <c r="W271" s="675"/>
      <c r="X271" s="675"/>
      <c r="Y271" s="676"/>
      <c r="Z271" s="676"/>
      <c r="AA271" s="676"/>
      <c r="AB271" s="677"/>
    </row>
    <row r="272" spans="2:28" s="780" customFormat="1" hidden="1" x14ac:dyDescent="0.45">
      <c r="B272" s="1692"/>
      <c r="C272" s="1696" t="s">
        <v>332</v>
      </c>
      <c r="D272" s="122" t="s">
        <v>326</v>
      </c>
      <c r="E272" s="678">
        <v>20</v>
      </c>
      <c r="F272" s="678">
        <v>20</v>
      </c>
      <c r="G272" s="678">
        <v>82</v>
      </c>
      <c r="H272" s="678">
        <v>20</v>
      </c>
      <c r="I272" s="678">
        <v>20</v>
      </c>
      <c r="J272" s="678">
        <v>20</v>
      </c>
      <c r="K272" s="678">
        <v>20</v>
      </c>
      <c r="L272" s="678">
        <v>20</v>
      </c>
      <c r="M272" s="678"/>
      <c r="N272" s="678">
        <v>20</v>
      </c>
      <c r="O272" s="678">
        <v>20</v>
      </c>
      <c r="P272" s="678">
        <v>82</v>
      </c>
      <c r="Q272" s="678">
        <v>20</v>
      </c>
      <c r="R272" s="678">
        <v>20</v>
      </c>
      <c r="S272" s="678">
        <v>82</v>
      </c>
      <c r="T272" s="678"/>
      <c r="U272" s="678">
        <v>82</v>
      </c>
      <c r="V272" s="678"/>
      <c r="W272" s="679"/>
      <c r="X272" s="679"/>
      <c r="Y272" s="679"/>
      <c r="Z272" s="679"/>
      <c r="AA272" s="679"/>
      <c r="AB272" s="680"/>
    </row>
    <row r="273" spans="2:28" s="780" customFormat="1" hidden="1" x14ac:dyDescent="0.45">
      <c r="B273" s="1692"/>
      <c r="C273" s="1697"/>
      <c r="D273" s="122" t="s">
        <v>327</v>
      </c>
      <c r="E273" s="678"/>
      <c r="F273" s="678"/>
      <c r="G273" s="678"/>
      <c r="H273" s="678"/>
      <c r="I273" s="678"/>
      <c r="J273" s="678"/>
      <c r="K273" s="678"/>
      <c r="L273" s="678"/>
      <c r="M273" s="678">
        <v>83</v>
      </c>
      <c r="N273" s="678"/>
      <c r="O273" s="678"/>
      <c r="P273" s="678">
        <v>83</v>
      </c>
      <c r="Q273" s="678"/>
      <c r="R273" s="678"/>
      <c r="S273" s="678"/>
      <c r="T273" s="678"/>
      <c r="U273" s="678"/>
      <c r="V273" s="678"/>
      <c r="W273" s="678"/>
      <c r="X273" s="678"/>
      <c r="Y273" s="679"/>
      <c r="Z273" s="679"/>
      <c r="AA273" s="679"/>
      <c r="AB273" s="680"/>
    </row>
    <row r="274" spans="2:28" s="780" customFormat="1" hidden="1" x14ac:dyDescent="0.45">
      <c r="B274" s="1692"/>
      <c r="C274" s="1698" t="s">
        <v>333</v>
      </c>
      <c r="D274" s="124" t="s">
        <v>326</v>
      </c>
      <c r="E274" s="675">
        <v>4</v>
      </c>
      <c r="F274" s="675">
        <v>4</v>
      </c>
      <c r="G274" s="675">
        <v>84</v>
      </c>
      <c r="H274" s="675">
        <v>4</v>
      </c>
      <c r="I274" s="675">
        <v>4</v>
      </c>
      <c r="J274" s="675">
        <v>4</v>
      </c>
      <c r="K274" s="675">
        <v>4</v>
      </c>
      <c r="L274" s="675">
        <v>4</v>
      </c>
      <c r="M274" s="675">
        <v>84</v>
      </c>
      <c r="N274" s="675">
        <v>4</v>
      </c>
      <c r="O274" s="675">
        <v>4</v>
      </c>
      <c r="P274" s="675">
        <v>85</v>
      </c>
      <c r="Q274" s="675">
        <v>4</v>
      </c>
      <c r="R274" s="675">
        <v>4</v>
      </c>
      <c r="S274" s="675">
        <v>84</v>
      </c>
      <c r="T274" s="675">
        <v>21</v>
      </c>
      <c r="U274" s="675"/>
      <c r="V274" s="675"/>
      <c r="W274" s="676"/>
      <c r="X274" s="676"/>
      <c r="Y274" s="676"/>
      <c r="Z274" s="676"/>
      <c r="AA274" s="676"/>
      <c r="AB274" s="677"/>
    </row>
    <row r="275" spans="2:28" s="780" customFormat="1" hidden="1" x14ac:dyDescent="0.45">
      <c r="B275" s="1693"/>
      <c r="C275" s="1699"/>
      <c r="D275" s="126" t="s">
        <v>327</v>
      </c>
      <c r="E275" s="687"/>
      <c r="F275" s="687"/>
      <c r="G275" s="687"/>
      <c r="H275" s="687"/>
      <c r="I275" s="687"/>
      <c r="J275" s="687"/>
      <c r="K275" s="687"/>
      <c r="L275" s="687"/>
      <c r="M275" s="687"/>
      <c r="N275" s="687"/>
      <c r="O275" s="687"/>
      <c r="P275" s="687"/>
      <c r="Q275" s="687"/>
      <c r="R275" s="687"/>
      <c r="S275" s="687"/>
      <c r="T275" s="687"/>
      <c r="U275" s="687"/>
      <c r="V275" s="687"/>
      <c r="W275" s="687"/>
      <c r="X275" s="687"/>
      <c r="Y275" s="687"/>
      <c r="Z275" s="687"/>
      <c r="AA275" s="687"/>
      <c r="AB275" s="688"/>
    </row>
    <row r="276" spans="2:28" s="780" customFormat="1" hidden="1" x14ac:dyDescent="0.45"/>
    <row r="277" spans="2:28" s="780" customFormat="1" hidden="1" x14ac:dyDescent="0.45">
      <c r="B277" s="1688" t="s">
        <v>54</v>
      </c>
      <c r="C277" s="1689"/>
      <c r="D277" s="1690"/>
      <c r="E277" s="779"/>
      <c r="F277" s="779"/>
      <c r="G277" s="779"/>
      <c r="H277" s="779"/>
      <c r="I277" s="779"/>
      <c r="J277" s="779"/>
      <c r="K277" s="779"/>
      <c r="L277" s="779"/>
      <c r="M277" s="779"/>
      <c r="N277" s="779"/>
      <c r="O277" s="779"/>
      <c r="P277" s="779"/>
      <c r="Q277" s="779"/>
      <c r="R277" s="779"/>
      <c r="S277" s="779"/>
      <c r="T277" s="779"/>
      <c r="U277" s="779"/>
      <c r="V277" s="779"/>
      <c r="W277" s="779"/>
      <c r="X277" s="779"/>
      <c r="Y277" s="779"/>
      <c r="Z277" s="779"/>
      <c r="AA277" s="779"/>
      <c r="AB277" s="708"/>
    </row>
    <row r="278" spans="2:28" s="780" customFormat="1" ht="15" hidden="1" customHeight="1" x14ac:dyDescent="0.45">
      <c r="B278" s="1691" t="str">
        <f>CONCATENATE("Plan ", INDEX(plans_index,,(ROW(B278)-6)/16), ": ", INDEX(plans_name,,(ROW(B278)-6)/16))</f>
        <v xml:space="preserve">Plan 17: </v>
      </c>
      <c r="C278" s="1694" t="s">
        <v>325</v>
      </c>
      <c r="D278" s="123" t="s">
        <v>326</v>
      </c>
      <c r="E278" s="672"/>
      <c r="F278" s="672"/>
      <c r="G278" s="672"/>
      <c r="H278" s="673"/>
      <c r="I278" s="672"/>
      <c r="J278" s="672"/>
      <c r="K278" s="672"/>
      <c r="L278" s="672"/>
      <c r="M278" s="672"/>
      <c r="N278" s="672"/>
      <c r="O278" s="672"/>
      <c r="P278" s="672"/>
      <c r="Q278" s="672"/>
      <c r="R278" s="672"/>
      <c r="S278" s="672"/>
      <c r="T278" s="672"/>
      <c r="U278" s="672"/>
      <c r="V278" s="672"/>
      <c r="W278" s="672"/>
      <c r="X278" s="672"/>
      <c r="Y278" s="672"/>
      <c r="Z278" s="672"/>
      <c r="AA278" s="672"/>
      <c r="AB278" s="674"/>
    </row>
    <row r="279" spans="2:28" s="780" customFormat="1" hidden="1" x14ac:dyDescent="0.45">
      <c r="B279" s="1692"/>
      <c r="C279" s="1695"/>
      <c r="D279" s="124" t="s">
        <v>327</v>
      </c>
      <c r="E279" s="675"/>
      <c r="F279" s="675"/>
      <c r="G279" s="675"/>
      <c r="H279" s="675"/>
      <c r="I279" s="675"/>
      <c r="J279" s="675"/>
      <c r="K279" s="675"/>
      <c r="L279" s="675"/>
      <c r="M279" s="675"/>
      <c r="N279" s="675"/>
      <c r="O279" s="675"/>
      <c r="P279" s="675"/>
      <c r="Q279" s="675"/>
      <c r="R279" s="675"/>
      <c r="S279" s="675"/>
      <c r="T279" s="675"/>
      <c r="U279" s="675"/>
      <c r="V279" s="675"/>
      <c r="W279" s="675"/>
      <c r="X279" s="675"/>
      <c r="Y279" s="676"/>
      <c r="Z279" s="676"/>
      <c r="AA279" s="676"/>
      <c r="AB279" s="677"/>
    </row>
    <row r="280" spans="2:28" s="780" customFormat="1" hidden="1" x14ac:dyDescent="0.45">
      <c r="B280" s="1692"/>
      <c r="C280" s="1696" t="s">
        <v>328</v>
      </c>
      <c r="D280" s="122" t="s">
        <v>326</v>
      </c>
      <c r="E280" s="678"/>
      <c r="F280" s="678"/>
      <c r="G280" s="678"/>
      <c r="H280" s="678"/>
      <c r="I280" s="678"/>
      <c r="J280" s="678"/>
      <c r="K280" s="678"/>
      <c r="L280" s="678"/>
      <c r="M280" s="678"/>
      <c r="N280" s="678"/>
      <c r="O280" s="678"/>
      <c r="P280" s="678"/>
      <c r="Q280" s="678"/>
      <c r="R280" s="678"/>
      <c r="S280" s="678"/>
      <c r="T280" s="678"/>
      <c r="U280" s="678"/>
      <c r="V280" s="678"/>
      <c r="W280" s="678"/>
      <c r="X280" s="678"/>
      <c r="Y280" s="679"/>
      <c r="Z280" s="679"/>
      <c r="AA280" s="679"/>
      <c r="AB280" s="680"/>
    </row>
    <row r="281" spans="2:28" s="780" customFormat="1" hidden="1" x14ac:dyDescent="0.45">
      <c r="B281" s="1692"/>
      <c r="C281" s="1697"/>
      <c r="D281" s="122" t="s">
        <v>327</v>
      </c>
      <c r="E281" s="678"/>
      <c r="F281" s="678"/>
      <c r="G281" s="678"/>
      <c r="H281" s="678"/>
      <c r="I281" s="678"/>
      <c r="J281" s="678"/>
      <c r="K281" s="678"/>
      <c r="L281" s="678"/>
      <c r="M281" s="678"/>
      <c r="N281" s="678"/>
      <c r="O281" s="678"/>
      <c r="P281" s="678"/>
      <c r="Q281" s="678"/>
      <c r="R281" s="678"/>
      <c r="S281" s="678"/>
      <c r="T281" s="678"/>
      <c r="U281" s="678"/>
      <c r="V281" s="678"/>
      <c r="W281" s="678"/>
      <c r="X281" s="681"/>
      <c r="Y281" s="679"/>
      <c r="Z281" s="679"/>
      <c r="AA281" s="679"/>
      <c r="AB281" s="680"/>
    </row>
    <row r="282" spans="2:28" s="780" customFormat="1" hidden="1" x14ac:dyDescent="0.45">
      <c r="B282" s="1692"/>
      <c r="C282" s="1698" t="s">
        <v>329</v>
      </c>
      <c r="D282" s="125" t="s">
        <v>326</v>
      </c>
      <c r="E282" s="682"/>
      <c r="F282" s="682"/>
      <c r="G282" s="682"/>
      <c r="H282" s="682"/>
      <c r="I282" s="682"/>
      <c r="J282" s="682"/>
      <c r="K282" s="682"/>
      <c r="L282" s="682"/>
      <c r="M282" s="682"/>
      <c r="N282" s="682"/>
      <c r="O282" s="682"/>
      <c r="P282" s="682"/>
      <c r="Q282" s="682"/>
      <c r="R282" s="682"/>
      <c r="S282" s="682"/>
      <c r="T282" s="682"/>
      <c r="U282" s="682"/>
      <c r="V282" s="682"/>
      <c r="W282" s="682"/>
      <c r="X282" s="682"/>
      <c r="Y282" s="683"/>
      <c r="Z282" s="683"/>
      <c r="AA282" s="683"/>
      <c r="AB282" s="684"/>
    </row>
    <row r="283" spans="2:28" s="780" customFormat="1" hidden="1" x14ac:dyDescent="0.45">
      <c r="B283" s="1692"/>
      <c r="C283" s="1695"/>
      <c r="D283" s="124" t="s">
        <v>327</v>
      </c>
      <c r="E283" s="675"/>
      <c r="F283" s="675"/>
      <c r="G283" s="675"/>
      <c r="H283" s="675"/>
      <c r="I283" s="675"/>
      <c r="J283" s="675"/>
      <c r="K283" s="675"/>
      <c r="L283" s="675"/>
      <c r="M283" s="675"/>
      <c r="N283" s="675"/>
      <c r="O283" s="675"/>
      <c r="P283" s="675"/>
      <c r="Q283" s="675"/>
      <c r="R283" s="675"/>
      <c r="S283" s="675"/>
      <c r="T283" s="675"/>
      <c r="U283" s="675"/>
      <c r="V283" s="675"/>
      <c r="W283" s="675"/>
      <c r="X283" s="675"/>
      <c r="Y283" s="676"/>
      <c r="Z283" s="676"/>
      <c r="AA283" s="676"/>
      <c r="AB283" s="677"/>
    </row>
    <row r="284" spans="2:28" s="780" customFormat="1" hidden="1" x14ac:dyDescent="0.45">
      <c r="B284" s="1692"/>
      <c r="C284" s="1696" t="s">
        <v>330</v>
      </c>
      <c r="D284" s="122" t="s">
        <v>326</v>
      </c>
      <c r="E284" s="678"/>
      <c r="F284" s="678"/>
      <c r="G284" s="678"/>
      <c r="H284" s="678"/>
      <c r="I284" s="678"/>
      <c r="J284" s="678"/>
      <c r="K284" s="678"/>
      <c r="L284" s="678"/>
      <c r="M284" s="678"/>
      <c r="N284" s="678"/>
      <c r="O284" s="678"/>
      <c r="P284" s="678"/>
      <c r="Q284" s="678"/>
      <c r="R284" s="678"/>
      <c r="S284" s="678"/>
      <c r="T284" s="678"/>
      <c r="U284" s="678"/>
      <c r="V284" s="678"/>
      <c r="W284" s="678"/>
      <c r="X284" s="678"/>
      <c r="Y284" s="679"/>
      <c r="Z284" s="679"/>
      <c r="AA284" s="679"/>
      <c r="AB284" s="680"/>
    </row>
    <row r="285" spans="2:28" s="780" customFormat="1" hidden="1" x14ac:dyDescent="0.45">
      <c r="B285" s="1692"/>
      <c r="C285" s="1697"/>
      <c r="D285" s="122" t="s">
        <v>327</v>
      </c>
      <c r="E285" s="678"/>
      <c r="F285" s="678"/>
      <c r="G285" s="678"/>
      <c r="H285" s="678"/>
      <c r="I285" s="678"/>
      <c r="J285" s="678"/>
      <c r="K285" s="678"/>
      <c r="L285" s="678"/>
      <c r="M285" s="678"/>
      <c r="N285" s="678"/>
      <c r="O285" s="678"/>
      <c r="P285" s="678"/>
      <c r="Q285" s="678"/>
      <c r="R285" s="678"/>
      <c r="S285" s="678"/>
      <c r="T285" s="678"/>
      <c r="U285" s="678"/>
      <c r="V285" s="678"/>
      <c r="W285" s="678"/>
      <c r="X285" s="681"/>
      <c r="Y285" s="679"/>
      <c r="Z285" s="679"/>
      <c r="AA285" s="679"/>
      <c r="AB285" s="680"/>
    </row>
    <row r="286" spans="2:28" s="780" customFormat="1" hidden="1" x14ac:dyDescent="0.45">
      <c r="B286" s="1692"/>
      <c r="C286" s="1698" t="s">
        <v>331</v>
      </c>
      <c r="D286" s="125" t="s">
        <v>326</v>
      </c>
      <c r="E286" s="682"/>
      <c r="F286" s="682"/>
      <c r="G286" s="685"/>
      <c r="H286" s="682"/>
      <c r="I286" s="682"/>
      <c r="J286" s="682"/>
      <c r="K286" s="682"/>
      <c r="L286" s="682"/>
      <c r="M286" s="682"/>
      <c r="N286" s="682"/>
      <c r="O286" s="682"/>
      <c r="P286" s="682"/>
      <c r="Q286" s="682"/>
      <c r="R286" s="682"/>
      <c r="S286" s="682"/>
      <c r="T286" s="682"/>
      <c r="U286" s="682"/>
      <c r="V286" s="682"/>
      <c r="W286" s="682"/>
      <c r="X286" s="682"/>
      <c r="Y286" s="683"/>
      <c r="Z286" s="683"/>
      <c r="AA286" s="683"/>
      <c r="AB286" s="684"/>
    </row>
    <row r="287" spans="2:28" s="780" customFormat="1" hidden="1" x14ac:dyDescent="0.45">
      <c r="B287" s="1692"/>
      <c r="C287" s="1695"/>
      <c r="D287" s="124" t="s">
        <v>327</v>
      </c>
      <c r="E287" s="675"/>
      <c r="F287" s="675"/>
      <c r="G287" s="686"/>
      <c r="H287" s="675"/>
      <c r="I287" s="675"/>
      <c r="J287" s="675"/>
      <c r="K287" s="675"/>
      <c r="L287" s="675"/>
      <c r="M287" s="675"/>
      <c r="N287" s="675"/>
      <c r="O287" s="675"/>
      <c r="P287" s="675"/>
      <c r="Q287" s="675"/>
      <c r="R287" s="675"/>
      <c r="S287" s="675"/>
      <c r="T287" s="675"/>
      <c r="U287" s="675"/>
      <c r="V287" s="675"/>
      <c r="W287" s="675"/>
      <c r="X287" s="675"/>
      <c r="Y287" s="676"/>
      <c r="Z287" s="676"/>
      <c r="AA287" s="676"/>
      <c r="AB287" s="677"/>
    </row>
    <row r="288" spans="2:28" s="780" customFormat="1" hidden="1" x14ac:dyDescent="0.45">
      <c r="B288" s="1692"/>
      <c r="C288" s="1696" t="s">
        <v>332</v>
      </c>
      <c r="D288" s="122" t="s">
        <v>326</v>
      </c>
      <c r="E288" s="678"/>
      <c r="F288" s="678"/>
      <c r="G288" s="678"/>
      <c r="H288" s="678"/>
      <c r="I288" s="678"/>
      <c r="J288" s="678"/>
      <c r="K288" s="678"/>
      <c r="L288" s="678"/>
      <c r="M288" s="678"/>
      <c r="N288" s="678"/>
      <c r="O288" s="678"/>
      <c r="P288" s="678"/>
      <c r="Q288" s="678"/>
      <c r="R288" s="678"/>
      <c r="S288" s="678"/>
      <c r="T288" s="678"/>
      <c r="U288" s="678"/>
      <c r="V288" s="678"/>
      <c r="W288" s="679"/>
      <c r="X288" s="679"/>
      <c r="Y288" s="679"/>
      <c r="Z288" s="679"/>
      <c r="AA288" s="679"/>
      <c r="AB288" s="680"/>
    </row>
    <row r="289" spans="2:28" s="780" customFormat="1" hidden="1" x14ac:dyDescent="0.45">
      <c r="B289" s="1692"/>
      <c r="C289" s="1697"/>
      <c r="D289" s="122" t="s">
        <v>327</v>
      </c>
      <c r="E289" s="678"/>
      <c r="F289" s="678"/>
      <c r="G289" s="678"/>
      <c r="H289" s="678"/>
      <c r="I289" s="678"/>
      <c r="J289" s="678"/>
      <c r="K289" s="678"/>
      <c r="L289" s="678"/>
      <c r="M289" s="678"/>
      <c r="N289" s="678"/>
      <c r="O289" s="678"/>
      <c r="P289" s="678"/>
      <c r="Q289" s="678"/>
      <c r="R289" s="678"/>
      <c r="S289" s="678"/>
      <c r="T289" s="678"/>
      <c r="U289" s="678"/>
      <c r="V289" s="678"/>
      <c r="W289" s="678"/>
      <c r="X289" s="678"/>
      <c r="Y289" s="679"/>
      <c r="Z289" s="679"/>
      <c r="AA289" s="679"/>
      <c r="AB289" s="680"/>
    </row>
    <row r="290" spans="2:28" s="780" customFormat="1" hidden="1" x14ac:dyDescent="0.45">
      <c r="B290" s="1692"/>
      <c r="C290" s="1698" t="s">
        <v>333</v>
      </c>
      <c r="D290" s="124" t="s">
        <v>326</v>
      </c>
      <c r="E290" s="675"/>
      <c r="F290" s="675"/>
      <c r="G290" s="675"/>
      <c r="H290" s="675"/>
      <c r="I290" s="675"/>
      <c r="J290" s="675"/>
      <c r="K290" s="675"/>
      <c r="L290" s="675"/>
      <c r="M290" s="675"/>
      <c r="N290" s="675"/>
      <c r="O290" s="675"/>
      <c r="P290" s="675"/>
      <c r="Q290" s="675"/>
      <c r="R290" s="675"/>
      <c r="S290" s="675"/>
      <c r="T290" s="675"/>
      <c r="U290" s="675"/>
      <c r="V290" s="675"/>
      <c r="W290" s="676"/>
      <c r="X290" s="676"/>
      <c r="Y290" s="676"/>
      <c r="Z290" s="676"/>
      <c r="AA290" s="676"/>
      <c r="AB290" s="677"/>
    </row>
    <row r="291" spans="2:28" s="780" customFormat="1" hidden="1" x14ac:dyDescent="0.45">
      <c r="B291" s="1693"/>
      <c r="C291" s="1699"/>
      <c r="D291" s="126" t="s">
        <v>327</v>
      </c>
      <c r="E291" s="687"/>
      <c r="F291" s="687"/>
      <c r="G291" s="687"/>
      <c r="H291" s="687"/>
      <c r="I291" s="687"/>
      <c r="J291" s="687"/>
      <c r="K291" s="687"/>
      <c r="L291" s="687"/>
      <c r="M291" s="687"/>
      <c r="N291" s="687"/>
      <c r="O291" s="687"/>
      <c r="P291" s="687"/>
      <c r="Q291" s="687"/>
      <c r="R291" s="687"/>
      <c r="S291" s="687"/>
      <c r="T291" s="687"/>
      <c r="U291" s="687"/>
      <c r="V291" s="687"/>
      <c r="W291" s="687"/>
      <c r="X291" s="687"/>
      <c r="Y291" s="687"/>
      <c r="Z291" s="687"/>
      <c r="AA291" s="687"/>
      <c r="AB291" s="688"/>
    </row>
    <row r="292" spans="2:28" s="780" customFormat="1" hidden="1" x14ac:dyDescent="0.45"/>
    <row r="293" spans="2:28" s="780" customFormat="1" hidden="1" x14ac:dyDescent="0.45">
      <c r="B293" s="1688" t="s">
        <v>54</v>
      </c>
      <c r="C293" s="1689"/>
      <c r="D293" s="1690"/>
      <c r="E293" s="779"/>
      <c r="F293" s="779"/>
      <c r="G293" s="779"/>
      <c r="H293" s="779"/>
      <c r="I293" s="779"/>
      <c r="J293" s="779"/>
      <c r="K293" s="779"/>
      <c r="L293" s="779"/>
      <c r="M293" s="779"/>
      <c r="N293" s="779"/>
      <c r="O293" s="779"/>
      <c r="P293" s="779"/>
      <c r="Q293" s="779"/>
      <c r="R293" s="779"/>
      <c r="S293" s="779"/>
      <c r="T293" s="779"/>
      <c r="U293" s="779"/>
      <c r="V293" s="779"/>
      <c r="W293" s="779"/>
      <c r="X293" s="779"/>
      <c r="Y293" s="779"/>
      <c r="Z293" s="779"/>
      <c r="AA293" s="779"/>
      <c r="AB293" s="708"/>
    </row>
    <row r="294" spans="2:28" s="780" customFormat="1" ht="15" hidden="1" customHeight="1" x14ac:dyDescent="0.45">
      <c r="B294" s="1691" t="str">
        <f>CONCATENATE("Plan ", INDEX(plans_index,,(ROW(B294)-6)/16), ": ", INDEX(plans_name,,(ROW(B294)-6)/16))</f>
        <v xml:space="preserve">Plan 18: </v>
      </c>
      <c r="C294" s="1694" t="s">
        <v>325</v>
      </c>
      <c r="D294" s="123" t="s">
        <v>326</v>
      </c>
      <c r="E294" s="672"/>
      <c r="F294" s="672"/>
      <c r="G294" s="672"/>
      <c r="H294" s="673"/>
      <c r="I294" s="672"/>
      <c r="J294" s="672"/>
      <c r="K294" s="672"/>
      <c r="L294" s="672"/>
      <c r="M294" s="672"/>
      <c r="N294" s="672"/>
      <c r="O294" s="672"/>
      <c r="P294" s="672"/>
      <c r="Q294" s="672"/>
      <c r="R294" s="672"/>
      <c r="S294" s="672"/>
      <c r="T294" s="672"/>
      <c r="U294" s="672"/>
      <c r="V294" s="672"/>
      <c r="W294" s="672"/>
      <c r="X294" s="672"/>
      <c r="Y294" s="672"/>
      <c r="Z294" s="672"/>
      <c r="AA294" s="672"/>
      <c r="AB294" s="674"/>
    </row>
    <row r="295" spans="2:28" s="780" customFormat="1" hidden="1" x14ac:dyDescent="0.45">
      <c r="B295" s="1692"/>
      <c r="C295" s="1695"/>
      <c r="D295" s="124" t="s">
        <v>327</v>
      </c>
      <c r="E295" s="675"/>
      <c r="F295" s="675"/>
      <c r="G295" s="675"/>
      <c r="H295" s="675"/>
      <c r="I295" s="675"/>
      <c r="J295" s="675"/>
      <c r="K295" s="675"/>
      <c r="L295" s="675"/>
      <c r="M295" s="675"/>
      <c r="N295" s="675"/>
      <c r="O295" s="675"/>
      <c r="P295" s="675"/>
      <c r="Q295" s="675"/>
      <c r="R295" s="675"/>
      <c r="S295" s="675"/>
      <c r="T295" s="675"/>
      <c r="U295" s="675"/>
      <c r="V295" s="675"/>
      <c r="W295" s="675"/>
      <c r="X295" s="675"/>
      <c r="Y295" s="676"/>
      <c r="Z295" s="676"/>
      <c r="AA295" s="676"/>
      <c r="AB295" s="677"/>
    </row>
    <row r="296" spans="2:28" s="780" customFormat="1" hidden="1" x14ac:dyDescent="0.45">
      <c r="B296" s="1692"/>
      <c r="C296" s="1696" t="s">
        <v>328</v>
      </c>
      <c r="D296" s="122" t="s">
        <v>326</v>
      </c>
      <c r="E296" s="678"/>
      <c r="F296" s="678"/>
      <c r="G296" s="678"/>
      <c r="H296" s="678"/>
      <c r="I296" s="678"/>
      <c r="J296" s="678"/>
      <c r="K296" s="678"/>
      <c r="L296" s="678"/>
      <c r="M296" s="678"/>
      <c r="N296" s="678"/>
      <c r="O296" s="678"/>
      <c r="P296" s="678"/>
      <c r="Q296" s="678"/>
      <c r="R296" s="678"/>
      <c r="S296" s="678"/>
      <c r="T296" s="678"/>
      <c r="U296" s="678"/>
      <c r="V296" s="678"/>
      <c r="W296" s="678"/>
      <c r="X296" s="678"/>
      <c r="Y296" s="679"/>
      <c r="Z296" s="679"/>
      <c r="AA296" s="679"/>
      <c r="AB296" s="680"/>
    </row>
    <row r="297" spans="2:28" s="780" customFormat="1" hidden="1" x14ac:dyDescent="0.45">
      <c r="B297" s="1692"/>
      <c r="C297" s="1697"/>
      <c r="D297" s="122" t="s">
        <v>327</v>
      </c>
      <c r="E297" s="678"/>
      <c r="F297" s="678"/>
      <c r="G297" s="678"/>
      <c r="H297" s="678"/>
      <c r="I297" s="678"/>
      <c r="J297" s="678"/>
      <c r="K297" s="678"/>
      <c r="L297" s="678"/>
      <c r="M297" s="678"/>
      <c r="N297" s="678"/>
      <c r="O297" s="678"/>
      <c r="P297" s="678"/>
      <c r="Q297" s="678"/>
      <c r="R297" s="678"/>
      <c r="S297" s="678"/>
      <c r="T297" s="678"/>
      <c r="U297" s="678"/>
      <c r="V297" s="678"/>
      <c r="W297" s="678"/>
      <c r="X297" s="681"/>
      <c r="Y297" s="679"/>
      <c r="Z297" s="679"/>
      <c r="AA297" s="679"/>
      <c r="AB297" s="680"/>
    </row>
    <row r="298" spans="2:28" s="780" customFormat="1" hidden="1" x14ac:dyDescent="0.45">
      <c r="B298" s="1692"/>
      <c r="C298" s="1698" t="s">
        <v>329</v>
      </c>
      <c r="D298" s="125" t="s">
        <v>326</v>
      </c>
      <c r="E298" s="682"/>
      <c r="F298" s="682"/>
      <c r="G298" s="682"/>
      <c r="H298" s="682"/>
      <c r="I298" s="682"/>
      <c r="J298" s="682"/>
      <c r="K298" s="682"/>
      <c r="L298" s="682"/>
      <c r="M298" s="682"/>
      <c r="N298" s="682"/>
      <c r="O298" s="682"/>
      <c r="P298" s="682"/>
      <c r="Q298" s="682"/>
      <c r="R298" s="682"/>
      <c r="S298" s="682"/>
      <c r="T298" s="682"/>
      <c r="U298" s="682"/>
      <c r="V298" s="682"/>
      <c r="W298" s="682"/>
      <c r="X298" s="682"/>
      <c r="Y298" s="683"/>
      <c r="Z298" s="683"/>
      <c r="AA298" s="683"/>
      <c r="AB298" s="684"/>
    </row>
    <row r="299" spans="2:28" s="780" customFormat="1" hidden="1" x14ac:dyDescent="0.45">
      <c r="B299" s="1692"/>
      <c r="C299" s="1695"/>
      <c r="D299" s="124" t="s">
        <v>327</v>
      </c>
      <c r="E299" s="675"/>
      <c r="F299" s="675"/>
      <c r="G299" s="675"/>
      <c r="H299" s="675"/>
      <c r="I299" s="675"/>
      <c r="J299" s="675"/>
      <c r="K299" s="675"/>
      <c r="L299" s="675"/>
      <c r="M299" s="675"/>
      <c r="N299" s="675"/>
      <c r="O299" s="675"/>
      <c r="P299" s="675"/>
      <c r="Q299" s="675"/>
      <c r="R299" s="675"/>
      <c r="S299" s="675"/>
      <c r="T299" s="675"/>
      <c r="U299" s="675"/>
      <c r="V299" s="675"/>
      <c r="W299" s="675"/>
      <c r="X299" s="675"/>
      <c r="Y299" s="676"/>
      <c r="Z299" s="676"/>
      <c r="AA299" s="676"/>
      <c r="AB299" s="677"/>
    </row>
    <row r="300" spans="2:28" s="780" customFormat="1" hidden="1" x14ac:dyDescent="0.45">
      <c r="B300" s="1692"/>
      <c r="C300" s="1696" t="s">
        <v>330</v>
      </c>
      <c r="D300" s="122" t="s">
        <v>326</v>
      </c>
      <c r="E300" s="678"/>
      <c r="F300" s="678"/>
      <c r="G300" s="678"/>
      <c r="H300" s="678"/>
      <c r="I300" s="678"/>
      <c r="J300" s="678"/>
      <c r="K300" s="678"/>
      <c r="L300" s="678"/>
      <c r="M300" s="678"/>
      <c r="N300" s="678"/>
      <c r="O300" s="678"/>
      <c r="P300" s="678"/>
      <c r="Q300" s="678"/>
      <c r="R300" s="678"/>
      <c r="S300" s="678"/>
      <c r="T300" s="678"/>
      <c r="U300" s="678"/>
      <c r="V300" s="678"/>
      <c r="W300" s="678"/>
      <c r="X300" s="678"/>
      <c r="Y300" s="679"/>
      <c r="Z300" s="679"/>
      <c r="AA300" s="679"/>
      <c r="AB300" s="680"/>
    </row>
    <row r="301" spans="2:28" s="780" customFormat="1" hidden="1" x14ac:dyDescent="0.45">
      <c r="B301" s="1692"/>
      <c r="C301" s="1697"/>
      <c r="D301" s="122" t="s">
        <v>327</v>
      </c>
      <c r="E301" s="678"/>
      <c r="F301" s="678"/>
      <c r="G301" s="678"/>
      <c r="H301" s="678"/>
      <c r="I301" s="678"/>
      <c r="J301" s="678"/>
      <c r="K301" s="678"/>
      <c r="L301" s="678"/>
      <c r="M301" s="678"/>
      <c r="N301" s="678"/>
      <c r="O301" s="678"/>
      <c r="P301" s="678"/>
      <c r="Q301" s="678"/>
      <c r="R301" s="678"/>
      <c r="S301" s="678"/>
      <c r="T301" s="678"/>
      <c r="U301" s="678"/>
      <c r="V301" s="678"/>
      <c r="W301" s="678"/>
      <c r="X301" s="681"/>
      <c r="Y301" s="679"/>
      <c r="Z301" s="679"/>
      <c r="AA301" s="679"/>
      <c r="AB301" s="680"/>
    </row>
    <row r="302" spans="2:28" s="780" customFormat="1" hidden="1" x14ac:dyDescent="0.45">
      <c r="B302" s="1692"/>
      <c r="C302" s="1698" t="s">
        <v>331</v>
      </c>
      <c r="D302" s="125" t="s">
        <v>326</v>
      </c>
      <c r="E302" s="682"/>
      <c r="F302" s="682"/>
      <c r="G302" s="685"/>
      <c r="H302" s="682"/>
      <c r="I302" s="682"/>
      <c r="J302" s="682"/>
      <c r="K302" s="682"/>
      <c r="L302" s="682"/>
      <c r="M302" s="682"/>
      <c r="N302" s="682"/>
      <c r="O302" s="682"/>
      <c r="P302" s="682"/>
      <c r="Q302" s="682"/>
      <c r="R302" s="682"/>
      <c r="S302" s="682"/>
      <c r="T302" s="682"/>
      <c r="U302" s="682"/>
      <c r="V302" s="682"/>
      <c r="W302" s="682"/>
      <c r="X302" s="682"/>
      <c r="Y302" s="683"/>
      <c r="Z302" s="683"/>
      <c r="AA302" s="683"/>
      <c r="AB302" s="684"/>
    </row>
    <row r="303" spans="2:28" s="780" customFormat="1" hidden="1" x14ac:dyDescent="0.45">
      <c r="B303" s="1692"/>
      <c r="C303" s="1695"/>
      <c r="D303" s="124" t="s">
        <v>327</v>
      </c>
      <c r="E303" s="675"/>
      <c r="F303" s="675"/>
      <c r="G303" s="686"/>
      <c r="H303" s="675"/>
      <c r="I303" s="675"/>
      <c r="J303" s="675"/>
      <c r="K303" s="675"/>
      <c r="L303" s="675"/>
      <c r="M303" s="675"/>
      <c r="N303" s="675"/>
      <c r="O303" s="675"/>
      <c r="P303" s="675"/>
      <c r="Q303" s="675"/>
      <c r="R303" s="675"/>
      <c r="S303" s="675"/>
      <c r="T303" s="675"/>
      <c r="U303" s="675"/>
      <c r="V303" s="675"/>
      <c r="W303" s="675"/>
      <c r="X303" s="675"/>
      <c r="Y303" s="676"/>
      <c r="Z303" s="676"/>
      <c r="AA303" s="676"/>
      <c r="AB303" s="677"/>
    </row>
    <row r="304" spans="2:28" s="780" customFormat="1" hidden="1" x14ac:dyDescent="0.45">
      <c r="B304" s="1692"/>
      <c r="C304" s="1696" t="s">
        <v>332</v>
      </c>
      <c r="D304" s="122" t="s">
        <v>326</v>
      </c>
      <c r="E304" s="678"/>
      <c r="F304" s="678"/>
      <c r="G304" s="678"/>
      <c r="H304" s="678"/>
      <c r="I304" s="678"/>
      <c r="J304" s="678"/>
      <c r="K304" s="678"/>
      <c r="L304" s="678"/>
      <c r="M304" s="678"/>
      <c r="N304" s="678"/>
      <c r="O304" s="678"/>
      <c r="P304" s="678"/>
      <c r="Q304" s="678"/>
      <c r="R304" s="678"/>
      <c r="S304" s="678"/>
      <c r="T304" s="678"/>
      <c r="U304" s="678"/>
      <c r="V304" s="678"/>
      <c r="W304" s="679"/>
      <c r="X304" s="679"/>
      <c r="Y304" s="679"/>
      <c r="Z304" s="679"/>
      <c r="AA304" s="679"/>
      <c r="AB304" s="680"/>
    </row>
    <row r="305" spans="2:28" s="780" customFormat="1" hidden="1" x14ac:dyDescent="0.45">
      <c r="B305" s="1692"/>
      <c r="C305" s="1697"/>
      <c r="D305" s="122" t="s">
        <v>327</v>
      </c>
      <c r="E305" s="678"/>
      <c r="F305" s="678"/>
      <c r="G305" s="678"/>
      <c r="H305" s="678"/>
      <c r="I305" s="678"/>
      <c r="J305" s="678"/>
      <c r="K305" s="678"/>
      <c r="L305" s="678"/>
      <c r="M305" s="678"/>
      <c r="N305" s="678"/>
      <c r="O305" s="678"/>
      <c r="P305" s="678"/>
      <c r="Q305" s="678"/>
      <c r="R305" s="678"/>
      <c r="S305" s="678"/>
      <c r="T305" s="678"/>
      <c r="U305" s="678"/>
      <c r="V305" s="678"/>
      <c r="W305" s="678"/>
      <c r="X305" s="678"/>
      <c r="Y305" s="679"/>
      <c r="Z305" s="679"/>
      <c r="AA305" s="679"/>
      <c r="AB305" s="680"/>
    </row>
    <row r="306" spans="2:28" s="780" customFormat="1" hidden="1" x14ac:dyDescent="0.45">
      <c r="B306" s="1692"/>
      <c r="C306" s="1698" t="s">
        <v>333</v>
      </c>
      <c r="D306" s="124" t="s">
        <v>326</v>
      </c>
      <c r="E306" s="675"/>
      <c r="F306" s="675"/>
      <c r="G306" s="675"/>
      <c r="H306" s="675"/>
      <c r="I306" s="675"/>
      <c r="J306" s="675"/>
      <c r="K306" s="675"/>
      <c r="L306" s="675"/>
      <c r="M306" s="675"/>
      <c r="N306" s="675"/>
      <c r="O306" s="675"/>
      <c r="P306" s="675"/>
      <c r="Q306" s="675"/>
      <c r="R306" s="675"/>
      <c r="S306" s="675"/>
      <c r="T306" s="675"/>
      <c r="U306" s="675"/>
      <c r="V306" s="675"/>
      <c r="W306" s="676"/>
      <c r="X306" s="676"/>
      <c r="Y306" s="676"/>
      <c r="Z306" s="676"/>
      <c r="AA306" s="676"/>
      <c r="AB306" s="677"/>
    </row>
    <row r="307" spans="2:28" s="780" customFormat="1" hidden="1" x14ac:dyDescent="0.45">
      <c r="B307" s="1693"/>
      <c r="C307" s="1699"/>
      <c r="D307" s="126" t="s">
        <v>327</v>
      </c>
      <c r="E307" s="687"/>
      <c r="F307" s="687"/>
      <c r="G307" s="687"/>
      <c r="H307" s="687"/>
      <c r="I307" s="687"/>
      <c r="J307" s="687"/>
      <c r="K307" s="687"/>
      <c r="L307" s="687"/>
      <c r="M307" s="687"/>
      <c r="N307" s="687"/>
      <c r="O307" s="687"/>
      <c r="P307" s="687"/>
      <c r="Q307" s="687"/>
      <c r="R307" s="687"/>
      <c r="S307" s="687"/>
      <c r="T307" s="687"/>
      <c r="U307" s="687"/>
      <c r="V307" s="687"/>
      <c r="W307" s="687"/>
      <c r="X307" s="687"/>
      <c r="Y307" s="687"/>
      <c r="Z307" s="687"/>
      <c r="AA307" s="687"/>
      <c r="AB307" s="688"/>
    </row>
    <row r="308" spans="2:28" s="780" customFormat="1" hidden="1" x14ac:dyDescent="0.45"/>
    <row r="309" spans="2:28" s="780" customFormat="1" hidden="1" x14ac:dyDescent="0.45">
      <c r="B309" s="1688" t="s">
        <v>54</v>
      </c>
      <c r="C309" s="1689"/>
      <c r="D309" s="1690"/>
      <c r="E309" s="779"/>
      <c r="F309" s="779"/>
      <c r="G309" s="779"/>
      <c r="H309" s="779"/>
      <c r="I309" s="779"/>
      <c r="J309" s="779"/>
      <c r="K309" s="779"/>
      <c r="L309" s="779"/>
      <c r="M309" s="779"/>
      <c r="N309" s="779"/>
      <c r="O309" s="779"/>
      <c r="P309" s="779"/>
      <c r="Q309" s="779"/>
      <c r="R309" s="779"/>
      <c r="S309" s="779"/>
      <c r="T309" s="779"/>
      <c r="U309" s="779"/>
      <c r="V309" s="779"/>
      <c r="W309" s="779"/>
      <c r="X309" s="779"/>
      <c r="Y309" s="779"/>
      <c r="Z309" s="779"/>
      <c r="AA309" s="779"/>
      <c r="AB309" s="708"/>
    </row>
    <row r="310" spans="2:28" s="780" customFormat="1" ht="15" hidden="1" customHeight="1" x14ac:dyDescent="0.45">
      <c r="B310" s="1691" t="str">
        <f>CONCATENATE("Plan ", INDEX(plans_index,,(ROW(B310)-6)/16), ": ", INDEX(plans_name,,(ROW(B310)-6)/16))</f>
        <v xml:space="preserve">Plan 19: </v>
      </c>
      <c r="C310" s="1694" t="s">
        <v>325</v>
      </c>
      <c r="D310" s="123" t="s">
        <v>326</v>
      </c>
      <c r="E310" s="672"/>
      <c r="F310" s="672"/>
      <c r="G310" s="672"/>
      <c r="H310" s="673"/>
      <c r="I310" s="672"/>
      <c r="J310" s="672"/>
      <c r="K310" s="672"/>
      <c r="L310" s="672"/>
      <c r="M310" s="672"/>
      <c r="N310" s="672"/>
      <c r="O310" s="672"/>
      <c r="P310" s="672"/>
      <c r="Q310" s="672"/>
      <c r="R310" s="672"/>
      <c r="S310" s="672"/>
      <c r="T310" s="672"/>
      <c r="U310" s="672"/>
      <c r="V310" s="672"/>
      <c r="W310" s="672"/>
      <c r="X310" s="672"/>
      <c r="Y310" s="672"/>
      <c r="Z310" s="672"/>
      <c r="AA310" s="672"/>
      <c r="AB310" s="674"/>
    </row>
    <row r="311" spans="2:28" s="780" customFormat="1" hidden="1" x14ac:dyDescent="0.45">
      <c r="B311" s="1692"/>
      <c r="C311" s="1695"/>
      <c r="D311" s="124" t="s">
        <v>327</v>
      </c>
      <c r="E311" s="675"/>
      <c r="F311" s="675"/>
      <c r="G311" s="675"/>
      <c r="H311" s="675"/>
      <c r="I311" s="675"/>
      <c r="J311" s="675"/>
      <c r="K311" s="675"/>
      <c r="L311" s="675"/>
      <c r="M311" s="675"/>
      <c r="N311" s="675"/>
      <c r="O311" s="675"/>
      <c r="P311" s="675"/>
      <c r="Q311" s="675"/>
      <c r="R311" s="675"/>
      <c r="S311" s="675"/>
      <c r="T311" s="675"/>
      <c r="U311" s="675"/>
      <c r="V311" s="675"/>
      <c r="W311" s="675"/>
      <c r="X311" s="675"/>
      <c r="Y311" s="676"/>
      <c r="Z311" s="676"/>
      <c r="AA311" s="676"/>
      <c r="AB311" s="677"/>
    </row>
    <row r="312" spans="2:28" s="780" customFormat="1" hidden="1" x14ac:dyDescent="0.45">
      <c r="B312" s="1692"/>
      <c r="C312" s="1696" t="s">
        <v>328</v>
      </c>
      <c r="D312" s="122" t="s">
        <v>326</v>
      </c>
      <c r="E312" s="678"/>
      <c r="F312" s="678"/>
      <c r="G312" s="678"/>
      <c r="H312" s="678"/>
      <c r="I312" s="678"/>
      <c r="J312" s="678"/>
      <c r="K312" s="678"/>
      <c r="L312" s="678"/>
      <c r="M312" s="678"/>
      <c r="N312" s="678"/>
      <c r="O312" s="678"/>
      <c r="P312" s="678"/>
      <c r="Q312" s="678"/>
      <c r="R312" s="678"/>
      <c r="S312" s="678"/>
      <c r="T312" s="678"/>
      <c r="U312" s="678"/>
      <c r="V312" s="678"/>
      <c r="W312" s="678"/>
      <c r="X312" s="678"/>
      <c r="Y312" s="679"/>
      <c r="Z312" s="679"/>
      <c r="AA312" s="679"/>
      <c r="AB312" s="680"/>
    </row>
    <row r="313" spans="2:28" s="780" customFormat="1" hidden="1" x14ac:dyDescent="0.45">
      <c r="B313" s="1692"/>
      <c r="C313" s="1697"/>
      <c r="D313" s="122" t="s">
        <v>327</v>
      </c>
      <c r="E313" s="678"/>
      <c r="F313" s="678"/>
      <c r="G313" s="678"/>
      <c r="H313" s="678"/>
      <c r="I313" s="678"/>
      <c r="J313" s="678"/>
      <c r="K313" s="678"/>
      <c r="L313" s="678"/>
      <c r="M313" s="678"/>
      <c r="N313" s="678"/>
      <c r="O313" s="678"/>
      <c r="P313" s="678"/>
      <c r="Q313" s="678"/>
      <c r="R313" s="678"/>
      <c r="S313" s="678"/>
      <c r="T313" s="678"/>
      <c r="U313" s="678"/>
      <c r="V313" s="678"/>
      <c r="W313" s="678"/>
      <c r="X313" s="681"/>
      <c r="Y313" s="679"/>
      <c r="Z313" s="679"/>
      <c r="AA313" s="679"/>
      <c r="AB313" s="680"/>
    </row>
    <row r="314" spans="2:28" s="780" customFormat="1" hidden="1" x14ac:dyDescent="0.45">
      <c r="B314" s="1692"/>
      <c r="C314" s="1698" t="s">
        <v>329</v>
      </c>
      <c r="D314" s="125" t="s">
        <v>326</v>
      </c>
      <c r="E314" s="682"/>
      <c r="F314" s="682"/>
      <c r="G314" s="682"/>
      <c r="H314" s="682"/>
      <c r="I314" s="682"/>
      <c r="J314" s="682"/>
      <c r="K314" s="682"/>
      <c r="L314" s="682"/>
      <c r="M314" s="682"/>
      <c r="N314" s="682"/>
      <c r="O314" s="682"/>
      <c r="P314" s="682"/>
      <c r="Q314" s="682"/>
      <c r="R314" s="682"/>
      <c r="S314" s="682"/>
      <c r="T314" s="682"/>
      <c r="U314" s="682"/>
      <c r="V314" s="682"/>
      <c r="W314" s="682"/>
      <c r="X314" s="682"/>
      <c r="Y314" s="683"/>
      <c r="Z314" s="683"/>
      <c r="AA314" s="683"/>
      <c r="AB314" s="684"/>
    </row>
    <row r="315" spans="2:28" s="780" customFormat="1" hidden="1" x14ac:dyDescent="0.45">
      <c r="B315" s="1692"/>
      <c r="C315" s="1695"/>
      <c r="D315" s="124" t="s">
        <v>327</v>
      </c>
      <c r="E315" s="675"/>
      <c r="F315" s="675"/>
      <c r="G315" s="675"/>
      <c r="H315" s="675"/>
      <c r="I315" s="675"/>
      <c r="J315" s="675"/>
      <c r="K315" s="675"/>
      <c r="L315" s="675"/>
      <c r="M315" s="675"/>
      <c r="N315" s="675"/>
      <c r="O315" s="675"/>
      <c r="P315" s="675"/>
      <c r="Q315" s="675"/>
      <c r="R315" s="675"/>
      <c r="S315" s="675"/>
      <c r="T315" s="675"/>
      <c r="U315" s="675"/>
      <c r="V315" s="675"/>
      <c r="W315" s="675"/>
      <c r="X315" s="675"/>
      <c r="Y315" s="676"/>
      <c r="Z315" s="676"/>
      <c r="AA315" s="676"/>
      <c r="AB315" s="677"/>
    </row>
    <row r="316" spans="2:28" s="780" customFormat="1" hidden="1" x14ac:dyDescent="0.45">
      <c r="B316" s="1692"/>
      <c r="C316" s="1696" t="s">
        <v>330</v>
      </c>
      <c r="D316" s="122" t="s">
        <v>326</v>
      </c>
      <c r="E316" s="678"/>
      <c r="F316" s="678"/>
      <c r="G316" s="678"/>
      <c r="H316" s="678"/>
      <c r="I316" s="678"/>
      <c r="J316" s="678"/>
      <c r="K316" s="678"/>
      <c r="L316" s="678"/>
      <c r="M316" s="678"/>
      <c r="N316" s="678"/>
      <c r="O316" s="678"/>
      <c r="P316" s="678"/>
      <c r="Q316" s="678"/>
      <c r="R316" s="678"/>
      <c r="S316" s="678"/>
      <c r="T316" s="678"/>
      <c r="U316" s="678"/>
      <c r="V316" s="678"/>
      <c r="W316" s="678"/>
      <c r="X316" s="678"/>
      <c r="Y316" s="679"/>
      <c r="Z316" s="679"/>
      <c r="AA316" s="679"/>
      <c r="AB316" s="680"/>
    </row>
    <row r="317" spans="2:28" s="780" customFormat="1" hidden="1" x14ac:dyDescent="0.45">
      <c r="B317" s="1692"/>
      <c r="C317" s="1697"/>
      <c r="D317" s="122" t="s">
        <v>327</v>
      </c>
      <c r="E317" s="678"/>
      <c r="F317" s="678"/>
      <c r="G317" s="678"/>
      <c r="H317" s="678"/>
      <c r="I317" s="678"/>
      <c r="J317" s="678"/>
      <c r="K317" s="678"/>
      <c r="L317" s="678"/>
      <c r="M317" s="678"/>
      <c r="N317" s="678"/>
      <c r="O317" s="678"/>
      <c r="P317" s="678"/>
      <c r="Q317" s="678"/>
      <c r="R317" s="678"/>
      <c r="S317" s="678"/>
      <c r="T317" s="678"/>
      <c r="U317" s="678"/>
      <c r="V317" s="678"/>
      <c r="W317" s="678"/>
      <c r="X317" s="681"/>
      <c r="Y317" s="679"/>
      <c r="Z317" s="679"/>
      <c r="AA317" s="679"/>
      <c r="AB317" s="680"/>
    </row>
    <row r="318" spans="2:28" s="780" customFormat="1" hidden="1" x14ac:dyDescent="0.45">
      <c r="B318" s="1692"/>
      <c r="C318" s="1698" t="s">
        <v>331</v>
      </c>
      <c r="D318" s="125" t="s">
        <v>326</v>
      </c>
      <c r="E318" s="682"/>
      <c r="F318" s="682"/>
      <c r="G318" s="685"/>
      <c r="H318" s="682"/>
      <c r="I318" s="682"/>
      <c r="J318" s="682"/>
      <c r="K318" s="682"/>
      <c r="L318" s="682"/>
      <c r="M318" s="682"/>
      <c r="N318" s="682"/>
      <c r="O318" s="682"/>
      <c r="P318" s="682"/>
      <c r="Q318" s="682"/>
      <c r="R318" s="682"/>
      <c r="S318" s="682"/>
      <c r="T318" s="682"/>
      <c r="U318" s="682"/>
      <c r="V318" s="682"/>
      <c r="W318" s="682"/>
      <c r="X318" s="682"/>
      <c r="Y318" s="683"/>
      <c r="Z318" s="683"/>
      <c r="AA318" s="683"/>
      <c r="AB318" s="684"/>
    </row>
    <row r="319" spans="2:28" s="780" customFormat="1" hidden="1" x14ac:dyDescent="0.45">
      <c r="B319" s="1692"/>
      <c r="C319" s="1695"/>
      <c r="D319" s="124" t="s">
        <v>327</v>
      </c>
      <c r="E319" s="675"/>
      <c r="F319" s="675"/>
      <c r="G319" s="686"/>
      <c r="H319" s="675"/>
      <c r="I319" s="675"/>
      <c r="J319" s="675"/>
      <c r="K319" s="675"/>
      <c r="L319" s="675"/>
      <c r="M319" s="675"/>
      <c r="N319" s="675"/>
      <c r="O319" s="675"/>
      <c r="P319" s="675"/>
      <c r="Q319" s="675"/>
      <c r="R319" s="675"/>
      <c r="S319" s="675"/>
      <c r="T319" s="675"/>
      <c r="U319" s="675"/>
      <c r="V319" s="675"/>
      <c r="W319" s="675"/>
      <c r="X319" s="675"/>
      <c r="Y319" s="676"/>
      <c r="Z319" s="676"/>
      <c r="AA319" s="676"/>
      <c r="AB319" s="677"/>
    </row>
    <row r="320" spans="2:28" s="780" customFormat="1" hidden="1" x14ac:dyDescent="0.45">
      <c r="B320" s="1692"/>
      <c r="C320" s="1696" t="s">
        <v>332</v>
      </c>
      <c r="D320" s="122" t="s">
        <v>326</v>
      </c>
      <c r="E320" s="678"/>
      <c r="F320" s="678"/>
      <c r="G320" s="678"/>
      <c r="H320" s="678"/>
      <c r="I320" s="678"/>
      <c r="J320" s="678"/>
      <c r="K320" s="678"/>
      <c r="L320" s="678"/>
      <c r="M320" s="678"/>
      <c r="N320" s="678"/>
      <c r="O320" s="678"/>
      <c r="P320" s="678"/>
      <c r="Q320" s="678"/>
      <c r="R320" s="678"/>
      <c r="S320" s="678"/>
      <c r="T320" s="678"/>
      <c r="U320" s="678"/>
      <c r="V320" s="678"/>
      <c r="W320" s="679"/>
      <c r="X320" s="679"/>
      <c r="Y320" s="679"/>
      <c r="Z320" s="679"/>
      <c r="AA320" s="679"/>
      <c r="AB320" s="680"/>
    </row>
    <row r="321" spans="2:28" s="780" customFormat="1" hidden="1" x14ac:dyDescent="0.45">
      <c r="B321" s="1692"/>
      <c r="C321" s="1697"/>
      <c r="D321" s="122" t="s">
        <v>327</v>
      </c>
      <c r="E321" s="678"/>
      <c r="F321" s="678"/>
      <c r="G321" s="678"/>
      <c r="H321" s="678"/>
      <c r="I321" s="678"/>
      <c r="J321" s="678"/>
      <c r="K321" s="678"/>
      <c r="L321" s="678"/>
      <c r="M321" s="678"/>
      <c r="N321" s="678"/>
      <c r="O321" s="678"/>
      <c r="P321" s="678"/>
      <c r="Q321" s="678"/>
      <c r="R321" s="678"/>
      <c r="S321" s="678"/>
      <c r="T321" s="678"/>
      <c r="U321" s="678"/>
      <c r="V321" s="678"/>
      <c r="W321" s="678"/>
      <c r="X321" s="678"/>
      <c r="Y321" s="679"/>
      <c r="Z321" s="679"/>
      <c r="AA321" s="679"/>
      <c r="AB321" s="680"/>
    </row>
    <row r="322" spans="2:28" s="780" customFormat="1" hidden="1" x14ac:dyDescent="0.45">
      <c r="B322" s="1692"/>
      <c r="C322" s="1698" t="s">
        <v>333</v>
      </c>
      <c r="D322" s="124" t="s">
        <v>326</v>
      </c>
      <c r="E322" s="675"/>
      <c r="F322" s="675"/>
      <c r="G322" s="675"/>
      <c r="H322" s="675"/>
      <c r="I322" s="675"/>
      <c r="J322" s="675"/>
      <c r="K322" s="675"/>
      <c r="L322" s="675"/>
      <c r="M322" s="675"/>
      <c r="N322" s="675"/>
      <c r="O322" s="675"/>
      <c r="P322" s="675"/>
      <c r="Q322" s="675"/>
      <c r="R322" s="675"/>
      <c r="S322" s="675"/>
      <c r="T322" s="675"/>
      <c r="U322" s="675"/>
      <c r="V322" s="675"/>
      <c r="W322" s="676"/>
      <c r="X322" s="676"/>
      <c r="Y322" s="676"/>
      <c r="Z322" s="676"/>
      <c r="AA322" s="676"/>
      <c r="AB322" s="677"/>
    </row>
    <row r="323" spans="2:28" s="780" customFormat="1" hidden="1" x14ac:dyDescent="0.45">
      <c r="B323" s="1693"/>
      <c r="C323" s="1699"/>
      <c r="D323" s="126" t="s">
        <v>327</v>
      </c>
      <c r="E323" s="687"/>
      <c r="F323" s="687"/>
      <c r="G323" s="687"/>
      <c r="H323" s="687"/>
      <c r="I323" s="687"/>
      <c r="J323" s="687"/>
      <c r="K323" s="687"/>
      <c r="L323" s="687"/>
      <c r="M323" s="687"/>
      <c r="N323" s="687"/>
      <c r="O323" s="687"/>
      <c r="P323" s="687"/>
      <c r="Q323" s="687"/>
      <c r="R323" s="687"/>
      <c r="S323" s="687"/>
      <c r="T323" s="687"/>
      <c r="U323" s="687"/>
      <c r="V323" s="687"/>
      <c r="W323" s="687"/>
      <c r="X323" s="687"/>
      <c r="Y323" s="687"/>
      <c r="Z323" s="687"/>
      <c r="AA323" s="687"/>
      <c r="AB323" s="688"/>
    </row>
    <row r="324" spans="2:28" s="780" customFormat="1" hidden="1" x14ac:dyDescent="0.45"/>
    <row r="325" spans="2:28" s="780" customFormat="1" hidden="1" x14ac:dyDescent="0.45">
      <c r="B325" s="1688" t="s">
        <v>54</v>
      </c>
      <c r="C325" s="1689"/>
      <c r="D325" s="1690"/>
      <c r="E325" s="779"/>
      <c r="F325" s="779"/>
      <c r="G325" s="779"/>
      <c r="H325" s="779"/>
      <c r="I325" s="779"/>
      <c r="J325" s="779"/>
      <c r="K325" s="779"/>
      <c r="L325" s="779"/>
      <c r="M325" s="779"/>
      <c r="N325" s="779"/>
      <c r="O325" s="779"/>
      <c r="P325" s="779"/>
      <c r="Q325" s="779"/>
      <c r="R325" s="779"/>
      <c r="S325" s="779"/>
      <c r="T325" s="779"/>
      <c r="U325" s="779"/>
      <c r="V325" s="779"/>
      <c r="W325" s="779"/>
      <c r="X325" s="779"/>
      <c r="Y325" s="779"/>
      <c r="Z325" s="779"/>
      <c r="AA325" s="779"/>
      <c r="AB325" s="708"/>
    </row>
    <row r="326" spans="2:28" s="780" customFormat="1" ht="15" hidden="1" customHeight="1" x14ac:dyDescent="0.45">
      <c r="B326" s="1691" t="str">
        <f>CONCATENATE("Plan ", INDEX(plans_index,,(ROW(B326)-6)/16), ": ", INDEX(plans_name,,(ROW(B326)-6)/16))</f>
        <v xml:space="preserve">Plan 20: </v>
      </c>
      <c r="C326" s="1694" t="s">
        <v>325</v>
      </c>
      <c r="D326" s="123" t="s">
        <v>326</v>
      </c>
      <c r="E326" s="672"/>
      <c r="F326" s="672"/>
      <c r="G326" s="672"/>
      <c r="H326" s="673"/>
      <c r="I326" s="672"/>
      <c r="J326" s="672"/>
      <c r="K326" s="672"/>
      <c r="L326" s="672"/>
      <c r="M326" s="672"/>
      <c r="N326" s="672"/>
      <c r="O326" s="672"/>
      <c r="P326" s="672"/>
      <c r="Q326" s="672"/>
      <c r="R326" s="672"/>
      <c r="S326" s="672"/>
      <c r="T326" s="672"/>
      <c r="U326" s="672"/>
      <c r="V326" s="672"/>
      <c r="W326" s="672"/>
      <c r="X326" s="672"/>
      <c r="Y326" s="672"/>
      <c r="Z326" s="672"/>
      <c r="AA326" s="672"/>
      <c r="AB326" s="674"/>
    </row>
    <row r="327" spans="2:28" s="780" customFormat="1" hidden="1" x14ac:dyDescent="0.45">
      <c r="B327" s="1692"/>
      <c r="C327" s="1695"/>
      <c r="D327" s="124" t="s">
        <v>327</v>
      </c>
      <c r="E327" s="675"/>
      <c r="F327" s="675"/>
      <c r="G327" s="675"/>
      <c r="H327" s="675"/>
      <c r="I327" s="675"/>
      <c r="J327" s="675"/>
      <c r="K327" s="675"/>
      <c r="L327" s="675"/>
      <c r="M327" s="675"/>
      <c r="N327" s="675"/>
      <c r="O327" s="675"/>
      <c r="P327" s="675"/>
      <c r="Q327" s="675"/>
      <c r="R327" s="675"/>
      <c r="S327" s="675"/>
      <c r="T327" s="675"/>
      <c r="U327" s="675"/>
      <c r="V327" s="675"/>
      <c r="W327" s="675"/>
      <c r="X327" s="675"/>
      <c r="Y327" s="676"/>
      <c r="Z327" s="676"/>
      <c r="AA327" s="676"/>
      <c r="AB327" s="677"/>
    </row>
    <row r="328" spans="2:28" s="780" customFormat="1" hidden="1" x14ac:dyDescent="0.45">
      <c r="B328" s="1692"/>
      <c r="C328" s="1696" t="s">
        <v>328</v>
      </c>
      <c r="D328" s="122" t="s">
        <v>326</v>
      </c>
      <c r="E328" s="678"/>
      <c r="F328" s="678"/>
      <c r="G328" s="678"/>
      <c r="H328" s="678"/>
      <c r="I328" s="678"/>
      <c r="J328" s="678"/>
      <c r="K328" s="678"/>
      <c r="L328" s="678"/>
      <c r="M328" s="678"/>
      <c r="N328" s="678"/>
      <c r="O328" s="678"/>
      <c r="P328" s="678"/>
      <c r="Q328" s="678"/>
      <c r="R328" s="678"/>
      <c r="S328" s="678"/>
      <c r="T328" s="678"/>
      <c r="U328" s="678"/>
      <c r="V328" s="678"/>
      <c r="W328" s="678"/>
      <c r="X328" s="678"/>
      <c r="Y328" s="679"/>
      <c r="Z328" s="679"/>
      <c r="AA328" s="679"/>
      <c r="AB328" s="680"/>
    </row>
    <row r="329" spans="2:28" s="780" customFormat="1" hidden="1" x14ac:dyDescent="0.45">
      <c r="B329" s="1692"/>
      <c r="C329" s="1697"/>
      <c r="D329" s="122" t="s">
        <v>327</v>
      </c>
      <c r="E329" s="678"/>
      <c r="F329" s="678"/>
      <c r="G329" s="678"/>
      <c r="H329" s="678"/>
      <c r="I329" s="678"/>
      <c r="J329" s="678"/>
      <c r="K329" s="678"/>
      <c r="L329" s="678"/>
      <c r="M329" s="678"/>
      <c r="N329" s="678"/>
      <c r="O329" s="678"/>
      <c r="P329" s="678"/>
      <c r="Q329" s="678"/>
      <c r="R329" s="678"/>
      <c r="S329" s="678"/>
      <c r="T329" s="678"/>
      <c r="U329" s="678"/>
      <c r="V329" s="678"/>
      <c r="W329" s="678"/>
      <c r="X329" s="681"/>
      <c r="Y329" s="679"/>
      <c r="Z329" s="679"/>
      <c r="AA329" s="679"/>
      <c r="AB329" s="680"/>
    </row>
    <row r="330" spans="2:28" s="780" customFormat="1" hidden="1" x14ac:dyDescent="0.45">
      <c r="B330" s="1692"/>
      <c r="C330" s="1698" t="s">
        <v>329</v>
      </c>
      <c r="D330" s="125" t="s">
        <v>326</v>
      </c>
      <c r="E330" s="682"/>
      <c r="F330" s="682"/>
      <c r="G330" s="682"/>
      <c r="H330" s="682"/>
      <c r="I330" s="682"/>
      <c r="J330" s="682"/>
      <c r="K330" s="682"/>
      <c r="L330" s="682"/>
      <c r="M330" s="682"/>
      <c r="N330" s="682"/>
      <c r="O330" s="682"/>
      <c r="P330" s="682"/>
      <c r="Q330" s="682"/>
      <c r="R330" s="682"/>
      <c r="S330" s="682"/>
      <c r="T330" s="682"/>
      <c r="U330" s="682"/>
      <c r="V330" s="682"/>
      <c r="W330" s="682"/>
      <c r="X330" s="682"/>
      <c r="Y330" s="683"/>
      <c r="Z330" s="683"/>
      <c r="AA330" s="683"/>
      <c r="AB330" s="684"/>
    </row>
    <row r="331" spans="2:28" s="780" customFormat="1" hidden="1" x14ac:dyDescent="0.45">
      <c r="B331" s="1692"/>
      <c r="C331" s="1695"/>
      <c r="D331" s="124" t="s">
        <v>327</v>
      </c>
      <c r="E331" s="675"/>
      <c r="F331" s="675"/>
      <c r="G331" s="675"/>
      <c r="H331" s="675"/>
      <c r="I331" s="675"/>
      <c r="J331" s="675"/>
      <c r="K331" s="675"/>
      <c r="L331" s="675"/>
      <c r="M331" s="675"/>
      <c r="N331" s="675"/>
      <c r="O331" s="675"/>
      <c r="P331" s="675"/>
      <c r="Q331" s="675"/>
      <c r="R331" s="675"/>
      <c r="S331" s="675"/>
      <c r="T331" s="675"/>
      <c r="U331" s="675"/>
      <c r="V331" s="675"/>
      <c r="W331" s="675"/>
      <c r="X331" s="675"/>
      <c r="Y331" s="676"/>
      <c r="Z331" s="676"/>
      <c r="AA331" s="676"/>
      <c r="AB331" s="677"/>
    </row>
    <row r="332" spans="2:28" s="780" customFormat="1" hidden="1" x14ac:dyDescent="0.45">
      <c r="B332" s="1692"/>
      <c r="C332" s="1696" t="s">
        <v>330</v>
      </c>
      <c r="D332" s="122" t="s">
        <v>326</v>
      </c>
      <c r="E332" s="678"/>
      <c r="F332" s="678"/>
      <c r="G332" s="678"/>
      <c r="H332" s="678"/>
      <c r="I332" s="678"/>
      <c r="J332" s="678"/>
      <c r="K332" s="678"/>
      <c r="L332" s="678"/>
      <c r="M332" s="678"/>
      <c r="N332" s="678"/>
      <c r="O332" s="678"/>
      <c r="P332" s="678"/>
      <c r="Q332" s="678"/>
      <c r="R332" s="678"/>
      <c r="S332" s="678"/>
      <c r="T332" s="678"/>
      <c r="U332" s="678"/>
      <c r="V332" s="678"/>
      <c r="W332" s="678"/>
      <c r="X332" s="678"/>
      <c r="Y332" s="679"/>
      <c r="Z332" s="679"/>
      <c r="AA332" s="679"/>
      <c r="AB332" s="680"/>
    </row>
    <row r="333" spans="2:28" s="780" customFormat="1" hidden="1" x14ac:dyDescent="0.45">
      <c r="B333" s="1692"/>
      <c r="C333" s="1697"/>
      <c r="D333" s="122" t="s">
        <v>327</v>
      </c>
      <c r="E333" s="678"/>
      <c r="F333" s="678"/>
      <c r="G333" s="678"/>
      <c r="H333" s="678"/>
      <c r="I333" s="678"/>
      <c r="J333" s="678"/>
      <c r="K333" s="678"/>
      <c r="L333" s="678"/>
      <c r="M333" s="678"/>
      <c r="N333" s="678"/>
      <c r="O333" s="678"/>
      <c r="P333" s="678"/>
      <c r="Q333" s="678"/>
      <c r="R333" s="678"/>
      <c r="S333" s="678"/>
      <c r="T333" s="678"/>
      <c r="U333" s="678"/>
      <c r="V333" s="678"/>
      <c r="W333" s="678"/>
      <c r="X333" s="681"/>
      <c r="Y333" s="679"/>
      <c r="Z333" s="679"/>
      <c r="AA333" s="679"/>
      <c r="AB333" s="680"/>
    </row>
    <row r="334" spans="2:28" s="780" customFormat="1" hidden="1" x14ac:dyDescent="0.45">
      <c r="B334" s="1692"/>
      <c r="C334" s="1698" t="s">
        <v>331</v>
      </c>
      <c r="D334" s="125" t="s">
        <v>326</v>
      </c>
      <c r="E334" s="682"/>
      <c r="F334" s="682"/>
      <c r="G334" s="685"/>
      <c r="H334" s="682"/>
      <c r="I334" s="682"/>
      <c r="J334" s="682"/>
      <c r="K334" s="682"/>
      <c r="L334" s="682"/>
      <c r="M334" s="682"/>
      <c r="N334" s="682"/>
      <c r="O334" s="682"/>
      <c r="P334" s="682"/>
      <c r="Q334" s="682"/>
      <c r="R334" s="682"/>
      <c r="S334" s="682"/>
      <c r="T334" s="682"/>
      <c r="U334" s="682"/>
      <c r="V334" s="682"/>
      <c r="W334" s="682"/>
      <c r="X334" s="682"/>
      <c r="Y334" s="683"/>
      <c r="Z334" s="683"/>
      <c r="AA334" s="683"/>
      <c r="AB334" s="684"/>
    </row>
    <row r="335" spans="2:28" s="780" customFormat="1" hidden="1" x14ac:dyDescent="0.45">
      <c r="B335" s="1692"/>
      <c r="C335" s="1695"/>
      <c r="D335" s="124" t="s">
        <v>327</v>
      </c>
      <c r="E335" s="675"/>
      <c r="F335" s="675"/>
      <c r="G335" s="686"/>
      <c r="H335" s="675"/>
      <c r="I335" s="675"/>
      <c r="J335" s="675"/>
      <c r="K335" s="675"/>
      <c r="L335" s="675"/>
      <c r="M335" s="675"/>
      <c r="N335" s="675"/>
      <c r="O335" s="675"/>
      <c r="P335" s="675"/>
      <c r="Q335" s="675"/>
      <c r="R335" s="675"/>
      <c r="S335" s="675"/>
      <c r="T335" s="675"/>
      <c r="U335" s="675"/>
      <c r="V335" s="675"/>
      <c r="W335" s="675"/>
      <c r="X335" s="675"/>
      <c r="Y335" s="676"/>
      <c r="Z335" s="676"/>
      <c r="AA335" s="676"/>
      <c r="AB335" s="677"/>
    </row>
    <row r="336" spans="2:28" s="780" customFormat="1" hidden="1" x14ac:dyDescent="0.45">
      <c r="B336" s="1692"/>
      <c r="C336" s="1696" t="s">
        <v>332</v>
      </c>
      <c r="D336" s="122" t="s">
        <v>326</v>
      </c>
      <c r="E336" s="678"/>
      <c r="F336" s="678"/>
      <c r="G336" s="678"/>
      <c r="H336" s="678"/>
      <c r="I336" s="678"/>
      <c r="J336" s="678"/>
      <c r="K336" s="678"/>
      <c r="L336" s="678"/>
      <c r="M336" s="678"/>
      <c r="N336" s="678"/>
      <c r="O336" s="678"/>
      <c r="P336" s="678"/>
      <c r="Q336" s="678"/>
      <c r="R336" s="678"/>
      <c r="S336" s="678"/>
      <c r="T336" s="678"/>
      <c r="U336" s="678"/>
      <c r="V336" s="678"/>
      <c r="W336" s="679"/>
      <c r="X336" s="679"/>
      <c r="Y336" s="679"/>
      <c r="Z336" s="679"/>
      <c r="AA336" s="679"/>
      <c r="AB336" s="680"/>
    </row>
    <row r="337" spans="2:28" s="780" customFormat="1" hidden="1" x14ac:dyDescent="0.45">
      <c r="B337" s="1692"/>
      <c r="C337" s="1697"/>
      <c r="D337" s="122" t="s">
        <v>327</v>
      </c>
      <c r="E337" s="678"/>
      <c r="F337" s="678"/>
      <c r="G337" s="678"/>
      <c r="H337" s="678"/>
      <c r="I337" s="678"/>
      <c r="J337" s="678"/>
      <c r="K337" s="678"/>
      <c r="L337" s="678"/>
      <c r="M337" s="678"/>
      <c r="N337" s="678"/>
      <c r="O337" s="678"/>
      <c r="P337" s="678"/>
      <c r="Q337" s="678"/>
      <c r="R337" s="678"/>
      <c r="S337" s="678"/>
      <c r="T337" s="678"/>
      <c r="U337" s="678"/>
      <c r="V337" s="678"/>
      <c r="W337" s="678"/>
      <c r="X337" s="678"/>
      <c r="Y337" s="679"/>
      <c r="Z337" s="679"/>
      <c r="AA337" s="679"/>
      <c r="AB337" s="680"/>
    </row>
    <row r="338" spans="2:28" s="780" customFormat="1" hidden="1" x14ac:dyDescent="0.45">
      <c r="B338" s="1692"/>
      <c r="C338" s="1698" t="s">
        <v>333</v>
      </c>
      <c r="D338" s="124" t="s">
        <v>326</v>
      </c>
      <c r="E338" s="675"/>
      <c r="F338" s="675"/>
      <c r="G338" s="675"/>
      <c r="H338" s="675"/>
      <c r="I338" s="675"/>
      <c r="J338" s="675"/>
      <c r="K338" s="675"/>
      <c r="L338" s="675"/>
      <c r="M338" s="675"/>
      <c r="N338" s="675"/>
      <c r="O338" s="675"/>
      <c r="P338" s="675"/>
      <c r="Q338" s="675"/>
      <c r="R338" s="675"/>
      <c r="S338" s="675"/>
      <c r="T338" s="675"/>
      <c r="U338" s="675"/>
      <c r="V338" s="675"/>
      <c r="W338" s="676"/>
      <c r="X338" s="676"/>
      <c r="Y338" s="676"/>
      <c r="Z338" s="676"/>
      <c r="AA338" s="676"/>
      <c r="AB338" s="677"/>
    </row>
    <row r="339" spans="2:28" s="780" customFormat="1" hidden="1" x14ac:dyDescent="0.45">
      <c r="B339" s="1693"/>
      <c r="C339" s="1699"/>
      <c r="D339" s="126" t="s">
        <v>327</v>
      </c>
      <c r="E339" s="687"/>
      <c r="F339" s="687"/>
      <c r="G339" s="687"/>
      <c r="H339" s="687"/>
      <c r="I339" s="687"/>
      <c r="J339" s="687"/>
      <c r="K339" s="687"/>
      <c r="L339" s="687"/>
      <c r="M339" s="687"/>
      <c r="N339" s="687"/>
      <c r="O339" s="687"/>
      <c r="P339" s="687"/>
      <c r="Q339" s="687"/>
      <c r="R339" s="687"/>
      <c r="S339" s="687"/>
      <c r="T339" s="687"/>
      <c r="U339" s="687"/>
      <c r="V339" s="687"/>
      <c r="W339" s="687"/>
      <c r="X339" s="687"/>
      <c r="Y339" s="687"/>
      <c r="Z339" s="687"/>
      <c r="AA339" s="687"/>
      <c r="AB339" s="688"/>
    </row>
    <row r="340" spans="2:28" s="780" customFormat="1" hidden="1" x14ac:dyDescent="0.45"/>
    <row r="341" spans="2:28" s="780" customFormat="1" hidden="1" x14ac:dyDescent="0.45">
      <c r="B341" s="1688" t="s">
        <v>54</v>
      </c>
      <c r="C341" s="1689"/>
      <c r="D341" s="1690"/>
      <c r="E341" s="779"/>
      <c r="F341" s="779"/>
      <c r="G341" s="779"/>
      <c r="H341" s="779"/>
      <c r="I341" s="779"/>
      <c r="J341" s="779"/>
      <c r="K341" s="779"/>
      <c r="L341" s="779"/>
      <c r="M341" s="779"/>
      <c r="N341" s="779"/>
      <c r="O341" s="779"/>
      <c r="P341" s="779"/>
      <c r="Q341" s="779"/>
      <c r="R341" s="779"/>
      <c r="S341" s="779"/>
      <c r="T341" s="779"/>
      <c r="U341" s="779"/>
      <c r="V341" s="779"/>
      <c r="W341" s="779"/>
      <c r="X341" s="779"/>
      <c r="Y341" s="779"/>
      <c r="Z341" s="779"/>
      <c r="AA341" s="779"/>
      <c r="AB341" s="708"/>
    </row>
    <row r="342" spans="2:28" s="780" customFormat="1" ht="15" hidden="1" customHeight="1" x14ac:dyDescent="0.45">
      <c r="B342" s="1691" t="str">
        <f>CONCATENATE("Plan ", INDEX(plans_index,,(ROW(B342)-6)/16), ": ", INDEX(plans_name,,(ROW(B342)-6)/16))</f>
        <v xml:space="preserve">Plan 21: </v>
      </c>
      <c r="C342" s="1694" t="s">
        <v>325</v>
      </c>
      <c r="D342" s="123" t="s">
        <v>326</v>
      </c>
      <c r="E342" s="672"/>
      <c r="F342" s="672"/>
      <c r="G342" s="672"/>
      <c r="H342" s="673"/>
      <c r="I342" s="672"/>
      <c r="J342" s="672"/>
      <c r="K342" s="672"/>
      <c r="L342" s="672"/>
      <c r="M342" s="672"/>
      <c r="N342" s="672"/>
      <c r="O342" s="672"/>
      <c r="P342" s="672"/>
      <c r="Q342" s="672"/>
      <c r="R342" s="672"/>
      <c r="S342" s="672"/>
      <c r="T342" s="672"/>
      <c r="U342" s="672"/>
      <c r="V342" s="672"/>
      <c r="W342" s="672"/>
      <c r="X342" s="672"/>
      <c r="Y342" s="672"/>
      <c r="Z342" s="672"/>
      <c r="AA342" s="672"/>
      <c r="AB342" s="674"/>
    </row>
    <row r="343" spans="2:28" s="780" customFormat="1" hidden="1" x14ac:dyDescent="0.45">
      <c r="B343" s="1692"/>
      <c r="C343" s="1695"/>
      <c r="D343" s="124" t="s">
        <v>327</v>
      </c>
      <c r="E343" s="675"/>
      <c r="F343" s="675"/>
      <c r="G343" s="675"/>
      <c r="H343" s="675"/>
      <c r="I343" s="675"/>
      <c r="J343" s="675"/>
      <c r="K343" s="675"/>
      <c r="L343" s="675"/>
      <c r="M343" s="675"/>
      <c r="N343" s="675"/>
      <c r="O343" s="675"/>
      <c r="P343" s="675"/>
      <c r="Q343" s="675"/>
      <c r="R343" s="675"/>
      <c r="S343" s="675"/>
      <c r="T343" s="675"/>
      <c r="U343" s="675"/>
      <c r="V343" s="675"/>
      <c r="W343" s="675"/>
      <c r="X343" s="675"/>
      <c r="Y343" s="676"/>
      <c r="Z343" s="676"/>
      <c r="AA343" s="676"/>
      <c r="AB343" s="677"/>
    </row>
    <row r="344" spans="2:28" s="780" customFormat="1" hidden="1" x14ac:dyDescent="0.45">
      <c r="B344" s="1692"/>
      <c r="C344" s="1696" t="s">
        <v>328</v>
      </c>
      <c r="D344" s="122" t="s">
        <v>326</v>
      </c>
      <c r="E344" s="678"/>
      <c r="F344" s="678"/>
      <c r="G344" s="678"/>
      <c r="H344" s="678"/>
      <c r="I344" s="678"/>
      <c r="J344" s="678"/>
      <c r="K344" s="678"/>
      <c r="L344" s="678"/>
      <c r="M344" s="678"/>
      <c r="N344" s="678"/>
      <c r="O344" s="678"/>
      <c r="P344" s="678"/>
      <c r="Q344" s="678"/>
      <c r="R344" s="678"/>
      <c r="S344" s="678"/>
      <c r="T344" s="678"/>
      <c r="U344" s="678"/>
      <c r="V344" s="678"/>
      <c r="W344" s="678"/>
      <c r="X344" s="678"/>
      <c r="Y344" s="679"/>
      <c r="Z344" s="679"/>
      <c r="AA344" s="679"/>
      <c r="AB344" s="680"/>
    </row>
    <row r="345" spans="2:28" s="780" customFormat="1" hidden="1" x14ac:dyDescent="0.45">
      <c r="B345" s="1692"/>
      <c r="C345" s="1697"/>
      <c r="D345" s="122" t="s">
        <v>327</v>
      </c>
      <c r="E345" s="678"/>
      <c r="F345" s="678"/>
      <c r="G345" s="678"/>
      <c r="H345" s="678"/>
      <c r="I345" s="678"/>
      <c r="J345" s="678"/>
      <c r="K345" s="678"/>
      <c r="L345" s="678"/>
      <c r="M345" s="678"/>
      <c r="N345" s="678"/>
      <c r="O345" s="678"/>
      <c r="P345" s="678"/>
      <c r="Q345" s="678"/>
      <c r="R345" s="678"/>
      <c r="S345" s="678"/>
      <c r="T345" s="678"/>
      <c r="U345" s="678"/>
      <c r="V345" s="678"/>
      <c r="W345" s="678"/>
      <c r="X345" s="681"/>
      <c r="Y345" s="679"/>
      <c r="Z345" s="679"/>
      <c r="AA345" s="679"/>
      <c r="AB345" s="680"/>
    </row>
    <row r="346" spans="2:28" s="780" customFormat="1" hidden="1" x14ac:dyDescent="0.45">
      <c r="B346" s="1692"/>
      <c r="C346" s="1698" t="s">
        <v>329</v>
      </c>
      <c r="D346" s="125" t="s">
        <v>326</v>
      </c>
      <c r="E346" s="682"/>
      <c r="F346" s="682"/>
      <c r="G346" s="682"/>
      <c r="H346" s="682"/>
      <c r="I346" s="682"/>
      <c r="J346" s="682"/>
      <c r="K346" s="682"/>
      <c r="L346" s="682"/>
      <c r="M346" s="682"/>
      <c r="N346" s="682"/>
      <c r="O346" s="682"/>
      <c r="P346" s="682"/>
      <c r="Q346" s="682"/>
      <c r="R346" s="682"/>
      <c r="S346" s="682"/>
      <c r="T346" s="682"/>
      <c r="U346" s="682"/>
      <c r="V346" s="682"/>
      <c r="W346" s="682"/>
      <c r="X346" s="682"/>
      <c r="Y346" s="683"/>
      <c r="Z346" s="683"/>
      <c r="AA346" s="683"/>
      <c r="AB346" s="684"/>
    </row>
    <row r="347" spans="2:28" s="780" customFormat="1" hidden="1" x14ac:dyDescent="0.45">
      <c r="B347" s="1692"/>
      <c r="C347" s="1695"/>
      <c r="D347" s="124" t="s">
        <v>327</v>
      </c>
      <c r="E347" s="675"/>
      <c r="F347" s="675"/>
      <c r="G347" s="675"/>
      <c r="H347" s="675"/>
      <c r="I347" s="675"/>
      <c r="J347" s="675"/>
      <c r="K347" s="675"/>
      <c r="L347" s="675"/>
      <c r="M347" s="675"/>
      <c r="N347" s="675"/>
      <c r="O347" s="675"/>
      <c r="P347" s="675"/>
      <c r="Q347" s="675"/>
      <c r="R347" s="675"/>
      <c r="S347" s="675"/>
      <c r="T347" s="675"/>
      <c r="U347" s="675"/>
      <c r="V347" s="675"/>
      <c r="W347" s="675"/>
      <c r="X347" s="675"/>
      <c r="Y347" s="676"/>
      <c r="Z347" s="676"/>
      <c r="AA347" s="676"/>
      <c r="AB347" s="677"/>
    </row>
    <row r="348" spans="2:28" s="780" customFormat="1" hidden="1" x14ac:dyDescent="0.45">
      <c r="B348" s="1692"/>
      <c r="C348" s="1696" t="s">
        <v>330</v>
      </c>
      <c r="D348" s="122" t="s">
        <v>326</v>
      </c>
      <c r="E348" s="678"/>
      <c r="F348" s="678"/>
      <c r="G348" s="678"/>
      <c r="H348" s="678"/>
      <c r="I348" s="678"/>
      <c r="J348" s="678"/>
      <c r="K348" s="678"/>
      <c r="L348" s="678"/>
      <c r="M348" s="678"/>
      <c r="N348" s="678"/>
      <c r="O348" s="678"/>
      <c r="P348" s="678"/>
      <c r="Q348" s="678"/>
      <c r="R348" s="678"/>
      <c r="S348" s="678"/>
      <c r="T348" s="678"/>
      <c r="U348" s="678"/>
      <c r="V348" s="678"/>
      <c r="W348" s="678"/>
      <c r="X348" s="678"/>
      <c r="Y348" s="679"/>
      <c r="Z348" s="679"/>
      <c r="AA348" s="679"/>
      <c r="AB348" s="680"/>
    </row>
    <row r="349" spans="2:28" s="780" customFormat="1" hidden="1" x14ac:dyDescent="0.45">
      <c r="B349" s="1692"/>
      <c r="C349" s="1697"/>
      <c r="D349" s="122" t="s">
        <v>327</v>
      </c>
      <c r="E349" s="678"/>
      <c r="F349" s="678"/>
      <c r="G349" s="678"/>
      <c r="H349" s="678"/>
      <c r="I349" s="678"/>
      <c r="J349" s="678"/>
      <c r="K349" s="678"/>
      <c r="L349" s="678"/>
      <c r="M349" s="678"/>
      <c r="N349" s="678"/>
      <c r="O349" s="678"/>
      <c r="P349" s="678"/>
      <c r="Q349" s="678"/>
      <c r="R349" s="678"/>
      <c r="S349" s="678"/>
      <c r="T349" s="678"/>
      <c r="U349" s="678"/>
      <c r="V349" s="678"/>
      <c r="W349" s="678"/>
      <c r="X349" s="681"/>
      <c r="Y349" s="679"/>
      <c r="Z349" s="679"/>
      <c r="AA349" s="679"/>
      <c r="AB349" s="680"/>
    </row>
    <row r="350" spans="2:28" s="780" customFormat="1" hidden="1" x14ac:dyDescent="0.45">
      <c r="B350" s="1692"/>
      <c r="C350" s="1698" t="s">
        <v>331</v>
      </c>
      <c r="D350" s="125" t="s">
        <v>326</v>
      </c>
      <c r="E350" s="682"/>
      <c r="F350" s="682"/>
      <c r="G350" s="685"/>
      <c r="H350" s="682"/>
      <c r="I350" s="682"/>
      <c r="J350" s="682"/>
      <c r="K350" s="682"/>
      <c r="L350" s="682"/>
      <c r="M350" s="682"/>
      <c r="N350" s="682"/>
      <c r="O350" s="682"/>
      <c r="P350" s="682"/>
      <c r="Q350" s="682"/>
      <c r="R350" s="682"/>
      <c r="S350" s="682"/>
      <c r="T350" s="682"/>
      <c r="U350" s="682"/>
      <c r="V350" s="682"/>
      <c r="W350" s="682"/>
      <c r="X350" s="682"/>
      <c r="Y350" s="683"/>
      <c r="Z350" s="683"/>
      <c r="AA350" s="683"/>
      <c r="AB350" s="684"/>
    </row>
    <row r="351" spans="2:28" s="780" customFormat="1" hidden="1" x14ac:dyDescent="0.45">
      <c r="B351" s="1692"/>
      <c r="C351" s="1695"/>
      <c r="D351" s="124" t="s">
        <v>327</v>
      </c>
      <c r="E351" s="675"/>
      <c r="F351" s="675"/>
      <c r="G351" s="686"/>
      <c r="H351" s="675"/>
      <c r="I351" s="675"/>
      <c r="J351" s="675"/>
      <c r="K351" s="675"/>
      <c r="L351" s="675"/>
      <c r="M351" s="675"/>
      <c r="N351" s="675"/>
      <c r="O351" s="675"/>
      <c r="P351" s="675"/>
      <c r="Q351" s="675"/>
      <c r="R351" s="675"/>
      <c r="S351" s="675"/>
      <c r="T351" s="675"/>
      <c r="U351" s="675"/>
      <c r="V351" s="675"/>
      <c r="W351" s="675"/>
      <c r="X351" s="675"/>
      <c r="Y351" s="676"/>
      <c r="Z351" s="676"/>
      <c r="AA351" s="676"/>
      <c r="AB351" s="677"/>
    </row>
    <row r="352" spans="2:28" s="780" customFormat="1" hidden="1" x14ac:dyDescent="0.45">
      <c r="B352" s="1692"/>
      <c r="C352" s="1696" t="s">
        <v>332</v>
      </c>
      <c r="D352" s="122" t="s">
        <v>326</v>
      </c>
      <c r="E352" s="678"/>
      <c r="F352" s="678"/>
      <c r="G352" s="678"/>
      <c r="H352" s="678"/>
      <c r="I352" s="678"/>
      <c r="J352" s="678"/>
      <c r="K352" s="678"/>
      <c r="L352" s="678"/>
      <c r="M352" s="678"/>
      <c r="N352" s="678"/>
      <c r="O352" s="678"/>
      <c r="P352" s="678"/>
      <c r="Q352" s="678"/>
      <c r="R352" s="678"/>
      <c r="S352" s="678"/>
      <c r="T352" s="678"/>
      <c r="U352" s="678"/>
      <c r="V352" s="678"/>
      <c r="W352" s="679"/>
      <c r="X352" s="679"/>
      <c r="Y352" s="679"/>
      <c r="Z352" s="679"/>
      <c r="AA352" s="679"/>
      <c r="AB352" s="680"/>
    </row>
    <row r="353" spans="2:28" s="780" customFormat="1" hidden="1" x14ac:dyDescent="0.45">
      <c r="B353" s="1692"/>
      <c r="C353" s="1697"/>
      <c r="D353" s="122" t="s">
        <v>327</v>
      </c>
      <c r="E353" s="678"/>
      <c r="F353" s="678"/>
      <c r="G353" s="678"/>
      <c r="H353" s="678"/>
      <c r="I353" s="678"/>
      <c r="J353" s="678"/>
      <c r="K353" s="678"/>
      <c r="L353" s="678"/>
      <c r="M353" s="678"/>
      <c r="N353" s="678"/>
      <c r="O353" s="678"/>
      <c r="P353" s="678"/>
      <c r="Q353" s="678"/>
      <c r="R353" s="678"/>
      <c r="S353" s="678"/>
      <c r="T353" s="678"/>
      <c r="U353" s="678"/>
      <c r="V353" s="678"/>
      <c r="W353" s="678"/>
      <c r="X353" s="678"/>
      <c r="Y353" s="679"/>
      <c r="Z353" s="679"/>
      <c r="AA353" s="679"/>
      <c r="AB353" s="680"/>
    </row>
    <row r="354" spans="2:28" s="780" customFormat="1" hidden="1" x14ac:dyDescent="0.45">
      <c r="B354" s="1692"/>
      <c r="C354" s="1698" t="s">
        <v>333</v>
      </c>
      <c r="D354" s="124" t="s">
        <v>326</v>
      </c>
      <c r="E354" s="675"/>
      <c r="F354" s="675"/>
      <c r="G354" s="675"/>
      <c r="H354" s="675"/>
      <c r="I354" s="675"/>
      <c r="J354" s="675"/>
      <c r="K354" s="675"/>
      <c r="L354" s="675"/>
      <c r="M354" s="675"/>
      <c r="N354" s="675"/>
      <c r="O354" s="675"/>
      <c r="P354" s="675"/>
      <c r="Q354" s="675"/>
      <c r="R354" s="675"/>
      <c r="S354" s="675"/>
      <c r="T354" s="675"/>
      <c r="U354" s="675"/>
      <c r="V354" s="675"/>
      <c r="W354" s="676"/>
      <c r="X354" s="676"/>
      <c r="Y354" s="676"/>
      <c r="Z354" s="676"/>
      <c r="AA354" s="676"/>
      <c r="AB354" s="677"/>
    </row>
    <row r="355" spans="2:28" s="780" customFormat="1" hidden="1" x14ac:dyDescent="0.45">
      <c r="B355" s="1693"/>
      <c r="C355" s="1699"/>
      <c r="D355" s="126" t="s">
        <v>327</v>
      </c>
      <c r="E355" s="687"/>
      <c r="F355" s="687"/>
      <c r="G355" s="687"/>
      <c r="H355" s="687"/>
      <c r="I355" s="687"/>
      <c r="J355" s="687"/>
      <c r="K355" s="687"/>
      <c r="L355" s="687"/>
      <c r="M355" s="687"/>
      <c r="N355" s="687"/>
      <c r="O355" s="687"/>
      <c r="P355" s="687"/>
      <c r="Q355" s="687"/>
      <c r="R355" s="687"/>
      <c r="S355" s="687"/>
      <c r="T355" s="687"/>
      <c r="U355" s="687"/>
      <c r="V355" s="687"/>
      <c r="W355" s="687"/>
      <c r="X355" s="687"/>
      <c r="Y355" s="687"/>
      <c r="Z355" s="687"/>
      <c r="AA355" s="687"/>
      <c r="AB355" s="688"/>
    </row>
    <row r="356" spans="2:28" s="780" customFormat="1" hidden="1" x14ac:dyDescent="0.45"/>
    <row r="357" spans="2:28" s="780" customFormat="1" hidden="1" x14ac:dyDescent="0.45">
      <c r="B357" s="1688" t="s">
        <v>54</v>
      </c>
      <c r="C357" s="1689"/>
      <c r="D357" s="1690"/>
      <c r="E357" s="779"/>
      <c r="F357" s="779"/>
      <c r="G357" s="779"/>
      <c r="H357" s="779"/>
      <c r="I357" s="779"/>
      <c r="J357" s="779"/>
      <c r="K357" s="779"/>
      <c r="L357" s="779"/>
      <c r="M357" s="779"/>
      <c r="N357" s="779"/>
      <c r="O357" s="779"/>
      <c r="P357" s="779"/>
      <c r="Q357" s="779"/>
      <c r="R357" s="779"/>
      <c r="S357" s="779"/>
      <c r="T357" s="779"/>
      <c r="U357" s="779"/>
      <c r="V357" s="779"/>
      <c r="W357" s="779"/>
      <c r="X357" s="779"/>
      <c r="Y357" s="779"/>
      <c r="Z357" s="779"/>
      <c r="AA357" s="779"/>
      <c r="AB357" s="708"/>
    </row>
    <row r="358" spans="2:28" s="780" customFormat="1" ht="15" hidden="1" customHeight="1" x14ac:dyDescent="0.45">
      <c r="B358" s="1691" t="str">
        <f>CONCATENATE("Plan ", INDEX(plans_index,,(ROW(B358)-6)/16), ": ", INDEX(plans_name,,(ROW(B358)-6)/16))</f>
        <v xml:space="preserve">Plan 22: </v>
      </c>
      <c r="C358" s="1694" t="s">
        <v>325</v>
      </c>
      <c r="D358" s="123" t="s">
        <v>326</v>
      </c>
      <c r="E358" s="672"/>
      <c r="F358" s="672"/>
      <c r="G358" s="672"/>
      <c r="H358" s="673"/>
      <c r="I358" s="672"/>
      <c r="J358" s="672"/>
      <c r="K358" s="672"/>
      <c r="L358" s="672"/>
      <c r="M358" s="672"/>
      <c r="N358" s="672"/>
      <c r="O358" s="672"/>
      <c r="P358" s="672"/>
      <c r="Q358" s="672"/>
      <c r="R358" s="672"/>
      <c r="S358" s="672"/>
      <c r="T358" s="672"/>
      <c r="U358" s="672"/>
      <c r="V358" s="672"/>
      <c r="W358" s="672"/>
      <c r="X358" s="672"/>
      <c r="Y358" s="672"/>
      <c r="Z358" s="672"/>
      <c r="AA358" s="672"/>
      <c r="AB358" s="674"/>
    </row>
    <row r="359" spans="2:28" s="780" customFormat="1" hidden="1" x14ac:dyDescent="0.45">
      <c r="B359" s="1692"/>
      <c r="C359" s="1695"/>
      <c r="D359" s="124" t="s">
        <v>327</v>
      </c>
      <c r="E359" s="675"/>
      <c r="F359" s="675"/>
      <c r="G359" s="675"/>
      <c r="H359" s="675"/>
      <c r="I359" s="675"/>
      <c r="J359" s="675"/>
      <c r="K359" s="675"/>
      <c r="L359" s="675"/>
      <c r="M359" s="675"/>
      <c r="N359" s="675"/>
      <c r="O359" s="675"/>
      <c r="P359" s="675"/>
      <c r="Q359" s="675"/>
      <c r="R359" s="675"/>
      <c r="S359" s="675"/>
      <c r="T359" s="675"/>
      <c r="U359" s="675"/>
      <c r="V359" s="675"/>
      <c r="W359" s="675"/>
      <c r="X359" s="675"/>
      <c r="Y359" s="676"/>
      <c r="Z359" s="676"/>
      <c r="AA359" s="676"/>
      <c r="AB359" s="677"/>
    </row>
    <row r="360" spans="2:28" s="780" customFormat="1" hidden="1" x14ac:dyDescent="0.45">
      <c r="B360" s="1692"/>
      <c r="C360" s="1696" t="s">
        <v>328</v>
      </c>
      <c r="D360" s="122" t="s">
        <v>326</v>
      </c>
      <c r="E360" s="678"/>
      <c r="F360" s="678"/>
      <c r="G360" s="678"/>
      <c r="H360" s="678"/>
      <c r="I360" s="678"/>
      <c r="J360" s="678"/>
      <c r="K360" s="678"/>
      <c r="L360" s="678"/>
      <c r="M360" s="678"/>
      <c r="N360" s="678"/>
      <c r="O360" s="678"/>
      <c r="P360" s="678"/>
      <c r="Q360" s="678"/>
      <c r="R360" s="678"/>
      <c r="S360" s="678"/>
      <c r="T360" s="678"/>
      <c r="U360" s="678"/>
      <c r="V360" s="678"/>
      <c r="W360" s="678"/>
      <c r="X360" s="678"/>
      <c r="Y360" s="679"/>
      <c r="Z360" s="679"/>
      <c r="AA360" s="679"/>
      <c r="AB360" s="680"/>
    </row>
    <row r="361" spans="2:28" s="780" customFormat="1" hidden="1" x14ac:dyDescent="0.45">
      <c r="B361" s="1692"/>
      <c r="C361" s="1697"/>
      <c r="D361" s="122" t="s">
        <v>327</v>
      </c>
      <c r="E361" s="678"/>
      <c r="F361" s="678"/>
      <c r="G361" s="678"/>
      <c r="H361" s="678"/>
      <c r="I361" s="678"/>
      <c r="J361" s="678"/>
      <c r="K361" s="678"/>
      <c r="L361" s="678"/>
      <c r="M361" s="678"/>
      <c r="N361" s="678"/>
      <c r="O361" s="678"/>
      <c r="P361" s="678"/>
      <c r="Q361" s="678"/>
      <c r="R361" s="678"/>
      <c r="S361" s="678"/>
      <c r="T361" s="678"/>
      <c r="U361" s="678"/>
      <c r="V361" s="678"/>
      <c r="W361" s="678"/>
      <c r="X361" s="681"/>
      <c r="Y361" s="679"/>
      <c r="Z361" s="679"/>
      <c r="AA361" s="679"/>
      <c r="AB361" s="680"/>
    </row>
    <row r="362" spans="2:28" s="780" customFormat="1" hidden="1" x14ac:dyDescent="0.45">
      <c r="B362" s="1692"/>
      <c r="C362" s="1698" t="s">
        <v>329</v>
      </c>
      <c r="D362" s="125" t="s">
        <v>326</v>
      </c>
      <c r="E362" s="682"/>
      <c r="F362" s="682"/>
      <c r="G362" s="682"/>
      <c r="H362" s="682"/>
      <c r="I362" s="682"/>
      <c r="J362" s="682"/>
      <c r="K362" s="682"/>
      <c r="L362" s="682"/>
      <c r="M362" s="682"/>
      <c r="N362" s="682"/>
      <c r="O362" s="682"/>
      <c r="P362" s="682"/>
      <c r="Q362" s="682"/>
      <c r="R362" s="682"/>
      <c r="S362" s="682"/>
      <c r="T362" s="682"/>
      <c r="U362" s="682"/>
      <c r="V362" s="682"/>
      <c r="W362" s="682"/>
      <c r="X362" s="682"/>
      <c r="Y362" s="683"/>
      <c r="Z362" s="683"/>
      <c r="AA362" s="683"/>
      <c r="AB362" s="684"/>
    </row>
    <row r="363" spans="2:28" s="780" customFormat="1" hidden="1" x14ac:dyDescent="0.45">
      <c r="B363" s="1692"/>
      <c r="C363" s="1695"/>
      <c r="D363" s="124" t="s">
        <v>327</v>
      </c>
      <c r="E363" s="675"/>
      <c r="F363" s="675"/>
      <c r="G363" s="675"/>
      <c r="H363" s="675"/>
      <c r="I363" s="675"/>
      <c r="J363" s="675"/>
      <c r="K363" s="675"/>
      <c r="L363" s="675"/>
      <c r="M363" s="675"/>
      <c r="N363" s="675"/>
      <c r="O363" s="675"/>
      <c r="P363" s="675"/>
      <c r="Q363" s="675"/>
      <c r="R363" s="675"/>
      <c r="S363" s="675"/>
      <c r="T363" s="675"/>
      <c r="U363" s="675"/>
      <c r="V363" s="675"/>
      <c r="W363" s="675"/>
      <c r="X363" s="675"/>
      <c r="Y363" s="676"/>
      <c r="Z363" s="676"/>
      <c r="AA363" s="676"/>
      <c r="AB363" s="677"/>
    </row>
    <row r="364" spans="2:28" s="780" customFormat="1" hidden="1" x14ac:dyDescent="0.45">
      <c r="B364" s="1692"/>
      <c r="C364" s="1696" t="s">
        <v>330</v>
      </c>
      <c r="D364" s="122" t="s">
        <v>326</v>
      </c>
      <c r="E364" s="678"/>
      <c r="F364" s="678"/>
      <c r="G364" s="678"/>
      <c r="H364" s="678"/>
      <c r="I364" s="678"/>
      <c r="J364" s="678"/>
      <c r="K364" s="678"/>
      <c r="L364" s="678"/>
      <c r="M364" s="678"/>
      <c r="N364" s="678"/>
      <c r="O364" s="678"/>
      <c r="P364" s="678"/>
      <c r="Q364" s="678"/>
      <c r="R364" s="678"/>
      <c r="S364" s="678"/>
      <c r="T364" s="678"/>
      <c r="U364" s="678"/>
      <c r="V364" s="678"/>
      <c r="W364" s="678"/>
      <c r="X364" s="678"/>
      <c r="Y364" s="679"/>
      <c r="Z364" s="679"/>
      <c r="AA364" s="679"/>
      <c r="AB364" s="680"/>
    </row>
    <row r="365" spans="2:28" s="780" customFormat="1" hidden="1" x14ac:dyDescent="0.45">
      <c r="B365" s="1692"/>
      <c r="C365" s="1697"/>
      <c r="D365" s="122" t="s">
        <v>327</v>
      </c>
      <c r="E365" s="678"/>
      <c r="F365" s="678"/>
      <c r="G365" s="678"/>
      <c r="H365" s="678"/>
      <c r="I365" s="678"/>
      <c r="J365" s="678"/>
      <c r="K365" s="678"/>
      <c r="L365" s="678"/>
      <c r="M365" s="678"/>
      <c r="N365" s="678"/>
      <c r="O365" s="678"/>
      <c r="P365" s="678"/>
      <c r="Q365" s="678"/>
      <c r="R365" s="678"/>
      <c r="S365" s="678"/>
      <c r="T365" s="678"/>
      <c r="U365" s="678"/>
      <c r="V365" s="678"/>
      <c r="W365" s="678"/>
      <c r="X365" s="681"/>
      <c r="Y365" s="679"/>
      <c r="Z365" s="679"/>
      <c r="AA365" s="679"/>
      <c r="AB365" s="680"/>
    </row>
    <row r="366" spans="2:28" s="780" customFormat="1" hidden="1" x14ac:dyDescent="0.45">
      <c r="B366" s="1692"/>
      <c r="C366" s="1698" t="s">
        <v>331</v>
      </c>
      <c r="D366" s="125" t="s">
        <v>326</v>
      </c>
      <c r="E366" s="682"/>
      <c r="F366" s="682"/>
      <c r="G366" s="685"/>
      <c r="H366" s="682"/>
      <c r="I366" s="682"/>
      <c r="J366" s="682"/>
      <c r="K366" s="682"/>
      <c r="L366" s="682"/>
      <c r="M366" s="682"/>
      <c r="N366" s="682"/>
      <c r="O366" s="682"/>
      <c r="P366" s="682"/>
      <c r="Q366" s="682"/>
      <c r="R366" s="682"/>
      <c r="S366" s="682"/>
      <c r="T366" s="682"/>
      <c r="U366" s="682"/>
      <c r="V366" s="682"/>
      <c r="W366" s="682"/>
      <c r="X366" s="682"/>
      <c r="Y366" s="683"/>
      <c r="Z366" s="683"/>
      <c r="AA366" s="683"/>
      <c r="AB366" s="684"/>
    </row>
    <row r="367" spans="2:28" s="780" customFormat="1" hidden="1" x14ac:dyDescent="0.45">
      <c r="B367" s="1692"/>
      <c r="C367" s="1695"/>
      <c r="D367" s="124" t="s">
        <v>327</v>
      </c>
      <c r="E367" s="675"/>
      <c r="F367" s="675"/>
      <c r="G367" s="686"/>
      <c r="H367" s="675"/>
      <c r="I367" s="675"/>
      <c r="J367" s="675"/>
      <c r="K367" s="675"/>
      <c r="L367" s="675"/>
      <c r="M367" s="675"/>
      <c r="N367" s="675"/>
      <c r="O367" s="675"/>
      <c r="P367" s="675"/>
      <c r="Q367" s="675"/>
      <c r="R367" s="675"/>
      <c r="S367" s="675"/>
      <c r="T367" s="675"/>
      <c r="U367" s="675"/>
      <c r="V367" s="675"/>
      <c r="W367" s="675"/>
      <c r="X367" s="675"/>
      <c r="Y367" s="676"/>
      <c r="Z367" s="676"/>
      <c r="AA367" s="676"/>
      <c r="AB367" s="677"/>
    </row>
    <row r="368" spans="2:28" s="780" customFormat="1" hidden="1" x14ac:dyDescent="0.45">
      <c r="B368" s="1692"/>
      <c r="C368" s="1696" t="s">
        <v>332</v>
      </c>
      <c r="D368" s="122" t="s">
        <v>326</v>
      </c>
      <c r="E368" s="678"/>
      <c r="F368" s="678"/>
      <c r="G368" s="678"/>
      <c r="H368" s="678"/>
      <c r="I368" s="678"/>
      <c r="J368" s="678"/>
      <c r="K368" s="678"/>
      <c r="L368" s="678"/>
      <c r="M368" s="678"/>
      <c r="N368" s="678"/>
      <c r="O368" s="678"/>
      <c r="P368" s="678"/>
      <c r="Q368" s="678"/>
      <c r="R368" s="678"/>
      <c r="S368" s="678"/>
      <c r="T368" s="678"/>
      <c r="U368" s="678"/>
      <c r="V368" s="678"/>
      <c r="W368" s="679"/>
      <c r="X368" s="679"/>
      <c r="Y368" s="679"/>
      <c r="Z368" s="679"/>
      <c r="AA368" s="679"/>
      <c r="AB368" s="680"/>
    </row>
    <row r="369" spans="2:28" s="780" customFormat="1" hidden="1" x14ac:dyDescent="0.45">
      <c r="B369" s="1692"/>
      <c r="C369" s="1697"/>
      <c r="D369" s="122" t="s">
        <v>327</v>
      </c>
      <c r="E369" s="678"/>
      <c r="F369" s="678"/>
      <c r="G369" s="678"/>
      <c r="H369" s="678"/>
      <c r="I369" s="678"/>
      <c r="J369" s="678"/>
      <c r="K369" s="678"/>
      <c r="L369" s="678"/>
      <c r="M369" s="678"/>
      <c r="N369" s="678"/>
      <c r="O369" s="678"/>
      <c r="P369" s="678"/>
      <c r="Q369" s="678"/>
      <c r="R369" s="678"/>
      <c r="S369" s="678"/>
      <c r="T369" s="678"/>
      <c r="U369" s="678"/>
      <c r="V369" s="678"/>
      <c r="W369" s="678"/>
      <c r="X369" s="678"/>
      <c r="Y369" s="679"/>
      <c r="Z369" s="679"/>
      <c r="AA369" s="679"/>
      <c r="AB369" s="680"/>
    </row>
    <row r="370" spans="2:28" s="780" customFormat="1" hidden="1" x14ac:dyDescent="0.45">
      <c r="B370" s="1692"/>
      <c r="C370" s="1698" t="s">
        <v>333</v>
      </c>
      <c r="D370" s="124" t="s">
        <v>326</v>
      </c>
      <c r="E370" s="675"/>
      <c r="F370" s="675"/>
      <c r="G370" s="675"/>
      <c r="H370" s="675"/>
      <c r="I370" s="675"/>
      <c r="J370" s="675"/>
      <c r="K370" s="675"/>
      <c r="L370" s="675"/>
      <c r="M370" s="675"/>
      <c r="N370" s="675"/>
      <c r="O370" s="675"/>
      <c r="P370" s="675"/>
      <c r="Q370" s="675"/>
      <c r="R370" s="675"/>
      <c r="S370" s="675"/>
      <c r="T370" s="675"/>
      <c r="U370" s="675"/>
      <c r="V370" s="675"/>
      <c r="W370" s="676"/>
      <c r="X370" s="676"/>
      <c r="Y370" s="676"/>
      <c r="Z370" s="676"/>
      <c r="AA370" s="676"/>
      <c r="AB370" s="677"/>
    </row>
    <row r="371" spans="2:28" s="780" customFormat="1" hidden="1" x14ac:dyDescent="0.45">
      <c r="B371" s="1693"/>
      <c r="C371" s="1699"/>
      <c r="D371" s="126" t="s">
        <v>327</v>
      </c>
      <c r="E371" s="687"/>
      <c r="F371" s="687"/>
      <c r="G371" s="687"/>
      <c r="H371" s="687"/>
      <c r="I371" s="687"/>
      <c r="J371" s="687"/>
      <c r="K371" s="687"/>
      <c r="L371" s="687"/>
      <c r="M371" s="687"/>
      <c r="N371" s="687"/>
      <c r="O371" s="687"/>
      <c r="P371" s="687"/>
      <c r="Q371" s="687"/>
      <c r="R371" s="687"/>
      <c r="S371" s="687"/>
      <c r="T371" s="687"/>
      <c r="U371" s="687"/>
      <c r="V371" s="687"/>
      <c r="W371" s="687"/>
      <c r="X371" s="687"/>
      <c r="Y371" s="687"/>
      <c r="Z371" s="687"/>
      <c r="AA371" s="687"/>
      <c r="AB371" s="688"/>
    </row>
    <row r="372" spans="2:28" s="780" customFormat="1" hidden="1" x14ac:dyDescent="0.45"/>
    <row r="373" spans="2:28" s="780" customFormat="1" hidden="1" x14ac:dyDescent="0.45">
      <c r="B373" s="1688" t="s">
        <v>54</v>
      </c>
      <c r="C373" s="1689"/>
      <c r="D373" s="1690"/>
      <c r="E373" s="779"/>
      <c r="F373" s="779"/>
      <c r="G373" s="779"/>
      <c r="H373" s="779"/>
      <c r="I373" s="779"/>
      <c r="J373" s="779"/>
      <c r="K373" s="779"/>
      <c r="L373" s="779"/>
      <c r="M373" s="779"/>
      <c r="N373" s="779"/>
      <c r="O373" s="779"/>
      <c r="P373" s="779"/>
      <c r="Q373" s="779"/>
      <c r="R373" s="779"/>
      <c r="S373" s="779"/>
      <c r="T373" s="779"/>
      <c r="U373" s="779"/>
      <c r="V373" s="779"/>
      <c r="W373" s="779"/>
      <c r="X373" s="779"/>
      <c r="Y373" s="779"/>
      <c r="Z373" s="779"/>
      <c r="AA373" s="779"/>
      <c r="AB373" s="708"/>
    </row>
    <row r="374" spans="2:28" s="780" customFormat="1" ht="15" hidden="1" customHeight="1" x14ac:dyDescent="0.45">
      <c r="B374" s="1691" t="str">
        <f>CONCATENATE("Plan ", INDEX(plans_index,,(ROW(B374)-6)/16), ": ", INDEX(plans_name,,(ROW(B374)-6)/16))</f>
        <v xml:space="preserve">Plan 23: </v>
      </c>
      <c r="C374" s="1694" t="s">
        <v>325</v>
      </c>
      <c r="D374" s="123" t="s">
        <v>326</v>
      </c>
      <c r="E374" s="672"/>
      <c r="F374" s="672"/>
      <c r="G374" s="672"/>
      <c r="H374" s="673"/>
      <c r="I374" s="672"/>
      <c r="J374" s="672"/>
      <c r="K374" s="672"/>
      <c r="L374" s="672"/>
      <c r="M374" s="672"/>
      <c r="N374" s="672"/>
      <c r="O374" s="672"/>
      <c r="P374" s="672"/>
      <c r="Q374" s="672"/>
      <c r="R374" s="672"/>
      <c r="S374" s="672"/>
      <c r="T374" s="672"/>
      <c r="U374" s="672"/>
      <c r="V374" s="672"/>
      <c r="W374" s="672"/>
      <c r="X374" s="672"/>
      <c r="Y374" s="672"/>
      <c r="Z374" s="672"/>
      <c r="AA374" s="672"/>
      <c r="AB374" s="674"/>
    </row>
    <row r="375" spans="2:28" s="780" customFormat="1" hidden="1" x14ac:dyDescent="0.45">
      <c r="B375" s="1692"/>
      <c r="C375" s="1695"/>
      <c r="D375" s="124" t="s">
        <v>327</v>
      </c>
      <c r="E375" s="675"/>
      <c r="F375" s="675"/>
      <c r="G375" s="675"/>
      <c r="H375" s="675"/>
      <c r="I375" s="675"/>
      <c r="J375" s="675"/>
      <c r="K375" s="675"/>
      <c r="L375" s="675"/>
      <c r="M375" s="675"/>
      <c r="N375" s="675"/>
      <c r="O375" s="675"/>
      <c r="P375" s="675"/>
      <c r="Q375" s="675"/>
      <c r="R375" s="675"/>
      <c r="S375" s="675"/>
      <c r="T375" s="675"/>
      <c r="U375" s="675"/>
      <c r="V375" s="675"/>
      <c r="W375" s="675"/>
      <c r="X375" s="675"/>
      <c r="Y375" s="676"/>
      <c r="Z375" s="676"/>
      <c r="AA375" s="676"/>
      <c r="AB375" s="677"/>
    </row>
    <row r="376" spans="2:28" s="780" customFormat="1" hidden="1" x14ac:dyDescent="0.45">
      <c r="B376" s="1692"/>
      <c r="C376" s="1696" t="s">
        <v>328</v>
      </c>
      <c r="D376" s="122" t="s">
        <v>326</v>
      </c>
      <c r="E376" s="678"/>
      <c r="F376" s="678"/>
      <c r="G376" s="678"/>
      <c r="H376" s="678"/>
      <c r="I376" s="678"/>
      <c r="J376" s="678"/>
      <c r="K376" s="678"/>
      <c r="L376" s="678"/>
      <c r="M376" s="678"/>
      <c r="N376" s="678"/>
      <c r="O376" s="678"/>
      <c r="P376" s="678"/>
      <c r="Q376" s="678"/>
      <c r="R376" s="678"/>
      <c r="S376" s="678"/>
      <c r="T376" s="678"/>
      <c r="U376" s="678"/>
      <c r="V376" s="678"/>
      <c r="W376" s="678"/>
      <c r="X376" s="678"/>
      <c r="Y376" s="679"/>
      <c r="Z376" s="679"/>
      <c r="AA376" s="679"/>
      <c r="AB376" s="680"/>
    </row>
    <row r="377" spans="2:28" s="780" customFormat="1" hidden="1" x14ac:dyDescent="0.45">
      <c r="B377" s="1692"/>
      <c r="C377" s="1697"/>
      <c r="D377" s="122" t="s">
        <v>327</v>
      </c>
      <c r="E377" s="678"/>
      <c r="F377" s="678"/>
      <c r="G377" s="678"/>
      <c r="H377" s="678"/>
      <c r="I377" s="678"/>
      <c r="J377" s="678"/>
      <c r="K377" s="678"/>
      <c r="L377" s="678"/>
      <c r="M377" s="678"/>
      <c r="N377" s="678"/>
      <c r="O377" s="678"/>
      <c r="P377" s="678"/>
      <c r="Q377" s="678"/>
      <c r="R377" s="678"/>
      <c r="S377" s="678"/>
      <c r="T377" s="678"/>
      <c r="U377" s="678"/>
      <c r="V377" s="678"/>
      <c r="W377" s="678"/>
      <c r="X377" s="681"/>
      <c r="Y377" s="679"/>
      <c r="Z377" s="679"/>
      <c r="AA377" s="679"/>
      <c r="AB377" s="680"/>
    </row>
    <row r="378" spans="2:28" s="780" customFormat="1" hidden="1" x14ac:dyDescent="0.45">
      <c r="B378" s="1692"/>
      <c r="C378" s="1698" t="s">
        <v>329</v>
      </c>
      <c r="D378" s="125" t="s">
        <v>326</v>
      </c>
      <c r="E378" s="682"/>
      <c r="F378" s="682"/>
      <c r="G378" s="682"/>
      <c r="H378" s="682"/>
      <c r="I378" s="682"/>
      <c r="J378" s="682"/>
      <c r="K378" s="682"/>
      <c r="L378" s="682"/>
      <c r="M378" s="682"/>
      <c r="N378" s="682"/>
      <c r="O378" s="682"/>
      <c r="P378" s="682"/>
      <c r="Q378" s="682"/>
      <c r="R378" s="682"/>
      <c r="S378" s="682"/>
      <c r="T378" s="682"/>
      <c r="U378" s="682"/>
      <c r="V378" s="682"/>
      <c r="W378" s="682"/>
      <c r="X378" s="682"/>
      <c r="Y378" s="683"/>
      <c r="Z378" s="683"/>
      <c r="AA378" s="683"/>
      <c r="AB378" s="684"/>
    </row>
    <row r="379" spans="2:28" s="780" customFormat="1" hidden="1" x14ac:dyDescent="0.45">
      <c r="B379" s="1692"/>
      <c r="C379" s="1695"/>
      <c r="D379" s="124" t="s">
        <v>327</v>
      </c>
      <c r="E379" s="675"/>
      <c r="F379" s="675"/>
      <c r="G379" s="675"/>
      <c r="H379" s="675"/>
      <c r="I379" s="675"/>
      <c r="J379" s="675"/>
      <c r="K379" s="675"/>
      <c r="L379" s="675"/>
      <c r="M379" s="675"/>
      <c r="N379" s="675"/>
      <c r="O379" s="675"/>
      <c r="P379" s="675"/>
      <c r="Q379" s="675"/>
      <c r="R379" s="675"/>
      <c r="S379" s="675"/>
      <c r="T379" s="675"/>
      <c r="U379" s="675"/>
      <c r="V379" s="675"/>
      <c r="W379" s="675"/>
      <c r="X379" s="675"/>
      <c r="Y379" s="676"/>
      <c r="Z379" s="676"/>
      <c r="AA379" s="676"/>
      <c r="AB379" s="677"/>
    </row>
    <row r="380" spans="2:28" s="780" customFormat="1" hidden="1" x14ac:dyDescent="0.45">
      <c r="B380" s="1692"/>
      <c r="C380" s="1696" t="s">
        <v>330</v>
      </c>
      <c r="D380" s="122" t="s">
        <v>326</v>
      </c>
      <c r="E380" s="678"/>
      <c r="F380" s="678"/>
      <c r="G380" s="678"/>
      <c r="H380" s="678"/>
      <c r="I380" s="678"/>
      <c r="J380" s="678"/>
      <c r="K380" s="678"/>
      <c r="L380" s="678"/>
      <c r="M380" s="678"/>
      <c r="N380" s="678"/>
      <c r="O380" s="678"/>
      <c r="P380" s="678"/>
      <c r="Q380" s="678"/>
      <c r="R380" s="678"/>
      <c r="S380" s="678"/>
      <c r="T380" s="678"/>
      <c r="U380" s="678"/>
      <c r="V380" s="678"/>
      <c r="W380" s="678"/>
      <c r="X380" s="678"/>
      <c r="Y380" s="679"/>
      <c r="Z380" s="679"/>
      <c r="AA380" s="679"/>
      <c r="AB380" s="680"/>
    </row>
    <row r="381" spans="2:28" s="780" customFormat="1" hidden="1" x14ac:dyDescent="0.45">
      <c r="B381" s="1692"/>
      <c r="C381" s="1697"/>
      <c r="D381" s="122" t="s">
        <v>327</v>
      </c>
      <c r="E381" s="678"/>
      <c r="F381" s="678"/>
      <c r="G381" s="678"/>
      <c r="H381" s="678"/>
      <c r="I381" s="678"/>
      <c r="J381" s="678"/>
      <c r="K381" s="678"/>
      <c r="L381" s="678"/>
      <c r="M381" s="678"/>
      <c r="N381" s="678"/>
      <c r="O381" s="678"/>
      <c r="P381" s="678"/>
      <c r="Q381" s="678"/>
      <c r="R381" s="678"/>
      <c r="S381" s="678"/>
      <c r="T381" s="678"/>
      <c r="U381" s="678"/>
      <c r="V381" s="678"/>
      <c r="W381" s="678"/>
      <c r="X381" s="681"/>
      <c r="Y381" s="679"/>
      <c r="Z381" s="679"/>
      <c r="AA381" s="679"/>
      <c r="AB381" s="680"/>
    </row>
    <row r="382" spans="2:28" s="780" customFormat="1" hidden="1" x14ac:dyDescent="0.45">
      <c r="B382" s="1692"/>
      <c r="C382" s="1698" t="s">
        <v>331</v>
      </c>
      <c r="D382" s="125" t="s">
        <v>326</v>
      </c>
      <c r="E382" s="682"/>
      <c r="F382" s="682"/>
      <c r="G382" s="685"/>
      <c r="H382" s="682"/>
      <c r="I382" s="682"/>
      <c r="J382" s="682"/>
      <c r="K382" s="682"/>
      <c r="L382" s="682"/>
      <c r="M382" s="682"/>
      <c r="N382" s="682"/>
      <c r="O382" s="682"/>
      <c r="P382" s="682"/>
      <c r="Q382" s="682"/>
      <c r="R382" s="682"/>
      <c r="S382" s="682"/>
      <c r="T382" s="682"/>
      <c r="U382" s="682"/>
      <c r="V382" s="682"/>
      <c r="W382" s="682"/>
      <c r="X382" s="682"/>
      <c r="Y382" s="683"/>
      <c r="Z382" s="683"/>
      <c r="AA382" s="683"/>
      <c r="AB382" s="684"/>
    </row>
    <row r="383" spans="2:28" s="780" customFormat="1" hidden="1" x14ac:dyDescent="0.45">
      <c r="B383" s="1692"/>
      <c r="C383" s="1695"/>
      <c r="D383" s="124" t="s">
        <v>327</v>
      </c>
      <c r="E383" s="675"/>
      <c r="F383" s="675"/>
      <c r="G383" s="686"/>
      <c r="H383" s="675"/>
      <c r="I383" s="675"/>
      <c r="J383" s="675"/>
      <c r="K383" s="675"/>
      <c r="L383" s="675"/>
      <c r="M383" s="675"/>
      <c r="N383" s="675"/>
      <c r="O383" s="675"/>
      <c r="P383" s="675"/>
      <c r="Q383" s="675"/>
      <c r="R383" s="675"/>
      <c r="S383" s="675"/>
      <c r="T383" s="675"/>
      <c r="U383" s="675"/>
      <c r="V383" s="675"/>
      <c r="W383" s="675"/>
      <c r="X383" s="675"/>
      <c r="Y383" s="676"/>
      <c r="Z383" s="676"/>
      <c r="AA383" s="676"/>
      <c r="AB383" s="677"/>
    </row>
    <row r="384" spans="2:28" s="780" customFormat="1" hidden="1" x14ac:dyDescent="0.45">
      <c r="B384" s="1692"/>
      <c r="C384" s="1696" t="s">
        <v>332</v>
      </c>
      <c r="D384" s="122" t="s">
        <v>326</v>
      </c>
      <c r="E384" s="678"/>
      <c r="F384" s="678"/>
      <c r="G384" s="678"/>
      <c r="H384" s="678"/>
      <c r="I384" s="678"/>
      <c r="J384" s="678"/>
      <c r="K384" s="678"/>
      <c r="L384" s="678"/>
      <c r="M384" s="678"/>
      <c r="N384" s="678"/>
      <c r="O384" s="678"/>
      <c r="P384" s="678"/>
      <c r="Q384" s="678"/>
      <c r="R384" s="678"/>
      <c r="S384" s="678"/>
      <c r="T384" s="678"/>
      <c r="U384" s="678"/>
      <c r="V384" s="678"/>
      <c r="W384" s="679"/>
      <c r="X384" s="679"/>
      <c r="Y384" s="679"/>
      <c r="Z384" s="679"/>
      <c r="AA384" s="679"/>
      <c r="AB384" s="680"/>
    </row>
    <row r="385" spans="2:28" s="780" customFormat="1" hidden="1" x14ac:dyDescent="0.45">
      <c r="B385" s="1692"/>
      <c r="C385" s="1697"/>
      <c r="D385" s="122" t="s">
        <v>327</v>
      </c>
      <c r="E385" s="678"/>
      <c r="F385" s="678"/>
      <c r="G385" s="678"/>
      <c r="H385" s="678"/>
      <c r="I385" s="678"/>
      <c r="J385" s="678"/>
      <c r="K385" s="678"/>
      <c r="L385" s="678"/>
      <c r="M385" s="678"/>
      <c r="N385" s="678"/>
      <c r="O385" s="678"/>
      <c r="P385" s="678"/>
      <c r="Q385" s="678"/>
      <c r="R385" s="678"/>
      <c r="S385" s="678"/>
      <c r="T385" s="678"/>
      <c r="U385" s="678"/>
      <c r="V385" s="678"/>
      <c r="W385" s="678"/>
      <c r="X385" s="678"/>
      <c r="Y385" s="679"/>
      <c r="Z385" s="679"/>
      <c r="AA385" s="679"/>
      <c r="AB385" s="680"/>
    </row>
    <row r="386" spans="2:28" s="780" customFormat="1" hidden="1" x14ac:dyDescent="0.45">
      <c r="B386" s="1692"/>
      <c r="C386" s="1698" t="s">
        <v>333</v>
      </c>
      <c r="D386" s="124" t="s">
        <v>326</v>
      </c>
      <c r="E386" s="675"/>
      <c r="F386" s="675"/>
      <c r="G386" s="675"/>
      <c r="H386" s="675"/>
      <c r="I386" s="675"/>
      <c r="J386" s="675"/>
      <c r="K386" s="675"/>
      <c r="L386" s="675"/>
      <c r="M386" s="675"/>
      <c r="N386" s="675"/>
      <c r="O386" s="675"/>
      <c r="P386" s="675"/>
      <c r="Q386" s="675"/>
      <c r="R386" s="675"/>
      <c r="S386" s="675"/>
      <c r="T386" s="675"/>
      <c r="U386" s="675"/>
      <c r="V386" s="675"/>
      <c r="W386" s="676"/>
      <c r="X386" s="676"/>
      <c r="Y386" s="676"/>
      <c r="Z386" s="676"/>
      <c r="AA386" s="676"/>
      <c r="AB386" s="677"/>
    </row>
    <row r="387" spans="2:28" s="780" customFormat="1" hidden="1" x14ac:dyDescent="0.45">
      <c r="B387" s="1693"/>
      <c r="C387" s="1699"/>
      <c r="D387" s="126" t="s">
        <v>327</v>
      </c>
      <c r="E387" s="687"/>
      <c r="F387" s="687"/>
      <c r="G387" s="687"/>
      <c r="H387" s="687"/>
      <c r="I387" s="687"/>
      <c r="J387" s="687"/>
      <c r="K387" s="687"/>
      <c r="L387" s="687"/>
      <c r="M387" s="687"/>
      <c r="N387" s="687"/>
      <c r="O387" s="687"/>
      <c r="P387" s="687"/>
      <c r="Q387" s="687"/>
      <c r="R387" s="687"/>
      <c r="S387" s="687"/>
      <c r="T387" s="687"/>
      <c r="U387" s="687"/>
      <c r="V387" s="687"/>
      <c r="W387" s="687"/>
      <c r="X387" s="687"/>
      <c r="Y387" s="687"/>
      <c r="Z387" s="687"/>
      <c r="AA387" s="687"/>
      <c r="AB387" s="688"/>
    </row>
    <row r="388" spans="2:28" s="780" customFormat="1" hidden="1" x14ac:dyDescent="0.45"/>
    <row r="389" spans="2:28" s="780" customFormat="1" hidden="1" x14ac:dyDescent="0.45">
      <c r="B389" s="1688" t="s">
        <v>54</v>
      </c>
      <c r="C389" s="1689"/>
      <c r="D389" s="1690"/>
      <c r="E389" s="779"/>
      <c r="F389" s="779"/>
      <c r="G389" s="779"/>
      <c r="H389" s="779"/>
      <c r="I389" s="779"/>
      <c r="J389" s="779"/>
      <c r="K389" s="779"/>
      <c r="L389" s="779"/>
      <c r="M389" s="779"/>
      <c r="N389" s="779"/>
      <c r="O389" s="779"/>
      <c r="P389" s="779"/>
      <c r="Q389" s="779"/>
      <c r="R389" s="779"/>
      <c r="S389" s="779"/>
      <c r="T389" s="779"/>
      <c r="U389" s="779"/>
      <c r="V389" s="779"/>
      <c r="W389" s="779"/>
      <c r="X389" s="779"/>
      <c r="Y389" s="779"/>
      <c r="Z389" s="779"/>
      <c r="AA389" s="779"/>
      <c r="AB389" s="708"/>
    </row>
    <row r="390" spans="2:28" s="780" customFormat="1" ht="15" hidden="1" customHeight="1" x14ac:dyDescent="0.45">
      <c r="B390" s="1691" t="str">
        <f>CONCATENATE("Plan ", INDEX(plans_index,,(ROW(B390)-6)/16), ": ", INDEX(plans_name,,(ROW(B390)-6)/16))</f>
        <v xml:space="preserve">Plan 24: </v>
      </c>
      <c r="C390" s="1694" t="s">
        <v>325</v>
      </c>
      <c r="D390" s="123" t="s">
        <v>326</v>
      </c>
      <c r="E390" s="672"/>
      <c r="F390" s="672"/>
      <c r="G390" s="672"/>
      <c r="H390" s="673"/>
      <c r="I390" s="672"/>
      <c r="J390" s="672"/>
      <c r="K390" s="672"/>
      <c r="L390" s="672"/>
      <c r="M390" s="672"/>
      <c r="N390" s="672"/>
      <c r="O390" s="672"/>
      <c r="P390" s="672"/>
      <c r="Q390" s="672"/>
      <c r="R390" s="672"/>
      <c r="S390" s="672"/>
      <c r="T390" s="672"/>
      <c r="U390" s="672"/>
      <c r="V390" s="672"/>
      <c r="W390" s="672"/>
      <c r="X390" s="672"/>
      <c r="Y390" s="672"/>
      <c r="Z390" s="672"/>
      <c r="AA390" s="672"/>
      <c r="AB390" s="674"/>
    </row>
    <row r="391" spans="2:28" s="780" customFormat="1" hidden="1" x14ac:dyDescent="0.45">
      <c r="B391" s="1692"/>
      <c r="C391" s="1695"/>
      <c r="D391" s="124" t="s">
        <v>327</v>
      </c>
      <c r="E391" s="675"/>
      <c r="F391" s="675"/>
      <c r="G391" s="675"/>
      <c r="H391" s="675"/>
      <c r="I391" s="675"/>
      <c r="J391" s="675"/>
      <c r="K391" s="675"/>
      <c r="L391" s="675"/>
      <c r="M391" s="675"/>
      <c r="N391" s="675"/>
      <c r="O391" s="675"/>
      <c r="P391" s="675"/>
      <c r="Q391" s="675"/>
      <c r="R391" s="675"/>
      <c r="S391" s="675"/>
      <c r="T391" s="675"/>
      <c r="U391" s="675"/>
      <c r="V391" s="675"/>
      <c r="W391" s="675"/>
      <c r="X391" s="675"/>
      <c r="Y391" s="676"/>
      <c r="Z391" s="676"/>
      <c r="AA391" s="676"/>
      <c r="AB391" s="677"/>
    </row>
    <row r="392" spans="2:28" s="780" customFormat="1" hidden="1" x14ac:dyDescent="0.45">
      <c r="B392" s="1692"/>
      <c r="C392" s="1696" t="s">
        <v>328</v>
      </c>
      <c r="D392" s="122" t="s">
        <v>326</v>
      </c>
      <c r="E392" s="678"/>
      <c r="F392" s="678"/>
      <c r="G392" s="678"/>
      <c r="H392" s="678"/>
      <c r="I392" s="678"/>
      <c r="J392" s="678"/>
      <c r="K392" s="678"/>
      <c r="L392" s="678"/>
      <c r="M392" s="678"/>
      <c r="N392" s="678"/>
      <c r="O392" s="678"/>
      <c r="P392" s="678"/>
      <c r="Q392" s="678"/>
      <c r="R392" s="678"/>
      <c r="S392" s="678"/>
      <c r="T392" s="678"/>
      <c r="U392" s="678"/>
      <c r="V392" s="678"/>
      <c r="W392" s="678"/>
      <c r="X392" s="678"/>
      <c r="Y392" s="679"/>
      <c r="Z392" s="679"/>
      <c r="AA392" s="679"/>
      <c r="AB392" s="680"/>
    </row>
    <row r="393" spans="2:28" s="780" customFormat="1" hidden="1" x14ac:dyDescent="0.45">
      <c r="B393" s="1692"/>
      <c r="C393" s="1697"/>
      <c r="D393" s="122" t="s">
        <v>327</v>
      </c>
      <c r="E393" s="678"/>
      <c r="F393" s="678"/>
      <c r="G393" s="678"/>
      <c r="H393" s="678"/>
      <c r="I393" s="678"/>
      <c r="J393" s="678"/>
      <c r="K393" s="678"/>
      <c r="L393" s="678"/>
      <c r="M393" s="678"/>
      <c r="N393" s="678"/>
      <c r="O393" s="678"/>
      <c r="P393" s="678"/>
      <c r="Q393" s="678"/>
      <c r="R393" s="678"/>
      <c r="S393" s="678"/>
      <c r="T393" s="678"/>
      <c r="U393" s="678"/>
      <c r="V393" s="678"/>
      <c r="W393" s="678"/>
      <c r="X393" s="681"/>
      <c r="Y393" s="679"/>
      <c r="Z393" s="679"/>
      <c r="AA393" s="679"/>
      <c r="AB393" s="680"/>
    </row>
    <row r="394" spans="2:28" s="780" customFormat="1" hidden="1" x14ac:dyDescent="0.45">
      <c r="B394" s="1692"/>
      <c r="C394" s="1698" t="s">
        <v>329</v>
      </c>
      <c r="D394" s="125" t="s">
        <v>326</v>
      </c>
      <c r="E394" s="682"/>
      <c r="F394" s="682"/>
      <c r="G394" s="682"/>
      <c r="H394" s="682"/>
      <c r="I394" s="682"/>
      <c r="J394" s="682"/>
      <c r="K394" s="682"/>
      <c r="L394" s="682"/>
      <c r="M394" s="682"/>
      <c r="N394" s="682"/>
      <c r="O394" s="682"/>
      <c r="P394" s="682"/>
      <c r="Q394" s="682"/>
      <c r="R394" s="682"/>
      <c r="S394" s="682"/>
      <c r="T394" s="682"/>
      <c r="U394" s="682"/>
      <c r="V394" s="682"/>
      <c r="W394" s="682"/>
      <c r="X394" s="682"/>
      <c r="Y394" s="683"/>
      <c r="Z394" s="683"/>
      <c r="AA394" s="683"/>
      <c r="AB394" s="684"/>
    </row>
    <row r="395" spans="2:28" s="780" customFormat="1" hidden="1" x14ac:dyDescent="0.45">
      <c r="B395" s="1692"/>
      <c r="C395" s="1695"/>
      <c r="D395" s="124" t="s">
        <v>327</v>
      </c>
      <c r="E395" s="675"/>
      <c r="F395" s="675"/>
      <c r="G395" s="675"/>
      <c r="H395" s="675"/>
      <c r="I395" s="675"/>
      <c r="J395" s="675"/>
      <c r="K395" s="675"/>
      <c r="L395" s="675"/>
      <c r="M395" s="675"/>
      <c r="N395" s="675"/>
      <c r="O395" s="675"/>
      <c r="P395" s="675"/>
      <c r="Q395" s="675"/>
      <c r="R395" s="675"/>
      <c r="S395" s="675"/>
      <c r="T395" s="675"/>
      <c r="U395" s="675"/>
      <c r="V395" s="675"/>
      <c r="W395" s="675"/>
      <c r="X395" s="675"/>
      <c r="Y395" s="676"/>
      <c r="Z395" s="676"/>
      <c r="AA395" s="676"/>
      <c r="AB395" s="677"/>
    </row>
    <row r="396" spans="2:28" s="780" customFormat="1" hidden="1" x14ac:dyDescent="0.45">
      <c r="B396" s="1692"/>
      <c r="C396" s="1696" t="s">
        <v>330</v>
      </c>
      <c r="D396" s="122" t="s">
        <v>326</v>
      </c>
      <c r="E396" s="678"/>
      <c r="F396" s="678"/>
      <c r="G396" s="678"/>
      <c r="H396" s="678"/>
      <c r="I396" s="678"/>
      <c r="J396" s="678"/>
      <c r="K396" s="678"/>
      <c r="L396" s="678"/>
      <c r="M396" s="678"/>
      <c r="N396" s="678"/>
      <c r="O396" s="678"/>
      <c r="P396" s="678"/>
      <c r="Q396" s="678"/>
      <c r="R396" s="678"/>
      <c r="S396" s="678"/>
      <c r="T396" s="678"/>
      <c r="U396" s="678"/>
      <c r="V396" s="678"/>
      <c r="W396" s="678"/>
      <c r="X396" s="678"/>
      <c r="Y396" s="679"/>
      <c r="Z396" s="679"/>
      <c r="AA396" s="679"/>
      <c r="AB396" s="680"/>
    </row>
    <row r="397" spans="2:28" s="780" customFormat="1" hidden="1" x14ac:dyDescent="0.45">
      <c r="B397" s="1692"/>
      <c r="C397" s="1697"/>
      <c r="D397" s="122" t="s">
        <v>327</v>
      </c>
      <c r="E397" s="678"/>
      <c r="F397" s="678"/>
      <c r="G397" s="678"/>
      <c r="H397" s="678"/>
      <c r="I397" s="678"/>
      <c r="J397" s="678"/>
      <c r="K397" s="678"/>
      <c r="L397" s="678"/>
      <c r="M397" s="678"/>
      <c r="N397" s="678"/>
      <c r="O397" s="678"/>
      <c r="P397" s="678"/>
      <c r="Q397" s="678"/>
      <c r="R397" s="678"/>
      <c r="S397" s="678"/>
      <c r="T397" s="678"/>
      <c r="U397" s="678"/>
      <c r="V397" s="678"/>
      <c r="W397" s="678"/>
      <c r="X397" s="681"/>
      <c r="Y397" s="679"/>
      <c r="Z397" s="679"/>
      <c r="AA397" s="679"/>
      <c r="AB397" s="680"/>
    </row>
    <row r="398" spans="2:28" s="780" customFormat="1" hidden="1" x14ac:dyDescent="0.45">
      <c r="B398" s="1692"/>
      <c r="C398" s="1698" t="s">
        <v>331</v>
      </c>
      <c r="D398" s="125" t="s">
        <v>326</v>
      </c>
      <c r="E398" s="682"/>
      <c r="F398" s="682"/>
      <c r="G398" s="685"/>
      <c r="H398" s="682"/>
      <c r="I398" s="682"/>
      <c r="J398" s="682"/>
      <c r="K398" s="682"/>
      <c r="L398" s="682"/>
      <c r="M398" s="682"/>
      <c r="N398" s="682"/>
      <c r="O398" s="682"/>
      <c r="P398" s="682"/>
      <c r="Q398" s="682"/>
      <c r="R398" s="682"/>
      <c r="S398" s="682"/>
      <c r="T398" s="682"/>
      <c r="U398" s="682"/>
      <c r="V398" s="682"/>
      <c r="W398" s="682"/>
      <c r="X398" s="682"/>
      <c r="Y398" s="683"/>
      <c r="Z398" s="683"/>
      <c r="AA398" s="683"/>
      <c r="AB398" s="684"/>
    </row>
    <row r="399" spans="2:28" s="780" customFormat="1" hidden="1" x14ac:dyDescent="0.45">
      <c r="B399" s="1692"/>
      <c r="C399" s="1695"/>
      <c r="D399" s="124" t="s">
        <v>327</v>
      </c>
      <c r="E399" s="675"/>
      <c r="F399" s="675"/>
      <c r="G399" s="686"/>
      <c r="H399" s="675"/>
      <c r="I399" s="675"/>
      <c r="J399" s="675"/>
      <c r="K399" s="675"/>
      <c r="L399" s="675"/>
      <c r="M399" s="675"/>
      <c r="N399" s="675"/>
      <c r="O399" s="675"/>
      <c r="P399" s="675"/>
      <c r="Q399" s="675"/>
      <c r="R399" s="675"/>
      <c r="S399" s="675"/>
      <c r="T399" s="675"/>
      <c r="U399" s="675"/>
      <c r="V399" s="675"/>
      <c r="W399" s="675"/>
      <c r="X399" s="675"/>
      <c r="Y399" s="676"/>
      <c r="Z399" s="676"/>
      <c r="AA399" s="676"/>
      <c r="AB399" s="677"/>
    </row>
    <row r="400" spans="2:28" s="780" customFormat="1" hidden="1" x14ac:dyDescent="0.45">
      <c r="B400" s="1692"/>
      <c r="C400" s="1696" t="s">
        <v>332</v>
      </c>
      <c r="D400" s="122" t="s">
        <v>326</v>
      </c>
      <c r="E400" s="678"/>
      <c r="F400" s="678"/>
      <c r="G400" s="678"/>
      <c r="H400" s="678"/>
      <c r="I400" s="678"/>
      <c r="J400" s="678"/>
      <c r="K400" s="678"/>
      <c r="L400" s="678"/>
      <c r="M400" s="678"/>
      <c r="N400" s="678"/>
      <c r="O400" s="678"/>
      <c r="P400" s="678"/>
      <c r="Q400" s="678"/>
      <c r="R400" s="678"/>
      <c r="S400" s="678"/>
      <c r="T400" s="678"/>
      <c r="U400" s="678"/>
      <c r="V400" s="678"/>
      <c r="W400" s="679"/>
      <c r="X400" s="679"/>
      <c r="Y400" s="679"/>
      <c r="Z400" s="679"/>
      <c r="AA400" s="679"/>
      <c r="AB400" s="680"/>
    </row>
    <row r="401" spans="2:28" s="780" customFormat="1" hidden="1" x14ac:dyDescent="0.45">
      <c r="B401" s="1692"/>
      <c r="C401" s="1697"/>
      <c r="D401" s="122" t="s">
        <v>327</v>
      </c>
      <c r="E401" s="678"/>
      <c r="F401" s="678"/>
      <c r="G401" s="678"/>
      <c r="H401" s="678"/>
      <c r="I401" s="678"/>
      <c r="J401" s="678"/>
      <c r="K401" s="678"/>
      <c r="L401" s="678"/>
      <c r="M401" s="678"/>
      <c r="N401" s="678"/>
      <c r="O401" s="678"/>
      <c r="P401" s="678"/>
      <c r="Q401" s="678"/>
      <c r="R401" s="678"/>
      <c r="S401" s="678"/>
      <c r="T401" s="678"/>
      <c r="U401" s="678"/>
      <c r="V401" s="678"/>
      <c r="W401" s="678"/>
      <c r="X401" s="678"/>
      <c r="Y401" s="679"/>
      <c r="Z401" s="679"/>
      <c r="AA401" s="679"/>
      <c r="AB401" s="680"/>
    </row>
    <row r="402" spans="2:28" s="780" customFormat="1" hidden="1" x14ac:dyDescent="0.45">
      <c r="B402" s="1692"/>
      <c r="C402" s="1698" t="s">
        <v>333</v>
      </c>
      <c r="D402" s="124" t="s">
        <v>326</v>
      </c>
      <c r="E402" s="675"/>
      <c r="F402" s="675"/>
      <c r="G402" s="675"/>
      <c r="H402" s="675"/>
      <c r="I402" s="675"/>
      <c r="J402" s="675"/>
      <c r="K402" s="675"/>
      <c r="L402" s="675"/>
      <c r="M402" s="675"/>
      <c r="N402" s="675"/>
      <c r="O402" s="675"/>
      <c r="P402" s="675"/>
      <c r="Q402" s="675"/>
      <c r="R402" s="675"/>
      <c r="S402" s="675"/>
      <c r="T402" s="675"/>
      <c r="U402" s="675"/>
      <c r="V402" s="675"/>
      <c r="W402" s="676"/>
      <c r="X402" s="676"/>
      <c r="Y402" s="676"/>
      <c r="Z402" s="676"/>
      <c r="AA402" s="676"/>
      <c r="AB402" s="677"/>
    </row>
    <row r="403" spans="2:28" s="780" customFormat="1" hidden="1" x14ac:dyDescent="0.45">
      <c r="B403" s="1693"/>
      <c r="C403" s="1699"/>
      <c r="D403" s="126" t="s">
        <v>327</v>
      </c>
      <c r="E403" s="687"/>
      <c r="F403" s="687"/>
      <c r="G403" s="687"/>
      <c r="H403" s="687"/>
      <c r="I403" s="687"/>
      <c r="J403" s="687"/>
      <c r="K403" s="687"/>
      <c r="L403" s="687"/>
      <c r="M403" s="687"/>
      <c r="N403" s="687"/>
      <c r="O403" s="687"/>
      <c r="P403" s="687"/>
      <c r="Q403" s="687"/>
      <c r="R403" s="687"/>
      <c r="S403" s="687"/>
      <c r="T403" s="687"/>
      <c r="U403" s="687"/>
      <c r="V403" s="687"/>
      <c r="W403" s="687"/>
      <c r="X403" s="687"/>
      <c r="Y403" s="687"/>
      <c r="Z403" s="687"/>
      <c r="AA403" s="687"/>
      <c r="AB403" s="688"/>
    </row>
    <row r="404" spans="2:28" s="780" customFormat="1" hidden="1" x14ac:dyDescent="0.45"/>
    <row r="405" spans="2:28" s="780" customFormat="1" hidden="1" x14ac:dyDescent="0.45">
      <c r="B405" s="1688" t="s">
        <v>54</v>
      </c>
      <c r="C405" s="1689"/>
      <c r="D405" s="1690"/>
      <c r="E405" s="779"/>
      <c r="F405" s="779"/>
      <c r="G405" s="779"/>
      <c r="H405" s="779"/>
      <c r="I405" s="779"/>
      <c r="J405" s="779"/>
      <c r="K405" s="779"/>
      <c r="L405" s="779"/>
      <c r="M405" s="779"/>
      <c r="N405" s="779"/>
      <c r="O405" s="779"/>
      <c r="P405" s="779"/>
      <c r="Q405" s="779"/>
      <c r="R405" s="779"/>
      <c r="S405" s="779"/>
      <c r="T405" s="779"/>
      <c r="U405" s="779"/>
      <c r="V405" s="779"/>
      <c r="W405" s="779"/>
      <c r="X405" s="779"/>
      <c r="Y405" s="779"/>
      <c r="Z405" s="779"/>
      <c r="AA405" s="779"/>
      <c r="AB405" s="708"/>
    </row>
    <row r="406" spans="2:28" s="780" customFormat="1" ht="15" hidden="1" customHeight="1" x14ac:dyDescent="0.45">
      <c r="B406" s="1691" t="str">
        <f>CONCATENATE("Plan ", INDEX(plans_index,,(ROW(B406)-6)/16), ": ", INDEX(plans_name,,(ROW(B406)-6)/16))</f>
        <v xml:space="preserve">Plan 25: </v>
      </c>
      <c r="C406" s="1694" t="s">
        <v>325</v>
      </c>
      <c r="D406" s="123" t="s">
        <v>326</v>
      </c>
      <c r="E406" s="672"/>
      <c r="F406" s="672"/>
      <c r="G406" s="672"/>
      <c r="H406" s="673"/>
      <c r="I406" s="672"/>
      <c r="J406" s="672"/>
      <c r="K406" s="672"/>
      <c r="L406" s="672"/>
      <c r="M406" s="672"/>
      <c r="N406" s="672"/>
      <c r="O406" s="672"/>
      <c r="P406" s="672"/>
      <c r="Q406" s="672"/>
      <c r="R406" s="672"/>
      <c r="S406" s="672"/>
      <c r="T406" s="672"/>
      <c r="U406" s="672"/>
      <c r="V406" s="672"/>
      <c r="W406" s="672"/>
      <c r="X406" s="672"/>
      <c r="Y406" s="672"/>
      <c r="Z406" s="672"/>
      <c r="AA406" s="672"/>
      <c r="AB406" s="674"/>
    </row>
    <row r="407" spans="2:28" s="780" customFormat="1" hidden="1" x14ac:dyDescent="0.45">
      <c r="B407" s="1692"/>
      <c r="C407" s="1695"/>
      <c r="D407" s="124" t="s">
        <v>327</v>
      </c>
      <c r="E407" s="675"/>
      <c r="F407" s="675"/>
      <c r="G407" s="675"/>
      <c r="H407" s="675"/>
      <c r="I407" s="675"/>
      <c r="J407" s="675"/>
      <c r="K407" s="675"/>
      <c r="L407" s="675"/>
      <c r="M407" s="675"/>
      <c r="N407" s="675"/>
      <c r="O407" s="675"/>
      <c r="P407" s="675"/>
      <c r="Q407" s="675"/>
      <c r="R407" s="675"/>
      <c r="S407" s="675"/>
      <c r="T407" s="675"/>
      <c r="U407" s="675"/>
      <c r="V407" s="675"/>
      <c r="W407" s="675"/>
      <c r="X407" s="675"/>
      <c r="Y407" s="676"/>
      <c r="Z407" s="676"/>
      <c r="AA407" s="676"/>
      <c r="AB407" s="677"/>
    </row>
    <row r="408" spans="2:28" s="780" customFormat="1" hidden="1" x14ac:dyDescent="0.45">
      <c r="B408" s="1692"/>
      <c r="C408" s="1696" t="s">
        <v>328</v>
      </c>
      <c r="D408" s="122" t="s">
        <v>326</v>
      </c>
      <c r="E408" s="678"/>
      <c r="F408" s="678"/>
      <c r="G408" s="678"/>
      <c r="H408" s="678"/>
      <c r="I408" s="678"/>
      <c r="J408" s="678"/>
      <c r="K408" s="678"/>
      <c r="L408" s="678"/>
      <c r="M408" s="678"/>
      <c r="N408" s="678"/>
      <c r="O408" s="678"/>
      <c r="P408" s="678"/>
      <c r="Q408" s="678"/>
      <c r="R408" s="678"/>
      <c r="S408" s="678"/>
      <c r="T408" s="678"/>
      <c r="U408" s="678"/>
      <c r="V408" s="678"/>
      <c r="W408" s="678"/>
      <c r="X408" s="678"/>
      <c r="Y408" s="679"/>
      <c r="Z408" s="679"/>
      <c r="AA408" s="679"/>
      <c r="AB408" s="680"/>
    </row>
    <row r="409" spans="2:28" s="780" customFormat="1" hidden="1" x14ac:dyDescent="0.45">
      <c r="B409" s="1692"/>
      <c r="C409" s="1697"/>
      <c r="D409" s="122" t="s">
        <v>327</v>
      </c>
      <c r="E409" s="678"/>
      <c r="F409" s="678"/>
      <c r="G409" s="678"/>
      <c r="H409" s="678"/>
      <c r="I409" s="678"/>
      <c r="J409" s="678"/>
      <c r="K409" s="678"/>
      <c r="L409" s="678"/>
      <c r="M409" s="678"/>
      <c r="N409" s="678"/>
      <c r="O409" s="678"/>
      <c r="P409" s="678"/>
      <c r="Q409" s="678"/>
      <c r="R409" s="678"/>
      <c r="S409" s="678"/>
      <c r="T409" s="678"/>
      <c r="U409" s="678"/>
      <c r="V409" s="678"/>
      <c r="W409" s="678"/>
      <c r="X409" s="681"/>
      <c r="Y409" s="679"/>
      <c r="Z409" s="679"/>
      <c r="AA409" s="679"/>
      <c r="AB409" s="680"/>
    </row>
    <row r="410" spans="2:28" s="780" customFormat="1" hidden="1" x14ac:dyDescent="0.45">
      <c r="B410" s="1692"/>
      <c r="C410" s="1698" t="s">
        <v>329</v>
      </c>
      <c r="D410" s="125" t="s">
        <v>326</v>
      </c>
      <c r="E410" s="682"/>
      <c r="F410" s="682"/>
      <c r="G410" s="682"/>
      <c r="H410" s="682"/>
      <c r="I410" s="682"/>
      <c r="J410" s="682"/>
      <c r="K410" s="682"/>
      <c r="L410" s="682"/>
      <c r="M410" s="682"/>
      <c r="N410" s="682"/>
      <c r="O410" s="682"/>
      <c r="P410" s="682"/>
      <c r="Q410" s="682"/>
      <c r="R410" s="682"/>
      <c r="S410" s="682"/>
      <c r="T410" s="682"/>
      <c r="U410" s="682"/>
      <c r="V410" s="682"/>
      <c r="W410" s="682"/>
      <c r="X410" s="682"/>
      <c r="Y410" s="683"/>
      <c r="Z410" s="683"/>
      <c r="AA410" s="683"/>
      <c r="AB410" s="684"/>
    </row>
    <row r="411" spans="2:28" s="780" customFormat="1" hidden="1" x14ac:dyDescent="0.45">
      <c r="B411" s="1692"/>
      <c r="C411" s="1695"/>
      <c r="D411" s="124" t="s">
        <v>327</v>
      </c>
      <c r="E411" s="675"/>
      <c r="F411" s="675"/>
      <c r="G411" s="675"/>
      <c r="H411" s="675"/>
      <c r="I411" s="675"/>
      <c r="J411" s="675"/>
      <c r="K411" s="675"/>
      <c r="L411" s="675"/>
      <c r="M411" s="675"/>
      <c r="N411" s="675"/>
      <c r="O411" s="675"/>
      <c r="P411" s="675"/>
      <c r="Q411" s="675"/>
      <c r="R411" s="675"/>
      <c r="S411" s="675"/>
      <c r="T411" s="675"/>
      <c r="U411" s="675"/>
      <c r="V411" s="675"/>
      <c r="W411" s="675"/>
      <c r="X411" s="675"/>
      <c r="Y411" s="676"/>
      <c r="Z411" s="676"/>
      <c r="AA411" s="676"/>
      <c r="AB411" s="677"/>
    </row>
    <row r="412" spans="2:28" s="780" customFormat="1" hidden="1" x14ac:dyDescent="0.45">
      <c r="B412" s="1692"/>
      <c r="C412" s="1696" t="s">
        <v>330</v>
      </c>
      <c r="D412" s="122" t="s">
        <v>326</v>
      </c>
      <c r="E412" s="678"/>
      <c r="F412" s="678"/>
      <c r="G412" s="678"/>
      <c r="H412" s="678"/>
      <c r="I412" s="678"/>
      <c r="J412" s="678"/>
      <c r="K412" s="678"/>
      <c r="L412" s="678"/>
      <c r="M412" s="678"/>
      <c r="N412" s="678"/>
      <c r="O412" s="678"/>
      <c r="P412" s="678"/>
      <c r="Q412" s="678"/>
      <c r="R412" s="678"/>
      <c r="S412" s="678"/>
      <c r="T412" s="678"/>
      <c r="U412" s="678"/>
      <c r="V412" s="678"/>
      <c r="W412" s="678"/>
      <c r="X412" s="678"/>
      <c r="Y412" s="679"/>
      <c r="Z412" s="679"/>
      <c r="AA412" s="679"/>
      <c r="AB412" s="680"/>
    </row>
    <row r="413" spans="2:28" s="780" customFormat="1" hidden="1" x14ac:dyDescent="0.45">
      <c r="B413" s="1692"/>
      <c r="C413" s="1697"/>
      <c r="D413" s="122" t="s">
        <v>327</v>
      </c>
      <c r="E413" s="678"/>
      <c r="F413" s="678"/>
      <c r="G413" s="678"/>
      <c r="H413" s="678"/>
      <c r="I413" s="678"/>
      <c r="J413" s="678"/>
      <c r="K413" s="678"/>
      <c r="L413" s="678"/>
      <c r="M413" s="678"/>
      <c r="N413" s="678"/>
      <c r="O413" s="678"/>
      <c r="P413" s="678"/>
      <c r="Q413" s="678"/>
      <c r="R413" s="678"/>
      <c r="S413" s="678"/>
      <c r="T413" s="678"/>
      <c r="U413" s="678"/>
      <c r="V413" s="678"/>
      <c r="W413" s="678"/>
      <c r="X413" s="681"/>
      <c r="Y413" s="679"/>
      <c r="Z413" s="679"/>
      <c r="AA413" s="679"/>
      <c r="AB413" s="680"/>
    </row>
    <row r="414" spans="2:28" s="780" customFormat="1" hidden="1" x14ac:dyDescent="0.45">
      <c r="B414" s="1692"/>
      <c r="C414" s="1698" t="s">
        <v>331</v>
      </c>
      <c r="D414" s="125" t="s">
        <v>326</v>
      </c>
      <c r="E414" s="682"/>
      <c r="F414" s="682"/>
      <c r="G414" s="685"/>
      <c r="H414" s="682"/>
      <c r="I414" s="682"/>
      <c r="J414" s="682"/>
      <c r="K414" s="682"/>
      <c r="L414" s="682"/>
      <c r="M414" s="682"/>
      <c r="N414" s="682"/>
      <c r="O414" s="682"/>
      <c r="P414" s="682"/>
      <c r="Q414" s="682"/>
      <c r="R414" s="682"/>
      <c r="S414" s="682"/>
      <c r="T414" s="682"/>
      <c r="U414" s="682"/>
      <c r="V414" s="682"/>
      <c r="W414" s="682"/>
      <c r="X414" s="682"/>
      <c r="Y414" s="683"/>
      <c r="Z414" s="683"/>
      <c r="AA414" s="683"/>
      <c r="AB414" s="684"/>
    </row>
    <row r="415" spans="2:28" s="780" customFormat="1" hidden="1" x14ac:dyDescent="0.45">
      <c r="B415" s="1692"/>
      <c r="C415" s="1695"/>
      <c r="D415" s="124" t="s">
        <v>327</v>
      </c>
      <c r="E415" s="675"/>
      <c r="F415" s="675"/>
      <c r="G415" s="686"/>
      <c r="H415" s="675"/>
      <c r="I415" s="675"/>
      <c r="J415" s="675"/>
      <c r="K415" s="675"/>
      <c r="L415" s="675"/>
      <c r="M415" s="675"/>
      <c r="N415" s="675"/>
      <c r="O415" s="675"/>
      <c r="P415" s="675"/>
      <c r="Q415" s="675"/>
      <c r="R415" s="675"/>
      <c r="S415" s="675"/>
      <c r="T415" s="675"/>
      <c r="U415" s="675"/>
      <c r="V415" s="675"/>
      <c r="W415" s="675"/>
      <c r="X415" s="675"/>
      <c r="Y415" s="676"/>
      <c r="Z415" s="676"/>
      <c r="AA415" s="676"/>
      <c r="AB415" s="677"/>
    </row>
    <row r="416" spans="2:28" s="780" customFormat="1" hidden="1" x14ac:dyDescent="0.45">
      <c r="B416" s="1692"/>
      <c r="C416" s="1696" t="s">
        <v>332</v>
      </c>
      <c r="D416" s="122" t="s">
        <v>326</v>
      </c>
      <c r="E416" s="678"/>
      <c r="F416" s="678"/>
      <c r="G416" s="678"/>
      <c r="H416" s="678"/>
      <c r="I416" s="678"/>
      <c r="J416" s="678"/>
      <c r="K416" s="678"/>
      <c r="L416" s="678"/>
      <c r="M416" s="678"/>
      <c r="N416" s="678"/>
      <c r="O416" s="678"/>
      <c r="P416" s="678"/>
      <c r="Q416" s="678"/>
      <c r="R416" s="678"/>
      <c r="S416" s="678"/>
      <c r="T416" s="678"/>
      <c r="U416" s="678"/>
      <c r="V416" s="678"/>
      <c r="W416" s="679"/>
      <c r="X416" s="679"/>
      <c r="Y416" s="679"/>
      <c r="Z416" s="679"/>
      <c r="AA416" s="679"/>
      <c r="AB416" s="680"/>
    </row>
    <row r="417" spans="2:28" s="780" customFormat="1" hidden="1" x14ac:dyDescent="0.45">
      <c r="B417" s="1692"/>
      <c r="C417" s="1697"/>
      <c r="D417" s="122" t="s">
        <v>327</v>
      </c>
      <c r="E417" s="678"/>
      <c r="F417" s="678"/>
      <c r="G417" s="678"/>
      <c r="H417" s="678"/>
      <c r="I417" s="678"/>
      <c r="J417" s="678"/>
      <c r="K417" s="678"/>
      <c r="L417" s="678"/>
      <c r="M417" s="678"/>
      <c r="N417" s="678"/>
      <c r="O417" s="678"/>
      <c r="P417" s="678"/>
      <c r="Q417" s="678"/>
      <c r="R417" s="678"/>
      <c r="S417" s="678"/>
      <c r="T417" s="678"/>
      <c r="U417" s="678"/>
      <c r="V417" s="678"/>
      <c r="W417" s="678"/>
      <c r="X417" s="678"/>
      <c r="Y417" s="679"/>
      <c r="Z417" s="679"/>
      <c r="AA417" s="679"/>
      <c r="AB417" s="680"/>
    </row>
    <row r="418" spans="2:28" s="780" customFormat="1" hidden="1" x14ac:dyDescent="0.45">
      <c r="B418" s="1692"/>
      <c r="C418" s="1698" t="s">
        <v>333</v>
      </c>
      <c r="D418" s="124" t="s">
        <v>326</v>
      </c>
      <c r="E418" s="675"/>
      <c r="F418" s="675"/>
      <c r="G418" s="675"/>
      <c r="H418" s="675"/>
      <c r="I418" s="675"/>
      <c r="J418" s="675"/>
      <c r="K418" s="675"/>
      <c r="L418" s="675"/>
      <c r="M418" s="675"/>
      <c r="N418" s="675"/>
      <c r="O418" s="675"/>
      <c r="P418" s="675"/>
      <c r="Q418" s="675"/>
      <c r="R418" s="675"/>
      <c r="S418" s="675"/>
      <c r="T418" s="675"/>
      <c r="U418" s="675"/>
      <c r="V418" s="675"/>
      <c r="W418" s="676"/>
      <c r="X418" s="676"/>
      <c r="Y418" s="676"/>
      <c r="Z418" s="676"/>
      <c r="AA418" s="676"/>
      <c r="AB418" s="677"/>
    </row>
    <row r="419" spans="2:28" s="780" customFormat="1" hidden="1" x14ac:dyDescent="0.45">
      <c r="B419" s="1693"/>
      <c r="C419" s="1699"/>
      <c r="D419" s="126" t="s">
        <v>327</v>
      </c>
      <c r="E419" s="687"/>
      <c r="F419" s="687"/>
      <c r="G419" s="687"/>
      <c r="H419" s="687"/>
      <c r="I419" s="687"/>
      <c r="J419" s="687"/>
      <c r="K419" s="687"/>
      <c r="L419" s="687"/>
      <c r="M419" s="687"/>
      <c r="N419" s="687"/>
      <c r="O419" s="687"/>
      <c r="P419" s="687"/>
      <c r="Q419" s="687"/>
      <c r="R419" s="687"/>
      <c r="S419" s="687"/>
      <c r="T419" s="687"/>
      <c r="U419" s="687"/>
      <c r="V419" s="687"/>
      <c r="W419" s="687"/>
      <c r="X419" s="687"/>
      <c r="Y419" s="687"/>
      <c r="Z419" s="687"/>
      <c r="AA419" s="687"/>
      <c r="AB419" s="688"/>
    </row>
    <row r="420" spans="2:28" s="780" customFormat="1" hidden="1" x14ac:dyDescent="0.45"/>
    <row r="421" spans="2:28" s="780" customFormat="1" hidden="1" x14ac:dyDescent="0.45">
      <c r="B421" s="1688" t="s">
        <v>54</v>
      </c>
      <c r="C421" s="1689"/>
      <c r="D421" s="1690"/>
      <c r="E421" s="779"/>
      <c r="F421" s="779"/>
      <c r="G421" s="779"/>
      <c r="H421" s="779"/>
      <c r="I421" s="779"/>
      <c r="J421" s="779"/>
      <c r="K421" s="779"/>
      <c r="L421" s="779"/>
      <c r="M421" s="779"/>
      <c r="N421" s="779"/>
      <c r="O421" s="779"/>
      <c r="P421" s="779"/>
      <c r="Q421" s="779"/>
      <c r="R421" s="779"/>
      <c r="S421" s="779"/>
      <c r="T421" s="779"/>
      <c r="U421" s="779"/>
      <c r="V421" s="779"/>
      <c r="W421" s="779"/>
      <c r="X421" s="779"/>
      <c r="Y421" s="779"/>
      <c r="Z421" s="779"/>
      <c r="AA421" s="779"/>
      <c r="AB421" s="708"/>
    </row>
    <row r="422" spans="2:28" s="780" customFormat="1" ht="15" hidden="1" customHeight="1" x14ac:dyDescent="0.45">
      <c r="B422" s="1691" t="str">
        <f>CONCATENATE("Plan ", INDEX(plans_index,,(ROW(B422)-6)/16), ": ", INDEX(plans_name,,(ROW(B422)-6)/16))</f>
        <v xml:space="preserve">Plan 26: </v>
      </c>
      <c r="C422" s="1694" t="s">
        <v>325</v>
      </c>
      <c r="D422" s="123" t="s">
        <v>326</v>
      </c>
      <c r="E422" s="672"/>
      <c r="F422" s="672"/>
      <c r="G422" s="672"/>
      <c r="H422" s="673"/>
      <c r="I422" s="672"/>
      <c r="J422" s="672"/>
      <c r="K422" s="672"/>
      <c r="L422" s="672"/>
      <c r="M422" s="672"/>
      <c r="N422" s="672"/>
      <c r="O422" s="672"/>
      <c r="P422" s="672"/>
      <c r="Q422" s="672"/>
      <c r="R422" s="672"/>
      <c r="S422" s="672"/>
      <c r="T422" s="672"/>
      <c r="U422" s="672"/>
      <c r="V422" s="672"/>
      <c r="W422" s="672"/>
      <c r="X422" s="672"/>
      <c r="Y422" s="672"/>
      <c r="Z422" s="672"/>
      <c r="AA422" s="672"/>
      <c r="AB422" s="674"/>
    </row>
    <row r="423" spans="2:28" s="780" customFormat="1" hidden="1" x14ac:dyDescent="0.45">
      <c r="B423" s="1692"/>
      <c r="C423" s="1695"/>
      <c r="D423" s="124" t="s">
        <v>327</v>
      </c>
      <c r="E423" s="675"/>
      <c r="F423" s="675"/>
      <c r="G423" s="675"/>
      <c r="H423" s="675"/>
      <c r="I423" s="675"/>
      <c r="J423" s="675"/>
      <c r="K423" s="675"/>
      <c r="L423" s="675"/>
      <c r="M423" s="675"/>
      <c r="N423" s="675"/>
      <c r="O423" s="675"/>
      <c r="P423" s="675"/>
      <c r="Q423" s="675"/>
      <c r="R423" s="675"/>
      <c r="S423" s="675"/>
      <c r="T423" s="675"/>
      <c r="U423" s="675"/>
      <c r="V423" s="675"/>
      <c r="W423" s="675"/>
      <c r="X423" s="675"/>
      <c r="Y423" s="676"/>
      <c r="Z423" s="676"/>
      <c r="AA423" s="676"/>
      <c r="AB423" s="677"/>
    </row>
    <row r="424" spans="2:28" s="780" customFormat="1" hidden="1" x14ac:dyDescent="0.45">
      <c r="B424" s="1692"/>
      <c r="C424" s="1696" t="s">
        <v>328</v>
      </c>
      <c r="D424" s="122" t="s">
        <v>326</v>
      </c>
      <c r="E424" s="678"/>
      <c r="F424" s="678"/>
      <c r="G424" s="678"/>
      <c r="H424" s="678"/>
      <c r="I424" s="678"/>
      <c r="J424" s="678"/>
      <c r="K424" s="678"/>
      <c r="L424" s="678"/>
      <c r="M424" s="678"/>
      <c r="N424" s="678"/>
      <c r="O424" s="678"/>
      <c r="P424" s="678"/>
      <c r="Q424" s="678"/>
      <c r="R424" s="678"/>
      <c r="S424" s="678"/>
      <c r="T424" s="678"/>
      <c r="U424" s="678"/>
      <c r="V424" s="678"/>
      <c r="W424" s="678"/>
      <c r="X424" s="678"/>
      <c r="Y424" s="679"/>
      <c r="Z424" s="679"/>
      <c r="AA424" s="679"/>
      <c r="AB424" s="680"/>
    </row>
    <row r="425" spans="2:28" s="780" customFormat="1" hidden="1" x14ac:dyDescent="0.45">
      <c r="B425" s="1692"/>
      <c r="C425" s="1697"/>
      <c r="D425" s="122" t="s">
        <v>327</v>
      </c>
      <c r="E425" s="678"/>
      <c r="F425" s="678"/>
      <c r="G425" s="678"/>
      <c r="H425" s="678"/>
      <c r="I425" s="678"/>
      <c r="J425" s="678"/>
      <c r="K425" s="678"/>
      <c r="L425" s="678"/>
      <c r="M425" s="678"/>
      <c r="N425" s="678"/>
      <c r="O425" s="678"/>
      <c r="P425" s="678"/>
      <c r="Q425" s="678"/>
      <c r="R425" s="678"/>
      <c r="S425" s="678"/>
      <c r="T425" s="678"/>
      <c r="U425" s="678"/>
      <c r="V425" s="678"/>
      <c r="W425" s="678"/>
      <c r="X425" s="681"/>
      <c r="Y425" s="679"/>
      <c r="Z425" s="679"/>
      <c r="AA425" s="679"/>
      <c r="AB425" s="680"/>
    </row>
    <row r="426" spans="2:28" s="780" customFormat="1" hidden="1" x14ac:dyDescent="0.45">
      <c r="B426" s="1692"/>
      <c r="C426" s="1698" t="s">
        <v>329</v>
      </c>
      <c r="D426" s="125" t="s">
        <v>326</v>
      </c>
      <c r="E426" s="682"/>
      <c r="F426" s="682"/>
      <c r="G426" s="682"/>
      <c r="H426" s="682"/>
      <c r="I426" s="682"/>
      <c r="J426" s="682"/>
      <c r="K426" s="682"/>
      <c r="L426" s="682"/>
      <c r="M426" s="682"/>
      <c r="N426" s="682"/>
      <c r="O426" s="682"/>
      <c r="P426" s="682"/>
      <c r="Q426" s="682"/>
      <c r="R426" s="682"/>
      <c r="S426" s="682"/>
      <c r="T426" s="682"/>
      <c r="U426" s="682"/>
      <c r="V426" s="682"/>
      <c r="W426" s="682"/>
      <c r="X426" s="682"/>
      <c r="Y426" s="683"/>
      <c r="Z426" s="683"/>
      <c r="AA426" s="683"/>
      <c r="AB426" s="684"/>
    </row>
    <row r="427" spans="2:28" s="780" customFormat="1" hidden="1" x14ac:dyDescent="0.45">
      <c r="B427" s="1692"/>
      <c r="C427" s="1695"/>
      <c r="D427" s="124" t="s">
        <v>327</v>
      </c>
      <c r="E427" s="675"/>
      <c r="F427" s="675"/>
      <c r="G427" s="675"/>
      <c r="H427" s="675"/>
      <c r="I427" s="675"/>
      <c r="J427" s="675"/>
      <c r="K427" s="675"/>
      <c r="L427" s="675"/>
      <c r="M427" s="675"/>
      <c r="N427" s="675"/>
      <c r="O427" s="675"/>
      <c r="P427" s="675"/>
      <c r="Q427" s="675"/>
      <c r="R427" s="675"/>
      <c r="S427" s="675"/>
      <c r="T427" s="675"/>
      <c r="U427" s="675"/>
      <c r="V427" s="675"/>
      <c r="W427" s="675"/>
      <c r="X427" s="675"/>
      <c r="Y427" s="676"/>
      <c r="Z427" s="676"/>
      <c r="AA427" s="676"/>
      <c r="AB427" s="677"/>
    </row>
    <row r="428" spans="2:28" s="780" customFormat="1" hidden="1" x14ac:dyDescent="0.45">
      <c r="B428" s="1692"/>
      <c r="C428" s="1696" t="s">
        <v>330</v>
      </c>
      <c r="D428" s="122" t="s">
        <v>326</v>
      </c>
      <c r="E428" s="678"/>
      <c r="F428" s="678"/>
      <c r="G428" s="678"/>
      <c r="H428" s="678"/>
      <c r="I428" s="678"/>
      <c r="J428" s="678"/>
      <c r="K428" s="678"/>
      <c r="L428" s="678"/>
      <c r="M428" s="678"/>
      <c r="N428" s="678"/>
      <c r="O428" s="678"/>
      <c r="P428" s="678"/>
      <c r="Q428" s="678"/>
      <c r="R428" s="678"/>
      <c r="S428" s="678"/>
      <c r="T428" s="678"/>
      <c r="U428" s="678"/>
      <c r="V428" s="678"/>
      <c r="W428" s="678"/>
      <c r="X428" s="678"/>
      <c r="Y428" s="679"/>
      <c r="Z428" s="679"/>
      <c r="AA428" s="679"/>
      <c r="AB428" s="680"/>
    </row>
    <row r="429" spans="2:28" s="780" customFormat="1" hidden="1" x14ac:dyDescent="0.45">
      <c r="B429" s="1692"/>
      <c r="C429" s="1697"/>
      <c r="D429" s="122" t="s">
        <v>327</v>
      </c>
      <c r="E429" s="678"/>
      <c r="F429" s="678"/>
      <c r="G429" s="678"/>
      <c r="H429" s="678"/>
      <c r="I429" s="678"/>
      <c r="J429" s="678"/>
      <c r="K429" s="678"/>
      <c r="L429" s="678"/>
      <c r="M429" s="678"/>
      <c r="N429" s="678"/>
      <c r="O429" s="678"/>
      <c r="P429" s="678"/>
      <c r="Q429" s="678"/>
      <c r="R429" s="678"/>
      <c r="S429" s="678"/>
      <c r="T429" s="678"/>
      <c r="U429" s="678"/>
      <c r="V429" s="678"/>
      <c r="W429" s="678"/>
      <c r="X429" s="681"/>
      <c r="Y429" s="679"/>
      <c r="Z429" s="679"/>
      <c r="AA429" s="679"/>
      <c r="AB429" s="680"/>
    </row>
    <row r="430" spans="2:28" s="780" customFormat="1" hidden="1" x14ac:dyDescent="0.45">
      <c r="B430" s="1692"/>
      <c r="C430" s="1698" t="s">
        <v>331</v>
      </c>
      <c r="D430" s="125" t="s">
        <v>326</v>
      </c>
      <c r="E430" s="682"/>
      <c r="F430" s="682"/>
      <c r="G430" s="685"/>
      <c r="H430" s="682"/>
      <c r="I430" s="682"/>
      <c r="J430" s="682"/>
      <c r="K430" s="682"/>
      <c r="L430" s="682"/>
      <c r="M430" s="682"/>
      <c r="N430" s="682"/>
      <c r="O430" s="682"/>
      <c r="P430" s="682"/>
      <c r="Q430" s="682"/>
      <c r="R430" s="682"/>
      <c r="S430" s="682"/>
      <c r="T430" s="682"/>
      <c r="U430" s="682"/>
      <c r="V430" s="682"/>
      <c r="W430" s="682"/>
      <c r="X430" s="682"/>
      <c r="Y430" s="683"/>
      <c r="Z430" s="683"/>
      <c r="AA430" s="683"/>
      <c r="AB430" s="684"/>
    </row>
    <row r="431" spans="2:28" s="780" customFormat="1" hidden="1" x14ac:dyDescent="0.45">
      <c r="B431" s="1692"/>
      <c r="C431" s="1695"/>
      <c r="D431" s="124" t="s">
        <v>327</v>
      </c>
      <c r="E431" s="675"/>
      <c r="F431" s="675"/>
      <c r="G431" s="686"/>
      <c r="H431" s="675"/>
      <c r="I431" s="675"/>
      <c r="J431" s="675"/>
      <c r="K431" s="675"/>
      <c r="L431" s="675"/>
      <c r="M431" s="675"/>
      <c r="N431" s="675"/>
      <c r="O431" s="675"/>
      <c r="P431" s="675"/>
      <c r="Q431" s="675"/>
      <c r="R431" s="675"/>
      <c r="S431" s="675"/>
      <c r="T431" s="675"/>
      <c r="U431" s="675"/>
      <c r="V431" s="675"/>
      <c r="W431" s="675"/>
      <c r="X431" s="675"/>
      <c r="Y431" s="676"/>
      <c r="Z431" s="676"/>
      <c r="AA431" s="676"/>
      <c r="AB431" s="677"/>
    </row>
    <row r="432" spans="2:28" s="780" customFormat="1" hidden="1" x14ac:dyDescent="0.45">
      <c r="B432" s="1692"/>
      <c r="C432" s="1696" t="s">
        <v>332</v>
      </c>
      <c r="D432" s="122" t="s">
        <v>326</v>
      </c>
      <c r="E432" s="678"/>
      <c r="F432" s="678"/>
      <c r="G432" s="678"/>
      <c r="H432" s="678"/>
      <c r="I432" s="678"/>
      <c r="J432" s="678"/>
      <c r="K432" s="678"/>
      <c r="L432" s="678"/>
      <c r="M432" s="678"/>
      <c r="N432" s="678"/>
      <c r="O432" s="678"/>
      <c r="P432" s="678"/>
      <c r="Q432" s="678"/>
      <c r="R432" s="678"/>
      <c r="S432" s="678"/>
      <c r="T432" s="678"/>
      <c r="U432" s="678"/>
      <c r="V432" s="678"/>
      <c r="W432" s="679"/>
      <c r="X432" s="679"/>
      <c r="Y432" s="679"/>
      <c r="Z432" s="679"/>
      <c r="AA432" s="679"/>
      <c r="AB432" s="680"/>
    </row>
    <row r="433" spans="2:28" s="780" customFormat="1" hidden="1" x14ac:dyDescent="0.45">
      <c r="B433" s="1692"/>
      <c r="C433" s="1697"/>
      <c r="D433" s="122" t="s">
        <v>327</v>
      </c>
      <c r="E433" s="678"/>
      <c r="F433" s="678"/>
      <c r="G433" s="678"/>
      <c r="H433" s="678"/>
      <c r="I433" s="678"/>
      <c r="J433" s="678"/>
      <c r="K433" s="678"/>
      <c r="L433" s="678"/>
      <c r="M433" s="678"/>
      <c r="N433" s="678"/>
      <c r="O433" s="678"/>
      <c r="P433" s="678"/>
      <c r="Q433" s="678"/>
      <c r="R433" s="678"/>
      <c r="S433" s="678"/>
      <c r="T433" s="678"/>
      <c r="U433" s="678"/>
      <c r="V433" s="678"/>
      <c r="W433" s="678"/>
      <c r="X433" s="678"/>
      <c r="Y433" s="679"/>
      <c r="Z433" s="679"/>
      <c r="AA433" s="679"/>
      <c r="AB433" s="680"/>
    </row>
    <row r="434" spans="2:28" s="780" customFormat="1" hidden="1" x14ac:dyDescent="0.45">
      <c r="B434" s="1692"/>
      <c r="C434" s="1698" t="s">
        <v>333</v>
      </c>
      <c r="D434" s="124" t="s">
        <v>326</v>
      </c>
      <c r="E434" s="675"/>
      <c r="F434" s="675"/>
      <c r="G434" s="675"/>
      <c r="H434" s="675"/>
      <c r="I434" s="675"/>
      <c r="J434" s="675"/>
      <c r="K434" s="675"/>
      <c r="L434" s="675"/>
      <c r="M434" s="675"/>
      <c r="N434" s="675"/>
      <c r="O434" s="675"/>
      <c r="P434" s="675"/>
      <c r="Q434" s="675"/>
      <c r="R434" s="675"/>
      <c r="S434" s="675"/>
      <c r="T434" s="675"/>
      <c r="U434" s="675"/>
      <c r="V434" s="675"/>
      <c r="W434" s="676"/>
      <c r="X434" s="676"/>
      <c r="Y434" s="676"/>
      <c r="Z434" s="676"/>
      <c r="AA434" s="676"/>
      <c r="AB434" s="677"/>
    </row>
    <row r="435" spans="2:28" s="780" customFormat="1" hidden="1" x14ac:dyDescent="0.45">
      <c r="B435" s="1693"/>
      <c r="C435" s="1699"/>
      <c r="D435" s="126" t="s">
        <v>327</v>
      </c>
      <c r="E435" s="687"/>
      <c r="F435" s="687"/>
      <c r="G435" s="687"/>
      <c r="H435" s="687"/>
      <c r="I435" s="687"/>
      <c r="J435" s="687"/>
      <c r="K435" s="687"/>
      <c r="L435" s="687"/>
      <c r="M435" s="687"/>
      <c r="N435" s="687"/>
      <c r="O435" s="687"/>
      <c r="P435" s="687"/>
      <c r="Q435" s="687"/>
      <c r="R435" s="687"/>
      <c r="S435" s="687"/>
      <c r="T435" s="687"/>
      <c r="U435" s="687"/>
      <c r="V435" s="687"/>
      <c r="W435" s="687"/>
      <c r="X435" s="687"/>
      <c r="Y435" s="687"/>
      <c r="Z435" s="687"/>
      <c r="AA435" s="687"/>
      <c r="AB435" s="688"/>
    </row>
    <row r="436" spans="2:28" s="780" customFormat="1" hidden="1" x14ac:dyDescent="0.45"/>
    <row r="437" spans="2:28" s="780" customFormat="1" hidden="1" x14ac:dyDescent="0.45">
      <c r="B437" s="1688" t="s">
        <v>54</v>
      </c>
      <c r="C437" s="1689"/>
      <c r="D437" s="1690"/>
      <c r="E437" s="779"/>
      <c r="F437" s="779"/>
      <c r="G437" s="779"/>
      <c r="H437" s="779"/>
      <c r="I437" s="779"/>
      <c r="J437" s="779"/>
      <c r="K437" s="779"/>
      <c r="L437" s="779"/>
      <c r="M437" s="779"/>
      <c r="N437" s="779"/>
      <c r="O437" s="779"/>
      <c r="P437" s="779"/>
      <c r="Q437" s="779"/>
      <c r="R437" s="779"/>
      <c r="S437" s="779"/>
      <c r="T437" s="779"/>
      <c r="U437" s="779"/>
      <c r="V437" s="779"/>
      <c r="W437" s="779"/>
      <c r="X437" s="779"/>
      <c r="Y437" s="779"/>
      <c r="Z437" s="779"/>
      <c r="AA437" s="779"/>
      <c r="AB437" s="708"/>
    </row>
    <row r="438" spans="2:28" s="780" customFormat="1" ht="15" hidden="1" customHeight="1" x14ac:dyDescent="0.45">
      <c r="B438" s="1691" t="str">
        <f>CONCATENATE("Plan ", INDEX(plans_index,,(ROW(B438)-6)/16), ": ", INDEX(plans_name,,(ROW(B438)-6)/16))</f>
        <v xml:space="preserve">Plan 27: </v>
      </c>
      <c r="C438" s="1694" t="s">
        <v>325</v>
      </c>
      <c r="D438" s="123" t="s">
        <v>326</v>
      </c>
      <c r="E438" s="672"/>
      <c r="F438" s="672"/>
      <c r="G438" s="672"/>
      <c r="H438" s="673"/>
      <c r="I438" s="672"/>
      <c r="J438" s="672"/>
      <c r="K438" s="672"/>
      <c r="L438" s="672"/>
      <c r="M438" s="672"/>
      <c r="N438" s="672"/>
      <c r="O438" s="672"/>
      <c r="P438" s="672"/>
      <c r="Q438" s="672"/>
      <c r="R438" s="672"/>
      <c r="S438" s="672"/>
      <c r="T438" s="672"/>
      <c r="U438" s="672"/>
      <c r="V438" s="672"/>
      <c r="W438" s="672"/>
      <c r="X438" s="672"/>
      <c r="Y438" s="672"/>
      <c r="Z438" s="672"/>
      <c r="AA438" s="672"/>
      <c r="AB438" s="674"/>
    </row>
    <row r="439" spans="2:28" s="780" customFormat="1" hidden="1" x14ac:dyDescent="0.45">
      <c r="B439" s="1692"/>
      <c r="C439" s="1695"/>
      <c r="D439" s="124" t="s">
        <v>327</v>
      </c>
      <c r="E439" s="675"/>
      <c r="F439" s="675"/>
      <c r="G439" s="675"/>
      <c r="H439" s="675"/>
      <c r="I439" s="675"/>
      <c r="J439" s="675"/>
      <c r="K439" s="675"/>
      <c r="L439" s="675"/>
      <c r="M439" s="675"/>
      <c r="N439" s="675"/>
      <c r="O439" s="675"/>
      <c r="P439" s="675"/>
      <c r="Q439" s="675"/>
      <c r="R439" s="675"/>
      <c r="S439" s="675"/>
      <c r="T439" s="675"/>
      <c r="U439" s="675"/>
      <c r="V439" s="675"/>
      <c r="W439" s="675"/>
      <c r="X439" s="675"/>
      <c r="Y439" s="676"/>
      <c r="Z439" s="676"/>
      <c r="AA439" s="676"/>
      <c r="AB439" s="677"/>
    </row>
    <row r="440" spans="2:28" s="780" customFormat="1" hidden="1" x14ac:dyDescent="0.45">
      <c r="B440" s="1692"/>
      <c r="C440" s="1696" t="s">
        <v>328</v>
      </c>
      <c r="D440" s="122" t="s">
        <v>326</v>
      </c>
      <c r="E440" s="678"/>
      <c r="F440" s="678"/>
      <c r="G440" s="678"/>
      <c r="H440" s="678"/>
      <c r="I440" s="678"/>
      <c r="J440" s="678"/>
      <c r="K440" s="678"/>
      <c r="L440" s="678"/>
      <c r="M440" s="678"/>
      <c r="N440" s="678"/>
      <c r="O440" s="678"/>
      <c r="P440" s="678"/>
      <c r="Q440" s="678"/>
      <c r="R440" s="678"/>
      <c r="S440" s="678"/>
      <c r="T440" s="678"/>
      <c r="U440" s="678"/>
      <c r="V440" s="678"/>
      <c r="W440" s="678"/>
      <c r="X440" s="678"/>
      <c r="Y440" s="679"/>
      <c r="Z440" s="679"/>
      <c r="AA440" s="679"/>
      <c r="AB440" s="680"/>
    </row>
    <row r="441" spans="2:28" s="780" customFormat="1" hidden="1" x14ac:dyDescent="0.45">
      <c r="B441" s="1692"/>
      <c r="C441" s="1697"/>
      <c r="D441" s="122" t="s">
        <v>327</v>
      </c>
      <c r="E441" s="678"/>
      <c r="F441" s="678"/>
      <c r="G441" s="678"/>
      <c r="H441" s="678"/>
      <c r="I441" s="678"/>
      <c r="J441" s="678"/>
      <c r="K441" s="678"/>
      <c r="L441" s="678"/>
      <c r="M441" s="678"/>
      <c r="N441" s="678"/>
      <c r="O441" s="678"/>
      <c r="P441" s="678"/>
      <c r="Q441" s="678"/>
      <c r="R441" s="678"/>
      <c r="S441" s="678"/>
      <c r="T441" s="678"/>
      <c r="U441" s="678"/>
      <c r="V441" s="678"/>
      <c r="W441" s="678"/>
      <c r="X441" s="681"/>
      <c r="Y441" s="679"/>
      <c r="Z441" s="679"/>
      <c r="AA441" s="679"/>
      <c r="AB441" s="680"/>
    </row>
    <row r="442" spans="2:28" s="780" customFormat="1" hidden="1" x14ac:dyDescent="0.45">
      <c r="B442" s="1692"/>
      <c r="C442" s="1698" t="s">
        <v>329</v>
      </c>
      <c r="D442" s="125" t="s">
        <v>326</v>
      </c>
      <c r="E442" s="682"/>
      <c r="F442" s="682"/>
      <c r="G442" s="682"/>
      <c r="H442" s="682"/>
      <c r="I442" s="682"/>
      <c r="J442" s="682"/>
      <c r="K442" s="682"/>
      <c r="L442" s="682"/>
      <c r="M442" s="682"/>
      <c r="N442" s="682"/>
      <c r="O442" s="682"/>
      <c r="P442" s="682"/>
      <c r="Q442" s="682"/>
      <c r="R442" s="682"/>
      <c r="S442" s="682"/>
      <c r="T442" s="682"/>
      <c r="U442" s="682"/>
      <c r="V442" s="682"/>
      <c r="W442" s="682"/>
      <c r="X442" s="682"/>
      <c r="Y442" s="683"/>
      <c r="Z442" s="683"/>
      <c r="AA442" s="683"/>
      <c r="AB442" s="684"/>
    </row>
    <row r="443" spans="2:28" s="780" customFormat="1" hidden="1" x14ac:dyDescent="0.45">
      <c r="B443" s="1692"/>
      <c r="C443" s="1695"/>
      <c r="D443" s="124" t="s">
        <v>327</v>
      </c>
      <c r="E443" s="675"/>
      <c r="F443" s="675"/>
      <c r="G443" s="675"/>
      <c r="H443" s="675"/>
      <c r="I443" s="675"/>
      <c r="J443" s="675"/>
      <c r="K443" s="675"/>
      <c r="L443" s="675"/>
      <c r="M443" s="675"/>
      <c r="N443" s="675"/>
      <c r="O443" s="675"/>
      <c r="P443" s="675"/>
      <c r="Q443" s="675"/>
      <c r="R443" s="675"/>
      <c r="S443" s="675"/>
      <c r="T443" s="675"/>
      <c r="U443" s="675"/>
      <c r="V443" s="675"/>
      <c r="W443" s="675"/>
      <c r="X443" s="675"/>
      <c r="Y443" s="676"/>
      <c r="Z443" s="676"/>
      <c r="AA443" s="676"/>
      <c r="AB443" s="677"/>
    </row>
    <row r="444" spans="2:28" s="780" customFormat="1" hidden="1" x14ac:dyDescent="0.45">
      <c r="B444" s="1692"/>
      <c r="C444" s="1696" t="s">
        <v>330</v>
      </c>
      <c r="D444" s="122" t="s">
        <v>326</v>
      </c>
      <c r="E444" s="678"/>
      <c r="F444" s="678"/>
      <c r="G444" s="678"/>
      <c r="H444" s="678"/>
      <c r="I444" s="678"/>
      <c r="J444" s="678"/>
      <c r="K444" s="678"/>
      <c r="L444" s="678"/>
      <c r="M444" s="678"/>
      <c r="N444" s="678"/>
      <c r="O444" s="678"/>
      <c r="P444" s="678"/>
      <c r="Q444" s="678"/>
      <c r="R444" s="678"/>
      <c r="S444" s="678"/>
      <c r="T444" s="678"/>
      <c r="U444" s="678"/>
      <c r="V444" s="678"/>
      <c r="W444" s="678"/>
      <c r="X444" s="678"/>
      <c r="Y444" s="679"/>
      <c r="Z444" s="679"/>
      <c r="AA444" s="679"/>
      <c r="AB444" s="680"/>
    </row>
    <row r="445" spans="2:28" s="780" customFormat="1" hidden="1" x14ac:dyDescent="0.45">
      <c r="B445" s="1692"/>
      <c r="C445" s="1697"/>
      <c r="D445" s="122" t="s">
        <v>327</v>
      </c>
      <c r="E445" s="678"/>
      <c r="F445" s="678"/>
      <c r="G445" s="678"/>
      <c r="H445" s="678"/>
      <c r="I445" s="678"/>
      <c r="J445" s="678"/>
      <c r="K445" s="678"/>
      <c r="L445" s="678"/>
      <c r="M445" s="678"/>
      <c r="N445" s="678"/>
      <c r="O445" s="678"/>
      <c r="P445" s="678"/>
      <c r="Q445" s="678"/>
      <c r="R445" s="678"/>
      <c r="S445" s="678"/>
      <c r="T445" s="678"/>
      <c r="U445" s="678"/>
      <c r="V445" s="678"/>
      <c r="W445" s="678"/>
      <c r="X445" s="681"/>
      <c r="Y445" s="679"/>
      <c r="Z445" s="679"/>
      <c r="AA445" s="679"/>
      <c r="AB445" s="680"/>
    </row>
    <row r="446" spans="2:28" s="780" customFormat="1" hidden="1" x14ac:dyDescent="0.45">
      <c r="B446" s="1692"/>
      <c r="C446" s="1698" t="s">
        <v>331</v>
      </c>
      <c r="D446" s="125" t="s">
        <v>326</v>
      </c>
      <c r="E446" s="682"/>
      <c r="F446" s="682"/>
      <c r="G446" s="685"/>
      <c r="H446" s="682"/>
      <c r="I446" s="682"/>
      <c r="J446" s="682"/>
      <c r="K446" s="682"/>
      <c r="L446" s="682"/>
      <c r="M446" s="682"/>
      <c r="N446" s="682"/>
      <c r="O446" s="682"/>
      <c r="P446" s="682"/>
      <c r="Q446" s="682"/>
      <c r="R446" s="682"/>
      <c r="S446" s="682"/>
      <c r="T446" s="682"/>
      <c r="U446" s="682"/>
      <c r="V446" s="682"/>
      <c r="W446" s="682"/>
      <c r="X446" s="682"/>
      <c r="Y446" s="683"/>
      <c r="Z446" s="683"/>
      <c r="AA446" s="683"/>
      <c r="AB446" s="684"/>
    </row>
    <row r="447" spans="2:28" s="780" customFormat="1" hidden="1" x14ac:dyDescent="0.45">
      <c r="B447" s="1692"/>
      <c r="C447" s="1695"/>
      <c r="D447" s="124" t="s">
        <v>327</v>
      </c>
      <c r="E447" s="675"/>
      <c r="F447" s="675"/>
      <c r="G447" s="686"/>
      <c r="H447" s="675"/>
      <c r="I447" s="675"/>
      <c r="J447" s="675"/>
      <c r="K447" s="675"/>
      <c r="L447" s="675"/>
      <c r="M447" s="675"/>
      <c r="N447" s="675"/>
      <c r="O447" s="675"/>
      <c r="P447" s="675"/>
      <c r="Q447" s="675"/>
      <c r="R447" s="675"/>
      <c r="S447" s="675"/>
      <c r="T447" s="675"/>
      <c r="U447" s="675"/>
      <c r="V447" s="675"/>
      <c r="W447" s="675"/>
      <c r="X447" s="675"/>
      <c r="Y447" s="676"/>
      <c r="Z447" s="676"/>
      <c r="AA447" s="676"/>
      <c r="AB447" s="677"/>
    </row>
    <row r="448" spans="2:28" s="780" customFormat="1" hidden="1" x14ac:dyDescent="0.45">
      <c r="B448" s="1692"/>
      <c r="C448" s="1696" t="s">
        <v>332</v>
      </c>
      <c r="D448" s="122" t="s">
        <v>326</v>
      </c>
      <c r="E448" s="678"/>
      <c r="F448" s="678"/>
      <c r="G448" s="678"/>
      <c r="H448" s="678"/>
      <c r="I448" s="678"/>
      <c r="J448" s="678"/>
      <c r="K448" s="678"/>
      <c r="L448" s="678"/>
      <c r="M448" s="678"/>
      <c r="N448" s="678"/>
      <c r="O448" s="678"/>
      <c r="P448" s="678"/>
      <c r="Q448" s="678"/>
      <c r="R448" s="678"/>
      <c r="S448" s="678"/>
      <c r="T448" s="678"/>
      <c r="U448" s="678"/>
      <c r="V448" s="678"/>
      <c r="W448" s="679"/>
      <c r="X448" s="679"/>
      <c r="Y448" s="679"/>
      <c r="Z448" s="679"/>
      <c r="AA448" s="679"/>
      <c r="AB448" s="680"/>
    </row>
    <row r="449" spans="2:28" s="780" customFormat="1" hidden="1" x14ac:dyDescent="0.45">
      <c r="B449" s="1692"/>
      <c r="C449" s="1697"/>
      <c r="D449" s="122" t="s">
        <v>327</v>
      </c>
      <c r="E449" s="678"/>
      <c r="F449" s="678"/>
      <c r="G449" s="678"/>
      <c r="H449" s="678"/>
      <c r="I449" s="678"/>
      <c r="J449" s="678"/>
      <c r="K449" s="678"/>
      <c r="L449" s="678"/>
      <c r="M449" s="678"/>
      <c r="N449" s="678"/>
      <c r="O449" s="678"/>
      <c r="P449" s="678"/>
      <c r="Q449" s="678"/>
      <c r="R449" s="678"/>
      <c r="S449" s="678"/>
      <c r="T449" s="678"/>
      <c r="U449" s="678"/>
      <c r="V449" s="678"/>
      <c r="W449" s="678"/>
      <c r="X449" s="678"/>
      <c r="Y449" s="679"/>
      <c r="Z449" s="679"/>
      <c r="AA449" s="679"/>
      <c r="AB449" s="680"/>
    </row>
    <row r="450" spans="2:28" s="780" customFormat="1" hidden="1" x14ac:dyDescent="0.45">
      <c r="B450" s="1692"/>
      <c r="C450" s="1698" t="s">
        <v>333</v>
      </c>
      <c r="D450" s="124" t="s">
        <v>326</v>
      </c>
      <c r="E450" s="675"/>
      <c r="F450" s="675"/>
      <c r="G450" s="675"/>
      <c r="H450" s="675"/>
      <c r="I450" s="675"/>
      <c r="J450" s="675"/>
      <c r="K450" s="675"/>
      <c r="L450" s="675"/>
      <c r="M450" s="675"/>
      <c r="N450" s="675"/>
      <c r="O450" s="675"/>
      <c r="P450" s="675"/>
      <c r="Q450" s="675"/>
      <c r="R450" s="675"/>
      <c r="S450" s="675"/>
      <c r="T450" s="675"/>
      <c r="U450" s="675"/>
      <c r="V450" s="675"/>
      <c r="W450" s="676"/>
      <c r="X450" s="676"/>
      <c r="Y450" s="676"/>
      <c r="Z450" s="676"/>
      <c r="AA450" s="676"/>
      <c r="AB450" s="677"/>
    </row>
    <row r="451" spans="2:28" s="780" customFormat="1" hidden="1" x14ac:dyDescent="0.45">
      <c r="B451" s="1693"/>
      <c r="C451" s="1699"/>
      <c r="D451" s="126" t="s">
        <v>327</v>
      </c>
      <c r="E451" s="687"/>
      <c r="F451" s="687"/>
      <c r="G451" s="687"/>
      <c r="H451" s="687"/>
      <c r="I451" s="687"/>
      <c r="J451" s="687"/>
      <c r="K451" s="687"/>
      <c r="L451" s="687"/>
      <c r="M451" s="687"/>
      <c r="N451" s="687"/>
      <c r="O451" s="687"/>
      <c r="P451" s="687"/>
      <c r="Q451" s="687"/>
      <c r="R451" s="687"/>
      <c r="S451" s="687"/>
      <c r="T451" s="687"/>
      <c r="U451" s="687"/>
      <c r="V451" s="687"/>
      <c r="W451" s="687"/>
      <c r="X451" s="687"/>
      <c r="Y451" s="687"/>
      <c r="Z451" s="687"/>
      <c r="AA451" s="687"/>
      <c r="AB451" s="688"/>
    </row>
    <row r="452" spans="2:28" s="780" customFormat="1" hidden="1" x14ac:dyDescent="0.45"/>
    <row r="453" spans="2:28" s="780" customFormat="1" hidden="1" x14ac:dyDescent="0.45">
      <c r="B453" s="1688" t="s">
        <v>54</v>
      </c>
      <c r="C453" s="1689"/>
      <c r="D453" s="1690"/>
      <c r="E453" s="779"/>
      <c r="F453" s="779"/>
      <c r="G453" s="779"/>
      <c r="H453" s="779"/>
      <c r="I453" s="779"/>
      <c r="J453" s="779"/>
      <c r="K453" s="779"/>
      <c r="L453" s="779"/>
      <c r="M453" s="779"/>
      <c r="N453" s="779"/>
      <c r="O453" s="779"/>
      <c r="P453" s="779"/>
      <c r="Q453" s="779"/>
      <c r="R453" s="779"/>
      <c r="S453" s="779"/>
      <c r="T453" s="779"/>
      <c r="U453" s="779"/>
      <c r="V453" s="779"/>
      <c r="W453" s="779"/>
      <c r="X453" s="779"/>
      <c r="Y453" s="779"/>
      <c r="Z453" s="779"/>
      <c r="AA453" s="779"/>
      <c r="AB453" s="708"/>
    </row>
    <row r="454" spans="2:28" s="780" customFormat="1" ht="15" hidden="1" customHeight="1" x14ac:dyDescent="0.45">
      <c r="B454" s="1691" t="str">
        <f>CONCATENATE("Plan ", INDEX(plans_index,,(ROW(B454)-6)/16), ": ", INDEX(plans_name,,(ROW(B454)-6)/16))</f>
        <v xml:space="preserve">Plan 28: </v>
      </c>
      <c r="C454" s="1694" t="s">
        <v>325</v>
      </c>
      <c r="D454" s="123" t="s">
        <v>326</v>
      </c>
      <c r="E454" s="672"/>
      <c r="F454" s="672"/>
      <c r="G454" s="672"/>
      <c r="H454" s="673"/>
      <c r="I454" s="672"/>
      <c r="J454" s="672"/>
      <c r="K454" s="672"/>
      <c r="L454" s="672"/>
      <c r="M454" s="672"/>
      <c r="N454" s="672"/>
      <c r="O454" s="672"/>
      <c r="P454" s="672"/>
      <c r="Q454" s="672"/>
      <c r="R454" s="672"/>
      <c r="S454" s="672"/>
      <c r="T454" s="672"/>
      <c r="U454" s="672"/>
      <c r="V454" s="672"/>
      <c r="W454" s="672"/>
      <c r="X454" s="672"/>
      <c r="Y454" s="672"/>
      <c r="Z454" s="672"/>
      <c r="AA454" s="672"/>
      <c r="AB454" s="674"/>
    </row>
    <row r="455" spans="2:28" s="780" customFormat="1" hidden="1" x14ac:dyDescent="0.45">
      <c r="B455" s="1692"/>
      <c r="C455" s="1695"/>
      <c r="D455" s="124" t="s">
        <v>327</v>
      </c>
      <c r="E455" s="675"/>
      <c r="F455" s="675"/>
      <c r="G455" s="675"/>
      <c r="H455" s="675"/>
      <c r="I455" s="675"/>
      <c r="J455" s="675"/>
      <c r="K455" s="675"/>
      <c r="L455" s="675"/>
      <c r="M455" s="675"/>
      <c r="N455" s="675"/>
      <c r="O455" s="675"/>
      <c r="P455" s="675"/>
      <c r="Q455" s="675"/>
      <c r="R455" s="675"/>
      <c r="S455" s="675"/>
      <c r="T455" s="675"/>
      <c r="U455" s="675"/>
      <c r="V455" s="675"/>
      <c r="W455" s="675"/>
      <c r="X455" s="675"/>
      <c r="Y455" s="676"/>
      <c r="Z455" s="676"/>
      <c r="AA455" s="676"/>
      <c r="AB455" s="677"/>
    </row>
    <row r="456" spans="2:28" s="780" customFormat="1" hidden="1" x14ac:dyDescent="0.45">
      <c r="B456" s="1692"/>
      <c r="C456" s="1696" t="s">
        <v>328</v>
      </c>
      <c r="D456" s="122" t="s">
        <v>326</v>
      </c>
      <c r="E456" s="678"/>
      <c r="F456" s="678"/>
      <c r="G456" s="678"/>
      <c r="H456" s="678"/>
      <c r="I456" s="678"/>
      <c r="J456" s="678"/>
      <c r="K456" s="678"/>
      <c r="L456" s="678"/>
      <c r="M456" s="678"/>
      <c r="N456" s="678"/>
      <c r="O456" s="678"/>
      <c r="P456" s="678"/>
      <c r="Q456" s="678"/>
      <c r="R456" s="678"/>
      <c r="S456" s="678"/>
      <c r="T456" s="678"/>
      <c r="U456" s="678"/>
      <c r="V456" s="678"/>
      <c r="W456" s="678"/>
      <c r="X456" s="678"/>
      <c r="Y456" s="679"/>
      <c r="Z456" s="679"/>
      <c r="AA456" s="679"/>
      <c r="AB456" s="680"/>
    </row>
    <row r="457" spans="2:28" s="780" customFormat="1" hidden="1" x14ac:dyDescent="0.45">
      <c r="B457" s="1692"/>
      <c r="C457" s="1697"/>
      <c r="D457" s="122" t="s">
        <v>327</v>
      </c>
      <c r="E457" s="678"/>
      <c r="F457" s="678"/>
      <c r="G457" s="678"/>
      <c r="H457" s="678"/>
      <c r="I457" s="678"/>
      <c r="J457" s="678"/>
      <c r="K457" s="678"/>
      <c r="L457" s="678"/>
      <c r="M457" s="678"/>
      <c r="N457" s="678"/>
      <c r="O457" s="678"/>
      <c r="P457" s="678"/>
      <c r="Q457" s="678"/>
      <c r="R457" s="678"/>
      <c r="S457" s="678"/>
      <c r="T457" s="678"/>
      <c r="U457" s="678"/>
      <c r="V457" s="678"/>
      <c r="W457" s="678"/>
      <c r="X457" s="681"/>
      <c r="Y457" s="679"/>
      <c r="Z457" s="679"/>
      <c r="AA457" s="679"/>
      <c r="AB457" s="680"/>
    </row>
    <row r="458" spans="2:28" s="780" customFormat="1" hidden="1" x14ac:dyDescent="0.45">
      <c r="B458" s="1692"/>
      <c r="C458" s="1698" t="s">
        <v>329</v>
      </c>
      <c r="D458" s="125" t="s">
        <v>326</v>
      </c>
      <c r="E458" s="682"/>
      <c r="F458" s="682"/>
      <c r="G458" s="682"/>
      <c r="H458" s="682"/>
      <c r="I458" s="682"/>
      <c r="J458" s="682"/>
      <c r="K458" s="682"/>
      <c r="L458" s="682"/>
      <c r="M458" s="682"/>
      <c r="N458" s="682"/>
      <c r="O458" s="682"/>
      <c r="P458" s="682"/>
      <c r="Q458" s="682"/>
      <c r="R458" s="682"/>
      <c r="S458" s="682"/>
      <c r="T458" s="682"/>
      <c r="U458" s="682"/>
      <c r="V458" s="682"/>
      <c r="W458" s="682"/>
      <c r="X458" s="682"/>
      <c r="Y458" s="683"/>
      <c r="Z458" s="683"/>
      <c r="AA458" s="683"/>
      <c r="AB458" s="684"/>
    </row>
    <row r="459" spans="2:28" s="780" customFormat="1" hidden="1" x14ac:dyDescent="0.45">
      <c r="B459" s="1692"/>
      <c r="C459" s="1695"/>
      <c r="D459" s="124" t="s">
        <v>327</v>
      </c>
      <c r="E459" s="675"/>
      <c r="F459" s="675"/>
      <c r="G459" s="675"/>
      <c r="H459" s="675"/>
      <c r="I459" s="675"/>
      <c r="J459" s="675"/>
      <c r="K459" s="675"/>
      <c r="L459" s="675"/>
      <c r="M459" s="675"/>
      <c r="N459" s="675"/>
      <c r="O459" s="675"/>
      <c r="P459" s="675"/>
      <c r="Q459" s="675"/>
      <c r="R459" s="675"/>
      <c r="S459" s="675"/>
      <c r="T459" s="675"/>
      <c r="U459" s="675"/>
      <c r="V459" s="675"/>
      <c r="W459" s="675"/>
      <c r="X459" s="675"/>
      <c r="Y459" s="676"/>
      <c r="Z459" s="676"/>
      <c r="AA459" s="676"/>
      <c r="AB459" s="677"/>
    </row>
    <row r="460" spans="2:28" s="780" customFormat="1" hidden="1" x14ac:dyDescent="0.45">
      <c r="B460" s="1692"/>
      <c r="C460" s="1696" t="s">
        <v>330</v>
      </c>
      <c r="D460" s="122" t="s">
        <v>326</v>
      </c>
      <c r="E460" s="678"/>
      <c r="F460" s="678"/>
      <c r="G460" s="678"/>
      <c r="H460" s="678"/>
      <c r="I460" s="678"/>
      <c r="J460" s="678"/>
      <c r="K460" s="678"/>
      <c r="L460" s="678"/>
      <c r="M460" s="678"/>
      <c r="N460" s="678"/>
      <c r="O460" s="678"/>
      <c r="P460" s="678"/>
      <c r="Q460" s="678"/>
      <c r="R460" s="678"/>
      <c r="S460" s="678"/>
      <c r="T460" s="678"/>
      <c r="U460" s="678"/>
      <c r="V460" s="678"/>
      <c r="W460" s="678"/>
      <c r="X460" s="678"/>
      <c r="Y460" s="679"/>
      <c r="Z460" s="679"/>
      <c r="AA460" s="679"/>
      <c r="AB460" s="680"/>
    </row>
    <row r="461" spans="2:28" s="780" customFormat="1" hidden="1" x14ac:dyDescent="0.45">
      <c r="B461" s="1692"/>
      <c r="C461" s="1697"/>
      <c r="D461" s="122" t="s">
        <v>327</v>
      </c>
      <c r="E461" s="678"/>
      <c r="F461" s="678"/>
      <c r="G461" s="678"/>
      <c r="H461" s="678"/>
      <c r="I461" s="678"/>
      <c r="J461" s="678"/>
      <c r="K461" s="678"/>
      <c r="L461" s="678"/>
      <c r="M461" s="678"/>
      <c r="N461" s="678"/>
      <c r="O461" s="678"/>
      <c r="P461" s="678"/>
      <c r="Q461" s="678"/>
      <c r="R461" s="678"/>
      <c r="S461" s="678"/>
      <c r="T461" s="678"/>
      <c r="U461" s="678"/>
      <c r="V461" s="678"/>
      <c r="W461" s="678"/>
      <c r="X461" s="681"/>
      <c r="Y461" s="679"/>
      <c r="Z461" s="679"/>
      <c r="AA461" s="679"/>
      <c r="AB461" s="680"/>
    </row>
    <row r="462" spans="2:28" s="780" customFormat="1" hidden="1" x14ac:dyDescent="0.45">
      <c r="B462" s="1692"/>
      <c r="C462" s="1698" t="s">
        <v>331</v>
      </c>
      <c r="D462" s="125" t="s">
        <v>326</v>
      </c>
      <c r="E462" s="682"/>
      <c r="F462" s="682"/>
      <c r="G462" s="685"/>
      <c r="H462" s="682"/>
      <c r="I462" s="682"/>
      <c r="J462" s="682"/>
      <c r="K462" s="682"/>
      <c r="L462" s="682"/>
      <c r="M462" s="682"/>
      <c r="N462" s="682"/>
      <c r="O462" s="682"/>
      <c r="P462" s="682"/>
      <c r="Q462" s="682"/>
      <c r="R462" s="682"/>
      <c r="S462" s="682"/>
      <c r="T462" s="682"/>
      <c r="U462" s="682"/>
      <c r="V462" s="682"/>
      <c r="W462" s="682"/>
      <c r="X462" s="682"/>
      <c r="Y462" s="683"/>
      <c r="Z462" s="683"/>
      <c r="AA462" s="683"/>
      <c r="AB462" s="684"/>
    </row>
    <row r="463" spans="2:28" s="780" customFormat="1" hidden="1" x14ac:dyDescent="0.45">
      <c r="B463" s="1692"/>
      <c r="C463" s="1695"/>
      <c r="D463" s="124" t="s">
        <v>327</v>
      </c>
      <c r="E463" s="675"/>
      <c r="F463" s="675"/>
      <c r="G463" s="686"/>
      <c r="H463" s="675"/>
      <c r="I463" s="675"/>
      <c r="J463" s="675"/>
      <c r="K463" s="675"/>
      <c r="L463" s="675"/>
      <c r="M463" s="675"/>
      <c r="N463" s="675"/>
      <c r="O463" s="675"/>
      <c r="P463" s="675"/>
      <c r="Q463" s="675"/>
      <c r="R463" s="675"/>
      <c r="S463" s="675"/>
      <c r="T463" s="675"/>
      <c r="U463" s="675"/>
      <c r="V463" s="675"/>
      <c r="W463" s="675"/>
      <c r="X463" s="675"/>
      <c r="Y463" s="676"/>
      <c r="Z463" s="676"/>
      <c r="AA463" s="676"/>
      <c r="AB463" s="677"/>
    </row>
    <row r="464" spans="2:28" s="780" customFormat="1" hidden="1" x14ac:dyDescent="0.45">
      <c r="B464" s="1692"/>
      <c r="C464" s="1696" t="s">
        <v>332</v>
      </c>
      <c r="D464" s="122" t="s">
        <v>326</v>
      </c>
      <c r="E464" s="678"/>
      <c r="F464" s="678"/>
      <c r="G464" s="678"/>
      <c r="H464" s="678"/>
      <c r="I464" s="678"/>
      <c r="J464" s="678"/>
      <c r="K464" s="678"/>
      <c r="L464" s="678"/>
      <c r="M464" s="678"/>
      <c r="N464" s="678"/>
      <c r="O464" s="678"/>
      <c r="P464" s="678"/>
      <c r="Q464" s="678"/>
      <c r="R464" s="678"/>
      <c r="S464" s="678"/>
      <c r="T464" s="678"/>
      <c r="U464" s="678"/>
      <c r="V464" s="678"/>
      <c r="W464" s="679"/>
      <c r="X464" s="679"/>
      <c r="Y464" s="679"/>
      <c r="Z464" s="679"/>
      <c r="AA464" s="679"/>
      <c r="AB464" s="680"/>
    </row>
    <row r="465" spans="2:28" s="780" customFormat="1" hidden="1" x14ac:dyDescent="0.45">
      <c r="B465" s="1692"/>
      <c r="C465" s="1697"/>
      <c r="D465" s="122" t="s">
        <v>327</v>
      </c>
      <c r="E465" s="678"/>
      <c r="F465" s="678"/>
      <c r="G465" s="678"/>
      <c r="H465" s="678"/>
      <c r="I465" s="678"/>
      <c r="J465" s="678"/>
      <c r="K465" s="678"/>
      <c r="L465" s="678"/>
      <c r="M465" s="678"/>
      <c r="N465" s="678"/>
      <c r="O465" s="678"/>
      <c r="P465" s="678"/>
      <c r="Q465" s="678"/>
      <c r="R465" s="678"/>
      <c r="S465" s="678"/>
      <c r="T465" s="678"/>
      <c r="U465" s="678"/>
      <c r="V465" s="678"/>
      <c r="W465" s="678"/>
      <c r="X465" s="678"/>
      <c r="Y465" s="679"/>
      <c r="Z465" s="679"/>
      <c r="AA465" s="679"/>
      <c r="AB465" s="680"/>
    </row>
    <row r="466" spans="2:28" s="780" customFormat="1" hidden="1" x14ac:dyDescent="0.45">
      <c r="B466" s="1692"/>
      <c r="C466" s="1698" t="s">
        <v>333</v>
      </c>
      <c r="D466" s="124" t="s">
        <v>326</v>
      </c>
      <c r="E466" s="675"/>
      <c r="F466" s="675"/>
      <c r="G466" s="675"/>
      <c r="H466" s="675"/>
      <c r="I466" s="675"/>
      <c r="J466" s="675"/>
      <c r="K466" s="675"/>
      <c r="L466" s="675"/>
      <c r="M466" s="675"/>
      <c r="N466" s="675"/>
      <c r="O466" s="675"/>
      <c r="P466" s="675"/>
      <c r="Q466" s="675"/>
      <c r="R466" s="675"/>
      <c r="S466" s="675"/>
      <c r="T466" s="675"/>
      <c r="U466" s="675"/>
      <c r="V466" s="675"/>
      <c r="W466" s="676"/>
      <c r="X466" s="676"/>
      <c r="Y466" s="676"/>
      <c r="Z466" s="676"/>
      <c r="AA466" s="676"/>
      <c r="AB466" s="677"/>
    </row>
    <row r="467" spans="2:28" s="780" customFormat="1" hidden="1" x14ac:dyDescent="0.45">
      <c r="B467" s="1693"/>
      <c r="C467" s="1699"/>
      <c r="D467" s="126" t="s">
        <v>327</v>
      </c>
      <c r="E467" s="687"/>
      <c r="F467" s="687"/>
      <c r="G467" s="687"/>
      <c r="H467" s="687"/>
      <c r="I467" s="687"/>
      <c r="J467" s="687"/>
      <c r="K467" s="687"/>
      <c r="L467" s="687"/>
      <c r="M467" s="687"/>
      <c r="N467" s="687"/>
      <c r="O467" s="687"/>
      <c r="P467" s="687"/>
      <c r="Q467" s="687"/>
      <c r="R467" s="687"/>
      <c r="S467" s="687"/>
      <c r="T467" s="687"/>
      <c r="U467" s="687"/>
      <c r="V467" s="687"/>
      <c r="W467" s="687"/>
      <c r="X467" s="687"/>
      <c r="Y467" s="687"/>
      <c r="Z467" s="687"/>
      <c r="AA467" s="687"/>
      <c r="AB467" s="688"/>
    </row>
    <row r="468" spans="2:28" s="780" customFormat="1" hidden="1" x14ac:dyDescent="0.45"/>
    <row r="469" spans="2:28" s="780" customFormat="1" hidden="1" x14ac:dyDescent="0.45">
      <c r="B469" s="1688" t="s">
        <v>54</v>
      </c>
      <c r="C469" s="1689"/>
      <c r="D469" s="1690"/>
      <c r="E469" s="779"/>
      <c r="F469" s="779"/>
      <c r="G469" s="779"/>
      <c r="H469" s="779"/>
      <c r="I469" s="779"/>
      <c r="J469" s="779"/>
      <c r="K469" s="779"/>
      <c r="L469" s="779"/>
      <c r="M469" s="779"/>
      <c r="N469" s="779"/>
      <c r="O469" s="779"/>
      <c r="P469" s="779"/>
      <c r="Q469" s="779"/>
      <c r="R469" s="779"/>
      <c r="S469" s="779"/>
      <c r="T469" s="779"/>
      <c r="U469" s="779"/>
      <c r="V469" s="779"/>
      <c r="W469" s="779"/>
      <c r="X469" s="779"/>
      <c r="Y469" s="779"/>
      <c r="Z469" s="779"/>
      <c r="AA469" s="779"/>
      <c r="AB469" s="708"/>
    </row>
    <row r="470" spans="2:28" s="780" customFormat="1" ht="15" hidden="1" customHeight="1" x14ac:dyDescent="0.45">
      <c r="B470" s="1691" t="str">
        <f>CONCATENATE("Plan ", INDEX(plans_index,,(ROW(B470)-6)/16), ": ", INDEX(plans_name,,(ROW(B470)-6)/16))</f>
        <v xml:space="preserve">Plan 29: </v>
      </c>
      <c r="C470" s="1694" t="s">
        <v>325</v>
      </c>
      <c r="D470" s="123" t="s">
        <v>326</v>
      </c>
      <c r="E470" s="672"/>
      <c r="F470" s="672"/>
      <c r="G470" s="672"/>
      <c r="H470" s="673"/>
      <c r="I470" s="672"/>
      <c r="J470" s="672"/>
      <c r="K470" s="672"/>
      <c r="L470" s="672"/>
      <c r="M470" s="672"/>
      <c r="N470" s="672"/>
      <c r="O470" s="672"/>
      <c r="P470" s="672"/>
      <c r="Q470" s="672"/>
      <c r="R470" s="672"/>
      <c r="S470" s="672"/>
      <c r="T470" s="672"/>
      <c r="U470" s="672"/>
      <c r="V470" s="672"/>
      <c r="W470" s="672"/>
      <c r="X470" s="672"/>
      <c r="Y470" s="672"/>
      <c r="Z470" s="672"/>
      <c r="AA470" s="672"/>
      <c r="AB470" s="674"/>
    </row>
    <row r="471" spans="2:28" s="780" customFormat="1" hidden="1" x14ac:dyDescent="0.45">
      <c r="B471" s="1692"/>
      <c r="C471" s="1695"/>
      <c r="D471" s="124" t="s">
        <v>327</v>
      </c>
      <c r="E471" s="675"/>
      <c r="F471" s="675"/>
      <c r="G471" s="675"/>
      <c r="H471" s="675"/>
      <c r="I471" s="675"/>
      <c r="J471" s="675"/>
      <c r="K471" s="675"/>
      <c r="L471" s="675"/>
      <c r="M471" s="675"/>
      <c r="N471" s="675"/>
      <c r="O471" s="675"/>
      <c r="P471" s="675"/>
      <c r="Q471" s="675"/>
      <c r="R471" s="675"/>
      <c r="S471" s="675"/>
      <c r="T471" s="675"/>
      <c r="U471" s="675"/>
      <c r="V471" s="675"/>
      <c r="W471" s="675"/>
      <c r="X471" s="675"/>
      <c r="Y471" s="676"/>
      <c r="Z471" s="676"/>
      <c r="AA471" s="676"/>
      <c r="AB471" s="677"/>
    </row>
    <row r="472" spans="2:28" s="780" customFormat="1" hidden="1" x14ac:dyDescent="0.45">
      <c r="B472" s="1692"/>
      <c r="C472" s="1696" t="s">
        <v>328</v>
      </c>
      <c r="D472" s="122" t="s">
        <v>326</v>
      </c>
      <c r="E472" s="678"/>
      <c r="F472" s="678"/>
      <c r="G472" s="678"/>
      <c r="H472" s="678"/>
      <c r="I472" s="678"/>
      <c r="J472" s="678"/>
      <c r="K472" s="678"/>
      <c r="L472" s="678"/>
      <c r="M472" s="678"/>
      <c r="N472" s="678"/>
      <c r="O472" s="678"/>
      <c r="P472" s="678"/>
      <c r="Q472" s="678"/>
      <c r="R472" s="678"/>
      <c r="S472" s="678"/>
      <c r="T472" s="678"/>
      <c r="U472" s="678"/>
      <c r="V472" s="678"/>
      <c r="W472" s="678"/>
      <c r="X472" s="678"/>
      <c r="Y472" s="679"/>
      <c r="Z472" s="679"/>
      <c r="AA472" s="679"/>
      <c r="AB472" s="680"/>
    </row>
    <row r="473" spans="2:28" s="780" customFormat="1" hidden="1" x14ac:dyDescent="0.45">
      <c r="B473" s="1692"/>
      <c r="C473" s="1697"/>
      <c r="D473" s="122" t="s">
        <v>327</v>
      </c>
      <c r="E473" s="678"/>
      <c r="F473" s="678"/>
      <c r="G473" s="678"/>
      <c r="H473" s="678"/>
      <c r="I473" s="678"/>
      <c r="J473" s="678"/>
      <c r="K473" s="678"/>
      <c r="L473" s="678"/>
      <c r="M473" s="678"/>
      <c r="N473" s="678"/>
      <c r="O473" s="678"/>
      <c r="P473" s="678"/>
      <c r="Q473" s="678"/>
      <c r="R473" s="678"/>
      <c r="S473" s="678"/>
      <c r="T473" s="678"/>
      <c r="U473" s="678"/>
      <c r="V473" s="678"/>
      <c r="W473" s="678"/>
      <c r="X473" s="681"/>
      <c r="Y473" s="679"/>
      <c r="Z473" s="679"/>
      <c r="AA473" s="679"/>
      <c r="AB473" s="680"/>
    </row>
    <row r="474" spans="2:28" s="780" customFormat="1" hidden="1" x14ac:dyDescent="0.45">
      <c r="B474" s="1692"/>
      <c r="C474" s="1698" t="s">
        <v>329</v>
      </c>
      <c r="D474" s="125" t="s">
        <v>326</v>
      </c>
      <c r="E474" s="682"/>
      <c r="F474" s="682"/>
      <c r="G474" s="682"/>
      <c r="H474" s="682"/>
      <c r="I474" s="682"/>
      <c r="J474" s="682"/>
      <c r="K474" s="682"/>
      <c r="L474" s="682"/>
      <c r="M474" s="682"/>
      <c r="N474" s="682"/>
      <c r="O474" s="682"/>
      <c r="P474" s="682"/>
      <c r="Q474" s="682"/>
      <c r="R474" s="682"/>
      <c r="S474" s="682"/>
      <c r="T474" s="682"/>
      <c r="U474" s="682"/>
      <c r="V474" s="682"/>
      <c r="W474" s="682"/>
      <c r="X474" s="682"/>
      <c r="Y474" s="683"/>
      <c r="Z474" s="683"/>
      <c r="AA474" s="683"/>
      <c r="AB474" s="684"/>
    </row>
    <row r="475" spans="2:28" s="780" customFormat="1" hidden="1" x14ac:dyDescent="0.45">
      <c r="B475" s="1692"/>
      <c r="C475" s="1695"/>
      <c r="D475" s="124" t="s">
        <v>327</v>
      </c>
      <c r="E475" s="675"/>
      <c r="F475" s="675"/>
      <c r="G475" s="675"/>
      <c r="H475" s="675"/>
      <c r="I475" s="675"/>
      <c r="J475" s="675"/>
      <c r="K475" s="675"/>
      <c r="L475" s="675"/>
      <c r="M475" s="675"/>
      <c r="N475" s="675"/>
      <c r="O475" s="675"/>
      <c r="P475" s="675"/>
      <c r="Q475" s="675"/>
      <c r="R475" s="675"/>
      <c r="S475" s="675"/>
      <c r="T475" s="675"/>
      <c r="U475" s="675"/>
      <c r="V475" s="675"/>
      <c r="W475" s="675"/>
      <c r="X475" s="675"/>
      <c r="Y475" s="676"/>
      <c r="Z475" s="676"/>
      <c r="AA475" s="676"/>
      <c r="AB475" s="677"/>
    </row>
    <row r="476" spans="2:28" s="780" customFormat="1" hidden="1" x14ac:dyDescent="0.45">
      <c r="B476" s="1692"/>
      <c r="C476" s="1696" t="s">
        <v>330</v>
      </c>
      <c r="D476" s="122" t="s">
        <v>326</v>
      </c>
      <c r="E476" s="678"/>
      <c r="F476" s="678"/>
      <c r="G476" s="678"/>
      <c r="H476" s="678"/>
      <c r="I476" s="678"/>
      <c r="J476" s="678"/>
      <c r="K476" s="678"/>
      <c r="L476" s="678"/>
      <c r="M476" s="678"/>
      <c r="N476" s="678"/>
      <c r="O476" s="678"/>
      <c r="P476" s="678"/>
      <c r="Q476" s="678"/>
      <c r="R476" s="678"/>
      <c r="S476" s="678"/>
      <c r="T476" s="678"/>
      <c r="U476" s="678"/>
      <c r="V476" s="678"/>
      <c r="W476" s="678"/>
      <c r="X476" s="678"/>
      <c r="Y476" s="679"/>
      <c r="Z476" s="679"/>
      <c r="AA476" s="679"/>
      <c r="AB476" s="680"/>
    </row>
    <row r="477" spans="2:28" s="780" customFormat="1" hidden="1" x14ac:dyDescent="0.45">
      <c r="B477" s="1692"/>
      <c r="C477" s="1697"/>
      <c r="D477" s="122" t="s">
        <v>327</v>
      </c>
      <c r="E477" s="678"/>
      <c r="F477" s="678"/>
      <c r="G477" s="678"/>
      <c r="H477" s="678"/>
      <c r="I477" s="678"/>
      <c r="J477" s="678"/>
      <c r="K477" s="678"/>
      <c r="L477" s="678"/>
      <c r="M477" s="678"/>
      <c r="N477" s="678"/>
      <c r="O477" s="678"/>
      <c r="P477" s="678"/>
      <c r="Q477" s="678"/>
      <c r="R477" s="678"/>
      <c r="S477" s="678"/>
      <c r="T477" s="678"/>
      <c r="U477" s="678"/>
      <c r="V477" s="678"/>
      <c r="W477" s="678"/>
      <c r="X477" s="681"/>
      <c r="Y477" s="679"/>
      <c r="Z477" s="679"/>
      <c r="AA477" s="679"/>
      <c r="AB477" s="680"/>
    </row>
    <row r="478" spans="2:28" s="780" customFormat="1" hidden="1" x14ac:dyDescent="0.45">
      <c r="B478" s="1692"/>
      <c r="C478" s="1698" t="s">
        <v>331</v>
      </c>
      <c r="D478" s="125" t="s">
        <v>326</v>
      </c>
      <c r="E478" s="682"/>
      <c r="F478" s="682"/>
      <c r="G478" s="685"/>
      <c r="H478" s="682"/>
      <c r="I478" s="682"/>
      <c r="J478" s="682"/>
      <c r="K478" s="682"/>
      <c r="L478" s="682"/>
      <c r="M478" s="682"/>
      <c r="N478" s="682"/>
      <c r="O478" s="682"/>
      <c r="P478" s="682"/>
      <c r="Q478" s="682"/>
      <c r="R478" s="682"/>
      <c r="S478" s="682"/>
      <c r="T478" s="682"/>
      <c r="U478" s="682"/>
      <c r="V478" s="682"/>
      <c r="W478" s="682"/>
      <c r="X478" s="682"/>
      <c r="Y478" s="683"/>
      <c r="Z478" s="683"/>
      <c r="AA478" s="683"/>
      <c r="AB478" s="684"/>
    </row>
    <row r="479" spans="2:28" s="780" customFormat="1" hidden="1" x14ac:dyDescent="0.45">
      <c r="B479" s="1692"/>
      <c r="C479" s="1695"/>
      <c r="D479" s="124" t="s">
        <v>327</v>
      </c>
      <c r="E479" s="675"/>
      <c r="F479" s="675"/>
      <c r="G479" s="686"/>
      <c r="H479" s="675"/>
      <c r="I479" s="675"/>
      <c r="J479" s="675"/>
      <c r="K479" s="675"/>
      <c r="L479" s="675"/>
      <c r="M479" s="675"/>
      <c r="N479" s="675"/>
      <c r="O479" s="675"/>
      <c r="P479" s="675"/>
      <c r="Q479" s="675"/>
      <c r="R479" s="675"/>
      <c r="S479" s="675"/>
      <c r="T479" s="675"/>
      <c r="U479" s="675"/>
      <c r="V479" s="675"/>
      <c r="W479" s="675"/>
      <c r="X479" s="675"/>
      <c r="Y479" s="676"/>
      <c r="Z479" s="676"/>
      <c r="AA479" s="676"/>
      <c r="AB479" s="677"/>
    </row>
    <row r="480" spans="2:28" s="780" customFormat="1" hidden="1" x14ac:dyDescent="0.45">
      <c r="B480" s="1692"/>
      <c r="C480" s="1696" t="s">
        <v>332</v>
      </c>
      <c r="D480" s="122" t="s">
        <v>326</v>
      </c>
      <c r="E480" s="678"/>
      <c r="F480" s="678"/>
      <c r="G480" s="678"/>
      <c r="H480" s="678"/>
      <c r="I480" s="678"/>
      <c r="J480" s="678"/>
      <c r="K480" s="678"/>
      <c r="L480" s="678"/>
      <c r="M480" s="678"/>
      <c r="N480" s="678"/>
      <c r="O480" s="678"/>
      <c r="P480" s="678"/>
      <c r="Q480" s="678"/>
      <c r="R480" s="678"/>
      <c r="S480" s="678"/>
      <c r="T480" s="678"/>
      <c r="U480" s="678"/>
      <c r="V480" s="678"/>
      <c r="W480" s="679"/>
      <c r="X480" s="679"/>
      <c r="Y480" s="679"/>
      <c r="Z480" s="679"/>
      <c r="AA480" s="679"/>
      <c r="AB480" s="680"/>
    </row>
    <row r="481" spans="2:28" s="780" customFormat="1" hidden="1" x14ac:dyDescent="0.45">
      <c r="B481" s="1692"/>
      <c r="C481" s="1697"/>
      <c r="D481" s="122" t="s">
        <v>327</v>
      </c>
      <c r="E481" s="678"/>
      <c r="F481" s="678"/>
      <c r="G481" s="678"/>
      <c r="H481" s="678"/>
      <c r="I481" s="678"/>
      <c r="J481" s="678"/>
      <c r="K481" s="678"/>
      <c r="L481" s="678"/>
      <c r="M481" s="678"/>
      <c r="N481" s="678"/>
      <c r="O481" s="678"/>
      <c r="P481" s="678"/>
      <c r="Q481" s="678"/>
      <c r="R481" s="678"/>
      <c r="S481" s="678"/>
      <c r="T481" s="678"/>
      <c r="U481" s="678"/>
      <c r="V481" s="678"/>
      <c r="W481" s="678"/>
      <c r="X481" s="678"/>
      <c r="Y481" s="679"/>
      <c r="Z481" s="679"/>
      <c r="AA481" s="679"/>
      <c r="AB481" s="680"/>
    </row>
    <row r="482" spans="2:28" s="780" customFormat="1" hidden="1" x14ac:dyDescent="0.45">
      <c r="B482" s="1692"/>
      <c r="C482" s="1698" t="s">
        <v>333</v>
      </c>
      <c r="D482" s="124" t="s">
        <v>326</v>
      </c>
      <c r="E482" s="675"/>
      <c r="F482" s="675"/>
      <c r="G482" s="675"/>
      <c r="H482" s="675"/>
      <c r="I482" s="675"/>
      <c r="J482" s="675"/>
      <c r="K482" s="675"/>
      <c r="L482" s="675"/>
      <c r="M482" s="675"/>
      <c r="N482" s="675"/>
      <c r="O482" s="675"/>
      <c r="P482" s="675"/>
      <c r="Q482" s="675"/>
      <c r="R482" s="675"/>
      <c r="S482" s="675"/>
      <c r="T482" s="675"/>
      <c r="U482" s="675"/>
      <c r="V482" s="675"/>
      <c r="W482" s="676"/>
      <c r="X482" s="676"/>
      <c r="Y482" s="676"/>
      <c r="Z482" s="676"/>
      <c r="AA482" s="676"/>
      <c r="AB482" s="677"/>
    </row>
    <row r="483" spans="2:28" s="780" customFormat="1" hidden="1" x14ac:dyDescent="0.45">
      <c r="B483" s="1693"/>
      <c r="C483" s="1699"/>
      <c r="D483" s="126" t="s">
        <v>327</v>
      </c>
      <c r="E483" s="687"/>
      <c r="F483" s="687"/>
      <c r="G483" s="687"/>
      <c r="H483" s="687"/>
      <c r="I483" s="687"/>
      <c r="J483" s="687"/>
      <c r="K483" s="687"/>
      <c r="L483" s="687"/>
      <c r="M483" s="687"/>
      <c r="N483" s="687"/>
      <c r="O483" s="687"/>
      <c r="P483" s="687"/>
      <c r="Q483" s="687"/>
      <c r="R483" s="687"/>
      <c r="S483" s="687"/>
      <c r="T483" s="687"/>
      <c r="U483" s="687"/>
      <c r="V483" s="687"/>
      <c r="W483" s="687"/>
      <c r="X483" s="687"/>
      <c r="Y483" s="687"/>
      <c r="Z483" s="687"/>
      <c r="AA483" s="687"/>
      <c r="AB483" s="688"/>
    </row>
    <row r="484" spans="2:28" s="780" customFormat="1" hidden="1" x14ac:dyDescent="0.45"/>
    <row r="485" spans="2:28" s="780" customFormat="1" hidden="1" x14ac:dyDescent="0.45">
      <c r="B485" s="1688" t="s">
        <v>54</v>
      </c>
      <c r="C485" s="1689"/>
      <c r="D485" s="1690"/>
      <c r="E485" s="779"/>
      <c r="F485" s="779"/>
      <c r="G485" s="779"/>
      <c r="H485" s="779"/>
      <c r="I485" s="779"/>
      <c r="J485" s="779"/>
      <c r="K485" s="779"/>
      <c r="L485" s="779"/>
      <c r="M485" s="779"/>
      <c r="N485" s="779"/>
      <c r="O485" s="779"/>
      <c r="P485" s="779"/>
      <c r="Q485" s="779"/>
      <c r="R485" s="779"/>
      <c r="S485" s="779"/>
      <c r="T485" s="779"/>
      <c r="U485" s="779"/>
      <c r="V485" s="779"/>
      <c r="W485" s="779"/>
      <c r="X485" s="779"/>
      <c r="Y485" s="779"/>
      <c r="Z485" s="779"/>
      <c r="AA485" s="779"/>
      <c r="AB485" s="708"/>
    </row>
    <row r="486" spans="2:28" s="780" customFormat="1" ht="15" hidden="1" customHeight="1" x14ac:dyDescent="0.45">
      <c r="B486" s="1691" t="str">
        <f>CONCATENATE("Plan ", INDEX(plans_index,,(ROW(B486)-6)/16), ": ", INDEX(plans_name,,(ROW(B486)-6)/16))</f>
        <v xml:space="preserve">Plan 30: </v>
      </c>
      <c r="C486" s="1694" t="s">
        <v>325</v>
      </c>
      <c r="D486" s="123" t="s">
        <v>326</v>
      </c>
      <c r="E486" s="672"/>
      <c r="F486" s="672"/>
      <c r="G486" s="672"/>
      <c r="H486" s="673"/>
      <c r="I486" s="672"/>
      <c r="J486" s="672"/>
      <c r="K486" s="672"/>
      <c r="L486" s="672"/>
      <c r="M486" s="672"/>
      <c r="N486" s="672"/>
      <c r="O486" s="672"/>
      <c r="P486" s="672"/>
      <c r="Q486" s="672"/>
      <c r="R486" s="672"/>
      <c r="S486" s="672"/>
      <c r="T486" s="672"/>
      <c r="U486" s="672"/>
      <c r="V486" s="672"/>
      <c r="W486" s="672"/>
      <c r="X486" s="672"/>
      <c r="Y486" s="672"/>
      <c r="Z486" s="672"/>
      <c r="AA486" s="672"/>
      <c r="AB486" s="674"/>
    </row>
    <row r="487" spans="2:28" s="780" customFormat="1" hidden="1" x14ac:dyDescent="0.45">
      <c r="B487" s="1692"/>
      <c r="C487" s="1695"/>
      <c r="D487" s="124" t="s">
        <v>327</v>
      </c>
      <c r="E487" s="675"/>
      <c r="F487" s="675"/>
      <c r="G487" s="675"/>
      <c r="H487" s="675"/>
      <c r="I487" s="675"/>
      <c r="J487" s="675"/>
      <c r="K487" s="675"/>
      <c r="L487" s="675"/>
      <c r="M487" s="675"/>
      <c r="N487" s="675"/>
      <c r="O487" s="675"/>
      <c r="P487" s="675"/>
      <c r="Q487" s="675"/>
      <c r="R487" s="675"/>
      <c r="S487" s="675"/>
      <c r="T487" s="675"/>
      <c r="U487" s="675"/>
      <c r="V487" s="675"/>
      <c r="W487" s="675"/>
      <c r="X487" s="675"/>
      <c r="Y487" s="676"/>
      <c r="Z487" s="676"/>
      <c r="AA487" s="676"/>
      <c r="AB487" s="677"/>
    </row>
    <row r="488" spans="2:28" s="780" customFormat="1" hidden="1" x14ac:dyDescent="0.45">
      <c r="B488" s="1692"/>
      <c r="C488" s="1696" t="s">
        <v>328</v>
      </c>
      <c r="D488" s="122" t="s">
        <v>326</v>
      </c>
      <c r="E488" s="678"/>
      <c r="F488" s="678"/>
      <c r="G488" s="678"/>
      <c r="H488" s="678"/>
      <c r="I488" s="678"/>
      <c r="J488" s="678"/>
      <c r="K488" s="678"/>
      <c r="L488" s="678"/>
      <c r="M488" s="678"/>
      <c r="N488" s="678"/>
      <c r="O488" s="678"/>
      <c r="P488" s="678"/>
      <c r="Q488" s="678"/>
      <c r="R488" s="678"/>
      <c r="S488" s="678"/>
      <c r="T488" s="678"/>
      <c r="U488" s="678"/>
      <c r="V488" s="678"/>
      <c r="W488" s="678"/>
      <c r="X488" s="678"/>
      <c r="Y488" s="679"/>
      <c r="Z488" s="679"/>
      <c r="AA488" s="679"/>
      <c r="AB488" s="680"/>
    </row>
    <row r="489" spans="2:28" s="780" customFormat="1" hidden="1" x14ac:dyDescent="0.45">
      <c r="B489" s="1692"/>
      <c r="C489" s="1697"/>
      <c r="D489" s="122" t="s">
        <v>327</v>
      </c>
      <c r="E489" s="678"/>
      <c r="F489" s="678"/>
      <c r="G489" s="678"/>
      <c r="H489" s="678"/>
      <c r="I489" s="678"/>
      <c r="J489" s="678"/>
      <c r="K489" s="678"/>
      <c r="L489" s="678"/>
      <c r="M489" s="678"/>
      <c r="N489" s="678"/>
      <c r="O489" s="678"/>
      <c r="P489" s="678"/>
      <c r="Q489" s="678"/>
      <c r="R489" s="678"/>
      <c r="S489" s="678"/>
      <c r="T489" s="678"/>
      <c r="U489" s="678"/>
      <c r="V489" s="678"/>
      <c r="W489" s="678"/>
      <c r="X489" s="681"/>
      <c r="Y489" s="679"/>
      <c r="Z489" s="679"/>
      <c r="AA489" s="679"/>
      <c r="AB489" s="680"/>
    </row>
    <row r="490" spans="2:28" s="780" customFormat="1" hidden="1" x14ac:dyDescent="0.45">
      <c r="B490" s="1692"/>
      <c r="C490" s="1698" t="s">
        <v>329</v>
      </c>
      <c r="D490" s="125" t="s">
        <v>326</v>
      </c>
      <c r="E490" s="682"/>
      <c r="F490" s="682"/>
      <c r="G490" s="682"/>
      <c r="H490" s="682"/>
      <c r="I490" s="682"/>
      <c r="J490" s="682"/>
      <c r="K490" s="682"/>
      <c r="L490" s="682"/>
      <c r="M490" s="682"/>
      <c r="N490" s="682"/>
      <c r="O490" s="682"/>
      <c r="P490" s="682"/>
      <c r="Q490" s="682"/>
      <c r="R490" s="682"/>
      <c r="S490" s="682"/>
      <c r="T490" s="682"/>
      <c r="U490" s="682"/>
      <c r="V490" s="682"/>
      <c r="W490" s="682"/>
      <c r="X490" s="682"/>
      <c r="Y490" s="683"/>
      <c r="Z490" s="683"/>
      <c r="AA490" s="683"/>
      <c r="AB490" s="684"/>
    </row>
    <row r="491" spans="2:28" s="780" customFormat="1" hidden="1" x14ac:dyDescent="0.45">
      <c r="B491" s="1692"/>
      <c r="C491" s="1695"/>
      <c r="D491" s="124" t="s">
        <v>327</v>
      </c>
      <c r="E491" s="675"/>
      <c r="F491" s="675"/>
      <c r="G491" s="675"/>
      <c r="H491" s="675"/>
      <c r="I491" s="675"/>
      <c r="J491" s="675"/>
      <c r="K491" s="675"/>
      <c r="L491" s="675"/>
      <c r="M491" s="675"/>
      <c r="N491" s="675"/>
      <c r="O491" s="675"/>
      <c r="P491" s="675"/>
      <c r="Q491" s="675"/>
      <c r="R491" s="675"/>
      <c r="S491" s="675"/>
      <c r="T491" s="675"/>
      <c r="U491" s="675"/>
      <c r="V491" s="675"/>
      <c r="W491" s="675"/>
      <c r="X491" s="675"/>
      <c r="Y491" s="676"/>
      <c r="Z491" s="676"/>
      <c r="AA491" s="676"/>
      <c r="AB491" s="677"/>
    </row>
    <row r="492" spans="2:28" s="780" customFormat="1" hidden="1" x14ac:dyDescent="0.45">
      <c r="B492" s="1692"/>
      <c r="C492" s="1696" t="s">
        <v>330</v>
      </c>
      <c r="D492" s="122" t="s">
        <v>326</v>
      </c>
      <c r="E492" s="678"/>
      <c r="F492" s="678"/>
      <c r="G492" s="678"/>
      <c r="H492" s="678"/>
      <c r="I492" s="678"/>
      <c r="J492" s="678"/>
      <c r="K492" s="678"/>
      <c r="L492" s="678"/>
      <c r="M492" s="678"/>
      <c r="N492" s="678"/>
      <c r="O492" s="678"/>
      <c r="P492" s="678"/>
      <c r="Q492" s="678"/>
      <c r="R492" s="678"/>
      <c r="S492" s="678"/>
      <c r="T492" s="678"/>
      <c r="U492" s="678"/>
      <c r="V492" s="678"/>
      <c r="W492" s="678"/>
      <c r="X492" s="678"/>
      <c r="Y492" s="679"/>
      <c r="Z492" s="679"/>
      <c r="AA492" s="679"/>
      <c r="AB492" s="680"/>
    </row>
    <row r="493" spans="2:28" s="780" customFormat="1" hidden="1" x14ac:dyDescent="0.45">
      <c r="B493" s="1692"/>
      <c r="C493" s="1697"/>
      <c r="D493" s="122" t="s">
        <v>327</v>
      </c>
      <c r="E493" s="678"/>
      <c r="F493" s="678"/>
      <c r="G493" s="678"/>
      <c r="H493" s="678"/>
      <c r="I493" s="678"/>
      <c r="J493" s="678"/>
      <c r="K493" s="678"/>
      <c r="L493" s="678"/>
      <c r="M493" s="678"/>
      <c r="N493" s="678"/>
      <c r="O493" s="678"/>
      <c r="P493" s="678"/>
      <c r="Q493" s="678"/>
      <c r="R493" s="678"/>
      <c r="S493" s="678"/>
      <c r="T493" s="678"/>
      <c r="U493" s="678"/>
      <c r="V493" s="678"/>
      <c r="W493" s="678"/>
      <c r="X493" s="681"/>
      <c r="Y493" s="679"/>
      <c r="Z493" s="679"/>
      <c r="AA493" s="679"/>
      <c r="AB493" s="680"/>
    </row>
    <row r="494" spans="2:28" s="780" customFormat="1" hidden="1" x14ac:dyDescent="0.45">
      <c r="B494" s="1692"/>
      <c r="C494" s="1698" t="s">
        <v>331</v>
      </c>
      <c r="D494" s="125" t="s">
        <v>326</v>
      </c>
      <c r="E494" s="682"/>
      <c r="F494" s="682"/>
      <c r="G494" s="685"/>
      <c r="H494" s="682"/>
      <c r="I494" s="682"/>
      <c r="J494" s="682"/>
      <c r="K494" s="682"/>
      <c r="L494" s="682"/>
      <c r="M494" s="682"/>
      <c r="N494" s="682"/>
      <c r="O494" s="682"/>
      <c r="P494" s="682"/>
      <c r="Q494" s="682"/>
      <c r="R494" s="682"/>
      <c r="S494" s="682"/>
      <c r="T494" s="682"/>
      <c r="U494" s="682"/>
      <c r="V494" s="682"/>
      <c r="W494" s="682"/>
      <c r="X494" s="682"/>
      <c r="Y494" s="683"/>
      <c r="Z494" s="683"/>
      <c r="AA494" s="683"/>
      <c r="AB494" s="684"/>
    </row>
    <row r="495" spans="2:28" s="780" customFormat="1" hidden="1" x14ac:dyDescent="0.45">
      <c r="B495" s="1692"/>
      <c r="C495" s="1695"/>
      <c r="D495" s="124" t="s">
        <v>327</v>
      </c>
      <c r="E495" s="675"/>
      <c r="F495" s="675"/>
      <c r="G495" s="686"/>
      <c r="H495" s="675"/>
      <c r="I495" s="675"/>
      <c r="J495" s="675"/>
      <c r="K495" s="675"/>
      <c r="L495" s="675"/>
      <c r="M495" s="675"/>
      <c r="N495" s="675"/>
      <c r="O495" s="675"/>
      <c r="P495" s="675"/>
      <c r="Q495" s="675"/>
      <c r="R495" s="675"/>
      <c r="S495" s="675"/>
      <c r="T495" s="675"/>
      <c r="U495" s="675"/>
      <c r="V495" s="675"/>
      <c r="W495" s="675"/>
      <c r="X495" s="675"/>
      <c r="Y495" s="676"/>
      <c r="Z495" s="676"/>
      <c r="AA495" s="676"/>
      <c r="AB495" s="677"/>
    </row>
    <row r="496" spans="2:28" s="780" customFormat="1" hidden="1" x14ac:dyDescent="0.45">
      <c r="B496" s="1692"/>
      <c r="C496" s="1696" t="s">
        <v>332</v>
      </c>
      <c r="D496" s="122" t="s">
        <v>326</v>
      </c>
      <c r="E496" s="678"/>
      <c r="F496" s="678"/>
      <c r="G496" s="678"/>
      <c r="H496" s="678"/>
      <c r="I496" s="678"/>
      <c r="J496" s="678"/>
      <c r="K496" s="678"/>
      <c r="L496" s="678"/>
      <c r="M496" s="678"/>
      <c r="N496" s="678"/>
      <c r="O496" s="678"/>
      <c r="P496" s="678"/>
      <c r="Q496" s="678"/>
      <c r="R496" s="678"/>
      <c r="S496" s="678"/>
      <c r="T496" s="678"/>
      <c r="U496" s="678"/>
      <c r="V496" s="678"/>
      <c r="W496" s="679"/>
      <c r="X496" s="679"/>
      <c r="Y496" s="679"/>
      <c r="Z496" s="679"/>
      <c r="AA496" s="679"/>
      <c r="AB496" s="680"/>
    </row>
    <row r="497" spans="2:28" s="780" customFormat="1" hidden="1" x14ac:dyDescent="0.45">
      <c r="B497" s="1692"/>
      <c r="C497" s="1697"/>
      <c r="D497" s="122" t="s">
        <v>327</v>
      </c>
      <c r="E497" s="678"/>
      <c r="F497" s="678"/>
      <c r="G497" s="678"/>
      <c r="H497" s="678"/>
      <c r="I497" s="678"/>
      <c r="J497" s="678"/>
      <c r="K497" s="678"/>
      <c r="L497" s="678"/>
      <c r="M497" s="678"/>
      <c r="N497" s="678"/>
      <c r="O497" s="678"/>
      <c r="P497" s="678"/>
      <c r="Q497" s="678"/>
      <c r="R497" s="678"/>
      <c r="S497" s="678"/>
      <c r="T497" s="678"/>
      <c r="U497" s="678"/>
      <c r="V497" s="678"/>
      <c r="W497" s="678"/>
      <c r="X497" s="678"/>
      <c r="Y497" s="679"/>
      <c r="Z497" s="679"/>
      <c r="AA497" s="679"/>
      <c r="AB497" s="680"/>
    </row>
    <row r="498" spans="2:28" s="780" customFormat="1" hidden="1" x14ac:dyDescent="0.45">
      <c r="B498" s="1692"/>
      <c r="C498" s="1698" t="s">
        <v>333</v>
      </c>
      <c r="D498" s="124" t="s">
        <v>326</v>
      </c>
      <c r="E498" s="675"/>
      <c r="F498" s="675"/>
      <c r="G498" s="675"/>
      <c r="H498" s="675"/>
      <c r="I498" s="675"/>
      <c r="J498" s="675"/>
      <c r="K498" s="675"/>
      <c r="L498" s="675"/>
      <c r="M498" s="675"/>
      <c r="N498" s="675"/>
      <c r="O498" s="675"/>
      <c r="P498" s="675"/>
      <c r="Q498" s="675"/>
      <c r="R498" s="675"/>
      <c r="S498" s="675"/>
      <c r="T498" s="675"/>
      <c r="U498" s="675"/>
      <c r="V498" s="675"/>
      <c r="W498" s="676"/>
      <c r="X498" s="676"/>
      <c r="Y498" s="676"/>
      <c r="Z498" s="676"/>
      <c r="AA498" s="676"/>
      <c r="AB498" s="677"/>
    </row>
    <row r="499" spans="2:28" s="780" customFormat="1" hidden="1" x14ac:dyDescent="0.45">
      <c r="B499" s="1693"/>
      <c r="C499" s="1699"/>
      <c r="D499" s="126" t="s">
        <v>327</v>
      </c>
      <c r="E499" s="687"/>
      <c r="F499" s="687"/>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8"/>
    </row>
    <row r="500" spans="2:28" s="780" customFormat="1" hidden="1" x14ac:dyDescent="0.45"/>
    <row r="501" spans="2:28" s="780" customFormat="1" hidden="1" x14ac:dyDescent="0.45">
      <c r="B501" s="1688" t="s">
        <v>54</v>
      </c>
      <c r="C501" s="1689"/>
      <c r="D501" s="1690"/>
      <c r="E501" s="779"/>
      <c r="F501" s="779"/>
      <c r="G501" s="779"/>
      <c r="H501" s="779"/>
      <c r="I501" s="779"/>
      <c r="J501" s="779"/>
      <c r="K501" s="779"/>
      <c r="L501" s="779"/>
      <c r="M501" s="779"/>
      <c r="N501" s="779"/>
      <c r="O501" s="779"/>
      <c r="P501" s="779"/>
      <c r="Q501" s="779"/>
      <c r="R501" s="779"/>
      <c r="S501" s="779"/>
      <c r="T501" s="779"/>
      <c r="U501" s="779"/>
      <c r="V501" s="779"/>
      <c r="W501" s="779"/>
      <c r="X501" s="779"/>
      <c r="Y501" s="779"/>
      <c r="Z501" s="779"/>
      <c r="AA501" s="779"/>
      <c r="AB501" s="708"/>
    </row>
    <row r="502" spans="2:28" s="780" customFormat="1" ht="15" hidden="1" customHeight="1" x14ac:dyDescent="0.45">
      <c r="B502" s="1691" t="str">
        <f>CONCATENATE("Plan ", INDEX(plans_index,,(ROW(B502)-6)/16), ": ", INDEX(plans_name,,(ROW(B502)-6)/16))</f>
        <v xml:space="preserve">Plan 31: </v>
      </c>
      <c r="C502" s="1694" t="s">
        <v>325</v>
      </c>
      <c r="D502" s="123" t="s">
        <v>326</v>
      </c>
      <c r="E502" s="672"/>
      <c r="F502" s="672"/>
      <c r="G502" s="672"/>
      <c r="H502" s="673"/>
      <c r="I502" s="672"/>
      <c r="J502" s="672"/>
      <c r="K502" s="672"/>
      <c r="L502" s="672"/>
      <c r="M502" s="672"/>
      <c r="N502" s="672"/>
      <c r="O502" s="672"/>
      <c r="P502" s="672"/>
      <c r="Q502" s="672"/>
      <c r="R502" s="672"/>
      <c r="S502" s="672"/>
      <c r="T502" s="672"/>
      <c r="U502" s="672"/>
      <c r="V502" s="672"/>
      <c r="W502" s="672"/>
      <c r="X502" s="672"/>
      <c r="Y502" s="672"/>
      <c r="Z502" s="672"/>
      <c r="AA502" s="672"/>
      <c r="AB502" s="674"/>
    </row>
    <row r="503" spans="2:28" s="780" customFormat="1" hidden="1" x14ac:dyDescent="0.45">
      <c r="B503" s="1692"/>
      <c r="C503" s="1695"/>
      <c r="D503" s="124" t="s">
        <v>327</v>
      </c>
      <c r="E503" s="675"/>
      <c r="F503" s="675"/>
      <c r="G503" s="675"/>
      <c r="H503" s="675"/>
      <c r="I503" s="675"/>
      <c r="J503" s="675"/>
      <c r="K503" s="675"/>
      <c r="L503" s="675"/>
      <c r="M503" s="675"/>
      <c r="N503" s="675"/>
      <c r="O503" s="675"/>
      <c r="P503" s="675"/>
      <c r="Q503" s="675"/>
      <c r="R503" s="675"/>
      <c r="S503" s="675"/>
      <c r="T503" s="675"/>
      <c r="U503" s="675"/>
      <c r="V503" s="675"/>
      <c r="W503" s="675"/>
      <c r="X503" s="675"/>
      <c r="Y503" s="676"/>
      <c r="Z503" s="676"/>
      <c r="AA503" s="676"/>
      <c r="AB503" s="677"/>
    </row>
    <row r="504" spans="2:28" s="780" customFormat="1" hidden="1" x14ac:dyDescent="0.45">
      <c r="B504" s="1692"/>
      <c r="C504" s="1696" t="s">
        <v>328</v>
      </c>
      <c r="D504" s="122" t="s">
        <v>326</v>
      </c>
      <c r="E504" s="678"/>
      <c r="F504" s="678"/>
      <c r="G504" s="678"/>
      <c r="H504" s="678"/>
      <c r="I504" s="678"/>
      <c r="J504" s="678"/>
      <c r="K504" s="678"/>
      <c r="L504" s="678"/>
      <c r="M504" s="678"/>
      <c r="N504" s="678"/>
      <c r="O504" s="678"/>
      <c r="P504" s="678"/>
      <c r="Q504" s="678"/>
      <c r="R504" s="678"/>
      <c r="S504" s="678"/>
      <c r="T504" s="678"/>
      <c r="U504" s="678"/>
      <c r="V504" s="678"/>
      <c r="W504" s="678"/>
      <c r="X504" s="678"/>
      <c r="Y504" s="679"/>
      <c r="Z504" s="679"/>
      <c r="AA504" s="679"/>
      <c r="AB504" s="680"/>
    </row>
    <row r="505" spans="2:28" s="780" customFormat="1" hidden="1" x14ac:dyDescent="0.45">
      <c r="B505" s="1692"/>
      <c r="C505" s="1697"/>
      <c r="D505" s="122" t="s">
        <v>327</v>
      </c>
      <c r="E505" s="678"/>
      <c r="F505" s="678"/>
      <c r="G505" s="678"/>
      <c r="H505" s="678"/>
      <c r="I505" s="678"/>
      <c r="J505" s="678"/>
      <c r="K505" s="678"/>
      <c r="L505" s="678"/>
      <c r="M505" s="678"/>
      <c r="N505" s="678"/>
      <c r="O505" s="678"/>
      <c r="P505" s="678"/>
      <c r="Q505" s="678"/>
      <c r="R505" s="678"/>
      <c r="S505" s="678"/>
      <c r="T505" s="678"/>
      <c r="U505" s="678"/>
      <c r="V505" s="678"/>
      <c r="W505" s="678"/>
      <c r="X505" s="681"/>
      <c r="Y505" s="679"/>
      <c r="Z505" s="679"/>
      <c r="AA505" s="679"/>
      <c r="AB505" s="680"/>
    </row>
    <row r="506" spans="2:28" s="780" customFormat="1" hidden="1" x14ac:dyDescent="0.45">
      <c r="B506" s="1692"/>
      <c r="C506" s="1698" t="s">
        <v>329</v>
      </c>
      <c r="D506" s="125" t="s">
        <v>326</v>
      </c>
      <c r="E506" s="682"/>
      <c r="F506" s="682"/>
      <c r="G506" s="682"/>
      <c r="H506" s="682"/>
      <c r="I506" s="682"/>
      <c r="J506" s="682"/>
      <c r="K506" s="682"/>
      <c r="L506" s="682"/>
      <c r="M506" s="682"/>
      <c r="N506" s="682"/>
      <c r="O506" s="682"/>
      <c r="P506" s="682"/>
      <c r="Q506" s="682"/>
      <c r="R506" s="682"/>
      <c r="S506" s="682"/>
      <c r="T506" s="682"/>
      <c r="U506" s="682"/>
      <c r="V506" s="682"/>
      <c r="W506" s="682"/>
      <c r="X506" s="682"/>
      <c r="Y506" s="683"/>
      <c r="Z506" s="683"/>
      <c r="AA506" s="683"/>
      <c r="AB506" s="684"/>
    </row>
    <row r="507" spans="2:28" s="780" customFormat="1" hidden="1" x14ac:dyDescent="0.45">
      <c r="B507" s="1692"/>
      <c r="C507" s="1695"/>
      <c r="D507" s="124" t="s">
        <v>327</v>
      </c>
      <c r="E507" s="675"/>
      <c r="F507" s="675"/>
      <c r="G507" s="675"/>
      <c r="H507" s="675"/>
      <c r="I507" s="675"/>
      <c r="J507" s="675"/>
      <c r="K507" s="675"/>
      <c r="L507" s="675"/>
      <c r="M507" s="675"/>
      <c r="N507" s="675"/>
      <c r="O507" s="675"/>
      <c r="P507" s="675"/>
      <c r="Q507" s="675"/>
      <c r="R507" s="675"/>
      <c r="S507" s="675"/>
      <c r="T507" s="675"/>
      <c r="U507" s="675"/>
      <c r="V507" s="675"/>
      <c r="W507" s="675"/>
      <c r="X507" s="675"/>
      <c r="Y507" s="676"/>
      <c r="Z507" s="676"/>
      <c r="AA507" s="676"/>
      <c r="AB507" s="677"/>
    </row>
    <row r="508" spans="2:28" s="780" customFormat="1" hidden="1" x14ac:dyDescent="0.45">
      <c r="B508" s="1692"/>
      <c r="C508" s="1696" t="s">
        <v>330</v>
      </c>
      <c r="D508" s="122" t="s">
        <v>326</v>
      </c>
      <c r="E508" s="678"/>
      <c r="F508" s="678"/>
      <c r="G508" s="678"/>
      <c r="H508" s="678"/>
      <c r="I508" s="678"/>
      <c r="J508" s="678"/>
      <c r="K508" s="678"/>
      <c r="L508" s="678"/>
      <c r="M508" s="678"/>
      <c r="N508" s="678"/>
      <c r="O508" s="678"/>
      <c r="P508" s="678"/>
      <c r="Q508" s="678"/>
      <c r="R508" s="678"/>
      <c r="S508" s="678"/>
      <c r="T508" s="678"/>
      <c r="U508" s="678"/>
      <c r="V508" s="678"/>
      <c r="W508" s="678"/>
      <c r="X508" s="678"/>
      <c r="Y508" s="679"/>
      <c r="Z508" s="679"/>
      <c r="AA508" s="679"/>
      <c r="AB508" s="680"/>
    </row>
    <row r="509" spans="2:28" s="780" customFormat="1" hidden="1" x14ac:dyDescent="0.45">
      <c r="B509" s="1692"/>
      <c r="C509" s="1697"/>
      <c r="D509" s="122" t="s">
        <v>327</v>
      </c>
      <c r="E509" s="678"/>
      <c r="F509" s="678"/>
      <c r="G509" s="678"/>
      <c r="H509" s="678"/>
      <c r="I509" s="678"/>
      <c r="J509" s="678"/>
      <c r="K509" s="678"/>
      <c r="L509" s="678"/>
      <c r="M509" s="678"/>
      <c r="N509" s="678"/>
      <c r="O509" s="678"/>
      <c r="P509" s="678"/>
      <c r="Q509" s="678"/>
      <c r="R509" s="678"/>
      <c r="S509" s="678"/>
      <c r="T509" s="678"/>
      <c r="U509" s="678"/>
      <c r="V509" s="678"/>
      <c r="W509" s="678"/>
      <c r="X509" s="681"/>
      <c r="Y509" s="679"/>
      <c r="Z509" s="679"/>
      <c r="AA509" s="679"/>
      <c r="AB509" s="680"/>
    </row>
    <row r="510" spans="2:28" s="780" customFormat="1" hidden="1" x14ac:dyDescent="0.45">
      <c r="B510" s="1692"/>
      <c r="C510" s="1698" t="s">
        <v>331</v>
      </c>
      <c r="D510" s="125" t="s">
        <v>326</v>
      </c>
      <c r="E510" s="682"/>
      <c r="F510" s="682"/>
      <c r="G510" s="685"/>
      <c r="H510" s="682"/>
      <c r="I510" s="682"/>
      <c r="J510" s="682"/>
      <c r="K510" s="682"/>
      <c r="L510" s="682"/>
      <c r="M510" s="682"/>
      <c r="N510" s="682"/>
      <c r="O510" s="682"/>
      <c r="P510" s="682"/>
      <c r="Q510" s="682"/>
      <c r="R510" s="682"/>
      <c r="S510" s="682"/>
      <c r="T510" s="682"/>
      <c r="U510" s="682"/>
      <c r="V510" s="682"/>
      <c r="W510" s="682"/>
      <c r="X510" s="682"/>
      <c r="Y510" s="683"/>
      <c r="Z510" s="683"/>
      <c r="AA510" s="683"/>
      <c r="AB510" s="684"/>
    </row>
    <row r="511" spans="2:28" s="780" customFormat="1" hidden="1" x14ac:dyDescent="0.45">
      <c r="B511" s="1692"/>
      <c r="C511" s="1695"/>
      <c r="D511" s="124" t="s">
        <v>327</v>
      </c>
      <c r="E511" s="675"/>
      <c r="F511" s="675"/>
      <c r="G511" s="686"/>
      <c r="H511" s="675"/>
      <c r="I511" s="675"/>
      <c r="J511" s="675"/>
      <c r="K511" s="675"/>
      <c r="L511" s="675"/>
      <c r="M511" s="675"/>
      <c r="N511" s="675"/>
      <c r="O511" s="675"/>
      <c r="P511" s="675"/>
      <c r="Q511" s="675"/>
      <c r="R511" s="675"/>
      <c r="S511" s="675"/>
      <c r="T511" s="675"/>
      <c r="U511" s="675"/>
      <c r="V511" s="675"/>
      <c r="W511" s="675"/>
      <c r="X511" s="675"/>
      <c r="Y511" s="676"/>
      <c r="Z511" s="676"/>
      <c r="AA511" s="676"/>
      <c r="AB511" s="677"/>
    </row>
    <row r="512" spans="2:28" s="780" customFormat="1" hidden="1" x14ac:dyDescent="0.45">
      <c r="B512" s="1692"/>
      <c r="C512" s="1696" t="s">
        <v>332</v>
      </c>
      <c r="D512" s="122" t="s">
        <v>326</v>
      </c>
      <c r="E512" s="678"/>
      <c r="F512" s="678"/>
      <c r="G512" s="678"/>
      <c r="H512" s="678"/>
      <c r="I512" s="678"/>
      <c r="J512" s="678"/>
      <c r="K512" s="678"/>
      <c r="L512" s="678"/>
      <c r="M512" s="678"/>
      <c r="N512" s="678"/>
      <c r="O512" s="678"/>
      <c r="P512" s="678"/>
      <c r="Q512" s="678"/>
      <c r="R512" s="678"/>
      <c r="S512" s="678"/>
      <c r="T512" s="678"/>
      <c r="U512" s="678"/>
      <c r="V512" s="678"/>
      <c r="W512" s="679"/>
      <c r="X512" s="679"/>
      <c r="Y512" s="679"/>
      <c r="Z512" s="679"/>
      <c r="AA512" s="679"/>
      <c r="AB512" s="680"/>
    </row>
    <row r="513" spans="2:28" s="780" customFormat="1" hidden="1" x14ac:dyDescent="0.45">
      <c r="B513" s="1692"/>
      <c r="C513" s="1697"/>
      <c r="D513" s="122" t="s">
        <v>327</v>
      </c>
      <c r="E513" s="678"/>
      <c r="F513" s="678"/>
      <c r="G513" s="678"/>
      <c r="H513" s="678"/>
      <c r="I513" s="678"/>
      <c r="J513" s="678"/>
      <c r="K513" s="678"/>
      <c r="L513" s="678"/>
      <c r="M513" s="678"/>
      <c r="N513" s="678"/>
      <c r="O513" s="678"/>
      <c r="P513" s="678"/>
      <c r="Q513" s="678"/>
      <c r="R513" s="678"/>
      <c r="S513" s="678"/>
      <c r="T513" s="678"/>
      <c r="U513" s="678"/>
      <c r="V513" s="678"/>
      <c r="W513" s="678"/>
      <c r="X513" s="678"/>
      <c r="Y513" s="679"/>
      <c r="Z513" s="679"/>
      <c r="AA513" s="679"/>
      <c r="AB513" s="680"/>
    </row>
    <row r="514" spans="2:28" s="780" customFormat="1" hidden="1" x14ac:dyDescent="0.45">
      <c r="B514" s="1692"/>
      <c r="C514" s="1698" t="s">
        <v>333</v>
      </c>
      <c r="D514" s="124" t="s">
        <v>326</v>
      </c>
      <c r="E514" s="675"/>
      <c r="F514" s="675"/>
      <c r="G514" s="675"/>
      <c r="H514" s="675"/>
      <c r="I514" s="675"/>
      <c r="J514" s="675"/>
      <c r="K514" s="675"/>
      <c r="L514" s="675"/>
      <c r="M514" s="675"/>
      <c r="N514" s="675"/>
      <c r="O514" s="675"/>
      <c r="P514" s="675"/>
      <c r="Q514" s="675"/>
      <c r="R514" s="675"/>
      <c r="S514" s="675"/>
      <c r="T514" s="675"/>
      <c r="U514" s="675"/>
      <c r="V514" s="675"/>
      <c r="W514" s="676"/>
      <c r="X514" s="676"/>
      <c r="Y514" s="676"/>
      <c r="Z514" s="676"/>
      <c r="AA514" s="676"/>
      <c r="AB514" s="677"/>
    </row>
    <row r="515" spans="2:28" s="780" customFormat="1" hidden="1" x14ac:dyDescent="0.45">
      <c r="B515" s="1693"/>
      <c r="C515" s="1699"/>
      <c r="D515" s="126" t="s">
        <v>327</v>
      </c>
      <c r="E515" s="687"/>
      <c r="F515" s="687"/>
      <c r="G515" s="687"/>
      <c r="H515" s="687"/>
      <c r="I515" s="687"/>
      <c r="J515" s="687"/>
      <c r="K515" s="687"/>
      <c r="L515" s="687"/>
      <c r="M515" s="687"/>
      <c r="N515" s="687"/>
      <c r="O515" s="687"/>
      <c r="P515" s="687"/>
      <c r="Q515" s="687"/>
      <c r="R515" s="687"/>
      <c r="S515" s="687"/>
      <c r="T515" s="687"/>
      <c r="U515" s="687"/>
      <c r="V515" s="687"/>
      <c r="W515" s="687"/>
      <c r="X515" s="687"/>
      <c r="Y515" s="687"/>
      <c r="Z515" s="687"/>
      <c r="AA515" s="687"/>
      <c r="AB515" s="688"/>
    </row>
    <row r="516" spans="2:28" s="780" customFormat="1" hidden="1" x14ac:dyDescent="0.45"/>
    <row r="517" spans="2:28" s="780" customFormat="1" hidden="1" x14ac:dyDescent="0.45">
      <c r="B517" s="1688" t="s">
        <v>54</v>
      </c>
      <c r="C517" s="1689"/>
      <c r="D517" s="1690"/>
      <c r="E517" s="779"/>
      <c r="F517" s="779"/>
      <c r="G517" s="779"/>
      <c r="H517" s="779"/>
      <c r="I517" s="779"/>
      <c r="J517" s="779"/>
      <c r="K517" s="779"/>
      <c r="L517" s="779"/>
      <c r="M517" s="779"/>
      <c r="N517" s="779"/>
      <c r="O517" s="779"/>
      <c r="P517" s="779"/>
      <c r="Q517" s="779"/>
      <c r="R517" s="779"/>
      <c r="S517" s="779"/>
      <c r="T517" s="779"/>
      <c r="U517" s="779"/>
      <c r="V517" s="779"/>
      <c r="W517" s="779"/>
      <c r="X517" s="779"/>
      <c r="Y517" s="779"/>
      <c r="Z517" s="779"/>
      <c r="AA517" s="779"/>
      <c r="AB517" s="708"/>
    </row>
    <row r="518" spans="2:28" s="780" customFormat="1" ht="15" hidden="1" customHeight="1" x14ac:dyDescent="0.45">
      <c r="B518" s="1691" t="str">
        <f>CONCATENATE("Plan ", INDEX(plans_index,,(ROW(B518)-6)/16), ": ", INDEX(plans_name,,(ROW(B518)-6)/16))</f>
        <v xml:space="preserve">Plan 32: </v>
      </c>
      <c r="C518" s="1694" t="s">
        <v>325</v>
      </c>
      <c r="D518" s="123" t="s">
        <v>326</v>
      </c>
      <c r="E518" s="672"/>
      <c r="F518" s="672"/>
      <c r="G518" s="672"/>
      <c r="H518" s="673"/>
      <c r="I518" s="672"/>
      <c r="J518" s="672"/>
      <c r="K518" s="672"/>
      <c r="L518" s="672"/>
      <c r="M518" s="672"/>
      <c r="N518" s="672"/>
      <c r="O518" s="672"/>
      <c r="P518" s="672"/>
      <c r="Q518" s="672"/>
      <c r="R518" s="672"/>
      <c r="S518" s="672"/>
      <c r="T518" s="672"/>
      <c r="U518" s="672"/>
      <c r="V518" s="672"/>
      <c r="W518" s="672"/>
      <c r="X518" s="672"/>
      <c r="Y518" s="672"/>
      <c r="Z518" s="672"/>
      <c r="AA518" s="672"/>
      <c r="AB518" s="674"/>
    </row>
    <row r="519" spans="2:28" s="780" customFormat="1" hidden="1" x14ac:dyDescent="0.45">
      <c r="B519" s="1692"/>
      <c r="C519" s="1695"/>
      <c r="D519" s="124" t="s">
        <v>327</v>
      </c>
      <c r="E519" s="675"/>
      <c r="F519" s="675"/>
      <c r="G519" s="675"/>
      <c r="H519" s="675"/>
      <c r="I519" s="675"/>
      <c r="J519" s="675"/>
      <c r="K519" s="675"/>
      <c r="L519" s="675"/>
      <c r="M519" s="675"/>
      <c r="N519" s="675"/>
      <c r="O519" s="675"/>
      <c r="P519" s="675"/>
      <c r="Q519" s="675"/>
      <c r="R519" s="675"/>
      <c r="S519" s="675"/>
      <c r="T519" s="675"/>
      <c r="U519" s="675"/>
      <c r="V519" s="675"/>
      <c r="W519" s="675"/>
      <c r="X519" s="675"/>
      <c r="Y519" s="676"/>
      <c r="Z519" s="676"/>
      <c r="AA519" s="676"/>
      <c r="AB519" s="677"/>
    </row>
    <row r="520" spans="2:28" s="780" customFormat="1" hidden="1" x14ac:dyDescent="0.45">
      <c r="B520" s="1692"/>
      <c r="C520" s="1696" t="s">
        <v>328</v>
      </c>
      <c r="D520" s="122" t="s">
        <v>326</v>
      </c>
      <c r="E520" s="678"/>
      <c r="F520" s="678"/>
      <c r="G520" s="678"/>
      <c r="H520" s="678"/>
      <c r="I520" s="678"/>
      <c r="J520" s="678"/>
      <c r="K520" s="678"/>
      <c r="L520" s="678"/>
      <c r="M520" s="678"/>
      <c r="N520" s="678"/>
      <c r="O520" s="678"/>
      <c r="P520" s="678"/>
      <c r="Q520" s="678"/>
      <c r="R520" s="678"/>
      <c r="S520" s="678"/>
      <c r="T520" s="678"/>
      <c r="U520" s="678"/>
      <c r="V520" s="678"/>
      <c r="W520" s="678"/>
      <c r="X520" s="678"/>
      <c r="Y520" s="679"/>
      <c r="Z520" s="679"/>
      <c r="AA520" s="679"/>
      <c r="AB520" s="680"/>
    </row>
    <row r="521" spans="2:28" s="780" customFormat="1" hidden="1" x14ac:dyDescent="0.45">
      <c r="B521" s="1692"/>
      <c r="C521" s="1697"/>
      <c r="D521" s="122" t="s">
        <v>327</v>
      </c>
      <c r="E521" s="678"/>
      <c r="F521" s="678"/>
      <c r="G521" s="678"/>
      <c r="H521" s="678"/>
      <c r="I521" s="678"/>
      <c r="J521" s="678"/>
      <c r="K521" s="678"/>
      <c r="L521" s="678"/>
      <c r="M521" s="678"/>
      <c r="N521" s="678"/>
      <c r="O521" s="678"/>
      <c r="P521" s="678"/>
      <c r="Q521" s="678"/>
      <c r="R521" s="678"/>
      <c r="S521" s="678"/>
      <c r="T521" s="678"/>
      <c r="U521" s="678"/>
      <c r="V521" s="678"/>
      <c r="W521" s="678"/>
      <c r="X521" s="681"/>
      <c r="Y521" s="679"/>
      <c r="Z521" s="679"/>
      <c r="AA521" s="679"/>
      <c r="AB521" s="680"/>
    </row>
    <row r="522" spans="2:28" s="780" customFormat="1" hidden="1" x14ac:dyDescent="0.45">
      <c r="B522" s="1692"/>
      <c r="C522" s="1698" t="s">
        <v>329</v>
      </c>
      <c r="D522" s="125" t="s">
        <v>326</v>
      </c>
      <c r="E522" s="682"/>
      <c r="F522" s="682"/>
      <c r="G522" s="682"/>
      <c r="H522" s="682"/>
      <c r="I522" s="682"/>
      <c r="J522" s="682"/>
      <c r="K522" s="682"/>
      <c r="L522" s="682"/>
      <c r="M522" s="682"/>
      <c r="N522" s="682"/>
      <c r="O522" s="682"/>
      <c r="P522" s="682"/>
      <c r="Q522" s="682"/>
      <c r="R522" s="682"/>
      <c r="S522" s="682"/>
      <c r="T522" s="682"/>
      <c r="U522" s="682"/>
      <c r="V522" s="682"/>
      <c r="W522" s="682"/>
      <c r="X522" s="682"/>
      <c r="Y522" s="683"/>
      <c r="Z522" s="683"/>
      <c r="AA522" s="683"/>
      <c r="AB522" s="684"/>
    </row>
    <row r="523" spans="2:28" s="780" customFormat="1" hidden="1" x14ac:dyDescent="0.45">
      <c r="B523" s="1692"/>
      <c r="C523" s="1695"/>
      <c r="D523" s="124" t="s">
        <v>327</v>
      </c>
      <c r="E523" s="675"/>
      <c r="F523" s="675"/>
      <c r="G523" s="675"/>
      <c r="H523" s="675"/>
      <c r="I523" s="675"/>
      <c r="J523" s="675"/>
      <c r="K523" s="675"/>
      <c r="L523" s="675"/>
      <c r="M523" s="675"/>
      <c r="N523" s="675"/>
      <c r="O523" s="675"/>
      <c r="P523" s="675"/>
      <c r="Q523" s="675"/>
      <c r="R523" s="675"/>
      <c r="S523" s="675"/>
      <c r="T523" s="675"/>
      <c r="U523" s="675"/>
      <c r="V523" s="675"/>
      <c r="W523" s="675"/>
      <c r="X523" s="675"/>
      <c r="Y523" s="676"/>
      <c r="Z523" s="676"/>
      <c r="AA523" s="676"/>
      <c r="AB523" s="677"/>
    </row>
    <row r="524" spans="2:28" s="780" customFormat="1" hidden="1" x14ac:dyDescent="0.45">
      <c r="B524" s="1692"/>
      <c r="C524" s="1696" t="s">
        <v>330</v>
      </c>
      <c r="D524" s="122" t="s">
        <v>326</v>
      </c>
      <c r="E524" s="678"/>
      <c r="F524" s="678"/>
      <c r="G524" s="678"/>
      <c r="H524" s="678"/>
      <c r="I524" s="678"/>
      <c r="J524" s="678"/>
      <c r="K524" s="678"/>
      <c r="L524" s="678"/>
      <c r="M524" s="678"/>
      <c r="N524" s="678"/>
      <c r="O524" s="678"/>
      <c r="P524" s="678"/>
      <c r="Q524" s="678"/>
      <c r="R524" s="678"/>
      <c r="S524" s="678"/>
      <c r="T524" s="678"/>
      <c r="U524" s="678"/>
      <c r="V524" s="678"/>
      <c r="W524" s="678"/>
      <c r="X524" s="678"/>
      <c r="Y524" s="679"/>
      <c r="Z524" s="679"/>
      <c r="AA524" s="679"/>
      <c r="AB524" s="680"/>
    </row>
    <row r="525" spans="2:28" s="780" customFormat="1" hidden="1" x14ac:dyDescent="0.45">
      <c r="B525" s="1692"/>
      <c r="C525" s="1697"/>
      <c r="D525" s="122" t="s">
        <v>327</v>
      </c>
      <c r="E525" s="678"/>
      <c r="F525" s="678"/>
      <c r="G525" s="678"/>
      <c r="H525" s="678"/>
      <c r="I525" s="678"/>
      <c r="J525" s="678"/>
      <c r="K525" s="678"/>
      <c r="L525" s="678"/>
      <c r="M525" s="678"/>
      <c r="N525" s="678"/>
      <c r="O525" s="678"/>
      <c r="P525" s="678"/>
      <c r="Q525" s="678"/>
      <c r="R525" s="678"/>
      <c r="S525" s="678"/>
      <c r="T525" s="678"/>
      <c r="U525" s="678"/>
      <c r="V525" s="678"/>
      <c r="W525" s="678"/>
      <c r="X525" s="681"/>
      <c r="Y525" s="679"/>
      <c r="Z525" s="679"/>
      <c r="AA525" s="679"/>
      <c r="AB525" s="680"/>
    </row>
    <row r="526" spans="2:28" s="780" customFormat="1" hidden="1" x14ac:dyDescent="0.45">
      <c r="B526" s="1692"/>
      <c r="C526" s="1698" t="s">
        <v>331</v>
      </c>
      <c r="D526" s="125" t="s">
        <v>326</v>
      </c>
      <c r="E526" s="682"/>
      <c r="F526" s="682"/>
      <c r="G526" s="685"/>
      <c r="H526" s="682"/>
      <c r="I526" s="682"/>
      <c r="J526" s="682"/>
      <c r="K526" s="682"/>
      <c r="L526" s="682"/>
      <c r="M526" s="682"/>
      <c r="N526" s="682"/>
      <c r="O526" s="682"/>
      <c r="P526" s="682"/>
      <c r="Q526" s="682"/>
      <c r="R526" s="682"/>
      <c r="S526" s="682"/>
      <c r="T526" s="682"/>
      <c r="U526" s="682"/>
      <c r="V526" s="682"/>
      <c r="W526" s="682"/>
      <c r="X526" s="682"/>
      <c r="Y526" s="683"/>
      <c r="Z526" s="683"/>
      <c r="AA526" s="683"/>
      <c r="AB526" s="684"/>
    </row>
    <row r="527" spans="2:28" s="780" customFormat="1" hidden="1" x14ac:dyDescent="0.45">
      <c r="B527" s="1692"/>
      <c r="C527" s="1695"/>
      <c r="D527" s="124" t="s">
        <v>327</v>
      </c>
      <c r="E527" s="675"/>
      <c r="F527" s="675"/>
      <c r="G527" s="686"/>
      <c r="H527" s="675"/>
      <c r="I527" s="675"/>
      <c r="J527" s="675"/>
      <c r="K527" s="675"/>
      <c r="L527" s="675"/>
      <c r="M527" s="675"/>
      <c r="N527" s="675"/>
      <c r="O527" s="675"/>
      <c r="P527" s="675"/>
      <c r="Q527" s="675"/>
      <c r="R527" s="675"/>
      <c r="S527" s="675"/>
      <c r="T527" s="675"/>
      <c r="U527" s="675"/>
      <c r="V527" s="675"/>
      <c r="W527" s="675"/>
      <c r="X527" s="675"/>
      <c r="Y527" s="676"/>
      <c r="Z527" s="676"/>
      <c r="AA527" s="676"/>
      <c r="AB527" s="677"/>
    </row>
    <row r="528" spans="2:28" s="780" customFormat="1" hidden="1" x14ac:dyDescent="0.45">
      <c r="B528" s="1692"/>
      <c r="C528" s="1696" t="s">
        <v>332</v>
      </c>
      <c r="D528" s="122" t="s">
        <v>326</v>
      </c>
      <c r="E528" s="678"/>
      <c r="F528" s="678"/>
      <c r="G528" s="678"/>
      <c r="H528" s="678"/>
      <c r="I528" s="678"/>
      <c r="J528" s="678"/>
      <c r="K528" s="678"/>
      <c r="L528" s="678"/>
      <c r="M528" s="678"/>
      <c r="N528" s="678"/>
      <c r="O528" s="678"/>
      <c r="P528" s="678"/>
      <c r="Q528" s="678"/>
      <c r="R528" s="678"/>
      <c r="S528" s="678"/>
      <c r="T528" s="678"/>
      <c r="U528" s="678"/>
      <c r="V528" s="678"/>
      <c r="W528" s="679"/>
      <c r="X528" s="679"/>
      <c r="Y528" s="679"/>
      <c r="Z528" s="679"/>
      <c r="AA528" s="679"/>
      <c r="AB528" s="680"/>
    </row>
    <row r="529" spans="2:28" s="780" customFormat="1" hidden="1" x14ac:dyDescent="0.45">
      <c r="B529" s="1692"/>
      <c r="C529" s="1697"/>
      <c r="D529" s="122" t="s">
        <v>327</v>
      </c>
      <c r="E529" s="678"/>
      <c r="F529" s="678"/>
      <c r="G529" s="678"/>
      <c r="H529" s="678"/>
      <c r="I529" s="678"/>
      <c r="J529" s="678"/>
      <c r="K529" s="678"/>
      <c r="L529" s="678"/>
      <c r="M529" s="678"/>
      <c r="N529" s="678"/>
      <c r="O529" s="678"/>
      <c r="P529" s="678"/>
      <c r="Q529" s="678"/>
      <c r="R529" s="678"/>
      <c r="S529" s="678"/>
      <c r="T529" s="678"/>
      <c r="U529" s="678"/>
      <c r="V529" s="678"/>
      <c r="W529" s="678"/>
      <c r="X529" s="678"/>
      <c r="Y529" s="679"/>
      <c r="Z529" s="679"/>
      <c r="AA529" s="679"/>
      <c r="AB529" s="680"/>
    </row>
    <row r="530" spans="2:28" s="780" customFormat="1" hidden="1" x14ac:dyDescent="0.45">
      <c r="B530" s="1692"/>
      <c r="C530" s="1698" t="s">
        <v>333</v>
      </c>
      <c r="D530" s="124" t="s">
        <v>326</v>
      </c>
      <c r="E530" s="675"/>
      <c r="F530" s="675"/>
      <c r="G530" s="675"/>
      <c r="H530" s="675"/>
      <c r="I530" s="675"/>
      <c r="J530" s="675"/>
      <c r="K530" s="675"/>
      <c r="L530" s="675"/>
      <c r="M530" s="675"/>
      <c r="N530" s="675"/>
      <c r="O530" s="675"/>
      <c r="P530" s="675"/>
      <c r="Q530" s="675"/>
      <c r="R530" s="675"/>
      <c r="S530" s="675"/>
      <c r="T530" s="675"/>
      <c r="U530" s="675"/>
      <c r="V530" s="675"/>
      <c r="W530" s="676"/>
      <c r="X530" s="676"/>
      <c r="Y530" s="676"/>
      <c r="Z530" s="676"/>
      <c r="AA530" s="676"/>
      <c r="AB530" s="677"/>
    </row>
    <row r="531" spans="2:28" s="780" customFormat="1" hidden="1" x14ac:dyDescent="0.45">
      <c r="B531" s="1693"/>
      <c r="C531" s="1699"/>
      <c r="D531" s="126" t="s">
        <v>327</v>
      </c>
      <c r="E531" s="687"/>
      <c r="F531" s="687"/>
      <c r="G531" s="687"/>
      <c r="H531" s="687"/>
      <c r="I531" s="687"/>
      <c r="J531" s="687"/>
      <c r="K531" s="687"/>
      <c r="L531" s="687"/>
      <c r="M531" s="687"/>
      <c r="N531" s="687"/>
      <c r="O531" s="687"/>
      <c r="P531" s="687"/>
      <c r="Q531" s="687"/>
      <c r="R531" s="687"/>
      <c r="S531" s="687"/>
      <c r="T531" s="687"/>
      <c r="U531" s="687"/>
      <c r="V531" s="687"/>
      <c r="W531" s="687"/>
      <c r="X531" s="687"/>
      <c r="Y531" s="687"/>
      <c r="Z531" s="687"/>
      <c r="AA531" s="687"/>
      <c r="AB531" s="688"/>
    </row>
    <row r="532" spans="2:28" s="780" customFormat="1" hidden="1" x14ac:dyDescent="0.45"/>
    <row r="533" spans="2:28" s="780" customFormat="1" hidden="1" x14ac:dyDescent="0.45">
      <c r="B533" s="1688" t="s">
        <v>54</v>
      </c>
      <c r="C533" s="1689"/>
      <c r="D533" s="1690"/>
      <c r="E533" s="779"/>
      <c r="F533" s="779"/>
      <c r="G533" s="779"/>
      <c r="H533" s="779"/>
      <c r="I533" s="779"/>
      <c r="J533" s="779"/>
      <c r="K533" s="779"/>
      <c r="L533" s="779"/>
      <c r="M533" s="779"/>
      <c r="N533" s="779"/>
      <c r="O533" s="779"/>
      <c r="P533" s="779"/>
      <c r="Q533" s="779"/>
      <c r="R533" s="779"/>
      <c r="S533" s="779"/>
      <c r="T533" s="779"/>
      <c r="U533" s="779"/>
      <c r="V533" s="779"/>
      <c r="W533" s="779"/>
      <c r="X533" s="779"/>
      <c r="Y533" s="779"/>
      <c r="Z533" s="779"/>
      <c r="AA533" s="779"/>
      <c r="AB533" s="708"/>
    </row>
    <row r="534" spans="2:28" s="780" customFormat="1" ht="15" hidden="1" customHeight="1" x14ac:dyDescent="0.45">
      <c r="B534" s="1691" t="str">
        <f>CONCATENATE("Plan ", INDEX(plans_index,,(ROW(B534)-6)/16), ": ", INDEX(plans_name,,(ROW(B534)-6)/16))</f>
        <v xml:space="preserve">Plan 33: </v>
      </c>
      <c r="C534" s="1694" t="s">
        <v>325</v>
      </c>
      <c r="D534" s="123" t="s">
        <v>326</v>
      </c>
      <c r="E534" s="672"/>
      <c r="F534" s="672"/>
      <c r="G534" s="672"/>
      <c r="H534" s="673"/>
      <c r="I534" s="672"/>
      <c r="J534" s="672"/>
      <c r="K534" s="672"/>
      <c r="L534" s="672"/>
      <c r="M534" s="672"/>
      <c r="N534" s="672"/>
      <c r="O534" s="672"/>
      <c r="P534" s="672"/>
      <c r="Q534" s="672"/>
      <c r="R534" s="672"/>
      <c r="S534" s="672"/>
      <c r="T534" s="672"/>
      <c r="U534" s="672"/>
      <c r="V534" s="672"/>
      <c r="W534" s="672"/>
      <c r="X534" s="672"/>
      <c r="Y534" s="672"/>
      <c r="Z534" s="672"/>
      <c r="AA534" s="672"/>
      <c r="AB534" s="674"/>
    </row>
    <row r="535" spans="2:28" s="780" customFormat="1" hidden="1" x14ac:dyDescent="0.45">
      <c r="B535" s="1692"/>
      <c r="C535" s="1695"/>
      <c r="D535" s="124" t="s">
        <v>327</v>
      </c>
      <c r="E535" s="675"/>
      <c r="F535" s="675"/>
      <c r="G535" s="675"/>
      <c r="H535" s="675"/>
      <c r="I535" s="675"/>
      <c r="J535" s="675"/>
      <c r="K535" s="675"/>
      <c r="L535" s="675"/>
      <c r="M535" s="675"/>
      <c r="N535" s="675"/>
      <c r="O535" s="675"/>
      <c r="P535" s="675"/>
      <c r="Q535" s="675"/>
      <c r="R535" s="675"/>
      <c r="S535" s="675"/>
      <c r="T535" s="675"/>
      <c r="U535" s="675"/>
      <c r="V535" s="675"/>
      <c r="W535" s="675"/>
      <c r="X535" s="675"/>
      <c r="Y535" s="676"/>
      <c r="Z535" s="676"/>
      <c r="AA535" s="676"/>
      <c r="AB535" s="677"/>
    </row>
    <row r="536" spans="2:28" s="780" customFormat="1" hidden="1" x14ac:dyDescent="0.45">
      <c r="B536" s="1692"/>
      <c r="C536" s="1696" t="s">
        <v>328</v>
      </c>
      <c r="D536" s="122" t="s">
        <v>326</v>
      </c>
      <c r="E536" s="678"/>
      <c r="F536" s="678"/>
      <c r="G536" s="678"/>
      <c r="H536" s="678"/>
      <c r="I536" s="678"/>
      <c r="J536" s="678"/>
      <c r="K536" s="678"/>
      <c r="L536" s="678"/>
      <c r="M536" s="678"/>
      <c r="N536" s="678"/>
      <c r="O536" s="678"/>
      <c r="P536" s="678"/>
      <c r="Q536" s="678"/>
      <c r="R536" s="678"/>
      <c r="S536" s="678"/>
      <c r="T536" s="678"/>
      <c r="U536" s="678"/>
      <c r="V536" s="678"/>
      <c r="W536" s="678"/>
      <c r="X536" s="678"/>
      <c r="Y536" s="679"/>
      <c r="Z536" s="679"/>
      <c r="AA536" s="679"/>
      <c r="AB536" s="680"/>
    </row>
    <row r="537" spans="2:28" s="780" customFormat="1" hidden="1" x14ac:dyDescent="0.45">
      <c r="B537" s="1692"/>
      <c r="C537" s="1697"/>
      <c r="D537" s="122" t="s">
        <v>327</v>
      </c>
      <c r="E537" s="678"/>
      <c r="F537" s="678"/>
      <c r="G537" s="678"/>
      <c r="H537" s="678"/>
      <c r="I537" s="678"/>
      <c r="J537" s="678"/>
      <c r="K537" s="678"/>
      <c r="L537" s="678"/>
      <c r="M537" s="678"/>
      <c r="N537" s="678"/>
      <c r="O537" s="678"/>
      <c r="P537" s="678"/>
      <c r="Q537" s="678"/>
      <c r="R537" s="678"/>
      <c r="S537" s="678"/>
      <c r="T537" s="678"/>
      <c r="U537" s="678"/>
      <c r="V537" s="678"/>
      <c r="W537" s="678"/>
      <c r="X537" s="681"/>
      <c r="Y537" s="679"/>
      <c r="Z537" s="679"/>
      <c r="AA537" s="679"/>
      <c r="AB537" s="680"/>
    </row>
    <row r="538" spans="2:28" s="780" customFormat="1" hidden="1" x14ac:dyDescent="0.45">
      <c r="B538" s="1692"/>
      <c r="C538" s="1698" t="s">
        <v>329</v>
      </c>
      <c r="D538" s="125" t="s">
        <v>326</v>
      </c>
      <c r="E538" s="682"/>
      <c r="F538" s="682"/>
      <c r="G538" s="682"/>
      <c r="H538" s="682"/>
      <c r="I538" s="682"/>
      <c r="J538" s="682"/>
      <c r="K538" s="682"/>
      <c r="L538" s="682"/>
      <c r="M538" s="682"/>
      <c r="N538" s="682"/>
      <c r="O538" s="682"/>
      <c r="P538" s="682"/>
      <c r="Q538" s="682"/>
      <c r="R538" s="682"/>
      <c r="S538" s="682"/>
      <c r="T538" s="682"/>
      <c r="U538" s="682"/>
      <c r="V538" s="682"/>
      <c r="W538" s="682"/>
      <c r="X538" s="682"/>
      <c r="Y538" s="683"/>
      <c r="Z538" s="683"/>
      <c r="AA538" s="683"/>
      <c r="AB538" s="684"/>
    </row>
    <row r="539" spans="2:28" s="780" customFormat="1" hidden="1" x14ac:dyDescent="0.45">
      <c r="B539" s="1692"/>
      <c r="C539" s="1695"/>
      <c r="D539" s="124" t="s">
        <v>327</v>
      </c>
      <c r="E539" s="675"/>
      <c r="F539" s="675"/>
      <c r="G539" s="675"/>
      <c r="H539" s="675"/>
      <c r="I539" s="675"/>
      <c r="J539" s="675"/>
      <c r="K539" s="675"/>
      <c r="L539" s="675"/>
      <c r="M539" s="675"/>
      <c r="N539" s="675"/>
      <c r="O539" s="675"/>
      <c r="P539" s="675"/>
      <c r="Q539" s="675"/>
      <c r="R539" s="675"/>
      <c r="S539" s="675"/>
      <c r="T539" s="675"/>
      <c r="U539" s="675"/>
      <c r="V539" s="675"/>
      <c r="W539" s="675"/>
      <c r="X539" s="675"/>
      <c r="Y539" s="676"/>
      <c r="Z539" s="676"/>
      <c r="AA539" s="676"/>
      <c r="AB539" s="677"/>
    </row>
    <row r="540" spans="2:28" s="780" customFormat="1" hidden="1" x14ac:dyDescent="0.45">
      <c r="B540" s="1692"/>
      <c r="C540" s="1696" t="s">
        <v>330</v>
      </c>
      <c r="D540" s="122" t="s">
        <v>326</v>
      </c>
      <c r="E540" s="678"/>
      <c r="F540" s="678"/>
      <c r="G540" s="678"/>
      <c r="H540" s="678"/>
      <c r="I540" s="678"/>
      <c r="J540" s="678"/>
      <c r="K540" s="678"/>
      <c r="L540" s="678"/>
      <c r="M540" s="678"/>
      <c r="N540" s="678"/>
      <c r="O540" s="678"/>
      <c r="P540" s="678"/>
      <c r="Q540" s="678"/>
      <c r="R540" s="678"/>
      <c r="S540" s="678"/>
      <c r="T540" s="678"/>
      <c r="U540" s="678"/>
      <c r="V540" s="678"/>
      <c r="W540" s="678"/>
      <c r="X540" s="678"/>
      <c r="Y540" s="679"/>
      <c r="Z540" s="679"/>
      <c r="AA540" s="679"/>
      <c r="AB540" s="680"/>
    </row>
    <row r="541" spans="2:28" s="780" customFormat="1" hidden="1" x14ac:dyDescent="0.45">
      <c r="B541" s="1692"/>
      <c r="C541" s="1697"/>
      <c r="D541" s="122" t="s">
        <v>327</v>
      </c>
      <c r="E541" s="678"/>
      <c r="F541" s="678"/>
      <c r="G541" s="678"/>
      <c r="H541" s="678"/>
      <c r="I541" s="678"/>
      <c r="J541" s="678"/>
      <c r="K541" s="678"/>
      <c r="L541" s="678"/>
      <c r="M541" s="678"/>
      <c r="N541" s="678"/>
      <c r="O541" s="678"/>
      <c r="P541" s="678"/>
      <c r="Q541" s="678"/>
      <c r="R541" s="678"/>
      <c r="S541" s="678"/>
      <c r="T541" s="678"/>
      <c r="U541" s="678"/>
      <c r="V541" s="678"/>
      <c r="W541" s="678"/>
      <c r="X541" s="681"/>
      <c r="Y541" s="679"/>
      <c r="Z541" s="679"/>
      <c r="AA541" s="679"/>
      <c r="AB541" s="680"/>
    </row>
    <row r="542" spans="2:28" s="780" customFormat="1" hidden="1" x14ac:dyDescent="0.45">
      <c r="B542" s="1692"/>
      <c r="C542" s="1698" t="s">
        <v>331</v>
      </c>
      <c r="D542" s="125" t="s">
        <v>326</v>
      </c>
      <c r="E542" s="682"/>
      <c r="F542" s="682"/>
      <c r="G542" s="685"/>
      <c r="H542" s="682"/>
      <c r="I542" s="682"/>
      <c r="J542" s="682"/>
      <c r="K542" s="682"/>
      <c r="L542" s="682"/>
      <c r="M542" s="682"/>
      <c r="N542" s="682"/>
      <c r="O542" s="682"/>
      <c r="P542" s="682"/>
      <c r="Q542" s="682"/>
      <c r="R542" s="682"/>
      <c r="S542" s="682"/>
      <c r="T542" s="682"/>
      <c r="U542" s="682"/>
      <c r="V542" s="682"/>
      <c r="W542" s="682"/>
      <c r="X542" s="682"/>
      <c r="Y542" s="683"/>
      <c r="Z542" s="683"/>
      <c r="AA542" s="683"/>
      <c r="AB542" s="684"/>
    </row>
    <row r="543" spans="2:28" s="780" customFormat="1" hidden="1" x14ac:dyDescent="0.45">
      <c r="B543" s="1692"/>
      <c r="C543" s="1695"/>
      <c r="D543" s="124" t="s">
        <v>327</v>
      </c>
      <c r="E543" s="675"/>
      <c r="F543" s="675"/>
      <c r="G543" s="686"/>
      <c r="H543" s="675"/>
      <c r="I543" s="675"/>
      <c r="J543" s="675"/>
      <c r="K543" s="675"/>
      <c r="L543" s="675"/>
      <c r="M543" s="675"/>
      <c r="N543" s="675"/>
      <c r="O543" s="675"/>
      <c r="P543" s="675"/>
      <c r="Q543" s="675"/>
      <c r="R543" s="675"/>
      <c r="S543" s="675"/>
      <c r="T543" s="675"/>
      <c r="U543" s="675"/>
      <c r="V543" s="675"/>
      <c r="W543" s="675"/>
      <c r="X543" s="675"/>
      <c r="Y543" s="676"/>
      <c r="Z543" s="676"/>
      <c r="AA543" s="676"/>
      <c r="AB543" s="677"/>
    </row>
    <row r="544" spans="2:28" s="780" customFormat="1" hidden="1" x14ac:dyDescent="0.45">
      <c r="B544" s="1692"/>
      <c r="C544" s="1696" t="s">
        <v>332</v>
      </c>
      <c r="D544" s="122" t="s">
        <v>326</v>
      </c>
      <c r="E544" s="678"/>
      <c r="F544" s="678"/>
      <c r="G544" s="678"/>
      <c r="H544" s="678"/>
      <c r="I544" s="678"/>
      <c r="J544" s="678"/>
      <c r="K544" s="678"/>
      <c r="L544" s="678"/>
      <c r="M544" s="678"/>
      <c r="N544" s="678"/>
      <c r="O544" s="678"/>
      <c r="P544" s="678"/>
      <c r="Q544" s="678"/>
      <c r="R544" s="678"/>
      <c r="S544" s="678"/>
      <c r="T544" s="678"/>
      <c r="U544" s="678"/>
      <c r="V544" s="678"/>
      <c r="W544" s="679"/>
      <c r="X544" s="679"/>
      <c r="Y544" s="679"/>
      <c r="Z544" s="679"/>
      <c r="AA544" s="679"/>
      <c r="AB544" s="680"/>
    </row>
    <row r="545" spans="2:28" s="780" customFormat="1" hidden="1" x14ac:dyDescent="0.45">
      <c r="B545" s="1692"/>
      <c r="C545" s="1697"/>
      <c r="D545" s="122" t="s">
        <v>327</v>
      </c>
      <c r="E545" s="678"/>
      <c r="F545" s="678"/>
      <c r="G545" s="678"/>
      <c r="H545" s="678"/>
      <c r="I545" s="678"/>
      <c r="J545" s="678"/>
      <c r="K545" s="678"/>
      <c r="L545" s="678"/>
      <c r="M545" s="678"/>
      <c r="N545" s="678"/>
      <c r="O545" s="678"/>
      <c r="P545" s="678"/>
      <c r="Q545" s="678"/>
      <c r="R545" s="678"/>
      <c r="S545" s="678"/>
      <c r="T545" s="678"/>
      <c r="U545" s="678"/>
      <c r="V545" s="678"/>
      <c r="W545" s="678"/>
      <c r="X545" s="678"/>
      <c r="Y545" s="679"/>
      <c r="Z545" s="679"/>
      <c r="AA545" s="679"/>
      <c r="AB545" s="680"/>
    </row>
    <row r="546" spans="2:28" s="780" customFormat="1" hidden="1" x14ac:dyDescent="0.45">
      <c r="B546" s="1692"/>
      <c r="C546" s="1698" t="s">
        <v>333</v>
      </c>
      <c r="D546" s="124" t="s">
        <v>326</v>
      </c>
      <c r="E546" s="675"/>
      <c r="F546" s="675"/>
      <c r="G546" s="675"/>
      <c r="H546" s="675"/>
      <c r="I546" s="675"/>
      <c r="J546" s="675"/>
      <c r="K546" s="675"/>
      <c r="L546" s="675"/>
      <c r="M546" s="675"/>
      <c r="N546" s="675"/>
      <c r="O546" s="675"/>
      <c r="P546" s="675"/>
      <c r="Q546" s="675"/>
      <c r="R546" s="675"/>
      <c r="S546" s="675"/>
      <c r="T546" s="675"/>
      <c r="U546" s="675"/>
      <c r="V546" s="675"/>
      <c r="W546" s="676"/>
      <c r="X546" s="676"/>
      <c r="Y546" s="676"/>
      <c r="Z546" s="676"/>
      <c r="AA546" s="676"/>
      <c r="AB546" s="677"/>
    </row>
    <row r="547" spans="2:28" s="780" customFormat="1" hidden="1" x14ac:dyDescent="0.45">
      <c r="B547" s="1693"/>
      <c r="C547" s="1699"/>
      <c r="D547" s="126" t="s">
        <v>327</v>
      </c>
      <c r="E547" s="687"/>
      <c r="F547" s="687"/>
      <c r="G547" s="687"/>
      <c r="H547" s="687"/>
      <c r="I547" s="687"/>
      <c r="J547" s="687"/>
      <c r="K547" s="687"/>
      <c r="L547" s="687"/>
      <c r="M547" s="687"/>
      <c r="N547" s="687"/>
      <c r="O547" s="687"/>
      <c r="P547" s="687"/>
      <c r="Q547" s="687"/>
      <c r="R547" s="687"/>
      <c r="S547" s="687"/>
      <c r="T547" s="687"/>
      <c r="U547" s="687"/>
      <c r="V547" s="687"/>
      <c r="W547" s="687"/>
      <c r="X547" s="687"/>
      <c r="Y547" s="687"/>
      <c r="Z547" s="687"/>
      <c r="AA547" s="687"/>
      <c r="AB547" s="688"/>
    </row>
    <row r="548" spans="2:28" s="780" customFormat="1" hidden="1" x14ac:dyDescent="0.45"/>
    <row r="549" spans="2:28" s="780" customFormat="1" hidden="1" x14ac:dyDescent="0.45">
      <c r="B549" s="1688" t="s">
        <v>54</v>
      </c>
      <c r="C549" s="1689"/>
      <c r="D549" s="1690"/>
      <c r="E549" s="779"/>
      <c r="F549" s="779"/>
      <c r="G549" s="779"/>
      <c r="H549" s="779"/>
      <c r="I549" s="779"/>
      <c r="J549" s="779"/>
      <c r="K549" s="779"/>
      <c r="L549" s="779"/>
      <c r="M549" s="779"/>
      <c r="N549" s="779"/>
      <c r="O549" s="779"/>
      <c r="P549" s="779"/>
      <c r="Q549" s="779"/>
      <c r="R549" s="779"/>
      <c r="S549" s="779"/>
      <c r="T549" s="779"/>
      <c r="U549" s="779"/>
      <c r="V549" s="779"/>
      <c r="W549" s="779"/>
      <c r="X549" s="779"/>
      <c r="Y549" s="779"/>
      <c r="Z549" s="779"/>
      <c r="AA549" s="779"/>
      <c r="AB549" s="708"/>
    </row>
    <row r="550" spans="2:28" s="780" customFormat="1" ht="15" hidden="1" customHeight="1" x14ac:dyDescent="0.45">
      <c r="B550" s="1691" t="str">
        <f>CONCATENATE("Plan ", INDEX(plans_index,,(ROW(B550)-6)/16), ": ", INDEX(plans_name,,(ROW(B550)-6)/16))</f>
        <v xml:space="preserve">Plan 34: </v>
      </c>
      <c r="C550" s="1694" t="s">
        <v>325</v>
      </c>
      <c r="D550" s="123" t="s">
        <v>326</v>
      </c>
      <c r="E550" s="672"/>
      <c r="F550" s="672"/>
      <c r="G550" s="672"/>
      <c r="H550" s="673"/>
      <c r="I550" s="672"/>
      <c r="J550" s="672"/>
      <c r="K550" s="672"/>
      <c r="L550" s="672"/>
      <c r="M550" s="672"/>
      <c r="N550" s="672"/>
      <c r="O550" s="672"/>
      <c r="P550" s="672"/>
      <c r="Q550" s="672"/>
      <c r="R550" s="672"/>
      <c r="S550" s="672"/>
      <c r="T550" s="672"/>
      <c r="U550" s="672"/>
      <c r="V550" s="672"/>
      <c r="W550" s="672"/>
      <c r="X550" s="672"/>
      <c r="Y550" s="672"/>
      <c r="Z550" s="672"/>
      <c r="AA550" s="672"/>
      <c r="AB550" s="674"/>
    </row>
    <row r="551" spans="2:28" s="780" customFormat="1" hidden="1" x14ac:dyDescent="0.45">
      <c r="B551" s="1692"/>
      <c r="C551" s="1695"/>
      <c r="D551" s="124" t="s">
        <v>327</v>
      </c>
      <c r="E551" s="675"/>
      <c r="F551" s="675"/>
      <c r="G551" s="675"/>
      <c r="H551" s="675"/>
      <c r="I551" s="675"/>
      <c r="J551" s="675"/>
      <c r="K551" s="675"/>
      <c r="L551" s="675"/>
      <c r="M551" s="675"/>
      <c r="N551" s="675"/>
      <c r="O551" s="675"/>
      <c r="P551" s="675"/>
      <c r="Q551" s="675"/>
      <c r="R551" s="675"/>
      <c r="S551" s="675"/>
      <c r="T551" s="675"/>
      <c r="U551" s="675"/>
      <c r="V551" s="675"/>
      <c r="W551" s="675"/>
      <c r="X551" s="675"/>
      <c r="Y551" s="676"/>
      <c r="Z551" s="676"/>
      <c r="AA551" s="676"/>
      <c r="AB551" s="677"/>
    </row>
    <row r="552" spans="2:28" s="780" customFormat="1" hidden="1" x14ac:dyDescent="0.45">
      <c r="B552" s="1692"/>
      <c r="C552" s="1696" t="s">
        <v>328</v>
      </c>
      <c r="D552" s="122" t="s">
        <v>326</v>
      </c>
      <c r="E552" s="678"/>
      <c r="F552" s="678"/>
      <c r="G552" s="678"/>
      <c r="H552" s="678"/>
      <c r="I552" s="678"/>
      <c r="J552" s="678"/>
      <c r="K552" s="678"/>
      <c r="L552" s="678"/>
      <c r="M552" s="678"/>
      <c r="N552" s="678"/>
      <c r="O552" s="678"/>
      <c r="P552" s="678"/>
      <c r="Q552" s="678"/>
      <c r="R552" s="678"/>
      <c r="S552" s="678"/>
      <c r="T552" s="678"/>
      <c r="U552" s="678"/>
      <c r="V552" s="678"/>
      <c r="W552" s="678"/>
      <c r="X552" s="678"/>
      <c r="Y552" s="679"/>
      <c r="Z552" s="679"/>
      <c r="AA552" s="679"/>
      <c r="AB552" s="680"/>
    </row>
    <row r="553" spans="2:28" s="780" customFormat="1" hidden="1" x14ac:dyDescent="0.45">
      <c r="B553" s="1692"/>
      <c r="C553" s="1697"/>
      <c r="D553" s="122" t="s">
        <v>327</v>
      </c>
      <c r="E553" s="678"/>
      <c r="F553" s="678"/>
      <c r="G553" s="678"/>
      <c r="H553" s="678"/>
      <c r="I553" s="678"/>
      <c r="J553" s="678"/>
      <c r="K553" s="678"/>
      <c r="L553" s="678"/>
      <c r="M553" s="678"/>
      <c r="N553" s="678"/>
      <c r="O553" s="678"/>
      <c r="P553" s="678"/>
      <c r="Q553" s="678"/>
      <c r="R553" s="678"/>
      <c r="S553" s="678"/>
      <c r="T553" s="678"/>
      <c r="U553" s="678"/>
      <c r="V553" s="678"/>
      <c r="W553" s="678"/>
      <c r="X553" s="681"/>
      <c r="Y553" s="679"/>
      <c r="Z553" s="679"/>
      <c r="AA553" s="679"/>
      <c r="AB553" s="680"/>
    </row>
    <row r="554" spans="2:28" s="780" customFormat="1" hidden="1" x14ac:dyDescent="0.45">
      <c r="B554" s="1692"/>
      <c r="C554" s="1698" t="s">
        <v>329</v>
      </c>
      <c r="D554" s="125" t="s">
        <v>326</v>
      </c>
      <c r="E554" s="682"/>
      <c r="F554" s="682"/>
      <c r="G554" s="682"/>
      <c r="H554" s="682"/>
      <c r="I554" s="682"/>
      <c r="J554" s="682"/>
      <c r="K554" s="682"/>
      <c r="L554" s="682"/>
      <c r="M554" s="682"/>
      <c r="N554" s="682"/>
      <c r="O554" s="682"/>
      <c r="P554" s="682"/>
      <c r="Q554" s="682"/>
      <c r="R554" s="682"/>
      <c r="S554" s="682"/>
      <c r="T554" s="682"/>
      <c r="U554" s="682"/>
      <c r="V554" s="682"/>
      <c r="W554" s="682"/>
      <c r="X554" s="682"/>
      <c r="Y554" s="683"/>
      <c r="Z554" s="683"/>
      <c r="AA554" s="683"/>
      <c r="AB554" s="684"/>
    </row>
    <row r="555" spans="2:28" s="780" customFormat="1" hidden="1" x14ac:dyDescent="0.45">
      <c r="B555" s="1692"/>
      <c r="C555" s="1695"/>
      <c r="D555" s="124" t="s">
        <v>327</v>
      </c>
      <c r="E555" s="675"/>
      <c r="F555" s="675"/>
      <c r="G555" s="675"/>
      <c r="H555" s="675"/>
      <c r="I555" s="675"/>
      <c r="J555" s="675"/>
      <c r="K555" s="675"/>
      <c r="L555" s="675"/>
      <c r="M555" s="675"/>
      <c r="N555" s="675"/>
      <c r="O555" s="675"/>
      <c r="P555" s="675"/>
      <c r="Q555" s="675"/>
      <c r="R555" s="675"/>
      <c r="S555" s="675"/>
      <c r="T555" s="675"/>
      <c r="U555" s="675"/>
      <c r="V555" s="675"/>
      <c r="W555" s="675"/>
      <c r="X555" s="675"/>
      <c r="Y555" s="676"/>
      <c r="Z555" s="676"/>
      <c r="AA555" s="676"/>
      <c r="AB555" s="677"/>
    </row>
    <row r="556" spans="2:28" s="780" customFormat="1" hidden="1" x14ac:dyDescent="0.45">
      <c r="B556" s="1692"/>
      <c r="C556" s="1696" t="s">
        <v>330</v>
      </c>
      <c r="D556" s="122" t="s">
        <v>326</v>
      </c>
      <c r="E556" s="678"/>
      <c r="F556" s="678"/>
      <c r="G556" s="678"/>
      <c r="H556" s="678"/>
      <c r="I556" s="678"/>
      <c r="J556" s="678"/>
      <c r="K556" s="678"/>
      <c r="L556" s="678"/>
      <c r="M556" s="678"/>
      <c r="N556" s="678"/>
      <c r="O556" s="678"/>
      <c r="P556" s="678"/>
      <c r="Q556" s="678"/>
      <c r="R556" s="678"/>
      <c r="S556" s="678"/>
      <c r="T556" s="678"/>
      <c r="U556" s="678"/>
      <c r="V556" s="678"/>
      <c r="W556" s="678"/>
      <c r="X556" s="678"/>
      <c r="Y556" s="679"/>
      <c r="Z556" s="679"/>
      <c r="AA556" s="679"/>
      <c r="AB556" s="680"/>
    </row>
    <row r="557" spans="2:28" s="780" customFormat="1" hidden="1" x14ac:dyDescent="0.45">
      <c r="B557" s="1692"/>
      <c r="C557" s="1697"/>
      <c r="D557" s="122" t="s">
        <v>327</v>
      </c>
      <c r="E557" s="678"/>
      <c r="F557" s="678"/>
      <c r="G557" s="678"/>
      <c r="H557" s="678"/>
      <c r="I557" s="678"/>
      <c r="J557" s="678"/>
      <c r="K557" s="678"/>
      <c r="L557" s="678"/>
      <c r="M557" s="678"/>
      <c r="N557" s="678"/>
      <c r="O557" s="678"/>
      <c r="P557" s="678"/>
      <c r="Q557" s="678"/>
      <c r="R557" s="678"/>
      <c r="S557" s="678"/>
      <c r="T557" s="678"/>
      <c r="U557" s="678"/>
      <c r="V557" s="678"/>
      <c r="W557" s="678"/>
      <c r="X557" s="681"/>
      <c r="Y557" s="679"/>
      <c r="Z557" s="679"/>
      <c r="AA557" s="679"/>
      <c r="AB557" s="680"/>
    </row>
    <row r="558" spans="2:28" s="780" customFormat="1" hidden="1" x14ac:dyDescent="0.45">
      <c r="B558" s="1692"/>
      <c r="C558" s="1698" t="s">
        <v>331</v>
      </c>
      <c r="D558" s="125" t="s">
        <v>326</v>
      </c>
      <c r="E558" s="682"/>
      <c r="F558" s="682"/>
      <c r="G558" s="685"/>
      <c r="H558" s="682"/>
      <c r="I558" s="682"/>
      <c r="J558" s="682"/>
      <c r="K558" s="682"/>
      <c r="L558" s="682"/>
      <c r="M558" s="682"/>
      <c r="N558" s="682"/>
      <c r="O558" s="682"/>
      <c r="P558" s="682"/>
      <c r="Q558" s="682"/>
      <c r="R558" s="682"/>
      <c r="S558" s="682"/>
      <c r="T558" s="682"/>
      <c r="U558" s="682"/>
      <c r="V558" s="682"/>
      <c r="W558" s="682"/>
      <c r="X558" s="682"/>
      <c r="Y558" s="683"/>
      <c r="Z558" s="683"/>
      <c r="AA558" s="683"/>
      <c r="AB558" s="684"/>
    </row>
    <row r="559" spans="2:28" s="780" customFormat="1" hidden="1" x14ac:dyDescent="0.45">
      <c r="B559" s="1692"/>
      <c r="C559" s="1695"/>
      <c r="D559" s="124" t="s">
        <v>327</v>
      </c>
      <c r="E559" s="675"/>
      <c r="F559" s="675"/>
      <c r="G559" s="686"/>
      <c r="H559" s="675"/>
      <c r="I559" s="675"/>
      <c r="J559" s="675"/>
      <c r="K559" s="675"/>
      <c r="L559" s="675"/>
      <c r="M559" s="675"/>
      <c r="N559" s="675"/>
      <c r="O559" s="675"/>
      <c r="P559" s="675"/>
      <c r="Q559" s="675"/>
      <c r="R559" s="675"/>
      <c r="S559" s="675"/>
      <c r="T559" s="675"/>
      <c r="U559" s="675"/>
      <c r="V559" s="675"/>
      <c r="W559" s="675"/>
      <c r="X559" s="675"/>
      <c r="Y559" s="676"/>
      <c r="Z559" s="676"/>
      <c r="AA559" s="676"/>
      <c r="AB559" s="677"/>
    </row>
    <row r="560" spans="2:28" s="780" customFormat="1" hidden="1" x14ac:dyDescent="0.45">
      <c r="B560" s="1692"/>
      <c r="C560" s="1696" t="s">
        <v>332</v>
      </c>
      <c r="D560" s="122" t="s">
        <v>326</v>
      </c>
      <c r="E560" s="678"/>
      <c r="F560" s="678"/>
      <c r="G560" s="678"/>
      <c r="H560" s="678"/>
      <c r="I560" s="678"/>
      <c r="J560" s="678"/>
      <c r="K560" s="678"/>
      <c r="L560" s="678"/>
      <c r="M560" s="678"/>
      <c r="N560" s="678"/>
      <c r="O560" s="678"/>
      <c r="P560" s="678"/>
      <c r="Q560" s="678"/>
      <c r="R560" s="678"/>
      <c r="S560" s="678"/>
      <c r="T560" s="678"/>
      <c r="U560" s="678"/>
      <c r="V560" s="678"/>
      <c r="W560" s="679"/>
      <c r="X560" s="679"/>
      <c r="Y560" s="679"/>
      <c r="Z560" s="679"/>
      <c r="AA560" s="679"/>
      <c r="AB560" s="680"/>
    </row>
    <row r="561" spans="2:28" s="780" customFormat="1" hidden="1" x14ac:dyDescent="0.45">
      <c r="B561" s="1692"/>
      <c r="C561" s="1697"/>
      <c r="D561" s="122" t="s">
        <v>327</v>
      </c>
      <c r="E561" s="678"/>
      <c r="F561" s="678"/>
      <c r="G561" s="678"/>
      <c r="H561" s="678"/>
      <c r="I561" s="678"/>
      <c r="J561" s="678"/>
      <c r="K561" s="678"/>
      <c r="L561" s="678"/>
      <c r="M561" s="678"/>
      <c r="N561" s="678"/>
      <c r="O561" s="678"/>
      <c r="P561" s="678"/>
      <c r="Q561" s="678"/>
      <c r="R561" s="678"/>
      <c r="S561" s="678"/>
      <c r="T561" s="678"/>
      <c r="U561" s="678"/>
      <c r="V561" s="678"/>
      <c r="W561" s="678"/>
      <c r="X561" s="678"/>
      <c r="Y561" s="679"/>
      <c r="Z561" s="679"/>
      <c r="AA561" s="679"/>
      <c r="AB561" s="680"/>
    </row>
    <row r="562" spans="2:28" s="780" customFormat="1" hidden="1" x14ac:dyDescent="0.45">
      <c r="B562" s="1692"/>
      <c r="C562" s="1698" t="s">
        <v>333</v>
      </c>
      <c r="D562" s="124" t="s">
        <v>326</v>
      </c>
      <c r="E562" s="675"/>
      <c r="F562" s="675"/>
      <c r="G562" s="675"/>
      <c r="H562" s="675"/>
      <c r="I562" s="675"/>
      <c r="J562" s="675"/>
      <c r="K562" s="675"/>
      <c r="L562" s="675"/>
      <c r="M562" s="675"/>
      <c r="N562" s="675"/>
      <c r="O562" s="675"/>
      <c r="P562" s="675"/>
      <c r="Q562" s="675"/>
      <c r="R562" s="675"/>
      <c r="S562" s="675"/>
      <c r="T562" s="675"/>
      <c r="U562" s="675"/>
      <c r="V562" s="675"/>
      <c r="W562" s="676"/>
      <c r="X562" s="676"/>
      <c r="Y562" s="676"/>
      <c r="Z562" s="676"/>
      <c r="AA562" s="676"/>
      <c r="AB562" s="677"/>
    </row>
    <row r="563" spans="2:28" s="780" customFormat="1" hidden="1" x14ac:dyDescent="0.45">
      <c r="B563" s="1693"/>
      <c r="C563" s="1699"/>
      <c r="D563" s="126" t="s">
        <v>327</v>
      </c>
      <c r="E563" s="687"/>
      <c r="F563" s="687"/>
      <c r="G563" s="687"/>
      <c r="H563" s="687"/>
      <c r="I563" s="687"/>
      <c r="J563" s="687"/>
      <c r="K563" s="687"/>
      <c r="L563" s="687"/>
      <c r="M563" s="687"/>
      <c r="N563" s="687"/>
      <c r="O563" s="687"/>
      <c r="P563" s="687"/>
      <c r="Q563" s="687"/>
      <c r="R563" s="687"/>
      <c r="S563" s="687"/>
      <c r="T563" s="687"/>
      <c r="U563" s="687"/>
      <c r="V563" s="687"/>
      <c r="W563" s="687"/>
      <c r="X563" s="687"/>
      <c r="Y563" s="687"/>
      <c r="Z563" s="687"/>
      <c r="AA563" s="687"/>
      <c r="AB563" s="688"/>
    </row>
    <row r="564" spans="2:28" s="780" customFormat="1" hidden="1" x14ac:dyDescent="0.45"/>
    <row r="565" spans="2:28" s="780" customFormat="1" hidden="1" x14ac:dyDescent="0.45">
      <c r="B565" s="1688" t="s">
        <v>54</v>
      </c>
      <c r="C565" s="1689"/>
      <c r="D565" s="1690"/>
      <c r="E565" s="779"/>
      <c r="F565" s="779"/>
      <c r="G565" s="779"/>
      <c r="H565" s="779"/>
      <c r="I565" s="779"/>
      <c r="J565" s="779"/>
      <c r="K565" s="779"/>
      <c r="L565" s="779"/>
      <c r="M565" s="779"/>
      <c r="N565" s="779"/>
      <c r="O565" s="779"/>
      <c r="P565" s="779"/>
      <c r="Q565" s="779"/>
      <c r="R565" s="779"/>
      <c r="S565" s="779"/>
      <c r="T565" s="779"/>
      <c r="U565" s="779"/>
      <c r="V565" s="779"/>
      <c r="W565" s="779"/>
      <c r="X565" s="779"/>
      <c r="Y565" s="779"/>
      <c r="Z565" s="779"/>
      <c r="AA565" s="779"/>
      <c r="AB565" s="708"/>
    </row>
    <row r="566" spans="2:28" s="780" customFormat="1" ht="15" hidden="1" customHeight="1" x14ac:dyDescent="0.45">
      <c r="B566" s="1691" t="str">
        <f>CONCATENATE("Plan ", INDEX(plans_index,,(ROW(B566)-6)/16), ": ", INDEX(plans_name,,(ROW(B566)-6)/16))</f>
        <v xml:space="preserve">Plan 35: </v>
      </c>
      <c r="C566" s="1694" t="s">
        <v>325</v>
      </c>
      <c r="D566" s="123" t="s">
        <v>326</v>
      </c>
      <c r="E566" s="672"/>
      <c r="F566" s="672"/>
      <c r="G566" s="672"/>
      <c r="H566" s="673"/>
      <c r="I566" s="672"/>
      <c r="J566" s="672"/>
      <c r="K566" s="672"/>
      <c r="L566" s="672"/>
      <c r="M566" s="672"/>
      <c r="N566" s="672"/>
      <c r="O566" s="672"/>
      <c r="P566" s="672"/>
      <c r="Q566" s="672"/>
      <c r="R566" s="672"/>
      <c r="S566" s="672"/>
      <c r="T566" s="672"/>
      <c r="U566" s="672"/>
      <c r="V566" s="672"/>
      <c r="W566" s="672"/>
      <c r="X566" s="672"/>
      <c r="Y566" s="672"/>
      <c r="Z566" s="672"/>
      <c r="AA566" s="672"/>
      <c r="AB566" s="674"/>
    </row>
    <row r="567" spans="2:28" s="780" customFormat="1" hidden="1" x14ac:dyDescent="0.45">
      <c r="B567" s="1692"/>
      <c r="C567" s="1695"/>
      <c r="D567" s="124" t="s">
        <v>327</v>
      </c>
      <c r="E567" s="675"/>
      <c r="F567" s="675"/>
      <c r="G567" s="675"/>
      <c r="H567" s="675"/>
      <c r="I567" s="675"/>
      <c r="J567" s="675"/>
      <c r="K567" s="675"/>
      <c r="L567" s="675"/>
      <c r="M567" s="675"/>
      <c r="N567" s="675"/>
      <c r="O567" s="675"/>
      <c r="P567" s="675"/>
      <c r="Q567" s="675"/>
      <c r="R567" s="675"/>
      <c r="S567" s="675"/>
      <c r="T567" s="675"/>
      <c r="U567" s="675"/>
      <c r="V567" s="675"/>
      <c r="W567" s="675"/>
      <c r="X567" s="675"/>
      <c r="Y567" s="676"/>
      <c r="Z567" s="676"/>
      <c r="AA567" s="676"/>
      <c r="AB567" s="677"/>
    </row>
    <row r="568" spans="2:28" s="780" customFormat="1" hidden="1" x14ac:dyDescent="0.45">
      <c r="B568" s="1692"/>
      <c r="C568" s="1696" t="s">
        <v>328</v>
      </c>
      <c r="D568" s="122" t="s">
        <v>326</v>
      </c>
      <c r="E568" s="678"/>
      <c r="F568" s="678"/>
      <c r="G568" s="678"/>
      <c r="H568" s="678"/>
      <c r="I568" s="678"/>
      <c r="J568" s="678"/>
      <c r="K568" s="678"/>
      <c r="L568" s="678"/>
      <c r="M568" s="678"/>
      <c r="N568" s="678"/>
      <c r="O568" s="678"/>
      <c r="P568" s="678"/>
      <c r="Q568" s="678"/>
      <c r="R568" s="678"/>
      <c r="S568" s="678"/>
      <c r="T568" s="678"/>
      <c r="U568" s="678"/>
      <c r="V568" s="678"/>
      <c r="W568" s="678"/>
      <c r="X568" s="678"/>
      <c r="Y568" s="679"/>
      <c r="Z568" s="679"/>
      <c r="AA568" s="679"/>
      <c r="AB568" s="680"/>
    </row>
    <row r="569" spans="2:28" s="780" customFormat="1" hidden="1" x14ac:dyDescent="0.45">
      <c r="B569" s="1692"/>
      <c r="C569" s="1697"/>
      <c r="D569" s="122" t="s">
        <v>327</v>
      </c>
      <c r="E569" s="678"/>
      <c r="F569" s="678"/>
      <c r="G569" s="678"/>
      <c r="H569" s="678"/>
      <c r="I569" s="678"/>
      <c r="J569" s="678"/>
      <c r="K569" s="678"/>
      <c r="L569" s="678"/>
      <c r="M569" s="678"/>
      <c r="N569" s="678"/>
      <c r="O569" s="678"/>
      <c r="P569" s="678"/>
      <c r="Q569" s="678"/>
      <c r="R569" s="678"/>
      <c r="S569" s="678"/>
      <c r="T569" s="678"/>
      <c r="U569" s="678"/>
      <c r="V569" s="678"/>
      <c r="W569" s="678"/>
      <c r="X569" s="681"/>
      <c r="Y569" s="679"/>
      <c r="Z569" s="679"/>
      <c r="AA569" s="679"/>
      <c r="AB569" s="680"/>
    </row>
    <row r="570" spans="2:28" s="780" customFormat="1" hidden="1" x14ac:dyDescent="0.45">
      <c r="B570" s="1692"/>
      <c r="C570" s="1698" t="s">
        <v>329</v>
      </c>
      <c r="D570" s="125" t="s">
        <v>326</v>
      </c>
      <c r="E570" s="682"/>
      <c r="F570" s="682"/>
      <c r="G570" s="682"/>
      <c r="H570" s="682"/>
      <c r="I570" s="682"/>
      <c r="J570" s="682"/>
      <c r="K570" s="682"/>
      <c r="L570" s="682"/>
      <c r="M570" s="682"/>
      <c r="N570" s="682"/>
      <c r="O570" s="682"/>
      <c r="P570" s="682"/>
      <c r="Q570" s="682"/>
      <c r="R570" s="682"/>
      <c r="S570" s="682"/>
      <c r="T570" s="682"/>
      <c r="U570" s="682"/>
      <c r="V570" s="682"/>
      <c r="W570" s="682"/>
      <c r="X570" s="682"/>
      <c r="Y570" s="683"/>
      <c r="Z570" s="683"/>
      <c r="AA570" s="683"/>
      <c r="AB570" s="684"/>
    </row>
    <row r="571" spans="2:28" s="780" customFormat="1" hidden="1" x14ac:dyDescent="0.45">
      <c r="B571" s="1692"/>
      <c r="C571" s="1695"/>
      <c r="D571" s="124" t="s">
        <v>327</v>
      </c>
      <c r="E571" s="675"/>
      <c r="F571" s="675"/>
      <c r="G571" s="675"/>
      <c r="H571" s="675"/>
      <c r="I571" s="675"/>
      <c r="J571" s="675"/>
      <c r="K571" s="675"/>
      <c r="L571" s="675"/>
      <c r="M571" s="675"/>
      <c r="N571" s="675"/>
      <c r="O571" s="675"/>
      <c r="P571" s="675"/>
      <c r="Q571" s="675"/>
      <c r="R571" s="675"/>
      <c r="S571" s="675"/>
      <c r="T571" s="675"/>
      <c r="U571" s="675"/>
      <c r="V571" s="675"/>
      <c r="W571" s="675"/>
      <c r="X571" s="675"/>
      <c r="Y571" s="676"/>
      <c r="Z571" s="676"/>
      <c r="AA571" s="676"/>
      <c r="AB571" s="677"/>
    </row>
    <row r="572" spans="2:28" s="780" customFormat="1" hidden="1" x14ac:dyDescent="0.45">
      <c r="B572" s="1692"/>
      <c r="C572" s="1696" t="s">
        <v>330</v>
      </c>
      <c r="D572" s="122" t="s">
        <v>326</v>
      </c>
      <c r="E572" s="678"/>
      <c r="F572" s="678"/>
      <c r="G572" s="678"/>
      <c r="H572" s="678"/>
      <c r="I572" s="678"/>
      <c r="J572" s="678"/>
      <c r="K572" s="678"/>
      <c r="L572" s="678"/>
      <c r="M572" s="678"/>
      <c r="N572" s="678"/>
      <c r="O572" s="678"/>
      <c r="P572" s="678"/>
      <c r="Q572" s="678"/>
      <c r="R572" s="678"/>
      <c r="S572" s="678"/>
      <c r="T572" s="678"/>
      <c r="U572" s="678"/>
      <c r="V572" s="678"/>
      <c r="W572" s="678"/>
      <c r="X572" s="678"/>
      <c r="Y572" s="679"/>
      <c r="Z572" s="679"/>
      <c r="AA572" s="679"/>
      <c r="AB572" s="680"/>
    </row>
    <row r="573" spans="2:28" s="780" customFormat="1" hidden="1" x14ac:dyDescent="0.45">
      <c r="B573" s="1692"/>
      <c r="C573" s="1697"/>
      <c r="D573" s="122" t="s">
        <v>327</v>
      </c>
      <c r="E573" s="678"/>
      <c r="F573" s="678"/>
      <c r="G573" s="678"/>
      <c r="H573" s="678"/>
      <c r="I573" s="678"/>
      <c r="J573" s="678"/>
      <c r="K573" s="678"/>
      <c r="L573" s="678"/>
      <c r="M573" s="678"/>
      <c r="N573" s="678"/>
      <c r="O573" s="678"/>
      <c r="P573" s="678"/>
      <c r="Q573" s="678"/>
      <c r="R573" s="678"/>
      <c r="S573" s="678"/>
      <c r="T573" s="678"/>
      <c r="U573" s="678"/>
      <c r="V573" s="678"/>
      <c r="W573" s="678"/>
      <c r="X573" s="681"/>
      <c r="Y573" s="679"/>
      <c r="Z573" s="679"/>
      <c r="AA573" s="679"/>
      <c r="AB573" s="680"/>
    </row>
    <row r="574" spans="2:28" s="780" customFormat="1" hidden="1" x14ac:dyDescent="0.45">
      <c r="B574" s="1692"/>
      <c r="C574" s="1698" t="s">
        <v>331</v>
      </c>
      <c r="D574" s="125" t="s">
        <v>326</v>
      </c>
      <c r="E574" s="682"/>
      <c r="F574" s="682"/>
      <c r="G574" s="685"/>
      <c r="H574" s="682"/>
      <c r="I574" s="682"/>
      <c r="J574" s="682"/>
      <c r="K574" s="682"/>
      <c r="L574" s="682"/>
      <c r="M574" s="682"/>
      <c r="N574" s="682"/>
      <c r="O574" s="682"/>
      <c r="P574" s="682"/>
      <c r="Q574" s="682"/>
      <c r="R574" s="682"/>
      <c r="S574" s="682"/>
      <c r="T574" s="682"/>
      <c r="U574" s="682"/>
      <c r="V574" s="682"/>
      <c r="W574" s="682"/>
      <c r="X574" s="682"/>
      <c r="Y574" s="683"/>
      <c r="Z574" s="683"/>
      <c r="AA574" s="683"/>
      <c r="AB574" s="684"/>
    </row>
    <row r="575" spans="2:28" s="780" customFormat="1" hidden="1" x14ac:dyDescent="0.45">
      <c r="B575" s="1692"/>
      <c r="C575" s="1695"/>
      <c r="D575" s="124" t="s">
        <v>327</v>
      </c>
      <c r="E575" s="675"/>
      <c r="F575" s="675"/>
      <c r="G575" s="686"/>
      <c r="H575" s="675"/>
      <c r="I575" s="675"/>
      <c r="J575" s="675"/>
      <c r="K575" s="675"/>
      <c r="L575" s="675"/>
      <c r="M575" s="675"/>
      <c r="N575" s="675"/>
      <c r="O575" s="675"/>
      <c r="P575" s="675"/>
      <c r="Q575" s="675"/>
      <c r="R575" s="675"/>
      <c r="S575" s="675"/>
      <c r="T575" s="675"/>
      <c r="U575" s="675"/>
      <c r="V575" s="675"/>
      <c r="W575" s="675"/>
      <c r="X575" s="675"/>
      <c r="Y575" s="676"/>
      <c r="Z575" s="676"/>
      <c r="AA575" s="676"/>
      <c r="AB575" s="677"/>
    </row>
    <row r="576" spans="2:28" s="780" customFormat="1" hidden="1" x14ac:dyDescent="0.45">
      <c r="B576" s="1692"/>
      <c r="C576" s="1696" t="s">
        <v>332</v>
      </c>
      <c r="D576" s="122" t="s">
        <v>326</v>
      </c>
      <c r="E576" s="678"/>
      <c r="F576" s="678"/>
      <c r="G576" s="678"/>
      <c r="H576" s="678"/>
      <c r="I576" s="678"/>
      <c r="J576" s="678"/>
      <c r="K576" s="678"/>
      <c r="L576" s="678"/>
      <c r="M576" s="678"/>
      <c r="N576" s="678"/>
      <c r="O576" s="678"/>
      <c r="P576" s="678"/>
      <c r="Q576" s="678"/>
      <c r="R576" s="678"/>
      <c r="S576" s="678"/>
      <c r="T576" s="678"/>
      <c r="U576" s="678"/>
      <c r="V576" s="678"/>
      <c r="W576" s="679"/>
      <c r="X576" s="679"/>
      <c r="Y576" s="679"/>
      <c r="Z576" s="679"/>
      <c r="AA576" s="679"/>
      <c r="AB576" s="680"/>
    </row>
    <row r="577" spans="2:28" s="780" customFormat="1" hidden="1" x14ac:dyDescent="0.45">
      <c r="B577" s="1692"/>
      <c r="C577" s="1697"/>
      <c r="D577" s="122" t="s">
        <v>327</v>
      </c>
      <c r="E577" s="678"/>
      <c r="F577" s="678"/>
      <c r="G577" s="678"/>
      <c r="H577" s="678"/>
      <c r="I577" s="678"/>
      <c r="J577" s="678"/>
      <c r="K577" s="678"/>
      <c r="L577" s="678"/>
      <c r="M577" s="678"/>
      <c r="N577" s="678"/>
      <c r="O577" s="678"/>
      <c r="P577" s="678"/>
      <c r="Q577" s="678"/>
      <c r="R577" s="678"/>
      <c r="S577" s="678"/>
      <c r="T577" s="678"/>
      <c r="U577" s="678"/>
      <c r="V577" s="678"/>
      <c r="W577" s="678"/>
      <c r="X577" s="678"/>
      <c r="Y577" s="679"/>
      <c r="Z577" s="679"/>
      <c r="AA577" s="679"/>
      <c r="AB577" s="680"/>
    </row>
    <row r="578" spans="2:28" s="780" customFormat="1" hidden="1" x14ac:dyDescent="0.45">
      <c r="B578" s="1692"/>
      <c r="C578" s="1698" t="s">
        <v>333</v>
      </c>
      <c r="D578" s="124" t="s">
        <v>326</v>
      </c>
      <c r="E578" s="675"/>
      <c r="F578" s="675"/>
      <c r="G578" s="675"/>
      <c r="H578" s="675"/>
      <c r="I578" s="675"/>
      <c r="J578" s="675"/>
      <c r="K578" s="675"/>
      <c r="L578" s="675"/>
      <c r="M578" s="675"/>
      <c r="N578" s="675"/>
      <c r="O578" s="675"/>
      <c r="P578" s="675"/>
      <c r="Q578" s="675"/>
      <c r="R578" s="675"/>
      <c r="S578" s="675"/>
      <c r="T578" s="675"/>
      <c r="U578" s="675"/>
      <c r="V578" s="675"/>
      <c r="W578" s="676"/>
      <c r="X578" s="676"/>
      <c r="Y578" s="676"/>
      <c r="Z578" s="676"/>
      <c r="AA578" s="676"/>
      <c r="AB578" s="677"/>
    </row>
    <row r="579" spans="2:28" s="780" customFormat="1" hidden="1" x14ac:dyDescent="0.45">
      <c r="B579" s="1693"/>
      <c r="C579" s="1699"/>
      <c r="D579" s="126" t="s">
        <v>327</v>
      </c>
      <c r="E579" s="687"/>
      <c r="F579" s="687"/>
      <c r="G579" s="687"/>
      <c r="H579" s="687"/>
      <c r="I579" s="687"/>
      <c r="J579" s="687"/>
      <c r="K579" s="687"/>
      <c r="L579" s="687"/>
      <c r="M579" s="687"/>
      <c r="N579" s="687"/>
      <c r="O579" s="687"/>
      <c r="P579" s="687"/>
      <c r="Q579" s="687"/>
      <c r="R579" s="687"/>
      <c r="S579" s="687"/>
      <c r="T579" s="687"/>
      <c r="U579" s="687"/>
      <c r="V579" s="687"/>
      <c r="W579" s="687"/>
      <c r="X579" s="687"/>
      <c r="Y579" s="687"/>
      <c r="Z579" s="687"/>
      <c r="AA579" s="687"/>
      <c r="AB579" s="688"/>
    </row>
    <row r="580" spans="2:28" s="780" customFormat="1" hidden="1" x14ac:dyDescent="0.45"/>
    <row r="581" spans="2:28" s="780" customFormat="1" hidden="1" x14ac:dyDescent="0.45">
      <c r="B581" s="1688" t="s">
        <v>54</v>
      </c>
      <c r="C581" s="1689"/>
      <c r="D581" s="1690"/>
      <c r="E581" s="779"/>
      <c r="F581" s="779"/>
      <c r="G581" s="779"/>
      <c r="H581" s="779"/>
      <c r="I581" s="779"/>
      <c r="J581" s="779"/>
      <c r="K581" s="779"/>
      <c r="L581" s="779"/>
      <c r="M581" s="779"/>
      <c r="N581" s="779"/>
      <c r="O581" s="779"/>
      <c r="P581" s="779"/>
      <c r="Q581" s="779"/>
      <c r="R581" s="779"/>
      <c r="S581" s="779"/>
      <c r="T581" s="779"/>
      <c r="U581" s="779"/>
      <c r="V581" s="779"/>
      <c r="W581" s="779"/>
      <c r="X581" s="779"/>
      <c r="Y581" s="779"/>
      <c r="Z581" s="779"/>
      <c r="AA581" s="779"/>
      <c r="AB581" s="708"/>
    </row>
    <row r="582" spans="2:28" s="780" customFormat="1" ht="15" hidden="1" customHeight="1" x14ac:dyDescent="0.45">
      <c r="B582" s="1691" t="str">
        <f>CONCATENATE("Plan ", INDEX(plans_index,,(ROW(B582)-6)/16), ": ", INDEX(plans_name,,(ROW(B582)-6)/16))</f>
        <v xml:space="preserve">Plan 36: </v>
      </c>
      <c r="C582" s="1694" t="s">
        <v>325</v>
      </c>
      <c r="D582" s="123" t="s">
        <v>326</v>
      </c>
      <c r="E582" s="672"/>
      <c r="F582" s="672"/>
      <c r="G582" s="672"/>
      <c r="H582" s="673"/>
      <c r="I582" s="672"/>
      <c r="J582" s="672"/>
      <c r="K582" s="672"/>
      <c r="L582" s="672"/>
      <c r="M582" s="672"/>
      <c r="N582" s="672"/>
      <c r="O582" s="672"/>
      <c r="P582" s="672"/>
      <c r="Q582" s="672"/>
      <c r="R582" s="672"/>
      <c r="S582" s="672"/>
      <c r="T582" s="672"/>
      <c r="U582" s="672"/>
      <c r="V582" s="672"/>
      <c r="W582" s="672"/>
      <c r="X582" s="672"/>
      <c r="Y582" s="672"/>
      <c r="Z582" s="672"/>
      <c r="AA582" s="672"/>
      <c r="AB582" s="674"/>
    </row>
    <row r="583" spans="2:28" s="780" customFormat="1" hidden="1" x14ac:dyDescent="0.45">
      <c r="B583" s="1692"/>
      <c r="C583" s="1695"/>
      <c r="D583" s="124" t="s">
        <v>327</v>
      </c>
      <c r="E583" s="675"/>
      <c r="F583" s="675"/>
      <c r="G583" s="675"/>
      <c r="H583" s="675"/>
      <c r="I583" s="675"/>
      <c r="J583" s="675"/>
      <c r="K583" s="675"/>
      <c r="L583" s="675"/>
      <c r="M583" s="675"/>
      <c r="N583" s="675"/>
      <c r="O583" s="675"/>
      <c r="P583" s="675"/>
      <c r="Q583" s="675"/>
      <c r="R583" s="675"/>
      <c r="S583" s="675"/>
      <c r="T583" s="675"/>
      <c r="U583" s="675"/>
      <c r="V583" s="675"/>
      <c r="W583" s="675"/>
      <c r="X583" s="675"/>
      <c r="Y583" s="676"/>
      <c r="Z583" s="676"/>
      <c r="AA583" s="676"/>
      <c r="AB583" s="677"/>
    </row>
    <row r="584" spans="2:28" s="780" customFormat="1" hidden="1" x14ac:dyDescent="0.45">
      <c r="B584" s="1692"/>
      <c r="C584" s="1696" t="s">
        <v>328</v>
      </c>
      <c r="D584" s="122" t="s">
        <v>326</v>
      </c>
      <c r="E584" s="678"/>
      <c r="F584" s="678"/>
      <c r="G584" s="678"/>
      <c r="H584" s="678"/>
      <c r="I584" s="678"/>
      <c r="J584" s="678"/>
      <c r="K584" s="678"/>
      <c r="L584" s="678"/>
      <c r="M584" s="678"/>
      <c r="N584" s="678"/>
      <c r="O584" s="678"/>
      <c r="P584" s="678"/>
      <c r="Q584" s="678"/>
      <c r="R584" s="678"/>
      <c r="S584" s="678"/>
      <c r="T584" s="678"/>
      <c r="U584" s="678"/>
      <c r="V584" s="678"/>
      <c r="W584" s="678"/>
      <c r="X584" s="678"/>
      <c r="Y584" s="679"/>
      <c r="Z584" s="679"/>
      <c r="AA584" s="679"/>
      <c r="AB584" s="680"/>
    </row>
    <row r="585" spans="2:28" s="780" customFormat="1" hidden="1" x14ac:dyDescent="0.45">
      <c r="B585" s="1692"/>
      <c r="C585" s="1697"/>
      <c r="D585" s="122" t="s">
        <v>327</v>
      </c>
      <c r="E585" s="678"/>
      <c r="F585" s="678"/>
      <c r="G585" s="678"/>
      <c r="H585" s="678"/>
      <c r="I585" s="678"/>
      <c r="J585" s="678"/>
      <c r="K585" s="678"/>
      <c r="L585" s="678"/>
      <c r="M585" s="678"/>
      <c r="N585" s="678"/>
      <c r="O585" s="678"/>
      <c r="P585" s="678"/>
      <c r="Q585" s="678"/>
      <c r="R585" s="678"/>
      <c r="S585" s="678"/>
      <c r="T585" s="678"/>
      <c r="U585" s="678"/>
      <c r="V585" s="678"/>
      <c r="W585" s="678"/>
      <c r="X585" s="681"/>
      <c r="Y585" s="679"/>
      <c r="Z585" s="679"/>
      <c r="AA585" s="679"/>
      <c r="AB585" s="680"/>
    </row>
    <row r="586" spans="2:28" s="780" customFormat="1" hidden="1" x14ac:dyDescent="0.45">
      <c r="B586" s="1692"/>
      <c r="C586" s="1698" t="s">
        <v>329</v>
      </c>
      <c r="D586" s="125" t="s">
        <v>326</v>
      </c>
      <c r="E586" s="682"/>
      <c r="F586" s="682"/>
      <c r="G586" s="682"/>
      <c r="H586" s="682"/>
      <c r="I586" s="682"/>
      <c r="J586" s="682"/>
      <c r="K586" s="682"/>
      <c r="L586" s="682"/>
      <c r="M586" s="682"/>
      <c r="N586" s="682"/>
      <c r="O586" s="682"/>
      <c r="P586" s="682"/>
      <c r="Q586" s="682"/>
      <c r="R586" s="682"/>
      <c r="S586" s="682"/>
      <c r="T586" s="682"/>
      <c r="U586" s="682"/>
      <c r="V586" s="682"/>
      <c r="W586" s="682"/>
      <c r="X586" s="682"/>
      <c r="Y586" s="683"/>
      <c r="Z586" s="683"/>
      <c r="AA586" s="683"/>
      <c r="AB586" s="684"/>
    </row>
    <row r="587" spans="2:28" s="780" customFormat="1" hidden="1" x14ac:dyDescent="0.45">
      <c r="B587" s="1692"/>
      <c r="C587" s="1695"/>
      <c r="D587" s="124" t="s">
        <v>327</v>
      </c>
      <c r="E587" s="675"/>
      <c r="F587" s="675"/>
      <c r="G587" s="675"/>
      <c r="H587" s="675"/>
      <c r="I587" s="675"/>
      <c r="J587" s="675"/>
      <c r="K587" s="675"/>
      <c r="L587" s="675"/>
      <c r="M587" s="675"/>
      <c r="N587" s="675"/>
      <c r="O587" s="675"/>
      <c r="P587" s="675"/>
      <c r="Q587" s="675"/>
      <c r="R587" s="675"/>
      <c r="S587" s="675"/>
      <c r="T587" s="675"/>
      <c r="U587" s="675"/>
      <c r="V587" s="675"/>
      <c r="W587" s="675"/>
      <c r="X587" s="675"/>
      <c r="Y587" s="676"/>
      <c r="Z587" s="676"/>
      <c r="AA587" s="676"/>
      <c r="AB587" s="677"/>
    </row>
    <row r="588" spans="2:28" s="780" customFormat="1" hidden="1" x14ac:dyDescent="0.45">
      <c r="B588" s="1692"/>
      <c r="C588" s="1696" t="s">
        <v>330</v>
      </c>
      <c r="D588" s="122" t="s">
        <v>326</v>
      </c>
      <c r="E588" s="678"/>
      <c r="F588" s="678"/>
      <c r="G588" s="678"/>
      <c r="H588" s="678"/>
      <c r="I588" s="678"/>
      <c r="J588" s="678"/>
      <c r="K588" s="678"/>
      <c r="L588" s="678"/>
      <c r="M588" s="678"/>
      <c r="N588" s="678"/>
      <c r="O588" s="678"/>
      <c r="P588" s="678"/>
      <c r="Q588" s="678"/>
      <c r="R588" s="678"/>
      <c r="S588" s="678"/>
      <c r="T588" s="678"/>
      <c r="U588" s="678"/>
      <c r="V588" s="678"/>
      <c r="W588" s="678"/>
      <c r="X588" s="678"/>
      <c r="Y588" s="679"/>
      <c r="Z588" s="679"/>
      <c r="AA588" s="679"/>
      <c r="AB588" s="680"/>
    </row>
    <row r="589" spans="2:28" s="780" customFormat="1" hidden="1" x14ac:dyDescent="0.45">
      <c r="B589" s="1692"/>
      <c r="C589" s="1697"/>
      <c r="D589" s="122" t="s">
        <v>327</v>
      </c>
      <c r="E589" s="678"/>
      <c r="F589" s="678"/>
      <c r="G589" s="678"/>
      <c r="H589" s="678"/>
      <c r="I589" s="678"/>
      <c r="J589" s="678"/>
      <c r="K589" s="678"/>
      <c r="L589" s="678"/>
      <c r="M589" s="678"/>
      <c r="N589" s="678"/>
      <c r="O589" s="678"/>
      <c r="P589" s="678"/>
      <c r="Q589" s="678"/>
      <c r="R589" s="678"/>
      <c r="S589" s="678"/>
      <c r="T589" s="678"/>
      <c r="U589" s="678"/>
      <c r="V589" s="678"/>
      <c r="W589" s="678"/>
      <c r="X589" s="681"/>
      <c r="Y589" s="679"/>
      <c r="Z589" s="679"/>
      <c r="AA589" s="679"/>
      <c r="AB589" s="680"/>
    </row>
    <row r="590" spans="2:28" s="780" customFormat="1" hidden="1" x14ac:dyDescent="0.45">
      <c r="B590" s="1692"/>
      <c r="C590" s="1698" t="s">
        <v>331</v>
      </c>
      <c r="D590" s="125" t="s">
        <v>326</v>
      </c>
      <c r="E590" s="682"/>
      <c r="F590" s="682"/>
      <c r="G590" s="685"/>
      <c r="H590" s="682"/>
      <c r="I590" s="682"/>
      <c r="J590" s="682"/>
      <c r="K590" s="682"/>
      <c r="L590" s="682"/>
      <c r="M590" s="682"/>
      <c r="N590" s="682"/>
      <c r="O590" s="682"/>
      <c r="P590" s="682"/>
      <c r="Q590" s="682"/>
      <c r="R590" s="682"/>
      <c r="S590" s="682"/>
      <c r="T590" s="682"/>
      <c r="U590" s="682"/>
      <c r="V590" s="682"/>
      <c r="W590" s="682"/>
      <c r="X590" s="682"/>
      <c r="Y590" s="683"/>
      <c r="Z590" s="683"/>
      <c r="AA590" s="683"/>
      <c r="AB590" s="684"/>
    </row>
    <row r="591" spans="2:28" s="780" customFormat="1" hidden="1" x14ac:dyDescent="0.45">
      <c r="B591" s="1692"/>
      <c r="C591" s="1695"/>
      <c r="D591" s="124" t="s">
        <v>327</v>
      </c>
      <c r="E591" s="675"/>
      <c r="F591" s="675"/>
      <c r="G591" s="686"/>
      <c r="H591" s="675"/>
      <c r="I591" s="675"/>
      <c r="J591" s="675"/>
      <c r="K591" s="675"/>
      <c r="L591" s="675"/>
      <c r="M591" s="675"/>
      <c r="N591" s="675"/>
      <c r="O591" s="675"/>
      <c r="P591" s="675"/>
      <c r="Q591" s="675"/>
      <c r="R591" s="675"/>
      <c r="S591" s="675"/>
      <c r="T591" s="675"/>
      <c r="U591" s="675"/>
      <c r="V591" s="675"/>
      <c r="W591" s="675"/>
      <c r="X591" s="675"/>
      <c r="Y591" s="676"/>
      <c r="Z591" s="676"/>
      <c r="AA591" s="676"/>
      <c r="AB591" s="677"/>
    </row>
    <row r="592" spans="2:28" s="780" customFormat="1" hidden="1" x14ac:dyDescent="0.45">
      <c r="B592" s="1692"/>
      <c r="C592" s="1696" t="s">
        <v>332</v>
      </c>
      <c r="D592" s="122" t="s">
        <v>326</v>
      </c>
      <c r="E592" s="678"/>
      <c r="F592" s="678"/>
      <c r="G592" s="678"/>
      <c r="H592" s="678"/>
      <c r="I592" s="678"/>
      <c r="J592" s="678"/>
      <c r="K592" s="678"/>
      <c r="L592" s="678"/>
      <c r="M592" s="678"/>
      <c r="N592" s="678"/>
      <c r="O592" s="678"/>
      <c r="P592" s="678"/>
      <c r="Q592" s="678"/>
      <c r="R592" s="678"/>
      <c r="S592" s="678"/>
      <c r="T592" s="678"/>
      <c r="U592" s="678"/>
      <c r="V592" s="678"/>
      <c r="W592" s="679"/>
      <c r="X592" s="679"/>
      <c r="Y592" s="679"/>
      <c r="Z592" s="679"/>
      <c r="AA592" s="679"/>
      <c r="AB592" s="680"/>
    </row>
    <row r="593" spans="2:28" s="780" customFormat="1" hidden="1" x14ac:dyDescent="0.45">
      <c r="B593" s="1692"/>
      <c r="C593" s="1697"/>
      <c r="D593" s="122" t="s">
        <v>327</v>
      </c>
      <c r="E593" s="678"/>
      <c r="F593" s="678"/>
      <c r="G593" s="678"/>
      <c r="H593" s="678"/>
      <c r="I593" s="678"/>
      <c r="J593" s="678"/>
      <c r="K593" s="678"/>
      <c r="L593" s="678"/>
      <c r="M593" s="678"/>
      <c r="N593" s="678"/>
      <c r="O593" s="678"/>
      <c r="P593" s="678"/>
      <c r="Q593" s="678"/>
      <c r="R593" s="678"/>
      <c r="S593" s="678"/>
      <c r="T593" s="678"/>
      <c r="U593" s="678"/>
      <c r="V593" s="678"/>
      <c r="W593" s="678"/>
      <c r="X593" s="678"/>
      <c r="Y593" s="679"/>
      <c r="Z593" s="679"/>
      <c r="AA593" s="679"/>
      <c r="AB593" s="680"/>
    </row>
    <row r="594" spans="2:28" s="780" customFormat="1" hidden="1" x14ac:dyDescent="0.45">
      <c r="B594" s="1692"/>
      <c r="C594" s="1698" t="s">
        <v>333</v>
      </c>
      <c r="D594" s="124" t="s">
        <v>326</v>
      </c>
      <c r="E594" s="675"/>
      <c r="F594" s="675"/>
      <c r="G594" s="675"/>
      <c r="H594" s="675"/>
      <c r="I594" s="675"/>
      <c r="J594" s="675"/>
      <c r="K594" s="675"/>
      <c r="L594" s="675"/>
      <c r="M594" s="675"/>
      <c r="N594" s="675"/>
      <c r="O594" s="675"/>
      <c r="P594" s="675"/>
      <c r="Q594" s="675"/>
      <c r="R594" s="675"/>
      <c r="S594" s="675"/>
      <c r="T594" s="675"/>
      <c r="U594" s="675"/>
      <c r="V594" s="675"/>
      <c r="W594" s="676"/>
      <c r="X594" s="676"/>
      <c r="Y594" s="676"/>
      <c r="Z594" s="676"/>
      <c r="AA594" s="676"/>
      <c r="AB594" s="677"/>
    </row>
    <row r="595" spans="2:28" s="780" customFormat="1" hidden="1" x14ac:dyDescent="0.45">
      <c r="B595" s="1693"/>
      <c r="C595" s="1699"/>
      <c r="D595" s="126" t="s">
        <v>327</v>
      </c>
      <c r="E595" s="687"/>
      <c r="F595" s="687"/>
      <c r="G595" s="687"/>
      <c r="H595" s="687"/>
      <c r="I595" s="687"/>
      <c r="J595" s="687"/>
      <c r="K595" s="687"/>
      <c r="L595" s="687"/>
      <c r="M595" s="687"/>
      <c r="N595" s="687"/>
      <c r="O595" s="687"/>
      <c r="P595" s="687"/>
      <c r="Q595" s="687"/>
      <c r="R595" s="687"/>
      <c r="S595" s="687"/>
      <c r="T595" s="687"/>
      <c r="U595" s="687"/>
      <c r="V595" s="687"/>
      <c r="W595" s="687"/>
      <c r="X595" s="687"/>
      <c r="Y595" s="687"/>
      <c r="Z595" s="687"/>
      <c r="AA595" s="687"/>
      <c r="AB595" s="688"/>
    </row>
    <row r="596" spans="2:28" s="780" customFormat="1" hidden="1" x14ac:dyDescent="0.45"/>
    <row r="597" spans="2:28" s="780" customFormat="1" hidden="1" x14ac:dyDescent="0.45">
      <c r="B597" s="1688" t="s">
        <v>54</v>
      </c>
      <c r="C597" s="1689"/>
      <c r="D597" s="1690"/>
      <c r="E597" s="779"/>
      <c r="F597" s="779"/>
      <c r="G597" s="779"/>
      <c r="H597" s="779"/>
      <c r="I597" s="779"/>
      <c r="J597" s="779"/>
      <c r="K597" s="779"/>
      <c r="L597" s="779"/>
      <c r="M597" s="779"/>
      <c r="N597" s="779"/>
      <c r="O597" s="779"/>
      <c r="P597" s="779"/>
      <c r="Q597" s="779"/>
      <c r="R597" s="779"/>
      <c r="S597" s="779"/>
      <c r="T597" s="779"/>
      <c r="U597" s="779"/>
      <c r="V597" s="779"/>
      <c r="W597" s="779"/>
      <c r="X597" s="779"/>
      <c r="Y597" s="779"/>
      <c r="Z597" s="779"/>
      <c r="AA597" s="779"/>
      <c r="AB597" s="708"/>
    </row>
    <row r="598" spans="2:28" s="780" customFormat="1" ht="15" hidden="1" customHeight="1" x14ac:dyDescent="0.45">
      <c r="B598" s="1691" t="str">
        <f>CONCATENATE("Plan ", INDEX(plans_index,,(ROW(B598)-6)/16), ": ", INDEX(plans_name,,(ROW(B598)-6)/16))</f>
        <v xml:space="preserve">Plan 37: </v>
      </c>
      <c r="C598" s="1694" t="s">
        <v>325</v>
      </c>
      <c r="D598" s="123" t="s">
        <v>326</v>
      </c>
      <c r="E598" s="672"/>
      <c r="F598" s="672"/>
      <c r="G598" s="672"/>
      <c r="H598" s="673"/>
      <c r="I598" s="672"/>
      <c r="J598" s="672"/>
      <c r="K598" s="672"/>
      <c r="L598" s="672"/>
      <c r="M598" s="672"/>
      <c r="N598" s="672"/>
      <c r="O598" s="672"/>
      <c r="P598" s="672"/>
      <c r="Q598" s="672"/>
      <c r="R598" s="672"/>
      <c r="S598" s="672"/>
      <c r="T598" s="672"/>
      <c r="U598" s="672"/>
      <c r="V598" s="672"/>
      <c r="W598" s="672"/>
      <c r="X598" s="672"/>
      <c r="Y598" s="672"/>
      <c r="Z598" s="672"/>
      <c r="AA598" s="672"/>
      <c r="AB598" s="674"/>
    </row>
    <row r="599" spans="2:28" s="780" customFormat="1" hidden="1" x14ac:dyDescent="0.45">
      <c r="B599" s="1692"/>
      <c r="C599" s="1695"/>
      <c r="D599" s="124" t="s">
        <v>327</v>
      </c>
      <c r="E599" s="675"/>
      <c r="F599" s="675"/>
      <c r="G599" s="675"/>
      <c r="H599" s="675"/>
      <c r="I599" s="675"/>
      <c r="J599" s="675"/>
      <c r="K599" s="675"/>
      <c r="L599" s="675"/>
      <c r="M599" s="675"/>
      <c r="N599" s="675"/>
      <c r="O599" s="675"/>
      <c r="P599" s="675"/>
      <c r="Q599" s="675"/>
      <c r="R599" s="675"/>
      <c r="S599" s="675"/>
      <c r="T599" s="675"/>
      <c r="U599" s="675"/>
      <c r="V599" s="675"/>
      <c r="W599" s="675"/>
      <c r="X599" s="675"/>
      <c r="Y599" s="676"/>
      <c r="Z599" s="676"/>
      <c r="AA599" s="676"/>
      <c r="AB599" s="677"/>
    </row>
    <row r="600" spans="2:28" s="780" customFormat="1" hidden="1" x14ac:dyDescent="0.45">
      <c r="B600" s="1692"/>
      <c r="C600" s="1696" t="s">
        <v>328</v>
      </c>
      <c r="D600" s="122" t="s">
        <v>326</v>
      </c>
      <c r="E600" s="678"/>
      <c r="F600" s="678"/>
      <c r="G600" s="678"/>
      <c r="H600" s="678"/>
      <c r="I600" s="678"/>
      <c r="J600" s="678"/>
      <c r="K600" s="678"/>
      <c r="L600" s="678"/>
      <c r="M600" s="678"/>
      <c r="N600" s="678"/>
      <c r="O600" s="678"/>
      <c r="P600" s="678"/>
      <c r="Q600" s="678"/>
      <c r="R600" s="678"/>
      <c r="S600" s="678"/>
      <c r="T600" s="678"/>
      <c r="U600" s="678"/>
      <c r="V600" s="678"/>
      <c r="W600" s="678"/>
      <c r="X600" s="678"/>
      <c r="Y600" s="679"/>
      <c r="Z600" s="679"/>
      <c r="AA600" s="679"/>
      <c r="AB600" s="680"/>
    </row>
    <row r="601" spans="2:28" s="780" customFormat="1" hidden="1" x14ac:dyDescent="0.45">
      <c r="B601" s="1692"/>
      <c r="C601" s="1697"/>
      <c r="D601" s="122" t="s">
        <v>327</v>
      </c>
      <c r="E601" s="678"/>
      <c r="F601" s="678"/>
      <c r="G601" s="678"/>
      <c r="H601" s="678"/>
      <c r="I601" s="678"/>
      <c r="J601" s="678"/>
      <c r="K601" s="678"/>
      <c r="L601" s="678"/>
      <c r="M601" s="678"/>
      <c r="N601" s="678"/>
      <c r="O601" s="678"/>
      <c r="P601" s="678"/>
      <c r="Q601" s="678"/>
      <c r="R601" s="678"/>
      <c r="S601" s="678"/>
      <c r="T601" s="678"/>
      <c r="U601" s="678"/>
      <c r="V601" s="678"/>
      <c r="W601" s="678"/>
      <c r="X601" s="681"/>
      <c r="Y601" s="679"/>
      <c r="Z601" s="679"/>
      <c r="AA601" s="679"/>
      <c r="AB601" s="680"/>
    </row>
    <row r="602" spans="2:28" s="780" customFormat="1" hidden="1" x14ac:dyDescent="0.45">
      <c r="B602" s="1692"/>
      <c r="C602" s="1698" t="s">
        <v>329</v>
      </c>
      <c r="D602" s="125" t="s">
        <v>326</v>
      </c>
      <c r="E602" s="682"/>
      <c r="F602" s="682"/>
      <c r="G602" s="682"/>
      <c r="H602" s="682"/>
      <c r="I602" s="682"/>
      <c r="J602" s="682"/>
      <c r="K602" s="682"/>
      <c r="L602" s="682"/>
      <c r="M602" s="682"/>
      <c r="N602" s="682"/>
      <c r="O602" s="682"/>
      <c r="P602" s="682"/>
      <c r="Q602" s="682"/>
      <c r="R602" s="682"/>
      <c r="S602" s="682"/>
      <c r="T602" s="682"/>
      <c r="U602" s="682"/>
      <c r="V602" s="682"/>
      <c r="W602" s="682"/>
      <c r="X602" s="682"/>
      <c r="Y602" s="683"/>
      <c r="Z602" s="683"/>
      <c r="AA602" s="683"/>
      <c r="AB602" s="684"/>
    </row>
    <row r="603" spans="2:28" s="780" customFormat="1" hidden="1" x14ac:dyDescent="0.45">
      <c r="B603" s="1692"/>
      <c r="C603" s="1695"/>
      <c r="D603" s="124" t="s">
        <v>327</v>
      </c>
      <c r="E603" s="675"/>
      <c r="F603" s="675"/>
      <c r="G603" s="675"/>
      <c r="H603" s="675"/>
      <c r="I603" s="675"/>
      <c r="J603" s="675"/>
      <c r="K603" s="675"/>
      <c r="L603" s="675"/>
      <c r="M603" s="675"/>
      <c r="N603" s="675"/>
      <c r="O603" s="675"/>
      <c r="P603" s="675"/>
      <c r="Q603" s="675"/>
      <c r="R603" s="675"/>
      <c r="S603" s="675"/>
      <c r="T603" s="675"/>
      <c r="U603" s="675"/>
      <c r="V603" s="675"/>
      <c r="W603" s="675"/>
      <c r="X603" s="675"/>
      <c r="Y603" s="676"/>
      <c r="Z603" s="676"/>
      <c r="AA603" s="676"/>
      <c r="AB603" s="677"/>
    </row>
    <row r="604" spans="2:28" s="780" customFormat="1" hidden="1" x14ac:dyDescent="0.45">
      <c r="B604" s="1692"/>
      <c r="C604" s="1696" t="s">
        <v>330</v>
      </c>
      <c r="D604" s="122" t="s">
        <v>326</v>
      </c>
      <c r="E604" s="678"/>
      <c r="F604" s="678"/>
      <c r="G604" s="678"/>
      <c r="H604" s="678"/>
      <c r="I604" s="678"/>
      <c r="J604" s="678"/>
      <c r="K604" s="678"/>
      <c r="L604" s="678"/>
      <c r="M604" s="678"/>
      <c r="N604" s="678"/>
      <c r="O604" s="678"/>
      <c r="P604" s="678"/>
      <c r="Q604" s="678"/>
      <c r="R604" s="678"/>
      <c r="S604" s="678"/>
      <c r="T604" s="678"/>
      <c r="U604" s="678"/>
      <c r="V604" s="678"/>
      <c r="W604" s="678"/>
      <c r="X604" s="678"/>
      <c r="Y604" s="679"/>
      <c r="Z604" s="679"/>
      <c r="AA604" s="679"/>
      <c r="AB604" s="680"/>
    </row>
    <row r="605" spans="2:28" s="780" customFormat="1" hidden="1" x14ac:dyDescent="0.45">
      <c r="B605" s="1692"/>
      <c r="C605" s="1697"/>
      <c r="D605" s="122" t="s">
        <v>327</v>
      </c>
      <c r="E605" s="678"/>
      <c r="F605" s="678"/>
      <c r="G605" s="678"/>
      <c r="H605" s="678"/>
      <c r="I605" s="678"/>
      <c r="J605" s="678"/>
      <c r="K605" s="678"/>
      <c r="L605" s="678"/>
      <c r="M605" s="678"/>
      <c r="N605" s="678"/>
      <c r="O605" s="678"/>
      <c r="P605" s="678"/>
      <c r="Q605" s="678"/>
      <c r="R605" s="678"/>
      <c r="S605" s="678"/>
      <c r="T605" s="678"/>
      <c r="U605" s="678"/>
      <c r="V605" s="678"/>
      <c r="W605" s="678"/>
      <c r="X605" s="681"/>
      <c r="Y605" s="679"/>
      <c r="Z605" s="679"/>
      <c r="AA605" s="679"/>
      <c r="AB605" s="680"/>
    </row>
    <row r="606" spans="2:28" s="780" customFormat="1" hidden="1" x14ac:dyDescent="0.45">
      <c r="B606" s="1692"/>
      <c r="C606" s="1698" t="s">
        <v>331</v>
      </c>
      <c r="D606" s="125" t="s">
        <v>326</v>
      </c>
      <c r="E606" s="682"/>
      <c r="F606" s="682"/>
      <c r="G606" s="685"/>
      <c r="H606" s="682"/>
      <c r="I606" s="682"/>
      <c r="J606" s="682"/>
      <c r="K606" s="682"/>
      <c r="L606" s="682"/>
      <c r="M606" s="682"/>
      <c r="N606" s="682"/>
      <c r="O606" s="682"/>
      <c r="P606" s="682"/>
      <c r="Q606" s="682"/>
      <c r="R606" s="682"/>
      <c r="S606" s="682"/>
      <c r="T606" s="682"/>
      <c r="U606" s="682"/>
      <c r="V606" s="682"/>
      <c r="W606" s="682"/>
      <c r="X606" s="682"/>
      <c r="Y606" s="683"/>
      <c r="Z606" s="683"/>
      <c r="AA606" s="683"/>
      <c r="AB606" s="684"/>
    </row>
    <row r="607" spans="2:28" s="780" customFormat="1" hidden="1" x14ac:dyDescent="0.45">
      <c r="B607" s="1692"/>
      <c r="C607" s="1695"/>
      <c r="D607" s="124" t="s">
        <v>327</v>
      </c>
      <c r="E607" s="675"/>
      <c r="F607" s="675"/>
      <c r="G607" s="686"/>
      <c r="H607" s="675"/>
      <c r="I607" s="675"/>
      <c r="J607" s="675"/>
      <c r="K607" s="675"/>
      <c r="L607" s="675"/>
      <c r="M607" s="675"/>
      <c r="N607" s="675"/>
      <c r="O607" s="675"/>
      <c r="P607" s="675"/>
      <c r="Q607" s="675"/>
      <c r="R607" s="675"/>
      <c r="S607" s="675"/>
      <c r="T607" s="675"/>
      <c r="U607" s="675"/>
      <c r="V607" s="675"/>
      <c r="W607" s="675"/>
      <c r="X607" s="675"/>
      <c r="Y607" s="676"/>
      <c r="Z607" s="676"/>
      <c r="AA607" s="676"/>
      <c r="AB607" s="677"/>
    </row>
    <row r="608" spans="2:28" s="780" customFormat="1" hidden="1" x14ac:dyDescent="0.45">
      <c r="B608" s="1692"/>
      <c r="C608" s="1696" t="s">
        <v>332</v>
      </c>
      <c r="D608" s="122" t="s">
        <v>326</v>
      </c>
      <c r="E608" s="678"/>
      <c r="F608" s="678"/>
      <c r="G608" s="678"/>
      <c r="H608" s="678"/>
      <c r="I608" s="678"/>
      <c r="J608" s="678"/>
      <c r="K608" s="678"/>
      <c r="L608" s="678"/>
      <c r="M608" s="678"/>
      <c r="N608" s="678"/>
      <c r="O608" s="678"/>
      <c r="P608" s="678"/>
      <c r="Q608" s="678"/>
      <c r="R608" s="678"/>
      <c r="S608" s="678"/>
      <c r="T608" s="678"/>
      <c r="U608" s="678"/>
      <c r="V608" s="678"/>
      <c r="W608" s="679"/>
      <c r="X608" s="679"/>
      <c r="Y608" s="679"/>
      <c r="Z608" s="679"/>
      <c r="AA608" s="679"/>
      <c r="AB608" s="680"/>
    </row>
    <row r="609" spans="2:28" s="780" customFormat="1" hidden="1" x14ac:dyDescent="0.45">
      <c r="B609" s="1692"/>
      <c r="C609" s="1697"/>
      <c r="D609" s="122" t="s">
        <v>327</v>
      </c>
      <c r="E609" s="678"/>
      <c r="F609" s="678"/>
      <c r="G609" s="678"/>
      <c r="H609" s="678"/>
      <c r="I609" s="678"/>
      <c r="J609" s="678"/>
      <c r="K609" s="678"/>
      <c r="L609" s="678"/>
      <c r="M609" s="678"/>
      <c r="N609" s="678"/>
      <c r="O609" s="678"/>
      <c r="P609" s="678"/>
      <c r="Q609" s="678"/>
      <c r="R609" s="678"/>
      <c r="S609" s="678"/>
      <c r="T609" s="678"/>
      <c r="U609" s="678"/>
      <c r="V609" s="678"/>
      <c r="W609" s="678"/>
      <c r="X609" s="678"/>
      <c r="Y609" s="679"/>
      <c r="Z609" s="679"/>
      <c r="AA609" s="679"/>
      <c r="AB609" s="680"/>
    </row>
    <row r="610" spans="2:28" s="780" customFormat="1" hidden="1" x14ac:dyDescent="0.45">
      <c r="B610" s="1692"/>
      <c r="C610" s="1698" t="s">
        <v>333</v>
      </c>
      <c r="D610" s="124" t="s">
        <v>326</v>
      </c>
      <c r="E610" s="675"/>
      <c r="F610" s="675"/>
      <c r="G610" s="675"/>
      <c r="H610" s="675"/>
      <c r="I610" s="675"/>
      <c r="J610" s="675"/>
      <c r="K610" s="675"/>
      <c r="L610" s="675"/>
      <c r="M610" s="675"/>
      <c r="N610" s="675"/>
      <c r="O610" s="675"/>
      <c r="P610" s="675"/>
      <c r="Q610" s="675"/>
      <c r="R610" s="675"/>
      <c r="S610" s="675"/>
      <c r="T610" s="675"/>
      <c r="U610" s="675"/>
      <c r="V610" s="675"/>
      <c r="W610" s="676"/>
      <c r="X610" s="676"/>
      <c r="Y610" s="676"/>
      <c r="Z610" s="676"/>
      <c r="AA610" s="676"/>
      <c r="AB610" s="677"/>
    </row>
    <row r="611" spans="2:28" s="780" customFormat="1" hidden="1" x14ac:dyDescent="0.45">
      <c r="B611" s="1693"/>
      <c r="C611" s="1699"/>
      <c r="D611" s="126" t="s">
        <v>327</v>
      </c>
      <c r="E611" s="687"/>
      <c r="F611" s="687"/>
      <c r="G611" s="687"/>
      <c r="H611" s="687"/>
      <c r="I611" s="687"/>
      <c r="J611" s="687"/>
      <c r="K611" s="687"/>
      <c r="L611" s="687"/>
      <c r="M611" s="687"/>
      <c r="N611" s="687"/>
      <c r="O611" s="687"/>
      <c r="P611" s="687"/>
      <c r="Q611" s="687"/>
      <c r="R611" s="687"/>
      <c r="S611" s="687"/>
      <c r="T611" s="687"/>
      <c r="U611" s="687"/>
      <c r="V611" s="687"/>
      <c r="W611" s="687"/>
      <c r="X611" s="687"/>
      <c r="Y611" s="687"/>
      <c r="Z611" s="687"/>
      <c r="AA611" s="687"/>
      <c r="AB611" s="688"/>
    </row>
    <row r="612" spans="2:28" s="780" customFormat="1" hidden="1" x14ac:dyDescent="0.45"/>
    <row r="613" spans="2:28" s="780" customFormat="1" hidden="1" x14ac:dyDescent="0.45">
      <c r="B613" s="1688" t="s">
        <v>54</v>
      </c>
      <c r="C613" s="1689"/>
      <c r="D613" s="1690"/>
      <c r="E613" s="779"/>
      <c r="F613" s="779"/>
      <c r="G613" s="779"/>
      <c r="H613" s="779"/>
      <c r="I613" s="779"/>
      <c r="J613" s="779"/>
      <c r="K613" s="779"/>
      <c r="L613" s="779"/>
      <c r="M613" s="779"/>
      <c r="N613" s="779"/>
      <c r="O613" s="779"/>
      <c r="P613" s="779"/>
      <c r="Q613" s="779"/>
      <c r="R613" s="779"/>
      <c r="S613" s="779"/>
      <c r="T613" s="779"/>
      <c r="U613" s="779"/>
      <c r="V613" s="779"/>
      <c r="W613" s="779"/>
      <c r="X613" s="779"/>
      <c r="Y613" s="779"/>
      <c r="Z613" s="779"/>
      <c r="AA613" s="779"/>
      <c r="AB613" s="708"/>
    </row>
    <row r="614" spans="2:28" s="780" customFormat="1" ht="15" hidden="1" customHeight="1" x14ac:dyDescent="0.45">
      <c r="B614" s="1691" t="str">
        <f>CONCATENATE("Plan ", INDEX(plans_index,,(ROW(B614)-6)/16), ": ", INDEX(plans_name,,(ROW(B614)-6)/16))</f>
        <v xml:space="preserve">Plan 38: </v>
      </c>
      <c r="C614" s="1694" t="s">
        <v>325</v>
      </c>
      <c r="D614" s="123" t="s">
        <v>326</v>
      </c>
      <c r="E614" s="672"/>
      <c r="F614" s="672"/>
      <c r="G614" s="672"/>
      <c r="H614" s="673"/>
      <c r="I614" s="672"/>
      <c r="J614" s="672"/>
      <c r="K614" s="672"/>
      <c r="L614" s="672"/>
      <c r="M614" s="672"/>
      <c r="N614" s="672"/>
      <c r="O614" s="672"/>
      <c r="P614" s="672"/>
      <c r="Q614" s="672"/>
      <c r="R614" s="672"/>
      <c r="S614" s="672"/>
      <c r="T614" s="672"/>
      <c r="U614" s="672"/>
      <c r="V614" s="672"/>
      <c r="W614" s="672"/>
      <c r="X614" s="672"/>
      <c r="Y614" s="672"/>
      <c r="Z614" s="672"/>
      <c r="AA614" s="672"/>
      <c r="AB614" s="674"/>
    </row>
    <row r="615" spans="2:28" s="780" customFormat="1" hidden="1" x14ac:dyDescent="0.45">
      <c r="B615" s="1692"/>
      <c r="C615" s="1695"/>
      <c r="D615" s="124" t="s">
        <v>327</v>
      </c>
      <c r="E615" s="675"/>
      <c r="F615" s="675"/>
      <c r="G615" s="675"/>
      <c r="H615" s="675"/>
      <c r="I615" s="675"/>
      <c r="J615" s="675"/>
      <c r="K615" s="675"/>
      <c r="L615" s="675"/>
      <c r="M615" s="675"/>
      <c r="N615" s="675"/>
      <c r="O615" s="675"/>
      <c r="P615" s="675"/>
      <c r="Q615" s="675"/>
      <c r="R615" s="675"/>
      <c r="S615" s="675"/>
      <c r="T615" s="675"/>
      <c r="U615" s="675"/>
      <c r="V615" s="675"/>
      <c r="W615" s="675"/>
      <c r="X615" s="675"/>
      <c r="Y615" s="676"/>
      <c r="Z615" s="676"/>
      <c r="AA615" s="676"/>
      <c r="AB615" s="677"/>
    </row>
    <row r="616" spans="2:28" s="780" customFormat="1" hidden="1" x14ac:dyDescent="0.45">
      <c r="B616" s="1692"/>
      <c r="C616" s="1696" t="s">
        <v>328</v>
      </c>
      <c r="D616" s="122" t="s">
        <v>326</v>
      </c>
      <c r="E616" s="678"/>
      <c r="F616" s="678"/>
      <c r="G616" s="678"/>
      <c r="H616" s="678"/>
      <c r="I616" s="678"/>
      <c r="J616" s="678"/>
      <c r="K616" s="678"/>
      <c r="L616" s="678"/>
      <c r="M616" s="678"/>
      <c r="N616" s="678"/>
      <c r="O616" s="678"/>
      <c r="P616" s="678"/>
      <c r="Q616" s="678"/>
      <c r="R616" s="678"/>
      <c r="S616" s="678"/>
      <c r="T616" s="678"/>
      <c r="U616" s="678"/>
      <c r="V616" s="678"/>
      <c r="W616" s="678"/>
      <c r="X616" s="678"/>
      <c r="Y616" s="679"/>
      <c r="Z616" s="679"/>
      <c r="AA616" s="679"/>
      <c r="AB616" s="680"/>
    </row>
    <row r="617" spans="2:28" s="780" customFormat="1" hidden="1" x14ac:dyDescent="0.45">
      <c r="B617" s="1692"/>
      <c r="C617" s="1697"/>
      <c r="D617" s="122" t="s">
        <v>327</v>
      </c>
      <c r="E617" s="678"/>
      <c r="F617" s="678"/>
      <c r="G617" s="678"/>
      <c r="H617" s="678"/>
      <c r="I617" s="678"/>
      <c r="J617" s="678"/>
      <c r="K617" s="678"/>
      <c r="L617" s="678"/>
      <c r="M617" s="678"/>
      <c r="N617" s="678"/>
      <c r="O617" s="678"/>
      <c r="P617" s="678"/>
      <c r="Q617" s="678"/>
      <c r="R617" s="678"/>
      <c r="S617" s="678"/>
      <c r="T617" s="678"/>
      <c r="U617" s="678"/>
      <c r="V617" s="678"/>
      <c r="W617" s="678"/>
      <c r="X617" s="681"/>
      <c r="Y617" s="679"/>
      <c r="Z617" s="679"/>
      <c r="AA617" s="679"/>
      <c r="AB617" s="680"/>
    </row>
    <row r="618" spans="2:28" s="780" customFormat="1" hidden="1" x14ac:dyDescent="0.45">
      <c r="B618" s="1692"/>
      <c r="C618" s="1698" t="s">
        <v>329</v>
      </c>
      <c r="D618" s="125" t="s">
        <v>326</v>
      </c>
      <c r="E618" s="682"/>
      <c r="F618" s="682"/>
      <c r="G618" s="682"/>
      <c r="H618" s="682"/>
      <c r="I618" s="682"/>
      <c r="J618" s="682"/>
      <c r="K618" s="682"/>
      <c r="L618" s="682"/>
      <c r="M618" s="682"/>
      <c r="N618" s="682"/>
      <c r="O618" s="682"/>
      <c r="P618" s="682"/>
      <c r="Q618" s="682"/>
      <c r="R618" s="682"/>
      <c r="S618" s="682"/>
      <c r="T618" s="682"/>
      <c r="U618" s="682"/>
      <c r="V618" s="682"/>
      <c r="W618" s="682"/>
      <c r="X618" s="682"/>
      <c r="Y618" s="683"/>
      <c r="Z618" s="683"/>
      <c r="AA618" s="683"/>
      <c r="AB618" s="684"/>
    </row>
    <row r="619" spans="2:28" s="780" customFormat="1" hidden="1" x14ac:dyDescent="0.45">
      <c r="B619" s="1692"/>
      <c r="C619" s="1695"/>
      <c r="D619" s="124" t="s">
        <v>327</v>
      </c>
      <c r="E619" s="675"/>
      <c r="F619" s="675"/>
      <c r="G619" s="675"/>
      <c r="H619" s="675"/>
      <c r="I619" s="675"/>
      <c r="J619" s="675"/>
      <c r="K619" s="675"/>
      <c r="L619" s="675"/>
      <c r="M619" s="675"/>
      <c r="N619" s="675"/>
      <c r="O619" s="675"/>
      <c r="P619" s="675"/>
      <c r="Q619" s="675"/>
      <c r="R619" s="675"/>
      <c r="S619" s="675"/>
      <c r="T619" s="675"/>
      <c r="U619" s="675"/>
      <c r="V619" s="675"/>
      <c r="W619" s="675"/>
      <c r="X619" s="675"/>
      <c r="Y619" s="676"/>
      <c r="Z619" s="676"/>
      <c r="AA619" s="676"/>
      <c r="AB619" s="677"/>
    </row>
    <row r="620" spans="2:28" s="780" customFormat="1" hidden="1" x14ac:dyDescent="0.45">
      <c r="B620" s="1692"/>
      <c r="C620" s="1696" t="s">
        <v>330</v>
      </c>
      <c r="D620" s="122" t="s">
        <v>326</v>
      </c>
      <c r="E620" s="678"/>
      <c r="F620" s="678"/>
      <c r="G620" s="678"/>
      <c r="H620" s="678"/>
      <c r="I620" s="678"/>
      <c r="J620" s="678"/>
      <c r="K620" s="678"/>
      <c r="L620" s="678"/>
      <c r="M620" s="678"/>
      <c r="N620" s="678"/>
      <c r="O620" s="678"/>
      <c r="P620" s="678"/>
      <c r="Q620" s="678"/>
      <c r="R620" s="678"/>
      <c r="S620" s="678"/>
      <c r="T620" s="678"/>
      <c r="U620" s="678"/>
      <c r="V620" s="678"/>
      <c r="W620" s="678"/>
      <c r="X620" s="678"/>
      <c r="Y620" s="679"/>
      <c r="Z620" s="679"/>
      <c r="AA620" s="679"/>
      <c r="AB620" s="680"/>
    </row>
    <row r="621" spans="2:28" s="780" customFormat="1" hidden="1" x14ac:dyDescent="0.45">
      <c r="B621" s="1692"/>
      <c r="C621" s="1697"/>
      <c r="D621" s="122" t="s">
        <v>327</v>
      </c>
      <c r="E621" s="678"/>
      <c r="F621" s="678"/>
      <c r="G621" s="678"/>
      <c r="H621" s="678"/>
      <c r="I621" s="678"/>
      <c r="J621" s="678"/>
      <c r="K621" s="678"/>
      <c r="L621" s="678"/>
      <c r="M621" s="678"/>
      <c r="N621" s="678"/>
      <c r="O621" s="678"/>
      <c r="P621" s="678"/>
      <c r="Q621" s="678"/>
      <c r="R621" s="678"/>
      <c r="S621" s="678"/>
      <c r="T621" s="678"/>
      <c r="U621" s="678"/>
      <c r="V621" s="678"/>
      <c r="W621" s="678"/>
      <c r="X621" s="681"/>
      <c r="Y621" s="679"/>
      <c r="Z621" s="679"/>
      <c r="AA621" s="679"/>
      <c r="AB621" s="680"/>
    </row>
    <row r="622" spans="2:28" s="780" customFormat="1" hidden="1" x14ac:dyDescent="0.45">
      <c r="B622" s="1692"/>
      <c r="C622" s="1698" t="s">
        <v>331</v>
      </c>
      <c r="D622" s="125" t="s">
        <v>326</v>
      </c>
      <c r="E622" s="682"/>
      <c r="F622" s="682"/>
      <c r="G622" s="685"/>
      <c r="H622" s="682"/>
      <c r="I622" s="682"/>
      <c r="J622" s="682"/>
      <c r="K622" s="682"/>
      <c r="L622" s="682"/>
      <c r="M622" s="682"/>
      <c r="N622" s="682"/>
      <c r="O622" s="682"/>
      <c r="P622" s="682"/>
      <c r="Q622" s="682"/>
      <c r="R622" s="682"/>
      <c r="S622" s="682"/>
      <c r="T622" s="682"/>
      <c r="U622" s="682"/>
      <c r="V622" s="682"/>
      <c r="W622" s="682"/>
      <c r="X622" s="682"/>
      <c r="Y622" s="683"/>
      <c r="Z622" s="683"/>
      <c r="AA622" s="683"/>
      <c r="AB622" s="684"/>
    </row>
    <row r="623" spans="2:28" s="780" customFormat="1" hidden="1" x14ac:dyDescent="0.45">
      <c r="B623" s="1692"/>
      <c r="C623" s="1695"/>
      <c r="D623" s="124" t="s">
        <v>327</v>
      </c>
      <c r="E623" s="675"/>
      <c r="F623" s="675"/>
      <c r="G623" s="686"/>
      <c r="H623" s="675"/>
      <c r="I623" s="675"/>
      <c r="J623" s="675"/>
      <c r="K623" s="675"/>
      <c r="L623" s="675"/>
      <c r="M623" s="675"/>
      <c r="N623" s="675"/>
      <c r="O623" s="675"/>
      <c r="P623" s="675"/>
      <c r="Q623" s="675"/>
      <c r="R623" s="675"/>
      <c r="S623" s="675"/>
      <c r="T623" s="675"/>
      <c r="U623" s="675"/>
      <c r="V623" s="675"/>
      <c r="W623" s="675"/>
      <c r="X623" s="675"/>
      <c r="Y623" s="676"/>
      <c r="Z623" s="676"/>
      <c r="AA623" s="676"/>
      <c r="AB623" s="677"/>
    </row>
    <row r="624" spans="2:28" s="780" customFormat="1" hidden="1" x14ac:dyDescent="0.45">
      <c r="B624" s="1692"/>
      <c r="C624" s="1696" t="s">
        <v>332</v>
      </c>
      <c r="D624" s="122" t="s">
        <v>326</v>
      </c>
      <c r="E624" s="678"/>
      <c r="F624" s="678"/>
      <c r="G624" s="678"/>
      <c r="H624" s="678"/>
      <c r="I624" s="678"/>
      <c r="J624" s="678"/>
      <c r="K624" s="678"/>
      <c r="L624" s="678"/>
      <c r="M624" s="678"/>
      <c r="N624" s="678"/>
      <c r="O624" s="678"/>
      <c r="P624" s="678"/>
      <c r="Q624" s="678"/>
      <c r="R624" s="678"/>
      <c r="S624" s="678"/>
      <c r="T624" s="678"/>
      <c r="U624" s="678"/>
      <c r="V624" s="678"/>
      <c r="W624" s="679"/>
      <c r="X624" s="679"/>
      <c r="Y624" s="679"/>
      <c r="Z624" s="679"/>
      <c r="AA624" s="679"/>
      <c r="AB624" s="680"/>
    </row>
    <row r="625" spans="2:28" s="780" customFormat="1" hidden="1" x14ac:dyDescent="0.45">
      <c r="B625" s="1692"/>
      <c r="C625" s="1697"/>
      <c r="D625" s="122" t="s">
        <v>327</v>
      </c>
      <c r="E625" s="678"/>
      <c r="F625" s="678"/>
      <c r="G625" s="678"/>
      <c r="H625" s="678"/>
      <c r="I625" s="678"/>
      <c r="J625" s="678"/>
      <c r="K625" s="678"/>
      <c r="L625" s="678"/>
      <c r="M625" s="678"/>
      <c r="N625" s="678"/>
      <c r="O625" s="678"/>
      <c r="P625" s="678"/>
      <c r="Q625" s="678"/>
      <c r="R625" s="678"/>
      <c r="S625" s="678"/>
      <c r="T625" s="678"/>
      <c r="U625" s="678"/>
      <c r="V625" s="678"/>
      <c r="W625" s="678"/>
      <c r="X625" s="678"/>
      <c r="Y625" s="679"/>
      <c r="Z625" s="679"/>
      <c r="AA625" s="679"/>
      <c r="AB625" s="680"/>
    </row>
    <row r="626" spans="2:28" s="780" customFormat="1" hidden="1" x14ac:dyDescent="0.45">
      <c r="B626" s="1692"/>
      <c r="C626" s="1698" t="s">
        <v>333</v>
      </c>
      <c r="D626" s="124" t="s">
        <v>326</v>
      </c>
      <c r="E626" s="675"/>
      <c r="F626" s="675"/>
      <c r="G626" s="675"/>
      <c r="H626" s="675"/>
      <c r="I626" s="675"/>
      <c r="J626" s="675"/>
      <c r="K626" s="675"/>
      <c r="L626" s="675"/>
      <c r="M626" s="675"/>
      <c r="N626" s="675"/>
      <c r="O626" s="675"/>
      <c r="P626" s="675"/>
      <c r="Q626" s="675"/>
      <c r="R626" s="675"/>
      <c r="S626" s="675"/>
      <c r="T626" s="675"/>
      <c r="U626" s="675"/>
      <c r="V626" s="675"/>
      <c r="W626" s="676"/>
      <c r="X626" s="676"/>
      <c r="Y626" s="676"/>
      <c r="Z626" s="676"/>
      <c r="AA626" s="676"/>
      <c r="AB626" s="677"/>
    </row>
    <row r="627" spans="2:28" s="780" customFormat="1" hidden="1" x14ac:dyDescent="0.45">
      <c r="B627" s="1693"/>
      <c r="C627" s="1699"/>
      <c r="D627" s="126" t="s">
        <v>327</v>
      </c>
      <c r="E627" s="687"/>
      <c r="F627" s="687"/>
      <c r="G627" s="687"/>
      <c r="H627" s="687"/>
      <c r="I627" s="687"/>
      <c r="J627" s="687"/>
      <c r="K627" s="687"/>
      <c r="L627" s="687"/>
      <c r="M627" s="687"/>
      <c r="N627" s="687"/>
      <c r="O627" s="687"/>
      <c r="P627" s="687"/>
      <c r="Q627" s="687"/>
      <c r="R627" s="687"/>
      <c r="S627" s="687"/>
      <c r="T627" s="687"/>
      <c r="U627" s="687"/>
      <c r="V627" s="687"/>
      <c r="W627" s="687"/>
      <c r="X627" s="687"/>
      <c r="Y627" s="687"/>
      <c r="Z627" s="687"/>
      <c r="AA627" s="687"/>
      <c r="AB627" s="688"/>
    </row>
    <row r="628" spans="2:28" s="780" customFormat="1" hidden="1" x14ac:dyDescent="0.45"/>
    <row r="629" spans="2:28" s="780" customFormat="1" hidden="1" x14ac:dyDescent="0.45">
      <c r="B629" s="1688" t="s">
        <v>54</v>
      </c>
      <c r="C629" s="1689"/>
      <c r="D629" s="1690"/>
      <c r="E629" s="779"/>
      <c r="F629" s="779"/>
      <c r="G629" s="779"/>
      <c r="H629" s="779"/>
      <c r="I629" s="779"/>
      <c r="J629" s="779"/>
      <c r="K629" s="779"/>
      <c r="L629" s="779"/>
      <c r="M629" s="779"/>
      <c r="N629" s="779"/>
      <c r="O629" s="779"/>
      <c r="P629" s="779"/>
      <c r="Q629" s="779"/>
      <c r="R629" s="779"/>
      <c r="S629" s="779"/>
      <c r="T629" s="779"/>
      <c r="U629" s="779"/>
      <c r="V629" s="779"/>
      <c r="W629" s="779"/>
      <c r="X629" s="779"/>
      <c r="Y629" s="779"/>
      <c r="Z629" s="779"/>
      <c r="AA629" s="779"/>
      <c r="AB629" s="708"/>
    </row>
    <row r="630" spans="2:28" s="780" customFormat="1" ht="15" hidden="1" customHeight="1" x14ac:dyDescent="0.45">
      <c r="B630" s="1691" t="str">
        <f>CONCATENATE("Plan ", INDEX(plans_index,,(ROW(B630)-6)/16), ": ", INDEX(plans_name,,(ROW(B630)-6)/16))</f>
        <v xml:space="preserve">Plan 39: </v>
      </c>
      <c r="C630" s="1694" t="s">
        <v>325</v>
      </c>
      <c r="D630" s="123" t="s">
        <v>326</v>
      </c>
      <c r="E630" s="672"/>
      <c r="F630" s="672"/>
      <c r="G630" s="672"/>
      <c r="H630" s="673"/>
      <c r="I630" s="672"/>
      <c r="J630" s="672"/>
      <c r="K630" s="672"/>
      <c r="L630" s="672"/>
      <c r="M630" s="672"/>
      <c r="N630" s="672"/>
      <c r="O630" s="672"/>
      <c r="P630" s="672"/>
      <c r="Q630" s="672"/>
      <c r="R630" s="672"/>
      <c r="S630" s="672"/>
      <c r="T630" s="672"/>
      <c r="U630" s="672"/>
      <c r="V630" s="672"/>
      <c r="W630" s="672"/>
      <c r="X630" s="672"/>
      <c r="Y630" s="672"/>
      <c r="Z630" s="672"/>
      <c r="AA630" s="672"/>
      <c r="AB630" s="674"/>
    </row>
    <row r="631" spans="2:28" s="780" customFormat="1" hidden="1" x14ac:dyDescent="0.45">
      <c r="B631" s="1692"/>
      <c r="C631" s="1695"/>
      <c r="D631" s="124" t="s">
        <v>327</v>
      </c>
      <c r="E631" s="675"/>
      <c r="F631" s="675"/>
      <c r="G631" s="675"/>
      <c r="H631" s="675"/>
      <c r="I631" s="675"/>
      <c r="J631" s="675"/>
      <c r="K631" s="675"/>
      <c r="L631" s="675"/>
      <c r="M631" s="675"/>
      <c r="N631" s="675"/>
      <c r="O631" s="675"/>
      <c r="P631" s="675"/>
      <c r="Q631" s="675"/>
      <c r="R631" s="675"/>
      <c r="S631" s="675"/>
      <c r="T631" s="675"/>
      <c r="U631" s="675"/>
      <c r="V631" s="675"/>
      <c r="W631" s="675"/>
      <c r="X631" s="675"/>
      <c r="Y631" s="676"/>
      <c r="Z631" s="676"/>
      <c r="AA631" s="676"/>
      <c r="AB631" s="677"/>
    </row>
    <row r="632" spans="2:28" s="780" customFormat="1" hidden="1" x14ac:dyDescent="0.45">
      <c r="B632" s="1692"/>
      <c r="C632" s="1696" t="s">
        <v>328</v>
      </c>
      <c r="D632" s="122" t="s">
        <v>326</v>
      </c>
      <c r="E632" s="678"/>
      <c r="F632" s="678"/>
      <c r="G632" s="678"/>
      <c r="H632" s="678"/>
      <c r="I632" s="678"/>
      <c r="J632" s="678"/>
      <c r="K632" s="678"/>
      <c r="L632" s="678"/>
      <c r="M632" s="678"/>
      <c r="N632" s="678"/>
      <c r="O632" s="678"/>
      <c r="P632" s="678"/>
      <c r="Q632" s="678"/>
      <c r="R632" s="678"/>
      <c r="S632" s="678"/>
      <c r="T632" s="678"/>
      <c r="U632" s="678"/>
      <c r="V632" s="678"/>
      <c r="W632" s="678"/>
      <c r="X632" s="678"/>
      <c r="Y632" s="679"/>
      <c r="Z632" s="679"/>
      <c r="AA632" s="679"/>
      <c r="AB632" s="680"/>
    </row>
    <row r="633" spans="2:28" s="780" customFormat="1" hidden="1" x14ac:dyDescent="0.45">
      <c r="B633" s="1692"/>
      <c r="C633" s="1697"/>
      <c r="D633" s="122" t="s">
        <v>327</v>
      </c>
      <c r="E633" s="678"/>
      <c r="F633" s="678"/>
      <c r="G633" s="678"/>
      <c r="H633" s="678"/>
      <c r="I633" s="678"/>
      <c r="J633" s="678"/>
      <c r="K633" s="678"/>
      <c r="L633" s="678"/>
      <c r="M633" s="678"/>
      <c r="N633" s="678"/>
      <c r="O633" s="678"/>
      <c r="P633" s="678"/>
      <c r="Q633" s="678"/>
      <c r="R633" s="678"/>
      <c r="S633" s="678"/>
      <c r="T633" s="678"/>
      <c r="U633" s="678"/>
      <c r="V633" s="678"/>
      <c r="W633" s="678"/>
      <c r="X633" s="681"/>
      <c r="Y633" s="679"/>
      <c r="Z633" s="679"/>
      <c r="AA633" s="679"/>
      <c r="AB633" s="680"/>
    </row>
    <row r="634" spans="2:28" s="780" customFormat="1" hidden="1" x14ac:dyDescent="0.45">
      <c r="B634" s="1692"/>
      <c r="C634" s="1698" t="s">
        <v>329</v>
      </c>
      <c r="D634" s="125" t="s">
        <v>326</v>
      </c>
      <c r="E634" s="682"/>
      <c r="F634" s="682"/>
      <c r="G634" s="682"/>
      <c r="H634" s="682"/>
      <c r="I634" s="682"/>
      <c r="J634" s="682"/>
      <c r="K634" s="682"/>
      <c r="L634" s="682"/>
      <c r="M634" s="682"/>
      <c r="N634" s="682"/>
      <c r="O634" s="682"/>
      <c r="P634" s="682"/>
      <c r="Q634" s="682"/>
      <c r="R634" s="682"/>
      <c r="S634" s="682"/>
      <c r="T634" s="682"/>
      <c r="U634" s="682"/>
      <c r="V634" s="682"/>
      <c r="W634" s="682"/>
      <c r="X634" s="682"/>
      <c r="Y634" s="683"/>
      <c r="Z634" s="683"/>
      <c r="AA634" s="683"/>
      <c r="AB634" s="684"/>
    </row>
    <row r="635" spans="2:28" s="780" customFormat="1" hidden="1" x14ac:dyDescent="0.45">
      <c r="B635" s="1692"/>
      <c r="C635" s="1695"/>
      <c r="D635" s="124" t="s">
        <v>327</v>
      </c>
      <c r="E635" s="675"/>
      <c r="F635" s="675"/>
      <c r="G635" s="675"/>
      <c r="H635" s="675"/>
      <c r="I635" s="675"/>
      <c r="J635" s="675"/>
      <c r="K635" s="675"/>
      <c r="L635" s="675"/>
      <c r="M635" s="675"/>
      <c r="N635" s="675"/>
      <c r="O635" s="675"/>
      <c r="P635" s="675"/>
      <c r="Q635" s="675"/>
      <c r="R635" s="675"/>
      <c r="S635" s="675"/>
      <c r="T635" s="675"/>
      <c r="U635" s="675"/>
      <c r="V635" s="675"/>
      <c r="W635" s="675"/>
      <c r="X635" s="675"/>
      <c r="Y635" s="676"/>
      <c r="Z635" s="676"/>
      <c r="AA635" s="676"/>
      <c r="AB635" s="677"/>
    </row>
    <row r="636" spans="2:28" s="780" customFormat="1" hidden="1" x14ac:dyDescent="0.45">
      <c r="B636" s="1692"/>
      <c r="C636" s="1696" t="s">
        <v>330</v>
      </c>
      <c r="D636" s="122" t="s">
        <v>326</v>
      </c>
      <c r="E636" s="678"/>
      <c r="F636" s="678"/>
      <c r="G636" s="678"/>
      <c r="H636" s="678"/>
      <c r="I636" s="678"/>
      <c r="J636" s="678"/>
      <c r="K636" s="678"/>
      <c r="L636" s="678"/>
      <c r="M636" s="678"/>
      <c r="N636" s="678"/>
      <c r="O636" s="678"/>
      <c r="P636" s="678"/>
      <c r="Q636" s="678"/>
      <c r="R636" s="678"/>
      <c r="S636" s="678"/>
      <c r="T636" s="678"/>
      <c r="U636" s="678"/>
      <c r="V636" s="678"/>
      <c r="W636" s="678"/>
      <c r="X636" s="678"/>
      <c r="Y636" s="679"/>
      <c r="Z636" s="679"/>
      <c r="AA636" s="679"/>
      <c r="AB636" s="680"/>
    </row>
    <row r="637" spans="2:28" s="780" customFormat="1" hidden="1" x14ac:dyDescent="0.45">
      <c r="B637" s="1692"/>
      <c r="C637" s="1697"/>
      <c r="D637" s="122" t="s">
        <v>327</v>
      </c>
      <c r="E637" s="678"/>
      <c r="F637" s="678"/>
      <c r="G637" s="678"/>
      <c r="H637" s="678"/>
      <c r="I637" s="678"/>
      <c r="J637" s="678"/>
      <c r="K637" s="678"/>
      <c r="L637" s="678"/>
      <c r="M637" s="678"/>
      <c r="N637" s="678"/>
      <c r="O637" s="678"/>
      <c r="P637" s="678"/>
      <c r="Q637" s="678"/>
      <c r="R637" s="678"/>
      <c r="S637" s="678"/>
      <c r="T637" s="678"/>
      <c r="U637" s="678"/>
      <c r="V637" s="678"/>
      <c r="W637" s="678"/>
      <c r="X637" s="681"/>
      <c r="Y637" s="679"/>
      <c r="Z637" s="679"/>
      <c r="AA637" s="679"/>
      <c r="AB637" s="680"/>
    </row>
    <row r="638" spans="2:28" s="780" customFormat="1" hidden="1" x14ac:dyDescent="0.45">
      <c r="B638" s="1692"/>
      <c r="C638" s="1698" t="s">
        <v>331</v>
      </c>
      <c r="D638" s="125" t="s">
        <v>326</v>
      </c>
      <c r="E638" s="682"/>
      <c r="F638" s="682"/>
      <c r="G638" s="685"/>
      <c r="H638" s="682"/>
      <c r="I638" s="682"/>
      <c r="J638" s="682"/>
      <c r="K638" s="682"/>
      <c r="L638" s="682"/>
      <c r="M638" s="682"/>
      <c r="N638" s="682"/>
      <c r="O638" s="682"/>
      <c r="P638" s="682"/>
      <c r="Q638" s="682"/>
      <c r="R638" s="682"/>
      <c r="S638" s="682"/>
      <c r="T638" s="682"/>
      <c r="U638" s="682"/>
      <c r="V638" s="682"/>
      <c r="W638" s="682"/>
      <c r="X638" s="682"/>
      <c r="Y638" s="683"/>
      <c r="Z638" s="683"/>
      <c r="AA638" s="683"/>
      <c r="AB638" s="684"/>
    </row>
    <row r="639" spans="2:28" s="780" customFormat="1" hidden="1" x14ac:dyDescent="0.45">
      <c r="B639" s="1692"/>
      <c r="C639" s="1695"/>
      <c r="D639" s="124" t="s">
        <v>327</v>
      </c>
      <c r="E639" s="675"/>
      <c r="F639" s="675"/>
      <c r="G639" s="686"/>
      <c r="H639" s="675"/>
      <c r="I639" s="675"/>
      <c r="J639" s="675"/>
      <c r="K639" s="675"/>
      <c r="L639" s="675"/>
      <c r="M639" s="675"/>
      <c r="N639" s="675"/>
      <c r="O639" s="675"/>
      <c r="P639" s="675"/>
      <c r="Q639" s="675"/>
      <c r="R639" s="675"/>
      <c r="S639" s="675"/>
      <c r="T639" s="675"/>
      <c r="U639" s="675"/>
      <c r="V639" s="675"/>
      <c r="W639" s="675"/>
      <c r="X639" s="675"/>
      <c r="Y639" s="676"/>
      <c r="Z639" s="676"/>
      <c r="AA639" s="676"/>
      <c r="AB639" s="677"/>
    </row>
    <row r="640" spans="2:28" s="780" customFormat="1" hidden="1" x14ac:dyDescent="0.45">
      <c r="B640" s="1692"/>
      <c r="C640" s="1696" t="s">
        <v>332</v>
      </c>
      <c r="D640" s="122" t="s">
        <v>326</v>
      </c>
      <c r="E640" s="678"/>
      <c r="F640" s="678"/>
      <c r="G640" s="678"/>
      <c r="H640" s="678"/>
      <c r="I640" s="678"/>
      <c r="J640" s="678"/>
      <c r="K640" s="678"/>
      <c r="L640" s="678"/>
      <c r="M640" s="678"/>
      <c r="N640" s="678"/>
      <c r="O640" s="678"/>
      <c r="P640" s="678"/>
      <c r="Q640" s="678"/>
      <c r="R640" s="678"/>
      <c r="S640" s="678"/>
      <c r="T640" s="678"/>
      <c r="U640" s="678"/>
      <c r="V640" s="678"/>
      <c r="W640" s="679"/>
      <c r="X640" s="679"/>
      <c r="Y640" s="679"/>
      <c r="Z640" s="679"/>
      <c r="AA640" s="679"/>
      <c r="AB640" s="680"/>
    </row>
    <row r="641" spans="2:28" s="780" customFormat="1" hidden="1" x14ac:dyDescent="0.45">
      <c r="B641" s="1692"/>
      <c r="C641" s="1697"/>
      <c r="D641" s="122" t="s">
        <v>327</v>
      </c>
      <c r="E641" s="678"/>
      <c r="F641" s="678"/>
      <c r="G641" s="678"/>
      <c r="H641" s="678"/>
      <c r="I641" s="678"/>
      <c r="J641" s="678"/>
      <c r="K641" s="678"/>
      <c r="L641" s="678"/>
      <c r="M641" s="678"/>
      <c r="N641" s="678"/>
      <c r="O641" s="678"/>
      <c r="P641" s="678"/>
      <c r="Q641" s="678"/>
      <c r="R641" s="678"/>
      <c r="S641" s="678"/>
      <c r="T641" s="678"/>
      <c r="U641" s="678"/>
      <c r="V641" s="678"/>
      <c r="W641" s="678"/>
      <c r="X641" s="678"/>
      <c r="Y641" s="679"/>
      <c r="Z641" s="679"/>
      <c r="AA641" s="679"/>
      <c r="AB641" s="680"/>
    </row>
    <row r="642" spans="2:28" s="780" customFormat="1" hidden="1" x14ac:dyDescent="0.45">
      <c r="B642" s="1692"/>
      <c r="C642" s="1698" t="s">
        <v>333</v>
      </c>
      <c r="D642" s="124" t="s">
        <v>326</v>
      </c>
      <c r="E642" s="675"/>
      <c r="F642" s="675"/>
      <c r="G642" s="675"/>
      <c r="H642" s="675"/>
      <c r="I642" s="675"/>
      <c r="J642" s="675"/>
      <c r="K642" s="675"/>
      <c r="L642" s="675"/>
      <c r="M642" s="675"/>
      <c r="N642" s="675"/>
      <c r="O642" s="675"/>
      <c r="P642" s="675"/>
      <c r="Q642" s="675"/>
      <c r="R642" s="675"/>
      <c r="S642" s="675"/>
      <c r="T642" s="675"/>
      <c r="U642" s="675"/>
      <c r="V642" s="675"/>
      <c r="W642" s="676"/>
      <c r="X642" s="676"/>
      <c r="Y642" s="676"/>
      <c r="Z642" s="676"/>
      <c r="AA642" s="676"/>
      <c r="AB642" s="677"/>
    </row>
    <row r="643" spans="2:28" s="780" customFormat="1" hidden="1" x14ac:dyDescent="0.45">
      <c r="B643" s="1693"/>
      <c r="C643" s="1699"/>
      <c r="D643" s="126" t="s">
        <v>327</v>
      </c>
      <c r="E643" s="687"/>
      <c r="F643" s="687"/>
      <c r="G643" s="687"/>
      <c r="H643" s="687"/>
      <c r="I643" s="687"/>
      <c r="J643" s="687"/>
      <c r="K643" s="687"/>
      <c r="L643" s="687"/>
      <c r="M643" s="687"/>
      <c r="N643" s="687"/>
      <c r="O643" s="687"/>
      <c r="P643" s="687"/>
      <c r="Q643" s="687"/>
      <c r="R643" s="687"/>
      <c r="S643" s="687"/>
      <c r="T643" s="687"/>
      <c r="U643" s="687"/>
      <c r="V643" s="687"/>
      <c r="W643" s="687"/>
      <c r="X643" s="687"/>
      <c r="Y643" s="687"/>
      <c r="Z643" s="687"/>
      <c r="AA643" s="687"/>
      <c r="AB643" s="688"/>
    </row>
    <row r="644" spans="2:28" s="780" customFormat="1" hidden="1" x14ac:dyDescent="0.45"/>
    <row r="645" spans="2:28" s="780" customFormat="1" hidden="1" x14ac:dyDescent="0.45">
      <c r="B645" s="1688" t="s">
        <v>54</v>
      </c>
      <c r="C645" s="1689"/>
      <c r="D645" s="1690"/>
      <c r="E645" s="779"/>
      <c r="F645" s="779"/>
      <c r="G645" s="779"/>
      <c r="H645" s="779"/>
      <c r="I645" s="779"/>
      <c r="J645" s="779"/>
      <c r="K645" s="779"/>
      <c r="L645" s="779"/>
      <c r="M645" s="779"/>
      <c r="N645" s="779"/>
      <c r="O645" s="779"/>
      <c r="P645" s="779"/>
      <c r="Q645" s="779"/>
      <c r="R645" s="779"/>
      <c r="S645" s="779"/>
      <c r="T645" s="779"/>
      <c r="U645" s="779"/>
      <c r="V645" s="779"/>
      <c r="W645" s="779"/>
      <c r="X645" s="779"/>
      <c r="Y645" s="779"/>
      <c r="Z645" s="779"/>
      <c r="AA645" s="779"/>
      <c r="AB645" s="708"/>
    </row>
    <row r="646" spans="2:28" s="780" customFormat="1" ht="15" hidden="1" customHeight="1" x14ac:dyDescent="0.45">
      <c r="B646" s="1691" t="str">
        <f>CONCATENATE("Plan ", INDEX(plans_index,,(ROW(B646)-6)/16), ": ", INDEX(plans_name,,(ROW(B646)-6)/16))</f>
        <v xml:space="preserve">Plan 40: </v>
      </c>
      <c r="C646" s="1694" t="s">
        <v>325</v>
      </c>
      <c r="D646" s="123" t="s">
        <v>326</v>
      </c>
      <c r="E646" s="672"/>
      <c r="F646" s="672"/>
      <c r="G646" s="672"/>
      <c r="H646" s="673"/>
      <c r="I646" s="672"/>
      <c r="J646" s="672"/>
      <c r="K646" s="672"/>
      <c r="L646" s="672"/>
      <c r="M646" s="672"/>
      <c r="N646" s="672"/>
      <c r="O646" s="672"/>
      <c r="P646" s="672"/>
      <c r="Q646" s="672"/>
      <c r="R646" s="672"/>
      <c r="S646" s="672"/>
      <c r="T646" s="672"/>
      <c r="U646" s="672"/>
      <c r="V646" s="672"/>
      <c r="W646" s="672"/>
      <c r="X646" s="672"/>
      <c r="Y646" s="672"/>
      <c r="Z646" s="672"/>
      <c r="AA646" s="672"/>
      <c r="AB646" s="674"/>
    </row>
    <row r="647" spans="2:28" s="780" customFormat="1" hidden="1" x14ac:dyDescent="0.45">
      <c r="B647" s="1692"/>
      <c r="C647" s="1695"/>
      <c r="D647" s="124" t="s">
        <v>327</v>
      </c>
      <c r="E647" s="675"/>
      <c r="F647" s="675"/>
      <c r="G647" s="675"/>
      <c r="H647" s="675"/>
      <c r="I647" s="675"/>
      <c r="J647" s="675"/>
      <c r="K647" s="675"/>
      <c r="L647" s="675"/>
      <c r="M647" s="675"/>
      <c r="N647" s="675"/>
      <c r="O647" s="675"/>
      <c r="P647" s="675"/>
      <c r="Q647" s="675"/>
      <c r="R647" s="675"/>
      <c r="S647" s="675"/>
      <c r="T647" s="675"/>
      <c r="U647" s="675"/>
      <c r="V647" s="675"/>
      <c r="W647" s="675"/>
      <c r="X647" s="675"/>
      <c r="Y647" s="676"/>
      <c r="Z647" s="676"/>
      <c r="AA647" s="676"/>
      <c r="AB647" s="677"/>
    </row>
    <row r="648" spans="2:28" s="780" customFormat="1" hidden="1" x14ac:dyDescent="0.45">
      <c r="B648" s="1692"/>
      <c r="C648" s="1696" t="s">
        <v>328</v>
      </c>
      <c r="D648" s="122" t="s">
        <v>326</v>
      </c>
      <c r="E648" s="678"/>
      <c r="F648" s="678"/>
      <c r="G648" s="678"/>
      <c r="H648" s="678"/>
      <c r="I648" s="678"/>
      <c r="J648" s="678"/>
      <c r="K648" s="678"/>
      <c r="L648" s="678"/>
      <c r="M648" s="678"/>
      <c r="N648" s="678"/>
      <c r="O648" s="678"/>
      <c r="P648" s="678"/>
      <c r="Q648" s="678"/>
      <c r="R648" s="678"/>
      <c r="S648" s="678"/>
      <c r="T648" s="678"/>
      <c r="U648" s="678"/>
      <c r="V648" s="678"/>
      <c r="W648" s="678"/>
      <c r="X648" s="678"/>
      <c r="Y648" s="679"/>
      <c r="Z648" s="679"/>
      <c r="AA648" s="679"/>
      <c r="AB648" s="680"/>
    </row>
    <row r="649" spans="2:28" s="780" customFormat="1" hidden="1" x14ac:dyDescent="0.45">
      <c r="B649" s="1692"/>
      <c r="C649" s="1697"/>
      <c r="D649" s="122" t="s">
        <v>327</v>
      </c>
      <c r="E649" s="678"/>
      <c r="F649" s="678"/>
      <c r="G649" s="678"/>
      <c r="H649" s="678"/>
      <c r="I649" s="678"/>
      <c r="J649" s="678"/>
      <c r="K649" s="678"/>
      <c r="L649" s="678"/>
      <c r="M649" s="678"/>
      <c r="N649" s="678"/>
      <c r="O649" s="678"/>
      <c r="P649" s="678"/>
      <c r="Q649" s="678"/>
      <c r="R649" s="678"/>
      <c r="S649" s="678"/>
      <c r="T649" s="678"/>
      <c r="U649" s="678"/>
      <c r="V649" s="678"/>
      <c r="W649" s="678"/>
      <c r="X649" s="681"/>
      <c r="Y649" s="679"/>
      <c r="Z649" s="679"/>
      <c r="AA649" s="679"/>
      <c r="AB649" s="680"/>
    </row>
    <row r="650" spans="2:28" s="780" customFormat="1" hidden="1" x14ac:dyDescent="0.45">
      <c r="B650" s="1692"/>
      <c r="C650" s="1698" t="s">
        <v>329</v>
      </c>
      <c r="D650" s="125" t="s">
        <v>326</v>
      </c>
      <c r="E650" s="682"/>
      <c r="F650" s="682"/>
      <c r="G650" s="682"/>
      <c r="H650" s="682"/>
      <c r="I650" s="682"/>
      <c r="J650" s="682"/>
      <c r="K650" s="682"/>
      <c r="L650" s="682"/>
      <c r="M650" s="682"/>
      <c r="N650" s="682"/>
      <c r="O650" s="682"/>
      <c r="P650" s="682"/>
      <c r="Q650" s="682"/>
      <c r="R650" s="682"/>
      <c r="S650" s="682"/>
      <c r="T650" s="682"/>
      <c r="U650" s="682"/>
      <c r="V650" s="682"/>
      <c r="W650" s="682"/>
      <c r="X650" s="682"/>
      <c r="Y650" s="683"/>
      <c r="Z650" s="683"/>
      <c r="AA650" s="683"/>
      <c r="AB650" s="684"/>
    </row>
    <row r="651" spans="2:28" s="780" customFormat="1" hidden="1" x14ac:dyDescent="0.45">
      <c r="B651" s="1692"/>
      <c r="C651" s="1695"/>
      <c r="D651" s="124" t="s">
        <v>327</v>
      </c>
      <c r="E651" s="675"/>
      <c r="F651" s="675"/>
      <c r="G651" s="675"/>
      <c r="H651" s="675"/>
      <c r="I651" s="675"/>
      <c r="J651" s="675"/>
      <c r="K651" s="675"/>
      <c r="L651" s="675"/>
      <c r="M651" s="675"/>
      <c r="N651" s="675"/>
      <c r="O651" s="675"/>
      <c r="P651" s="675"/>
      <c r="Q651" s="675"/>
      <c r="R651" s="675"/>
      <c r="S651" s="675"/>
      <c r="T651" s="675"/>
      <c r="U651" s="675"/>
      <c r="V651" s="675"/>
      <c r="W651" s="675"/>
      <c r="X651" s="675"/>
      <c r="Y651" s="676"/>
      <c r="Z651" s="676"/>
      <c r="AA651" s="676"/>
      <c r="AB651" s="677"/>
    </row>
    <row r="652" spans="2:28" s="780" customFormat="1" hidden="1" x14ac:dyDescent="0.45">
      <c r="B652" s="1692"/>
      <c r="C652" s="1696" t="s">
        <v>330</v>
      </c>
      <c r="D652" s="122" t="s">
        <v>326</v>
      </c>
      <c r="E652" s="678"/>
      <c r="F652" s="678"/>
      <c r="G652" s="678"/>
      <c r="H652" s="678"/>
      <c r="I652" s="678"/>
      <c r="J652" s="678"/>
      <c r="K652" s="678"/>
      <c r="L652" s="678"/>
      <c r="M652" s="678"/>
      <c r="N652" s="678"/>
      <c r="O652" s="678"/>
      <c r="P652" s="678"/>
      <c r="Q652" s="678"/>
      <c r="R652" s="678"/>
      <c r="S652" s="678"/>
      <c r="T652" s="678"/>
      <c r="U652" s="678"/>
      <c r="V652" s="678"/>
      <c r="W652" s="678"/>
      <c r="X652" s="678"/>
      <c r="Y652" s="679"/>
      <c r="Z652" s="679"/>
      <c r="AA652" s="679"/>
      <c r="AB652" s="680"/>
    </row>
    <row r="653" spans="2:28" s="780" customFormat="1" hidden="1" x14ac:dyDescent="0.45">
      <c r="B653" s="1692"/>
      <c r="C653" s="1697"/>
      <c r="D653" s="122" t="s">
        <v>327</v>
      </c>
      <c r="E653" s="678"/>
      <c r="F653" s="678"/>
      <c r="G653" s="678"/>
      <c r="H653" s="678"/>
      <c r="I653" s="678"/>
      <c r="J653" s="678"/>
      <c r="K653" s="678"/>
      <c r="L653" s="678"/>
      <c r="M653" s="678"/>
      <c r="N653" s="678"/>
      <c r="O653" s="678"/>
      <c r="P653" s="678"/>
      <c r="Q653" s="678"/>
      <c r="R653" s="678"/>
      <c r="S653" s="678"/>
      <c r="T653" s="678"/>
      <c r="U653" s="678"/>
      <c r="V653" s="678"/>
      <c r="W653" s="678"/>
      <c r="X653" s="681"/>
      <c r="Y653" s="679"/>
      <c r="Z653" s="679"/>
      <c r="AA653" s="679"/>
      <c r="AB653" s="680"/>
    </row>
    <row r="654" spans="2:28" s="780" customFormat="1" hidden="1" x14ac:dyDescent="0.45">
      <c r="B654" s="1692"/>
      <c r="C654" s="1698" t="s">
        <v>331</v>
      </c>
      <c r="D654" s="125" t="s">
        <v>326</v>
      </c>
      <c r="E654" s="682"/>
      <c r="F654" s="682"/>
      <c r="G654" s="685"/>
      <c r="H654" s="682"/>
      <c r="I654" s="682"/>
      <c r="J654" s="682"/>
      <c r="K654" s="682"/>
      <c r="L654" s="682"/>
      <c r="M654" s="682"/>
      <c r="N654" s="682"/>
      <c r="O654" s="682"/>
      <c r="P654" s="682"/>
      <c r="Q654" s="682"/>
      <c r="R654" s="682"/>
      <c r="S654" s="682"/>
      <c r="T654" s="682"/>
      <c r="U654" s="682"/>
      <c r="V654" s="682"/>
      <c r="W654" s="682"/>
      <c r="X654" s="682"/>
      <c r="Y654" s="683"/>
      <c r="Z654" s="683"/>
      <c r="AA654" s="683"/>
      <c r="AB654" s="684"/>
    </row>
    <row r="655" spans="2:28" s="780" customFormat="1" hidden="1" x14ac:dyDescent="0.45">
      <c r="B655" s="1692"/>
      <c r="C655" s="1695"/>
      <c r="D655" s="124" t="s">
        <v>327</v>
      </c>
      <c r="E655" s="675"/>
      <c r="F655" s="675"/>
      <c r="G655" s="686"/>
      <c r="H655" s="675"/>
      <c r="I655" s="675"/>
      <c r="J655" s="675"/>
      <c r="K655" s="675"/>
      <c r="L655" s="675"/>
      <c r="M655" s="675"/>
      <c r="N655" s="675"/>
      <c r="O655" s="675"/>
      <c r="P655" s="675"/>
      <c r="Q655" s="675"/>
      <c r="R655" s="675"/>
      <c r="S655" s="675"/>
      <c r="T655" s="675"/>
      <c r="U655" s="675"/>
      <c r="V655" s="675"/>
      <c r="W655" s="675"/>
      <c r="X655" s="675"/>
      <c r="Y655" s="676"/>
      <c r="Z655" s="676"/>
      <c r="AA655" s="676"/>
      <c r="AB655" s="677"/>
    </row>
    <row r="656" spans="2:28" s="780" customFormat="1" hidden="1" x14ac:dyDescent="0.45">
      <c r="B656" s="1692"/>
      <c r="C656" s="1696" t="s">
        <v>332</v>
      </c>
      <c r="D656" s="122" t="s">
        <v>326</v>
      </c>
      <c r="E656" s="678"/>
      <c r="F656" s="678"/>
      <c r="G656" s="678"/>
      <c r="H656" s="678"/>
      <c r="I656" s="678"/>
      <c r="J656" s="678"/>
      <c r="K656" s="678"/>
      <c r="L656" s="678"/>
      <c r="M656" s="678"/>
      <c r="N656" s="678"/>
      <c r="O656" s="678"/>
      <c r="P656" s="678"/>
      <c r="Q656" s="678"/>
      <c r="R656" s="678"/>
      <c r="S656" s="678"/>
      <c r="T656" s="678"/>
      <c r="U656" s="678"/>
      <c r="V656" s="678"/>
      <c r="W656" s="679"/>
      <c r="X656" s="679"/>
      <c r="Y656" s="679"/>
      <c r="Z656" s="679"/>
      <c r="AA656" s="679"/>
      <c r="AB656" s="680"/>
    </row>
    <row r="657" spans="2:28" s="780" customFormat="1" hidden="1" x14ac:dyDescent="0.45">
      <c r="B657" s="1692"/>
      <c r="C657" s="1697"/>
      <c r="D657" s="122" t="s">
        <v>327</v>
      </c>
      <c r="E657" s="678"/>
      <c r="F657" s="678"/>
      <c r="G657" s="678"/>
      <c r="H657" s="678"/>
      <c r="I657" s="678"/>
      <c r="J657" s="678"/>
      <c r="K657" s="678"/>
      <c r="L657" s="678"/>
      <c r="M657" s="678"/>
      <c r="N657" s="678"/>
      <c r="O657" s="678"/>
      <c r="P657" s="678"/>
      <c r="Q657" s="678"/>
      <c r="R657" s="678"/>
      <c r="S657" s="678"/>
      <c r="T657" s="678"/>
      <c r="U657" s="678"/>
      <c r="V657" s="678"/>
      <c r="W657" s="678"/>
      <c r="X657" s="678"/>
      <c r="Y657" s="679"/>
      <c r="Z657" s="679"/>
      <c r="AA657" s="679"/>
      <c r="AB657" s="680"/>
    </row>
    <row r="658" spans="2:28" s="780" customFormat="1" hidden="1" x14ac:dyDescent="0.45">
      <c r="B658" s="1692"/>
      <c r="C658" s="1698" t="s">
        <v>333</v>
      </c>
      <c r="D658" s="124" t="s">
        <v>326</v>
      </c>
      <c r="E658" s="675"/>
      <c r="F658" s="675"/>
      <c r="G658" s="675"/>
      <c r="H658" s="675"/>
      <c r="I658" s="675"/>
      <c r="J658" s="675"/>
      <c r="K658" s="675"/>
      <c r="L658" s="675"/>
      <c r="M658" s="675"/>
      <c r="N658" s="675"/>
      <c r="O658" s="675"/>
      <c r="P658" s="675"/>
      <c r="Q658" s="675"/>
      <c r="R658" s="675"/>
      <c r="S658" s="675"/>
      <c r="T658" s="675"/>
      <c r="U658" s="675"/>
      <c r="V658" s="675"/>
      <c r="W658" s="676"/>
      <c r="X658" s="676"/>
      <c r="Y658" s="676"/>
      <c r="Z658" s="676"/>
      <c r="AA658" s="676"/>
      <c r="AB658" s="677"/>
    </row>
    <row r="659" spans="2:28" s="780" customFormat="1" hidden="1" x14ac:dyDescent="0.45">
      <c r="B659" s="1693"/>
      <c r="C659" s="1699"/>
      <c r="D659" s="126" t="s">
        <v>327</v>
      </c>
      <c r="E659" s="687"/>
      <c r="F659" s="687"/>
      <c r="G659" s="687"/>
      <c r="H659" s="687"/>
      <c r="I659" s="687"/>
      <c r="J659" s="687"/>
      <c r="K659" s="687"/>
      <c r="L659" s="687"/>
      <c r="M659" s="687"/>
      <c r="N659" s="687"/>
      <c r="O659" s="687"/>
      <c r="P659" s="687"/>
      <c r="Q659" s="687"/>
      <c r="R659" s="687"/>
      <c r="S659" s="687"/>
      <c r="T659" s="687"/>
      <c r="U659" s="687"/>
      <c r="V659" s="687"/>
      <c r="W659" s="687"/>
      <c r="X659" s="687"/>
      <c r="Y659" s="687"/>
      <c r="Z659" s="687"/>
      <c r="AA659" s="687"/>
      <c r="AB659" s="688"/>
    </row>
    <row r="660" spans="2:28" s="780" customFormat="1" hidden="1" x14ac:dyDescent="0.45"/>
    <row r="661" spans="2:28" s="780" customFormat="1" hidden="1" x14ac:dyDescent="0.45">
      <c r="B661" s="1688" t="s">
        <v>54</v>
      </c>
      <c r="C661" s="1689"/>
      <c r="D661" s="1690"/>
      <c r="E661" s="779"/>
      <c r="F661" s="779"/>
      <c r="G661" s="779"/>
      <c r="H661" s="779"/>
      <c r="I661" s="779"/>
      <c r="J661" s="779"/>
      <c r="K661" s="779"/>
      <c r="L661" s="779"/>
      <c r="M661" s="779"/>
      <c r="N661" s="779"/>
      <c r="O661" s="779"/>
      <c r="P661" s="779"/>
      <c r="Q661" s="779"/>
      <c r="R661" s="779"/>
      <c r="S661" s="779"/>
      <c r="T661" s="779"/>
      <c r="U661" s="779"/>
      <c r="V661" s="779"/>
      <c r="W661" s="779"/>
      <c r="X661" s="779"/>
      <c r="Y661" s="779"/>
      <c r="Z661" s="779"/>
      <c r="AA661" s="779"/>
      <c r="AB661" s="708"/>
    </row>
    <row r="662" spans="2:28" s="780" customFormat="1" ht="15" hidden="1" customHeight="1" x14ac:dyDescent="0.45">
      <c r="B662" s="1691" t="str">
        <f>CONCATENATE("Plan ", INDEX(plans_index,,(ROW(B662)-6)/16), ": ", INDEX(plans_name,,(ROW(B662)-6)/16))</f>
        <v xml:space="preserve">Plan 41: </v>
      </c>
      <c r="C662" s="1694" t="s">
        <v>325</v>
      </c>
      <c r="D662" s="123" t="s">
        <v>326</v>
      </c>
      <c r="E662" s="672"/>
      <c r="F662" s="672"/>
      <c r="G662" s="672"/>
      <c r="H662" s="673"/>
      <c r="I662" s="672"/>
      <c r="J662" s="672"/>
      <c r="K662" s="672"/>
      <c r="L662" s="672"/>
      <c r="M662" s="672"/>
      <c r="N662" s="672"/>
      <c r="O662" s="672"/>
      <c r="P662" s="672"/>
      <c r="Q662" s="672"/>
      <c r="R662" s="672"/>
      <c r="S662" s="672"/>
      <c r="T662" s="672"/>
      <c r="U662" s="672"/>
      <c r="V662" s="672"/>
      <c r="W662" s="672"/>
      <c r="X662" s="672"/>
      <c r="Y662" s="672"/>
      <c r="Z662" s="672"/>
      <c r="AA662" s="672"/>
      <c r="AB662" s="674"/>
    </row>
    <row r="663" spans="2:28" s="780" customFormat="1" hidden="1" x14ac:dyDescent="0.45">
      <c r="B663" s="1692"/>
      <c r="C663" s="1695"/>
      <c r="D663" s="124" t="s">
        <v>327</v>
      </c>
      <c r="E663" s="675"/>
      <c r="F663" s="675"/>
      <c r="G663" s="675"/>
      <c r="H663" s="675"/>
      <c r="I663" s="675"/>
      <c r="J663" s="675"/>
      <c r="K663" s="675"/>
      <c r="L663" s="675"/>
      <c r="M663" s="675"/>
      <c r="N663" s="675"/>
      <c r="O663" s="675"/>
      <c r="P663" s="675"/>
      <c r="Q663" s="675"/>
      <c r="R663" s="675"/>
      <c r="S663" s="675"/>
      <c r="T663" s="675"/>
      <c r="U663" s="675"/>
      <c r="V663" s="675"/>
      <c r="W663" s="675"/>
      <c r="X663" s="675"/>
      <c r="Y663" s="676"/>
      <c r="Z663" s="676"/>
      <c r="AA663" s="676"/>
      <c r="AB663" s="677"/>
    </row>
    <row r="664" spans="2:28" s="780" customFormat="1" hidden="1" x14ac:dyDescent="0.45">
      <c r="B664" s="1692"/>
      <c r="C664" s="1696" t="s">
        <v>328</v>
      </c>
      <c r="D664" s="122" t="s">
        <v>326</v>
      </c>
      <c r="E664" s="678"/>
      <c r="F664" s="678"/>
      <c r="G664" s="678"/>
      <c r="H664" s="678"/>
      <c r="I664" s="678"/>
      <c r="J664" s="678"/>
      <c r="K664" s="678"/>
      <c r="L664" s="678"/>
      <c r="M664" s="678"/>
      <c r="N664" s="678"/>
      <c r="O664" s="678"/>
      <c r="P664" s="678"/>
      <c r="Q664" s="678"/>
      <c r="R664" s="678"/>
      <c r="S664" s="678"/>
      <c r="T664" s="678"/>
      <c r="U664" s="678"/>
      <c r="V664" s="678"/>
      <c r="W664" s="678"/>
      <c r="X664" s="678"/>
      <c r="Y664" s="679"/>
      <c r="Z664" s="679"/>
      <c r="AA664" s="679"/>
      <c r="AB664" s="680"/>
    </row>
    <row r="665" spans="2:28" s="780" customFormat="1" hidden="1" x14ac:dyDescent="0.45">
      <c r="B665" s="1692"/>
      <c r="C665" s="1697"/>
      <c r="D665" s="122" t="s">
        <v>327</v>
      </c>
      <c r="E665" s="678"/>
      <c r="F665" s="678"/>
      <c r="G665" s="678"/>
      <c r="H665" s="678"/>
      <c r="I665" s="678"/>
      <c r="J665" s="678"/>
      <c r="K665" s="678"/>
      <c r="L665" s="678"/>
      <c r="M665" s="678"/>
      <c r="N665" s="678"/>
      <c r="O665" s="678"/>
      <c r="P665" s="678"/>
      <c r="Q665" s="678"/>
      <c r="R665" s="678"/>
      <c r="S665" s="678"/>
      <c r="T665" s="678"/>
      <c r="U665" s="678"/>
      <c r="V665" s="678"/>
      <c r="W665" s="678"/>
      <c r="X665" s="681"/>
      <c r="Y665" s="679"/>
      <c r="Z665" s="679"/>
      <c r="AA665" s="679"/>
      <c r="AB665" s="680"/>
    </row>
    <row r="666" spans="2:28" s="780" customFormat="1" hidden="1" x14ac:dyDescent="0.45">
      <c r="B666" s="1692"/>
      <c r="C666" s="1698" t="s">
        <v>329</v>
      </c>
      <c r="D666" s="125" t="s">
        <v>326</v>
      </c>
      <c r="E666" s="682"/>
      <c r="F666" s="682"/>
      <c r="G666" s="682"/>
      <c r="H666" s="682"/>
      <c r="I666" s="682"/>
      <c r="J666" s="682"/>
      <c r="K666" s="682"/>
      <c r="L666" s="682"/>
      <c r="M666" s="682"/>
      <c r="N666" s="682"/>
      <c r="O666" s="682"/>
      <c r="P666" s="682"/>
      <c r="Q666" s="682"/>
      <c r="R666" s="682"/>
      <c r="S666" s="682"/>
      <c r="T666" s="682"/>
      <c r="U666" s="682"/>
      <c r="V666" s="682"/>
      <c r="W666" s="682"/>
      <c r="X666" s="682"/>
      <c r="Y666" s="683"/>
      <c r="Z666" s="683"/>
      <c r="AA666" s="683"/>
      <c r="AB666" s="684"/>
    </row>
    <row r="667" spans="2:28" s="780" customFormat="1" hidden="1" x14ac:dyDescent="0.45">
      <c r="B667" s="1692"/>
      <c r="C667" s="1695"/>
      <c r="D667" s="124" t="s">
        <v>327</v>
      </c>
      <c r="E667" s="675"/>
      <c r="F667" s="675"/>
      <c r="G667" s="675"/>
      <c r="H667" s="675"/>
      <c r="I667" s="675"/>
      <c r="J667" s="675"/>
      <c r="K667" s="675"/>
      <c r="L667" s="675"/>
      <c r="M667" s="675"/>
      <c r="N667" s="675"/>
      <c r="O667" s="675"/>
      <c r="P667" s="675"/>
      <c r="Q667" s="675"/>
      <c r="R667" s="675"/>
      <c r="S667" s="675"/>
      <c r="T667" s="675"/>
      <c r="U667" s="675"/>
      <c r="V667" s="675"/>
      <c r="W667" s="675"/>
      <c r="X667" s="675"/>
      <c r="Y667" s="676"/>
      <c r="Z667" s="676"/>
      <c r="AA667" s="676"/>
      <c r="AB667" s="677"/>
    </row>
    <row r="668" spans="2:28" s="780" customFormat="1" hidden="1" x14ac:dyDescent="0.45">
      <c r="B668" s="1692"/>
      <c r="C668" s="1696" t="s">
        <v>330</v>
      </c>
      <c r="D668" s="122" t="s">
        <v>326</v>
      </c>
      <c r="E668" s="678"/>
      <c r="F668" s="678"/>
      <c r="G668" s="678"/>
      <c r="H668" s="678"/>
      <c r="I668" s="678"/>
      <c r="J668" s="678"/>
      <c r="K668" s="678"/>
      <c r="L668" s="678"/>
      <c r="M668" s="678"/>
      <c r="N668" s="678"/>
      <c r="O668" s="678"/>
      <c r="P668" s="678"/>
      <c r="Q668" s="678"/>
      <c r="R668" s="678"/>
      <c r="S668" s="678"/>
      <c r="T668" s="678"/>
      <c r="U668" s="678"/>
      <c r="V668" s="678"/>
      <c r="W668" s="678"/>
      <c r="X668" s="678"/>
      <c r="Y668" s="679"/>
      <c r="Z668" s="679"/>
      <c r="AA668" s="679"/>
      <c r="AB668" s="680"/>
    </row>
    <row r="669" spans="2:28" s="780" customFormat="1" hidden="1" x14ac:dyDescent="0.45">
      <c r="B669" s="1692"/>
      <c r="C669" s="1697"/>
      <c r="D669" s="122" t="s">
        <v>327</v>
      </c>
      <c r="E669" s="678"/>
      <c r="F669" s="678"/>
      <c r="G669" s="678"/>
      <c r="H669" s="678"/>
      <c r="I669" s="678"/>
      <c r="J669" s="678"/>
      <c r="K669" s="678"/>
      <c r="L669" s="678"/>
      <c r="M669" s="678"/>
      <c r="N669" s="678"/>
      <c r="O669" s="678"/>
      <c r="P669" s="678"/>
      <c r="Q669" s="678"/>
      <c r="R669" s="678"/>
      <c r="S669" s="678"/>
      <c r="T669" s="678"/>
      <c r="U669" s="678"/>
      <c r="V669" s="678"/>
      <c r="W669" s="678"/>
      <c r="X669" s="681"/>
      <c r="Y669" s="679"/>
      <c r="Z669" s="679"/>
      <c r="AA669" s="679"/>
      <c r="AB669" s="680"/>
    </row>
    <row r="670" spans="2:28" s="780" customFormat="1" hidden="1" x14ac:dyDescent="0.45">
      <c r="B670" s="1692"/>
      <c r="C670" s="1698" t="s">
        <v>331</v>
      </c>
      <c r="D670" s="125" t="s">
        <v>326</v>
      </c>
      <c r="E670" s="682"/>
      <c r="F670" s="682"/>
      <c r="G670" s="685"/>
      <c r="H670" s="682"/>
      <c r="I670" s="682"/>
      <c r="J670" s="682"/>
      <c r="K670" s="682"/>
      <c r="L670" s="682"/>
      <c r="M670" s="682"/>
      <c r="N670" s="682"/>
      <c r="O670" s="682"/>
      <c r="P670" s="682"/>
      <c r="Q670" s="682"/>
      <c r="R670" s="682"/>
      <c r="S670" s="682"/>
      <c r="T670" s="682"/>
      <c r="U670" s="682"/>
      <c r="V670" s="682"/>
      <c r="W670" s="682"/>
      <c r="X670" s="682"/>
      <c r="Y670" s="683"/>
      <c r="Z670" s="683"/>
      <c r="AA670" s="683"/>
      <c r="AB670" s="684"/>
    </row>
    <row r="671" spans="2:28" s="780" customFormat="1" hidden="1" x14ac:dyDescent="0.45">
      <c r="B671" s="1692"/>
      <c r="C671" s="1695"/>
      <c r="D671" s="124" t="s">
        <v>327</v>
      </c>
      <c r="E671" s="675"/>
      <c r="F671" s="675"/>
      <c r="G671" s="686"/>
      <c r="H671" s="675"/>
      <c r="I671" s="675"/>
      <c r="J671" s="675"/>
      <c r="K671" s="675"/>
      <c r="L671" s="675"/>
      <c r="M671" s="675"/>
      <c r="N671" s="675"/>
      <c r="O671" s="675"/>
      <c r="P671" s="675"/>
      <c r="Q671" s="675"/>
      <c r="R671" s="675"/>
      <c r="S671" s="675"/>
      <c r="T671" s="675"/>
      <c r="U671" s="675"/>
      <c r="V671" s="675"/>
      <c r="W671" s="675"/>
      <c r="X671" s="675"/>
      <c r="Y671" s="676"/>
      <c r="Z671" s="676"/>
      <c r="AA671" s="676"/>
      <c r="AB671" s="677"/>
    </row>
    <row r="672" spans="2:28" s="780" customFormat="1" hidden="1" x14ac:dyDescent="0.45">
      <c r="B672" s="1692"/>
      <c r="C672" s="1696" t="s">
        <v>332</v>
      </c>
      <c r="D672" s="122" t="s">
        <v>326</v>
      </c>
      <c r="E672" s="678"/>
      <c r="F672" s="678"/>
      <c r="G672" s="678"/>
      <c r="H672" s="678"/>
      <c r="I672" s="678"/>
      <c r="J672" s="678"/>
      <c r="K672" s="678"/>
      <c r="L672" s="678"/>
      <c r="M672" s="678"/>
      <c r="N672" s="678"/>
      <c r="O672" s="678"/>
      <c r="P672" s="678"/>
      <c r="Q672" s="678"/>
      <c r="R672" s="678"/>
      <c r="S672" s="678"/>
      <c r="T672" s="678"/>
      <c r="U672" s="678"/>
      <c r="V672" s="678"/>
      <c r="W672" s="679"/>
      <c r="X672" s="679"/>
      <c r="Y672" s="679"/>
      <c r="Z672" s="679"/>
      <c r="AA672" s="679"/>
      <c r="AB672" s="680"/>
    </row>
    <row r="673" spans="2:28" s="780" customFormat="1" hidden="1" x14ac:dyDescent="0.45">
      <c r="B673" s="1692"/>
      <c r="C673" s="1697"/>
      <c r="D673" s="122" t="s">
        <v>327</v>
      </c>
      <c r="E673" s="678"/>
      <c r="F673" s="678"/>
      <c r="G673" s="678"/>
      <c r="H673" s="678"/>
      <c r="I673" s="678"/>
      <c r="J673" s="678"/>
      <c r="K673" s="678"/>
      <c r="L673" s="678"/>
      <c r="M673" s="678"/>
      <c r="N673" s="678"/>
      <c r="O673" s="678"/>
      <c r="P673" s="678"/>
      <c r="Q673" s="678"/>
      <c r="R673" s="678"/>
      <c r="S673" s="678"/>
      <c r="T673" s="678"/>
      <c r="U673" s="678"/>
      <c r="V673" s="678"/>
      <c r="W673" s="678"/>
      <c r="X673" s="678"/>
      <c r="Y673" s="679"/>
      <c r="Z673" s="679"/>
      <c r="AA673" s="679"/>
      <c r="AB673" s="680"/>
    </row>
    <row r="674" spans="2:28" s="780" customFormat="1" hidden="1" x14ac:dyDescent="0.45">
      <c r="B674" s="1692"/>
      <c r="C674" s="1698" t="s">
        <v>333</v>
      </c>
      <c r="D674" s="124" t="s">
        <v>326</v>
      </c>
      <c r="E674" s="675"/>
      <c r="F674" s="675"/>
      <c r="G674" s="675"/>
      <c r="H674" s="675"/>
      <c r="I674" s="675"/>
      <c r="J674" s="675"/>
      <c r="K674" s="675"/>
      <c r="L674" s="675"/>
      <c r="M674" s="675"/>
      <c r="N674" s="675"/>
      <c r="O674" s="675"/>
      <c r="P674" s="675"/>
      <c r="Q674" s="675"/>
      <c r="R674" s="675"/>
      <c r="S674" s="675"/>
      <c r="T674" s="675"/>
      <c r="U674" s="675"/>
      <c r="V674" s="675"/>
      <c r="W674" s="676"/>
      <c r="X674" s="676"/>
      <c r="Y674" s="676"/>
      <c r="Z674" s="676"/>
      <c r="AA674" s="676"/>
      <c r="AB674" s="677"/>
    </row>
    <row r="675" spans="2:28" s="780" customFormat="1" hidden="1" x14ac:dyDescent="0.45">
      <c r="B675" s="1693"/>
      <c r="C675" s="1699"/>
      <c r="D675" s="126" t="s">
        <v>327</v>
      </c>
      <c r="E675" s="687"/>
      <c r="F675" s="687"/>
      <c r="G675" s="687"/>
      <c r="H675" s="687"/>
      <c r="I675" s="687"/>
      <c r="J675" s="687"/>
      <c r="K675" s="687"/>
      <c r="L675" s="687"/>
      <c r="M675" s="687"/>
      <c r="N675" s="687"/>
      <c r="O675" s="687"/>
      <c r="P675" s="687"/>
      <c r="Q675" s="687"/>
      <c r="R675" s="687"/>
      <c r="S675" s="687"/>
      <c r="T675" s="687"/>
      <c r="U675" s="687"/>
      <c r="V675" s="687"/>
      <c r="W675" s="687"/>
      <c r="X675" s="687"/>
      <c r="Y675" s="687"/>
      <c r="Z675" s="687"/>
      <c r="AA675" s="687"/>
      <c r="AB675" s="688"/>
    </row>
    <row r="676" spans="2:28" s="780" customFormat="1" hidden="1" x14ac:dyDescent="0.45"/>
    <row r="677" spans="2:28" s="780" customFormat="1" hidden="1" x14ac:dyDescent="0.45">
      <c r="B677" s="1688" t="s">
        <v>54</v>
      </c>
      <c r="C677" s="1689"/>
      <c r="D677" s="1690"/>
      <c r="E677" s="779"/>
      <c r="F677" s="779"/>
      <c r="G677" s="779"/>
      <c r="H677" s="779"/>
      <c r="I677" s="779"/>
      <c r="J677" s="779"/>
      <c r="K677" s="779"/>
      <c r="L677" s="779"/>
      <c r="M677" s="779"/>
      <c r="N677" s="779"/>
      <c r="O677" s="779"/>
      <c r="P677" s="779"/>
      <c r="Q677" s="779"/>
      <c r="R677" s="779"/>
      <c r="S677" s="779"/>
      <c r="T677" s="779"/>
      <c r="U677" s="779"/>
      <c r="V677" s="779"/>
      <c r="W677" s="779"/>
      <c r="X677" s="779"/>
      <c r="Y677" s="779"/>
      <c r="Z677" s="779"/>
      <c r="AA677" s="779"/>
      <c r="AB677" s="708"/>
    </row>
    <row r="678" spans="2:28" s="780" customFormat="1" ht="15" hidden="1" customHeight="1" x14ac:dyDescent="0.45">
      <c r="B678" s="1691" t="str">
        <f>CONCATENATE("Plan ", INDEX(plans_index,,(ROW(B678)-6)/16), ": ", INDEX(plans_name,,(ROW(B678)-6)/16))</f>
        <v xml:space="preserve">Plan 42: </v>
      </c>
      <c r="C678" s="1694" t="s">
        <v>325</v>
      </c>
      <c r="D678" s="123" t="s">
        <v>326</v>
      </c>
      <c r="E678" s="672"/>
      <c r="F678" s="672"/>
      <c r="G678" s="672"/>
      <c r="H678" s="673"/>
      <c r="I678" s="672"/>
      <c r="J678" s="672"/>
      <c r="K678" s="672"/>
      <c r="L678" s="672"/>
      <c r="M678" s="672"/>
      <c r="N678" s="672"/>
      <c r="O678" s="672"/>
      <c r="P678" s="672"/>
      <c r="Q678" s="672"/>
      <c r="R678" s="672"/>
      <c r="S678" s="672"/>
      <c r="T678" s="672"/>
      <c r="U678" s="672"/>
      <c r="V678" s="672"/>
      <c r="W678" s="672"/>
      <c r="X678" s="672"/>
      <c r="Y678" s="672"/>
      <c r="Z678" s="672"/>
      <c r="AA678" s="672"/>
      <c r="AB678" s="674"/>
    </row>
    <row r="679" spans="2:28" s="780" customFormat="1" hidden="1" x14ac:dyDescent="0.45">
      <c r="B679" s="1692"/>
      <c r="C679" s="1695"/>
      <c r="D679" s="124" t="s">
        <v>327</v>
      </c>
      <c r="E679" s="675"/>
      <c r="F679" s="675"/>
      <c r="G679" s="675"/>
      <c r="H679" s="675"/>
      <c r="I679" s="675"/>
      <c r="J679" s="675"/>
      <c r="K679" s="675"/>
      <c r="L679" s="675"/>
      <c r="M679" s="675"/>
      <c r="N679" s="675"/>
      <c r="O679" s="675"/>
      <c r="P679" s="675"/>
      <c r="Q679" s="675"/>
      <c r="R679" s="675"/>
      <c r="S679" s="675"/>
      <c r="T679" s="675"/>
      <c r="U679" s="675"/>
      <c r="V679" s="675"/>
      <c r="W679" s="675"/>
      <c r="X679" s="675"/>
      <c r="Y679" s="676"/>
      <c r="Z679" s="676"/>
      <c r="AA679" s="676"/>
      <c r="AB679" s="677"/>
    </row>
    <row r="680" spans="2:28" s="780" customFormat="1" hidden="1" x14ac:dyDescent="0.45">
      <c r="B680" s="1692"/>
      <c r="C680" s="1696" t="s">
        <v>328</v>
      </c>
      <c r="D680" s="122" t="s">
        <v>326</v>
      </c>
      <c r="E680" s="678"/>
      <c r="F680" s="678"/>
      <c r="G680" s="678"/>
      <c r="H680" s="678"/>
      <c r="I680" s="678"/>
      <c r="J680" s="678"/>
      <c r="K680" s="678"/>
      <c r="L680" s="678"/>
      <c r="M680" s="678"/>
      <c r="N680" s="678"/>
      <c r="O680" s="678"/>
      <c r="P680" s="678"/>
      <c r="Q680" s="678"/>
      <c r="R680" s="678"/>
      <c r="S680" s="678"/>
      <c r="T680" s="678"/>
      <c r="U680" s="678"/>
      <c r="V680" s="678"/>
      <c r="W680" s="678"/>
      <c r="X680" s="678"/>
      <c r="Y680" s="679"/>
      <c r="Z680" s="679"/>
      <c r="AA680" s="679"/>
      <c r="AB680" s="680"/>
    </row>
    <row r="681" spans="2:28" s="780" customFormat="1" hidden="1" x14ac:dyDescent="0.45">
      <c r="B681" s="1692"/>
      <c r="C681" s="1697"/>
      <c r="D681" s="122" t="s">
        <v>327</v>
      </c>
      <c r="E681" s="678"/>
      <c r="F681" s="678"/>
      <c r="G681" s="678"/>
      <c r="H681" s="678"/>
      <c r="I681" s="678"/>
      <c r="J681" s="678"/>
      <c r="K681" s="678"/>
      <c r="L681" s="678"/>
      <c r="M681" s="678"/>
      <c r="N681" s="678"/>
      <c r="O681" s="678"/>
      <c r="P681" s="678"/>
      <c r="Q681" s="678"/>
      <c r="R681" s="678"/>
      <c r="S681" s="678"/>
      <c r="T681" s="678"/>
      <c r="U681" s="678"/>
      <c r="V681" s="678"/>
      <c r="W681" s="678"/>
      <c r="X681" s="681"/>
      <c r="Y681" s="679"/>
      <c r="Z681" s="679"/>
      <c r="AA681" s="679"/>
      <c r="AB681" s="680"/>
    </row>
    <row r="682" spans="2:28" s="780" customFormat="1" hidden="1" x14ac:dyDescent="0.45">
      <c r="B682" s="1692"/>
      <c r="C682" s="1698" t="s">
        <v>329</v>
      </c>
      <c r="D682" s="125" t="s">
        <v>326</v>
      </c>
      <c r="E682" s="682"/>
      <c r="F682" s="682"/>
      <c r="G682" s="682"/>
      <c r="H682" s="682"/>
      <c r="I682" s="682"/>
      <c r="J682" s="682"/>
      <c r="K682" s="682"/>
      <c r="L682" s="682"/>
      <c r="M682" s="682"/>
      <c r="N682" s="682"/>
      <c r="O682" s="682"/>
      <c r="P682" s="682"/>
      <c r="Q682" s="682"/>
      <c r="R682" s="682"/>
      <c r="S682" s="682"/>
      <c r="T682" s="682"/>
      <c r="U682" s="682"/>
      <c r="V682" s="682"/>
      <c r="W682" s="682"/>
      <c r="X682" s="682"/>
      <c r="Y682" s="683"/>
      <c r="Z682" s="683"/>
      <c r="AA682" s="683"/>
      <c r="AB682" s="684"/>
    </row>
    <row r="683" spans="2:28" s="780" customFormat="1" hidden="1" x14ac:dyDescent="0.45">
      <c r="B683" s="1692"/>
      <c r="C683" s="1695"/>
      <c r="D683" s="124" t="s">
        <v>327</v>
      </c>
      <c r="E683" s="675"/>
      <c r="F683" s="675"/>
      <c r="G683" s="675"/>
      <c r="H683" s="675"/>
      <c r="I683" s="675"/>
      <c r="J683" s="675"/>
      <c r="K683" s="675"/>
      <c r="L683" s="675"/>
      <c r="M683" s="675"/>
      <c r="N683" s="675"/>
      <c r="O683" s="675"/>
      <c r="P683" s="675"/>
      <c r="Q683" s="675"/>
      <c r="R683" s="675"/>
      <c r="S683" s="675"/>
      <c r="T683" s="675"/>
      <c r="U683" s="675"/>
      <c r="V683" s="675"/>
      <c r="W683" s="675"/>
      <c r="X683" s="675"/>
      <c r="Y683" s="676"/>
      <c r="Z683" s="676"/>
      <c r="AA683" s="676"/>
      <c r="AB683" s="677"/>
    </row>
    <row r="684" spans="2:28" s="780" customFormat="1" hidden="1" x14ac:dyDescent="0.45">
      <c r="B684" s="1692"/>
      <c r="C684" s="1696" t="s">
        <v>330</v>
      </c>
      <c r="D684" s="122" t="s">
        <v>326</v>
      </c>
      <c r="E684" s="678"/>
      <c r="F684" s="678"/>
      <c r="G684" s="678"/>
      <c r="H684" s="678"/>
      <c r="I684" s="678"/>
      <c r="J684" s="678"/>
      <c r="K684" s="678"/>
      <c r="L684" s="678"/>
      <c r="M684" s="678"/>
      <c r="N684" s="678"/>
      <c r="O684" s="678"/>
      <c r="P684" s="678"/>
      <c r="Q684" s="678"/>
      <c r="R684" s="678"/>
      <c r="S684" s="678"/>
      <c r="T684" s="678"/>
      <c r="U684" s="678"/>
      <c r="V684" s="678"/>
      <c r="W684" s="678"/>
      <c r="X684" s="678"/>
      <c r="Y684" s="679"/>
      <c r="Z684" s="679"/>
      <c r="AA684" s="679"/>
      <c r="AB684" s="680"/>
    </row>
    <row r="685" spans="2:28" s="780" customFormat="1" hidden="1" x14ac:dyDescent="0.45">
      <c r="B685" s="1692"/>
      <c r="C685" s="1697"/>
      <c r="D685" s="122" t="s">
        <v>327</v>
      </c>
      <c r="E685" s="678"/>
      <c r="F685" s="678"/>
      <c r="G685" s="678"/>
      <c r="H685" s="678"/>
      <c r="I685" s="678"/>
      <c r="J685" s="678"/>
      <c r="K685" s="678"/>
      <c r="L685" s="678"/>
      <c r="M685" s="678"/>
      <c r="N685" s="678"/>
      <c r="O685" s="678"/>
      <c r="P685" s="678"/>
      <c r="Q685" s="678"/>
      <c r="R685" s="678"/>
      <c r="S685" s="678"/>
      <c r="T685" s="678"/>
      <c r="U685" s="678"/>
      <c r="V685" s="678"/>
      <c r="W685" s="678"/>
      <c r="X685" s="681"/>
      <c r="Y685" s="679"/>
      <c r="Z685" s="679"/>
      <c r="AA685" s="679"/>
      <c r="AB685" s="680"/>
    </row>
    <row r="686" spans="2:28" s="780" customFormat="1" hidden="1" x14ac:dyDescent="0.45">
      <c r="B686" s="1692"/>
      <c r="C686" s="1698" t="s">
        <v>331</v>
      </c>
      <c r="D686" s="125" t="s">
        <v>326</v>
      </c>
      <c r="E686" s="682"/>
      <c r="F686" s="682"/>
      <c r="G686" s="685"/>
      <c r="H686" s="682"/>
      <c r="I686" s="682"/>
      <c r="J686" s="682"/>
      <c r="K686" s="682"/>
      <c r="L686" s="682"/>
      <c r="M686" s="682"/>
      <c r="N686" s="682"/>
      <c r="O686" s="682"/>
      <c r="P686" s="682"/>
      <c r="Q686" s="682"/>
      <c r="R686" s="682"/>
      <c r="S686" s="682"/>
      <c r="T686" s="682"/>
      <c r="U686" s="682"/>
      <c r="V686" s="682"/>
      <c r="W686" s="682"/>
      <c r="X686" s="682"/>
      <c r="Y686" s="683"/>
      <c r="Z686" s="683"/>
      <c r="AA686" s="683"/>
      <c r="AB686" s="684"/>
    </row>
    <row r="687" spans="2:28" s="780" customFormat="1" hidden="1" x14ac:dyDescent="0.45">
      <c r="B687" s="1692"/>
      <c r="C687" s="1695"/>
      <c r="D687" s="124" t="s">
        <v>327</v>
      </c>
      <c r="E687" s="675"/>
      <c r="F687" s="675"/>
      <c r="G687" s="686"/>
      <c r="H687" s="675"/>
      <c r="I687" s="675"/>
      <c r="J687" s="675"/>
      <c r="K687" s="675"/>
      <c r="L687" s="675"/>
      <c r="M687" s="675"/>
      <c r="N687" s="675"/>
      <c r="O687" s="675"/>
      <c r="P687" s="675"/>
      <c r="Q687" s="675"/>
      <c r="R687" s="675"/>
      <c r="S687" s="675"/>
      <c r="T687" s="675"/>
      <c r="U687" s="675"/>
      <c r="V687" s="675"/>
      <c r="W687" s="675"/>
      <c r="X687" s="675"/>
      <c r="Y687" s="676"/>
      <c r="Z687" s="676"/>
      <c r="AA687" s="676"/>
      <c r="AB687" s="677"/>
    </row>
    <row r="688" spans="2:28" s="780" customFormat="1" hidden="1" x14ac:dyDescent="0.45">
      <c r="B688" s="1692"/>
      <c r="C688" s="1696" t="s">
        <v>332</v>
      </c>
      <c r="D688" s="122" t="s">
        <v>326</v>
      </c>
      <c r="E688" s="678"/>
      <c r="F688" s="678"/>
      <c r="G688" s="678"/>
      <c r="H688" s="678"/>
      <c r="I688" s="678"/>
      <c r="J688" s="678"/>
      <c r="K688" s="678"/>
      <c r="L688" s="678"/>
      <c r="M688" s="678"/>
      <c r="N688" s="678"/>
      <c r="O688" s="678"/>
      <c r="P688" s="678"/>
      <c r="Q688" s="678"/>
      <c r="R688" s="678"/>
      <c r="S688" s="678"/>
      <c r="T688" s="678"/>
      <c r="U688" s="678"/>
      <c r="V688" s="678"/>
      <c r="W688" s="679"/>
      <c r="X688" s="679"/>
      <c r="Y688" s="679"/>
      <c r="Z688" s="679"/>
      <c r="AA688" s="679"/>
      <c r="AB688" s="680"/>
    </row>
    <row r="689" spans="2:28" s="780" customFormat="1" hidden="1" x14ac:dyDescent="0.45">
      <c r="B689" s="1692"/>
      <c r="C689" s="1697"/>
      <c r="D689" s="122" t="s">
        <v>327</v>
      </c>
      <c r="E689" s="678"/>
      <c r="F689" s="678"/>
      <c r="G689" s="678"/>
      <c r="H689" s="678"/>
      <c r="I689" s="678"/>
      <c r="J689" s="678"/>
      <c r="K689" s="678"/>
      <c r="L689" s="678"/>
      <c r="M689" s="678"/>
      <c r="N689" s="678"/>
      <c r="O689" s="678"/>
      <c r="P689" s="678"/>
      <c r="Q689" s="678"/>
      <c r="R689" s="678"/>
      <c r="S689" s="678"/>
      <c r="T689" s="678"/>
      <c r="U689" s="678"/>
      <c r="V689" s="678"/>
      <c r="W689" s="678"/>
      <c r="X689" s="678"/>
      <c r="Y689" s="679"/>
      <c r="Z689" s="679"/>
      <c r="AA689" s="679"/>
      <c r="AB689" s="680"/>
    </row>
    <row r="690" spans="2:28" s="780" customFormat="1" hidden="1" x14ac:dyDescent="0.45">
      <c r="B690" s="1692"/>
      <c r="C690" s="1698" t="s">
        <v>333</v>
      </c>
      <c r="D690" s="124" t="s">
        <v>326</v>
      </c>
      <c r="E690" s="675"/>
      <c r="F690" s="675"/>
      <c r="G690" s="675"/>
      <c r="H690" s="675"/>
      <c r="I690" s="675"/>
      <c r="J690" s="675"/>
      <c r="K690" s="675"/>
      <c r="L690" s="675"/>
      <c r="M690" s="675"/>
      <c r="N690" s="675"/>
      <c r="O690" s="675"/>
      <c r="P690" s="675"/>
      <c r="Q690" s="675"/>
      <c r="R690" s="675"/>
      <c r="S690" s="675"/>
      <c r="T690" s="675"/>
      <c r="U690" s="675"/>
      <c r="V690" s="675"/>
      <c r="W690" s="676"/>
      <c r="X690" s="676"/>
      <c r="Y690" s="676"/>
      <c r="Z690" s="676"/>
      <c r="AA690" s="676"/>
      <c r="AB690" s="677"/>
    </row>
    <row r="691" spans="2:28" s="780" customFormat="1" hidden="1" x14ac:dyDescent="0.45">
      <c r="B691" s="1693"/>
      <c r="C691" s="1699"/>
      <c r="D691" s="126" t="s">
        <v>327</v>
      </c>
      <c r="E691" s="687"/>
      <c r="F691" s="687"/>
      <c r="G691" s="687"/>
      <c r="H691" s="687"/>
      <c r="I691" s="687"/>
      <c r="J691" s="687"/>
      <c r="K691" s="687"/>
      <c r="L691" s="687"/>
      <c r="M691" s="687"/>
      <c r="N691" s="687"/>
      <c r="O691" s="687"/>
      <c r="P691" s="687"/>
      <c r="Q691" s="687"/>
      <c r="R691" s="687"/>
      <c r="S691" s="687"/>
      <c r="T691" s="687"/>
      <c r="U691" s="687"/>
      <c r="V691" s="687"/>
      <c r="W691" s="687"/>
      <c r="X691" s="687"/>
      <c r="Y691" s="687"/>
      <c r="Z691" s="687"/>
      <c r="AA691" s="687"/>
      <c r="AB691" s="688"/>
    </row>
    <row r="692" spans="2:28" s="780" customFormat="1" hidden="1" x14ac:dyDescent="0.45"/>
    <row r="693" spans="2:28" s="780" customFormat="1" hidden="1" x14ac:dyDescent="0.45">
      <c r="B693" s="1688" t="s">
        <v>54</v>
      </c>
      <c r="C693" s="1689"/>
      <c r="D693" s="1690"/>
      <c r="E693" s="779"/>
      <c r="F693" s="779"/>
      <c r="G693" s="779"/>
      <c r="H693" s="779"/>
      <c r="I693" s="779"/>
      <c r="J693" s="779"/>
      <c r="K693" s="779"/>
      <c r="L693" s="779"/>
      <c r="M693" s="779"/>
      <c r="N693" s="779"/>
      <c r="O693" s="779"/>
      <c r="P693" s="779"/>
      <c r="Q693" s="779"/>
      <c r="R693" s="779"/>
      <c r="S693" s="779"/>
      <c r="T693" s="779"/>
      <c r="U693" s="779"/>
      <c r="V693" s="779"/>
      <c r="W693" s="779"/>
      <c r="X693" s="779"/>
      <c r="Y693" s="779"/>
      <c r="Z693" s="779"/>
      <c r="AA693" s="779"/>
      <c r="AB693" s="708"/>
    </row>
    <row r="694" spans="2:28" s="780" customFormat="1" ht="15" hidden="1" customHeight="1" x14ac:dyDescent="0.45">
      <c r="B694" s="1691" t="str">
        <f>CONCATENATE("Plan ", INDEX(plans_index,,(ROW(B694)-6)/16), ": ", INDEX(plans_name,,(ROW(B694)-6)/16))</f>
        <v xml:space="preserve">Plan 43: </v>
      </c>
      <c r="C694" s="1694" t="s">
        <v>325</v>
      </c>
      <c r="D694" s="123" t="s">
        <v>326</v>
      </c>
      <c r="E694" s="672"/>
      <c r="F694" s="672"/>
      <c r="G694" s="672"/>
      <c r="H694" s="673"/>
      <c r="I694" s="672"/>
      <c r="J694" s="672"/>
      <c r="K694" s="672"/>
      <c r="L694" s="672"/>
      <c r="M694" s="672"/>
      <c r="N694" s="672"/>
      <c r="O694" s="672"/>
      <c r="P694" s="672"/>
      <c r="Q694" s="672"/>
      <c r="R694" s="672"/>
      <c r="S694" s="672"/>
      <c r="T694" s="672"/>
      <c r="U694" s="672"/>
      <c r="V694" s="672"/>
      <c r="W694" s="672"/>
      <c r="X694" s="672"/>
      <c r="Y694" s="672"/>
      <c r="Z694" s="672"/>
      <c r="AA694" s="672"/>
      <c r="AB694" s="674"/>
    </row>
    <row r="695" spans="2:28" s="780" customFormat="1" hidden="1" x14ac:dyDescent="0.45">
      <c r="B695" s="1692"/>
      <c r="C695" s="1695"/>
      <c r="D695" s="124" t="s">
        <v>327</v>
      </c>
      <c r="E695" s="675"/>
      <c r="F695" s="675"/>
      <c r="G695" s="675"/>
      <c r="H695" s="675"/>
      <c r="I695" s="675"/>
      <c r="J695" s="675"/>
      <c r="K695" s="675"/>
      <c r="L695" s="675"/>
      <c r="M695" s="675"/>
      <c r="N695" s="675"/>
      <c r="O695" s="675"/>
      <c r="P695" s="675"/>
      <c r="Q695" s="675"/>
      <c r="R695" s="675"/>
      <c r="S695" s="675"/>
      <c r="T695" s="675"/>
      <c r="U695" s="675"/>
      <c r="V695" s="675"/>
      <c r="W695" s="675"/>
      <c r="X695" s="675"/>
      <c r="Y695" s="676"/>
      <c r="Z695" s="676"/>
      <c r="AA695" s="676"/>
      <c r="AB695" s="677"/>
    </row>
    <row r="696" spans="2:28" s="780" customFormat="1" hidden="1" x14ac:dyDescent="0.45">
      <c r="B696" s="1692"/>
      <c r="C696" s="1696" t="s">
        <v>328</v>
      </c>
      <c r="D696" s="122" t="s">
        <v>326</v>
      </c>
      <c r="E696" s="678"/>
      <c r="F696" s="678"/>
      <c r="G696" s="678"/>
      <c r="H696" s="678"/>
      <c r="I696" s="678"/>
      <c r="J696" s="678"/>
      <c r="K696" s="678"/>
      <c r="L696" s="678"/>
      <c r="M696" s="678"/>
      <c r="N696" s="678"/>
      <c r="O696" s="678"/>
      <c r="P696" s="678"/>
      <c r="Q696" s="678"/>
      <c r="R696" s="678"/>
      <c r="S696" s="678"/>
      <c r="T696" s="678"/>
      <c r="U696" s="678"/>
      <c r="V696" s="678"/>
      <c r="W696" s="678"/>
      <c r="X696" s="678"/>
      <c r="Y696" s="679"/>
      <c r="Z696" s="679"/>
      <c r="AA696" s="679"/>
      <c r="AB696" s="680"/>
    </row>
    <row r="697" spans="2:28" s="780" customFormat="1" hidden="1" x14ac:dyDescent="0.45">
      <c r="B697" s="1692"/>
      <c r="C697" s="1697"/>
      <c r="D697" s="122" t="s">
        <v>327</v>
      </c>
      <c r="E697" s="678"/>
      <c r="F697" s="678"/>
      <c r="G697" s="678"/>
      <c r="H697" s="678"/>
      <c r="I697" s="678"/>
      <c r="J697" s="678"/>
      <c r="K697" s="678"/>
      <c r="L697" s="678"/>
      <c r="M697" s="678"/>
      <c r="N697" s="678"/>
      <c r="O697" s="678"/>
      <c r="P697" s="678"/>
      <c r="Q697" s="678"/>
      <c r="R697" s="678"/>
      <c r="S697" s="678"/>
      <c r="T697" s="678"/>
      <c r="U697" s="678"/>
      <c r="V697" s="678"/>
      <c r="W697" s="678"/>
      <c r="X697" s="681"/>
      <c r="Y697" s="679"/>
      <c r="Z697" s="679"/>
      <c r="AA697" s="679"/>
      <c r="AB697" s="680"/>
    </row>
    <row r="698" spans="2:28" s="780" customFormat="1" hidden="1" x14ac:dyDescent="0.45">
      <c r="B698" s="1692"/>
      <c r="C698" s="1698" t="s">
        <v>329</v>
      </c>
      <c r="D698" s="125" t="s">
        <v>326</v>
      </c>
      <c r="E698" s="682"/>
      <c r="F698" s="682"/>
      <c r="G698" s="682"/>
      <c r="H698" s="682"/>
      <c r="I698" s="682"/>
      <c r="J698" s="682"/>
      <c r="K698" s="682"/>
      <c r="L698" s="682"/>
      <c r="M698" s="682"/>
      <c r="N698" s="682"/>
      <c r="O698" s="682"/>
      <c r="P698" s="682"/>
      <c r="Q698" s="682"/>
      <c r="R698" s="682"/>
      <c r="S698" s="682"/>
      <c r="T698" s="682"/>
      <c r="U698" s="682"/>
      <c r="V698" s="682"/>
      <c r="W698" s="682"/>
      <c r="X698" s="682"/>
      <c r="Y698" s="683"/>
      <c r="Z698" s="683"/>
      <c r="AA698" s="683"/>
      <c r="AB698" s="684"/>
    </row>
    <row r="699" spans="2:28" s="780" customFormat="1" hidden="1" x14ac:dyDescent="0.45">
      <c r="B699" s="1692"/>
      <c r="C699" s="1695"/>
      <c r="D699" s="124" t="s">
        <v>327</v>
      </c>
      <c r="E699" s="675"/>
      <c r="F699" s="675"/>
      <c r="G699" s="675"/>
      <c r="H699" s="675"/>
      <c r="I699" s="675"/>
      <c r="J699" s="675"/>
      <c r="K699" s="675"/>
      <c r="L699" s="675"/>
      <c r="M699" s="675"/>
      <c r="N699" s="675"/>
      <c r="O699" s="675"/>
      <c r="P699" s="675"/>
      <c r="Q699" s="675"/>
      <c r="R699" s="675"/>
      <c r="S699" s="675"/>
      <c r="T699" s="675"/>
      <c r="U699" s="675"/>
      <c r="V699" s="675"/>
      <c r="W699" s="675"/>
      <c r="X699" s="675"/>
      <c r="Y699" s="676"/>
      <c r="Z699" s="676"/>
      <c r="AA699" s="676"/>
      <c r="AB699" s="677"/>
    </row>
    <row r="700" spans="2:28" s="780" customFormat="1" hidden="1" x14ac:dyDescent="0.45">
      <c r="B700" s="1692"/>
      <c r="C700" s="1696" t="s">
        <v>330</v>
      </c>
      <c r="D700" s="122" t="s">
        <v>326</v>
      </c>
      <c r="E700" s="678"/>
      <c r="F700" s="678"/>
      <c r="G700" s="678"/>
      <c r="H700" s="678"/>
      <c r="I700" s="678"/>
      <c r="J700" s="678"/>
      <c r="K700" s="678"/>
      <c r="L700" s="678"/>
      <c r="M700" s="678"/>
      <c r="N700" s="678"/>
      <c r="O700" s="678"/>
      <c r="P700" s="678"/>
      <c r="Q700" s="678"/>
      <c r="R700" s="678"/>
      <c r="S700" s="678"/>
      <c r="T700" s="678"/>
      <c r="U700" s="678"/>
      <c r="V700" s="678"/>
      <c r="W700" s="678"/>
      <c r="X700" s="678"/>
      <c r="Y700" s="679"/>
      <c r="Z700" s="679"/>
      <c r="AA700" s="679"/>
      <c r="AB700" s="680"/>
    </row>
    <row r="701" spans="2:28" s="780" customFormat="1" hidden="1" x14ac:dyDescent="0.45">
      <c r="B701" s="1692"/>
      <c r="C701" s="1697"/>
      <c r="D701" s="122" t="s">
        <v>327</v>
      </c>
      <c r="E701" s="678"/>
      <c r="F701" s="678"/>
      <c r="G701" s="678"/>
      <c r="H701" s="678"/>
      <c r="I701" s="678"/>
      <c r="J701" s="678"/>
      <c r="K701" s="678"/>
      <c r="L701" s="678"/>
      <c r="M701" s="678"/>
      <c r="N701" s="678"/>
      <c r="O701" s="678"/>
      <c r="P701" s="678"/>
      <c r="Q701" s="678"/>
      <c r="R701" s="678"/>
      <c r="S701" s="678"/>
      <c r="T701" s="678"/>
      <c r="U701" s="678"/>
      <c r="V701" s="678"/>
      <c r="W701" s="678"/>
      <c r="X701" s="681"/>
      <c r="Y701" s="679"/>
      <c r="Z701" s="679"/>
      <c r="AA701" s="679"/>
      <c r="AB701" s="680"/>
    </row>
    <row r="702" spans="2:28" s="780" customFormat="1" hidden="1" x14ac:dyDescent="0.45">
      <c r="B702" s="1692"/>
      <c r="C702" s="1698" t="s">
        <v>331</v>
      </c>
      <c r="D702" s="125" t="s">
        <v>326</v>
      </c>
      <c r="E702" s="682"/>
      <c r="F702" s="682"/>
      <c r="G702" s="685"/>
      <c r="H702" s="682"/>
      <c r="I702" s="682"/>
      <c r="J702" s="682"/>
      <c r="K702" s="682"/>
      <c r="L702" s="682"/>
      <c r="M702" s="682"/>
      <c r="N702" s="682"/>
      <c r="O702" s="682"/>
      <c r="P702" s="682"/>
      <c r="Q702" s="682"/>
      <c r="R702" s="682"/>
      <c r="S702" s="682"/>
      <c r="T702" s="682"/>
      <c r="U702" s="682"/>
      <c r="V702" s="682"/>
      <c r="W702" s="682"/>
      <c r="X702" s="682"/>
      <c r="Y702" s="683"/>
      <c r="Z702" s="683"/>
      <c r="AA702" s="683"/>
      <c r="AB702" s="684"/>
    </row>
    <row r="703" spans="2:28" s="780" customFormat="1" hidden="1" x14ac:dyDescent="0.45">
      <c r="B703" s="1692"/>
      <c r="C703" s="1695"/>
      <c r="D703" s="124" t="s">
        <v>327</v>
      </c>
      <c r="E703" s="675"/>
      <c r="F703" s="675"/>
      <c r="G703" s="686"/>
      <c r="H703" s="675"/>
      <c r="I703" s="675"/>
      <c r="J703" s="675"/>
      <c r="K703" s="675"/>
      <c r="L703" s="675"/>
      <c r="M703" s="675"/>
      <c r="N703" s="675"/>
      <c r="O703" s="675"/>
      <c r="P703" s="675"/>
      <c r="Q703" s="675"/>
      <c r="R703" s="675"/>
      <c r="S703" s="675"/>
      <c r="T703" s="675"/>
      <c r="U703" s="675"/>
      <c r="V703" s="675"/>
      <c r="W703" s="675"/>
      <c r="X703" s="675"/>
      <c r="Y703" s="676"/>
      <c r="Z703" s="676"/>
      <c r="AA703" s="676"/>
      <c r="AB703" s="677"/>
    </row>
    <row r="704" spans="2:28" s="780" customFormat="1" hidden="1" x14ac:dyDescent="0.45">
      <c r="B704" s="1692"/>
      <c r="C704" s="1696" t="s">
        <v>332</v>
      </c>
      <c r="D704" s="122" t="s">
        <v>326</v>
      </c>
      <c r="E704" s="678"/>
      <c r="F704" s="678"/>
      <c r="G704" s="678"/>
      <c r="H704" s="678"/>
      <c r="I704" s="678"/>
      <c r="J704" s="678"/>
      <c r="K704" s="678"/>
      <c r="L704" s="678"/>
      <c r="M704" s="678"/>
      <c r="N704" s="678"/>
      <c r="O704" s="678"/>
      <c r="P704" s="678"/>
      <c r="Q704" s="678"/>
      <c r="R704" s="678"/>
      <c r="S704" s="678"/>
      <c r="T704" s="678"/>
      <c r="U704" s="678"/>
      <c r="V704" s="678"/>
      <c r="W704" s="679"/>
      <c r="X704" s="679"/>
      <c r="Y704" s="679"/>
      <c r="Z704" s="679"/>
      <c r="AA704" s="679"/>
      <c r="AB704" s="680"/>
    </row>
    <row r="705" spans="2:28" s="780" customFormat="1" hidden="1" x14ac:dyDescent="0.45">
      <c r="B705" s="1692"/>
      <c r="C705" s="1697"/>
      <c r="D705" s="122" t="s">
        <v>327</v>
      </c>
      <c r="E705" s="678"/>
      <c r="F705" s="678"/>
      <c r="G705" s="678"/>
      <c r="H705" s="678"/>
      <c r="I705" s="678"/>
      <c r="J705" s="678"/>
      <c r="K705" s="678"/>
      <c r="L705" s="678"/>
      <c r="M705" s="678"/>
      <c r="N705" s="678"/>
      <c r="O705" s="678"/>
      <c r="P705" s="678"/>
      <c r="Q705" s="678"/>
      <c r="R705" s="678"/>
      <c r="S705" s="678"/>
      <c r="T705" s="678"/>
      <c r="U705" s="678"/>
      <c r="V705" s="678"/>
      <c r="W705" s="678"/>
      <c r="X705" s="678"/>
      <c r="Y705" s="679"/>
      <c r="Z705" s="679"/>
      <c r="AA705" s="679"/>
      <c r="AB705" s="680"/>
    </row>
    <row r="706" spans="2:28" s="780" customFormat="1" hidden="1" x14ac:dyDescent="0.45">
      <c r="B706" s="1692"/>
      <c r="C706" s="1698" t="s">
        <v>333</v>
      </c>
      <c r="D706" s="124" t="s">
        <v>326</v>
      </c>
      <c r="E706" s="675"/>
      <c r="F706" s="675"/>
      <c r="G706" s="675"/>
      <c r="H706" s="675"/>
      <c r="I706" s="675"/>
      <c r="J706" s="675"/>
      <c r="K706" s="675"/>
      <c r="L706" s="675"/>
      <c r="M706" s="675"/>
      <c r="N706" s="675"/>
      <c r="O706" s="675"/>
      <c r="P706" s="675"/>
      <c r="Q706" s="675"/>
      <c r="R706" s="675"/>
      <c r="S706" s="675"/>
      <c r="T706" s="675"/>
      <c r="U706" s="675"/>
      <c r="V706" s="675"/>
      <c r="W706" s="676"/>
      <c r="X706" s="676"/>
      <c r="Y706" s="676"/>
      <c r="Z706" s="676"/>
      <c r="AA706" s="676"/>
      <c r="AB706" s="677"/>
    </row>
    <row r="707" spans="2:28" s="780" customFormat="1" hidden="1" x14ac:dyDescent="0.45">
      <c r="B707" s="1693"/>
      <c r="C707" s="1699"/>
      <c r="D707" s="126" t="s">
        <v>327</v>
      </c>
      <c r="E707" s="687"/>
      <c r="F707" s="687"/>
      <c r="G707" s="687"/>
      <c r="H707" s="687"/>
      <c r="I707" s="687"/>
      <c r="J707" s="687"/>
      <c r="K707" s="687"/>
      <c r="L707" s="687"/>
      <c r="M707" s="687"/>
      <c r="N707" s="687"/>
      <c r="O707" s="687"/>
      <c r="P707" s="687"/>
      <c r="Q707" s="687"/>
      <c r="R707" s="687"/>
      <c r="S707" s="687"/>
      <c r="T707" s="687"/>
      <c r="U707" s="687"/>
      <c r="V707" s="687"/>
      <c r="W707" s="687"/>
      <c r="X707" s="687"/>
      <c r="Y707" s="687"/>
      <c r="Z707" s="687"/>
      <c r="AA707" s="687"/>
      <c r="AB707" s="688"/>
    </row>
    <row r="708" spans="2:28" s="780" customFormat="1" hidden="1" x14ac:dyDescent="0.45"/>
    <row r="709" spans="2:28" s="780" customFormat="1" hidden="1" x14ac:dyDescent="0.45">
      <c r="B709" s="1688" t="s">
        <v>54</v>
      </c>
      <c r="C709" s="1689"/>
      <c r="D709" s="1690"/>
      <c r="E709" s="779"/>
      <c r="F709" s="779"/>
      <c r="G709" s="779"/>
      <c r="H709" s="779"/>
      <c r="I709" s="779"/>
      <c r="J709" s="779"/>
      <c r="K709" s="779"/>
      <c r="L709" s="779"/>
      <c r="M709" s="779"/>
      <c r="N709" s="779"/>
      <c r="O709" s="779"/>
      <c r="P709" s="779"/>
      <c r="Q709" s="779"/>
      <c r="R709" s="779"/>
      <c r="S709" s="779"/>
      <c r="T709" s="779"/>
      <c r="U709" s="779"/>
      <c r="V709" s="779"/>
      <c r="W709" s="779"/>
      <c r="X709" s="779"/>
      <c r="Y709" s="779"/>
      <c r="Z709" s="779"/>
      <c r="AA709" s="779"/>
      <c r="AB709" s="708"/>
    </row>
    <row r="710" spans="2:28" s="780" customFormat="1" ht="15" hidden="1" customHeight="1" x14ac:dyDescent="0.45">
      <c r="B710" s="1691" t="str">
        <f>CONCATENATE("Plan ", INDEX(plans_index,,(ROW(B710)-6)/16), ": ", INDEX(plans_name,,(ROW(B710)-6)/16))</f>
        <v xml:space="preserve">Plan 44: </v>
      </c>
      <c r="C710" s="1694" t="s">
        <v>325</v>
      </c>
      <c r="D710" s="123" t="s">
        <v>326</v>
      </c>
      <c r="E710" s="672"/>
      <c r="F710" s="672"/>
      <c r="G710" s="672"/>
      <c r="H710" s="673"/>
      <c r="I710" s="672"/>
      <c r="J710" s="672"/>
      <c r="K710" s="672"/>
      <c r="L710" s="672"/>
      <c r="M710" s="672"/>
      <c r="N710" s="672"/>
      <c r="O710" s="672"/>
      <c r="P710" s="672"/>
      <c r="Q710" s="672"/>
      <c r="R710" s="672"/>
      <c r="S710" s="672"/>
      <c r="T710" s="672"/>
      <c r="U710" s="672"/>
      <c r="V710" s="672"/>
      <c r="W710" s="672"/>
      <c r="X710" s="672"/>
      <c r="Y710" s="672"/>
      <c r="Z710" s="672"/>
      <c r="AA710" s="672"/>
      <c r="AB710" s="674"/>
    </row>
    <row r="711" spans="2:28" s="780" customFormat="1" hidden="1" x14ac:dyDescent="0.45">
      <c r="B711" s="1692"/>
      <c r="C711" s="1695"/>
      <c r="D711" s="124" t="s">
        <v>327</v>
      </c>
      <c r="E711" s="675"/>
      <c r="F711" s="675"/>
      <c r="G711" s="675"/>
      <c r="H711" s="675"/>
      <c r="I711" s="675"/>
      <c r="J711" s="675"/>
      <c r="K711" s="675"/>
      <c r="L711" s="675"/>
      <c r="M711" s="675"/>
      <c r="N711" s="675"/>
      <c r="O711" s="675"/>
      <c r="P711" s="675"/>
      <c r="Q711" s="675"/>
      <c r="R711" s="675"/>
      <c r="S711" s="675"/>
      <c r="T711" s="675"/>
      <c r="U711" s="675"/>
      <c r="V711" s="675"/>
      <c r="W711" s="675"/>
      <c r="X711" s="675"/>
      <c r="Y711" s="676"/>
      <c r="Z711" s="676"/>
      <c r="AA711" s="676"/>
      <c r="AB711" s="677"/>
    </row>
    <row r="712" spans="2:28" s="780" customFormat="1" hidden="1" x14ac:dyDescent="0.45">
      <c r="B712" s="1692"/>
      <c r="C712" s="1696" t="s">
        <v>328</v>
      </c>
      <c r="D712" s="122" t="s">
        <v>326</v>
      </c>
      <c r="E712" s="678"/>
      <c r="F712" s="678"/>
      <c r="G712" s="678"/>
      <c r="H712" s="678"/>
      <c r="I712" s="678"/>
      <c r="J712" s="678"/>
      <c r="K712" s="678"/>
      <c r="L712" s="678"/>
      <c r="M712" s="678"/>
      <c r="N712" s="678"/>
      <c r="O712" s="678"/>
      <c r="P712" s="678"/>
      <c r="Q712" s="678"/>
      <c r="R712" s="678"/>
      <c r="S712" s="678"/>
      <c r="T712" s="678"/>
      <c r="U712" s="678"/>
      <c r="V712" s="678"/>
      <c r="W712" s="678"/>
      <c r="X712" s="678"/>
      <c r="Y712" s="679"/>
      <c r="Z712" s="679"/>
      <c r="AA712" s="679"/>
      <c r="AB712" s="680"/>
    </row>
    <row r="713" spans="2:28" s="780" customFormat="1" hidden="1" x14ac:dyDescent="0.45">
      <c r="B713" s="1692"/>
      <c r="C713" s="1697"/>
      <c r="D713" s="122" t="s">
        <v>327</v>
      </c>
      <c r="E713" s="678"/>
      <c r="F713" s="678"/>
      <c r="G713" s="678"/>
      <c r="H713" s="678"/>
      <c r="I713" s="678"/>
      <c r="J713" s="678"/>
      <c r="K713" s="678"/>
      <c r="L713" s="678"/>
      <c r="M713" s="678"/>
      <c r="N713" s="678"/>
      <c r="O713" s="678"/>
      <c r="P713" s="678"/>
      <c r="Q713" s="678"/>
      <c r="R713" s="678"/>
      <c r="S713" s="678"/>
      <c r="T713" s="678"/>
      <c r="U713" s="678"/>
      <c r="V713" s="678"/>
      <c r="W713" s="678"/>
      <c r="X713" s="681"/>
      <c r="Y713" s="679"/>
      <c r="Z713" s="679"/>
      <c r="AA713" s="679"/>
      <c r="AB713" s="680"/>
    </row>
    <row r="714" spans="2:28" s="780" customFormat="1" hidden="1" x14ac:dyDescent="0.45">
      <c r="B714" s="1692"/>
      <c r="C714" s="1698" t="s">
        <v>329</v>
      </c>
      <c r="D714" s="125" t="s">
        <v>326</v>
      </c>
      <c r="E714" s="682"/>
      <c r="F714" s="682"/>
      <c r="G714" s="682"/>
      <c r="H714" s="682"/>
      <c r="I714" s="682"/>
      <c r="J714" s="682"/>
      <c r="K714" s="682"/>
      <c r="L714" s="682"/>
      <c r="M714" s="682"/>
      <c r="N714" s="682"/>
      <c r="O714" s="682"/>
      <c r="P714" s="682"/>
      <c r="Q714" s="682"/>
      <c r="R714" s="682"/>
      <c r="S714" s="682"/>
      <c r="T714" s="682"/>
      <c r="U714" s="682"/>
      <c r="V714" s="682"/>
      <c r="W714" s="682"/>
      <c r="X714" s="682"/>
      <c r="Y714" s="683"/>
      <c r="Z714" s="683"/>
      <c r="AA714" s="683"/>
      <c r="AB714" s="684"/>
    </row>
    <row r="715" spans="2:28" s="780" customFormat="1" hidden="1" x14ac:dyDescent="0.45">
      <c r="B715" s="1692"/>
      <c r="C715" s="1695"/>
      <c r="D715" s="124" t="s">
        <v>327</v>
      </c>
      <c r="E715" s="675"/>
      <c r="F715" s="675"/>
      <c r="G715" s="675"/>
      <c r="H715" s="675"/>
      <c r="I715" s="675"/>
      <c r="J715" s="675"/>
      <c r="K715" s="675"/>
      <c r="L715" s="675"/>
      <c r="M715" s="675"/>
      <c r="N715" s="675"/>
      <c r="O715" s="675"/>
      <c r="P715" s="675"/>
      <c r="Q715" s="675"/>
      <c r="R715" s="675"/>
      <c r="S715" s="675"/>
      <c r="T715" s="675"/>
      <c r="U715" s="675"/>
      <c r="V715" s="675"/>
      <c r="W715" s="675"/>
      <c r="X715" s="675"/>
      <c r="Y715" s="676"/>
      <c r="Z715" s="676"/>
      <c r="AA715" s="676"/>
      <c r="AB715" s="677"/>
    </row>
    <row r="716" spans="2:28" s="780" customFormat="1" hidden="1" x14ac:dyDescent="0.45">
      <c r="B716" s="1692"/>
      <c r="C716" s="1696" t="s">
        <v>330</v>
      </c>
      <c r="D716" s="122" t="s">
        <v>326</v>
      </c>
      <c r="E716" s="678"/>
      <c r="F716" s="678"/>
      <c r="G716" s="678"/>
      <c r="H716" s="678"/>
      <c r="I716" s="678"/>
      <c r="J716" s="678"/>
      <c r="K716" s="678"/>
      <c r="L716" s="678"/>
      <c r="M716" s="678"/>
      <c r="N716" s="678"/>
      <c r="O716" s="678"/>
      <c r="P716" s="678"/>
      <c r="Q716" s="678"/>
      <c r="R716" s="678"/>
      <c r="S716" s="678"/>
      <c r="T716" s="678"/>
      <c r="U716" s="678"/>
      <c r="V716" s="678"/>
      <c r="W716" s="678"/>
      <c r="X716" s="678"/>
      <c r="Y716" s="679"/>
      <c r="Z716" s="679"/>
      <c r="AA716" s="679"/>
      <c r="AB716" s="680"/>
    </row>
    <row r="717" spans="2:28" s="780" customFormat="1" hidden="1" x14ac:dyDescent="0.45">
      <c r="B717" s="1692"/>
      <c r="C717" s="1697"/>
      <c r="D717" s="122" t="s">
        <v>327</v>
      </c>
      <c r="E717" s="678"/>
      <c r="F717" s="678"/>
      <c r="G717" s="678"/>
      <c r="H717" s="678"/>
      <c r="I717" s="678"/>
      <c r="J717" s="678"/>
      <c r="K717" s="678"/>
      <c r="L717" s="678"/>
      <c r="M717" s="678"/>
      <c r="N717" s="678"/>
      <c r="O717" s="678"/>
      <c r="P717" s="678"/>
      <c r="Q717" s="678"/>
      <c r="R717" s="678"/>
      <c r="S717" s="678"/>
      <c r="T717" s="678"/>
      <c r="U717" s="678"/>
      <c r="V717" s="678"/>
      <c r="W717" s="678"/>
      <c r="X717" s="681"/>
      <c r="Y717" s="679"/>
      <c r="Z717" s="679"/>
      <c r="AA717" s="679"/>
      <c r="AB717" s="680"/>
    </row>
    <row r="718" spans="2:28" s="780" customFormat="1" hidden="1" x14ac:dyDescent="0.45">
      <c r="B718" s="1692"/>
      <c r="C718" s="1698" t="s">
        <v>331</v>
      </c>
      <c r="D718" s="125" t="s">
        <v>326</v>
      </c>
      <c r="E718" s="682"/>
      <c r="F718" s="682"/>
      <c r="G718" s="685"/>
      <c r="H718" s="682"/>
      <c r="I718" s="682"/>
      <c r="J718" s="682"/>
      <c r="K718" s="682"/>
      <c r="L718" s="682"/>
      <c r="M718" s="682"/>
      <c r="N718" s="682"/>
      <c r="O718" s="682"/>
      <c r="P718" s="682"/>
      <c r="Q718" s="682"/>
      <c r="R718" s="682"/>
      <c r="S718" s="682"/>
      <c r="T718" s="682"/>
      <c r="U718" s="682"/>
      <c r="V718" s="682"/>
      <c r="W718" s="682"/>
      <c r="X718" s="682"/>
      <c r="Y718" s="683"/>
      <c r="Z718" s="683"/>
      <c r="AA718" s="683"/>
      <c r="AB718" s="684"/>
    </row>
    <row r="719" spans="2:28" s="780" customFormat="1" hidden="1" x14ac:dyDescent="0.45">
      <c r="B719" s="1692"/>
      <c r="C719" s="1695"/>
      <c r="D719" s="124" t="s">
        <v>327</v>
      </c>
      <c r="E719" s="675"/>
      <c r="F719" s="675"/>
      <c r="G719" s="686"/>
      <c r="H719" s="675"/>
      <c r="I719" s="675"/>
      <c r="J719" s="675"/>
      <c r="K719" s="675"/>
      <c r="L719" s="675"/>
      <c r="M719" s="675"/>
      <c r="N719" s="675"/>
      <c r="O719" s="675"/>
      <c r="P719" s="675"/>
      <c r="Q719" s="675"/>
      <c r="R719" s="675"/>
      <c r="S719" s="675"/>
      <c r="T719" s="675"/>
      <c r="U719" s="675"/>
      <c r="V719" s="675"/>
      <c r="W719" s="675"/>
      <c r="X719" s="675"/>
      <c r="Y719" s="676"/>
      <c r="Z719" s="676"/>
      <c r="AA719" s="676"/>
      <c r="AB719" s="677"/>
    </row>
    <row r="720" spans="2:28" s="780" customFormat="1" hidden="1" x14ac:dyDescent="0.45">
      <c r="B720" s="1692"/>
      <c r="C720" s="1696" t="s">
        <v>332</v>
      </c>
      <c r="D720" s="122" t="s">
        <v>326</v>
      </c>
      <c r="E720" s="678"/>
      <c r="F720" s="678"/>
      <c r="G720" s="678"/>
      <c r="H720" s="678"/>
      <c r="I720" s="678"/>
      <c r="J720" s="678"/>
      <c r="K720" s="678"/>
      <c r="L720" s="678"/>
      <c r="M720" s="678"/>
      <c r="N720" s="678"/>
      <c r="O720" s="678"/>
      <c r="P720" s="678"/>
      <c r="Q720" s="678"/>
      <c r="R720" s="678"/>
      <c r="S720" s="678"/>
      <c r="T720" s="678"/>
      <c r="U720" s="678"/>
      <c r="V720" s="678"/>
      <c r="W720" s="679"/>
      <c r="X720" s="679"/>
      <c r="Y720" s="679"/>
      <c r="Z720" s="679"/>
      <c r="AA720" s="679"/>
      <c r="AB720" s="680"/>
    </row>
    <row r="721" spans="2:28" s="780" customFormat="1" hidden="1" x14ac:dyDescent="0.45">
      <c r="B721" s="1692"/>
      <c r="C721" s="1697"/>
      <c r="D721" s="122" t="s">
        <v>327</v>
      </c>
      <c r="E721" s="678"/>
      <c r="F721" s="678"/>
      <c r="G721" s="678"/>
      <c r="H721" s="678"/>
      <c r="I721" s="678"/>
      <c r="J721" s="678"/>
      <c r="K721" s="678"/>
      <c r="L721" s="678"/>
      <c r="M721" s="678"/>
      <c r="N721" s="678"/>
      <c r="O721" s="678"/>
      <c r="P721" s="678"/>
      <c r="Q721" s="678"/>
      <c r="R721" s="678"/>
      <c r="S721" s="678"/>
      <c r="T721" s="678"/>
      <c r="U721" s="678"/>
      <c r="V721" s="678"/>
      <c r="W721" s="678"/>
      <c r="X721" s="678"/>
      <c r="Y721" s="679"/>
      <c r="Z721" s="679"/>
      <c r="AA721" s="679"/>
      <c r="AB721" s="680"/>
    </row>
    <row r="722" spans="2:28" s="780" customFormat="1" hidden="1" x14ac:dyDescent="0.45">
      <c r="B722" s="1692"/>
      <c r="C722" s="1698" t="s">
        <v>333</v>
      </c>
      <c r="D722" s="124" t="s">
        <v>326</v>
      </c>
      <c r="E722" s="675"/>
      <c r="F722" s="675"/>
      <c r="G722" s="675"/>
      <c r="H722" s="675"/>
      <c r="I722" s="675"/>
      <c r="J722" s="675"/>
      <c r="K722" s="675"/>
      <c r="L722" s="675"/>
      <c r="M722" s="675"/>
      <c r="N722" s="675"/>
      <c r="O722" s="675"/>
      <c r="P722" s="675"/>
      <c r="Q722" s="675"/>
      <c r="R722" s="675"/>
      <c r="S722" s="675"/>
      <c r="T722" s="675"/>
      <c r="U722" s="675"/>
      <c r="V722" s="675"/>
      <c r="W722" s="676"/>
      <c r="X722" s="676"/>
      <c r="Y722" s="676"/>
      <c r="Z722" s="676"/>
      <c r="AA722" s="676"/>
      <c r="AB722" s="677"/>
    </row>
    <row r="723" spans="2:28" s="780" customFormat="1" hidden="1" x14ac:dyDescent="0.45">
      <c r="B723" s="1693"/>
      <c r="C723" s="1699"/>
      <c r="D723" s="126" t="s">
        <v>327</v>
      </c>
      <c r="E723" s="687"/>
      <c r="F723" s="687"/>
      <c r="G723" s="687"/>
      <c r="H723" s="687"/>
      <c r="I723" s="687"/>
      <c r="J723" s="687"/>
      <c r="K723" s="687"/>
      <c r="L723" s="687"/>
      <c r="M723" s="687"/>
      <c r="N723" s="687"/>
      <c r="O723" s="687"/>
      <c r="P723" s="687"/>
      <c r="Q723" s="687"/>
      <c r="R723" s="687"/>
      <c r="S723" s="687"/>
      <c r="T723" s="687"/>
      <c r="U723" s="687"/>
      <c r="V723" s="687"/>
      <c r="W723" s="687"/>
      <c r="X723" s="687"/>
      <c r="Y723" s="687"/>
      <c r="Z723" s="687"/>
      <c r="AA723" s="687"/>
      <c r="AB723" s="688"/>
    </row>
    <row r="724" spans="2:28" s="780" customFormat="1" hidden="1" x14ac:dyDescent="0.45"/>
    <row r="725" spans="2:28" s="780" customFormat="1" hidden="1" x14ac:dyDescent="0.45">
      <c r="B725" s="1688" t="s">
        <v>54</v>
      </c>
      <c r="C725" s="1689"/>
      <c r="D725" s="1690"/>
      <c r="E725" s="779"/>
      <c r="F725" s="779"/>
      <c r="G725" s="779"/>
      <c r="H725" s="779"/>
      <c r="I725" s="779"/>
      <c r="J725" s="779"/>
      <c r="K725" s="779"/>
      <c r="L725" s="779"/>
      <c r="M725" s="779"/>
      <c r="N725" s="779"/>
      <c r="O725" s="779"/>
      <c r="P725" s="779"/>
      <c r="Q725" s="779"/>
      <c r="R725" s="779"/>
      <c r="S725" s="779"/>
      <c r="T725" s="779"/>
      <c r="U725" s="779"/>
      <c r="V725" s="779"/>
      <c r="W725" s="779"/>
      <c r="X725" s="779"/>
      <c r="Y725" s="779"/>
      <c r="Z725" s="779"/>
      <c r="AA725" s="779"/>
      <c r="AB725" s="708"/>
    </row>
    <row r="726" spans="2:28" s="780" customFormat="1" ht="15" hidden="1" customHeight="1" x14ac:dyDescent="0.45">
      <c r="B726" s="1691" t="str">
        <f>CONCATENATE("Plan ", INDEX(plans_index,,(ROW(B726)-6)/16), ": ", INDEX(plans_name,,(ROW(B726)-6)/16))</f>
        <v xml:space="preserve">Plan 45: </v>
      </c>
      <c r="C726" s="1694" t="s">
        <v>325</v>
      </c>
      <c r="D726" s="123" t="s">
        <v>326</v>
      </c>
      <c r="E726" s="672"/>
      <c r="F726" s="672"/>
      <c r="G726" s="672"/>
      <c r="H726" s="673"/>
      <c r="I726" s="672"/>
      <c r="J726" s="672"/>
      <c r="K726" s="672"/>
      <c r="L726" s="672"/>
      <c r="M726" s="672"/>
      <c r="N726" s="672"/>
      <c r="O726" s="672"/>
      <c r="P726" s="672"/>
      <c r="Q726" s="672"/>
      <c r="R726" s="672"/>
      <c r="S726" s="672"/>
      <c r="T726" s="672"/>
      <c r="U726" s="672"/>
      <c r="V726" s="672"/>
      <c r="W726" s="672"/>
      <c r="X726" s="672"/>
      <c r="Y726" s="672"/>
      <c r="Z726" s="672"/>
      <c r="AA726" s="672"/>
      <c r="AB726" s="674"/>
    </row>
    <row r="727" spans="2:28" s="780" customFormat="1" hidden="1" x14ac:dyDescent="0.45">
      <c r="B727" s="1692"/>
      <c r="C727" s="1695"/>
      <c r="D727" s="124" t="s">
        <v>327</v>
      </c>
      <c r="E727" s="675"/>
      <c r="F727" s="675"/>
      <c r="G727" s="675"/>
      <c r="H727" s="675"/>
      <c r="I727" s="675"/>
      <c r="J727" s="675"/>
      <c r="K727" s="675"/>
      <c r="L727" s="675"/>
      <c r="M727" s="675"/>
      <c r="N727" s="675"/>
      <c r="O727" s="675"/>
      <c r="P727" s="675"/>
      <c r="Q727" s="675"/>
      <c r="R727" s="675"/>
      <c r="S727" s="675"/>
      <c r="T727" s="675"/>
      <c r="U727" s="675"/>
      <c r="V727" s="675"/>
      <c r="W727" s="675"/>
      <c r="X727" s="675"/>
      <c r="Y727" s="676"/>
      <c r="Z727" s="676"/>
      <c r="AA727" s="676"/>
      <c r="AB727" s="677"/>
    </row>
    <row r="728" spans="2:28" s="780" customFormat="1" hidden="1" x14ac:dyDescent="0.45">
      <c r="B728" s="1692"/>
      <c r="C728" s="1696" t="s">
        <v>328</v>
      </c>
      <c r="D728" s="122" t="s">
        <v>326</v>
      </c>
      <c r="E728" s="678"/>
      <c r="F728" s="678"/>
      <c r="G728" s="678"/>
      <c r="H728" s="678"/>
      <c r="I728" s="678"/>
      <c r="J728" s="678"/>
      <c r="K728" s="678"/>
      <c r="L728" s="678"/>
      <c r="M728" s="678"/>
      <c r="N728" s="678"/>
      <c r="O728" s="678"/>
      <c r="P728" s="678"/>
      <c r="Q728" s="678"/>
      <c r="R728" s="678"/>
      <c r="S728" s="678"/>
      <c r="T728" s="678"/>
      <c r="U728" s="678"/>
      <c r="V728" s="678"/>
      <c r="W728" s="678"/>
      <c r="X728" s="678"/>
      <c r="Y728" s="679"/>
      <c r="Z728" s="679"/>
      <c r="AA728" s="679"/>
      <c r="AB728" s="680"/>
    </row>
    <row r="729" spans="2:28" s="780" customFormat="1" hidden="1" x14ac:dyDescent="0.45">
      <c r="B729" s="1692"/>
      <c r="C729" s="1697"/>
      <c r="D729" s="122" t="s">
        <v>327</v>
      </c>
      <c r="E729" s="678"/>
      <c r="F729" s="678"/>
      <c r="G729" s="678"/>
      <c r="H729" s="678"/>
      <c r="I729" s="678"/>
      <c r="J729" s="678"/>
      <c r="K729" s="678"/>
      <c r="L729" s="678"/>
      <c r="M729" s="678"/>
      <c r="N729" s="678"/>
      <c r="O729" s="678"/>
      <c r="P729" s="678"/>
      <c r="Q729" s="678"/>
      <c r="R729" s="678"/>
      <c r="S729" s="678"/>
      <c r="T729" s="678"/>
      <c r="U729" s="678"/>
      <c r="V729" s="678"/>
      <c r="W729" s="678"/>
      <c r="X729" s="681"/>
      <c r="Y729" s="679"/>
      <c r="Z729" s="679"/>
      <c r="AA729" s="679"/>
      <c r="AB729" s="680"/>
    </row>
    <row r="730" spans="2:28" s="780" customFormat="1" hidden="1" x14ac:dyDescent="0.45">
      <c r="B730" s="1692"/>
      <c r="C730" s="1698" t="s">
        <v>329</v>
      </c>
      <c r="D730" s="125" t="s">
        <v>326</v>
      </c>
      <c r="E730" s="682"/>
      <c r="F730" s="682"/>
      <c r="G730" s="682"/>
      <c r="H730" s="682"/>
      <c r="I730" s="682"/>
      <c r="J730" s="682"/>
      <c r="K730" s="682"/>
      <c r="L730" s="682"/>
      <c r="M730" s="682"/>
      <c r="N730" s="682"/>
      <c r="O730" s="682"/>
      <c r="P730" s="682"/>
      <c r="Q730" s="682"/>
      <c r="R730" s="682"/>
      <c r="S730" s="682"/>
      <c r="T730" s="682"/>
      <c r="U730" s="682"/>
      <c r="V730" s="682"/>
      <c r="W730" s="682"/>
      <c r="X730" s="682"/>
      <c r="Y730" s="683"/>
      <c r="Z730" s="683"/>
      <c r="AA730" s="683"/>
      <c r="AB730" s="684"/>
    </row>
    <row r="731" spans="2:28" s="780" customFormat="1" hidden="1" x14ac:dyDescent="0.45">
      <c r="B731" s="1692"/>
      <c r="C731" s="1695"/>
      <c r="D731" s="124" t="s">
        <v>327</v>
      </c>
      <c r="E731" s="675"/>
      <c r="F731" s="675"/>
      <c r="G731" s="675"/>
      <c r="H731" s="675"/>
      <c r="I731" s="675"/>
      <c r="J731" s="675"/>
      <c r="K731" s="675"/>
      <c r="L731" s="675"/>
      <c r="M731" s="675"/>
      <c r="N731" s="675"/>
      <c r="O731" s="675"/>
      <c r="P731" s="675"/>
      <c r="Q731" s="675"/>
      <c r="R731" s="675"/>
      <c r="S731" s="675"/>
      <c r="T731" s="675"/>
      <c r="U731" s="675"/>
      <c r="V731" s="675"/>
      <c r="W731" s="675"/>
      <c r="X731" s="675"/>
      <c r="Y731" s="676"/>
      <c r="Z731" s="676"/>
      <c r="AA731" s="676"/>
      <c r="AB731" s="677"/>
    </row>
    <row r="732" spans="2:28" s="780" customFormat="1" hidden="1" x14ac:dyDescent="0.45">
      <c r="B732" s="1692"/>
      <c r="C732" s="1696" t="s">
        <v>330</v>
      </c>
      <c r="D732" s="122" t="s">
        <v>326</v>
      </c>
      <c r="E732" s="678"/>
      <c r="F732" s="678"/>
      <c r="G732" s="678"/>
      <c r="H732" s="678"/>
      <c r="I732" s="678"/>
      <c r="J732" s="678"/>
      <c r="K732" s="678"/>
      <c r="L732" s="678"/>
      <c r="M732" s="678"/>
      <c r="N732" s="678"/>
      <c r="O732" s="678"/>
      <c r="P732" s="678"/>
      <c r="Q732" s="678"/>
      <c r="R732" s="678"/>
      <c r="S732" s="678"/>
      <c r="T732" s="678"/>
      <c r="U732" s="678"/>
      <c r="V732" s="678"/>
      <c r="W732" s="678"/>
      <c r="X732" s="678"/>
      <c r="Y732" s="679"/>
      <c r="Z732" s="679"/>
      <c r="AA732" s="679"/>
      <c r="AB732" s="680"/>
    </row>
    <row r="733" spans="2:28" s="780" customFormat="1" hidden="1" x14ac:dyDescent="0.45">
      <c r="B733" s="1692"/>
      <c r="C733" s="1697"/>
      <c r="D733" s="122" t="s">
        <v>327</v>
      </c>
      <c r="E733" s="678"/>
      <c r="F733" s="678"/>
      <c r="G733" s="678"/>
      <c r="H733" s="678"/>
      <c r="I733" s="678"/>
      <c r="J733" s="678"/>
      <c r="K733" s="678"/>
      <c r="L733" s="678"/>
      <c r="M733" s="678"/>
      <c r="N733" s="678"/>
      <c r="O733" s="678"/>
      <c r="P733" s="678"/>
      <c r="Q733" s="678"/>
      <c r="R733" s="678"/>
      <c r="S733" s="678"/>
      <c r="T733" s="678"/>
      <c r="U733" s="678"/>
      <c r="V733" s="678"/>
      <c r="W733" s="678"/>
      <c r="X733" s="681"/>
      <c r="Y733" s="679"/>
      <c r="Z733" s="679"/>
      <c r="AA733" s="679"/>
      <c r="AB733" s="680"/>
    </row>
    <row r="734" spans="2:28" s="780" customFormat="1" hidden="1" x14ac:dyDescent="0.45">
      <c r="B734" s="1692"/>
      <c r="C734" s="1698" t="s">
        <v>331</v>
      </c>
      <c r="D734" s="125" t="s">
        <v>326</v>
      </c>
      <c r="E734" s="682"/>
      <c r="F734" s="682"/>
      <c r="G734" s="685"/>
      <c r="H734" s="682"/>
      <c r="I734" s="682"/>
      <c r="J734" s="682"/>
      <c r="K734" s="682"/>
      <c r="L734" s="682"/>
      <c r="M734" s="682"/>
      <c r="N734" s="682"/>
      <c r="O734" s="682"/>
      <c r="P734" s="682"/>
      <c r="Q734" s="682"/>
      <c r="R734" s="682"/>
      <c r="S734" s="682"/>
      <c r="T734" s="682"/>
      <c r="U734" s="682"/>
      <c r="V734" s="682"/>
      <c r="W734" s="682"/>
      <c r="X734" s="682"/>
      <c r="Y734" s="683"/>
      <c r="Z734" s="683"/>
      <c r="AA734" s="683"/>
      <c r="AB734" s="684"/>
    </row>
    <row r="735" spans="2:28" s="780" customFormat="1" hidden="1" x14ac:dyDescent="0.45">
      <c r="B735" s="1692"/>
      <c r="C735" s="1695"/>
      <c r="D735" s="124" t="s">
        <v>327</v>
      </c>
      <c r="E735" s="675"/>
      <c r="F735" s="675"/>
      <c r="G735" s="686"/>
      <c r="H735" s="675"/>
      <c r="I735" s="675"/>
      <c r="J735" s="675"/>
      <c r="K735" s="675"/>
      <c r="L735" s="675"/>
      <c r="M735" s="675"/>
      <c r="N735" s="675"/>
      <c r="O735" s="675"/>
      <c r="P735" s="675"/>
      <c r="Q735" s="675"/>
      <c r="R735" s="675"/>
      <c r="S735" s="675"/>
      <c r="T735" s="675"/>
      <c r="U735" s="675"/>
      <c r="V735" s="675"/>
      <c r="W735" s="675"/>
      <c r="X735" s="675"/>
      <c r="Y735" s="676"/>
      <c r="Z735" s="676"/>
      <c r="AA735" s="676"/>
      <c r="AB735" s="677"/>
    </row>
    <row r="736" spans="2:28" s="780" customFormat="1" hidden="1" x14ac:dyDescent="0.45">
      <c r="B736" s="1692"/>
      <c r="C736" s="1696" t="s">
        <v>332</v>
      </c>
      <c r="D736" s="122" t="s">
        <v>326</v>
      </c>
      <c r="E736" s="678"/>
      <c r="F736" s="678"/>
      <c r="G736" s="678"/>
      <c r="H736" s="678"/>
      <c r="I736" s="678"/>
      <c r="J736" s="678"/>
      <c r="K736" s="678"/>
      <c r="L736" s="678"/>
      <c r="M736" s="678"/>
      <c r="N736" s="678"/>
      <c r="O736" s="678"/>
      <c r="P736" s="678"/>
      <c r="Q736" s="678"/>
      <c r="R736" s="678"/>
      <c r="S736" s="678"/>
      <c r="T736" s="678"/>
      <c r="U736" s="678"/>
      <c r="V736" s="678"/>
      <c r="W736" s="679"/>
      <c r="X736" s="679"/>
      <c r="Y736" s="679"/>
      <c r="Z736" s="679"/>
      <c r="AA736" s="679"/>
      <c r="AB736" s="680"/>
    </row>
    <row r="737" spans="2:28" s="780" customFormat="1" hidden="1" x14ac:dyDescent="0.45">
      <c r="B737" s="1692"/>
      <c r="C737" s="1697"/>
      <c r="D737" s="122" t="s">
        <v>327</v>
      </c>
      <c r="E737" s="678"/>
      <c r="F737" s="678"/>
      <c r="G737" s="678"/>
      <c r="H737" s="678"/>
      <c r="I737" s="678"/>
      <c r="J737" s="678"/>
      <c r="K737" s="678"/>
      <c r="L737" s="678"/>
      <c r="M737" s="678"/>
      <c r="N737" s="678"/>
      <c r="O737" s="678"/>
      <c r="P737" s="678"/>
      <c r="Q737" s="678"/>
      <c r="R737" s="678"/>
      <c r="S737" s="678"/>
      <c r="T737" s="678"/>
      <c r="U737" s="678"/>
      <c r="V737" s="678"/>
      <c r="W737" s="678"/>
      <c r="X737" s="678"/>
      <c r="Y737" s="679"/>
      <c r="Z737" s="679"/>
      <c r="AA737" s="679"/>
      <c r="AB737" s="680"/>
    </row>
    <row r="738" spans="2:28" s="780" customFormat="1" hidden="1" x14ac:dyDescent="0.45">
      <c r="B738" s="1692"/>
      <c r="C738" s="1698" t="s">
        <v>333</v>
      </c>
      <c r="D738" s="124" t="s">
        <v>326</v>
      </c>
      <c r="E738" s="675"/>
      <c r="F738" s="675"/>
      <c r="G738" s="675"/>
      <c r="H738" s="675"/>
      <c r="I738" s="675"/>
      <c r="J738" s="675"/>
      <c r="K738" s="675"/>
      <c r="L738" s="675"/>
      <c r="M738" s="675"/>
      <c r="N738" s="675"/>
      <c r="O738" s="675"/>
      <c r="P738" s="675"/>
      <c r="Q738" s="675"/>
      <c r="R738" s="675"/>
      <c r="S738" s="675"/>
      <c r="T738" s="675"/>
      <c r="U738" s="675"/>
      <c r="V738" s="675"/>
      <c r="W738" s="676"/>
      <c r="X738" s="676"/>
      <c r="Y738" s="676"/>
      <c r="Z738" s="676"/>
      <c r="AA738" s="676"/>
      <c r="AB738" s="677"/>
    </row>
    <row r="739" spans="2:28" s="780" customFormat="1" hidden="1" x14ac:dyDescent="0.45">
      <c r="B739" s="1693"/>
      <c r="C739" s="1699"/>
      <c r="D739" s="126" t="s">
        <v>327</v>
      </c>
      <c r="E739" s="687"/>
      <c r="F739" s="687"/>
      <c r="G739" s="687"/>
      <c r="H739" s="687"/>
      <c r="I739" s="687"/>
      <c r="J739" s="687"/>
      <c r="K739" s="687"/>
      <c r="L739" s="687"/>
      <c r="M739" s="687"/>
      <c r="N739" s="687"/>
      <c r="O739" s="687"/>
      <c r="P739" s="687"/>
      <c r="Q739" s="687"/>
      <c r="R739" s="687"/>
      <c r="S739" s="687"/>
      <c r="T739" s="687"/>
      <c r="U739" s="687"/>
      <c r="V739" s="687"/>
      <c r="W739" s="687"/>
      <c r="X739" s="687"/>
      <c r="Y739" s="687"/>
      <c r="Z739" s="687"/>
      <c r="AA739" s="687"/>
      <c r="AB739" s="688"/>
    </row>
    <row r="740" spans="2:28" s="780" customFormat="1" hidden="1" x14ac:dyDescent="0.45"/>
    <row r="741" spans="2:28" s="780" customFormat="1" hidden="1" x14ac:dyDescent="0.45">
      <c r="B741" s="1688" t="s">
        <v>54</v>
      </c>
      <c r="C741" s="1689"/>
      <c r="D741" s="1690"/>
      <c r="E741" s="779"/>
      <c r="F741" s="779"/>
      <c r="G741" s="779"/>
      <c r="H741" s="779"/>
      <c r="I741" s="779"/>
      <c r="J741" s="779"/>
      <c r="K741" s="779"/>
      <c r="L741" s="779"/>
      <c r="M741" s="779"/>
      <c r="N741" s="779"/>
      <c r="O741" s="779"/>
      <c r="P741" s="779"/>
      <c r="Q741" s="779"/>
      <c r="R741" s="779"/>
      <c r="S741" s="779"/>
      <c r="T741" s="779"/>
      <c r="U741" s="779"/>
      <c r="V741" s="779"/>
      <c r="W741" s="779"/>
      <c r="X741" s="779"/>
      <c r="Y741" s="779"/>
      <c r="Z741" s="779"/>
      <c r="AA741" s="779"/>
      <c r="AB741" s="708"/>
    </row>
    <row r="742" spans="2:28" s="780" customFormat="1" ht="15" hidden="1" customHeight="1" x14ac:dyDescent="0.45">
      <c r="B742" s="1691" t="str">
        <f>CONCATENATE("Plan ", INDEX(plans_index,,(ROW(B742)-6)/16), ": ", INDEX(plans_name,,(ROW(B742)-6)/16))</f>
        <v xml:space="preserve">Plan 46: </v>
      </c>
      <c r="C742" s="1694" t="s">
        <v>325</v>
      </c>
      <c r="D742" s="123" t="s">
        <v>326</v>
      </c>
      <c r="E742" s="672"/>
      <c r="F742" s="672"/>
      <c r="G742" s="672"/>
      <c r="H742" s="673"/>
      <c r="I742" s="672"/>
      <c r="J742" s="672"/>
      <c r="K742" s="672"/>
      <c r="L742" s="672"/>
      <c r="M742" s="672"/>
      <c r="N742" s="672"/>
      <c r="O742" s="672"/>
      <c r="P742" s="672"/>
      <c r="Q742" s="672"/>
      <c r="R742" s="672"/>
      <c r="S742" s="672"/>
      <c r="T742" s="672"/>
      <c r="U742" s="672"/>
      <c r="V742" s="672"/>
      <c r="W742" s="672"/>
      <c r="X742" s="672"/>
      <c r="Y742" s="672"/>
      <c r="Z742" s="672"/>
      <c r="AA742" s="672"/>
      <c r="AB742" s="674"/>
    </row>
    <row r="743" spans="2:28" s="780" customFormat="1" hidden="1" x14ac:dyDescent="0.45">
      <c r="B743" s="1692"/>
      <c r="C743" s="1695"/>
      <c r="D743" s="124" t="s">
        <v>327</v>
      </c>
      <c r="E743" s="675"/>
      <c r="F743" s="675"/>
      <c r="G743" s="675"/>
      <c r="H743" s="675"/>
      <c r="I743" s="675"/>
      <c r="J743" s="675"/>
      <c r="K743" s="675"/>
      <c r="L743" s="675"/>
      <c r="M743" s="675"/>
      <c r="N743" s="675"/>
      <c r="O743" s="675"/>
      <c r="P743" s="675"/>
      <c r="Q743" s="675"/>
      <c r="R743" s="675"/>
      <c r="S743" s="675"/>
      <c r="T743" s="675"/>
      <c r="U743" s="675"/>
      <c r="V743" s="675"/>
      <c r="W743" s="675"/>
      <c r="X743" s="675"/>
      <c r="Y743" s="676"/>
      <c r="Z743" s="676"/>
      <c r="AA743" s="676"/>
      <c r="AB743" s="677"/>
    </row>
    <row r="744" spans="2:28" s="780" customFormat="1" hidden="1" x14ac:dyDescent="0.45">
      <c r="B744" s="1692"/>
      <c r="C744" s="1696" t="s">
        <v>328</v>
      </c>
      <c r="D744" s="122" t="s">
        <v>326</v>
      </c>
      <c r="E744" s="678"/>
      <c r="F744" s="678"/>
      <c r="G744" s="678"/>
      <c r="H744" s="678"/>
      <c r="I744" s="678"/>
      <c r="J744" s="678"/>
      <c r="K744" s="678"/>
      <c r="L744" s="678"/>
      <c r="M744" s="678"/>
      <c r="N744" s="678"/>
      <c r="O744" s="678"/>
      <c r="P744" s="678"/>
      <c r="Q744" s="678"/>
      <c r="R744" s="678"/>
      <c r="S744" s="678"/>
      <c r="T744" s="678"/>
      <c r="U744" s="678"/>
      <c r="V744" s="678"/>
      <c r="W744" s="678"/>
      <c r="X744" s="678"/>
      <c r="Y744" s="679"/>
      <c r="Z744" s="679"/>
      <c r="AA744" s="679"/>
      <c r="AB744" s="680"/>
    </row>
    <row r="745" spans="2:28" s="780" customFormat="1" hidden="1" x14ac:dyDescent="0.45">
      <c r="B745" s="1692"/>
      <c r="C745" s="1697"/>
      <c r="D745" s="122" t="s">
        <v>327</v>
      </c>
      <c r="E745" s="678"/>
      <c r="F745" s="678"/>
      <c r="G745" s="678"/>
      <c r="H745" s="678"/>
      <c r="I745" s="678"/>
      <c r="J745" s="678"/>
      <c r="K745" s="678"/>
      <c r="L745" s="678"/>
      <c r="M745" s="678"/>
      <c r="N745" s="678"/>
      <c r="O745" s="678"/>
      <c r="P745" s="678"/>
      <c r="Q745" s="678"/>
      <c r="R745" s="678"/>
      <c r="S745" s="678"/>
      <c r="T745" s="678"/>
      <c r="U745" s="678"/>
      <c r="V745" s="678"/>
      <c r="W745" s="678"/>
      <c r="X745" s="681"/>
      <c r="Y745" s="679"/>
      <c r="Z745" s="679"/>
      <c r="AA745" s="679"/>
      <c r="AB745" s="680"/>
    </row>
    <row r="746" spans="2:28" s="780" customFormat="1" hidden="1" x14ac:dyDescent="0.45">
      <c r="B746" s="1692"/>
      <c r="C746" s="1698" t="s">
        <v>329</v>
      </c>
      <c r="D746" s="125" t="s">
        <v>326</v>
      </c>
      <c r="E746" s="682"/>
      <c r="F746" s="682"/>
      <c r="G746" s="682"/>
      <c r="H746" s="682"/>
      <c r="I746" s="682"/>
      <c r="J746" s="682"/>
      <c r="K746" s="682"/>
      <c r="L746" s="682"/>
      <c r="M746" s="682"/>
      <c r="N746" s="682"/>
      <c r="O746" s="682"/>
      <c r="P746" s="682"/>
      <c r="Q746" s="682"/>
      <c r="R746" s="682"/>
      <c r="S746" s="682"/>
      <c r="T746" s="682"/>
      <c r="U746" s="682"/>
      <c r="V746" s="682"/>
      <c r="W746" s="682"/>
      <c r="X746" s="682"/>
      <c r="Y746" s="683"/>
      <c r="Z746" s="683"/>
      <c r="AA746" s="683"/>
      <c r="AB746" s="684"/>
    </row>
    <row r="747" spans="2:28" s="780" customFormat="1" hidden="1" x14ac:dyDescent="0.45">
      <c r="B747" s="1692"/>
      <c r="C747" s="1695"/>
      <c r="D747" s="124" t="s">
        <v>327</v>
      </c>
      <c r="E747" s="675"/>
      <c r="F747" s="675"/>
      <c r="G747" s="675"/>
      <c r="H747" s="675"/>
      <c r="I747" s="675"/>
      <c r="J747" s="675"/>
      <c r="K747" s="675"/>
      <c r="L747" s="675"/>
      <c r="M747" s="675"/>
      <c r="N747" s="675"/>
      <c r="O747" s="675"/>
      <c r="P747" s="675"/>
      <c r="Q747" s="675"/>
      <c r="R747" s="675"/>
      <c r="S747" s="675"/>
      <c r="T747" s="675"/>
      <c r="U747" s="675"/>
      <c r="V747" s="675"/>
      <c r="W747" s="675"/>
      <c r="X747" s="675"/>
      <c r="Y747" s="676"/>
      <c r="Z747" s="676"/>
      <c r="AA747" s="676"/>
      <c r="AB747" s="677"/>
    </row>
    <row r="748" spans="2:28" s="780" customFormat="1" hidden="1" x14ac:dyDescent="0.45">
      <c r="B748" s="1692"/>
      <c r="C748" s="1696" t="s">
        <v>330</v>
      </c>
      <c r="D748" s="122" t="s">
        <v>326</v>
      </c>
      <c r="E748" s="678"/>
      <c r="F748" s="678"/>
      <c r="G748" s="678"/>
      <c r="H748" s="678"/>
      <c r="I748" s="678"/>
      <c r="J748" s="678"/>
      <c r="K748" s="678"/>
      <c r="L748" s="678"/>
      <c r="M748" s="678"/>
      <c r="N748" s="678"/>
      <c r="O748" s="678"/>
      <c r="P748" s="678"/>
      <c r="Q748" s="678"/>
      <c r="R748" s="678"/>
      <c r="S748" s="678"/>
      <c r="T748" s="678"/>
      <c r="U748" s="678"/>
      <c r="V748" s="678"/>
      <c r="W748" s="678"/>
      <c r="X748" s="678"/>
      <c r="Y748" s="679"/>
      <c r="Z748" s="679"/>
      <c r="AA748" s="679"/>
      <c r="AB748" s="680"/>
    </row>
    <row r="749" spans="2:28" s="780" customFormat="1" hidden="1" x14ac:dyDescent="0.45">
      <c r="B749" s="1692"/>
      <c r="C749" s="1697"/>
      <c r="D749" s="122" t="s">
        <v>327</v>
      </c>
      <c r="E749" s="678"/>
      <c r="F749" s="678"/>
      <c r="G749" s="678"/>
      <c r="H749" s="678"/>
      <c r="I749" s="678"/>
      <c r="J749" s="678"/>
      <c r="K749" s="678"/>
      <c r="L749" s="678"/>
      <c r="M749" s="678"/>
      <c r="N749" s="678"/>
      <c r="O749" s="678"/>
      <c r="P749" s="678"/>
      <c r="Q749" s="678"/>
      <c r="R749" s="678"/>
      <c r="S749" s="678"/>
      <c r="T749" s="678"/>
      <c r="U749" s="678"/>
      <c r="V749" s="678"/>
      <c r="W749" s="678"/>
      <c r="X749" s="681"/>
      <c r="Y749" s="679"/>
      <c r="Z749" s="679"/>
      <c r="AA749" s="679"/>
      <c r="AB749" s="680"/>
    </row>
    <row r="750" spans="2:28" s="780" customFormat="1" hidden="1" x14ac:dyDescent="0.45">
      <c r="B750" s="1692"/>
      <c r="C750" s="1698" t="s">
        <v>331</v>
      </c>
      <c r="D750" s="125" t="s">
        <v>326</v>
      </c>
      <c r="E750" s="682"/>
      <c r="F750" s="682"/>
      <c r="G750" s="685"/>
      <c r="H750" s="682"/>
      <c r="I750" s="682"/>
      <c r="J750" s="682"/>
      <c r="K750" s="682"/>
      <c r="L750" s="682"/>
      <c r="M750" s="682"/>
      <c r="N750" s="682"/>
      <c r="O750" s="682"/>
      <c r="P750" s="682"/>
      <c r="Q750" s="682"/>
      <c r="R750" s="682"/>
      <c r="S750" s="682"/>
      <c r="T750" s="682"/>
      <c r="U750" s="682"/>
      <c r="V750" s="682"/>
      <c r="W750" s="682"/>
      <c r="X750" s="682"/>
      <c r="Y750" s="683"/>
      <c r="Z750" s="683"/>
      <c r="AA750" s="683"/>
      <c r="AB750" s="684"/>
    </row>
    <row r="751" spans="2:28" s="780" customFormat="1" hidden="1" x14ac:dyDescent="0.45">
      <c r="B751" s="1692"/>
      <c r="C751" s="1695"/>
      <c r="D751" s="124" t="s">
        <v>327</v>
      </c>
      <c r="E751" s="675"/>
      <c r="F751" s="675"/>
      <c r="G751" s="686"/>
      <c r="H751" s="675"/>
      <c r="I751" s="675"/>
      <c r="J751" s="675"/>
      <c r="K751" s="675"/>
      <c r="L751" s="675"/>
      <c r="M751" s="675"/>
      <c r="N751" s="675"/>
      <c r="O751" s="675"/>
      <c r="P751" s="675"/>
      <c r="Q751" s="675"/>
      <c r="R751" s="675"/>
      <c r="S751" s="675"/>
      <c r="T751" s="675"/>
      <c r="U751" s="675"/>
      <c r="V751" s="675"/>
      <c r="W751" s="675"/>
      <c r="X751" s="675"/>
      <c r="Y751" s="676"/>
      <c r="Z751" s="676"/>
      <c r="AA751" s="676"/>
      <c r="AB751" s="677"/>
    </row>
    <row r="752" spans="2:28" s="780" customFormat="1" hidden="1" x14ac:dyDescent="0.45">
      <c r="B752" s="1692"/>
      <c r="C752" s="1696" t="s">
        <v>332</v>
      </c>
      <c r="D752" s="122" t="s">
        <v>326</v>
      </c>
      <c r="E752" s="678"/>
      <c r="F752" s="678"/>
      <c r="G752" s="678"/>
      <c r="H752" s="678"/>
      <c r="I752" s="678"/>
      <c r="J752" s="678"/>
      <c r="K752" s="678"/>
      <c r="L752" s="678"/>
      <c r="M752" s="678"/>
      <c r="N752" s="678"/>
      <c r="O752" s="678"/>
      <c r="P752" s="678"/>
      <c r="Q752" s="678"/>
      <c r="R752" s="678"/>
      <c r="S752" s="678"/>
      <c r="T752" s="678"/>
      <c r="U752" s="678"/>
      <c r="V752" s="678"/>
      <c r="W752" s="679"/>
      <c r="X752" s="679"/>
      <c r="Y752" s="679"/>
      <c r="Z752" s="679"/>
      <c r="AA752" s="679"/>
      <c r="AB752" s="680"/>
    </row>
    <row r="753" spans="2:28" s="780" customFormat="1" hidden="1" x14ac:dyDescent="0.45">
      <c r="B753" s="1692"/>
      <c r="C753" s="1697"/>
      <c r="D753" s="122" t="s">
        <v>327</v>
      </c>
      <c r="E753" s="678"/>
      <c r="F753" s="678"/>
      <c r="G753" s="678"/>
      <c r="H753" s="678"/>
      <c r="I753" s="678"/>
      <c r="J753" s="678"/>
      <c r="K753" s="678"/>
      <c r="L753" s="678"/>
      <c r="M753" s="678"/>
      <c r="N753" s="678"/>
      <c r="O753" s="678"/>
      <c r="P753" s="678"/>
      <c r="Q753" s="678"/>
      <c r="R753" s="678"/>
      <c r="S753" s="678"/>
      <c r="T753" s="678"/>
      <c r="U753" s="678"/>
      <c r="V753" s="678"/>
      <c r="W753" s="678"/>
      <c r="X753" s="678"/>
      <c r="Y753" s="679"/>
      <c r="Z753" s="679"/>
      <c r="AA753" s="679"/>
      <c r="AB753" s="680"/>
    </row>
    <row r="754" spans="2:28" s="780" customFormat="1" hidden="1" x14ac:dyDescent="0.45">
      <c r="B754" s="1692"/>
      <c r="C754" s="1698" t="s">
        <v>333</v>
      </c>
      <c r="D754" s="124" t="s">
        <v>326</v>
      </c>
      <c r="E754" s="675"/>
      <c r="F754" s="675"/>
      <c r="G754" s="675"/>
      <c r="H754" s="675"/>
      <c r="I754" s="675"/>
      <c r="J754" s="675"/>
      <c r="K754" s="675"/>
      <c r="L754" s="675"/>
      <c r="M754" s="675"/>
      <c r="N754" s="675"/>
      <c r="O754" s="675"/>
      <c r="P754" s="675"/>
      <c r="Q754" s="675"/>
      <c r="R754" s="675"/>
      <c r="S754" s="675"/>
      <c r="T754" s="675"/>
      <c r="U754" s="675"/>
      <c r="V754" s="675"/>
      <c r="W754" s="676"/>
      <c r="X754" s="676"/>
      <c r="Y754" s="676"/>
      <c r="Z754" s="676"/>
      <c r="AA754" s="676"/>
      <c r="AB754" s="677"/>
    </row>
    <row r="755" spans="2:28" s="780" customFormat="1" hidden="1" x14ac:dyDescent="0.45">
      <c r="B755" s="1693"/>
      <c r="C755" s="1699"/>
      <c r="D755" s="126" t="s">
        <v>327</v>
      </c>
      <c r="E755" s="687"/>
      <c r="F755" s="687"/>
      <c r="G755" s="687"/>
      <c r="H755" s="687"/>
      <c r="I755" s="687"/>
      <c r="J755" s="687"/>
      <c r="K755" s="687"/>
      <c r="L755" s="687"/>
      <c r="M755" s="687"/>
      <c r="N755" s="687"/>
      <c r="O755" s="687"/>
      <c r="P755" s="687"/>
      <c r="Q755" s="687"/>
      <c r="R755" s="687"/>
      <c r="S755" s="687"/>
      <c r="T755" s="687"/>
      <c r="U755" s="687"/>
      <c r="V755" s="687"/>
      <c r="W755" s="687"/>
      <c r="X755" s="687"/>
      <c r="Y755" s="687"/>
      <c r="Z755" s="687"/>
      <c r="AA755" s="687"/>
      <c r="AB755" s="688"/>
    </row>
    <row r="756" spans="2:28" s="780" customFormat="1" hidden="1" x14ac:dyDescent="0.45"/>
    <row r="757" spans="2:28" s="780" customFormat="1" hidden="1" x14ac:dyDescent="0.45">
      <c r="B757" s="1688" t="s">
        <v>54</v>
      </c>
      <c r="C757" s="1689"/>
      <c r="D757" s="1690"/>
      <c r="E757" s="779"/>
      <c r="F757" s="779"/>
      <c r="G757" s="779"/>
      <c r="H757" s="779"/>
      <c r="I757" s="779"/>
      <c r="J757" s="779"/>
      <c r="K757" s="779"/>
      <c r="L757" s="779"/>
      <c r="M757" s="779"/>
      <c r="N757" s="779"/>
      <c r="O757" s="779"/>
      <c r="P757" s="779"/>
      <c r="Q757" s="779"/>
      <c r="R757" s="779"/>
      <c r="S757" s="779"/>
      <c r="T757" s="779"/>
      <c r="U757" s="779"/>
      <c r="V757" s="779"/>
      <c r="W757" s="779"/>
      <c r="X757" s="779"/>
      <c r="Y757" s="779"/>
      <c r="Z757" s="779"/>
      <c r="AA757" s="779"/>
      <c r="AB757" s="708"/>
    </row>
    <row r="758" spans="2:28" s="780" customFormat="1" ht="15" hidden="1" customHeight="1" x14ac:dyDescent="0.45">
      <c r="B758" s="1691" t="str">
        <f>CONCATENATE("Plan ", INDEX(plans_index,,(ROW(B758)-6)/16), ": ", INDEX(plans_name,,(ROW(B758)-6)/16))</f>
        <v xml:space="preserve">Plan 47: </v>
      </c>
      <c r="C758" s="1694" t="s">
        <v>325</v>
      </c>
      <c r="D758" s="123" t="s">
        <v>326</v>
      </c>
      <c r="E758" s="672"/>
      <c r="F758" s="672"/>
      <c r="G758" s="672"/>
      <c r="H758" s="673"/>
      <c r="I758" s="672"/>
      <c r="J758" s="672"/>
      <c r="K758" s="672"/>
      <c r="L758" s="672"/>
      <c r="M758" s="672"/>
      <c r="N758" s="672"/>
      <c r="O758" s="672"/>
      <c r="P758" s="672"/>
      <c r="Q758" s="672"/>
      <c r="R758" s="672"/>
      <c r="S758" s="672"/>
      <c r="T758" s="672"/>
      <c r="U758" s="672"/>
      <c r="V758" s="672"/>
      <c r="W758" s="672"/>
      <c r="X758" s="672"/>
      <c r="Y758" s="672"/>
      <c r="Z758" s="672"/>
      <c r="AA758" s="672"/>
      <c r="AB758" s="674"/>
    </row>
    <row r="759" spans="2:28" s="780" customFormat="1" hidden="1" x14ac:dyDescent="0.45">
      <c r="B759" s="1692"/>
      <c r="C759" s="1695"/>
      <c r="D759" s="124" t="s">
        <v>327</v>
      </c>
      <c r="E759" s="675"/>
      <c r="F759" s="675"/>
      <c r="G759" s="675"/>
      <c r="H759" s="675"/>
      <c r="I759" s="675"/>
      <c r="J759" s="675"/>
      <c r="K759" s="675"/>
      <c r="L759" s="675"/>
      <c r="M759" s="675"/>
      <c r="N759" s="675"/>
      <c r="O759" s="675"/>
      <c r="P759" s="675"/>
      <c r="Q759" s="675"/>
      <c r="R759" s="675"/>
      <c r="S759" s="675"/>
      <c r="T759" s="675"/>
      <c r="U759" s="675"/>
      <c r="V759" s="675"/>
      <c r="W759" s="675"/>
      <c r="X759" s="675"/>
      <c r="Y759" s="676"/>
      <c r="Z759" s="676"/>
      <c r="AA759" s="676"/>
      <c r="AB759" s="677"/>
    </row>
    <row r="760" spans="2:28" s="780" customFormat="1" hidden="1" x14ac:dyDescent="0.45">
      <c r="B760" s="1692"/>
      <c r="C760" s="1696" t="s">
        <v>328</v>
      </c>
      <c r="D760" s="122" t="s">
        <v>326</v>
      </c>
      <c r="E760" s="678"/>
      <c r="F760" s="678"/>
      <c r="G760" s="678"/>
      <c r="H760" s="678"/>
      <c r="I760" s="678"/>
      <c r="J760" s="678"/>
      <c r="K760" s="678"/>
      <c r="L760" s="678"/>
      <c r="M760" s="678"/>
      <c r="N760" s="678"/>
      <c r="O760" s="678"/>
      <c r="P760" s="678"/>
      <c r="Q760" s="678"/>
      <c r="R760" s="678"/>
      <c r="S760" s="678"/>
      <c r="T760" s="678"/>
      <c r="U760" s="678"/>
      <c r="V760" s="678"/>
      <c r="W760" s="678"/>
      <c r="X760" s="678"/>
      <c r="Y760" s="679"/>
      <c r="Z760" s="679"/>
      <c r="AA760" s="679"/>
      <c r="AB760" s="680"/>
    </row>
    <row r="761" spans="2:28" s="780" customFormat="1" hidden="1" x14ac:dyDescent="0.45">
      <c r="B761" s="1692"/>
      <c r="C761" s="1697"/>
      <c r="D761" s="122" t="s">
        <v>327</v>
      </c>
      <c r="E761" s="678"/>
      <c r="F761" s="678"/>
      <c r="G761" s="678"/>
      <c r="H761" s="678"/>
      <c r="I761" s="678"/>
      <c r="J761" s="678"/>
      <c r="K761" s="678"/>
      <c r="L761" s="678"/>
      <c r="M761" s="678"/>
      <c r="N761" s="678"/>
      <c r="O761" s="678"/>
      <c r="P761" s="678"/>
      <c r="Q761" s="678"/>
      <c r="R761" s="678"/>
      <c r="S761" s="678"/>
      <c r="T761" s="678"/>
      <c r="U761" s="678"/>
      <c r="V761" s="678"/>
      <c r="W761" s="678"/>
      <c r="X761" s="681"/>
      <c r="Y761" s="679"/>
      <c r="Z761" s="679"/>
      <c r="AA761" s="679"/>
      <c r="AB761" s="680"/>
    </row>
    <row r="762" spans="2:28" s="780" customFormat="1" hidden="1" x14ac:dyDescent="0.45">
      <c r="B762" s="1692"/>
      <c r="C762" s="1698" t="s">
        <v>329</v>
      </c>
      <c r="D762" s="125" t="s">
        <v>326</v>
      </c>
      <c r="E762" s="682"/>
      <c r="F762" s="682"/>
      <c r="G762" s="682"/>
      <c r="H762" s="682"/>
      <c r="I762" s="682"/>
      <c r="J762" s="682"/>
      <c r="K762" s="682"/>
      <c r="L762" s="682"/>
      <c r="M762" s="682"/>
      <c r="N762" s="682"/>
      <c r="O762" s="682"/>
      <c r="P762" s="682"/>
      <c r="Q762" s="682"/>
      <c r="R762" s="682"/>
      <c r="S762" s="682"/>
      <c r="T762" s="682"/>
      <c r="U762" s="682"/>
      <c r="V762" s="682"/>
      <c r="W762" s="682"/>
      <c r="X762" s="682"/>
      <c r="Y762" s="683"/>
      <c r="Z762" s="683"/>
      <c r="AA762" s="683"/>
      <c r="AB762" s="684"/>
    </row>
    <row r="763" spans="2:28" s="780" customFormat="1" hidden="1" x14ac:dyDescent="0.45">
      <c r="B763" s="1692"/>
      <c r="C763" s="1695"/>
      <c r="D763" s="124" t="s">
        <v>327</v>
      </c>
      <c r="E763" s="675"/>
      <c r="F763" s="675"/>
      <c r="G763" s="675"/>
      <c r="H763" s="675"/>
      <c r="I763" s="675"/>
      <c r="J763" s="675"/>
      <c r="K763" s="675"/>
      <c r="L763" s="675"/>
      <c r="M763" s="675"/>
      <c r="N763" s="675"/>
      <c r="O763" s="675"/>
      <c r="P763" s="675"/>
      <c r="Q763" s="675"/>
      <c r="R763" s="675"/>
      <c r="S763" s="675"/>
      <c r="T763" s="675"/>
      <c r="U763" s="675"/>
      <c r="V763" s="675"/>
      <c r="W763" s="675"/>
      <c r="X763" s="675"/>
      <c r="Y763" s="676"/>
      <c r="Z763" s="676"/>
      <c r="AA763" s="676"/>
      <c r="AB763" s="677"/>
    </row>
    <row r="764" spans="2:28" s="780" customFormat="1" hidden="1" x14ac:dyDescent="0.45">
      <c r="B764" s="1692"/>
      <c r="C764" s="1696" t="s">
        <v>330</v>
      </c>
      <c r="D764" s="122" t="s">
        <v>326</v>
      </c>
      <c r="E764" s="678"/>
      <c r="F764" s="678"/>
      <c r="G764" s="678"/>
      <c r="H764" s="678"/>
      <c r="I764" s="678"/>
      <c r="J764" s="678"/>
      <c r="K764" s="678"/>
      <c r="L764" s="678"/>
      <c r="M764" s="678"/>
      <c r="N764" s="678"/>
      <c r="O764" s="678"/>
      <c r="P764" s="678"/>
      <c r="Q764" s="678"/>
      <c r="R764" s="678"/>
      <c r="S764" s="678"/>
      <c r="T764" s="678"/>
      <c r="U764" s="678"/>
      <c r="V764" s="678"/>
      <c r="W764" s="678"/>
      <c r="X764" s="678"/>
      <c r="Y764" s="679"/>
      <c r="Z764" s="679"/>
      <c r="AA764" s="679"/>
      <c r="AB764" s="680"/>
    </row>
    <row r="765" spans="2:28" s="780" customFormat="1" hidden="1" x14ac:dyDescent="0.45">
      <c r="B765" s="1692"/>
      <c r="C765" s="1697"/>
      <c r="D765" s="122" t="s">
        <v>327</v>
      </c>
      <c r="E765" s="678"/>
      <c r="F765" s="678"/>
      <c r="G765" s="678"/>
      <c r="H765" s="678"/>
      <c r="I765" s="678"/>
      <c r="J765" s="678"/>
      <c r="K765" s="678"/>
      <c r="L765" s="678"/>
      <c r="M765" s="678"/>
      <c r="N765" s="678"/>
      <c r="O765" s="678"/>
      <c r="P765" s="678"/>
      <c r="Q765" s="678"/>
      <c r="R765" s="678"/>
      <c r="S765" s="678"/>
      <c r="T765" s="678"/>
      <c r="U765" s="678"/>
      <c r="V765" s="678"/>
      <c r="W765" s="678"/>
      <c r="X765" s="681"/>
      <c r="Y765" s="679"/>
      <c r="Z765" s="679"/>
      <c r="AA765" s="679"/>
      <c r="AB765" s="680"/>
    </row>
    <row r="766" spans="2:28" s="780" customFormat="1" hidden="1" x14ac:dyDescent="0.45">
      <c r="B766" s="1692"/>
      <c r="C766" s="1698" t="s">
        <v>331</v>
      </c>
      <c r="D766" s="125" t="s">
        <v>326</v>
      </c>
      <c r="E766" s="682"/>
      <c r="F766" s="682"/>
      <c r="G766" s="685"/>
      <c r="H766" s="682"/>
      <c r="I766" s="682"/>
      <c r="J766" s="682"/>
      <c r="K766" s="682"/>
      <c r="L766" s="682"/>
      <c r="M766" s="682"/>
      <c r="N766" s="682"/>
      <c r="O766" s="682"/>
      <c r="P766" s="682"/>
      <c r="Q766" s="682"/>
      <c r="R766" s="682"/>
      <c r="S766" s="682"/>
      <c r="T766" s="682"/>
      <c r="U766" s="682"/>
      <c r="V766" s="682"/>
      <c r="W766" s="682"/>
      <c r="X766" s="682"/>
      <c r="Y766" s="683"/>
      <c r="Z766" s="683"/>
      <c r="AA766" s="683"/>
      <c r="AB766" s="684"/>
    </row>
    <row r="767" spans="2:28" s="780" customFormat="1" hidden="1" x14ac:dyDescent="0.45">
      <c r="B767" s="1692"/>
      <c r="C767" s="1695"/>
      <c r="D767" s="124" t="s">
        <v>327</v>
      </c>
      <c r="E767" s="675"/>
      <c r="F767" s="675"/>
      <c r="G767" s="686"/>
      <c r="H767" s="675"/>
      <c r="I767" s="675"/>
      <c r="J767" s="675"/>
      <c r="K767" s="675"/>
      <c r="L767" s="675"/>
      <c r="M767" s="675"/>
      <c r="N767" s="675"/>
      <c r="O767" s="675"/>
      <c r="P767" s="675"/>
      <c r="Q767" s="675"/>
      <c r="R767" s="675"/>
      <c r="S767" s="675"/>
      <c r="T767" s="675"/>
      <c r="U767" s="675"/>
      <c r="V767" s="675"/>
      <c r="W767" s="675"/>
      <c r="X767" s="675"/>
      <c r="Y767" s="676"/>
      <c r="Z767" s="676"/>
      <c r="AA767" s="676"/>
      <c r="AB767" s="677"/>
    </row>
    <row r="768" spans="2:28" s="780" customFormat="1" hidden="1" x14ac:dyDescent="0.45">
      <c r="B768" s="1692"/>
      <c r="C768" s="1696" t="s">
        <v>332</v>
      </c>
      <c r="D768" s="122" t="s">
        <v>326</v>
      </c>
      <c r="E768" s="678"/>
      <c r="F768" s="678"/>
      <c r="G768" s="678"/>
      <c r="H768" s="678"/>
      <c r="I768" s="678"/>
      <c r="J768" s="678"/>
      <c r="K768" s="678"/>
      <c r="L768" s="678"/>
      <c r="M768" s="678"/>
      <c r="N768" s="678"/>
      <c r="O768" s="678"/>
      <c r="P768" s="678"/>
      <c r="Q768" s="678"/>
      <c r="R768" s="678"/>
      <c r="S768" s="678"/>
      <c r="T768" s="678"/>
      <c r="U768" s="678"/>
      <c r="V768" s="678"/>
      <c r="W768" s="679"/>
      <c r="X768" s="679"/>
      <c r="Y768" s="679"/>
      <c r="Z768" s="679"/>
      <c r="AA768" s="679"/>
      <c r="AB768" s="680"/>
    </row>
    <row r="769" spans="2:28" s="780" customFormat="1" hidden="1" x14ac:dyDescent="0.45">
      <c r="B769" s="1692"/>
      <c r="C769" s="1697"/>
      <c r="D769" s="122" t="s">
        <v>327</v>
      </c>
      <c r="E769" s="678"/>
      <c r="F769" s="678"/>
      <c r="G769" s="678"/>
      <c r="H769" s="678"/>
      <c r="I769" s="678"/>
      <c r="J769" s="678"/>
      <c r="K769" s="678"/>
      <c r="L769" s="678"/>
      <c r="M769" s="678"/>
      <c r="N769" s="678"/>
      <c r="O769" s="678"/>
      <c r="P769" s="678"/>
      <c r="Q769" s="678"/>
      <c r="R769" s="678"/>
      <c r="S769" s="678"/>
      <c r="T769" s="678"/>
      <c r="U769" s="678"/>
      <c r="V769" s="678"/>
      <c r="W769" s="678"/>
      <c r="X769" s="678"/>
      <c r="Y769" s="679"/>
      <c r="Z769" s="679"/>
      <c r="AA769" s="679"/>
      <c r="AB769" s="680"/>
    </row>
    <row r="770" spans="2:28" s="780" customFormat="1" hidden="1" x14ac:dyDescent="0.45">
      <c r="B770" s="1692"/>
      <c r="C770" s="1698" t="s">
        <v>333</v>
      </c>
      <c r="D770" s="124" t="s">
        <v>326</v>
      </c>
      <c r="E770" s="675"/>
      <c r="F770" s="675"/>
      <c r="G770" s="675"/>
      <c r="H770" s="675"/>
      <c r="I770" s="675"/>
      <c r="J770" s="675"/>
      <c r="K770" s="675"/>
      <c r="L770" s="675"/>
      <c r="M770" s="675"/>
      <c r="N770" s="675"/>
      <c r="O770" s="675"/>
      <c r="P770" s="675"/>
      <c r="Q770" s="675"/>
      <c r="R770" s="675"/>
      <c r="S770" s="675"/>
      <c r="T770" s="675"/>
      <c r="U770" s="675"/>
      <c r="V770" s="675"/>
      <c r="W770" s="676"/>
      <c r="X770" s="676"/>
      <c r="Y770" s="676"/>
      <c r="Z770" s="676"/>
      <c r="AA770" s="676"/>
      <c r="AB770" s="677"/>
    </row>
    <row r="771" spans="2:28" s="780" customFormat="1" hidden="1" x14ac:dyDescent="0.45">
      <c r="B771" s="1693"/>
      <c r="C771" s="1699"/>
      <c r="D771" s="126" t="s">
        <v>327</v>
      </c>
      <c r="E771" s="687"/>
      <c r="F771" s="687"/>
      <c r="G771" s="687"/>
      <c r="H771" s="687"/>
      <c r="I771" s="687"/>
      <c r="J771" s="687"/>
      <c r="K771" s="687"/>
      <c r="L771" s="687"/>
      <c r="M771" s="687"/>
      <c r="N771" s="687"/>
      <c r="O771" s="687"/>
      <c r="P771" s="687"/>
      <c r="Q771" s="687"/>
      <c r="R771" s="687"/>
      <c r="S771" s="687"/>
      <c r="T771" s="687"/>
      <c r="U771" s="687"/>
      <c r="V771" s="687"/>
      <c r="W771" s="687"/>
      <c r="X771" s="687"/>
      <c r="Y771" s="687"/>
      <c r="Z771" s="687"/>
      <c r="AA771" s="687"/>
      <c r="AB771" s="688"/>
    </row>
    <row r="772" spans="2:28" s="780" customFormat="1" hidden="1" x14ac:dyDescent="0.45"/>
    <row r="773" spans="2:28" s="780" customFormat="1" hidden="1" x14ac:dyDescent="0.45">
      <c r="B773" s="1688" t="s">
        <v>54</v>
      </c>
      <c r="C773" s="1689"/>
      <c r="D773" s="1690"/>
      <c r="E773" s="779"/>
      <c r="F773" s="779"/>
      <c r="G773" s="779"/>
      <c r="H773" s="779"/>
      <c r="I773" s="779"/>
      <c r="J773" s="779"/>
      <c r="K773" s="779"/>
      <c r="L773" s="779"/>
      <c r="M773" s="779"/>
      <c r="N773" s="779"/>
      <c r="O773" s="779"/>
      <c r="P773" s="779"/>
      <c r="Q773" s="779"/>
      <c r="R773" s="779"/>
      <c r="S773" s="779"/>
      <c r="T773" s="779"/>
      <c r="U773" s="779"/>
      <c r="V773" s="779"/>
      <c r="W773" s="779"/>
      <c r="X773" s="779"/>
      <c r="Y773" s="779"/>
      <c r="Z773" s="779"/>
      <c r="AA773" s="779"/>
      <c r="AB773" s="708"/>
    </row>
    <row r="774" spans="2:28" s="780" customFormat="1" ht="15" hidden="1" customHeight="1" x14ac:dyDescent="0.45">
      <c r="B774" s="1691" t="str">
        <f>CONCATENATE("Plan ", INDEX(plans_index,,(ROW(B774)-6)/16), ": ", INDEX(plans_name,,(ROW(B774)-6)/16))</f>
        <v xml:space="preserve">Plan 48: </v>
      </c>
      <c r="C774" s="1694" t="s">
        <v>325</v>
      </c>
      <c r="D774" s="123" t="s">
        <v>326</v>
      </c>
      <c r="E774" s="672"/>
      <c r="F774" s="672"/>
      <c r="G774" s="672"/>
      <c r="H774" s="673"/>
      <c r="I774" s="672"/>
      <c r="J774" s="672"/>
      <c r="K774" s="672"/>
      <c r="L774" s="672"/>
      <c r="M774" s="672"/>
      <c r="N774" s="672"/>
      <c r="O774" s="672"/>
      <c r="P774" s="672"/>
      <c r="Q774" s="672"/>
      <c r="R774" s="672"/>
      <c r="S774" s="672"/>
      <c r="T774" s="672"/>
      <c r="U774" s="672"/>
      <c r="V774" s="672"/>
      <c r="W774" s="672"/>
      <c r="X774" s="672"/>
      <c r="Y774" s="672"/>
      <c r="Z774" s="672"/>
      <c r="AA774" s="672"/>
      <c r="AB774" s="674"/>
    </row>
    <row r="775" spans="2:28" s="780" customFormat="1" hidden="1" x14ac:dyDescent="0.45">
      <c r="B775" s="1692"/>
      <c r="C775" s="1695"/>
      <c r="D775" s="124" t="s">
        <v>327</v>
      </c>
      <c r="E775" s="675"/>
      <c r="F775" s="675"/>
      <c r="G775" s="675"/>
      <c r="H775" s="675"/>
      <c r="I775" s="675"/>
      <c r="J775" s="675"/>
      <c r="K775" s="675"/>
      <c r="L775" s="675"/>
      <c r="M775" s="675"/>
      <c r="N775" s="675"/>
      <c r="O775" s="675"/>
      <c r="P775" s="675"/>
      <c r="Q775" s="675"/>
      <c r="R775" s="675"/>
      <c r="S775" s="675"/>
      <c r="T775" s="675"/>
      <c r="U775" s="675"/>
      <c r="V775" s="675"/>
      <c r="W775" s="675"/>
      <c r="X775" s="675"/>
      <c r="Y775" s="676"/>
      <c r="Z775" s="676"/>
      <c r="AA775" s="676"/>
      <c r="AB775" s="677"/>
    </row>
    <row r="776" spans="2:28" s="780" customFormat="1" hidden="1" x14ac:dyDescent="0.45">
      <c r="B776" s="1692"/>
      <c r="C776" s="1696" t="s">
        <v>328</v>
      </c>
      <c r="D776" s="122" t="s">
        <v>326</v>
      </c>
      <c r="E776" s="678"/>
      <c r="F776" s="678"/>
      <c r="G776" s="678"/>
      <c r="H776" s="678"/>
      <c r="I776" s="678"/>
      <c r="J776" s="678"/>
      <c r="K776" s="678"/>
      <c r="L776" s="678"/>
      <c r="M776" s="678"/>
      <c r="N776" s="678"/>
      <c r="O776" s="678"/>
      <c r="P776" s="678"/>
      <c r="Q776" s="678"/>
      <c r="R776" s="678"/>
      <c r="S776" s="678"/>
      <c r="T776" s="678"/>
      <c r="U776" s="678"/>
      <c r="V776" s="678"/>
      <c r="W776" s="678"/>
      <c r="X776" s="678"/>
      <c r="Y776" s="679"/>
      <c r="Z776" s="679"/>
      <c r="AA776" s="679"/>
      <c r="AB776" s="680"/>
    </row>
    <row r="777" spans="2:28" s="780" customFormat="1" hidden="1" x14ac:dyDescent="0.45">
      <c r="B777" s="1692"/>
      <c r="C777" s="1697"/>
      <c r="D777" s="122" t="s">
        <v>327</v>
      </c>
      <c r="E777" s="678"/>
      <c r="F777" s="678"/>
      <c r="G777" s="678"/>
      <c r="H777" s="678"/>
      <c r="I777" s="678"/>
      <c r="J777" s="678"/>
      <c r="K777" s="678"/>
      <c r="L777" s="678"/>
      <c r="M777" s="678"/>
      <c r="N777" s="678"/>
      <c r="O777" s="678"/>
      <c r="P777" s="678"/>
      <c r="Q777" s="678"/>
      <c r="R777" s="678"/>
      <c r="S777" s="678"/>
      <c r="T777" s="678"/>
      <c r="U777" s="678"/>
      <c r="V777" s="678"/>
      <c r="W777" s="678"/>
      <c r="X777" s="681"/>
      <c r="Y777" s="679"/>
      <c r="Z777" s="679"/>
      <c r="AA777" s="679"/>
      <c r="AB777" s="680"/>
    </row>
    <row r="778" spans="2:28" s="780" customFormat="1" hidden="1" x14ac:dyDescent="0.45">
      <c r="B778" s="1692"/>
      <c r="C778" s="1698" t="s">
        <v>329</v>
      </c>
      <c r="D778" s="125" t="s">
        <v>326</v>
      </c>
      <c r="E778" s="682"/>
      <c r="F778" s="682"/>
      <c r="G778" s="682"/>
      <c r="H778" s="682"/>
      <c r="I778" s="682"/>
      <c r="J778" s="682"/>
      <c r="K778" s="682"/>
      <c r="L778" s="682"/>
      <c r="M778" s="682"/>
      <c r="N778" s="682"/>
      <c r="O778" s="682"/>
      <c r="P778" s="682"/>
      <c r="Q778" s="682"/>
      <c r="R778" s="682"/>
      <c r="S778" s="682"/>
      <c r="T778" s="682"/>
      <c r="U778" s="682"/>
      <c r="V778" s="682"/>
      <c r="W778" s="682"/>
      <c r="X778" s="682"/>
      <c r="Y778" s="683"/>
      <c r="Z778" s="683"/>
      <c r="AA778" s="683"/>
      <c r="AB778" s="684"/>
    </row>
    <row r="779" spans="2:28" s="780" customFormat="1" hidden="1" x14ac:dyDescent="0.45">
      <c r="B779" s="1692"/>
      <c r="C779" s="1695"/>
      <c r="D779" s="124" t="s">
        <v>327</v>
      </c>
      <c r="E779" s="675"/>
      <c r="F779" s="675"/>
      <c r="G779" s="675"/>
      <c r="H779" s="675"/>
      <c r="I779" s="675"/>
      <c r="J779" s="675"/>
      <c r="K779" s="675"/>
      <c r="L779" s="675"/>
      <c r="M779" s="675"/>
      <c r="N779" s="675"/>
      <c r="O779" s="675"/>
      <c r="P779" s="675"/>
      <c r="Q779" s="675"/>
      <c r="R779" s="675"/>
      <c r="S779" s="675"/>
      <c r="T779" s="675"/>
      <c r="U779" s="675"/>
      <c r="V779" s="675"/>
      <c r="W779" s="675"/>
      <c r="X779" s="675"/>
      <c r="Y779" s="676"/>
      <c r="Z779" s="676"/>
      <c r="AA779" s="676"/>
      <c r="AB779" s="677"/>
    </row>
    <row r="780" spans="2:28" s="780" customFormat="1" hidden="1" x14ac:dyDescent="0.45">
      <c r="B780" s="1692"/>
      <c r="C780" s="1696" t="s">
        <v>330</v>
      </c>
      <c r="D780" s="122" t="s">
        <v>326</v>
      </c>
      <c r="E780" s="678"/>
      <c r="F780" s="678"/>
      <c r="G780" s="678"/>
      <c r="H780" s="678"/>
      <c r="I780" s="678"/>
      <c r="J780" s="678"/>
      <c r="K780" s="678"/>
      <c r="L780" s="678"/>
      <c r="M780" s="678"/>
      <c r="N780" s="678"/>
      <c r="O780" s="678"/>
      <c r="P780" s="678"/>
      <c r="Q780" s="678"/>
      <c r="R780" s="678"/>
      <c r="S780" s="678"/>
      <c r="T780" s="678"/>
      <c r="U780" s="678"/>
      <c r="V780" s="678"/>
      <c r="W780" s="678"/>
      <c r="X780" s="678"/>
      <c r="Y780" s="679"/>
      <c r="Z780" s="679"/>
      <c r="AA780" s="679"/>
      <c r="AB780" s="680"/>
    </row>
    <row r="781" spans="2:28" s="780" customFormat="1" hidden="1" x14ac:dyDescent="0.45">
      <c r="B781" s="1692"/>
      <c r="C781" s="1697"/>
      <c r="D781" s="122" t="s">
        <v>327</v>
      </c>
      <c r="E781" s="678"/>
      <c r="F781" s="678"/>
      <c r="G781" s="678"/>
      <c r="H781" s="678"/>
      <c r="I781" s="678"/>
      <c r="J781" s="678"/>
      <c r="K781" s="678"/>
      <c r="L781" s="678"/>
      <c r="M781" s="678"/>
      <c r="N781" s="678"/>
      <c r="O781" s="678"/>
      <c r="P781" s="678"/>
      <c r="Q781" s="678"/>
      <c r="R781" s="678"/>
      <c r="S781" s="678"/>
      <c r="T781" s="678"/>
      <c r="U781" s="678"/>
      <c r="V781" s="678"/>
      <c r="W781" s="678"/>
      <c r="X781" s="681"/>
      <c r="Y781" s="679"/>
      <c r="Z781" s="679"/>
      <c r="AA781" s="679"/>
      <c r="AB781" s="680"/>
    </row>
    <row r="782" spans="2:28" s="780" customFormat="1" hidden="1" x14ac:dyDescent="0.45">
      <c r="B782" s="1692"/>
      <c r="C782" s="1698" t="s">
        <v>331</v>
      </c>
      <c r="D782" s="125" t="s">
        <v>326</v>
      </c>
      <c r="E782" s="682"/>
      <c r="F782" s="682"/>
      <c r="G782" s="685"/>
      <c r="H782" s="682"/>
      <c r="I782" s="682"/>
      <c r="J782" s="682"/>
      <c r="K782" s="682"/>
      <c r="L782" s="682"/>
      <c r="M782" s="682"/>
      <c r="N782" s="682"/>
      <c r="O782" s="682"/>
      <c r="P782" s="682"/>
      <c r="Q782" s="682"/>
      <c r="R782" s="682"/>
      <c r="S782" s="682"/>
      <c r="T782" s="682"/>
      <c r="U782" s="682"/>
      <c r="V782" s="682"/>
      <c r="W782" s="682"/>
      <c r="X782" s="682"/>
      <c r="Y782" s="683"/>
      <c r="Z782" s="683"/>
      <c r="AA782" s="683"/>
      <c r="AB782" s="684"/>
    </row>
    <row r="783" spans="2:28" s="780" customFormat="1" hidden="1" x14ac:dyDescent="0.45">
      <c r="B783" s="1692"/>
      <c r="C783" s="1695"/>
      <c r="D783" s="124" t="s">
        <v>327</v>
      </c>
      <c r="E783" s="675"/>
      <c r="F783" s="675"/>
      <c r="G783" s="686"/>
      <c r="H783" s="675"/>
      <c r="I783" s="675"/>
      <c r="J783" s="675"/>
      <c r="K783" s="675"/>
      <c r="L783" s="675"/>
      <c r="M783" s="675"/>
      <c r="N783" s="675"/>
      <c r="O783" s="675"/>
      <c r="P783" s="675"/>
      <c r="Q783" s="675"/>
      <c r="R783" s="675"/>
      <c r="S783" s="675"/>
      <c r="T783" s="675"/>
      <c r="U783" s="675"/>
      <c r="V783" s="675"/>
      <c r="W783" s="675"/>
      <c r="X783" s="675"/>
      <c r="Y783" s="676"/>
      <c r="Z783" s="676"/>
      <c r="AA783" s="676"/>
      <c r="AB783" s="677"/>
    </row>
    <row r="784" spans="2:28" s="780" customFormat="1" hidden="1" x14ac:dyDescent="0.45">
      <c r="B784" s="1692"/>
      <c r="C784" s="1696" t="s">
        <v>332</v>
      </c>
      <c r="D784" s="122" t="s">
        <v>326</v>
      </c>
      <c r="E784" s="678"/>
      <c r="F784" s="678"/>
      <c r="G784" s="678"/>
      <c r="H784" s="678"/>
      <c r="I784" s="678"/>
      <c r="J784" s="678"/>
      <c r="K784" s="678"/>
      <c r="L784" s="678"/>
      <c r="M784" s="678"/>
      <c r="N784" s="678"/>
      <c r="O784" s="678"/>
      <c r="P784" s="678"/>
      <c r="Q784" s="678"/>
      <c r="R784" s="678"/>
      <c r="S784" s="678"/>
      <c r="T784" s="678"/>
      <c r="U784" s="678"/>
      <c r="V784" s="678"/>
      <c r="W784" s="679"/>
      <c r="X784" s="679"/>
      <c r="Y784" s="679"/>
      <c r="Z784" s="679"/>
      <c r="AA784" s="679"/>
      <c r="AB784" s="680"/>
    </row>
    <row r="785" spans="2:28" s="780" customFormat="1" hidden="1" x14ac:dyDescent="0.45">
      <c r="B785" s="1692"/>
      <c r="C785" s="1697"/>
      <c r="D785" s="122" t="s">
        <v>327</v>
      </c>
      <c r="E785" s="678"/>
      <c r="F785" s="678"/>
      <c r="G785" s="678"/>
      <c r="H785" s="678"/>
      <c r="I785" s="678"/>
      <c r="J785" s="678"/>
      <c r="K785" s="678"/>
      <c r="L785" s="678"/>
      <c r="M785" s="678"/>
      <c r="N785" s="678"/>
      <c r="O785" s="678"/>
      <c r="P785" s="678"/>
      <c r="Q785" s="678"/>
      <c r="R785" s="678"/>
      <c r="S785" s="678"/>
      <c r="T785" s="678"/>
      <c r="U785" s="678"/>
      <c r="V785" s="678"/>
      <c r="W785" s="678"/>
      <c r="X785" s="678"/>
      <c r="Y785" s="679"/>
      <c r="Z785" s="679"/>
      <c r="AA785" s="679"/>
      <c r="AB785" s="680"/>
    </row>
    <row r="786" spans="2:28" s="780" customFormat="1" hidden="1" x14ac:dyDescent="0.45">
      <c r="B786" s="1692"/>
      <c r="C786" s="1698" t="s">
        <v>333</v>
      </c>
      <c r="D786" s="124" t="s">
        <v>326</v>
      </c>
      <c r="E786" s="675"/>
      <c r="F786" s="675"/>
      <c r="G786" s="675"/>
      <c r="H786" s="675"/>
      <c r="I786" s="675"/>
      <c r="J786" s="675"/>
      <c r="K786" s="675"/>
      <c r="L786" s="675"/>
      <c r="M786" s="675"/>
      <c r="N786" s="675"/>
      <c r="O786" s="675"/>
      <c r="P786" s="675"/>
      <c r="Q786" s="675"/>
      <c r="R786" s="675"/>
      <c r="S786" s="675"/>
      <c r="T786" s="675"/>
      <c r="U786" s="675"/>
      <c r="V786" s="675"/>
      <c r="W786" s="676"/>
      <c r="X786" s="676"/>
      <c r="Y786" s="676"/>
      <c r="Z786" s="676"/>
      <c r="AA786" s="676"/>
      <c r="AB786" s="677"/>
    </row>
    <row r="787" spans="2:28" s="780" customFormat="1" hidden="1" x14ac:dyDescent="0.45">
      <c r="B787" s="1693"/>
      <c r="C787" s="1699"/>
      <c r="D787" s="126" t="s">
        <v>327</v>
      </c>
      <c r="E787" s="687"/>
      <c r="F787" s="687"/>
      <c r="G787" s="687"/>
      <c r="H787" s="687"/>
      <c r="I787" s="687"/>
      <c r="J787" s="687"/>
      <c r="K787" s="687"/>
      <c r="L787" s="687"/>
      <c r="M787" s="687"/>
      <c r="N787" s="687"/>
      <c r="O787" s="687"/>
      <c r="P787" s="687"/>
      <c r="Q787" s="687"/>
      <c r="R787" s="687"/>
      <c r="S787" s="687"/>
      <c r="T787" s="687"/>
      <c r="U787" s="687"/>
      <c r="V787" s="687"/>
      <c r="W787" s="687"/>
      <c r="X787" s="687"/>
      <c r="Y787" s="687"/>
      <c r="Z787" s="687"/>
      <c r="AA787" s="687"/>
      <c r="AB787" s="688"/>
    </row>
    <row r="788" spans="2:28" s="780" customFormat="1" hidden="1" x14ac:dyDescent="0.45"/>
    <row r="789" spans="2:28" s="780" customFormat="1" hidden="1" x14ac:dyDescent="0.45">
      <c r="B789" s="1688" t="s">
        <v>54</v>
      </c>
      <c r="C789" s="1689"/>
      <c r="D789" s="1690"/>
      <c r="E789" s="779"/>
      <c r="F789" s="779"/>
      <c r="G789" s="779"/>
      <c r="H789" s="779"/>
      <c r="I789" s="779"/>
      <c r="J789" s="779"/>
      <c r="K789" s="779"/>
      <c r="L789" s="779"/>
      <c r="M789" s="779"/>
      <c r="N789" s="779"/>
      <c r="O789" s="779"/>
      <c r="P789" s="779"/>
      <c r="Q789" s="779"/>
      <c r="R789" s="779"/>
      <c r="S789" s="779"/>
      <c r="T789" s="779"/>
      <c r="U789" s="779"/>
      <c r="V789" s="779"/>
      <c r="W789" s="779"/>
      <c r="X789" s="779"/>
      <c r="Y789" s="779"/>
      <c r="Z789" s="779"/>
      <c r="AA789" s="779"/>
      <c r="AB789" s="708"/>
    </row>
    <row r="790" spans="2:28" s="780" customFormat="1" ht="15" hidden="1" customHeight="1" x14ac:dyDescent="0.45">
      <c r="B790" s="1691" t="str">
        <f>CONCATENATE("Plan ", INDEX(plans_index,,(ROW(B790)-6)/16), ": ", INDEX(plans_name,,(ROW(B790)-6)/16))</f>
        <v xml:space="preserve">Plan 49: </v>
      </c>
      <c r="C790" s="1694" t="s">
        <v>325</v>
      </c>
      <c r="D790" s="123" t="s">
        <v>326</v>
      </c>
      <c r="E790" s="672"/>
      <c r="F790" s="672"/>
      <c r="G790" s="672"/>
      <c r="H790" s="673"/>
      <c r="I790" s="672"/>
      <c r="J790" s="672"/>
      <c r="K790" s="672"/>
      <c r="L790" s="672"/>
      <c r="M790" s="672"/>
      <c r="N790" s="672"/>
      <c r="O790" s="672"/>
      <c r="P790" s="672"/>
      <c r="Q790" s="672"/>
      <c r="R790" s="672"/>
      <c r="S790" s="672"/>
      <c r="T790" s="672"/>
      <c r="U790" s="672"/>
      <c r="V790" s="672"/>
      <c r="W790" s="672"/>
      <c r="X790" s="672"/>
      <c r="Y790" s="672"/>
      <c r="Z790" s="672"/>
      <c r="AA790" s="672"/>
      <c r="AB790" s="674"/>
    </row>
    <row r="791" spans="2:28" s="780" customFormat="1" hidden="1" x14ac:dyDescent="0.45">
      <c r="B791" s="1692"/>
      <c r="C791" s="1695"/>
      <c r="D791" s="124" t="s">
        <v>327</v>
      </c>
      <c r="E791" s="675"/>
      <c r="F791" s="675"/>
      <c r="G791" s="675"/>
      <c r="H791" s="675"/>
      <c r="I791" s="675"/>
      <c r="J791" s="675"/>
      <c r="K791" s="675"/>
      <c r="L791" s="675"/>
      <c r="M791" s="675"/>
      <c r="N791" s="675"/>
      <c r="O791" s="675"/>
      <c r="P791" s="675"/>
      <c r="Q791" s="675"/>
      <c r="R791" s="675"/>
      <c r="S791" s="675"/>
      <c r="T791" s="675"/>
      <c r="U791" s="675"/>
      <c r="V791" s="675"/>
      <c r="W791" s="675"/>
      <c r="X791" s="675"/>
      <c r="Y791" s="676"/>
      <c r="Z791" s="676"/>
      <c r="AA791" s="676"/>
      <c r="AB791" s="677"/>
    </row>
    <row r="792" spans="2:28" s="780" customFormat="1" hidden="1" x14ac:dyDescent="0.45">
      <c r="B792" s="1692"/>
      <c r="C792" s="1696" t="s">
        <v>328</v>
      </c>
      <c r="D792" s="122" t="s">
        <v>326</v>
      </c>
      <c r="E792" s="678"/>
      <c r="F792" s="678"/>
      <c r="G792" s="678"/>
      <c r="H792" s="678"/>
      <c r="I792" s="678"/>
      <c r="J792" s="678"/>
      <c r="K792" s="678"/>
      <c r="L792" s="678"/>
      <c r="M792" s="678"/>
      <c r="N792" s="678"/>
      <c r="O792" s="678"/>
      <c r="P792" s="678"/>
      <c r="Q792" s="678"/>
      <c r="R792" s="678"/>
      <c r="S792" s="678"/>
      <c r="T792" s="678"/>
      <c r="U792" s="678"/>
      <c r="V792" s="678"/>
      <c r="W792" s="678"/>
      <c r="X792" s="678"/>
      <c r="Y792" s="679"/>
      <c r="Z792" s="679"/>
      <c r="AA792" s="679"/>
      <c r="AB792" s="680"/>
    </row>
    <row r="793" spans="2:28" s="780" customFormat="1" hidden="1" x14ac:dyDescent="0.45">
      <c r="B793" s="1692"/>
      <c r="C793" s="1697"/>
      <c r="D793" s="122" t="s">
        <v>327</v>
      </c>
      <c r="E793" s="678"/>
      <c r="F793" s="678"/>
      <c r="G793" s="678"/>
      <c r="H793" s="678"/>
      <c r="I793" s="678"/>
      <c r="J793" s="678"/>
      <c r="K793" s="678"/>
      <c r="L793" s="678"/>
      <c r="M793" s="678"/>
      <c r="N793" s="678"/>
      <c r="O793" s="678"/>
      <c r="P793" s="678"/>
      <c r="Q793" s="678"/>
      <c r="R793" s="678"/>
      <c r="S793" s="678"/>
      <c r="T793" s="678"/>
      <c r="U793" s="678"/>
      <c r="V793" s="678"/>
      <c r="W793" s="678"/>
      <c r="X793" s="681"/>
      <c r="Y793" s="679"/>
      <c r="Z793" s="679"/>
      <c r="AA793" s="679"/>
      <c r="AB793" s="680"/>
    </row>
    <row r="794" spans="2:28" s="780" customFormat="1" hidden="1" x14ac:dyDescent="0.45">
      <c r="B794" s="1692"/>
      <c r="C794" s="1698" t="s">
        <v>329</v>
      </c>
      <c r="D794" s="125" t="s">
        <v>326</v>
      </c>
      <c r="E794" s="682"/>
      <c r="F794" s="682"/>
      <c r="G794" s="682"/>
      <c r="H794" s="682"/>
      <c r="I794" s="682"/>
      <c r="J794" s="682"/>
      <c r="K794" s="682"/>
      <c r="L794" s="682"/>
      <c r="M794" s="682"/>
      <c r="N794" s="682"/>
      <c r="O794" s="682"/>
      <c r="P794" s="682"/>
      <c r="Q794" s="682"/>
      <c r="R794" s="682"/>
      <c r="S794" s="682"/>
      <c r="T794" s="682"/>
      <c r="U794" s="682"/>
      <c r="V794" s="682"/>
      <c r="W794" s="682"/>
      <c r="X794" s="682"/>
      <c r="Y794" s="683"/>
      <c r="Z794" s="683"/>
      <c r="AA794" s="683"/>
      <c r="AB794" s="684"/>
    </row>
    <row r="795" spans="2:28" s="780" customFormat="1" hidden="1" x14ac:dyDescent="0.45">
      <c r="B795" s="1692"/>
      <c r="C795" s="1695"/>
      <c r="D795" s="124" t="s">
        <v>327</v>
      </c>
      <c r="E795" s="675"/>
      <c r="F795" s="675"/>
      <c r="G795" s="675"/>
      <c r="H795" s="675"/>
      <c r="I795" s="675"/>
      <c r="J795" s="675"/>
      <c r="K795" s="675"/>
      <c r="L795" s="675"/>
      <c r="M795" s="675"/>
      <c r="N795" s="675"/>
      <c r="O795" s="675"/>
      <c r="P795" s="675"/>
      <c r="Q795" s="675"/>
      <c r="R795" s="675"/>
      <c r="S795" s="675"/>
      <c r="T795" s="675"/>
      <c r="U795" s="675"/>
      <c r="V795" s="675"/>
      <c r="W795" s="675"/>
      <c r="X795" s="675"/>
      <c r="Y795" s="676"/>
      <c r="Z795" s="676"/>
      <c r="AA795" s="676"/>
      <c r="AB795" s="677"/>
    </row>
    <row r="796" spans="2:28" s="780" customFormat="1" hidden="1" x14ac:dyDescent="0.45">
      <c r="B796" s="1692"/>
      <c r="C796" s="1696" t="s">
        <v>330</v>
      </c>
      <c r="D796" s="122" t="s">
        <v>326</v>
      </c>
      <c r="E796" s="678"/>
      <c r="F796" s="678"/>
      <c r="G796" s="678"/>
      <c r="H796" s="678"/>
      <c r="I796" s="678"/>
      <c r="J796" s="678"/>
      <c r="K796" s="678"/>
      <c r="L796" s="678"/>
      <c r="M796" s="678"/>
      <c r="N796" s="678"/>
      <c r="O796" s="678"/>
      <c r="P796" s="678"/>
      <c r="Q796" s="678"/>
      <c r="R796" s="678"/>
      <c r="S796" s="678"/>
      <c r="T796" s="678"/>
      <c r="U796" s="678"/>
      <c r="V796" s="678"/>
      <c r="W796" s="678"/>
      <c r="X796" s="678"/>
      <c r="Y796" s="679"/>
      <c r="Z796" s="679"/>
      <c r="AA796" s="679"/>
      <c r="AB796" s="680"/>
    </row>
    <row r="797" spans="2:28" s="780" customFormat="1" hidden="1" x14ac:dyDescent="0.45">
      <c r="B797" s="1692"/>
      <c r="C797" s="1697"/>
      <c r="D797" s="122" t="s">
        <v>327</v>
      </c>
      <c r="E797" s="678"/>
      <c r="F797" s="678"/>
      <c r="G797" s="678"/>
      <c r="H797" s="678"/>
      <c r="I797" s="678"/>
      <c r="J797" s="678"/>
      <c r="K797" s="678"/>
      <c r="L797" s="678"/>
      <c r="M797" s="678"/>
      <c r="N797" s="678"/>
      <c r="O797" s="678"/>
      <c r="P797" s="678"/>
      <c r="Q797" s="678"/>
      <c r="R797" s="678"/>
      <c r="S797" s="678"/>
      <c r="T797" s="678"/>
      <c r="U797" s="678"/>
      <c r="V797" s="678"/>
      <c r="W797" s="678"/>
      <c r="X797" s="681"/>
      <c r="Y797" s="679"/>
      <c r="Z797" s="679"/>
      <c r="AA797" s="679"/>
      <c r="AB797" s="680"/>
    </row>
    <row r="798" spans="2:28" s="780" customFormat="1" hidden="1" x14ac:dyDescent="0.45">
      <c r="B798" s="1692"/>
      <c r="C798" s="1698" t="s">
        <v>331</v>
      </c>
      <c r="D798" s="125" t="s">
        <v>326</v>
      </c>
      <c r="E798" s="682"/>
      <c r="F798" s="682"/>
      <c r="G798" s="685"/>
      <c r="H798" s="682"/>
      <c r="I798" s="682"/>
      <c r="J798" s="682"/>
      <c r="K798" s="682"/>
      <c r="L798" s="682"/>
      <c r="M798" s="682"/>
      <c r="N798" s="682"/>
      <c r="O798" s="682"/>
      <c r="P798" s="682"/>
      <c r="Q798" s="682"/>
      <c r="R798" s="682"/>
      <c r="S798" s="682"/>
      <c r="T798" s="682"/>
      <c r="U798" s="682"/>
      <c r="V798" s="682"/>
      <c r="W798" s="682"/>
      <c r="X798" s="682"/>
      <c r="Y798" s="683"/>
      <c r="Z798" s="683"/>
      <c r="AA798" s="683"/>
      <c r="AB798" s="684"/>
    </row>
    <row r="799" spans="2:28" s="780" customFormat="1" hidden="1" x14ac:dyDescent="0.45">
      <c r="B799" s="1692"/>
      <c r="C799" s="1695"/>
      <c r="D799" s="124" t="s">
        <v>327</v>
      </c>
      <c r="E799" s="675"/>
      <c r="F799" s="675"/>
      <c r="G799" s="686"/>
      <c r="H799" s="675"/>
      <c r="I799" s="675"/>
      <c r="J799" s="675"/>
      <c r="K799" s="675"/>
      <c r="L799" s="675"/>
      <c r="M799" s="675"/>
      <c r="N799" s="675"/>
      <c r="O799" s="675"/>
      <c r="P799" s="675"/>
      <c r="Q799" s="675"/>
      <c r="R799" s="675"/>
      <c r="S799" s="675"/>
      <c r="T799" s="675"/>
      <c r="U799" s="675"/>
      <c r="V799" s="675"/>
      <c r="W799" s="675"/>
      <c r="X799" s="675"/>
      <c r="Y799" s="676"/>
      <c r="Z799" s="676"/>
      <c r="AA799" s="676"/>
      <c r="AB799" s="677"/>
    </row>
    <row r="800" spans="2:28" s="780" customFormat="1" hidden="1" x14ac:dyDescent="0.45">
      <c r="B800" s="1692"/>
      <c r="C800" s="1696" t="s">
        <v>332</v>
      </c>
      <c r="D800" s="122" t="s">
        <v>326</v>
      </c>
      <c r="E800" s="678"/>
      <c r="F800" s="678"/>
      <c r="G800" s="678"/>
      <c r="H800" s="678"/>
      <c r="I800" s="678"/>
      <c r="J800" s="678"/>
      <c r="K800" s="678"/>
      <c r="L800" s="678"/>
      <c r="M800" s="678"/>
      <c r="N800" s="678"/>
      <c r="O800" s="678"/>
      <c r="P800" s="678"/>
      <c r="Q800" s="678"/>
      <c r="R800" s="678"/>
      <c r="S800" s="678"/>
      <c r="T800" s="678"/>
      <c r="U800" s="678"/>
      <c r="V800" s="678"/>
      <c r="W800" s="679"/>
      <c r="X800" s="679"/>
      <c r="Y800" s="679"/>
      <c r="Z800" s="679"/>
      <c r="AA800" s="679"/>
      <c r="AB800" s="680"/>
    </row>
    <row r="801" spans="2:28" s="780" customFormat="1" hidden="1" x14ac:dyDescent="0.45">
      <c r="B801" s="1692"/>
      <c r="C801" s="1697"/>
      <c r="D801" s="122" t="s">
        <v>327</v>
      </c>
      <c r="E801" s="678"/>
      <c r="F801" s="678"/>
      <c r="G801" s="678"/>
      <c r="H801" s="678"/>
      <c r="I801" s="678"/>
      <c r="J801" s="678"/>
      <c r="K801" s="678"/>
      <c r="L801" s="678"/>
      <c r="M801" s="678"/>
      <c r="N801" s="678"/>
      <c r="O801" s="678"/>
      <c r="P801" s="678"/>
      <c r="Q801" s="678"/>
      <c r="R801" s="678"/>
      <c r="S801" s="678"/>
      <c r="T801" s="678"/>
      <c r="U801" s="678"/>
      <c r="V801" s="678"/>
      <c r="W801" s="678"/>
      <c r="X801" s="678"/>
      <c r="Y801" s="679"/>
      <c r="Z801" s="679"/>
      <c r="AA801" s="679"/>
      <c r="AB801" s="680"/>
    </row>
    <row r="802" spans="2:28" s="780" customFormat="1" hidden="1" x14ac:dyDescent="0.45">
      <c r="B802" s="1692"/>
      <c r="C802" s="1698" t="s">
        <v>333</v>
      </c>
      <c r="D802" s="124" t="s">
        <v>326</v>
      </c>
      <c r="E802" s="675"/>
      <c r="F802" s="675"/>
      <c r="G802" s="675"/>
      <c r="H802" s="675"/>
      <c r="I802" s="675"/>
      <c r="J802" s="675"/>
      <c r="K802" s="675"/>
      <c r="L802" s="675"/>
      <c r="M802" s="675"/>
      <c r="N802" s="675"/>
      <c r="O802" s="675"/>
      <c r="P802" s="675"/>
      <c r="Q802" s="675"/>
      <c r="R802" s="675"/>
      <c r="S802" s="675"/>
      <c r="T802" s="675"/>
      <c r="U802" s="675"/>
      <c r="V802" s="675"/>
      <c r="W802" s="676"/>
      <c r="X802" s="676"/>
      <c r="Y802" s="676"/>
      <c r="Z802" s="676"/>
      <c r="AA802" s="676"/>
      <c r="AB802" s="677"/>
    </row>
    <row r="803" spans="2:28" s="780" customFormat="1" hidden="1" x14ac:dyDescent="0.45">
      <c r="B803" s="1693"/>
      <c r="C803" s="1699"/>
      <c r="D803" s="126" t="s">
        <v>327</v>
      </c>
      <c r="E803" s="687"/>
      <c r="F803" s="687"/>
      <c r="G803" s="687"/>
      <c r="H803" s="687"/>
      <c r="I803" s="687"/>
      <c r="J803" s="687"/>
      <c r="K803" s="687"/>
      <c r="L803" s="687"/>
      <c r="M803" s="687"/>
      <c r="N803" s="687"/>
      <c r="O803" s="687"/>
      <c r="P803" s="687"/>
      <c r="Q803" s="687"/>
      <c r="R803" s="687"/>
      <c r="S803" s="687"/>
      <c r="T803" s="687"/>
      <c r="U803" s="687"/>
      <c r="V803" s="687"/>
      <c r="W803" s="687"/>
      <c r="X803" s="687"/>
      <c r="Y803" s="687"/>
      <c r="Z803" s="687"/>
      <c r="AA803" s="687"/>
      <c r="AB803" s="688"/>
    </row>
    <row r="804" spans="2:28" s="780" customFormat="1" hidden="1" x14ac:dyDescent="0.45"/>
    <row r="805" spans="2:28" s="780" customFormat="1" hidden="1" x14ac:dyDescent="0.45">
      <c r="B805" s="1688" t="s">
        <v>54</v>
      </c>
      <c r="C805" s="1689"/>
      <c r="D805" s="1690"/>
      <c r="E805" s="779"/>
      <c r="F805" s="779"/>
      <c r="G805" s="779"/>
      <c r="H805" s="779"/>
      <c r="I805" s="779"/>
      <c r="J805" s="779"/>
      <c r="K805" s="779"/>
      <c r="L805" s="779"/>
      <c r="M805" s="779"/>
      <c r="N805" s="779"/>
      <c r="O805" s="779"/>
      <c r="P805" s="779"/>
      <c r="Q805" s="779"/>
      <c r="R805" s="779"/>
      <c r="S805" s="779"/>
      <c r="T805" s="779"/>
      <c r="U805" s="779"/>
      <c r="V805" s="779"/>
      <c r="W805" s="779"/>
      <c r="X805" s="779"/>
      <c r="Y805" s="779"/>
      <c r="Z805" s="779"/>
      <c r="AA805" s="779"/>
      <c r="AB805" s="708"/>
    </row>
    <row r="806" spans="2:28" s="780" customFormat="1" ht="15" hidden="1" customHeight="1" x14ac:dyDescent="0.45">
      <c r="B806" s="1691" t="str">
        <f>CONCATENATE("Plan ", INDEX(plans_index,,(ROW(B806)-6)/16), ": ", INDEX(plans_name,,(ROW(B806)-6)/16))</f>
        <v xml:space="preserve">Plan 50: </v>
      </c>
      <c r="C806" s="1694" t="s">
        <v>325</v>
      </c>
      <c r="D806" s="123" t="s">
        <v>326</v>
      </c>
      <c r="E806" s="672"/>
      <c r="F806" s="672"/>
      <c r="G806" s="672"/>
      <c r="H806" s="673"/>
      <c r="I806" s="672"/>
      <c r="J806" s="672"/>
      <c r="K806" s="672"/>
      <c r="L806" s="672"/>
      <c r="M806" s="672"/>
      <c r="N806" s="672"/>
      <c r="O806" s="672"/>
      <c r="P806" s="672"/>
      <c r="Q806" s="672"/>
      <c r="R806" s="672"/>
      <c r="S806" s="672"/>
      <c r="T806" s="672"/>
      <c r="U806" s="672"/>
      <c r="V806" s="672"/>
      <c r="W806" s="672"/>
      <c r="X806" s="672"/>
      <c r="Y806" s="672"/>
      <c r="Z806" s="672"/>
      <c r="AA806" s="672"/>
      <c r="AB806" s="674"/>
    </row>
    <row r="807" spans="2:28" s="780" customFormat="1" hidden="1" x14ac:dyDescent="0.45">
      <c r="B807" s="1692"/>
      <c r="C807" s="1695"/>
      <c r="D807" s="124" t="s">
        <v>327</v>
      </c>
      <c r="E807" s="675"/>
      <c r="F807" s="675"/>
      <c r="G807" s="675"/>
      <c r="H807" s="675"/>
      <c r="I807" s="675"/>
      <c r="J807" s="675"/>
      <c r="K807" s="675"/>
      <c r="L807" s="675"/>
      <c r="M807" s="675"/>
      <c r="N807" s="675"/>
      <c r="O807" s="675"/>
      <c r="P807" s="675"/>
      <c r="Q807" s="675"/>
      <c r="R807" s="675"/>
      <c r="S807" s="675"/>
      <c r="T807" s="675"/>
      <c r="U807" s="675"/>
      <c r="V807" s="675"/>
      <c r="W807" s="675"/>
      <c r="X807" s="675"/>
      <c r="Y807" s="676"/>
      <c r="Z807" s="676"/>
      <c r="AA807" s="676"/>
      <c r="AB807" s="677"/>
    </row>
    <row r="808" spans="2:28" s="780" customFormat="1" hidden="1" x14ac:dyDescent="0.45">
      <c r="B808" s="1692"/>
      <c r="C808" s="1696" t="s">
        <v>328</v>
      </c>
      <c r="D808" s="122" t="s">
        <v>326</v>
      </c>
      <c r="E808" s="678"/>
      <c r="F808" s="678"/>
      <c r="G808" s="678"/>
      <c r="H808" s="678"/>
      <c r="I808" s="678"/>
      <c r="J808" s="678"/>
      <c r="K808" s="678"/>
      <c r="L808" s="678"/>
      <c r="M808" s="678"/>
      <c r="N808" s="678"/>
      <c r="O808" s="678"/>
      <c r="P808" s="678"/>
      <c r="Q808" s="678"/>
      <c r="R808" s="678"/>
      <c r="S808" s="678"/>
      <c r="T808" s="678"/>
      <c r="U808" s="678"/>
      <c r="V808" s="678"/>
      <c r="W808" s="678"/>
      <c r="X808" s="678"/>
      <c r="Y808" s="679"/>
      <c r="Z808" s="679"/>
      <c r="AA808" s="679"/>
      <c r="AB808" s="680"/>
    </row>
    <row r="809" spans="2:28" s="780" customFormat="1" hidden="1" x14ac:dyDescent="0.45">
      <c r="B809" s="1692"/>
      <c r="C809" s="1697"/>
      <c r="D809" s="122" t="s">
        <v>327</v>
      </c>
      <c r="E809" s="678"/>
      <c r="F809" s="678"/>
      <c r="G809" s="678"/>
      <c r="H809" s="678"/>
      <c r="I809" s="678"/>
      <c r="J809" s="678"/>
      <c r="K809" s="678"/>
      <c r="L809" s="678"/>
      <c r="M809" s="678"/>
      <c r="N809" s="678"/>
      <c r="O809" s="678"/>
      <c r="P809" s="678"/>
      <c r="Q809" s="678"/>
      <c r="R809" s="678"/>
      <c r="S809" s="678"/>
      <c r="T809" s="678"/>
      <c r="U809" s="678"/>
      <c r="V809" s="678"/>
      <c r="W809" s="678"/>
      <c r="X809" s="681"/>
      <c r="Y809" s="679"/>
      <c r="Z809" s="679"/>
      <c r="AA809" s="679"/>
      <c r="AB809" s="680"/>
    </row>
    <row r="810" spans="2:28" s="780" customFormat="1" hidden="1" x14ac:dyDescent="0.45">
      <c r="B810" s="1692"/>
      <c r="C810" s="1698" t="s">
        <v>329</v>
      </c>
      <c r="D810" s="125" t="s">
        <v>326</v>
      </c>
      <c r="E810" s="682"/>
      <c r="F810" s="682"/>
      <c r="G810" s="682"/>
      <c r="H810" s="682"/>
      <c r="I810" s="682"/>
      <c r="J810" s="682"/>
      <c r="K810" s="682"/>
      <c r="L810" s="682"/>
      <c r="M810" s="682"/>
      <c r="N810" s="682"/>
      <c r="O810" s="682"/>
      <c r="P810" s="682"/>
      <c r="Q810" s="682"/>
      <c r="R810" s="682"/>
      <c r="S810" s="682"/>
      <c r="T810" s="682"/>
      <c r="U810" s="682"/>
      <c r="V810" s="682"/>
      <c r="W810" s="682"/>
      <c r="X810" s="682"/>
      <c r="Y810" s="683"/>
      <c r="Z810" s="683"/>
      <c r="AA810" s="683"/>
      <c r="AB810" s="684"/>
    </row>
    <row r="811" spans="2:28" s="780" customFormat="1" hidden="1" x14ac:dyDescent="0.45">
      <c r="B811" s="1692"/>
      <c r="C811" s="1695"/>
      <c r="D811" s="124" t="s">
        <v>327</v>
      </c>
      <c r="E811" s="675"/>
      <c r="F811" s="675"/>
      <c r="G811" s="675"/>
      <c r="H811" s="675"/>
      <c r="I811" s="675"/>
      <c r="J811" s="675"/>
      <c r="K811" s="675"/>
      <c r="L811" s="675"/>
      <c r="M811" s="675"/>
      <c r="N811" s="675"/>
      <c r="O811" s="675"/>
      <c r="P811" s="675"/>
      <c r="Q811" s="675"/>
      <c r="R811" s="675"/>
      <c r="S811" s="675"/>
      <c r="T811" s="675"/>
      <c r="U811" s="675"/>
      <c r="V811" s="675"/>
      <c r="W811" s="675"/>
      <c r="X811" s="675"/>
      <c r="Y811" s="676"/>
      <c r="Z811" s="676"/>
      <c r="AA811" s="676"/>
      <c r="AB811" s="677"/>
    </row>
    <row r="812" spans="2:28" s="780" customFormat="1" hidden="1" x14ac:dyDescent="0.45">
      <c r="B812" s="1692"/>
      <c r="C812" s="1696" t="s">
        <v>330</v>
      </c>
      <c r="D812" s="122" t="s">
        <v>326</v>
      </c>
      <c r="E812" s="678"/>
      <c r="F812" s="678"/>
      <c r="G812" s="678"/>
      <c r="H812" s="678"/>
      <c r="I812" s="678"/>
      <c r="J812" s="678"/>
      <c r="K812" s="678"/>
      <c r="L812" s="678"/>
      <c r="M812" s="678"/>
      <c r="N812" s="678"/>
      <c r="O812" s="678"/>
      <c r="P812" s="678"/>
      <c r="Q812" s="678"/>
      <c r="R812" s="678"/>
      <c r="S812" s="678"/>
      <c r="T812" s="678"/>
      <c r="U812" s="678"/>
      <c r="V812" s="678"/>
      <c r="W812" s="678"/>
      <c r="X812" s="678"/>
      <c r="Y812" s="679"/>
      <c r="Z812" s="679"/>
      <c r="AA812" s="679"/>
      <c r="AB812" s="680"/>
    </row>
    <row r="813" spans="2:28" s="780" customFormat="1" hidden="1" x14ac:dyDescent="0.45">
      <c r="B813" s="1692"/>
      <c r="C813" s="1697"/>
      <c r="D813" s="122" t="s">
        <v>327</v>
      </c>
      <c r="E813" s="678"/>
      <c r="F813" s="678"/>
      <c r="G813" s="678"/>
      <c r="H813" s="678"/>
      <c r="I813" s="678"/>
      <c r="J813" s="678"/>
      <c r="K813" s="678"/>
      <c r="L813" s="678"/>
      <c r="M813" s="678"/>
      <c r="N813" s="678"/>
      <c r="O813" s="678"/>
      <c r="P813" s="678"/>
      <c r="Q813" s="678"/>
      <c r="R813" s="678"/>
      <c r="S813" s="678"/>
      <c r="T813" s="678"/>
      <c r="U813" s="678"/>
      <c r="V813" s="678"/>
      <c r="W813" s="678"/>
      <c r="X813" s="681"/>
      <c r="Y813" s="679"/>
      <c r="Z813" s="679"/>
      <c r="AA813" s="679"/>
      <c r="AB813" s="680"/>
    </row>
    <row r="814" spans="2:28" s="780" customFormat="1" hidden="1" x14ac:dyDescent="0.45">
      <c r="B814" s="1692"/>
      <c r="C814" s="1698" t="s">
        <v>331</v>
      </c>
      <c r="D814" s="125" t="s">
        <v>326</v>
      </c>
      <c r="E814" s="682"/>
      <c r="F814" s="682"/>
      <c r="G814" s="685"/>
      <c r="H814" s="682"/>
      <c r="I814" s="682"/>
      <c r="J814" s="682"/>
      <c r="K814" s="682"/>
      <c r="L814" s="682"/>
      <c r="M814" s="682"/>
      <c r="N814" s="682"/>
      <c r="O814" s="682"/>
      <c r="P814" s="682"/>
      <c r="Q814" s="682"/>
      <c r="R814" s="682"/>
      <c r="S814" s="682"/>
      <c r="T814" s="682"/>
      <c r="U814" s="682"/>
      <c r="V814" s="682"/>
      <c r="W814" s="682"/>
      <c r="X814" s="682"/>
      <c r="Y814" s="683"/>
      <c r="Z814" s="683"/>
      <c r="AA814" s="683"/>
      <c r="AB814" s="684"/>
    </row>
    <row r="815" spans="2:28" s="780" customFormat="1" hidden="1" x14ac:dyDescent="0.45">
      <c r="B815" s="1692"/>
      <c r="C815" s="1695"/>
      <c r="D815" s="124" t="s">
        <v>327</v>
      </c>
      <c r="E815" s="675"/>
      <c r="F815" s="675"/>
      <c r="G815" s="686"/>
      <c r="H815" s="675"/>
      <c r="I815" s="675"/>
      <c r="J815" s="675"/>
      <c r="K815" s="675"/>
      <c r="L815" s="675"/>
      <c r="M815" s="675"/>
      <c r="N815" s="675"/>
      <c r="O815" s="675"/>
      <c r="P815" s="675"/>
      <c r="Q815" s="675"/>
      <c r="R815" s="675"/>
      <c r="S815" s="675"/>
      <c r="T815" s="675"/>
      <c r="U815" s="675"/>
      <c r="V815" s="675"/>
      <c r="W815" s="675"/>
      <c r="X815" s="675"/>
      <c r="Y815" s="676"/>
      <c r="Z815" s="676"/>
      <c r="AA815" s="676"/>
      <c r="AB815" s="677"/>
    </row>
    <row r="816" spans="2:28" s="780" customFormat="1" hidden="1" x14ac:dyDescent="0.45">
      <c r="B816" s="1692"/>
      <c r="C816" s="1696" t="s">
        <v>332</v>
      </c>
      <c r="D816" s="122" t="s">
        <v>326</v>
      </c>
      <c r="E816" s="678"/>
      <c r="F816" s="678"/>
      <c r="G816" s="678"/>
      <c r="H816" s="678"/>
      <c r="I816" s="678"/>
      <c r="J816" s="678"/>
      <c r="K816" s="678"/>
      <c r="L816" s="678"/>
      <c r="M816" s="678"/>
      <c r="N816" s="678"/>
      <c r="O816" s="678"/>
      <c r="P816" s="678"/>
      <c r="Q816" s="678"/>
      <c r="R816" s="678"/>
      <c r="S816" s="678"/>
      <c r="T816" s="678"/>
      <c r="U816" s="678"/>
      <c r="V816" s="678"/>
      <c r="W816" s="679"/>
      <c r="X816" s="679"/>
      <c r="Y816" s="679"/>
      <c r="Z816" s="679"/>
      <c r="AA816" s="679"/>
      <c r="AB816" s="680"/>
    </row>
    <row r="817" spans="2:28" s="780" customFormat="1" hidden="1" x14ac:dyDescent="0.45">
      <c r="B817" s="1692"/>
      <c r="C817" s="1697"/>
      <c r="D817" s="122" t="s">
        <v>327</v>
      </c>
      <c r="E817" s="678"/>
      <c r="F817" s="678"/>
      <c r="G817" s="678"/>
      <c r="H817" s="678"/>
      <c r="I817" s="678"/>
      <c r="J817" s="678"/>
      <c r="K817" s="678"/>
      <c r="L817" s="678"/>
      <c r="M817" s="678"/>
      <c r="N817" s="678"/>
      <c r="O817" s="678"/>
      <c r="P817" s="678"/>
      <c r="Q817" s="678"/>
      <c r="R817" s="678"/>
      <c r="S817" s="678"/>
      <c r="T817" s="678"/>
      <c r="U817" s="678"/>
      <c r="V817" s="678"/>
      <c r="W817" s="678"/>
      <c r="X817" s="678"/>
      <c r="Y817" s="679"/>
      <c r="Z817" s="679"/>
      <c r="AA817" s="679"/>
      <c r="AB817" s="680"/>
    </row>
    <row r="818" spans="2:28" s="780" customFormat="1" hidden="1" x14ac:dyDescent="0.45">
      <c r="B818" s="1692"/>
      <c r="C818" s="1698" t="s">
        <v>333</v>
      </c>
      <c r="D818" s="124" t="s">
        <v>326</v>
      </c>
      <c r="E818" s="675"/>
      <c r="F818" s="675"/>
      <c r="G818" s="675"/>
      <c r="H818" s="675"/>
      <c r="I818" s="675"/>
      <c r="J818" s="675"/>
      <c r="K818" s="675"/>
      <c r="L818" s="675"/>
      <c r="M818" s="675"/>
      <c r="N818" s="675"/>
      <c r="O818" s="675"/>
      <c r="P818" s="675"/>
      <c r="Q818" s="675"/>
      <c r="R818" s="675"/>
      <c r="S818" s="675"/>
      <c r="T818" s="675"/>
      <c r="U818" s="675"/>
      <c r="V818" s="675"/>
      <c r="W818" s="676"/>
      <c r="X818" s="676"/>
      <c r="Y818" s="676"/>
      <c r="Z818" s="676"/>
      <c r="AA818" s="676"/>
      <c r="AB818" s="677"/>
    </row>
    <row r="819" spans="2:28" s="780" customFormat="1" hidden="1" x14ac:dyDescent="0.45">
      <c r="B819" s="1693"/>
      <c r="C819" s="1699"/>
      <c r="D819" s="126" t="s">
        <v>327</v>
      </c>
      <c r="E819" s="687"/>
      <c r="F819" s="687"/>
      <c r="G819" s="687"/>
      <c r="H819" s="687"/>
      <c r="I819" s="687"/>
      <c r="J819" s="687"/>
      <c r="K819" s="687"/>
      <c r="L819" s="687"/>
      <c r="M819" s="687"/>
      <c r="N819" s="687"/>
      <c r="O819" s="687"/>
      <c r="P819" s="687"/>
      <c r="Q819" s="687"/>
      <c r="R819" s="687"/>
      <c r="S819" s="687"/>
      <c r="T819" s="687"/>
      <c r="U819" s="687"/>
      <c r="V819" s="687"/>
      <c r="W819" s="687"/>
      <c r="X819" s="687"/>
      <c r="Y819" s="687"/>
      <c r="Z819" s="687"/>
      <c r="AA819" s="687"/>
      <c r="AB819" s="688"/>
    </row>
    <row r="820" spans="2:28" s="780" customFormat="1" hidden="1" x14ac:dyDescent="0.45"/>
    <row r="821" spans="2:28" s="780" customFormat="1" hidden="1" x14ac:dyDescent="0.45">
      <c r="B821" s="1688" t="s">
        <v>54</v>
      </c>
      <c r="C821" s="1689"/>
      <c r="D821" s="1690"/>
      <c r="E821" s="779"/>
      <c r="F821" s="779"/>
      <c r="G821" s="779"/>
      <c r="H821" s="779"/>
      <c r="I821" s="779"/>
      <c r="J821" s="779"/>
      <c r="K821" s="779"/>
      <c r="L821" s="779"/>
      <c r="M821" s="779"/>
      <c r="N821" s="779"/>
      <c r="O821" s="779"/>
      <c r="P821" s="779"/>
      <c r="Q821" s="779"/>
      <c r="R821" s="779"/>
      <c r="S821" s="779"/>
      <c r="T821" s="779"/>
      <c r="U821" s="779"/>
      <c r="V821" s="779"/>
      <c r="W821" s="779"/>
      <c r="X821" s="779"/>
      <c r="Y821" s="779"/>
      <c r="Z821" s="779"/>
      <c r="AA821" s="779"/>
      <c r="AB821" s="708"/>
    </row>
    <row r="822" spans="2:28" s="780" customFormat="1" ht="15" hidden="1" customHeight="1" x14ac:dyDescent="0.45">
      <c r="B822" s="1691" t="str">
        <f>CONCATENATE("Plan ", INDEX(plans_index,,(ROW(B822)-6)/16), ": ", INDEX(plans_name,,(ROW(B822)-6)/16))</f>
        <v xml:space="preserve">Plan 51: </v>
      </c>
      <c r="C822" s="1694" t="s">
        <v>325</v>
      </c>
      <c r="D822" s="123" t="s">
        <v>326</v>
      </c>
      <c r="E822" s="672"/>
      <c r="F822" s="672"/>
      <c r="G822" s="672"/>
      <c r="H822" s="673"/>
      <c r="I822" s="672"/>
      <c r="J822" s="672"/>
      <c r="K822" s="672"/>
      <c r="L822" s="672"/>
      <c r="M822" s="672"/>
      <c r="N822" s="672"/>
      <c r="O822" s="672"/>
      <c r="P822" s="672"/>
      <c r="Q822" s="672"/>
      <c r="R822" s="672"/>
      <c r="S822" s="672"/>
      <c r="T822" s="672"/>
      <c r="U822" s="672"/>
      <c r="V822" s="672"/>
      <c r="W822" s="672"/>
      <c r="X822" s="672"/>
      <c r="Y822" s="672"/>
      <c r="Z822" s="672"/>
      <c r="AA822" s="672"/>
      <c r="AB822" s="674"/>
    </row>
    <row r="823" spans="2:28" s="780" customFormat="1" hidden="1" x14ac:dyDescent="0.45">
      <c r="B823" s="1692"/>
      <c r="C823" s="1695"/>
      <c r="D823" s="124" t="s">
        <v>327</v>
      </c>
      <c r="E823" s="675"/>
      <c r="F823" s="675"/>
      <c r="G823" s="675"/>
      <c r="H823" s="675"/>
      <c r="I823" s="675"/>
      <c r="J823" s="675"/>
      <c r="K823" s="675"/>
      <c r="L823" s="675"/>
      <c r="M823" s="675"/>
      <c r="N823" s="675"/>
      <c r="O823" s="675"/>
      <c r="P823" s="675"/>
      <c r="Q823" s="675"/>
      <c r="R823" s="675"/>
      <c r="S823" s="675"/>
      <c r="T823" s="675"/>
      <c r="U823" s="675"/>
      <c r="V823" s="675"/>
      <c r="W823" s="675"/>
      <c r="X823" s="675"/>
      <c r="Y823" s="676"/>
      <c r="Z823" s="676"/>
      <c r="AA823" s="676"/>
      <c r="AB823" s="677"/>
    </row>
    <row r="824" spans="2:28" s="780" customFormat="1" hidden="1" x14ac:dyDescent="0.45">
      <c r="B824" s="1692"/>
      <c r="C824" s="1696" t="s">
        <v>328</v>
      </c>
      <c r="D824" s="122" t="s">
        <v>326</v>
      </c>
      <c r="E824" s="678"/>
      <c r="F824" s="678"/>
      <c r="G824" s="678"/>
      <c r="H824" s="678"/>
      <c r="I824" s="678"/>
      <c r="J824" s="678"/>
      <c r="K824" s="678"/>
      <c r="L824" s="678"/>
      <c r="M824" s="678"/>
      <c r="N824" s="678"/>
      <c r="O824" s="678"/>
      <c r="P824" s="678"/>
      <c r="Q824" s="678"/>
      <c r="R824" s="678"/>
      <c r="S824" s="678"/>
      <c r="T824" s="678"/>
      <c r="U824" s="678"/>
      <c r="V824" s="678"/>
      <c r="W824" s="678"/>
      <c r="X824" s="678"/>
      <c r="Y824" s="679"/>
      <c r="Z824" s="679"/>
      <c r="AA824" s="679"/>
      <c r="AB824" s="680"/>
    </row>
    <row r="825" spans="2:28" s="780" customFormat="1" hidden="1" x14ac:dyDescent="0.45">
      <c r="B825" s="1692"/>
      <c r="C825" s="1697"/>
      <c r="D825" s="122" t="s">
        <v>327</v>
      </c>
      <c r="E825" s="678"/>
      <c r="F825" s="678"/>
      <c r="G825" s="678"/>
      <c r="H825" s="678"/>
      <c r="I825" s="678"/>
      <c r="J825" s="678"/>
      <c r="K825" s="678"/>
      <c r="L825" s="678"/>
      <c r="M825" s="678"/>
      <c r="N825" s="678"/>
      <c r="O825" s="678"/>
      <c r="P825" s="678"/>
      <c r="Q825" s="678"/>
      <c r="R825" s="678"/>
      <c r="S825" s="678"/>
      <c r="T825" s="678"/>
      <c r="U825" s="678"/>
      <c r="V825" s="678"/>
      <c r="W825" s="678"/>
      <c r="X825" s="681"/>
      <c r="Y825" s="679"/>
      <c r="Z825" s="679"/>
      <c r="AA825" s="679"/>
      <c r="AB825" s="680"/>
    </row>
    <row r="826" spans="2:28" s="780" customFormat="1" hidden="1" x14ac:dyDescent="0.45">
      <c r="B826" s="1692"/>
      <c r="C826" s="1698" t="s">
        <v>329</v>
      </c>
      <c r="D826" s="125" t="s">
        <v>326</v>
      </c>
      <c r="E826" s="682"/>
      <c r="F826" s="682"/>
      <c r="G826" s="682"/>
      <c r="H826" s="682"/>
      <c r="I826" s="682"/>
      <c r="J826" s="682"/>
      <c r="K826" s="682"/>
      <c r="L826" s="682"/>
      <c r="M826" s="682"/>
      <c r="N826" s="682"/>
      <c r="O826" s="682"/>
      <c r="P826" s="682"/>
      <c r="Q826" s="682"/>
      <c r="R826" s="682"/>
      <c r="S826" s="682"/>
      <c r="T826" s="682"/>
      <c r="U826" s="682"/>
      <c r="V826" s="682"/>
      <c r="W826" s="682"/>
      <c r="X826" s="682"/>
      <c r="Y826" s="683"/>
      <c r="Z826" s="683"/>
      <c r="AA826" s="683"/>
      <c r="AB826" s="684"/>
    </row>
    <row r="827" spans="2:28" s="780" customFormat="1" hidden="1" x14ac:dyDescent="0.45">
      <c r="B827" s="1692"/>
      <c r="C827" s="1695"/>
      <c r="D827" s="124" t="s">
        <v>327</v>
      </c>
      <c r="E827" s="675"/>
      <c r="F827" s="675"/>
      <c r="G827" s="675"/>
      <c r="H827" s="675"/>
      <c r="I827" s="675"/>
      <c r="J827" s="675"/>
      <c r="K827" s="675"/>
      <c r="L827" s="675"/>
      <c r="M827" s="675"/>
      <c r="N827" s="675"/>
      <c r="O827" s="675"/>
      <c r="P827" s="675"/>
      <c r="Q827" s="675"/>
      <c r="R827" s="675"/>
      <c r="S827" s="675"/>
      <c r="T827" s="675"/>
      <c r="U827" s="675"/>
      <c r="V827" s="675"/>
      <c r="W827" s="675"/>
      <c r="X827" s="675"/>
      <c r="Y827" s="676"/>
      <c r="Z827" s="676"/>
      <c r="AA827" s="676"/>
      <c r="AB827" s="677"/>
    </row>
    <row r="828" spans="2:28" s="780" customFormat="1" hidden="1" x14ac:dyDescent="0.45">
      <c r="B828" s="1692"/>
      <c r="C828" s="1696" t="s">
        <v>330</v>
      </c>
      <c r="D828" s="122" t="s">
        <v>326</v>
      </c>
      <c r="E828" s="678"/>
      <c r="F828" s="678"/>
      <c r="G828" s="678"/>
      <c r="H828" s="678"/>
      <c r="I828" s="678"/>
      <c r="J828" s="678"/>
      <c r="K828" s="678"/>
      <c r="L828" s="678"/>
      <c r="M828" s="678"/>
      <c r="N828" s="678"/>
      <c r="O828" s="678"/>
      <c r="P828" s="678"/>
      <c r="Q828" s="678"/>
      <c r="R828" s="678"/>
      <c r="S828" s="678"/>
      <c r="T828" s="678"/>
      <c r="U828" s="678"/>
      <c r="V828" s="678"/>
      <c r="W828" s="678"/>
      <c r="X828" s="678"/>
      <c r="Y828" s="679"/>
      <c r="Z828" s="679"/>
      <c r="AA828" s="679"/>
      <c r="AB828" s="680"/>
    </row>
    <row r="829" spans="2:28" s="780" customFormat="1" hidden="1" x14ac:dyDescent="0.45">
      <c r="B829" s="1692"/>
      <c r="C829" s="1697"/>
      <c r="D829" s="122" t="s">
        <v>327</v>
      </c>
      <c r="E829" s="678"/>
      <c r="F829" s="678"/>
      <c r="G829" s="678"/>
      <c r="H829" s="678"/>
      <c r="I829" s="678"/>
      <c r="J829" s="678"/>
      <c r="K829" s="678"/>
      <c r="L829" s="678"/>
      <c r="M829" s="678"/>
      <c r="N829" s="678"/>
      <c r="O829" s="678"/>
      <c r="P829" s="678"/>
      <c r="Q829" s="678"/>
      <c r="R829" s="678"/>
      <c r="S829" s="678"/>
      <c r="T829" s="678"/>
      <c r="U829" s="678"/>
      <c r="V829" s="678"/>
      <c r="W829" s="678"/>
      <c r="X829" s="681"/>
      <c r="Y829" s="679"/>
      <c r="Z829" s="679"/>
      <c r="AA829" s="679"/>
      <c r="AB829" s="680"/>
    </row>
    <row r="830" spans="2:28" s="780" customFormat="1" hidden="1" x14ac:dyDescent="0.45">
      <c r="B830" s="1692"/>
      <c r="C830" s="1698" t="s">
        <v>331</v>
      </c>
      <c r="D830" s="125" t="s">
        <v>326</v>
      </c>
      <c r="E830" s="682"/>
      <c r="F830" s="682"/>
      <c r="G830" s="685"/>
      <c r="H830" s="682"/>
      <c r="I830" s="682"/>
      <c r="J830" s="682"/>
      <c r="K830" s="682"/>
      <c r="L830" s="682"/>
      <c r="M830" s="682"/>
      <c r="N830" s="682"/>
      <c r="O830" s="682"/>
      <c r="P830" s="682"/>
      <c r="Q830" s="682"/>
      <c r="R830" s="682"/>
      <c r="S830" s="682"/>
      <c r="T830" s="682"/>
      <c r="U830" s="682"/>
      <c r="V830" s="682"/>
      <c r="W830" s="682"/>
      <c r="X830" s="682"/>
      <c r="Y830" s="683"/>
      <c r="Z830" s="683"/>
      <c r="AA830" s="683"/>
      <c r="AB830" s="684"/>
    </row>
    <row r="831" spans="2:28" s="780" customFormat="1" hidden="1" x14ac:dyDescent="0.45">
      <c r="B831" s="1692"/>
      <c r="C831" s="1695"/>
      <c r="D831" s="124" t="s">
        <v>327</v>
      </c>
      <c r="E831" s="675"/>
      <c r="F831" s="675"/>
      <c r="G831" s="686"/>
      <c r="H831" s="675"/>
      <c r="I831" s="675"/>
      <c r="J831" s="675"/>
      <c r="K831" s="675"/>
      <c r="L831" s="675"/>
      <c r="M831" s="675"/>
      <c r="N831" s="675"/>
      <c r="O831" s="675"/>
      <c r="P831" s="675"/>
      <c r="Q831" s="675"/>
      <c r="R831" s="675"/>
      <c r="S831" s="675"/>
      <c r="T831" s="675"/>
      <c r="U831" s="675"/>
      <c r="V831" s="675"/>
      <c r="W831" s="675"/>
      <c r="X831" s="675"/>
      <c r="Y831" s="676"/>
      <c r="Z831" s="676"/>
      <c r="AA831" s="676"/>
      <c r="AB831" s="677"/>
    </row>
    <row r="832" spans="2:28" s="780" customFormat="1" hidden="1" x14ac:dyDescent="0.45">
      <c r="B832" s="1692"/>
      <c r="C832" s="1696" t="s">
        <v>332</v>
      </c>
      <c r="D832" s="122" t="s">
        <v>326</v>
      </c>
      <c r="E832" s="678"/>
      <c r="F832" s="678"/>
      <c r="G832" s="678"/>
      <c r="H832" s="678"/>
      <c r="I832" s="678"/>
      <c r="J832" s="678"/>
      <c r="K832" s="678"/>
      <c r="L832" s="678"/>
      <c r="M832" s="678"/>
      <c r="N832" s="678"/>
      <c r="O832" s="678"/>
      <c r="P832" s="678"/>
      <c r="Q832" s="678"/>
      <c r="R832" s="678"/>
      <c r="S832" s="678"/>
      <c r="T832" s="678"/>
      <c r="U832" s="678"/>
      <c r="V832" s="678"/>
      <c r="W832" s="679"/>
      <c r="X832" s="679"/>
      <c r="Y832" s="679"/>
      <c r="Z832" s="679"/>
      <c r="AA832" s="679"/>
      <c r="AB832" s="680"/>
    </row>
    <row r="833" spans="2:28" s="780" customFormat="1" hidden="1" x14ac:dyDescent="0.45">
      <c r="B833" s="1692"/>
      <c r="C833" s="1697"/>
      <c r="D833" s="122" t="s">
        <v>327</v>
      </c>
      <c r="E833" s="678"/>
      <c r="F833" s="678"/>
      <c r="G833" s="678"/>
      <c r="H833" s="678"/>
      <c r="I833" s="678"/>
      <c r="J833" s="678"/>
      <c r="K833" s="678"/>
      <c r="L833" s="678"/>
      <c r="M833" s="678"/>
      <c r="N833" s="678"/>
      <c r="O833" s="678"/>
      <c r="P833" s="678"/>
      <c r="Q833" s="678"/>
      <c r="R833" s="678"/>
      <c r="S833" s="678"/>
      <c r="T833" s="678"/>
      <c r="U833" s="678"/>
      <c r="V833" s="678"/>
      <c r="W833" s="678"/>
      <c r="X833" s="678"/>
      <c r="Y833" s="679"/>
      <c r="Z833" s="679"/>
      <c r="AA833" s="679"/>
      <c r="AB833" s="680"/>
    </row>
    <row r="834" spans="2:28" s="780" customFormat="1" hidden="1" x14ac:dyDescent="0.45">
      <c r="B834" s="1692"/>
      <c r="C834" s="1698" t="s">
        <v>333</v>
      </c>
      <c r="D834" s="124" t="s">
        <v>326</v>
      </c>
      <c r="E834" s="675"/>
      <c r="F834" s="675"/>
      <c r="G834" s="675"/>
      <c r="H834" s="675"/>
      <c r="I834" s="675"/>
      <c r="J834" s="675"/>
      <c r="K834" s="675"/>
      <c r="L834" s="675"/>
      <c r="M834" s="675"/>
      <c r="N834" s="675"/>
      <c r="O834" s="675"/>
      <c r="P834" s="675"/>
      <c r="Q834" s="675"/>
      <c r="R834" s="675"/>
      <c r="S834" s="675"/>
      <c r="T834" s="675"/>
      <c r="U834" s="675"/>
      <c r="V834" s="675"/>
      <c r="W834" s="676"/>
      <c r="X834" s="676"/>
      <c r="Y834" s="676"/>
      <c r="Z834" s="676"/>
      <c r="AA834" s="676"/>
      <c r="AB834" s="677"/>
    </row>
    <row r="835" spans="2:28" s="780" customFormat="1" hidden="1" x14ac:dyDescent="0.45">
      <c r="B835" s="1693"/>
      <c r="C835" s="1699"/>
      <c r="D835" s="126" t="s">
        <v>327</v>
      </c>
      <c r="E835" s="687"/>
      <c r="F835" s="687"/>
      <c r="G835" s="687"/>
      <c r="H835" s="687"/>
      <c r="I835" s="687"/>
      <c r="J835" s="687"/>
      <c r="K835" s="687"/>
      <c r="L835" s="687"/>
      <c r="M835" s="687"/>
      <c r="N835" s="687"/>
      <c r="O835" s="687"/>
      <c r="P835" s="687"/>
      <c r="Q835" s="687"/>
      <c r="R835" s="687"/>
      <c r="S835" s="687"/>
      <c r="T835" s="687"/>
      <c r="U835" s="687"/>
      <c r="V835" s="687"/>
      <c r="W835" s="687"/>
      <c r="X835" s="687"/>
      <c r="Y835" s="687"/>
      <c r="Z835" s="687"/>
      <c r="AA835" s="687"/>
      <c r="AB835" s="688"/>
    </row>
    <row r="836" spans="2:28" s="780" customFormat="1" hidden="1" x14ac:dyDescent="0.45"/>
    <row r="837" spans="2:28" s="780" customFormat="1" hidden="1" x14ac:dyDescent="0.45">
      <c r="B837" s="1688" t="s">
        <v>54</v>
      </c>
      <c r="C837" s="1689"/>
      <c r="D837" s="1690"/>
      <c r="E837" s="779"/>
      <c r="F837" s="779"/>
      <c r="G837" s="779"/>
      <c r="H837" s="779"/>
      <c r="I837" s="779"/>
      <c r="J837" s="779"/>
      <c r="K837" s="779"/>
      <c r="L837" s="779"/>
      <c r="M837" s="779"/>
      <c r="N837" s="779"/>
      <c r="O837" s="779"/>
      <c r="P837" s="779"/>
      <c r="Q837" s="779"/>
      <c r="R837" s="779"/>
      <c r="S837" s="779"/>
      <c r="T837" s="779"/>
      <c r="U837" s="779"/>
      <c r="V837" s="779"/>
      <c r="W837" s="779"/>
      <c r="X837" s="779"/>
      <c r="Y837" s="779"/>
      <c r="Z837" s="779"/>
      <c r="AA837" s="779"/>
      <c r="AB837" s="708"/>
    </row>
    <row r="838" spans="2:28" s="780" customFormat="1" ht="15" hidden="1" customHeight="1" x14ac:dyDescent="0.45">
      <c r="B838" s="1691" t="str">
        <f>CONCATENATE("Plan ", INDEX(plans_index,,(ROW(B838)-6)/16), ": ", INDEX(plans_name,,(ROW(B838)-6)/16))</f>
        <v xml:space="preserve">Plan 52: </v>
      </c>
      <c r="C838" s="1694" t="s">
        <v>325</v>
      </c>
      <c r="D838" s="123" t="s">
        <v>326</v>
      </c>
      <c r="E838" s="672"/>
      <c r="F838" s="672"/>
      <c r="G838" s="672"/>
      <c r="H838" s="673"/>
      <c r="I838" s="672"/>
      <c r="J838" s="672"/>
      <c r="K838" s="672"/>
      <c r="L838" s="672"/>
      <c r="M838" s="672"/>
      <c r="N838" s="672"/>
      <c r="O838" s="672"/>
      <c r="P838" s="672"/>
      <c r="Q838" s="672"/>
      <c r="R838" s="672"/>
      <c r="S838" s="672"/>
      <c r="T838" s="672"/>
      <c r="U838" s="672"/>
      <c r="V838" s="672"/>
      <c r="W838" s="672"/>
      <c r="X838" s="672"/>
      <c r="Y838" s="672"/>
      <c r="Z838" s="672"/>
      <c r="AA838" s="672"/>
      <c r="AB838" s="674"/>
    </row>
    <row r="839" spans="2:28" s="780" customFormat="1" hidden="1" x14ac:dyDescent="0.45">
      <c r="B839" s="1692"/>
      <c r="C839" s="1695"/>
      <c r="D839" s="124" t="s">
        <v>327</v>
      </c>
      <c r="E839" s="675"/>
      <c r="F839" s="675"/>
      <c r="G839" s="675"/>
      <c r="H839" s="675"/>
      <c r="I839" s="675"/>
      <c r="J839" s="675"/>
      <c r="K839" s="675"/>
      <c r="L839" s="675"/>
      <c r="M839" s="675"/>
      <c r="N839" s="675"/>
      <c r="O839" s="675"/>
      <c r="P839" s="675"/>
      <c r="Q839" s="675"/>
      <c r="R839" s="675"/>
      <c r="S839" s="675"/>
      <c r="T839" s="675"/>
      <c r="U839" s="675"/>
      <c r="V839" s="675"/>
      <c r="W839" s="675"/>
      <c r="X839" s="675"/>
      <c r="Y839" s="676"/>
      <c r="Z839" s="676"/>
      <c r="AA839" s="676"/>
      <c r="AB839" s="677"/>
    </row>
    <row r="840" spans="2:28" s="780" customFormat="1" hidden="1" x14ac:dyDescent="0.45">
      <c r="B840" s="1692"/>
      <c r="C840" s="1696" t="s">
        <v>328</v>
      </c>
      <c r="D840" s="122" t="s">
        <v>326</v>
      </c>
      <c r="E840" s="678"/>
      <c r="F840" s="678"/>
      <c r="G840" s="678"/>
      <c r="H840" s="678"/>
      <c r="I840" s="678"/>
      <c r="J840" s="678"/>
      <c r="K840" s="678"/>
      <c r="L840" s="678"/>
      <c r="M840" s="678"/>
      <c r="N840" s="678"/>
      <c r="O840" s="678"/>
      <c r="P840" s="678"/>
      <c r="Q840" s="678"/>
      <c r="R840" s="678"/>
      <c r="S840" s="678"/>
      <c r="T840" s="678"/>
      <c r="U840" s="678"/>
      <c r="V840" s="678"/>
      <c r="W840" s="678"/>
      <c r="X840" s="678"/>
      <c r="Y840" s="679"/>
      <c r="Z840" s="679"/>
      <c r="AA840" s="679"/>
      <c r="AB840" s="680"/>
    </row>
    <row r="841" spans="2:28" s="780" customFormat="1" hidden="1" x14ac:dyDescent="0.45">
      <c r="B841" s="1692"/>
      <c r="C841" s="1697"/>
      <c r="D841" s="122" t="s">
        <v>327</v>
      </c>
      <c r="E841" s="678"/>
      <c r="F841" s="678"/>
      <c r="G841" s="678"/>
      <c r="H841" s="678"/>
      <c r="I841" s="678"/>
      <c r="J841" s="678"/>
      <c r="K841" s="678"/>
      <c r="L841" s="678"/>
      <c r="M841" s="678"/>
      <c r="N841" s="678"/>
      <c r="O841" s="678"/>
      <c r="P841" s="678"/>
      <c r="Q841" s="678"/>
      <c r="R841" s="678"/>
      <c r="S841" s="678"/>
      <c r="T841" s="678"/>
      <c r="U841" s="678"/>
      <c r="V841" s="678"/>
      <c r="W841" s="678"/>
      <c r="X841" s="681"/>
      <c r="Y841" s="679"/>
      <c r="Z841" s="679"/>
      <c r="AA841" s="679"/>
      <c r="AB841" s="680"/>
    </row>
    <row r="842" spans="2:28" s="780" customFormat="1" hidden="1" x14ac:dyDescent="0.45">
      <c r="B842" s="1692"/>
      <c r="C842" s="1698" t="s">
        <v>329</v>
      </c>
      <c r="D842" s="125" t="s">
        <v>326</v>
      </c>
      <c r="E842" s="682"/>
      <c r="F842" s="682"/>
      <c r="G842" s="682"/>
      <c r="H842" s="682"/>
      <c r="I842" s="682"/>
      <c r="J842" s="682"/>
      <c r="K842" s="682"/>
      <c r="L842" s="682"/>
      <c r="M842" s="682"/>
      <c r="N842" s="682"/>
      <c r="O842" s="682"/>
      <c r="P842" s="682"/>
      <c r="Q842" s="682"/>
      <c r="R842" s="682"/>
      <c r="S842" s="682"/>
      <c r="T842" s="682"/>
      <c r="U842" s="682"/>
      <c r="V842" s="682"/>
      <c r="W842" s="682"/>
      <c r="X842" s="682"/>
      <c r="Y842" s="683"/>
      <c r="Z842" s="683"/>
      <c r="AA842" s="683"/>
      <c r="AB842" s="684"/>
    </row>
    <row r="843" spans="2:28" s="780" customFormat="1" hidden="1" x14ac:dyDescent="0.45">
      <c r="B843" s="1692"/>
      <c r="C843" s="1695"/>
      <c r="D843" s="124" t="s">
        <v>327</v>
      </c>
      <c r="E843" s="675"/>
      <c r="F843" s="675"/>
      <c r="G843" s="675"/>
      <c r="H843" s="675"/>
      <c r="I843" s="675"/>
      <c r="J843" s="675"/>
      <c r="K843" s="675"/>
      <c r="L843" s="675"/>
      <c r="M843" s="675"/>
      <c r="N843" s="675"/>
      <c r="O843" s="675"/>
      <c r="P843" s="675"/>
      <c r="Q843" s="675"/>
      <c r="R843" s="675"/>
      <c r="S843" s="675"/>
      <c r="T843" s="675"/>
      <c r="U843" s="675"/>
      <c r="V843" s="675"/>
      <c r="W843" s="675"/>
      <c r="X843" s="675"/>
      <c r="Y843" s="676"/>
      <c r="Z843" s="676"/>
      <c r="AA843" s="676"/>
      <c r="AB843" s="677"/>
    </row>
    <row r="844" spans="2:28" s="780" customFormat="1" hidden="1" x14ac:dyDescent="0.45">
      <c r="B844" s="1692"/>
      <c r="C844" s="1696" t="s">
        <v>330</v>
      </c>
      <c r="D844" s="122" t="s">
        <v>326</v>
      </c>
      <c r="E844" s="678"/>
      <c r="F844" s="678"/>
      <c r="G844" s="678"/>
      <c r="H844" s="678"/>
      <c r="I844" s="678"/>
      <c r="J844" s="678"/>
      <c r="K844" s="678"/>
      <c r="L844" s="678"/>
      <c r="M844" s="678"/>
      <c r="N844" s="678"/>
      <c r="O844" s="678"/>
      <c r="P844" s="678"/>
      <c r="Q844" s="678"/>
      <c r="R844" s="678"/>
      <c r="S844" s="678"/>
      <c r="T844" s="678"/>
      <c r="U844" s="678"/>
      <c r="V844" s="678"/>
      <c r="W844" s="678"/>
      <c r="X844" s="678"/>
      <c r="Y844" s="679"/>
      <c r="Z844" s="679"/>
      <c r="AA844" s="679"/>
      <c r="AB844" s="680"/>
    </row>
    <row r="845" spans="2:28" s="780" customFormat="1" hidden="1" x14ac:dyDescent="0.45">
      <c r="B845" s="1692"/>
      <c r="C845" s="1697"/>
      <c r="D845" s="122" t="s">
        <v>327</v>
      </c>
      <c r="E845" s="678"/>
      <c r="F845" s="678"/>
      <c r="G845" s="678"/>
      <c r="H845" s="678"/>
      <c r="I845" s="678"/>
      <c r="J845" s="678"/>
      <c r="K845" s="678"/>
      <c r="L845" s="678"/>
      <c r="M845" s="678"/>
      <c r="N845" s="678"/>
      <c r="O845" s="678"/>
      <c r="P845" s="678"/>
      <c r="Q845" s="678"/>
      <c r="R845" s="678"/>
      <c r="S845" s="678"/>
      <c r="T845" s="678"/>
      <c r="U845" s="678"/>
      <c r="V845" s="678"/>
      <c r="W845" s="678"/>
      <c r="X845" s="681"/>
      <c r="Y845" s="679"/>
      <c r="Z845" s="679"/>
      <c r="AA845" s="679"/>
      <c r="AB845" s="680"/>
    </row>
    <row r="846" spans="2:28" s="780" customFormat="1" hidden="1" x14ac:dyDescent="0.45">
      <c r="B846" s="1692"/>
      <c r="C846" s="1698" t="s">
        <v>331</v>
      </c>
      <c r="D846" s="125" t="s">
        <v>326</v>
      </c>
      <c r="E846" s="682"/>
      <c r="F846" s="682"/>
      <c r="G846" s="685"/>
      <c r="H846" s="682"/>
      <c r="I846" s="682"/>
      <c r="J846" s="682"/>
      <c r="K846" s="682"/>
      <c r="L846" s="682"/>
      <c r="M846" s="682"/>
      <c r="N846" s="682"/>
      <c r="O846" s="682"/>
      <c r="P846" s="682"/>
      <c r="Q846" s="682"/>
      <c r="R846" s="682"/>
      <c r="S846" s="682"/>
      <c r="T846" s="682"/>
      <c r="U846" s="682"/>
      <c r="V846" s="682"/>
      <c r="W846" s="682"/>
      <c r="X846" s="682"/>
      <c r="Y846" s="683"/>
      <c r="Z846" s="683"/>
      <c r="AA846" s="683"/>
      <c r="AB846" s="684"/>
    </row>
    <row r="847" spans="2:28" s="780" customFormat="1" hidden="1" x14ac:dyDescent="0.45">
      <c r="B847" s="1692"/>
      <c r="C847" s="1695"/>
      <c r="D847" s="124" t="s">
        <v>327</v>
      </c>
      <c r="E847" s="675"/>
      <c r="F847" s="675"/>
      <c r="G847" s="686"/>
      <c r="H847" s="675"/>
      <c r="I847" s="675"/>
      <c r="J847" s="675"/>
      <c r="K847" s="675"/>
      <c r="L847" s="675"/>
      <c r="M847" s="675"/>
      <c r="N847" s="675"/>
      <c r="O847" s="675"/>
      <c r="P847" s="675"/>
      <c r="Q847" s="675"/>
      <c r="R847" s="675"/>
      <c r="S847" s="675"/>
      <c r="T847" s="675"/>
      <c r="U847" s="675"/>
      <c r="V847" s="675"/>
      <c r="W847" s="675"/>
      <c r="X847" s="675"/>
      <c r="Y847" s="676"/>
      <c r="Z847" s="676"/>
      <c r="AA847" s="676"/>
      <c r="AB847" s="677"/>
    </row>
    <row r="848" spans="2:28" s="780" customFormat="1" hidden="1" x14ac:dyDescent="0.45">
      <c r="B848" s="1692"/>
      <c r="C848" s="1696" t="s">
        <v>332</v>
      </c>
      <c r="D848" s="122" t="s">
        <v>326</v>
      </c>
      <c r="E848" s="678"/>
      <c r="F848" s="678"/>
      <c r="G848" s="678"/>
      <c r="H848" s="678"/>
      <c r="I848" s="678"/>
      <c r="J848" s="678"/>
      <c r="K848" s="678"/>
      <c r="L848" s="678"/>
      <c r="M848" s="678"/>
      <c r="N848" s="678"/>
      <c r="O848" s="678"/>
      <c r="P848" s="678"/>
      <c r="Q848" s="678"/>
      <c r="R848" s="678"/>
      <c r="S848" s="678"/>
      <c r="T848" s="678"/>
      <c r="U848" s="678"/>
      <c r="V848" s="678"/>
      <c r="W848" s="679"/>
      <c r="X848" s="679"/>
      <c r="Y848" s="679"/>
      <c r="Z848" s="679"/>
      <c r="AA848" s="679"/>
      <c r="AB848" s="680"/>
    </row>
    <row r="849" spans="2:28" s="780" customFormat="1" hidden="1" x14ac:dyDescent="0.45">
      <c r="B849" s="1692"/>
      <c r="C849" s="1697"/>
      <c r="D849" s="122" t="s">
        <v>327</v>
      </c>
      <c r="E849" s="678"/>
      <c r="F849" s="678"/>
      <c r="G849" s="678"/>
      <c r="H849" s="678"/>
      <c r="I849" s="678"/>
      <c r="J849" s="678"/>
      <c r="K849" s="678"/>
      <c r="L849" s="678"/>
      <c r="M849" s="678"/>
      <c r="N849" s="678"/>
      <c r="O849" s="678"/>
      <c r="P849" s="678"/>
      <c r="Q849" s="678"/>
      <c r="R849" s="678"/>
      <c r="S849" s="678"/>
      <c r="T849" s="678"/>
      <c r="U849" s="678"/>
      <c r="V849" s="678"/>
      <c r="W849" s="678"/>
      <c r="X849" s="678"/>
      <c r="Y849" s="679"/>
      <c r="Z849" s="679"/>
      <c r="AA849" s="679"/>
      <c r="AB849" s="680"/>
    </row>
    <row r="850" spans="2:28" s="780" customFormat="1" hidden="1" x14ac:dyDescent="0.45">
      <c r="B850" s="1692"/>
      <c r="C850" s="1698" t="s">
        <v>333</v>
      </c>
      <c r="D850" s="124" t="s">
        <v>326</v>
      </c>
      <c r="E850" s="675"/>
      <c r="F850" s="675"/>
      <c r="G850" s="675"/>
      <c r="H850" s="675"/>
      <c r="I850" s="675"/>
      <c r="J850" s="675"/>
      <c r="K850" s="675"/>
      <c r="L850" s="675"/>
      <c r="M850" s="675"/>
      <c r="N850" s="675"/>
      <c r="O850" s="675"/>
      <c r="P850" s="675"/>
      <c r="Q850" s="675"/>
      <c r="R850" s="675"/>
      <c r="S850" s="675"/>
      <c r="T850" s="675"/>
      <c r="U850" s="675"/>
      <c r="V850" s="675"/>
      <c r="W850" s="676"/>
      <c r="X850" s="676"/>
      <c r="Y850" s="676"/>
      <c r="Z850" s="676"/>
      <c r="AA850" s="676"/>
      <c r="AB850" s="677"/>
    </row>
    <row r="851" spans="2:28" s="780" customFormat="1" hidden="1" x14ac:dyDescent="0.45">
      <c r="B851" s="1693"/>
      <c r="C851" s="1699"/>
      <c r="D851" s="126" t="s">
        <v>327</v>
      </c>
      <c r="E851" s="687"/>
      <c r="F851" s="687"/>
      <c r="G851" s="687"/>
      <c r="H851" s="687"/>
      <c r="I851" s="687"/>
      <c r="J851" s="687"/>
      <c r="K851" s="687"/>
      <c r="L851" s="687"/>
      <c r="M851" s="687"/>
      <c r="N851" s="687"/>
      <c r="O851" s="687"/>
      <c r="P851" s="687"/>
      <c r="Q851" s="687"/>
      <c r="R851" s="687"/>
      <c r="S851" s="687"/>
      <c r="T851" s="687"/>
      <c r="U851" s="687"/>
      <c r="V851" s="687"/>
      <c r="W851" s="687"/>
      <c r="X851" s="687"/>
      <c r="Y851" s="687"/>
      <c r="Z851" s="687"/>
      <c r="AA851" s="687"/>
      <c r="AB851" s="688"/>
    </row>
    <row r="852" spans="2:28" s="780" customFormat="1" hidden="1" x14ac:dyDescent="0.45"/>
    <row r="853" spans="2:28" s="780" customFormat="1" hidden="1" x14ac:dyDescent="0.45">
      <c r="B853" s="1688" t="s">
        <v>54</v>
      </c>
      <c r="C853" s="1689"/>
      <c r="D853" s="1690"/>
      <c r="E853" s="779"/>
      <c r="F853" s="779"/>
      <c r="G853" s="779"/>
      <c r="H853" s="779"/>
      <c r="I853" s="779"/>
      <c r="J853" s="779"/>
      <c r="K853" s="779"/>
      <c r="L853" s="779"/>
      <c r="M853" s="779"/>
      <c r="N853" s="779"/>
      <c r="O853" s="779"/>
      <c r="P853" s="779"/>
      <c r="Q853" s="779"/>
      <c r="R853" s="779"/>
      <c r="S853" s="779"/>
      <c r="T853" s="779"/>
      <c r="U853" s="779"/>
      <c r="V853" s="779"/>
      <c r="W853" s="779"/>
      <c r="X853" s="779"/>
      <c r="Y853" s="779"/>
      <c r="Z853" s="779"/>
      <c r="AA853" s="779"/>
      <c r="AB853" s="708"/>
    </row>
    <row r="854" spans="2:28" s="780" customFormat="1" ht="15" hidden="1" customHeight="1" x14ac:dyDescent="0.45">
      <c r="B854" s="1691" t="str">
        <f>CONCATENATE("Plan ", INDEX(plans_index,,(ROW(B854)-6)/16), ": ", INDEX(plans_name,,(ROW(B854)-6)/16))</f>
        <v xml:space="preserve">Plan 53: </v>
      </c>
      <c r="C854" s="1694" t="s">
        <v>325</v>
      </c>
      <c r="D854" s="123" t="s">
        <v>326</v>
      </c>
      <c r="E854" s="672"/>
      <c r="F854" s="672"/>
      <c r="G854" s="672"/>
      <c r="H854" s="673"/>
      <c r="I854" s="672"/>
      <c r="J854" s="672"/>
      <c r="K854" s="672"/>
      <c r="L854" s="672"/>
      <c r="M854" s="672"/>
      <c r="N854" s="672"/>
      <c r="O854" s="672"/>
      <c r="P854" s="672"/>
      <c r="Q854" s="672"/>
      <c r="R854" s="672"/>
      <c r="S854" s="672"/>
      <c r="T854" s="672"/>
      <c r="U854" s="672"/>
      <c r="V854" s="672"/>
      <c r="W854" s="672"/>
      <c r="X854" s="672"/>
      <c r="Y854" s="672"/>
      <c r="Z854" s="672"/>
      <c r="AA854" s="672"/>
      <c r="AB854" s="674"/>
    </row>
    <row r="855" spans="2:28" s="780" customFormat="1" hidden="1" x14ac:dyDescent="0.45">
      <c r="B855" s="1692"/>
      <c r="C855" s="1695"/>
      <c r="D855" s="124" t="s">
        <v>327</v>
      </c>
      <c r="E855" s="675"/>
      <c r="F855" s="675"/>
      <c r="G855" s="675"/>
      <c r="H855" s="675"/>
      <c r="I855" s="675"/>
      <c r="J855" s="675"/>
      <c r="K855" s="675"/>
      <c r="L855" s="675"/>
      <c r="M855" s="675"/>
      <c r="N855" s="675"/>
      <c r="O855" s="675"/>
      <c r="P855" s="675"/>
      <c r="Q855" s="675"/>
      <c r="R855" s="675"/>
      <c r="S855" s="675"/>
      <c r="T855" s="675"/>
      <c r="U855" s="675"/>
      <c r="V855" s="675"/>
      <c r="W855" s="675"/>
      <c r="X855" s="675"/>
      <c r="Y855" s="676"/>
      <c r="Z855" s="676"/>
      <c r="AA855" s="676"/>
      <c r="AB855" s="677"/>
    </row>
    <row r="856" spans="2:28" s="780" customFormat="1" hidden="1" x14ac:dyDescent="0.45">
      <c r="B856" s="1692"/>
      <c r="C856" s="1696" t="s">
        <v>328</v>
      </c>
      <c r="D856" s="122" t="s">
        <v>326</v>
      </c>
      <c r="E856" s="678"/>
      <c r="F856" s="678"/>
      <c r="G856" s="678"/>
      <c r="H856" s="678"/>
      <c r="I856" s="678"/>
      <c r="J856" s="678"/>
      <c r="K856" s="678"/>
      <c r="L856" s="678"/>
      <c r="M856" s="678"/>
      <c r="N856" s="678"/>
      <c r="O856" s="678"/>
      <c r="P856" s="678"/>
      <c r="Q856" s="678"/>
      <c r="R856" s="678"/>
      <c r="S856" s="678"/>
      <c r="T856" s="678"/>
      <c r="U856" s="678"/>
      <c r="V856" s="678"/>
      <c r="W856" s="678"/>
      <c r="X856" s="678"/>
      <c r="Y856" s="679"/>
      <c r="Z856" s="679"/>
      <c r="AA856" s="679"/>
      <c r="AB856" s="680"/>
    </row>
    <row r="857" spans="2:28" s="780" customFormat="1" hidden="1" x14ac:dyDescent="0.45">
      <c r="B857" s="1692"/>
      <c r="C857" s="1697"/>
      <c r="D857" s="122" t="s">
        <v>327</v>
      </c>
      <c r="E857" s="678"/>
      <c r="F857" s="678"/>
      <c r="G857" s="678"/>
      <c r="H857" s="678"/>
      <c r="I857" s="678"/>
      <c r="J857" s="678"/>
      <c r="K857" s="678"/>
      <c r="L857" s="678"/>
      <c r="M857" s="678"/>
      <c r="N857" s="678"/>
      <c r="O857" s="678"/>
      <c r="P857" s="678"/>
      <c r="Q857" s="678"/>
      <c r="R857" s="678"/>
      <c r="S857" s="678"/>
      <c r="T857" s="678"/>
      <c r="U857" s="678"/>
      <c r="V857" s="678"/>
      <c r="W857" s="678"/>
      <c r="X857" s="681"/>
      <c r="Y857" s="679"/>
      <c r="Z857" s="679"/>
      <c r="AA857" s="679"/>
      <c r="AB857" s="680"/>
    </row>
    <row r="858" spans="2:28" s="780" customFormat="1" hidden="1" x14ac:dyDescent="0.45">
      <c r="B858" s="1692"/>
      <c r="C858" s="1698" t="s">
        <v>329</v>
      </c>
      <c r="D858" s="125" t="s">
        <v>326</v>
      </c>
      <c r="E858" s="682"/>
      <c r="F858" s="682"/>
      <c r="G858" s="682"/>
      <c r="H858" s="682"/>
      <c r="I858" s="682"/>
      <c r="J858" s="682"/>
      <c r="K858" s="682"/>
      <c r="L858" s="682"/>
      <c r="M858" s="682"/>
      <c r="N858" s="682"/>
      <c r="O858" s="682"/>
      <c r="P858" s="682"/>
      <c r="Q858" s="682"/>
      <c r="R858" s="682"/>
      <c r="S858" s="682"/>
      <c r="T858" s="682"/>
      <c r="U858" s="682"/>
      <c r="V858" s="682"/>
      <c r="W858" s="682"/>
      <c r="X858" s="682"/>
      <c r="Y858" s="683"/>
      <c r="Z858" s="683"/>
      <c r="AA858" s="683"/>
      <c r="AB858" s="684"/>
    </row>
    <row r="859" spans="2:28" s="780" customFormat="1" hidden="1" x14ac:dyDescent="0.45">
      <c r="B859" s="1692"/>
      <c r="C859" s="1695"/>
      <c r="D859" s="124" t="s">
        <v>327</v>
      </c>
      <c r="E859" s="675"/>
      <c r="F859" s="675"/>
      <c r="G859" s="675"/>
      <c r="H859" s="675"/>
      <c r="I859" s="675"/>
      <c r="J859" s="675"/>
      <c r="K859" s="675"/>
      <c r="L859" s="675"/>
      <c r="M859" s="675"/>
      <c r="N859" s="675"/>
      <c r="O859" s="675"/>
      <c r="P859" s="675"/>
      <c r="Q859" s="675"/>
      <c r="R859" s="675"/>
      <c r="S859" s="675"/>
      <c r="T859" s="675"/>
      <c r="U859" s="675"/>
      <c r="V859" s="675"/>
      <c r="W859" s="675"/>
      <c r="X859" s="675"/>
      <c r="Y859" s="676"/>
      <c r="Z859" s="676"/>
      <c r="AA859" s="676"/>
      <c r="AB859" s="677"/>
    </row>
    <row r="860" spans="2:28" s="780" customFormat="1" hidden="1" x14ac:dyDescent="0.45">
      <c r="B860" s="1692"/>
      <c r="C860" s="1696" t="s">
        <v>330</v>
      </c>
      <c r="D860" s="122" t="s">
        <v>326</v>
      </c>
      <c r="E860" s="678"/>
      <c r="F860" s="678"/>
      <c r="G860" s="678"/>
      <c r="H860" s="678"/>
      <c r="I860" s="678"/>
      <c r="J860" s="678"/>
      <c r="K860" s="678"/>
      <c r="L860" s="678"/>
      <c r="M860" s="678"/>
      <c r="N860" s="678"/>
      <c r="O860" s="678"/>
      <c r="P860" s="678"/>
      <c r="Q860" s="678"/>
      <c r="R860" s="678"/>
      <c r="S860" s="678"/>
      <c r="T860" s="678"/>
      <c r="U860" s="678"/>
      <c r="V860" s="678"/>
      <c r="W860" s="678"/>
      <c r="X860" s="678"/>
      <c r="Y860" s="679"/>
      <c r="Z860" s="679"/>
      <c r="AA860" s="679"/>
      <c r="AB860" s="680"/>
    </row>
    <row r="861" spans="2:28" s="780" customFormat="1" hidden="1" x14ac:dyDescent="0.45">
      <c r="B861" s="1692"/>
      <c r="C861" s="1697"/>
      <c r="D861" s="122" t="s">
        <v>327</v>
      </c>
      <c r="E861" s="678"/>
      <c r="F861" s="678"/>
      <c r="G861" s="678"/>
      <c r="H861" s="678"/>
      <c r="I861" s="678"/>
      <c r="J861" s="678"/>
      <c r="K861" s="678"/>
      <c r="L861" s="678"/>
      <c r="M861" s="678"/>
      <c r="N861" s="678"/>
      <c r="O861" s="678"/>
      <c r="P861" s="678"/>
      <c r="Q861" s="678"/>
      <c r="R861" s="678"/>
      <c r="S861" s="678"/>
      <c r="T861" s="678"/>
      <c r="U861" s="678"/>
      <c r="V861" s="678"/>
      <c r="W861" s="678"/>
      <c r="X861" s="681"/>
      <c r="Y861" s="679"/>
      <c r="Z861" s="679"/>
      <c r="AA861" s="679"/>
      <c r="AB861" s="680"/>
    </row>
    <row r="862" spans="2:28" s="780" customFormat="1" hidden="1" x14ac:dyDescent="0.45">
      <c r="B862" s="1692"/>
      <c r="C862" s="1698" t="s">
        <v>331</v>
      </c>
      <c r="D862" s="125" t="s">
        <v>326</v>
      </c>
      <c r="E862" s="682"/>
      <c r="F862" s="682"/>
      <c r="G862" s="685"/>
      <c r="H862" s="682"/>
      <c r="I862" s="682"/>
      <c r="J862" s="682"/>
      <c r="K862" s="682"/>
      <c r="L862" s="682"/>
      <c r="M862" s="682"/>
      <c r="N862" s="682"/>
      <c r="O862" s="682"/>
      <c r="P862" s="682"/>
      <c r="Q862" s="682"/>
      <c r="R862" s="682"/>
      <c r="S862" s="682"/>
      <c r="T862" s="682"/>
      <c r="U862" s="682"/>
      <c r="V862" s="682"/>
      <c r="W862" s="682"/>
      <c r="X862" s="682"/>
      <c r="Y862" s="683"/>
      <c r="Z862" s="683"/>
      <c r="AA862" s="683"/>
      <c r="AB862" s="684"/>
    </row>
    <row r="863" spans="2:28" s="780" customFormat="1" hidden="1" x14ac:dyDescent="0.45">
      <c r="B863" s="1692"/>
      <c r="C863" s="1695"/>
      <c r="D863" s="124" t="s">
        <v>327</v>
      </c>
      <c r="E863" s="675"/>
      <c r="F863" s="675"/>
      <c r="G863" s="686"/>
      <c r="H863" s="675"/>
      <c r="I863" s="675"/>
      <c r="J863" s="675"/>
      <c r="K863" s="675"/>
      <c r="L863" s="675"/>
      <c r="M863" s="675"/>
      <c r="N863" s="675"/>
      <c r="O863" s="675"/>
      <c r="P863" s="675"/>
      <c r="Q863" s="675"/>
      <c r="R863" s="675"/>
      <c r="S863" s="675"/>
      <c r="T863" s="675"/>
      <c r="U863" s="675"/>
      <c r="V863" s="675"/>
      <c r="W863" s="675"/>
      <c r="X863" s="675"/>
      <c r="Y863" s="676"/>
      <c r="Z863" s="676"/>
      <c r="AA863" s="676"/>
      <c r="AB863" s="677"/>
    </row>
    <row r="864" spans="2:28" s="780" customFormat="1" hidden="1" x14ac:dyDescent="0.45">
      <c r="B864" s="1692"/>
      <c r="C864" s="1696" t="s">
        <v>332</v>
      </c>
      <c r="D864" s="122" t="s">
        <v>326</v>
      </c>
      <c r="E864" s="678"/>
      <c r="F864" s="678"/>
      <c r="G864" s="678"/>
      <c r="H864" s="678"/>
      <c r="I864" s="678"/>
      <c r="J864" s="678"/>
      <c r="K864" s="678"/>
      <c r="L864" s="678"/>
      <c r="M864" s="678"/>
      <c r="N864" s="678"/>
      <c r="O864" s="678"/>
      <c r="P864" s="678"/>
      <c r="Q864" s="678"/>
      <c r="R864" s="678"/>
      <c r="S864" s="678"/>
      <c r="T864" s="678"/>
      <c r="U864" s="678"/>
      <c r="V864" s="678"/>
      <c r="W864" s="679"/>
      <c r="X864" s="679"/>
      <c r="Y864" s="679"/>
      <c r="Z864" s="679"/>
      <c r="AA864" s="679"/>
      <c r="AB864" s="680"/>
    </row>
    <row r="865" spans="2:28" s="780" customFormat="1" hidden="1" x14ac:dyDescent="0.45">
      <c r="B865" s="1692"/>
      <c r="C865" s="1697"/>
      <c r="D865" s="122" t="s">
        <v>327</v>
      </c>
      <c r="E865" s="678"/>
      <c r="F865" s="678"/>
      <c r="G865" s="678"/>
      <c r="H865" s="678"/>
      <c r="I865" s="678"/>
      <c r="J865" s="678"/>
      <c r="K865" s="678"/>
      <c r="L865" s="678"/>
      <c r="M865" s="678"/>
      <c r="N865" s="678"/>
      <c r="O865" s="678"/>
      <c r="P865" s="678"/>
      <c r="Q865" s="678"/>
      <c r="R865" s="678"/>
      <c r="S865" s="678"/>
      <c r="T865" s="678"/>
      <c r="U865" s="678"/>
      <c r="V865" s="678"/>
      <c r="W865" s="678"/>
      <c r="X865" s="678"/>
      <c r="Y865" s="679"/>
      <c r="Z865" s="679"/>
      <c r="AA865" s="679"/>
      <c r="AB865" s="680"/>
    </row>
    <row r="866" spans="2:28" s="780" customFormat="1" hidden="1" x14ac:dyDescent="0.45">
      <c r="B866" s="1692"/>
      <c r="C866" s="1698" t="s">
        <v>333</v>
      </c>
      <c r="D866" s="124" t="s">
        <v>326</v>
      </c>
      <c r="E866" s="675"/>
      <c r="F866" s="675"/>
      <c r="G866" s="675"/>
      <c r="H866" s="675"/>
      <c r="I866" s="675"/>
      <c r="J866" s="675"/>
      <c r="K866" s="675"/>
      <c r="L866" s="675"/>
      <c r="M866" s="675"/>
      <c r="N866" s="675"/>
      <c r="O866" s="675"/>
      <c r="P866" s="675"/>
      <c r="Q866" s="675"/>
      <c r="R866" s="675"/>
      <c r="S866" s="675"/>
      <c r="T866" s="675"/>
      <c r="U866" s="675"/>
      <c r="V866" s="675"/>
      <c r="W866" s="676"/>
      <c r="X866" s="676"/>
      <c r="Y866" s="676"/>
      <c r="Z866" s="676"/>
      <c r="AA866" s="676"/>
      <c r="AB866" s="677"/>
    </row>
    <row r="867" spans="2:28" s="780" customFormat="1" hidden="1" x14ac:dyDescent="0.45">
      <c r="B867" s="1693"/>
      <c r="C867" s="1699"/>
      <c r="D867" s="126" t="s">
        <v>327</v>
      </c>
      <c r="E867" s="687"/>
      <c r="F867" s="687"/>
      <c r="G867" s="687"/>
      <c r="H867" s="687"/>
      <c r="I867" s="687"/>
      <c r="J867" s="687"/>
      <c r="K867" s="687"/>
      <c r="L867" s="687"/>
      <c r="M867" s="687"/>
      <c r="N867" s="687"/>
      <c r="O867" s="687"/>
      <c r="P867" s="687"/>
      <c r="Q867" s="687"/>
      <c r="R867" s="687"/>
      <c r="S867" s="687"/>
      <c r="T867" s="687"/>
      <c r="U867" s="687"/>
      <c r="V867" s="687"/>
      <c r="W867" s="687"/>
      <c r="X867" s="687"/>
      <c r="Y867" s="687"/>
      <c r="Z867" s="687"/>
      <c r="AA867" s="687"/>
      <c r="AB867" s="688"/>
    </row>
    <row r="868" spans="2:28" s="780" customFormat="1" hidden="1" x14ac:dyDescent="0.45"/>
    <row r="869" spans="2:28" s="780" customFormat="1" hidden="1" x14ac:dyDescent="0.45">
      <c r="B869" s="1688" t="s">
        <v>54</v>
      </c>
      <c r="C869" s="1689"/>
      <c r="D869" s="1690"/>
      <c r="E869" s="779"/>
      <c r="F869" s="779"/>
      <c r="G869" s="779"/>
      <c r="H869" s="779"/>
      <c r="I869" s="779"/>
      <c r="J869" s="779"/>
      <c r="K869" s="779"/>
      <c r="L869" s="779"/>
      <c r="M869" s="779"/>
      <c r="N869" s="779"/>
      <c r="O869" s="779"/>
      <c r="P869" s="779"/>
      <c r="Q869" s="779"/>
      <c r="R869" s="779"/>
      <c r="S869" s="779"/>
      <c r="T869" s="779"/>
      <c r="U869" s="779"/>
      <c r="V869" s="779"/>
      <c r="W869" s="779"/>
      <c r="X869" s="779"/>
      <c r="Y869" s="779"/>
      <c r="Z869" s="779"/>
      <c r="AA869" s="779"/>
      <c r="AB869" s="708"/>
    </row>
    <row r="870" spans="2:28" s="780" customFormat="1" ht="15" hidden="1" customHeight="1" x14ac:dyDescent="0.45">
      <c r="B870" s="1691" t="str">
        <f>CONCATENATE("Plan ", INDEX(plans_index,,(ROW(B870)-6)/16), ": ", INDEX(plans_name,,(ROW(B870)-6)/16))</f>
        <v xml:space="preserve">Plan 54: </v>
      </c>
      <c r="C870" s="1694" t="s">
        <v>325</v>
      </c>
      <c r="D870" s="123" t="s">
        <v>326</v>
      </c>
      <c r="E870" s="672"/>
      <c r="F870" s="672"/>
      <c r="G870" s="672"/>
      <c r="H870" s="673"/>
      <c r="I870" s="672"/>
      <c r="J870" s="672"/>
      <c r="K870" s="672"/>
      <c r="L870" s="672"/>
      <c r="M870" s="672"/>
      <c r="N870" s="672"/>
      <c r="O870" s="672"/>
      <c r="P870" s="672"/>
      <c r="Q870" s="672"/>
      <c r="R870" s="672"/>
      <c r="S870" s="672"/>
      <c r="T870" s="672"/>
      <c r="U870" s="672"/>
      <c r="V870" s="672"/>
      <c r="W870" s="672"/>
      <c r="X870" s="672"/>
      <c r="Y870" s="672"/>
      <c r="Z870" s="672"/>
      <c r="AA870" s="672"/>
      <c r="AB870" s="674"/>
    </row>
    <row r="871" spans="2:28" s="780" customFormat="1" hidden="1" x14ac:dyDescent="0.45">
      <c r="B871" s="1692"/>
      <c r="C871" s="1695"/>
      <c r="D871" s="124" t="s">
        <v>327</v>
      </c>
      <c r="E871" s="675"/>
      <c r="F871" s="675"/>
      <c r="G871" s="675"/>
      <c r="H871" s="675"/>
      <c r="I871" s="675"/>
      <c r="J871" s="675"/>
      <c r="K871" s="675"/>
      <c r="L871" s="675"/>
      <c r="M871" s="675"/>
      <c r="N871" s="675"/>
      <c r="O871" s="675"/>
      <c r="P871" s="675"/>
      <c r="Q871" s="675"/>
      <c r="R871" s="675"/>
      <c r="S871" s="675"/>
      <c r="T871" s="675"/>
      <c r="U871" s="675"/>
      <c r="V871" s="675"/>
      <c r="W871" s="675"/>
      <c r="X871" s="675"/>
      <c r="Y871" s="676"/>
      <c r="Z871" s="676"/>
      <c r="AA871" s="676"/>
      <c r="AB871" s="677"/>
    </row>
    <row r="872" spans="2:28" s="780" customFormat="1" hidden="1" x14ac:dyDescent="0.45">
      <c r="B872" s="1692"/>
      <c r="C872" s="1696" t="s">
        <v>328</v>
      </c>
      <c r="D872" s="122" t="s">
        <v>326</v>
      </c>
      <c r="E872" s="678"/>
      <c r="F872" s="678"/>
      <c r="G872" s="678"/>
      <c r="H872" s="678"/>
      <c r="I872" s="678"/>
      <c r="J872" s="678"/>
      <c r="K872" s="678"/>
      <c r="L872" s="678"/>
      <c r="M872" s="678"/>
      <c r="N872" s="678"/>
      <c r="O872" s="678"/>
      <c r="P872" s="678"/>
      <c r="Q872" s="678"/>
      <c r="R872" s="678"/>
      <c r="S872" s="678"/>
      <c r="T872" s="678"/>
      <c r="U872" s="678"/>
      <c r="V872" s="678"/>
      <c r="W872" s="678"/>
      <c r="X872" s="678"/>
      <c r="Y872" s="679"/>
      <c r="Z872" s="679"/>
      <c r="AA872" s="679"/>
      <c r="AB872" s="680"/>
    </row>
    <row r="873" spans="2:28" s="780" customFormat="1" hidden="1" x14ac:dyDescent="0.45">
      <c r="B873" s="1692"/>
      <c r="C873" s="1697"/>
      <c r="D873" s="122" t="s">
        <v>327</v>
      </c>
      <c r="E873" s="678"/>
      <c r="F873" s="678"/>
      <c r="G873" s="678"/>
      <c r="H873" s="678"/>
      <c r="I873" s="678"/>
      <c r="J873" s="678"/>
      <c r="K873" s="678"/>
      <c r="L873" s="678"/>
      <c r="M873" s="678"/>
      <c r="N873" s="678"/>
      <c r="O873" s="678"/>
      <c r="P873" s="678"/>
      <c r="Q873" s="678"/>
      <c r="R873" s="678"/>
      <c r="S873" s="678"/>
      <c r="T873" s="678"/>
      <c r="U873" s="678"/>
      <c r="V873" s="678"/>
      <c r="W873" s="678"/>
      <c r="X873" s="681"/>
      <c r="Y873" s="679"/>
      <c r="Z873" s="679"/>
      <c r="AA873" s="679"/>
      <c r="AB873" s="680"/>
    </row>
    <row r="874" spans="2:28" s="780" customFormat="1" hidden="1" x14ac:dyDescent="0.45">
      <c r="B874" s="1692"/>
      <c r="C874" s="1698" t="s">
        <v>329</v>
      </c>
      <c r="D874" s="125" t="s">
        <v>326</v>
      </c>
      <c r="E874" s="682"/>
      <c r="F874" s="682"/>
      <c r="G874" s="682"/>
      <c r="H874" s="682"/>
      <c r="I874" s="682"/>
      <c r="J874" s="682"/>
      <c r="K874" s="682"/>
      <c r="L874" s="682"/>
      <c r="M874" s="682"/>
      <c r="N874" s="682"/>
      <c r="O874" s="682"/>
      <c r="P874" s="682"/>
      <c r="Q874" s="682"/>
      <c r="R874" s="682"/>
      <c r="S874" s="682"/>
      <c r="T874" s="682"/>
      <c r="U874" s="682"/>
      <c r="V874" s="682"/>
      <c r="W874" s="682"/>
      <c r="X874" s="682"/>
      <c r="Y874" s="683"/>
      <c r="Z874" s="683"/>
      <c r="AA874" s="683"/>
      <c r="AB874" s="684"/>
    </row>
    <row r="875" spans="2:28" s="780" customFormat="1" hidden="1" x14ac:dyDescent="0.45">
      <c r="B875" s="1692"/>
      <c r="C875" s="1695"/>
      <c r="D875" s="124" t="s">
        <v>327</v>
      </c>
      <c r="E875" s="675"/>
      <c r="F875" s="675"/>
      <c r="G875" s="675"/>
      <c r="H875" s="675"/>
      <c r="I875" s="675"/>
      <c r="J875" s="675"/>
      <c r="K875" s="675"/>
      <c r="L875" s="675"/>
      <c r="M875" s="675"/>
      <c r="N875" s="675"/>
      <c r="O875" s="675"/>
      <c r="P875" s="675"/>
      <c r="Q875" s="675"/>
      <c r="R875" s="675"/>
      <c r="S875" s="675"/>
      <c r="T875" s="675"/>
      <c r="U875" s="675"/>
      <c r="V875" s="675"/>
      <c r="W875" s="675"/>
      <c r="X875" s="675"/>
      <c r="Y875" s="676"/>
      <c r="Z875" s="676"/>
      <c r="AA875" s="676"/>
      <c r="AB875" s="677"/>
    </row>
    <row r="876" spans="2:28" s="780" customFormat="1" hidden="1" x14ac:dyDescent="0.45">
      <c r="B876" s="1692"/>
      <c r="C876" s="1696" t="s">
        <v>330</v>
      </c>
      <c r="D876" s="122" t="s">
        <v>326</v>
      </c>
      <c r="E876" s="678"/>
      <c r="F876" s="678"/>
      <c r="G876" s="678"/>
      <c r="H876" s="678"/>
      <c r="I876" s="678"/>
      <c r="J876" s="678"/>
      <c r="K876" s="678"/>
      <c r="L876" s="678"/>
      <c r="M876" s="678"/>
      <c r="N876" s="678"/>
      <c r="O876" s="678"/>
      <c r="P876" s="678"/>
      <c r="Q876" s="678"/>
      <c r="R876" s="678"/>
      <c r="S876" s="678"/>
      <c r="T876" s="678"/>
      <c r="U876" s="678"/>
      <c r="V876" s="678"/>
      <c r="W876" s="678"/>
      <c r="X876" s="678"/>
      <c r="Y876" s="679"/>
      <c r="Z876" s="679"/>
      <c r="AA876" s="679"/>
      <c r="AB876" s="680"/>
    </row>
    <row r="877" spans="2:28" s="780" customFormat="1" hidden="1" x14ac:dyDescent="0.45">
      <c r="B877" s="1692"/>
      <c r="C877" s="1697"/>
      <c r="D877" s="122" t="s">
        <v>327</v>
      </c>
      <c r="E877" s="678"/>
      <c r="F877" s="678"/>
      <c r="G877" s="678"/>
      <c r="H877" s="678"/>
      <c r="I877" s="678"/>
      <c r="J877" s="678"/>
      <c r="K877" s="678"/>
      <c r="L877" s="678"/>
      <c r="M877" s="678"/>
      <c r="N877" s="678"/>
      <c r="O877" s="678"/>
      <c r="P877" s="678"/>
      <c r="Q877" s="678"/>
      <c r="R877" s="678"/>
      <c r="S877" s="678"/>
      <c r="T877" s="678"/>
      <c r="U877" s="678"/>
      <c r="V877" s="678"/>
      <c r="W877" s="678"/>
      <c r="X877" s="681"/>
      <c r="Y877" s="679"/>
      <c r="Z877" s="679"/>
      <c r="AA877" s="679"/>
      <c r="AB877" s="680"/>
    </row>
    <row r="878" spans="2:28" s="780" customFormat="1" hidden="1" x14ac:dyDescent="0.45">
      <c r="B878" s="1692"/>
      <c r="C878" s="1698" t="s">
        <v>331</v>
      </c>
      <c r="D878" s="125" t="s">
        <v>326</v>
      </c>
      <c r="E878" s="682"/>
      <c r="F878" s="682"/>
      <c r="G878" s="685"/>
      <c r="H878" s="682"/>
      <c r="I878" s="682"/>
      <c r="J878" s="682"/>
      <c r="K878" s="682"/>
      <c r="L878" s="682"/>
      <c r="M878" s="682"/>
      <c r="N878" s="682"/>
      <c r="O878" s="682"/>
      <c r="P878" s="682"/>
      <c r="Q878" s="682"/>
      <c r="R878" s="682"/>
      <c r="S878" s="682"/>
      <c r="T878" s="682"/>
      <c r="U878" s="682"/>
      <c r="V878" s="682"/>
      <c r="W878" s="682"/>
      <c r="X878" s="682"/>
      <c r="Y878" s="683"/>
      <c r="Z878" s="683"/>
      <c r="AA878" s="683"/>
      <c r="AB878" s="684"/>
    </row>
    <row r="879" spans="2:28" s="780" customFormat="1" hidden="1" x14ac:dyDescent="0.45">
      <c r="B879" s="1692"/>
      <c r="C879" s="1695"/>
      <c r="D879" s="124" t="s">
        <v>327</v>
      </c>
      <c r="E879" s="675"/>
      <c r="F879" s="675"/>
      <c r="G879" s="686"/>
      <c r="H879" s="675"/>
      <c r="I879" s="675"/>
      <c r="J879" s="675"/>
      <c r="K879" s="675"/>
      <c r="L879" s="675"/>
      <c r="M879" s="675"/>
      <c r="N879" s="675"/>
      <c r="O879" s="675"/>
      <c r="P879" s="675"/>
      <c r="Q879" s="675"/>
      <c r="R879" s="675"/>
      <c r="S879" s="675"/>
      <c r="T879" s="675"/>
      <c r="U879" s="675"/>
      <c r="V879" s="675"/>
      <c r="W879" s="675"/>
      <c r="X879" s="675"/>
      <c r="Y879" s="676"/>
      <c r="Z879" s="676"/>
      <c r="AA879" s="676"/>
      <c r="AB879" s="677"/>
    </row>
    <row r="880" spans="2:28" s="780" customFormat="1" hidden="1" x14ac:dyDescent="0.45">
      <c r="B880" s="1692"/>
      <c r="C880" s="1696" t="s">
        <v>332</v>
      </c>
      <c r="D880" s="122" t="s">
        <v>326</v>
      </c>
      <c r="E880" s="678"/>
      <c r="F880" s="678"/>
      <c r="G880" s="678"/>
      <c r="H880" s="678"/>
      <c r="I880" s="678"/>
      <c r="J880" s="678"/>
      <c r="K880" s="678"/>
      <c r="L880" s="678"/>
      <c r="M880" s="678"/>
      <c r="N880" s="678"/>
      <c r="O880" s="678"/>
      <c r="P880" s="678"/>
      <c r="Q880" s="678"/>
      <c r="R880" s="678"/>
      <c r="S880" s="678"/>
      <c r="T880" s="678"/>
      <c r="U880" s="678"/>
      <c r="V880" s="678"/>
      <c r="W880" s="679"/>
      <c r="X880" s="679"/>
      <c r="Y880" s="679"/>
      <c r="Z880" s="679"/>
      <c r="AA880" s="679"/>
      <c r="AB880" s="680"/>
    </row>
    <row r="881" spans="2:28" s="780" customFormat="1" hidden="1" x14ac:dyDescent="0.45">
      <c r="B881" s="1692"/>
      <c r="C881" s="1697"/>
      <c r="D881" s="122" t="s">
        <v>327</v>
      </c>
      <c r="E881" s="678"/>
      <c r="F881" s="678"/>
      <c r="G881" s="678"/>
      <c r="H881" s="678"/>
      <c r="I881" s="678"/>
      <c r="J881" s="678"/>
      <c r="K881" s="678"/>
      <c r="L881" s="678"/>
      <c r="M881" s="678"/>
      <c r="N881" s="678"/>
      <c r="O881" s="678"/>
      <c r="P881" s="678"/>
      <c r="Q881" s="678"/>
      <c r="R881" s="678"/>
      <c r="S881" s="678"/>
      <c r="T881" s="678"/>
      <c r="U881" s="678"/>
      <c r="V881" s="678"/>
      <c r="W881" s="678"/>
      <c r="X881" s="678"/>
      <c r="Y881" s="679"/>
      <c r="Z881" s="679"/>
      <c r="AA881" s="679"/>
      <c r="AB881" s="680"/>
    </row>
    <row r="882" spans="2:28" s="780" customFormat="1" hidden="1" x14ac:dyDescent="0.45">
      <c r="B882" s="1692"/>
      <c r="C882" s="1698" t="s">
        <v>333</v>
      </c>
      <c r="D882" s="124" t="s">
        <v>326</v>
      </c>
      <c r="E882" s="675"/>
      <c r="F882" s="675"/>
      <c r="G882" s="675"/>
      <c r="H882" s="675"/>
      <c r="I882" s="675"/>
      <c r="J882" s="675"/>
      <c r="K882" s="675"/>
      <c r="L882" s="675"/>
      <c r="M882" s="675"/>
      <c r="N882" s="675"/>
      <c r="O882" s="675"/>
      <c r="P882" s="675"/>
      <c r="Q882" s="675"/>
      <c r="R882" s="675"/>
      <c r="S882" s="675"/>
      <c r="T882" s="675"/>
      <c r="U882" s="675"/>
      <c r="V882" s="675"/>
      <c r="W882" s="676"/>
      <c r="X882" s="676"/>
      <c r="Y882" s="676"/>
      <c r="Z882" s="676"/>
      <c r="AA882" s="676"/>
      <c r="AB882" s="677"/>
    </row>
    <row r="883" spans="2:28" s="780" customFormat="1" hidden="1" x14ac:dyDescent="0.45">
      <c r="B883" s="1693"/>
      <c r="C883" s="1699"/>
      <c r="D883" s="126" t="s">
        <v>327</v>
      </c>
      <c r="E883" s="687"/>
      <c r="F883" s="687"/>
      <c r="G883" s="687"/>
      <c r="H883" s="687"/>
      <c r="I883" s="687"/>
      <c r="J883" s="687"/>
      <c r="K883" s="687"/>
      <c r="L883" s="687"/>
      <c r="M883" s="687"/>
      <c r="N883" s="687"/>
      <c r="O883" s="687"/>
      <c r="P883" s="687"/>
      <c r="Q883" s="687"/>
      <c r="R883" s="687"/>
      <c r="S883" s="687"/>
      <c r="T883" s="687"/>
      <c r="U883" s="687"/>
      <c r="V883" s="687"/>
      <c r="W883" s="687"/>
      <c r="X883" s="687"/>
      <c r="Y883" s="687"/>
      <c r="Z883" s="687"/>
      <c r="AA883" s="687"/>
      <c r="AB883" s="688"/>
    </row>
    <row r="884" spans="2:28" s="780" customFormat="1" hidden="1" x14ac:dyDescent="0.45"/>
    <row r="885" spans="2:28" s="780" customFormat="1" hidden="1" x14ac:dyDescent="0.45">
      <c r="B885" s="1688" t="s">
        <v>54</v>
      </c>
      <c r="C885" s="1689"/>
      <c r="D885" s="1690"/>
      <c r="E885" s="779"/>
      <c r="F885" s="779"/>
      <c r="G885" s="779"/>
      <c r="H885" s="779"/>
      <c r="I885" s="779"/>
      <c r="J885" s="779"/>
      <c r="K885" s="779"/>
      <c r="L885" s="779"/>
      <c r="M885" s="779"/>
      <c r="N885" s="779"/>
      <c r="O885" s="779"/>
      <c r="P885" s="779"/>
      <c r="Q885" s="779"/>
      <c r="R885" s="779"/>
      <c r="S885" s="779"/>
      <c r="T885" s="779"/>
      <c r="U885" s="779"/>
      <c r="V885" s="779"/>
      <c r="W885" s="779"/>
      <c r="X885" s="779"/>
      <c r="Y885" s="779"/>
      <c r="Z885" s="779"/>
      <c r="AA885" s="779"/>
      <c r="AB885" s="708"/>
    </row>
    <row r="886" spans="2:28" s="780" customFormat="1" ht="15" hidden="1" customHeight="1" x14ac:dyDescent="0.45">
      <c r="B886" s="1691" t="str">
        <f>CONCATENATE("Plan ", INDEX(plans_index,,(ROW(B886)-6)/16), ": ", INDEX(plans_name,,(ROW(B886)-6)/16))</f>
        <v xml:space="preserve">Plan 55: </v>
      </c>
      <c r="C886" s="1694" t="s">
        <v>325</v>
      </c>
      <c r="D886" s="123" t="s">
        <v>326</v>
      </c>
      <c r="E886" s="672"/>
      <c r="F886" s="672"/>
      <c r="G886" s="672"/>
      <c r="H886" s="673"/>
      <c r="I886" s="672"/>
      <c r="J886" s="672"/>
      <c r="K886" s="672"/>
      <c r="L886" s="672"/>
      <c r="M886" s="672"/>
      <c r="N886" s="672"/>
      <c r="O886" s="672"/>
      <c r="P886" s="672"/>
      <c r="Q886" s="672"/>
      <c r="R886" s="672"/>
      <c r="S886" s="672"/>
      <c r="T886" s="672"/>
      <c r="U886" s="672"/>
      <c r="V886" s="672"/>
      <c r="W886" s="672"/>
      <c r="X886" s="672"/>
      <c r="Y886" s="672"/>
      <c r="Z886" s="672"/>
      <c r="AA886" s="672"/>
      <c r="AB886" s="674"/>
    </row>
    <row r="887" spans="2:28" s="780" customFormat="1" hidden="1" x14ac:dyDescent="0.45">
      <c r="B887" s="1692"/>
      <c r="C887" s="1695"/>
      <c r="D887" s="124" t="s">
        <v>327</v>
      </c>
      <c r="E887" s="675"/>
      <c r="F887" s="675"/>
      <c r="G887" s="675"/>
      <c r="H887" s="675"/>
      <c r="I887" s="675"/>
      <c r="J887" s="675"/>
      <c r="K887" s="675"/>
      <c r="L887" s="675"/>
      <c r="M887" s="675"/>
      <c r="N887" s="675"/>
      <c r="O887" s="675"/>
      <c r="P887" s="675"/>
      <c r="Q887" s="675"/>
      <c r="R887" s="675"/>
      <c r="S887" s="675"/>
      <c r="T887" s="675"/>
      <c r="U887" s="675"/>
      <c r="V887" s="675"/>
      <c r="W887" s="675"/>
      <c r="X887" s="675"/>
      <c r="Y887" s="676"/>
      <c r="Z887" s="676"/>
      <c r="AA887" s="676"/>
      <c r="AB887" s="677"/>
    </row>
    <row r="888" spans="2:28" s="780" customFormat="1" hidden="1" x14ac:dyDescent="0.45">
      <c r="B888" s="1692"/>
      <c r="C888" s="1696" t="s">
        <v>328</v>
      </c>
      <c r="D888" s="122" t="s">
        <v>326</v>
      </c>
      <c r="E888" s="678"/>
      <c r="F888" s="678"/>
      <c r="G888" s="678"/>
      <c r="H888" s="678"/>
      <c r="I888" s="678"/>
      <c r="J888" s="678"/>
      <c r="K888" s="678"/>
      <c r="L888" s="678"/>
      <c r="M888" s="678"/>
      <c r="N888" s="678"/>
      <c r="O888" s="678"/>
      <c r="P888" s="678"/>
      <c r="Q888" s="678"/>
      <c r="R888" s="678"/>
      <c r="S888" s="678"/>
      <c r="T888" s="678"/>
      <c r="U888" s="678"/>
      <c r="V888" s="678"/>
      <c r="W888" s="678"/>
      <c r="X888" s="678"/>
      <c r="Y888" s="679"/>
      <c r="Z888" s="679"/>
      <c r="AA888" s="679"/>
      <c r="AB888" s="680"/>
    </row>
    <row r="889" spans="2:28" s="780" customFormat="1" hidden="1" x14ac:dyDescent="0.45">
      <c r="B889" s="1692"/>
      <c r="C889" s="1697"/>
      <c r="D889" s="122" t="s">
        <v>327</v>
      </c>
      <c r="E889" s="678"/>
      <c r="F889" s="678"/>
      <c r="G889" s="678"/>
      <c r="H889" s="678"/>
      <c r="I889" s="678"/>
      <c r="J889" s="678"/>
      <c r="K889" s="678"/>
      <c r="L889" s="678"/>
      <c r="M889" s="678"/>
      <c r="N889" s="678"/>
      <c r="O889" s="678"/>
      <c r="P889" s="678"/>
      <c r="Q889" s="678"/>
      <c r="R889" s="678"/>
      <c r="S889" s="678"/>
      <c r="T889" s="678"/>
      <c r="U889" s="678"/>
      <c r="V889" s="678"/>
      <c r="W889" s="678"/>
      <c r="X889" s="681"/>
      <c r="Y889" s="679"/>
      <c r="Z889" s="679"/>
      <c r="AA889" s="679"/>
      <c r="AB889" s="680"/>
    </row>
    <row r="890" spans="2:28" s="780" customFormat="1" hidden="1" x14ac:dyDescent="0.45">
      <c r="B890" s="1692"/>
      <c r="C890" s="1698" t="s">
        <v>329</v>
      </c>
      <c r="D890" s="125" t="s">
        <v>326</v>
      </c>
      <c r="E890" s="682"/>
      <c r="F890" s="682"/>
      <c r="G890" s="682"/>
      <c r="H890" s="682"/>
      <c r="I890" s="682"/>
      <c r="J890" s="682"/>
      <c r="K890" s="682"/>
      <c r="L890" s="682"/>
      <c r="M890" s="682"/>
      <c r="N890" s="682"/>
      <c r="O890" s="682"/>
      <c r="P890" s="682"/>
      <c r="Q890" s="682"/>
      <c r="R890" s="682"/>
      <c r="S890" s="682"/>
      <c r="T890" s="682"/>
      <c r="U890" s="682"/>
      <c r="V890" s="682"/>
      <c r="W890" s="682"/>
      <c r="X890" s="682"/>
      <c r="Y890" s="683"/>
      <c r="Z890" s="683"/>
      <c r="AA890" s="683"/>
      <c r="AB890" s="684"/>
    </row>
    <row r="891" spans="2:28" s="780" customFormat="1" hidden="1" x14ac:dyDescent="0.45">
      <c r="B891" s="1692"/>
      <c r="C891" s="1695"/>
      <c r="D891" s="124" t="s">
        <v>327</v>
      </c>
      <c r="E891" s="675"/>
      <c r="F891" s="675"/>
      <c r="G891" s="675"/>
      <c r="H891" s="675"/>
      <c r="I891" s="675"/>
      <c r="J891" s="675"/>
      <c r="K891" s="675"/>
      <c r="L891" s="675"/>
      <c r="M891" s="675"/>
      <c r="N891" s="675"/>
      <c r="O891" s="675"/>
      <c r="P891" s="675"/>
      <c r="Q891" s="675"/>
      <c r="R891" s="675"/>
      <c r="S891" s="675"/>
      <c r="T891" s="675"/>
      <c r="U891" s="675"/>
      <c r="V891" s="675"/>
      <c r="W891" s="675"/>
      <c r="X891" s="675"/>
      <c r="Y891" s="676"/>
      <c r="Z891" s="676"/>
      <c r="AA891" s="676"/>
      <c r="AB891" s="677"/>
    </row>
    <row r="892" spans="2:28" s="780" customFormat="1" hidden="1" x14ac:dyDescent="0.45">
      <c r="B892" s="1692"/>
      <c r="C892" s="1696" t="s">
        <v>330</v>
      </c>
      <c r="D892" s="122" t="s">
        <v>326</v>
      </c>
      <c r="E892" s="678"/>
      <c r="F892" s="678"/>
      <c r="G892" s="678"/>
      <c r="H892" s="678"/>
      <c r="I892" s="678"/>
      <c r="J892" s="678"/>
      <c r="K892" s="678"/>
      <c r="L892" s="678"/>
      <c r="M892" s="678"/>
      <c r="N892" s="678"/>
      <c r="O892" s="678"/>
      <c r="P892" s="678"/>
      <c r="Q892" s="678"/>
      <c r="R892" s="678"/>
      <c r="S892" s="678"/>
      <c r="T892" s="678"/>
      <c r="U892" s="678"/>
      <c r="V892" s="678"/>
      <c r="W892" s="678"/>
      <c r="X892" s="678"/>
      <c r="Y892" s="679"/>
      <c r="Z892" s="679"/>
      <c r="AA892" s="679"/>
      <c r="AB892" s="680"/>
    </row>
    <row r="893" spans="2:28" s="780" customFormat="1" hidden="1" x14ac:dyDescent="0.45">
      <c r="B893" s="1692"/>
      <c r="C893" s="1697"/>
      <c r="D893" s="122" t="s">
        <v>327</v>
      </c>
      <c r="E893" s="678"/>
      <c r="F893" s="678"/>
      <c r="G893" s="678"/>
      <c r="H893" s="678"/>
      <c r="I893" s="678"/>
      <c r="J893" s="678"/>
      <c r="K893" s="678"/>
      <c r="L893" s="678"/>
      <c r="M893" s="678"/>
      <c r="N893" s="678"/>
      <c r="O893" s="678"/>
      <c r="P893" s="678"/>
      <c r="Q893" s="678"/>
      <c r="R893" s="678"/>
      <c r="S893" s="678"/>
      <c r="T893" s="678"/>
      <c r="U893" s="678"/>
      <c r="V893" s="678"/>
      <c r="W893" s="678"/>
      <c r="X893" s="681"/>
      <c r="Y893" s="679"/>
      <c r="Z893" s="679"/>
      <c r="AA893" s="679"/>
      <c r="AB893" s="680"/>
    </row>
    <row r="894" spans="2:28" s="780" customFormat="1" hidden="1" x14ac:dyDescent="0.45">
      <c r="B894" s="1692"/>
      <c r="C894" s="1698" t="s">
        <v>331</v>
      </c>
      <c r="D894" s="125" t="s">
        <v>326</v>
      </c>
      <c r="E894" s="682"/>
      <c r="F894" s="682"/>
      <c r="G894" s="685"/>
      <c r="H894" s="682"/>
      <c r="I894" s="682"/>
      <c r="J894" s="682"/>
      <c r="K894" s="682"/>
      <c r="L894" s="682"/>
      <c r="M894" s="682"/>
      <c r="N894" s="682"/>
      <c r="O894" s="682"/>
      <c r="P894" s="682"/>
      <c r="Q894" s="682"/>
      <c r="R894" s="682"/>
      <c r="S894" s="682"/>
      <c r="T894" s="682"/>
      <c r="U894" s="682"/>
      <c r="V894" s="682"/>
      <c r="W894" s="682"/>
      <c r="X894" s="682"/>
      <c r="Y894" s="683"/>
      <c r="Z894" s="683"/>
      <c r="AA894" s="683"/>
      <c r="AB894" s="684"/>
    </row>
    <row r="895" spans="2:28" s="780" customFormat="1" hidden="1" x14ac:dyDescent="0.45">
      <c r="B895" s="1692"/>
      <c r="C895" s="1695"/>
      <c r="D895" s="124" t="s">
        <v>327</v>
      </c>
      <c r="E895" s="675"/>
      <c r="F895" s="675"/>
      <c r="G895" s="686"/>
      <c r="H895" s="675"/>
      <c r="I895" s="675"/>
      <c r="J895" s="675"/>
      <c r="K895" s="675"/>
      <c r="L895" s="675"/>
      <c r="M895" s="675"/>
      <c r="N895" s="675"/>
      <c r="O895" s="675"/>
      <c r="P895" s="675"/>
      <c r="Q895" s="675"/>
      <c r="R895" s="675"/>
      <c r="S895" s="675"/>
      <c r="T895" s="675"/>
      <c r="U895" s="675"/>
      <c r="V895" s="675"/>
      <c r="W895" s="675"/>
      <c r="X895" s="675"/>
      <c r="Y895" s="676"/>
      <c r="Z895" s="676"/>
      <c r="AA895" s="676"/>
      <c r="AB895" s="677"/>
    </row>
    <row r="896" spans="2:28" s="780" customFormat="1" hidden="1" x14ac:dyDescent="0.45">
      <c r="B896" s="1692"/>
      <c r="C896" s="1696" t="s">
        <v>332</v>
      </c>
      <c r="D896" s="122" t="s">
        <v>326</v>
      </c>
      <c r="E896" s="678"/>
      <c r="F896" s="678"/>
      <c r="G896" s="678"/>
      <c r="H896" s="678"/>
      <c r="I896" s="678"/>
      <c r="J896" s="678"/>
      <c r="K896" s="678"/>
      <c r="L896" s="678"/>
      <c r="M896" s="678"/>
      <c r="N896" s="678"/>
      <c r="O896" s="678"/>
      <c r="P896" s="678"/>
      <c r="Q896" s="678"/>
      <c r="R896" s="678"/>
      <c r="S896" s="678"/>
      <c r="T896" s="678"/>
      <c r="U896" s="678"/>
      <c r="V896" s="678"/>
      <c r="W896" s="679"/>
      <c r="X896" s="679"/>
      <c r="Y896" s="679"/>
      <c r="Z896" s="679"/>
      <c r="AA896" s="679"/>
      <c r="AB896" s="680"/>
    </row>
    <row r="897" spans="2:28" s="780" customFormat="1" hidden="1" x14ac:dyDescent="0.45">
      <c r="B897" s="1692"/>
      <c r="C897" s="1697"/>
      <c r="D897" s="122" t="s">
        <v>327</v>
      </c>
      <c r="E897" s="678"/>
      <c r="F897" s="678"/>
      <c r="G897" s="678"/>
      <c r="H897" s="678"/>
      <c r="I897" s="678"/>
      <c r="J897" s="678"/>
      <c r="K897" s="678"/>
      <c r="L897" s="678"/>
      <c r="M897" s="678"/>
      <c r="N897" s="678"/>
      <c r="O897" s="678"/>
      <c r="P897" s="678"/>
      <c r="Q897" s="678"/>
      <c r="R897" s="678"/>
      <c r="S897" s="678"/>
      <c r="T897" s="678"/>
      <c r="U897" s="678"/>
      <c r="V897" s="678"/>
      <c r="W897" s="678"/>
      <c r="X897" s="678"/>
      <c r="Y897" s="679"/>
      <c r="Z897" s="679"/>
      <c r="AA897" s="679"/>
      <c r="AB897" s="680"/>
    </row>
    <row r="898" spans="2:28" s="780" customFormat="1" hidden="1" x14ac:dyDescent="0.45">
      <c r="B898" s="1692"/>
      <c r="C898" s="1698" t="s">
        <v>333</v>
      </c>
      <c r="D898" s="124" t="s">
        <v>326</v>
      </c>
      <c r="E898" s="675"/>
      <c r="F898" s="675"/>
      <c r="G898" s="675"/>
      <c r="H898" s="675"/>
      <c r="I898" s="675"/>
      <c r="J898" s="675"/>
      <c r="K898" s="675"/>
      <c r="L898" s="675"/>
      <c r="M898" s="675"/>
      <c r="N898" s="675"/>
      <c r="O898" s="675"/>
      <c r="P898" s="675"/>
      <c r="Q898" s="675"/>
      <c r="R898" s="675"/>
      <c r="S898" s="675"/>
      <c r="T898" s="675"/>
      <c r="U898" s="675"/>
      <c r="V898" s="675"/>
      <c r="W898" s="676"/>
      <c r="X898" s="676"/>
      <c r="Y898" s="676"/>
      <c r="Z898" s="676"/>
      <c r="AA898" s="676"/>
      <c r="AB898" s="677"/>
    </row>
    <row r="899" spans="2:28" s="780" customFormat="1" hidden="1" x14ac:dyDescent="0.45">
      <c r="B899" s="1693"/>
      <c r="C899" s="1699"/>
      <c r="D899" s="126" t="s">
        <v>327</v>
      </c>
      <c r="E899" s="687"/>
      <c r="F899" s="687"/>
      <c r="G899" s="687"/>
      <c r="H899" s="687"/>
      <c r="I899" s="687"/>
      <c r="J899" s="687"/>
      <c r="K899" s="687"/>
      <c r="L899" s="687"/>
      <c r="M899" s="687"/>
      <c r="N899" s="687"/>
      <c r="O899" s="687"/>
      <c r="P899" s="687"/>
      <c r="Q899" s="687"/>
      <c r="R899" s="687"/>
      <c r="S899" s="687"/>
      <c r="T899" s="687"/>
      <c r="U899" s="687"/>
      <c r="V899" s="687"/>
      <c r="W899" s="687"/>
      <c r="X899" s="687"/>
      <c r="Y899" s="687"/>
      <c r="Z899" s="687"/>
      <c r="AA899" s="687"/>
      <c r="AB899" s="688"/>
    </row>
    <row r="900" spans="2:28" s="780" customFormat="1" hidden="1" x14ac:dyDescent="0.45"/>
    <row r="901" spans="2:28" s="780" customFormat="1" hidden="1" x14ac:dyDescent="0.45">
      <c r="B901" s="1688" t="s">
        <v>54</v>
      </c>
      <c r="C901" s="1689"/>
      <c r="D901" s="1690"/>
      <c r="E901" s="779"/>
      <c r="F901" s="779"/>
      <c r="G901" s="779"/>
      <c r="H901" s="779"/>
      <c r="I901" s="779"/>
      <c r="J901" s="779"/>
      <c r="K901" s="779"/>
      <c r="L901" s="779"/>
      <c r="M901" s="779"/>
      <c r="N901" s="779"/>
      <c r="O901" s="779"/>
      <c r="P901" s="779"/>
      <c r="Q901" s="779"/>
      <c r="R901" s="779"/>
      <c r="S901" s="779"/>
      <c r="T901" s="779"/>
      <c r="U901" s="779"/>
      <c r="V901" s="779"/>
      <c r="W901" s="779"/>
      <c r="X901" s="779"/>
      <c r="Y901" s="779"/>
      <c r="Z901" s="779"/>
      <c r="AA901" s="779"/>
      <c r="AB901" s="708"/>
    </row>
    <row r="902" spans="2:28" s="780" customFormat="1" ht="15" hidden="1" customHeight="1" x14ac:dyDescent="0.45">
      <c r="B902" s="1691" t="str">
        <f>CONCATENATE("Plan ", INDEX(plans_index,,(ROW(B902)-6)/16), ": ", INDEX(plans_name,,(ROW(B902)-6)/16))</f>
        <v xml:space="preserve">Plan 56: </v>
      </c>
      <c r="C902" s="1694" t="s">
        <v>325</v>
      </c>
      <c r="D902" s="123" t="s">
        <v>326</v>
      </c>
      <c r="E902" s="672"/>
      <c r="F902" s="672"/>
      <c r="G902" s="672"/>
      <c r="H902" s="673"/>
      <c r="I902" s="672"/>
      <c r="J902" s="672"/>
      <c r="K902" s="672"/>
      <c r="L902" s="672"/>
      <c r="M902" s="672"/>
      <c r="N902" s="672"/>
      <c r="O902" s="672"/>
      <c r="P902" s="672"/>
      <c r="Q902" s="672"/>
      <c r="R902" s="672"/>
      <c r="S902" s="672"/>
      <c r="T902" s="672"/>
      <c r="U902" s="672"/>
      <c r="V902" s="672"/>
      <c r="W902" s="672"/>
      <c r="X902" s="672"/>
      <c r="Y902" s="672"/>
      <c r="Z902" s="672"/>
      <c r="AA902" s="672"/>
      <c r="AB902" s="674"/>
    </row>
    <row r="903" spans="2:28" s="780" customFormat="1" hidden="1" x14ac:dyDescent="0.45">
      <c r="B903" s="1692"/>
      <c r="C903" s="1695"/>
      <c r="D903" s="124" t="s">
        <v>327</v>
      </c>
      <c r="E903" s="675"/>
      <c r="F903" s="675"/>
      <c r="G903" s="675"/>
      <c r="H903" s="675"/>
      <c r="I903" s="675"/>
      <c r="J903" s="675"/>
      <c r="K903" s="675"/>
      <c r="L903" s="675"/>
      <c r="M903" s="675"/>
      <c r="N903" s="675"/>
      <c r="O903" s="675"/>
      <c r="P903" s="675"/>
      <c r="Q903" s="675"/>
      <c r="R903" s="675"/>
      <c r="S903" s="675"/>
      <c r="T903" s="675"/>
      <c r="U903" s="675"/>
      <c r="V903" s="675"/>
      <c r="W903" s="675"/>
      <c r="X903" s="675"/>
      <c r="Y903" s="676"/>
      <c r="Z903" s="676"/>
      <c r="AA903" s="676"/>
      <c r="AB903" s="677"/>
    </row>
    <row r="904" spans="2:28" s="780" customFormat="1" hidden="1" x14ac:dyDescent="0.45">
      <c r="B904" s="1692"/>
      <c r="C904" s="1696" t="s">
        <v>328</v>
      </c>
      <c r="D904" s="122" t="s">
        <v>326</v>
      </c>
      <c r="E904" s="678"/>
      <c r="F904" s="678"/>
      <c r="G904" s="678"/>
      <c r="H904" s="678"/>
      <c r="I904" s="678"/>
      <c r="J904" s="678"/>
      <c r="K904" s="678"/>
      <c r="L904" s="678"/>
      <c r="M904" s="678"/>
      <c r="N904" s="678"/>
      <c r="O904" s="678"/>
      <c r="P904" s="678"/>
      <c r="Q904" s="678"/>
      <c r="R904" s="678"/>
      <c r="S904" s="678"/>
      <c r="T904" s="678"/>
      <c r="U904" s="678"/>
      <c r="V904" s="678"/>
      <c r="W904" s="678"/>
      <c r="X904" s="678"/>
      <c r="Y904" s="679"/>
      <c r="Z904" s="679"/>
      <c r="AA904" s="679"/>
      <c r="AB904" s="680"/>
    </row>
    <row r="905" spans="2:28" s="780" customFormat="1" hidden="1" x14ac:dyDescent="0.45">
      <c r="B905" s="1692"/>
      <c r="C905" s="1697"/>
      <c r="D905" s="122" t="s">
        <v>327</v>
      </c>
      <c r="E905" s="678"/>
      <c r="F905" s="678"/>
      <c r="G905" s="678"/>
      <c r="H905" s="678"/>
      <c r="I905" s="678"/>
      <c r="J905" s="678"/>
      <c r="K905" s="678"/>
      <c r="L905" s="678"/>
      <c r="M905" s="678"/>
      <c r="N905" s="678"/>
      <c r="O905" s="678"/>
      <c r="P905" s="678"/>
      <c r="Q905" s="678"/>
      <c r="R905" s="678"/>
      <c r="S905" s="678"/>
      <c r="T905" s="678"/>
      <c r="U905" s="678"/>
      <c r="V905" s="678"/>
      <c r="W905" s="678"/>
      <c r="X905" s="681"/>
      <c r="Y905" s="679"/>
      <c r="Z905" s="679"/>
      <c r="AA905" s="679"/>
      <c r="AB905" s="680"/>
    </row>
    <row r="906" spans="2:28" s="780" customFormat="1" hidden="1" x14ac:dyDescent="0.45">
      <c r="B906" s="1692"/>
      <c r="C906" s="1698" t="s">
        <v>329</v>
      </c>
      <c r="D906" s="125" t="s">
        <v>326</v>
      </c>
      <c r="E906" s="682"/>
      <c r="F906" s="682"/>
      <c r="G906" s="682"/>
      <c r="H906" s="682"/>
      <c r="I906" s="682"/>
      <c r="J906" s="682"/>
      <c r="K906" s="682"/>
      <c r="L906" s="682"/>
      <c r="M906" s="682"/>
      <c r="N906" s="682"/>
      <c r="O906" s="682"/>
      <c r="P906" s="682"/>
      <c r="Q906" s="682"/>
      <c r="R906" s="682"/>
      <c r="S906" s="682"/>
      <c r="T906" s="682"/>
      <c r="U906" s="682"/>
      <c r="V906" s="682"/>
      <c r="W906" s="682"/>
      <c r="X906" s="682"/>
      <c r="Y906" s="683"/>
      <c r="Z906" s="683"/>
      <c r="AA906" s="683"/>
      <c r="AB906" s="684"/>
    </row>
    <row r="907" spans="2:28" s="780" customFormat="1" hidden="1" x14ac:dyDescent="0.45">
      <c r="B907" s="1692"/>
      <c r="C907" s="1695"/>
      <c r="D907" s="124" t="s">
        <v>327</v>
      </c>
      <c r="E907" s="675"/>
      <c r="F907" s="675"/>
      <c r="G907" s="675"/>
      <c r="H907" s="675"/>
      <c r="I907" s="675"/>
      <c r="J907" s="675"/>
      <c r="K907" s="675"/>
      <c r="L907" s="675"/>
      <c r="M907" s="675"/>
      <c r="N907" s="675"/>
      <c r="O907" s="675"/>
      <c r="P907" s="675"/>
      <c r="Q907" s="675"/>
      <c r="R907" s="675"/>
      <c r="S907" s="675"/>
      <c r="T907" s="675"/>
      <c r="U907" s="675"/>
      <c r="V907" s="675"/>
      <c r="W907" s="675"/>
      <c r="X907" s="675"/>
      <c r="Y907" s="676"/>
      <c r="Z907" s="676"/>
      <c r="AA907" s="676"/>
      <c r="AB907" s="677"/>
    </row>
    <row r="908" spans="2:28" s="780" customFormat="1" hidden="1" x14ac:dyDescent="0.45">
      <c r="B908" s="1692"/>
      <c r="C908" s="1696" t="s">
        <v>330</v>
      </c>
      <c r="D908" s="122" t="s">
        <v>326</v>
      </c>
      <c r="E908" s="678"/>
      <c r="F908" s="678"/>
      <c r="G908" s="678"/>
      <c r="H908" s="678"/>
      <c r="I908" s="678"/>
      <c r="J908" s="678"/>
      <c r="K908" s="678"/>
      <c r="L908" s="678"/>
      <c r="M908" s="678"/>
      <c r="N908" s="678"/>
      <c r="O908" s="678"/>
      <c r="P908" s="678"/>
      <c r="Q908" s="678"/>
      <c r="R908" s="678"/>
      <c r="S908" s="678"/>
      <c r="T908" s="678"/>
      <c r="U908" s="678"/>
      <c r="V908" s="678"/>
      <c r="W908" s="678"/>
      <c r="X908" s="678"/>
      <c r="Y908" s="679"/>
      <c r="Z908" s="679"/>
      <c r="AA908" s="679"/>
      <c r="AB908" s="680"/>
    </row>
    <row r="909" spans="2:28" s="780" customFormat="1" hidden="1" x14ac:dyDescent="0.45">
      <c r="B909" s="1692"/>
      <c r="C909" s="1697"/>
      <c r="D909" s="122" t="s">
        <v>327</v>
      </c>
      <c r="E909" s="678"/>
      <c r="F909" s="678"/>
      <c r="G909" s="678"/>
      <c r="H909" s="678"/>
      <c r="I909" s="678"/>
      <c r="J909" s="678"/>
      <c r="K909" s="678"/>
      <c r="L909" s="678"/>
      <c r="M909" s="678"/>
      <c r="N909" s="678"/>
      <c r="O909" s="678"/>
      <c r="P909" s="678"/>
      <c r="Q909" s="678"/>
      <c r="R909" s="678"/>
      <c r="S909" s="678"/>
      <c r="T909" s="678"/>
      <c r="U909" s="678"/>
      <c r="V909" s="678"/>
      <c r="W909" s="678"/>
      <c r="X909" s="681"/>
      <c r="Y909" s="679"/>
      <c r="Z909" s="679"/>
      <c r="AA909" s="679"/>
      <c r="AB909" s="680"/>
    </row>
    <row r="910" spans="2:28" s="780" customFormat="1" hidden="1" x14ac:dyDescent="0.45">
      <c r="B910" s="1692"/>
      <c r="C910" s="1698" t="s">
        <v>331</v>
      </c>
      <c r="D910" s="125" t="s">
        <v>326</v>
      </c>
      <c r="E910" s="682"/>
      <c r="F910" s="682"/>
      <c r="G910" s="685"/>
      <c r="H910" s="682"/>
      <c r="I910" s="682"/>
      <c r="J910" s="682"/>
      <c r="K910" s="682"/>
      <c r="L910" s="682"/>
      <c r="M910" s="682"/>
      <c r="N910" s="682"/>
      <c r="O910" s="682"/>
      <c r="P910" s="682"/>
      <c r="Q910" s="682"/>
      <c r="R910" s="682"/>
      <c r="S910" s="682"/>
      <c r="T910" s="682"/>
      <c r="U910" s="682"/>
      <c r="V910" s="682"/>
      <c r="W910" s="682"/>
      <c r="X910" s="682"/>
      <c r="Y910" s="683"/>
      <c r="Z910" s="683"/>
      <c r="AA910" s="683"/>
      <c r="AB910" s="684"/>
    </row>
    <row r="911" spans="2:28" s="780" customFormat="1" hidden="1" x14ac:dyDescent="0.45">
      <c r="B911" s="1692"/>
      <c r="C911" s="1695"/>
      <c r="D911" s="124" t="s">
        <v>327</v>
      </c>
      <c r="E911" s="675"/>
      <c r="F911" s="675"/>
      <c r="G911" s="686"/>
      <c r="H911" s="675"/>
      <c r="I911" s="675"/>
      <c r="J911" s="675"/>
      <c r="K911" s="675"/>
      <c r="L911" s="675"/>
      <c r="M911" s="675"/>
      <c r="N911" s="675"/>
      <c r="O911" s="675"/>
      <c r="P911" s="675"/>
      <c r="Q911" s="675"/>
      <c r="R911" s="675"/>
      <c r="S911" s="675"/>
      <c r="T911" s="675"/>
      <c r="U911" s="675"/>
      <c r="V911" s="675"/>
      <c r="W911" s="675"/>
      <c r="X911" s="675"/>
      <c r="Y911" s="676"/>
      <c r="Z911" s="676"/>
      <c r="AA911" s="676"/>
      <c r="AB911" s="677"/>
    </row>
    <row r="912" spans="2:28" s="780" customFormat="1" hidden="1" x14ac:dyDescent="0.45">
      <c r="B912" s="1692"/>
      <c r="C912" s="1696" t="s">
        <v>332</v>
      </c>
      <c r="D912" s="122" t="s">
        <v>326</v>
      </c>
      <c r="E912" s="678"/>
      <c r="F912" s="678"/>
      <c r="G912" s="678"/>
      <c r="H912" s="678"/>
      <c r="I912" s="678"/>
      <c r="J912" s="678"/>
      <c r="K912" s="678"/>
      <c r="L912" s="678"/>
      <c r="M912" s="678"/>
      <c r="N912" s="678"/>
      <c r="O912" s="678"/>
      <c r="P912" s="678"/>
      <c r="Q912" s="678"/>
      <c r="R912" s="678"/>
      <c r="S912" s="678"/>
      <c r="T912" s="678"/>
      <c r="U912" s="678"/>
      <c r="V912" s="678"/>
      <c r="W912" s="679"/>
      <c r="X912" s="679"/>
      <c r="Y912" s="679"/>
      <c r="Z912" s="679"/>
      <c r="AA912" s="679"/>
      <c r="AB912" s="680"/>
    </row>
    <row r="913" spans="2:28" s="780" customFormat="1" hidden="1" x14ac:dyDescent="0.45">
      <c r="B913" s="1692"/>
      <c r="C913" s="1697"/>
      <c r="D913" s="122" t="s">
        <v>327</v>
      </c>
      <c r="E913" s="678"/>
      <c r="F913" s="678"/>
      <c r="G913" s="678"/>
      <c r="H913" s="678"/>
      <c r="I913" s="678"/>
      <c r="J913" s="678"/>
      <c r="K913" s="678"/>
      <c r="L913" s="678"/>
      <c r="M913" s="678"/>
      <c r="N913" s="678"/>
      <c r="O913" s="678"/>
      <c r="P913" s="678"/>
      <c r="Q913" s="678"/>
      <c r="R913" s="678"/>
      <c r="S913" s="678"/>
      <c r="T913" s="678"/>
      <c r="U913" s="678"/>
      <c r="V913" s="678"/>
      <c r="W913" s="678"/>
      <c r="X913" s="678"/>
      <c r="Y913" s="679"/>
      <c r="Z913" s="679"/>
      <c r="AA913" s="679"/>
      <c r="AB913" s="680"/>
    </row>
    <row r="914" spans="2:28" s="780" customFormat="1" hidden="1" x14ac:dyDescent="0.45">
      <c r="B914" s="1692"/>
      <c r="C914" s="1698" t="s">
        <v>333</v>
      </c>
      <c r="D914" s="124" t="s">
        <v>326</v>
      </c>
      <c r="E914" s="675"/>
      <c r="F914" s="675"/>
      <c r="G914" s="675"/>
      <c r="H914" s="675"/>
      <c r="I914" s="675"/>
      <c r="J914" s="675"/>
      <c r="K914" s="675"/>
      <c r="L914" s="675"/>
      <c r="M914" s="675"/>
      <c r="N914" s="675"/>
      <c r="O914" s="675"/>
      <c r="P914" s="675"/>
      <c r="Q914" s="675"/>
      <c r="R914" s="675"/>
      <c r="S914" s="675"/>
      <c r="T914" s="675"/>
      <c r="U914" s="675"/>
      <c r="V914" s="675"/>
      <c r="W914" s="676"/>
      <c r="X914" s="676"/>
      <c r="Y914" s="676"/>
      <c r="Z914" s="676"/>
      <c r="AA914" s="676"/>
      <c r="AB914" s="677"/>
    </row>
    <row r="915" spans="2:28" s="780" customFormat="1" hidden="1" x14ac:dyDescent="0.45">
      <c r="B915" s="1693"/>
      <c r="C915" s="1699"/>
      <c r="D915" s="126" t="s">
        <v>327</v>
      </c>
      <c r="E915" s="687"/>
      <c r="F915" s="687"/>
      <c r="G915" s="687"/>
      <c r="H915" s="687"/>
      <c r="I915" s="687"/>
      <c r="J915" s="687"/>
      <c r="K915" s="687"/>
      <c r="L915" s="687"/>
      <c r="M915" s="687"/>
      <c r="N915" s="687"/>
      <c r="O915" s="687"/>
      <c r="P915" s="687"/>
      <c r="Q915" s="687"/>
      <c r="R915" s="687"/>
      <c r="S915" s="687"/>
      <c r="T915" s="687"/>
      <c r="U915" s="687"/>
      <c r="V915" s="687"/>
      <c r="W915" s="687"/>
      <c r="X915" s="687"/>
      <c r="Y915" s="687"/>
      <c r="Z915" s="687"/>
      <c r="AA915" s="687"/>
      <c r="AB915" s="688"/>
    </row>
    <row r="916" spans="2:28" s="780" customFormat="1" hidden="1" x14ac:dyDescent="0.45"/>
    <row r="917" spans="2:28" s="780" customFormat="1" hidden="1" x14ac:dyDescent="0.45">
      <c r="B917" s="1688" t="s">
        <v>54</v>
      </c>
      <c r="C917" s="1689"/>
      <c r="D917" s="1690"/>
      <c r="E917" s="779"/>
      <c r="F917" s="779"/>
      <c r="G917" s="779"/>
      <c r="H917" s="779"/>
      <c r="I917" s="779"/>
      <c r="J917" s="779"/>
      <c r="K917" s="779"/>
      <c r="L917" s="779"/>
      <c r="M917" s="779"/>
      <c r="N917" s="779"/>
      <c r="O917" s="779"/>
      <c r="P917" s="779"/>
      <c r="Q917" s="779"/>
      <c r="R917" s="779"/>
      <c r="S917" s="779"/>
      <c r="T917" s="779"/>
      <c r="U917" s="779"/>
      <c r="V917" s="779"/>
      <c r="W917" s="779"/>
      <c r="X917" s="779"/>
      <c r="Y917" s="779"/>
      <c r="Z917" s="779"/>
      <c r="AA917" s="779"/>
      <c r="AB917" s="708"/>
    </row>
    <row r="918" spans="2:28" s="780" customFormat="1" ht="15" hidden="1" customHeight="1" x14ac:dyDescent="0.45">
      <c r="B918" s="1691" t="str">
        <f>CONCATENATE("Plan ", INDEX(plans_index,,(ROW(B918)-6)/16), ": ", INDEX(plans_name,,(ROW(B918)-6)/16))</f>
        <v xml:space="preserve">Plan 57: </v>
      </c>
      <c r="C918" s="1694" t="s">
        <v>325</v>
      </c>
      <c r="D918" s="123" t="s">
        <v>326</v>
      </c>
      <c r="E918" s="672"/>
      <c r="F918" s="672"/>
      <c r="G918" s="672"/>
      <c r="H918" s="673"/>
      <c r="I918" s="672"/>
      <c r="J918" s="672"/>
      <c r="K918" s="672"/>
      <c r="L918" s="672"/>
      <c r="M918" s="672"/>
      <c r="N918" s="672"/>
      <c r="O918" s="672"/>
      <c r="P918" s="672"/>
      <c r="Q918" s="672"/>
      <c r="R918" s="672"/>
      <c r="S918" s="672"/>
      <c r="T918" s="672"/>
      <c r="U918" s="672"/>
      <c r="V918" s="672"/>
      <c r="W918" s="672"/>
      <c r="X918" s="672"/>
      <c r="Y918" s="672"/>
      <c r="Z918" s="672"/>
      <c r="AA918" s="672"/>
      <c r="AB918" s="674"/>
    </row>
    <row r="919" spans="2:28" s="780" customFormat="1" hidden="1" x14ac:dyDescent="0.45">
      <c r="B919" s="1692"/>
      <c r="C919" s="1695"/>
      <c r="D919" s="124" t="s">
        <v>327</v>
      </c>
      <c r="E919" s="675"/>
      <c r="F919" s="675"/>
      <c r="G919" s="675"/>
      <c r="H919" s="675"/>
      <c r="I919" s="675"/>
      <c r="J919" s="675"/>
      <c r="K919" s="675"/>
      <c r="L919" s="675"/>
      <c r="M919" s="675"/>
      <c r="N919" s="675"/>
      <c r="O919" s="675"/>
      <c r="P919" s="675"/>
      <c r="Q919" s="675"/>
      <c r="R919" s="675"/>
      <c r="S919" s="675"/>
      <c r="T919" s="675"/>
      <c r="U919" s="675"/>
      <c r="V919" s="675"/>
      <c r="W919" s="675"/>
      <c r="X919" s="675"/>
      <c r="Y919" s="676"/>
      <c r="Z919" s="676"/>
      <c r="AA919" s="676"/>
      <c r="AB919" s="677"/>
    </row>
    <row r="920" spans="2:28" s="780" customFormat="1" hidden="1" x14ac:dyDescent="0.45">
      <c r="B920" s="1692"/>
      <c r="C920" s="1696" t="s">
        <v>328</v>
      </c>
      <c r="D920" s="122" t="s">
        <v>326</v>
      </c>
      <c r="E920" s="678"/>
      <c r="F920" s="678"/>
      <c r="G920" s="678"/>
      <c r="H920" s="678"/>
      <c r="I920" s="678"/>
      <c r="J920" s="678"/>
      <c r="K920" s="678"/>
      <c r="L920" s="678"/>
      <c r="M920" s="678"/>
      <c r="N920" s="678"/>
      <c r="O920" s="678"/>
      <c r="P920" s="678"/>
      <c r="Q920" s="678"/>
      <c r="R920" s="678"/>
      <c r="S920" s="678"/>
      <c r="T920" s="678"/>
      <c r="U920" s="678"/>
      <c r="V920" s="678"/>
      <c r="W920" s="678"/>
      <c r="X920" s="678"/>
      <c r="Y920" s="679"/>
      <c r="Z920" s="679"/>
      <c r="AA920" s="679"/>
      <c r="AB920" s="680"/>
    </row>
    <row r="921" spans="2:28" s="780" customFormat="1" hidden="1" x14ac:dyDescent="0.45">
      <c r="B921" s="1692"/>
      <c r="C921" s="1697"/>
      <c r="D921" s="122" t="s">
        <v>327</v>
      </c>
      <c r="E921" s="678"/>
      <c r="F921" s="678"/>
      <c r="G921" s="678"/>
      <c r="H921" s="678"/>
      <c r="I921" s="678"/>
      <c r="J921" s="678"/>
      <c r="K921" s="678"/>
      <c r="L921" s="678"/>
      <c r="M921" s="678"/>
      <c r="N921" s="678"/>
      <c r="O921" s="678"/>
      <c r="P921" s="678"/>
      <c r="Q921" s="678"/>
      <c r="R921" s="678"/>
      <c r="S921" s="678"/>
      <c r="T921" s="678"/>
      <c r="U921" s="678"/>
      <c r="V921" s="678"/>
      <c r="W921" s="678"/>
      <c r="X921" s="681"/>
      <c r="Y921" s="679"/>
      <c r="Z921" s="679"/>
      <c r="AA921" s="679"/>
      <c r="AB921" s="680"/>
    </row>
    <row r="922" spans="2:28" s="780" customFormat="1" hidden="1" x14ac:dyDescent="0.45">
      <c r="B922" s="1692"/>
      <c r="C922" s="1698" t="s">
        <v>329</v>
      </c>
      <c r="D922" s="125" t="s">
        <v>326</v>
      </c>
      <c r="E922" s="682"/>
      <c r="F922" s="682"/>
      <c r="G922" s="682"/>
      <c r="H922" s="682"/>
      <c r="I922" s="682"/>
      <c r="J922" s="682"/>
      <c r="K922" s="682"/>
      <c r="L922" s="682"/>
      <c r="M922" s="682"/>
      <c r="N922" s="682"/>
      <c r="O922" s="682"/>
      <c r="P922" s="682"/>
      <c r="Q922" s="682"/>
      <c r="R922" s="682"/>
      <c r="S922" s="682"/>
      <c r="T922" s="682"/>
      <c r="U922" s="682"/>
      <c r="V922" s="682"/>
      <c r="W922" s="682"/>
      <c r="X922" s="682"/>
      <c r="Y922" s="683"/>
      <c r="Z922" s="683"/>
      <c r="AA922" s="683"/>
      <c r="AB922" s="684"/>
    </row>
    <row r="923" spans="2:28" s="780" customFormat="1" hidden="1" x14ac:dyDescent="0.45">
      <c r="B923" s="1692"/>
      <c r="C923" s="1695"/>
      <c r="D923" s="124" t="s">
        <v>327</v>
      </c>
      <c r="E923" s="675"/>
      <c r="F923" s="675"/>
      <c r="G923" s="675"/>
      <c r="H923" s="675"/>
      <c r="I923" s="675"/>
      <c r="J923" s="675"/>
      <c r="K923" s="675"/>
      <c r="L923" s="675"/>
      <c r="M923" s="675"/>
      <c r="N923" s="675"/>
      <c r="O923" s="675"/>
      <c r="P923" s="675"/>
      <c r="Q923" s="675"/>
      <c r="R923" s="675"/>
      <c r="S923" s="675"/>
      <c r="T923" s="675"/>
      <c r="U923" s="675"/>
      <c r="V923" s="675"/>
      <c r="W923" s="675"/>
      <c r="X923" s="675"/>
      <c r="Y923" s="676"/>
      <c r="Z923" s="676"/>
      <c r="AA923" s="676"/>
      <c r="AB923" s="677"/>
    </row>
    <row r="924" spans="2:28" s="780" customFormat="1" hidden="1" x14ac:dyDescent="0.45">
      <c r="B924" s="1692"/>
      <c r="C924" s="1696" t="s">
        <v>330</v>
      </c>
      <c r="D924" s="122" t="s">
        <v>326</v>
      </c>
      <c r="E924" s="678"/>
      <c r="F924" s="678"/>
      <c r="G924" s="678"/>
      <c r="H924" s="678"/>
      <c r="I924" s="678"/>
      <c r="J924" s="678"/>
      <c r="K924" s="678"/>
      <c r="L924" s="678"/>
      <c r="M924" s="678"/>
      <c r="N924" s="678"/>
      <c r="O924" s="678"/>
      <c r="P924" s="678"/>
      <c r="Q924" s="678"/>
      <c r="R924" s="678"/>
      <c r="S924" s="678"/>
      <c r="T924" s="678"/>
      <c r="U924" s="678"/>
      <c r="V924" s="678"/>
      <c r="W924" s="678"/>
      <c r="X924" s="678"/>
      <c r="Y924" s="679"/>
      <c r="Z924" s="679"/>
      <c r="AA924" s="679"/>
      <c r="AB924" s="680"/>
    </row>
    <row r="925" spans="2:28" s="780" customFormat="1" hidden="1" x14ac:dyDescent="0.45">
      <c r="B925" s="1692"/>
      <c r="C925" s="1697"/>
      <c r="D925" s="122" t="s">
        <v>327</v>
      </c>
      <c r="E925" s="678"/>
      <c r="F925" s="678"/>
      <c r="G925" s="678"/>
      <c r="H925" s="678"/>
      <c r="I925" s="678"/>
      <c r="J925" s="678"/>
      <c r="K925" s="678"/>
      <c r="L925" s="678"/>
      <c r="M925" s="678"/>
      <c r="N925" s="678"/>
      <c r="O925" s="678"/>
      <c r="P925" s="678"/>
      <c r="Q925" s="678"/>
      <c r="R925" s="678"/>
      <c r="S925" s="678"/>
      <c r="T925" s="678"/>
      <c r="U925" s="678"/>
      <c r="V925" s="678"/>
      <c r="W925" s="678"/>
      <c r="X925" s="681"/>
      <c r="Y925" s="679"/>
      <c r="Z925" s="679"/>
      <c r="AA925" s="679"/>
      <c r="AB925" s="680"/>
    </row>
    <row r="926" spans="2:28" s="780" customFormat="1" hidden="1" x14ac:dyDescent="0.45">
      <c r="B926" s="1692"/>
      <c r="C926" s="1698" t="s">
        <v>331</v>
      </c>
      <c r="D926" s="125" t="s">
        <v>326</v>
      </c>
      <c r="E926" s="682"/>
      <c r="F926" s="682"/>
      <c r="G926" s="685"/>
      <c r="H926" s="682"/>
      <c r="I926" s="682"/>
      <c r="J926" s="682"/>
      <c r="K926" s="682"/>
      <c r="L926" s="682"/>
      <c r="M926" s="682"/>
      <c r="N926" s="682"/>
      <c r="O926" s="682"/>
      <c r="P926" s="682"/>
      <c r="Q926" s="682"/>
      <c r="R926" s="682"/>
      <c r="S926" s="682"/>
      <c r="T926" s="682"/>
      <c r="U926" s="682"/>
      <c r="V926" s="682"/>
      <c r="W926" s="682"/>
      <c r="X926" s="682"/>
      <c r="Y926" s="683"/>
      <c r="Z926" s="683"/>
      <c r="AA926" s="683"/>
      <c r="AB926" s="684"/>
    </row>
    <row r="927" spans="2:28" s="780" customFormat="1" hidden="1" x14ac:dyDescent="0.45">
      <c r="B927" s="1692"/>
      <c r="C927" s="1695"/>
      <c r="D927" s="124" t="s">
        <v>327</v>
      </c>
      <c r="E927" s="675"/>
      <c r="F927" s="675"/>
      <c r="G927" s="686"/>
      <c r="H927" s="675"/>
      <c r="I927" s="675"/>
      <c r="J927" s="675"/>
      <c r="K927" s="675"/>
      <c r="L927" s="675"/>
      <c r="M927" s="675"/>
      <c r="N927" s="675"/>
      <c r="O927" s="675"/>
      <c r="P927" s="675"/>
      <c r="Q927" s="675"/>
      <c r="R927" s="675"/>
      <c r="S927" s="675"/>
      <c r="T927" s="675"/>
      <c r="U927" s="675"/>
      <c r="V927" s="675"/>
      <c r="W927" s="675"/>
      <c r="X927" s="675"/>
      <c r="Y927" s="676"/>
      <c r="Z927" s="676"/>
      <c r="AA927" s="676"/>
      <c r="AB927" s="677"/>
    </row>
    <row r="928" spans="2:28" s="780" customFormat="1" hidden="1" x14ac:dyDescent="0.45">
      <c r="B928" s="1692"/>
      <c r="C928" s="1696" t="s">
        <v>332</v>
      </c>
      <c r="D928" s="122" t="s">
        <v>326</v>
      </c>
      <c r="E928" s="678"/>
      <c r="F928" s="678"/>
      <c r="G928" s="678"/>
      <c r="H928" s="678"/>
      <c r="I928" s="678"/>
      <c r="J928" s="678"/>
      <c r="K928" s="678"/>
      <c r="L928" s="678"/>
      <c r="M928" s="678"/>
      <c r="N928" s="678"/>
      <c r="O928" s="678"/>
      <c r="P928" s="678"/>
      <c r="Q928" s="678"/>
      <c r="R928" s="678"/>
      <c r="S928" s="678"/>
      <c r="T928" s="678"/>
      <c r="U928" s="678"/>
      <c r="V928" s="678"/>
      <c r="W928" s="679"/>
      <c r="X928" s="679"/>
      <c r="Y928" s="679"/>
      <c r="Z928" s="679"/>
      <c r="AA928" s="679"/>
      <c r="AB928" s="680"/>
    </row>
    <row r="929" spans="2:28" s="780" customFormat="1" hidden="1" x14ac:dyDescent="0.45">
      <c r="B929" s="1692"/>
      <c r="C929" s="1697"/>
      <c r="D929" s="122" t="s">
        <v>327</v>
      </c>
      <c r="E929" s="678"/>
      <c r="F929" s="678"/>
      <c r="G929" s="678"/>
      <c r="H929" s="678"/>
      <c r="I929" s="678"/>
      <c r="J929" s="678"/>
      <c r="K929" s="678"/>
      <c r="L929" s="678"/>
      <c r="M929" s="678"/>
      <c r="N929" s="678"/>
      <c r="O929" s="678"/>
      <c r="P929" s="678"/>
      <c r="Q929" s="678"/>
      <c r="R929" s="678"/>
      <c r="S929" s="678"/>
      <c r="T929" s="678"/>
      <c r="U929" s="678"/>
      <c r="V929" s="678"/>
      <c r="W929" s="678"/>
      <c r="X929" s="678"/>
      <c r="Y929" s="679"/>
      <c r="Z929" s="679"/>
      <c r="AA929" s="679"/>
      <c r="AB929" s="680"/>
    </row>
    <row r="930" spans="2:28" s="780" customFormat="1" hidden="1" x14ac:dyDescent="0.45">
      <c r="B930" s="1692"/>
      <c r="C930" s="1698" t="s">
        <v>333</v>
      </c>
      <c r="D930" s="124" t="s">
        <v>326</v>
      </c>
      <c r="E930" s="675"/>
      <c r="F930" s="675"/>
      <c r="G930" s="675"/>
      <c r="H930" s="675"/>
      <c r="I930" s="675"/>
      <c r="J930" s="675"/>
      <c r="K930" s="675"/>
      <c r="L930" s="675"/>
      <c r="M930" s="675"/>
      <c r="N930" s="675"/>
      <c r="O930" s="675"/>
      <c r="P930" s="675"/>
      <c r="Q930" s="675"/>
      <c r="R930" s="675"/>
      <c r="S930" s="675"/>
      <c r="T930" s="675"/>
      <c r="U930" s="675"/>
      <c r="V930" s="675"/>
      <c r="W930" s="676"/>
      <c r="X930" s="676"/>
      <c r="Y930" s="676"/>
      <c r="Z930" s="676"/>
      <c r="AA930" s="676"/>
      <c r="AB930" s="677"/>
    </row>
    <row r="931" spans="2:28" s="780" customFormat="1" hidden="1" x14ac:dyDescent="0.45">
      <c r="B931" s="1693"/>
      <c r="C931" s="1699"/>
      <c r="D931" s="126" t="s">
        <v>327</v>
      </c>
      <c r="E931" s="687"/>
      <c r="F931" s="687"/>
      <c r="G931" s="687"/>
      <c r="H931" s="687"/>
      <c r="I931" s="687"/>
      <c r="J931" s="687"/>
      <c r="K931" s="687"/>
      <c r="L931" s="687"/>
      <c r="M931" s="687"/>
      <c r="N931" s="687"/>
      <c r="O931" s="687"/>
      <c r="P931" s="687"/>
      <c r="Q931" s="687"/>
      <c r="R931" s="687"/>
      <c r="S931" s="687"/>
      <c r="T931" s="687"/>
      <c r="U931" s="687"/>
      <c r="V931" s="687"/>
      <c r="W931" s="687"/>
      <c r="X931" s="687"/>
      <c r="Y931" s="687"/>
      <c r="Z931" s="687"/>
      <c r="AA931" s="687"/>
      <c r="AB931" s="688"/>
    </row>
    <row r="932" spans="2:28" s="780" customFormat="1" hidden="1" x14ac:dyDescent="0.45"/>
    <row r="933" spans="2:28" s="780" customFormat="1" hidden="1" x14ac:dyDescent="0.45">
      <c r="B933" s="1688" t="s">
        <v>54</v>
      </c>
      <c r="C933" s="1689"/>
      <c r="D933" s="1690"/>
      <c r="E933" s="779"/>
      <c r="F933" s="779"/>
      <c r="G933" s="779"/>
      <c r="H933" s="779"/>
      <c r="I933" s="779"/>
      <c r="J933" s="779"/>
      <c r="K933" s="779"/>
      <c r="L933" s="779"/>
      <c r="M933" s="779"/>
      <c r="N933" s="779"/>
      <c r="O933" s="779"/>
      <c r="P933" s="779"/>
      <c r="Q933" s="779"/>
      <c r="R933" s="779"/>
      <c r="S933" s="779"/>
      <c r="T933" s="779"/>
      <c r="U933" s="779"/>
      <c r="V933" s="779"/>
      <c r="W933" s="779"/>
      <c r="X933" s="779"/>
      <c r="Y933" s="779"/>
      <c r="Z933" s="779"/>
      <c r="AA933" s="779"/>
      <c r="AB933" s="708"/>
    </row>
    <row r="934" spans="2:28" s="780" customFormat="1" ht="15" hidden="1" customHeight="1" x14ac:dyDescent="0.45">
      <c r="B934" s="1691" t="str">
        <f>CONCATENATE("Plan ", INDEX(plans_index,,(ROW(B934)-6)/16), ": ", INDEX(plans_name,,(ROW(B934)-6)/16))</f>
        <v xml:space="preserve">Plan 58: </v>
      </c>
      <c r="C934" s="1694" t="s">
        <v>325</v>
      </c>
      <c r="D934" s="123" t="s">
        <v>326</v>
      </c>
      <c r="E934" s="672"/>
      <c r="F934" s="672"/>
      <c r="G934" s="672"/>
      <c r="H934" s="673"/>
      <c r="I934" s="672"/>
      <c r="J934" s="672"/>
      <c r="K934" s="672"/>
      <c r="L934" s="672"/>
      <c r="M934" s="672"/>
      <c r="N934" s="672"/>
      <c r="O934" s="672"/>
      <c r="P934" s="672"/>
      <c r="Q934" s="672"/>
      <c r="R934" s="672"/>
      <c r="S934" s="672"/>
      <c r="T934" s="672"/>
      <c r="U934" s="672"/>
      <c r="V934" s="672"/>
      <c r="W934" s="672"/>
      <c r="X934" s="672"/>
      <c r="Y934" s="672"/>
      <c r="Z934" s="672"/>
      <c r="AA934" s="672"/>
      <c r="AB934" s="674"/>
    </row>
    <row r="935" spans="2:28" s="780" customFormat="1" hidden="1" x14ac:dyDescent="0.45">
      <c r="B935" s="1692"/>
      <c r="C935" s="1695"/>
      <c r="D935" s="124" t="s">
        <v>327</v>
      </c>
      <c r="E935" s="675"/>
      <c r="F935" s="675"/>
      <c r="G935" s="675"/>
      <c r="H935" s="675"/>
      <c r="I935" s="675"/>
      <c r="J935" s="675"/>
      <c r="K935" s="675"/>
      <c r="L935" s="675"/>
      <c r="M935" s="675"/>
      <c r="N935" s="675"/>
      <c r="O935" s="675"/>
      <c r="P935" s="675"/>
      <c r="Q935" s="675"/>
      <c r="R935" s="675"/>
      <c r="S935" s="675"/>
      <c r="T935" s="675"/>
      <c r="U935" s="675"/>
      <c r="V935" s="675"/>
      <c r="W935" s="675"/>
      <c r="X935" s="675"/>
      <c r="Y935" s="676"/>
      <c r="Z935" s="676"/>
      <c r="AA935" s="676"/>
      <c r="AB935" s="677"/>
    </row>
    <row r="936" spans="2:28" s="780" customFormat="1" hidden="1" x14ac:dyDescent="0.45">
      <c r="B936" s="1692"/>
      <c r="C936" s="1696" t="s">
        <v>328</v>
      </c>
      <c r="D936" s="122" t="s">
        <v>326</v>
      </c>
      <c r="E936" s="678"/>
      <c r="F936" s="678"/>
      <c r="G936" s="678"/>
      <c r="H936" s="678"/>
      <c r="I936" s="678"/>
      <c r="J936" s="678"/>
      <c r="K936" s="678"/>
      <c r="L936" s="678"/>
      <c r="M936" s="678"/>
      <c r="N936" s="678"/>
      <c r="O936" s="678"/>
      <c r="P936" s="678"/>
      <c r="Q936" s="678"/>
      <c r="R936" s="678"/>
      <c r="S936" s="678"/>
      <c r="T936" s="678"/>
      <c r="U936" s="678"/>
      <c r="V936" s="678"/>
      <c r="W936" s="678"/>
      <c r="X936" s="678"/>
      <c r="Y936" s="679"/>
      <c r="Z936" s="679"/>
      <c r="AA936" s="679"/>
      <c r="AB936" s="680"/>
    </row>
    <row r="937" spans="2:28" s="780" customFormat="1" hidden="1" x14ac:dyDescent="0.45">
      <c r="B937" s="1692"/>
      <c r="C937" s="1697"/>
      <c r="D937" s="122" t="s">
        <v>327</v>
      </c>
      <c r="E937" s="678"/>
      <c r="F937" s="678"/>
      <c r="G937" s="678"/>
      <c r="H937" s="678"/>
      <c r="I937" s="678"/>
      <c r="J937" s="678"/>
      <c r="K937" s="678"/>
      <c r="L937" s="678"/>
      <c r="M937" s="678"/>
      <c r="N937" s="678"/>
      <c r="O937" s="678"/>
      <c r="P937" s="678"/>
      <c r="Q937" s="678"/>
      <c r="R937" s="678"/>
      <c r="S937" s="678"/>
      <c r="T937" s="678"/>
      <c r="U937" s="678"/>
      <c r="V937" s="678"/>
      <c r="W937" s="678"/>
      <c r="X937" s="681"/>
      <c r="Y937" s="679"/>
      <c r="Z937" s="679"/>
      <c r="AA937" s="679"/>
      <c r="AB937" s="680"/>
    </row>
    <row r="938" spans="2:28" s="780" customFormat="1" hidden="1" x14ac:dyDescent="0.45">
      <c r="B938" s="1692"/>
      <c r="C938" s="1698" t="s">
        <v>329</v>
      </c>
      <c r="D938" s="125" t="s">
        <v>326</v>
      </c>
      <c r="E938" s="682"/>
      <c r="F938" s="682"/>
      <c r="G938" s="682"/>
      <c r="H938" s="682"/>
      <c r="I938" s="682"/>
      <c r="J938" s="682"/>
      <c r="K938" s="682"/>
      <c r="L938" s="682"/>
      <c r="M938" s="682"/>
      <c r="N938" s="682"/>
      <c r="O938" s="682"/>
      <c r="P938" s="682"/>
      <c r="Q938" s="682"/>
      <c r="R938" s="682"/>
      <c r="S938" s="682"/>
      <c r="T938" s="682"/>
      <c r="U938" s="682"/>
      <c r="V938" s="682"/>
      <c r="W938" s="682"/>
      <c r="X938" s="682"/>
      <c r="Y938" s="683"/>
      <c r="Z938" s="683"/>
      <c r="AA938" s="683"/>
      <c r="AB938" s="684"/>
    </row>
    <row r="939" spans="2:28" s="780" customFormat="1" hidden="1" x14ac:dyDescent="0.45">
      <c r="B939" s="1692"/>
      <c r="C939" s="1695"/>
      <c r="D939" s="124" t="s">
        <v>327</v>
      </c>
      <c r="E939" s="675"/>
      <c r="F939" s="675"/>
      <c r="G939" s="675"/>
      <c r="H939" s="675"/>
      <c r="I939" s="675"/>
      <c r="J939" s="675"/>
      <c r="K939" s="675"/>
      <c r="L939" s="675"/>
      <c r="M939" s="675"/>
      <c r="N939" s="675"/>
      <c r="O939" s="675"/>
      <c r="P939" s="675"/>
      <c r="Q939" s="675"/>
      <c r="R939" s="675"/>
      <c r="S939" s="675"/>
      <c r="T939" s="675"/>
      <c r="U939" s="675"/>
      <c r="V939" s="675"/>
      <c r="W939" s="675"/>
      <c r="X939" s="675"/>
      <c r="Y939" s="676"/>
      <c r="Z939" s="676"/>
      <c r="AA939" s="676"/>
      <c r="AB939" s="677"/>
    </row>
    <row r="940" spans="2:28" s="780" customFormat="1" hidden="1" x14ac:dyDescent="0.45">
      <c r="B940" s="1692"/>
      <c r="C940" s="1696" t="s">
        <v>330</v>
      </c>
      <c r="D940" s="122" t="s">
        <v>326</v>
      </c>
      <c r="E940" s="678"/>
      <c r="F940" s="678"/>
      <c r="G940" s="678"/>
      <c r="H940" s="678"/>
      <c r="I940" s="678"/>
      <c r="J940" s="678"/>
      <c r="K940" s="678"/>
      <c r="L940" s="678"/>
      <c r="M940" s="678"/>
      <c r="N940" s="678"/>
      <c r="O940" s="678"/>
      <c r="P940" s="678"/>
      <c r="Q940" s="678"/>
      <c r="R940" s="678"/>
      <c r="S940" s="678"/>
      <c r="T940" s="678"/>
      <c r="U940" s="678"/>
      <c r="V940" s="678"/>
      <c r="W940" s="678"/>
      <c r="X940" s="678"/>
      <c r="Y940" s="679"/>
      <c r="Z940" s="679"/>
      <c r="AA940" s="679"/>
      <c r="AB940" s="680"/>
    </row>
    <row r="941" spans="2:28" s="780" customFormat="1" hidden="1" x14ac:dyDescent="0.45">
      <c r="B941" s="1692"/>
      <c r="C941" s="1697"/>
      <c r="D941" s="122" t="s">
        <v>327</v>
      </c>
      <c r="E941" s="678"/>
      <c r="F941" s="678"/>
      <c r="G941" s="678"/>
      <c r="H941" s="678"/>
      <c r="I941" s="678"/>
      <c r="J941" s="678"/>
      <c r="K941" s="678"/>
      <c r="L941" s="678"/>
      <c r="M941" s="678"/>
      <c r="N941" s="678"/>
      <c r="O941" s="678"/>
      <c r="P941" s="678"/>
      <c r="Q941" s="678"/>
      <c r="R941" s="678"/>
      <c r="S941" s="678"/>
      <c r="T941" s="678"/>
      <c r="U941" s="678"/>
      <c r="V941" s="678"/>
      <c r="W941" s="678"/>
      <c r="X941" s="681"/>
      <c r="Y941" s="679"/>
      <c r="Z941" s="679"/>
      <c r="AA941" s="679"/>
      <c r="AB941" s="680"/>
    </row>
    <row r="942" spans="2:28" s="780" customFormat="1" hidden="1" x14ac:dyDescent="0.45">
      <c r="B942" s="1692"/>
      <c r="C942" s="1698" t="s">
        <v>331</v>
      </c>
      <c r="D942" s="125" t="s">
        <v>326</v>
      </c>
      <c r="E942" s="682"/>
      <c r="F942" s="682"/>
      <c r="G942" s="685"/>
      <c r="H942" s="682"/>
      <c r="I942" s="682"/>
      <c r="J942" s="682"/>
      <c r="K942" s="682"/>
      <c r="L942" s="682"/>
      <c r="M942" s="682"/>
      <c r="N942" s="682"/>
      <c r="O942" s="682"/>
      <c r="P942" s="682"/>
      <c r="Q942" s="682"/>
      <c r="R942" s="682"/>
      <c r="S942" s="682"/>
      <c r="T942" s="682"/>
      <c r="U942" s="682"/>
      <c r="V942" s="682"/>
      <c r="W942" s="682"/>
      <c r="X942" s="682"/>
      <c r="Y942" s="683"/>
      <c r="Z942" s="683"/>
      <c r="AA942" s="683"/>
      <c r="AB942" s="684"/>
    </row>
    <row r="943" spans="2:28" s="780" customFormat="1" hidden="1" x14ac:dyDescent="0.45">
      <c r="B943" s="1692"/>
      <c r="C943" s="1695"/>
      <c r="D943" s="124" t="s">
        <v>327</v>
      </c>
      <c r="E943" s="675"/>
      <c r="F943" s="675"/>
      <c r="G943" s="686"/>
      <c r="H943" s="675"/>
      <c r="I943" s="675"/>
      <c r="J943" s="675"/>
      <c r="K943" s="675"/>
      <c r="L943" s="675"/>
      <c r="M943" s="675"/>
      <c r="N943" s="675"/>
      <c r="O943" s="675"/>
      <c r="P943" s="675"/>
      <c r="Q943" s="675"/>
      <c r="R943" s="675"/>
      <c r="S943" s="675"/>
      <c r="T943" s="675"/>
      <c r="U943" s="675"/>
      <c r="V943" s="675"/>
      <c r="W943" s="675"/>
      <c r="X943" s="675"/>
      <c r="Y943" s="676"/>
      <c r="Z943" s="676"/>
      <c r="AA943" s="676"/>
      <c r="AB943" s="677"/>
    </row>
    <row r="944" spans="2:28" s="780" customFormat="1" hidden="1" x14ac:dyDescent="0.45">
      <c r="B944" s="1692"/>
      <c r="C944" s="1696" t="s">
        <v>332</v>
      </c>
      <c r="D944" s="122" t="s">
        <v>326</v>
      </c>
      <c r="E944" s="678"/>
      <c r="F944" s="678"/>
      <c r="G944" s="678"/>
      <c r="H944" s="678"/>
      <c r="I944" s="678"/>
      <c r="J944" s="678"/>
      <c r="K944" s="678"/>
      <c r="L944" s="678"/>
      <c r="M944" s="678"/>
      <c r="N944" s="678"/>
      <c r="O944" s="678"/>
      <c r="P944" s="678"/>
      <c r="Q944" s="678"/>
      <c r="R944" s="678"/>
      <c r="S944" s="678"/>
      <c r="T944" s="678"/>
      <c r="U944" s="678"/>
      <c r="V944" s="678"/>
      <c r="W944" s="679"/>
      <c r="X944" s="679"/>
      <c r="Y944" s="679"/>
      <c r="Z944" s="679"/>
      <c r="AA944" s="679"/>
      <c r="AB944" s="680"/>
    </row>
    <row r="945" spans="2:28" s="780" customFormat="1" hidden="1" x14ac:dyDescent="0.45">
      <c r="B945" s="1692"/>
      <c r="C945" s="1697"/>
      <c r="D945" s="122" t="s">
        <v>327</v>
      </c>
      <c r="E945" s="678"/>
      <c r="F945" s="678"/>
      <c r="G945" s="678"/>
      <c r="H945" s="678"/>
      <c r="I945" s="678"/>
      <c r="J945" s="678"/>
      <c r="K945" s="678"/>
      <c r="L945" s="678"/>
      <c r="M945" s="678"/>
      <c r="N945" s="678"/>
      <c r="O945" s="678"/>
      <c r="P945" s="678"/>
      <c r="Q945" s="678"/>
      <c r="R945" s="678"/>
      <c r="S945" s="678"/>
      <c r="T945" s="678"/>
      <c r="U945" s="678"/>
      <c r="V945" s="678"/>
      <c r="W945" s="678"/>
      <c r="X945" s="678"/>
      <c r="Y945" s="679"/>
      <c r="Z945" s="679"/>
      <c r="AA945" s="679"/>
      <c r="AB945" s="680"/>
    </row>
    <row r="946" spans="2:28" s="780" customFormat="1" hidden="1" x14ac:dyDescent="0.45">
      <c r="B946" s="1692"/>
      <c r="C946" s="1698" t="s">
        <v>333</v>
      </c>
      <c r="D946" s="124" t="s">
        <v>326</v>
      </c>
      <c r="E946" s="675"/>
      <c r="F946" s="675"/>
      <c r="G946" s="675"/>
      <c r="H946" s="675"/>
      <c r="I946" s="675"/>
      <c r="J946" s="675"/>
      <c r="K946" s="675"/>
      <c r="L946" s="675"/>
      <c r="M946" s="675"/>
      <c r="N946" s="675"/>
      <c r="O946" s="675"/>
      <c r="P946" s="675"/>
      <c r="Q946" s="675"/>
      <c r="R946" s="675"/>
      <c r="S946" s="675"/>
      <c r="T946" s="675"/>
      <c r="U946" s="675"/>
      <c r="V946" s="675"/>
      <c r="W946" s="676"/>
      <c r="X946" s="676"/>
      <c r="Y946" s="676"/>
      <c r="Z946" s="676"/>
      <c r="AA946" s="676"/>
      <c r="AB946" s="677"/>
    </row>
    <row r="947" spans="2:28" s="780" customFormat="1" hidden="1" x14ac:dyDescent="0.45">
      <c r="B947" s="1693"/>
      <c r="C947" s="1699"/>
      <c r="D947" s="126" t="s">
        <v>327</v>
      </c>
      <c r="E947" s="687"/>
      <c r="F947" s="687"/>
      <c r="G947" s="687"/>
      <c r="H947" s="687"/>
      <c r="I947" s="687"/>
      <c r="J947" s="687"/>
      <c r="K947" s="687"/>
      <c r="L947" s="687"/>
      <c r="M947" s="687"/>
      <c r="N947" s="687"/>
      <c r="O947" s="687"/>
      <c r="P947" s="687"/>
      <c r="Q947" s="687"/>
      <c r="R947" s="687"/>
      <c r="S947" s="687"/>
      <c r="T947" s="687"/>
      <c r="U947" s="687"/>
      <c r="V947" s="687"/>
      <c r="W947" s="687"/>
      <c r="X947" s="687"/>
      <c r="Y947" s="687"/>
      <c r="Z947" s="687"/>
      <c r="AA947" s="687"/>
      <c r="AB947" s="688"/>
    </row>
    <row r="948" spans="2:28" s="780" customFormat="1" hidden="1" x14ac:dyDescent="0.45"/>
    <row r="949" spans="2:28" s="780" customFormat="1" hidden="1" x14ac:dyDescent="0.45">
      <c r="B949" s="1688" t="s">
        <v>54</v>
      </c>
      <c r="C949" s="1689"/>
      <c r="D949" s="1690"/>
      <c r="E949" s="779"/>
      <c r="F949" s="779"/>
      <c r="G949" s="779"/>
      <c r="H949" s="779"/>
      <c r="I949" s="779"/>
      <c r="J949" s="779"/>
      <c r="K949" s="779"/>
      <c r="L949" s="779"/>
      <c r="M949" s="779"/>
      <c r="N949" s="779"/>
      <c r="O949" s="779"/>
      <c r="P949" s="779"/>
      <c r="Q949" s="779"/>
      <c r="R949" s="779"/>
      <c r="S949" s="779"/>
      <c r="T949" s="779"/>
      <c r="U949" s="779"/>
      <c r="V949" s="779"/>
      <c r="W949" s="779"/>
      <c r="X949" s="779"/>
      <c r="Y949" s="779"/>
      <c r="Z949" s="779"/>
      <c r="AA949" s="779"/>
      <c r="AB949" s="708"/>
    </row>
    <row r="950" spans="2:28" s="780" customFormat="1" ht="15" hidden="1" customHeight="1" x14ac:dyDescent="0.45">
      <c r="B950" s="1691" t="str">
        <f>CONCATENATE("Plan ", INDEX(plans_index,,(ROW(B950)-6)/16), ": ", INDEX(plans_name,,(ROW(B950)-6)/16))</f>
        <v xml:space="preserve">Plan 59: </v>
      </c>
      <c r="C950" s="1694" t="s">
        <v>325</v>
      </c>
      <c r="D950" s="123" t="s">
        <v>326</v>
      </c>
      <c r="E950" s="672"/>
      <c r="F950" s="672"/>
      <c r="G950" s="672"/>
      <c r="H950" s="673"/>
      <c r="I950" s="672"/>
      <c r="J950" s="672"/>
      <c r="K950" s="672"/>
      <c r="L950" s="672"/>
      <c r="M950" s="672"/>
      <c r="N950" s="672"/>
      <c r="O950" s="672"/>
      <c r="P950" s="672"/>
      <c r="Q950" s="672"/>
      <c r="R950" s="672"/>
      <c r="S950" s="672"/>
      <c r="T950" s="672"/>
      <c r="U950" s="672"/>
      <c r="V950" s="672"/>
      <c r="W950" s="672"/>
      <c r="X950" s="672"/>
      <c r="Y950" s="672"/>
      <c r="Z950" s="672"/>
      <c r="AA950" s="672"/>
      <c r="AB950" s="674"/>
    </row>
    <row r="951" spans="2:28" s="780" customFormat="1" hidden="1" x14ac:dyDescent="0.45">
      <c r="B951" s="1692"/>
      <c r="C951" s="1695"/>
      <c r="D951" s="124" t="s">
        <v>327</v>
      </c>
      <c r="E951" s="675"/>
      <c r="F951" s="675"/>
      <c r="G951" s="675"/>
      <c r="H951" s="675"/>
      <c r="I951" s="675"/>
      <c r="J951" s="675"/>
      <c r="K951" s="675"/>
      <c r="L951" s="675"/>
      <c r="M951" s="675"/>
      <c r="N951" s="675"/>
      <c r="O951" s="675"/>
      <c r="P951" s="675"/>
      <c r="Q951" s="675"/>
      <c r="R951" s="675"/>
      <c r="S951" s="675"/>
      <c r="T951" s="675"/>
      <c r="U951" s="675"/>
      <c r="V951" s="675"/>
      <c r="W951" s="675"/>
      <c r="X951" s="675"/>
      <c r="Y951" s="676"/>
      <c r="Z951" s="676"/>
      <c r="AA951" s="676"/>
      <c r="AB951" s="677"/>
    </row>
    <row r="952" spans="2:28" s="780" customFormat="1" hidden="1" x14ac:dyDescent="0.45">
      <c r="B952" s="1692"/>
      <c r="C952" s="1696" t="s">
        <v>328</v>
      </c>
      <c r="D952" s="122" t="s">
        <v>326</v>
      </c>
      <c r="E952" s="678"/>
      <c r="F952" s="678"/>
      <c r="G952" s="678"/>
      <c r="H952" s="678"/>
      <c r="I952" s="678"/>
      <c r="J952" s="678"/>
      <c r="K952" s="678"/>
      <c r="L952" s="678"/>
      <c r="M952" s="678"/>
      <c r="N952" s="678"/>
      <c r="O952" s="678"/>
      <c r="P952" s="678"/>
      <c r="Q952" s="678"/>
      <c r="R952" s="678"/>
      <c r="S952" s="678"/>
      <c r="T952" s="678"/>
      <c r="U952" s="678"/>
      <c r="V952" s="678"/>
      <c r="W952" s="678"/>
      <c r="X952" s="678"/>
      <c r="Y952" s="679"/>
      <c r="Z952" s="679"/>
      <c r="AA952" s="679"/>
      <c r="AB952" s="680"/>
    </row>
    <row r="953" spans="2:28" s="780" customFormat="1" hidden="1" x14ac:dyDescent="0.45">
      <c r="B953" s="1692"/>
      <c r="C953" s="1697"/>
      <c r="D953" s="122" t="s">
        <v>327</v>
      </c>
      <c r="E953" s="678"/>
      <c r="F953" s="678"/>
      <c r="G953" s="678"/>
      <c r="H953" s="678"/>
      <c r="I953" s="678"/>
      <c r="J953" s="678"/>
      <c r="K953" s="678"/>
      <c r="L953" s="678"/>
      <c r="M953" s="678"/>
      <c r="N953" s="678"/>
      <c r="O953" s="678"/>
      <c r="P953" s="678"/>
      <c r="Q953" s="678"/>
      <c r="R953" s="678"/>
      <c r="S953" s="678"/>
      <c r="T953" s="678"/>
      <c r="U953" s="678"/>
      <c r="V953" s="678"/>
      <c r="W953" s="678"/>
      <c r="X953" s="681"/>
      <c r="Y953" s="679"/>
      <c r="Z953" s="679"/>
      <c r="AA953" s="679"/>
      <c r="AB953" s="680"/>
    </row>
    <row r="954" spans="2:28" s="780" customFormat="1" hidden="1" x14ac:dyDescent="0.45">
      <c r="B954" s="1692"/>
      <c r="C954" s="1698" t="s">
        <v>329</v>
      </c>
      <c r="D954" s="125" t="s">
        <v>326</v>
      </c>
      <c r="E954" s="682"/>
      <c r="F954" s="682"/>
      <c r="G954" s="682"/>
      <c r="H954" s="682"/>
      <c r="I954" s="682"/>
      <c r="J954" s="682"/>
      <c r="K954" s="682"/>
      <c r="L954" s="682"/>
      <c r="M954" s="682"/>
      <c r="N954" s="682"/>
      <c r="O954" s="682"/>
      <c r="P954" s="682"/>
      <c r="Q954" s="682"/>
      <c r="R954" s="682"/>
      <c r="S954" s="682"/>
      <c r="T954" s="682"/>
      <c r="U954" s="682"/>
      <c r="V954" s="682"/>
      <c r="W954" s="682"/>
      <c r="X954" s="682"/>
      <c r="Y954" s="683"/>
      <c r="Z954" s="683"/>
      <c r="AA954" s="683"/>
      <c r="AB954" s="684"/>
    </row>
    <row r="955" spans="2:28" s="780" customFormat="1" hidden="1" x14ac:dyDescent="0.45">
      <c r="B955" s="1692"/>
      <c r="C955" s="1695"/>
      <c r="D955" s="124" t="s">
        <v>327</v>
      </c>
      <c r="E955" s="675"/>
      <c r="F955" s="675"/>
      <c r="G955" s="675"/>
      <c r="H955" s="675"/>
      <c r="I955" s="675"/>
      <c r="J955" s="675"/>
      <c r="K955" s="675"/>
      <c r="L955" s="675"/>
      <c r="M955" s="675"/>
      <c r="N955" s="675"/>
      <c r="O955" s="675"/>
      <c r="P955" s="675"/>
      <c r="Q955" s="675"/>
      <c r="R955" s="675"/>
      <c r="S955" s="675"/>
      <c r="T955" s="675"/>
      <c r="U955" s="675"/>
      <c r="V955" s="675"/>
      <c r="W955" s="675"/>
      <c r="X955" s="675"/>
      <c r="Y955" s="676"/>
      <c r="Z955" s="676"/>
      <c r="AA955" s="676"/>
      <c r="AB955" s="677"/>
    </row>
    <row r="956" spans="2:28" s="780" customFormat="1" hidden="1" x14ac:dyDescent="0.45">
      <c r="B956" s="1692"/>
      <c r="C956" s="1696" t="s">
        <v>330</v>
      </c>
      <c r="D956" s="122" t="s">
        <v>326</v>
      </c>
      <c r="E956" s="678"/>
      <c r="F956" s="678"/>
      <c r="G956" s="678"/>
      <c r="H956" s="678"/>
      <c r="I956" s="678"/>
      <c r="J956" s="678"/>
      <c r="K956" s="678"/>
      <c r="L956" s="678"/>
      <c r="M956" s="678"/>
      <c r="N956" s="678"/>
      <c r="O956" s="678"/>
      <c r="P956" s="678"/>
      <c r="Q956" s="678"/>
      <c r="R956" s="678"/>
      <c r="S956" s="678"/>
      <c r="T956" s="678"/>
      <c r="U956" s="678"/>
      <c r="V956" s="678"/>
      <c r="W956" s="678"/>
      <c r="X956" s="678"/>
      <c r="Y956" s="679"/>
      <c r="Z956" s="679"/>
      <c r="AA956" s="679"/>
      <c r="AB956" s="680"/>
    </row>
    <row r="957" spans="2:28" s="780" customFormat="1" hidden="1" x14ac:dyDescent="0.45">
      <c r="B957" s="1692"/>
      <c r="C957" s="1697"/>
      <c r="D957" s="122" t="s">
        <v>327</v>
      </c>
      <c r="E957" s="678"/>
      <c r="F957" s="678"/>
      <c r="G957" s="678"/>
      <c r="H957" s="678"/>
      <c r="I957" s="678"/>
      <c r="J957" s="678"/>
      <c r="K957" s="678"/>
      <c r="L957" s="678"/>
      <c r="M957" s="678"/>
      <c r="N957" s="678"/>
      <c r="O957" s="678"/>
      <c r="P957" s="678"/>
      <c r="Q957" s="678"/>
      <c r="R957" s="678"/>
      <c r="S957" s="678"/>
      <c r="T957" s="678"/>
      <c r="U957" s="678"/>
      <c r="V957" s="678"/>
      <c r="W957" s="678"/>
      <c r="X957" s="681"/>
      <c r="Y957" s="679"/>
      <c r="Z957" s="679"/>
      <c r="AA957" s="679"/>
      <c r="AB957" s="680"/>
    </row>
    <row r="958" spans="2:28" s="780" customFormat="1" hidden="1" x14ac:dyDescent="0.45">
      <c r="B958" s="1692"/>
      <c r="C958" s="1698" t="s">
        <v>331</v>
      </c>
      <c r="D958" s="125" t="s">
        <v>326</v>
      </c>
      <c r="E958" s="682"/>
      <c r="F958" s="682"/>
      <c r="G958" s="685"/>
      <c r="H958" s="682"/>
      <c r="I958" s="682"/>
      <c r="J958" s="682"/>
      <c r="K958" s="682"/>
      <c r="L958" s="682"/>
      <c r="M958" s="682"/>
      <c r="N958" s="682"/>
      <c r="O958" s="682"/>
      <c r="P958" s="682"/>
      <c r="Q958" s="682"/>
      <c r="R958" s="682"/>
      <c r="S958" s="682"/>
      <c r="T958" s="682"/>
      <c r="U958" s="682"/>
      <c r="V958" s="682"/>
      <c r="W958" s="682"/>
      <c r="X958" s="682"/>
      <c r="Y958" s="683"/>
      <c r="Z958" s="683"/>
      <c r="AA958" s="683"/>
      <c r="AB958" s="684"/>
    </row>
    <row r="959" spans="2:28" s="780" customFormat="1" hidden="1" x14ac:dyDescent="0.45">
      <c r="B959" s="1692"/>
      <c r="C959" s="1695"/>
      <c r="D959" s="124" t="s">
        <v>327</v>
      </c>
      <c r="E959" s="675"/>
      <c r="F959" s="675"/>
      <c r="G959" s="686"/>
      <c r="H959" s="675"/>
      <c r="I959" s="675"/>
      <c r="J959" s="675"/>
      <c r="K959" s="675"/>
      <c r="L959" s="675"/>
      <c r="M959" s="675"/>
      <c r="N959" s="675"/>
      <c r="O959" s="675"/>
      <c r="P959" s="675"/>
      <c r="Q959" s="675"/>
      <c r="R959" s="675"/>
      <c r="S959" s="675"/>
      <c r="T959" s="675"/>
      <c r="U959" s="675"/>
      <c r="V959" s="675"/>
      <c r="W959" s="675"/>
      <c r="X959" s="675"/>
      <c r="Y959" s="676"/>
      <c r="Z959" s="676"/>
      <c r="AA959" s="676"/>
      <c r="AB959" s="677"/>
    </row>
    <row r="960" spans="2:28" s="780" customFormat="1" hidden="1" x14ac:dyDescent="0.45">
      <c r="B960" s="1692"/>
      <c r="C960" s="1696" t="s">
        <v>332</v>
      </c>
      <c r="D960" s="122" t="s">
        <v>326</v>
      </c>
      <c r="E960" s="678"/>
      <c r="F960" s="678"/>
      <c r="G960" s="678"/>
      <c r="H960" s="678"/>
      <c r="I960" s="678"/>
      <c r="J960" s="678"/>
      <c r="K960" s="678"/>
      <c r="L960" s="678"/>
      <c r="M960" s="678"/>
      <c r="N960" s="678"/>
      <c r="O960" s="678"/>
      <c r="P960" s="678"/>
      <c r="Q960" s="678"/>
      <c r="R960" s="678"/>
      <c r="S960" s="678"/>
      <c r="T960" s="678"/>
      <c r="U960" s="678"/>
      <c r="V960" s="678"/>
      <c r="W960" s="679"/>
      <c r="X960" s="679"/>
      <c r="Y960" s="679"/>
      <c r="Z960" s="679"/>
      <c r="AA960" s="679"/>
      <c r="AB960" s="680"/>
    </row>
    <row r="961" spans="2:28" s="780" customFormat="1" hidden="1" x14ac:dyDescent="0.45">
      <c r="B961" s="1692"/>
      <c r="C961" s="1697"/>
      <c r="D961" s="122" t="s">
        <v>327</v>
      </c>
      <c r="E961" s="678"/>
      <c r="F961" s="678"/>
      <c r="G961" s="678"/>
      <c r="H961" s="678"/>
      <c r="I961" s="678"/>
      <c r="J961" s="678"/>
      <c r="K961" s="678"/>
      <c r="L961" s="678"/>
      <c r="M961" s="678"/>
      <c r="N961" s="678"/>
      <c r="O961" s="678"/>
      <c r="P961" s="678"/>
      <c r="Q961" s="678"/>
      <c r="R961" s="678"/>
      <c r="S961" s="678"/>
      <c r="T961" s="678"/>
      <c r="U961" s="678"/>
      <c r="V961" s="678"/>
      <c r="W961" s="678"/>
      <c r="X961" s="678"/>
      <c r="Y961" s="679"/>
      <c r="Z961" s="679"/>
      <c r="AA961" s="679"/>
      <c r="AB961" s="680"/>
    </row>
    <row r="962" spans="2:28" s="780" customFormat="1" hidden="1" x14ac:dyDescent="0.45">
      <c r="B962" s="1692"/>
      <c r="C962" s="1698" t="s">
        <v>333</v>
      </c>
      <c r="D962" s="124" t="s">
        <v>326</v>
      </c>
      <c r="E962" s="675"/>
      <c r="F962" s="675"/>
      <c r="G962" s="675"/>
      <c r="H962" s="675"/>
      <c r="I962" s="675"/>
      <c r="J962" s="675"/>
      <c r="K962" s="675"/>
      <c r="L962" s="675"/>
      <c r="M962" s="675"/>
      <c r="N962" s="675"/>
      <c r="O962" s="675"/>
      <c r="P962" s="675"/>
      <c r="Q962" s="675"/>
      <c r="R962" s="675"/>
      <c r="S962" s="675"/>
      <c r="T962" s="675"/>
      <c r="U962" s="675"/>
      <c r="V962" s="675"/>
      <c r="W962" s="676"/>
      <c r="X962" s="676"/>
      <c r="Y962" s="676"/>
      <c r="Z962" s="676"/>
      <c r="AA962" s="676"/>
      <c r="AB962" s="677"/>
    </row>
    <row r="963" spans="2:28" s="780" customFormat="1" hidden="1" x14ac:dyDescent="0.45">
      <c r="B963" s="1693"/>
      <c r="C963" s="1699"/>
      <c r="D963" s="126" t="s">
        <v>327</v>
      </c>
      <c r="E963" s="687"/>
      <c r="F963" s="687"/>
      <c r="G963" s="687"/>
      <c r="H963" s="687"/>
      <c r="I963" s="687"/>
      <c r="J963" s="687"/>
      <c r="K963" s="687"/>
      <c r="L963" s="687"/>
      <c r="M963" s="687"/>
      <c r="N963" s="687"/>
      <c r="O963" s="687"/>
      <c r="P963" s="687"/>
      <c r="Q963" s="687"/>
      <c r="R963" s="687"/>
      <c r="S963" s="687"/>
      <c r="T963" s="687"/>
      <c r="U963" s="687"/>
      <c r="V963" s="687"/>
      <c r="W963" s="687"/>
      <c r="X963" s="687"/>
      <c r="Y963" s="687"/>
      <c r="Z963" s="687"/>
      <c r="AA963" s="687"/>
      <c r="AB963" s="688"/>
    </row>
    <row r="964" spans="2:28" s="780" customFormat="1" hidden="1" x14ac:dyDescent="0.45"/>
    <row r="965" spans="2:28" s="780" customFormat="1" hidden="1" x14ac:dyDescent="0.45">
      <c r="B965" s="1688" t="s">
        <v>54</v>
      </c>
      <c r="C965" s="1689"/>
      <c r="D965" s="1690"/>
      <c r="E965" s="779"/>
      <c r="F965" s="779"/>
      <c r="G965" s="779"/>
      <c r="H965" s="779"/>
      <c r="I965" s="779"/>
      <c r="J965" s="779"/>
      <c r="K965" s="779"/>
      <c r="L965" s="779"/>
      <c r="M965" s="779"/>
      <c r="N965" s="779"/>
      <c r="O965" s="779"/>
      <c r="P965" s="779"/>
      <c r="Q965" s="779"/>
      <c r="R965" s="779"/>
      <c r="S965" s="779"/>
      <c r="T965" s="779"/>
      <c r="U965" s="779"/>
      <c r="V965" s="779"/>
      <c r="W965" s="779"/>
      <c r="X965" s="779"/>
      <c r="Y965" s="779"/>
      <c r="Z965" s="779"/>
      <c r="AA965" s="779"/>
      <c r="AB965" s="708"/>
    </row>
    <row r="966" spans="2:28" s="780" customFormat="1" ht="15" hidden="1" customHeight="1" x14ac:dyDescent="0.45">
      <c r="B966" s="1691" t="str">
        <f>CONCATENATE("Plan ", INDEX(plans_index,,(ROW(B966)-6)/16), ": ", INDEX(plans_name,,(ROW(B966)-6)/16))</f>
        <v xml:space="preserve">Plan 60: </v>
      </c>
      <c r="C966" s="1694" t="s">
        <v>325</v>
      </c>
      <c r="D966" s="123" t="s">
        <v>326</v>
      </c>
      <c r="E966" s="672"/>
      <c r="F966" s="672"/>
      <c r="G966" s="672"/>
      <c r="H966" s="673"/>
      <c r="I966" s="672"/>
      <c r="J966" s="672"/>
      <c r="K966" s="672"/>
      <c r="L966" s="672"/>
      <c r="M966" s="672"/>
      <c r="N966" s="672"/>
      <c r="O966" s="672"/>
      <c r="P966" s="672"/>
      <c r="Q966" s="672"/>
      <c r="R966" s="672"/>
      <c r="S966" s="672"/>
      <c r="T966" s="672"/>
      <c r="U966" s="672"/>
      <c r="V966" s="672"/>
      <c r="W966" s="672"/>
      <c r="X966" s="672"/>
      <c r="Y966" s="672"/>
      <c r="Z966" s="672"/>
      <c r="AA966" s="672"/>
      <c r="AB966" s="674"/>
    </row>
    <row r="967" spans="2:28" s="780" customFormat="1" hidden="1" x14ac:dyDescent="0.45">
      <c r="B967" s="1692"/>
      <c r="C967" s="1695"/>
      <c r="D967" s="124" t="s">
        <v>327</v>
      </c>
      <c r="E967" s="675"/>
      <c r="F967" s="675"/>
      <c r="G967" s="675"/>
      <c r="H967" s="675"/>
      <c r="I967" s="675"/>
      <c r="J967" s="675"/>
      <c r="K967" s="675"/>
      <c r="L967" s="675"/>
      <c r="M967" s="675"/>
      <c r="N967" s="675"/>
      <c r="O967" s="675"/>
      <c r="P967" s="675"/>
      <c r="Q967" s="675"/>
      <c r="R967" s="675"/>
      <c r="S967" s="675"/>
      <c r="T967" s="675"/>
      <c r="U967" s="675"/>
      <c r="V967" s="675"/>
      <c r="W967" s="675"/>
      <c r="X967" s="675"/>
      <c r="Y967" s="676"/>
      <c r="Z967" s="676"/>
      <c r="AA967" s="676"/>
      <c r="AB967" s="677"/>
    </row>
    <row r="968" spans="2:28" s="780" customFormat="1" hidden="1" x14ac:dyDescent="0.45">
      <c r="B968" s="1692"/>
      <c r="C968" s="1696" t="s">
        <v>328</v>
      </c>
      <c r="D968" s="122" t="s">
        <v>326</v>
      </c>
      <c r="E968" s="678"/>
      <c r="F968" s="678"/>
      <c r="G968" s="678"/>
      <c r="H968" s="678"/>
      <c r="I968" s="678"/>
      <c r="J968" s="678"/>
      <c r="K968" s="678"/>
      <c r="L968" s="678"/>
      <c r="M968" s="678"/>
      <c r="N968" s="678"/>
      <c r="O968" s="678"/>
      <c r="P968" s="678"/>
      <c r="Q968" s="678"/>
      <c r="R968" s="678"/>
      <c r="S968" s="678"/>
      <c r="T968" s="678"/>
      <c r="U968" s="678"/>
      <c r="V968" s="678"/>
      <c r="W968" s="678"/>
      <c r="X968" s="678"/>
      <c r="Y968" s="679"/>
      <c r="Z968" s="679"/>
      <c r="AA968" s="679"/>
      <c r="AB968" s="680"/>
    </row>
    <row r="969" spans="2:28" s="780" customFormat="1" hidden="1" x14ac:dyDescent="0.45">
      <c r="B969" s="1692"/>
      <c r="C969" s="1697"/>
      <c r="D969" s="122" t="s">
        <v>327</v>
      </c>
      <c r="E969" s="678"/>
      <c r="F969" s="678"/>
      <c r="G969" s="678"/>
      <c r="H969" s="678"/>
      <c r="I969" s="678"/>
      <c r="J969" s="678"/>
      <c r="K969" s="678"/>
      <c r="L969" s="678"/>
      <c r="M969" s="678"/>
      <c r="N969" s="678"/>
      <c r="O969" s="678"/>
      <c r="P969" s="678"/>
      <c r="Q969" s="678"/>
      <c r="R969" s="678"/>
      <c r="S969" s="678"/>
      <c r="T969" s="678"/>
      <c r="U969" s="678"/>
      <c r="V969" s="678"/>
      <c r="W969" s="678"/>
      <c r="X969" s="681"/>
      <c r="Y969" s="679"/>
      <c r="Z969" s="679"/>
      <c r="AA969" s="679"/>
      <c r="AB969" s="680"/>
    </row>
    <row r="970" spans="2:28" s="780" customFormat="1" hidden="1" x14ac:dyDescent="0.45">
      <c r="B970" s="1692"/>
      <c r="C970" s="1698" t="s">
        <v>329</v>
      </c>
      <c r="D970" s="125" t="s">
        <v>326</v>
      </c>
      <c r="E970" s="682"/>
      <c r="F970" s="682"/>
      <c r="G970" s="682"/>
      <c r="H970" s="682"/>
      <c r="I970" s="682"/>
      <c r="J970" s="682"/>
      <c r="K970" s="682"/>
      <c r="L970" s="682"/>
      <c r="M970" s="682"/>
      <c r="N970" s="682"/>
      <c r="O970" s="682"/>
      <c r="P970" s="682"/>
      <c r="Q970" s="682"/>
      <c r="R970" s="682"/>
      <c r="S970" s="682"/>
      <c r="T970" s="682"/>
      <c r="U970" s="682"/>
      <c r="V970" s="682"/>
      <c r="W970" s="682"/>
      <c r="X970" s="682"/>
      <c r="Y970" s="683"/>
      <c r="Z970" s="683"/>
      <c r="AA970" s="683"/>
      <c r="AB970" s="684"/>
    </row>
    <row r="971" spans="2:28" s="780" customFormat="1" hidden="1" x14ac:dyDescent="0.45">
      <c r="B971" s="1692"/>
      <c r="C971" s="1695"/>
      <c r="D971" s="124" t="s">
        <v>327</v>
      </c>
      <c r="E971" s="675"/>
      <c r="F971" s="675"/>
      <c r="G971" s="675"/>
      <c r="H971" s="675"/>
      <c r="I971" s="675"/>
      <c r="J971" s="675"/>
      <c r="K971" s="675"/>
      <c r="L971" s="675"/>
      <c r="M971" s="675"/>
      <c r="N971" s="675"/>
      <c r="O971" s="675"/>
      <c r="P971" s="675"/>
      <c r="Q971" s="675"/>
      <c r="R971" s="675"/>
      <c r="S971" s="675"/>
      <c r="T971" s="675"/>
      <c r="U971" s="675"/>
      <c r="V971" s="675"/>
      <c r="W971" s="675"/>
      <c r="X971" s="675"/>
      <c r="Y971" s="676"/>
      <c r="Z971" s="676"/>
      <c r="AA971" s="676"/>
      <c r="AB971" s="677"/>
    </row>
    <row r="972" spans="2:28" s="780" customFormat="1" hidden="1" x14ac:dyDescent="0.45">
      <c r="B972" s="1692"/>
      <c r="C972" s="1696" t="s">
        <v>330</v>
      </c>
      <c r="D972" s="122" t="s">
        <v>326</v>
      </c>
      <c r="E972" s="678"/>
      <c r="F972" s="678"/>
      <c r="G972" s="678"/>
      <c r="H972" s="678"/>
      <c r="I972" s="678"/>
      <c r="J972" s="678"/>
      <c r="K972" s="678"/>
      <c r="L972" s="678"/>
      <c r="M972" s="678"/>
      <c r="N972" s="678"/>
      <c r="O972" s="678"/>
      <c r="P972" s="678"/>
      <c r="Q972" s="678"/>
      <c r="R972" s="678"/>
      <c r="S972" s="678"/>
      <c r="T972" s="678"/>
      <c r="U972" s="678"/>
      <c r="V972" s="678"/>
      <c r="W972" s="678"/>
      <c r="X972" s="678"/>
      <c r="Y972" s="679"/>
      <c r="Z972" s="679"/>
      <c r="AA972" s="679"/>
      <c r="AB972" s="680"/>
    </row>
    <row r="973" spans="2:28" s="780" customFormat="1" hidden="1" x14ac:dyDescent="0.45">
      <c r="B973" s="1692"/>
      <c r="C973" s="1697"/>
      <c r="D973" s="122" t="s">
        <v>327</v>
      </c>
      <c r="E973" s="678"/>
      <c r="F973" s="678"/>
      <c r="G973" s="678"/>
      <c r="H973" s="678"/>
      <c r="I973" s="678"/>
      <c r="J973" s="678"/>
      <c r="K973" s="678"/>
      <c r="L973" s="678"/>
      <c r="M973" s="678"/>
      <c r="N973" s="678"/>
      <c r="O973" s="678"/>
      <c r="P973" s="678"/>
      <c r="Q973" s="678"/>
      <c r="R973" s="678"/>
      <c r="S973" s="678"/>
      <c r="T973" s="678"/>
      <c r="U973" s="678"/>
      <c r="V973" s="678"/>
      <c r="W973" s="678"/>
      <c r="X973" s="681"/>
      <c r="Y973" s="679"/>
      <c r="Z973" s="679"/>
      <c r="AA973" s="679"/>
      <c r="AB973" s="680"/>
    </row>
    <row r="974" spans="2:28" s="780" customFormat="1" hidden="1" x14ac:dyDescent="0.45">
      <c r="B974" s="1692"/>
      <c r="C974" s="1698" t="s">
        <v>331</v>
      </c>
      <c r="D974" s="125" t="s">
        <v>326</v>
      </c>
      <c r="E974" s="682"/>
      <c r="F974" s="682"/>
      <c r="G974" s="685"/>
      <c r="H974" s="682"/>
      <c r="I974" s="682"/>
      <c r="J974" s="682"/>
      <c r="K974" s="682"/>
      <c r="L974" s="682"/>
      <c r="M974" s="682"/>
      <c r="N974" s="682"/>
      <c r="O974" s="682"/>
      <c r="P974" s="682"/>
      <c r="Q974" s="682"/>
      <c r="R974" s="682"/>
      <c r="S974" s="682"/>
      <c r="T974" s="682"/>
      <c r="U974" s="682"/>
      <c r="V974" s="682"/>
      <c r="W974" s="682"/>
      <c r="X974" s="682"/>
      <c r="Y974" s="683"/>
      <c r="Z974" s="683"/>
      <c r="AA974" s="683"/>
      <c r="AB974" s="684"/>
    </row>
    <row r="975" spans="2:28" s="780" customFormat="1" hidden="1" x14ac:dyDescent="0.45">
      <c r="B975" s="1692"/>
      <c r="C975" s="1695"/>
      <c r="D975" s="124" t="s">
        <v>327</v>
      </c>
      <c r="E975" s="675"/>
      <c r="F975" s="675"/>
      <c r="G975" s="686"/>
      <c r="H975" s="675"/>
      <c r="I975" s="675"/>
      <c r="J975" s="675"/>
      <c r="K975" s="675"/>
      <c r="L975" s="675"/>
      <c r="M975" s="675"/>
      <c r="N975" s="675"/>
      <c r="O975" s="675"/>
      <c r="P975" s="675"/>
      <c r="Q975" s="675"/>
      <c r="R975" s="675"/>
      <c r="S975" s="675"/>
      <c r="T975" s="675"/>
      <c r="U975" s="675"/>
      <c r="V975" s="675"/>
      <c r="W975" s="675"/>
      <c r="X975" s="675"/>
      <c r="Y975" s="676"/>
      <c r="Z975" s="676"/>
      <c r="AA975" s="676"/>
      <c r="AB975" s="677"/>
    </row>
    <row r="976" spans="2:28" s="780" customFormat="1" hidden="1" x14ac:dyDescent="0.45">
      <c r="B976" s="1692"/>
      <c r="C976" s="1696" t="s">
        <v>332</v>
      </c>
      <c r="D976" s="122" t="s">
        <v>326</v>
      </c>
      <c r="E976" s="678"/>
      <c r="F976" s="678"/>
      <c r="G976" s="678"/>
      <c r="H976" s="678"/>
      <c r="I976" s="678"/>
      <c r="J976" s="678"/>
      <c r="K976" s="678"/>
      <c r="L976" s="678"/>
      <c r="M976" s="678"/>
      <c r="N976" s="678"/>
      <c r="O976" s="678"/>
      <c r="P976" s="678"/>
      <c r="Q976" s="678"/>
      <c r="R976" s="678"/>
      <c r="S976" s="678"/>
      <c r="T976" s="678"/>
      <c r="U976" s="678"/>
      <c r="V976" s="678"/>
      <c r="W976" s="679"/>
      <c r="X976" s="679"/>
      <c r="Y976" s="679"/>
      <c r="Z976" s="679"/>
      <c r="AA976" s="679"/>
      <c r="AB976" s="680"/>
    </row>
    <row r="977" spans="2:28" s="780" customFormat="1" hidden="1" x14ac:dyDescent="0.45">
      <c r="B977" s="1692"/>
      <c r="C977" s="1697"/>
      <c r="D977" s="122" t="s">
        <v>327</v>
      </c>
      <c r="E977" s="678"/>
      <c r="F977" s="678"/>
      <c r="G977" s="678"/>
      <c r="H977" s="678"/>
      <c r="I977" s="678"/>
      <c r="J977" s="678"/>
      <c r="K977" s="678"/>
      <c r="L977" s="678"/>
      <c r="M977" s="678"/>
      <c r="N977" s="678"/>
      <c r="O977" s="678"/>
      <c r="P977" s="678"/>
      <c r="Q977" s="678"/>
      <c r="R977" s="678"/>
      <c r="S977" s="678"/>
      <c r="T977" s="678"/>
      <c r="U977" s="678"/>
      <c r="V977" s="678"/>
      <c r="W977" s="678"/>
      <c r="X977" s="678"/>
      <c r="Y977" s="679"/>
      <c r="Z977" s="679"/>
      <c r="AA977" s="679"/>
      <c r="AB977" s="680"/>
    </row>
    <row r="978" spans="2:28" s="780" customFormat="1" hidden="1" x14ac:dyDescent="0.45">
      <c r="B978" s="1692"/>
      <c r="C978" s="1698" t="s">
        <v>333</v>
      </c>
      <c r="D978" s="124" t="s">
        <v>326</v>
      </c>
      <c r="E978" s="675"/>
      <c r="F978" s="675"/>
      <c r="G978" s="675"/>
      <c r="H978" s="675"/>
      <c r="I978" s="675"/>
      <c r="J978" s="675"/>
      <c r="K978" s="675"/>
      <c r="L978" s="675"/>
      <c r="M978" s="675"/>
      <c r="N978" s="675"/>
      <c r="O978" s="675"/>
      <c r="P978" s="675"/>
      <c r="Q978" s="675"/>
      <c r="R978" s="675"/>
      <c r="S978" s="675"/>
      <c r="T978" s="675"/>
      <c r="U978" s="675"/>
      <c r="V978" s="675"/>
      <c r="W978" s="676"/>
      <c r="X978" s="676"/>
      <c r="Y978" s="676"/>
      <c r="Z978" s="676"/>
      <c r="AA978" s="676"/>
      <c r="AB978" s="677"/>
    </row>
    <row r="979" spans="2:28" s="780" customFormat="1" hidden="1" x14ac:dyDescent="0.45">
      <c r="B979" s="1693"/>
      <c r="C979" s="1699"/>
      <c r="D979" s="126" t="s">
        <v>327</v>
      </c>
      <c r="E979" s="687"/>
      <c r="F979" s="687"/>
      <c r="G979" s="687"/>
      <c r="H979" s="687"/>
      <c r="I979" s="687"/>
      <c r="J979" s="687"/>
      <c r="K979" s="687"/>
      <c r="L979" s="687"/>
      <c r="M979" s="687"/>
      <c r="N979" s="687"/>
      <c r="O979" s="687"/>
      <c r="P979" s="687"/>
      <c r="Q979" s="687"/>
      <c r="R979" s="687"/>
      <c r="S979" s="687"/>
      <c r="T979" s="687"/>
      <c r="U979" s="687"/>
      <c r="V979" s="687"/>
      <c r="W979" s="687"/>
      <c r="X979" s="687"/>
      <c r="Y979" s="687"/>
      <c r="Z979" s="687"/>
      <c r="AA979" s="687"/>
      <c r="AB979" s="688"/>
    </row>
    <row r="980" spans="2:28" s="780" customFormat="1" hidden="1" x14ac:dyDescent="0.45"/>
    <row r="981" spans="2:28" s="780" customFormat="1" hidden="1" x14ac:dyDescent="0.45">
      <c r="B981" s="1688" t="s">
        <v>54</v>
      </c>
      <c r="C981" s="1689"/>
      <c r="D981" s="1690"/>
      <c r="E981" s="779"/>
      <c r="F981" s="779"/>
      <c r="G981" s="779"/>
      <c r="H981" s="779"/>
      <c r="I981" s="779"/>
      <c r="J981" s="779"/>
      <c r="K981" s="779"/>
      <c r="L981" s="779"/>
      <c r="M981" s="779"/>
      <c r="N981" s="779"/>
      <c r="O981" s="779"/>
      <c r="P981" s="779"/>
      <c r="Q981" s="779"/>
      <c r="R981" s="779"/>
      <c r="S981" s="779"/>
      <c r="T981" s="779"/>
      <c r="U981" s="779"/>
      <c r="V981" s="779"/>
      <c r="W981" s="779"/>
      <c r="X981" s="779"/>
      <c r="Y981" s="779"/>
      <c r="Z981" s="779"/>
      <c r="AA981" s="779"/>
      <c r="AB981" s="708"/>
    </row>
    <row r="982" spans="2:28" s="780" customFormat="1" ht="15" hidden="1" customHeight="1" x14ac:dyDescent="0.45">
      <c r="B982" s="1691" t="str">
        <f>CONCATENATE("Plan ", INDEX(plans_index,,(ROW(B982)-6)/16), ": ", INDEX(plans_name,,(ROW(B982)-6)/16))</f>
        <v xml:space="preserve">Plan 61: </v>
      </c>
      <c r="C982" s="1694" t="s">
        <v>325</v>
      </c>
      <c r="D982" s="123" t="s">
        <v>326</v>
      </c>
      <c r="E982" s="672"/>
      <c r="F982" s="672"/>
      <c r="G982" s="672"/>
      <c r="H982" s="673"/>
      <c r="I982" s="672"/>
      <c r="J982" s="672"/>
      <c r="K982" s="672"/>
      <c r="L982" s="672"/>
      <c r="M982" s="672"/>
      <c r="N982" s="672"/>
      <c r="O982" s="672"/>
      <c r="P982" s="672"/>
      <c r="Q982" s="672"/>
      <c r="R982" s="672"/>
      <c r="S982" s="672"/>
      <c r="T982" s="672"/>
      <c r="U982" s="672"/>
      <c r="V982" s="672"/>
      <c r="W982" s="672"/>
      <c r="X982" s="672"/>
      <c r="Y982" s="672"/>
      <c r="Z982" s="672"/>
      <c r="AA982" s="672"/>
      <c r="AB982" s="674"/>
    </row>
    <row r="983" spans="2:28" s="780" customFormat="1" hidden="1" x14ac:dyDescent="0.45">
      <c r="B983" s="1692"/>
      <c r="C983" s="1695"/>
      <c r="D983" s="124" t="s">
        <v>327</v>
      </c>
      <c r="E983" s="675"/>
      <c r="F983" s="675"/>
      <c r="G983" s="675"/>
      <c r="H983" s="675"/>
      <c r="I983" s="675"/>
      <c r="J983" s="675"/>
      <c r="K983" s="675"/>
      <c r="L983" s="675"/>
      <c r="M983" s="675"/>
      <c r="N983" s="675"/>
      <c r="O983" s="675"/>
      <c r="P983" s="675"/>
      <c r="Q983" s="675"/>
      <c r="R983" s="675"/>
      <c r="S983" s="675"/>
      <c r="T983" s="675"/>
      <c r="U983" s="675"/>
      <c r="V983" s="675"/>
      <c r="W983" s="675"/>
      <c r="X983" s="675"/>
      <c r="Y983" s="676"/>
      <c r="Z983" s="676"/>
      <c r="AA983" s="676"/>
      <c r="AB983" s="677"/>
    </row>
    <row r="984" spans="2:28" s="780" customFormat="1" hidden="1" x14ac:dyDescent="0.45">
      <c r="B984" s="1692"/>
      <c r="C984" s="1696" t="s">
        <v>328</v>
      </c>
      <c r="D984" s="122" t="s">
        <v>326</v>
      </c>
      <c r="E984" s="678"/>
      <c r="F984" s="678"/>
      <c r="G984" s="678"/>
      <c r="H984" s="678"/>
      <c r="I984" s="678"/>
      <c r="J984" s="678"/>
      <c r="K984" s="678"/>
      <c r="L984" s="678"/>
      <c r="M984" s="678"/>
      <c r="N984" s="678"/>
      <c r="O984" s="678"/>
      <c r="P984" s="678"/>
      <c r="Q984" s="678"/>
      <c r="R984" s="678"/>
      <c r="S984" s="678"/>
      <c r="T984" s="678"/>
      <c r="U984" s="678"/>
      <c r="V984" s="678"/>
      <c r="W984" s="678"/>
      <c r="X984" s="678"/>
      <c r="Y984" s="679"/>
      <c r="Z984" s="679"/>
      <c r="AA984" s="679"/>
      <c r="AB984" s="680"/>
    </row>
    <row r="985" spans="2:28" s="780" customFormat="1" hidden="1" x14ac:dyDescent="0.45">
      <c r="B985" s="1692"/>
      <c r="C985" s="1697"/>
      <c r="D985" s="122" t="s">
        <v>327</v>
      </c>
      <c r="E985" s="678"/>
      <c r="F985" s="678"/>
      <c r="G985" s="678"/>
      <c r="H985" s="678"/>
      <c r="I985" s="678"/>
      <c r="J985" s="678"/>
      <c r="K985" s="678"/>
      <c r="L985" s="678"/>
      <c r="M985" s="678"/>
      <c r="N985" s="678"/>
      <c r="O985" s="678"/>
      <c r="P985" s="678"/>
      <c r="Q985" s="678"/>
      <c r="R985" s="678"/>
      <c r="S985" s="678"/>
      <c r="T985" s="678"/>
      <c r="U985" s="678"/>
      <c r="V985" s="678"/>
      <c r="W985" s="678"/>
      <c r="X985" s="681"/>
      <c r="Y985" s="679"/>
      <c r="Z985" s="679"/>
      <c r="AA985" s="679"/>
      <c r="AB985" s="680"/>
    </row>
    <row r="986" spans="2:28" s="780" customFormat="1" hidden="1" x14ac:dyDescent="0.45">
      <c r="B986" s="1692"/>
      <c r="C986" s="1698" t="s">
        <v>329</v>
      </c>
      <c r="D986" s="125" t="s">
        <v>326</v>
      </c>
      <c r="E986" s="682"/>
      <c r="F986" s="682"/>
      <c r="G986" s="682"/>
      <c r="H986" s="682"/>
      <c r="I986" s="682"/>
      <c r="J986" s="682"/>
      <c r="K986" s="682"/>
      <c r="L986" s="682"/>
      <c r="M986" s="682"/>
      <c r="N986" s="682"/>
      <c r="O986" s="682"/>
      <c r="P986" s="682"/>
      <c r="Q986" s="682"/>
      <c r="R986" s="682"/>
      <c r="S986" s="682"/>
      <c r="T986" s="682"/>
      <c r="U986" s="682"/>
      <c r="V986" s="682"/>
      <c r="W986" s="682"/>
      <c r="X986" s="682"/>
      <c r="Y986" s="683"/>
      <c r="Z986" s="683"/>
      <c r="AA986" s="683"/>
      <c r="AB986" s="684"/>
    </row>
    <row r="987" spans="2:28" s="780" customFormat="1" hidden="1" x14ac:dyDescent="0.45">
      <c r="B987" s="1692"/>
      <c r="C987" s="1695"/>
      <c r="D987" s="124" t="s">
        <v>327</v>
      </c>
      <c r="E987" s="675"/>
      <c r="F987" s="675"/>
      <c r="G987" s="675"/>
      <c r="H987" s="675"/>
      <c r="I987" s="675"/>
      <c r="J987" s="675"/>
      <c r="K987" s="675"/>
      <c r="L987" s="675"/>
      <c r="M987" s="675"/>
      <c r="N987" s="675"/>
      <c r="O987" s="675"/>
      <c r="P987" s="675"/>
      <c r="Q987" s="675"/>
      <c r="R987" s="675"/>
      <c r="S987" s="675"/>
      <c r="T987" s="675"/>
      <c r="U987" s="675"/>
      <c r="V987" s="675"/>
      <c r="W987" s="675"/>
      <c r="X987" s="675"/>
      <c r="Y987" s="676"/>
      <c r="Z987" s="676"/>
      <c r="AA987" s="676"/>
      <c r="AB987" s="677"/>
    </row>
    <row r="988" spans="2:28" s="780" customFormat="1" hidden="1" x14ac:dyDescent="0.45">
      <c r="B988" s="1692"/>
      <c r="C988" s="1696" t="s">
        <v>330</v>
      </c>
      <c r="D988" s="122" t="s">
        <v>326</v>
      </c>
      <c r="E988" s="678"/>
      <c r="F988" s="678"/>
      <c r="G988" s="678"/>
      <c r="H988" s="678"/>
      <c r="I988" s="678"/>
      <c r="J988" s="678"/>
      <c r="K988" s="678"/>
      <c r="L988" s="678"/>
      <c r="M988" s="678"/>
      <c r="N988" s="678"/>
      <c r="O988" s="678"/>
      <c r="P988" s="678"/>
      <c r="Q988" s="678"/>
      <c r="R988" s="678"/>
      <c r="S988" s="678"/>
      <c r="T988" s="678"/>
      <c r="U988" s="678"/>
      <c r="V988" s="678"/>
      <c r="W988" s="678"/>
      <c r="X988" s="678"/>
      <c r="Y988" s="679"/>
      <c r="Z988" s="679"/>
      <c r="AA988" s="679"/>
      <c r="AB988" s="680"/>
    </row>
    <row r="989" spans="2:28" s="780" customFormat="1" hidden="1" x14ac:dyDescent="0.45">
      <c r="B989" s="1692"/>
      <c r="C989" s="1697"/>
      <c r="D989" s="122" t="s">
        <v>327</v>
      </c>
      <c r="E989" s="678"/>
      <c r="F989" s="678"/>
      <c r="G989" s="678"/>
      <c r="H989" s="678"/>
      <c r="I989" s="678"/>
      <c r="J989" s="678"/>
      <c r="K989" s="678"/>
      <c r="L989" s="678"/>
      <c r="M989" s="678"/>
      <c r="N989" s="678"/>
      <c r="O989" s="678"/>
      <c r="P989" s="678"/>
      <c r="Q989" s="678"/>
      <c r="R989" s="678"/>
      <c r="S989" s="678"/>
      <c r="T989" s="678"/>
      <c r="U989" s="678"/>
      <c r="V989" s="678"/>
      <c r="W989" s="678"/>
      <c r="X989" s="681"/>
      <c r="Y989" s="679"/>
      <c r="Z989" s="679"/>
      <c r="AA989" s="679"/>
      <c r="AB989" s="680"/>
    </row>
    <row r="990" spans="2:28" s="780" customFormat="1" hidden="1" x14ac:dyDescent="0.45">
      <c r="B990" s="1692"/>
      <c r="C990" s="1698" t="s">
        <v>331</v>
      </c>
      <c r="D990" s="125" t="s">
        <v>326</v>
      </c>
      <c r="E990" s="682"/>
      <c r="F990" s="682"/>
      <c r="G990" s="685"/>
      <c r="H990" s="682"/>
      <c r="I990" s="682"/>
      <c r="J990" s="682"/>
      <c r="K990" s="682"/>
      <c r="L990" s="682"/>
      <c r="M990" s="682"/>
      <c r="N990" s="682"/>
      <c r="O990" s="682"/>
      <c r="P990" s="682"/>
      <c r="Q990" s="682"/>
      <c r="R990" s="682"/>
      <c r="S990" s="682"/>
      <c r="T990" s="682"/>
      <c r="U990" s="682"/>
      <c r="V990" s="682"/>
      <c r="W990" s="682"/>
      <c r="X990" s="682"/>
      <c r="Y990" s="683"/>
      <c r="Z990" s="683"/>
      <c r="AA990" s="683"/>
      <c r="AB990" s="684"/>
    </row>
    <row r="991" spans="2:28" s="780" customFormat="1" hidden="1" x14ac:dyDescent="0.45">
      <c r="B991" s="1692"/>
      <c r="C991" s="1695"/>
      <c r="D991" s="124" t="s">
        <v>327</v>
      </c>
      <c r="E991" s="675"/>
      <c r="F991" s="675"/>
      <c r="G991" s="686"/>
      <c r="H991" s="675"/>
      <c r="I991" s="675"/>
      <c r="J991" s="675"/>
      <c r="K991" s="675"/>
      <c r="L991" s="675"/>
      <c r="M991" s="675"/>
      <c r="N991" s="675"/>
      <c r="O991" s="675"/>
      <c r="P991" s="675"/>
      <c r="Q991" s="675"/>
      <c r="R991" s="675"/>
      <c r="S991" s="675"/>
      <c r="T991" s="675"/>
      <c r="U991" s="675"/>
      <c r="V991" s="675"/>
      <c r="W991" s="675"/>
      <c r="X991" s="675"/>
      <c r="Y991" s="676"/>
      <c r="Z991" s="676"/>
      <c r="AA991" s="676"/>
      <c r="AB991" s="677"/>
    </row>
    <row r="992" spans="2:28" s="780" customFormat="1" hidden="1" x14ac:dyDescent="0.45">
      <c r="B992" s="1692"/>
      <c r="C992" s="1696" t="s">
        <v>332</v>
      </c>
      <c r="D992" s="122" t="s">
        <v>326</v>
      </c>
      <c r="E992" s="678"/>
      <c r="F992" s="678"/>
      <c r="G992" s="678"/>
      <c r="H992" s="678"/>
      <c r="I992" s="678"/>
      <c r="J992" s="678"/>
      <c r="K992" s="678"/>
      <c r="L992" s="678"/>
      <c r="M992" s="678"/>
      <c r="N992" s="678"/>
      <c r="O992" s="678"/>
      <c r="P992" s="678"/>
      <c r="Q992" s="678"/>
      <c r="R992" s="678"/>
      <c r="S992" s="678"/>
      <c r="T992" s="678"/>
      <c r="U992" s="678"/>
      <c r="V992" s="678"/>
      <c r="W992" s="679"/>
      <c r="X992" s="679"/>
      <c r="Y992" s="679"/>
      <c r="Z992" s="679"/>
      <c r="AA992" s="679"/>
      <c r="AB992" s="680"/>
    </row>
    <row r="993" spans="2:28" s="780" customFormat="1" hidden="1" x14ac:dyDescent="0.45">
      <c r="B993" s="1692"/>
      <c r="C993" s="1697"/>
      <c r="D993" s="122" t="s">
        <v>327</v>
      </c>
      <c r="E993" s="678"/>
      <c r="F993" s="678"/>
      <c r="G993" s="678"/>
      <c r="H993" s="678"/>
      <c r="I993" s="678"/>
      <c r="J993" s="678"/>
      <c r="K993" s="678"/>
      <c r="L993" s="678"/>
      <c r="M993" s="678"/>
      <c r="N993" s="678"/>
      <c r="O993" s="678"/>
      <c r="P993" s="678"/>
      <c r="Q993" s="678"/>
      <c r="R993" s="678"/>
      <c r="S993" s="678"/>
      <c r="T993" s="678"/>
      <c r="U993" s="678"/>
      <c r="V993" s="678"/>
      <c r="W993" s="678"/>
      <c r="X993" s="678"/>
      <c r="Y993" s="679"/>
      <c r="Z993" s="679"/>
      <c r="AA993" s="679"/>
      <c r="AB993" s="680"/>
    </row>
    <row r="994" spans="2:28" s="780" customFormat="1" hidden="1" x14ac:dyDescent="0.45">
      <c r="B994" s="1692"/>
      <c r="C994" s="1698" t="s">
        <v>333</v>
      </c>
      <c r="D994" s="124" t="s">
        <v>326</v>
      </c>
      <c r="E994" s="675"/>
      <c r="F994" s="675"/>
      <c r="G994" s="675"/>
      <c r="H994" s="675"/>
      <c r="I994" s="675"/>
      <c r="J994" s="675"/>
      <c r="K994" s="675"/>
      <c r="L994" s="675"/>
      <c r="M994" s="675"/>
      <c r="N994" s="675"/>
      <c r="O994" s="675"/>
      <c r="P994" s="675"/>
      <c r="Q994" s="675"/>
      <c r="R994" s="675"/>
      <c r="S994" s="675"/>
      <c r="T994" s="675"/>
      <c r="U994" s="675"/>
      <c r="V994" s="675"/>
      <c r="W994" s="676"/>
      <c r="X994" s="676"/>
      <c r="Y994" s="676"/>
      <c r="Z994" s="676"/>
      <c r="AA994" s="676"/>
      <c r="AB994" s="677"/>
    </row>
    <row r="995" spans="2:28" s="780" customFormat="1" hidden="1" x14ac:dyDescent="0.45">
      <c r="B995" s="1693"/>
      <c r="C995" s="1699"/>
      <c r="D995" s="126" t="s">
        <v>327</v>
      </c>
      <c r="E995" s="687"/>
      <c r="F995" s="687"/>
      <c r="G995" s="687"/>
      <c r="H995" s="687"/>
      <c r="I995" s="687"/>
      <c r="J995" s="687"/>
      <c r="K995" s="687"/>
      <c r="L995" s="687"/>
      <c r="M995" s="687"/>
      <c r="N995" s="687"/>
      <c r="O995" s="687"/>
      <c r="P995" s="687"/>
      <c r="Q995" s="687"/>
      <c r="R995" s="687"/>
      <c r="S995" s="687"/>
      <c r="T995" s="687"/>
      <c r="U995" s="687"/>
      <c r="V995" s="687"/>
      <c r="W995" s="687"/>
      <c r="X995" s="687"/>
      <c r="Y995" s="687"/>
      <c r="Z995" s="687"/>
      <c r="AA995" s="687"/>
      <c r="AB995" s="688"/>
    </row>
    <row r="996" spans="2:28" s="780" customFormat="1" hidden="1" x14ac:dyDescent="0.45"/>
    <row r="997" spans="2:28" s="780" customFormat="1" hidden="1" x14ac:dyDescent="0.45">
      <c r="B997" s="1688" t="s">
        <v>54</v>
      </c>
      <c r="C997" s="1689"/>
      <c r="D997" s="1690"/>
      <c r="E997" s="779"/>
      <c r="F997" s="779"/>
      <c r="G997" s="779"/>
      <c r="H997" s="779"/>
      <c r="I997" s="779"/>
      <c r="J997" s="779"/>
      <c r="K997" s="779"/>
      <c r="L997" s="779"/>
      <c r="M997" s="779"/>
      <c r="N997" s="779"/>
      <c r="O997" s="779"/>
      <c r="P997" s="779"/>
      <c r="Q997" s="779"/>
      <c r="R997" s="779"/>
      <c r="S997" s="779"/>
      <c r="T997" s="779"/>
      <c r="U997" s="779"/>
      <c r="V997" s="779"/>
      <c r="W997" s="779"/>
      <c r="X997" s="779"/>
      <c r="Y997" s="779"/>
      <c r="Z997" s="779"/>
      <c r="AA997" s="779"/>
      <c r="AB997" s="708"/>
    </row>
    <row r="998" spans="2:28" s="780" customFormat="1" ht="15" hidden="1" customHeight="1" x14ac:dyDescent="0.45">
      <c r="B998" s="1691" t="str">
        <f>CONCATENATE("Plan ", INDEX(plans_index,,(ROW(B998)-6)/16), ": ", INDEX(plans_name,,(ROW(B998)-6)/16))</f>
        <v xml:space="preserve">Plan 62: </v>
      </c>
      <c r="C998" s="1694" t="s">
        <v>325</v>
      </c>
      <c r="D998" s="123" t="s">
        <v>326</v>
      </c>
      <c r="E998" s="672"/>
      <c r="F998" s="672"/>
      <c r="G998" s="672"/>
      <c r="H998" s="673"/>
      <c r="I998" s="672"/>
      <c r="J998" s="672"/>
      <c r="K998" s="672"/>
      <c r="L998" s="672"/>
      <c r="M998" s="672"/>
      <c r="N998" s="672"/>
      <c r="O998" s="672"/>
      <c r="P998" s="672"/>
      <c r="Q998" s="672"/>
      <c r="R998" s="672"/>
      <c r="S998" s="672"/>
      <c r="T998" s="672"/>
      <c r="U998" s="672"/>
      <c r="V998" s="672"/>
      <c r="W998" s="672"/>
      <c r="X998" s="672"/>
      <c r="Y998" s="672"/>
      <c r="Z998" s="672"/>
      <c r="AA998" s="672"/>
      <c r="AB998" s="674"/>
    </row>
    <row r="999" spans="2:28" s="780" customFormat="1" hidden="1" x14ac:dyDescent="0.45">
      <c r="B999" s="1692"/>
      <c r="C999" s="1695"/>
      <c r="D999" s="124" t="s">
        <v>327</v>
      </c>
      <c r="E999" s="675"/>
      <c r="F999" s="675"/>
      <c r="G999" s="675"/>
      <c r="H999" s="675"/>
      <c r="I999" s="675"/>
      <c r="J999" s="675"/>
      <c r="K999" s="675"/>
      <c r="L999" s="675"/>
      <c r="M999" s="675"/>
      <c r="N999" s="675"/>
      <c r="O999" s="675"/>
      <c r="P999" s="675"/>
      <c r="Q999" s="675"/>
      <c r="R999" s="675"/>
      <c r="S999" s="675"/>
      <c r="T999" s="675"/>
      <c r="U999" s="675"/>
      <c r="V999" s="675"/>
      <c r="W999" s="675"/>
      <c r="X999" s="675"/>
      <c r="Y999" s="676"/>
      <c r="Z999" s="676"/>
      <c r="AA999" s="676"/>
      <c r="AB999" s="677"/>
    </row>
    <row r="1000" spans="2:28" s="780" customFormat="1" hidden="1" x14ac:dyDescent="0.45">
      <c r="B1000" s="1692"/>
      <c r="C1000" s="1696" t="s">
        <v>328</v>
      </c>
      <c r="D1000" s="122" t="s">
        <v>326</v>
      </c>
      <c r="E1000" s="678"/>
      <c r="F1000" s="678"/>
      <c r="G1000" s="678"/>
      <c r="H1000" s="678"/>
      <c r="I1000" s="678"/>
      <c r="J1000" s="678"/>
      <c r="K1000" s="678"/>
      <c r="L1000" s="678"/>
      <c r="M1000" s="678"/>
      <c r="N1000" s="678"/>
      <c r="O1000" s="678"/>
      <c r="P1000" s="678"/>
      <c r="Q1000" s="678"/>
      <c r="R1000" s="678"/>
      <c r="S1000" s="678"/>
      <c r="T1000" s="678"/>
      <c r="U1000" s="678"/>
      <c r="V1000" s="678"/>
      <c r="W1000" s="678"/>
      <c r="X1000" s="678"/>
      <c r="Y1000" s="679"/>
      <c r="Z1000" s="679"/>
      <c r="AA1000" s="679"/>
      <c r="AB1000" s="680"/>
    </row>
    <row r="1001" spans="2:28" s="780" customFormat="1" hidden="1" x14ac:dyDescent="0.45">
      <c r="B1001" s="1692"/>
      <c r="C1001" s="1697"/>
      <c r="D1001" s="122" t="s">
        <v>327</v>
      </c>
      <c r="E1001" s="678"/>
      <c r="F1001" s="678"/>
      <c r="G1001" s="678"/>
      <c r="H1001" s="678"/>
      <c r="I1001" s="678"/>
      <c r="J1001" s="678"/>
      <c r="K1001" s="678"/>
      <c r="L1001" s="678"/>
      <c r="M1001" s="678"/>
      <c r="N1001" s="678"/>
      <c r="O1001" s="678"/>
      <c r="P1001" s="678"/>
      <c r="Q1001" s="678"/>
      <c r="R1001" s="678"/>
      <c r="S1001" s="678"/>
      <c r="T1001" s="678"/>
      <c r="U1001" s="678"/>
      <c r="V1001" s="678"/>
      <c r="W1001" s="678"/>
      <c r="X1001" s="681"/>
      <c r="Y1001" s="679"/>
      <c r="Z1001" s="679"/>
      <c r="AA1001" s="679"/>
      <c r="AB1001" s="680"/>
    </row>
    <row r="1002" spans="2:28" s="780" customFormat="1" hidden="1" x14ac:dyDescent="0.45">
      <c r="B1002" s="1692"/>
      <c r="C1002" s="1698" t="s">
        <v>329</v>
      </c>
      <c r="D1002" s="125" t="s">
        <v>326</v>
      </c>
      <c r="E1002" s="682"/>
      <c r="F1002" s="682"/>
      <c r="G1002" s="682"/>
      <c r="H1002" s="682"/>
      <c r="I1002" s="682"/>
      <c r="J1002" s="682"/>
      <c r="K1002" s="682"/>
      <c r="L1002" s="682"/>
      <c r="M1002" s="682"/>
      <c r="N1002" s="682"/>
      <c r="O1002" s="682"/>
      <c r="P1002" s="682"/>
      <c r="Q1002" s="682"/>
      <c r="R1002" s="682"/>
      <c r="S1002" s="682"/>
      <c r="T1002" s="682"/>
      <c r="U1002" s="682"/>
      <c r="V1002" s="682"/>
      <c r="W1002" s="682"/>
      <c r="X1002" s="682"/>
      <c r="Y1002" s="683"/>
      <c r="Z1002" s="683"/>
      <c r="AA1002" s="683"/>
      <c r="AB1002" s="684"/>
    </row>
    <row r="1003" spans="2:28" s="780" customFormat="1" hidden="1" x14ac:dyDescent="0.45">
      <c r="B1003" s="1692"/>
      <c r="C1003" s="1695"/>
      <c r="D1003" s="124" t="s">
        <v>327</v>
      </c>
      <c r="E1003" s="675"/>
      <c r="F1003" s="675"/>
      <c r="G1003" s="675"/>
      <c r="H1003" s="675"/>
      <c r="I1003" s="675"/>
      <c r="J1003" s="675"/>
      <c r="K1003" s="675"/>
      <c r="L1003" s="675"/>
      <c r="M1003" s="675"/>
      <c r="N1003" s="675"/>
      <c r="O1003" s="675"/>
      <c r="P1003" s="675"/>
      <c r="Q1003" s="675"/>
      <c r="R1003" s="675"/>
      <c r="S1003" s="675"/>
      <c r="T1003" s="675"/>
      <c r="U1003" s="675"/>
      <c r="V1003" s="675"/>
      <c r="W1003" s="675"/>
      <c r="X1003" s="675"/>
      <c r="Y1003" s="676"/>
      <c r="Z1003" s="676"/>
      <c r="AA1003" s="676"/>
      <c r="AB1003" s="677"/>
    </row>
    <row r="1004" spans="2:28" s="780" customFormat="1" hidden="1" x14ac:dyDescent="0.45">
      <c r="B1004" s="1692"/>
      <c r="C1004" s="1696" t="s">
        <v>330</v>
      </c>
      <c r="D1004" s="122" t="s">
        <v>326</v>
      </c>
      <c r="E1004" s="678"/>
      <c r="F1004" s="678"/>
      <c r="G1004" s="678"/>
      <c r="H1004" s="678"/>
      <c r="I1004" s="678"/>
      <c r="J1004" s="678"/>
      <c r="K1004" s="678"/>
      <c r="L1004" s="678"/>
      <c r="M1004" s="678"/>
      <c r="N1004" s="678"/>
      <c r="O1004" s="678"/>
      <c r="P1004" s="678"/>
      <c r="Q1004" s="678"/>
      <c r="R1004" s="678"/>
      <c r="S1004" s="678"/>
      <c r="T1004" s="678"/>
      <c r="U1004" s="678"/>
      <c r="V1004" s="678"/>
      <c r="W1004" s="678"/>
      <c r="X1004" s="678"/>
      <c r="Y1004" s="679"/>
      <c r="Z1004" s="679"/>
      <c r="AA1004" s="679"/>
      <c r="AB1004" s="680"/>
    </row>
    <row r="1005" spans="2:28" s="780" customFormat="1" hidden="1" x14ac:dyDescent="0.45">
      <c r="B1005" s="1692"/>
      <c r="C1005" s="1697"/>
      <c r="D1005" s="122" t="s">
        <v>327</v>
      </c>
      <c r="E1005" s="678"/>
      <c r="F1005" s="678"/>
      <c r="G1005" s="678"/>
      <c r="H1005" s="678"/>
      <c r="I1005" s="678"/>
      <c r="J1005" s="678"/>
      <c r="K1005" s="678"/>
      <c r="L1005" s="678"/>
      <c r="M1005" s="678"/>
      <c r="N1005" s="678"/>
      <c r="O1005" s="678"/>
      <c r="P1005" s="678"/>
      <c r="Q1005" s="678"/>
      <c r="R1005" s="678"/>
      <c r="S1005" s="678"/>
      <c r="T1005" s="678"/>
      <c r="U1005" s="678"/>
      <c r="V1005" s="678"/>
      <c r="W1005" s="678"/>
      <c r="X1005" s="681"/>
      <c r="Y1005" s="679"/>
      <c r="Z1005" s="679"/>
      <c r="AA1005" s="679"/>
      <c r="AB1005" s="680"/>
    </row>
    <row r="1006" spans="2:28" s="780" customFormat="1" hidden="1" x14ac:dyDescent="0.45">
      <c r="B1006" s="1692"/>
      <c r="C1006" s="1698" t="s">
        <v>331</v>
      </c>
      <c r="D1006" s="125" t="s">
        <v>326</v>
      </c>
      <c r="E1006" s="682"/>
      <c r="F1006" s="682"/>
      <c r="G1006" s="685"/>
      <c r="H1006" s="682"/>
      <c r="I1006" s="682"/>
      <c r="J1006" s="682"/>
      <c r="K1006" s="682"/>
      <c r="L1006" s="682"/>
      <c r="M1006" s="682"/>
      <c r="N1006" s="682"/>
      <c r="O1006" s="682"/>
      <c r="P1006" s="682"/>
      <c r="Q1006" s="682"/>
      <c r="R1006" s="682"/>
      <c r="S1006" s="682"/>
      <c r="T1006" s="682"/>
      <c r="U1006" s="682"/>
      <c r="V1006" s="682"/>
      <c r="W1006" s="682"/>
      <c r="X1006" s="682"/>
      <c r="Y1006" s="683"/>
      <c r="Z1006" s="683"/>
      <c r="AA1006" s="683"/>
      <c r="AB1006" s="684"/>
    </row>
    <row r="1007" spans="2:28" s="780" customFormat="1" hidden="1" x14ac:dyDescent="0.45">
      <c r="B1007" s="1692"/>
      <c r="C1007" s="1695"/>
      <c r="D1007" s="124" t="s">
        <v>327</v>
      </c>
      <c r="E1007" s="675"/>
      <c r="F1007" s="675"/>
      <c r="G1007" s="686"/>
      <c r="H1007" s="675"/>
      <c r="I1007" s="675"/>
      <c r="J1007" s="675"/>
      <c r="K1007" s="675"/>
      <c r="L1007" s="675"/>
      <c r="M1007" s="675"/>
      <c r="N1007" s="675"/>
      <c r="O1007" s="675"/>
      <c r="P1007" s="675"/>
      <c r="Q1007" s="675"/>
      <c r="R1007" s="675"/>
      <c r="S1007" s="675"/>
      <c r="T1007" s="675"/>
      <c r="U1007" s="675"/>
      <c r="V1007" s="675"/>
      <c r="W1007" s="675"/>
      <c r="X1007" s="675"/>
      <c r="Y1007" s="676"/>
      <c r="Z1007" s="676"/>
      <c r="AA1007" s="676"/>
      <c r="AB1007" s="677"/>
    </row>
    <row r="1008" spans="2:28" s="780" customFormat="1" hidden="1" x14ac:dyDescent="0.45">
      <c r="B1008" s="1692"/>
      <c r="C1008" s="1696" t="s">
        <v>332</v>
      </c>
      <c r="D1008" s="122" t="s">
        <v>326</v>
      </c>
      <c r="E1008" s="678"/>
      <c r="F1008" s="678"/>
      <c r="G1008" s="678"/>
      <c r="H1008" s="678"/>
      <c r="I1008" s="678"/>
      <c r="J1008" s="678"/>
      <c r="K1008" s="678"/>
      <c r="L1008" s="678"/>
      <c r="M1008" s="678"/>
      <c r="N1008" s="678"/>
      <c r="O1008" s="678"/>
      <c r="P1008" s="678"/>
      <c r="Q1008" s="678"/>
      <c r="R1008" s="678"/>
      <c r="S1008" s="678"/>
      <c r="T1008" s="678"/>
      <c r="U1008" s="678"/>
      <c r="V1008" s="678"/>
      <c r="W1008" s="679"/>
      <c r="X1008" s="679"/>
      <c r="Y1008" s="679"/>
      <c r="Z1008" s="679"/>
      <c r="AA1008" s="679"/>
      <c r="AB1008" s="680"/>
    </row>
    <row r="1009" spans="2:28" s="780" customFormat="1" hidden="1" x14ac:dyDescent="0.45">
      <c r="B1009" s="1692"/>
      <c r="C1009" s="1697"/>
      <c r="D1009" s="122" t="s">
        <v>327</v>
      </c>
      <c r="E1009" s="678"/>
      <c r="F1009" s="678"/>
      <c r="G1009" s="678"/>
      <c r="H1009" s="678"/>
      <c r="I1009" s="678"/>
      <c r="J1009" s="678"/>
      <c r="K1009" s="678"/>
      <c r="L1009" s="678"/>
      <c r="M1009" s="678"/>
      <c r="N1009" s="678"/>
      <c r="O1009" s="678"/>
      <c r="P1009" s="678"/>
      <c r="Q1009" s="678"/>
      <c r="R1009" s="678"/>
      <c r="S1009" s="678"/>
      <c r="T1009" s="678"/>
      <c r="U1009" s="678"/>
      <c r="V1009" s="678"/>
      <c r="W1009" s="678"/>
      <c r="X1009" s="678"/>
      <c r="Y1009" s="679"/>
      <c r="Z1009" s="679"/>
      <c r="AA1009" s="679"/>
      <c r="AB1009" s="680"/>
    </row>
    <row r="1010" spans="2:28" s="780" customFormat="1" hidden="1" x14ac:dyDescent="0.45">
      <c r="B1010" s="1692"/>
      <c r="C1010" s="1698" t="s">
        <v>333</v>
      </c>
      <c r="D1010" s="124" t="s">
        <v>326</v>
      </c>
      <c r="E1010" s="675"/>
      <c r="F1010" s="675"/>
      <c r="G1010" s="675"/>
      <c r="H1010" s="675"/>
      <c r="I1010" s="675"/>
      <c r="J1010" s="675"/>
      <c r="K1010" s="675"/>
      <c r="L1010" s="675"/>
      <c r="M1010" s="675"/>
      <c r="N1010" s="675"/>
      <c r="O1010" s="675"/>
      <c r="P1010" s="675"/>
      <c r="Q1010" s="675"/>
      <c r="R1010" s="675"/>
      <c r="S1010" s="675"/>
      <c r="T1010" s="675"/>
      <c r="U1010" s="675"/>
      <c r="V1010" s="675"/>
      <c r="W1010" s="676"/>
      <c r="X1010" s="676"/>
      <c r="Y1010" s="676"/>
      <c r="Z1010" s="676"/>
      <c r="AA1010" s="676"/>
      <c r="AB1010" s="677"/>
    </row>
    <row r="1011" spans="2:28" s="780" customFormat="1" hidden="1" x14ac:dyDescent="0.45">
      <c r="B1011" s="1693"/>
      <c r="C1011" s="1699"/>
      <c r="D1011" s="126" t="s">
        <v>327</v>
      </c>
      <c r="E1011" s="687"/>
      <c r="F1011" s="687"/>
      <c r="G1011" s="687"/>
      <c r="H1011" s="687"/>
      <c r="I1011" s="687"/>
      <c r="J1011" s="687"/>
      <c r="K1011" s="687"/>
      <c r="L1011" s="687"/>
      <c r="M1011" s="687"/>
      <c r="N1011" s="687"/>
      <c r="O1011" s="687"/>
      <c r="P1011" s="687"/>
      <c r="Q1011" s="687"/>
      <c r="R1011" s="687"/>
      <c r="S1011" s="687"/>
      <c r="T1011" s="687"/>
      <c r="U1011" s="687"/>
      <c r="V1011" s="687"/>
      <c r="W1011" s="687"/>
      <c r="X1011" s="687"/>
      <c r="Y1011" s="687"/>
      <c r="Z1011" s="687"/>
      <c r="AA1011" s="687"/>
      <c r="AB1011" s="688"/>
    </row>
    <row r="1012" spans="2:28" s="780" customFormat="1" hidden="1" x14ac:dyDescent="0.45"/>
    <row r="1013" spans="2:28" s="780" customFormat="1" hidden="1" x14ac:dyDescent="0.45">
      <c r="B1013" s="1688" t="s">
        <v>54</v>
      </c>
      <c r="C1013" s="1689"/>
      <c r="D1013" s="1690"/>
      <c r="E1013" s="779"/>
      <c r="F1013" s="779"/>
      <c r="G1013" s="779"/>
      <c r="H1013" s="779"/>
      <c r="I1013" s="779"/>
      <c r="J1013" s="779"/>
      <c r="K1013" s="779"/>
      <c r="L1013" s="779"/>
      <c r="M1013" s="779"/>
      <c r="N1013" s="779"/>
      <c r="O1013" s="779"/>
      <c r="P1013" s="779"/>
      <c r="Q1013" s="779"/>
      <c r="R1013" s="779"/>
      <c r="S1013" s="779"/>
      <c r="T1013" s="779"/>
      <c r="U1013" s="779"/>
      <c r="V1013" s="779"/>
      <c r="W1013" s="779"/>
      <c r="X1013" s="779"/>
      <c r="Y1013" s="779"/>
      <c r="Z1013" s="779"/>
      <c r="AA1013" s="779"/>
      <c r="AB1013" s="708"/>
    </row>
    <row r="1014" spans="2:28" s="780" customFormat="1" ht="15" hidden="1" customHeight="1" x14ac:dyDescent="0.45">
      <c r="B1014" s="1691" t="str">
        <f>CONCATENATE("Plan ", INDEX(plans_index,,(ROW(B1014)-6)/16), ": ", INDEX(plans_name,,(ROW(B1014)-6)/16))</f>
        <v xml:space="preserve">Plan 63: </v>
      </c>
      <c r="C1014" s="1694" t="s">
        <v>325</v>
      </c>
      <c r="D1014" s="123" t="s">
        <v>326</v>
      </c>
      <c r="E1014" s="672"/>
      <c r="F1014" s="672"/>
      <c r="G1014" s="672"/>
      <c r="H1014" s="673"/>
      <c r="I1014" s="672"/>
      <c r="J1014" s="672"/>
      <c r="K1014" s="672"/>
      <c r="L1014" s="672"/>
      <c r="M1014" s="672"/>
      <c r="N1014" s="672"/>
      <c r="O1014" s="672"/>
      <c r="P1014" s="672"/>
      <c r="Q1014" s="672"/>
      <c r="R1014" s="672"/>
      <c r="S1014" s="672"/>
      <c r="T1014" s="672"/>
      <c r="U1014" s="672"/>
      <c r="V1014" s="672"/>
      <c r="W1014" s="672"/>
      <c r="X1014" s="672"/>
      <c r="Y1014" s="672"/>
      <c r="Z1014" s="672"/>
      <c r="AA1014" s="672"/>
      <c r="AB1014" s="674"/>
    </row>
    <row r="1015" spans="2:28" s="780" customFormat="1" hidden="1" x14ac:dyDescent="0.45">
      <c r="B1015" s="1692"/>
      <c r="C1015" s="1695"/>
      <c r="D1015" s="124" t="s">
        <v>327</v>
      </c>
      <c r="E1015" s="675"/>
      <c r="F1015" s="675"/>
      <c r="G1015" s="675"/>
      <c r="H1015" s="675"/>
      <c r="I1015" s="675"/>
      <c r="J1015" s="675"/>
      <c r="K1015" s="675"/>
      <c r="L1015" s="675"/>
      <c r="M1015" s="675"/>
      <c r="N1015" s="675"/>
      <c r="O1015" s="675"/>
      <c r="P1015" s="675"/>
      <c r="Q1015" s="675"/>
      <c r="R1015" s="675"/>
      <c r="S1015" s="675"/>
      <c r="T1015" s="675"/>
      <c r="U1015" s="675"/>
      <c r="V1015" s="675"/>
      <c r="W1015" s="675"/>
      <c r="X1015" s="675"/>
      <c r="Y1015" s="676"/>
      <c r="Z1015" s="676"/>
      <c r="AA1015" s="676"/>
      <c r="AB1015" s="677"/>
    </row>
    <row r="1016" spans="2:28" s="780" customFormat="1" hidden="1" x14ac:dyDescent="0.45">
      <c r="B1016" s="1692"/>
      <c r="C1016" s="1696" t="s">
        <v>328</v>
      </c>
      <c r="D1016" s="122" t="s">
        <v>326</v>
      </c>
      <c r="E1016" s="678"/>
      <c r="F1016" s="678"/>
      <c r="G1016" s="678"/>
      <c r="H1016" s="678"/>
      <c r="I1016" s="678"/>
      <c r="J1016" s="678"/>
      <c r="K1016" s="678"/>
      <c r="L1016" s="678"/>
      <c r="M1016" s="678"/>
      <c r="N1016" s="678"/>
      <c r="O1016" s="678"/>
      <c r="P1016" s="678"/>
      <c r="Q1016" s="678"/>
      <c r="R1016" s="678"/>
      <c r="S1016" s="678"/>
      <c r="T1016" s="678"/>
      <c r="U1016" s="678"/>
      <c r="V1016" s="678"/>
      <c r="W1016" s="678"/>
      <c r="X1016" s="678"/>
      <c r="Y1016" s="679"/>
      <c r="Z1016" s="679"/>
      <c r="AA1016" s="679"/>
      <c r="AB1016" s="680"/>
    </row>
    <row r="1017" spans="2:28" s="780" customFormat="1" hidden="1" x14ac:dyDescent="0.45">
      <c r="B1017" s="1692"/>
      <c r="C1017" s="1697"/>
      <c r="D1017" s="122" t="s">
        <v>327</v>
      </c>
      <c r="E1017" s="678"/>
      <c r="F1017" s="678"/>
      <c r="G1017" s="678"/>
      <c r="H1017" s="678"/>
      <c r="I1017" s="678"/>
      <c r="J1017" s="678"/>
      <c r="K1017" s="678"/>
      <c r="L1017" s="678"/>
      <c r="M1017" s="678"/>
      <c r="N1017" s="678"/>
      <c r="O1017" s="678"/>
      <c r="P1017" s="678"/>
      <c r="Q1017" s="678"/>
      <c r="R1017" s="678"/>
      <c r="S1017" s="678"/>
      <c r="T1017" s="678"/>
      <c r="U1017" s="678"/>
      <c r="V1017" s="678"/>
      <c r="W1017" s="678"/>
      <c r="X1017" s="681"/>
      <c r="Y1017" s="679"/>
      <c r="Z1017" s="679"/>
      <c r="AA1017" s="679"/>
      <c r="AB1017" s="680"/>
    </row>
    <row r="1018" spans="2:28" s="780" customFormat="1" hidden="1" x14ac:dyDescent="0.45">
      <c r="B1018" s="1692"/>
      <c r="C1018" s="1698" t="s">
        <v>329</v>
      </c>
      <c r="D1018" s="125" t="s">
        <v>326</v>
      </c>
      <c r="E1018" s="682"/>
      <c r="F1018" s="682"/>
      <c r="G1018" s="682"/>
      <c r="H1018" s="682"/>
      <c r="I1018" s="682"/>
      <c r="J1018" s="682"/>
      <c r="K1018" s="682"/>
      <c r="L1018" s="682"/>
      <c r="M1018" s="682"/>
      <c r="N1018" s="682"/>
      <c r="O1018" s="682"/>
      <c r="P1018" s="682"/>
      <c r="Q1018" s="682"/>
      <c r="R1018" s="682"/>
      <c r="S1018" s="682"/>
      <c r="T1018" s="682"/>
      <c r="U1018" s="682"/>
      <c r="V1018" s="682"/>
      <c r="W1018" s="682"/>
      <c r="X1018" s="682"/>
      <c r="Y1018" s="683"/>
      <c r="Z1018" s="683"/>
      <c r="AA1018" s="683"/>
      <c r="AB1018" s="684"/>
    </row>
    <row r="1019" spans="2:28" s="780" customFormat="1" hidden="1" x14ac:dyDescent="0.45">
      <c r="B1019" s="1692"/>
      <c r="C1019" s="1695"/>
      <c r="D1019" s="124" t="s">
        <v>327</v>
      </c>
      <c r="E1019" s="675"/>
      <c r="F1019" s="675"/>
      <c r="G1019" s="675"/>
      <c r="H1019" s="675"/>
      <c r="I1019" s="675"/>
      <c r="J1019" s="675"/>
      <c r="K1019" s="675"/>
      <c r="L1019" s="675"/>
      <c r="M1019" s="675"/>
      <c r="N1019" s="675"/>
      <c r="O1019" s="675"/>
      <c r="P1019" s="675"/>
      <c r="Q1019" s="675"/>
      <c r="R1019" s="675"/>
      <c r="S1019" s="675"/>
      <c r="T1019" s="675"/>
      <c r="U1019" s="675"/>
      <c r="V1019" s="675"/>
      <c r="W1019" s="675"/>
      <c r="X1019" s="675"/>
      <c r="Y1019" s="676"/>
      <c r="Z1019" s="676"/>
      <c r="AA1019" s="676"/>
      <c r="AB1019" s="677"/>
    </row>
    <row r="1020" spans="2:28" s="780" customFormat="1" hidden="1" x14ac:dyDescent="0.45">
      <c r="B1020" s="1692"/>
      <c r="C1020" s="1696" t="s">
        <v>330</v>
      </c>
      <c r="D1020" s="122" t="s">
        <v>326</v>
      </c>
      <c r="E1020" s="678"/>
      <c r="F1020" s="678"/>
      <c r="G1020" s="678"/>
      <c r="H1020" s="678"/>
      <c r="I1020" s="678"/>
      <c r="J1020" s="678"/>
      <c r="K1020" s="678"/>
      <c r="L1020" s="678"/>
      <c r="M1020" s="678"/>
      <c r="N1020" s="678"/>
      <c r="O1020" s="678"/>
      <c r="P1020" s="678"/>
      <c r="Q1020" s="678"/>
      <c r="R1020" s="678"/>
      <c r="S1020" s="678"/>
      <c r="T1020" s="678"/>
      <c r="U1020" s="678"/>
      <c r="V1020" s="678"/>
      <c r="W1020" s="678"/>
      <c r="X1020" s="678"/>
      <c r="Y1020" s="679"/>
      <c r="Z1020" s="679"/>
      <c r="AA1020" s="679"/>
      <c r="AB1020" s="680"/>
    </row>
    <row r="1021" spans="2:28" s="780" customFormat="1" hidden="1" x14ac:dyDescent="0.45">
      <c r="B1021" s="1692"/>
      <c r="C1021" s="1697"/>
      <c r="D1021" s="122" t="s">
        <v>327</v>
      </c>
      <c r="E1021" s="678"/>
      <c r="F1021" s="678"/>
      <c r="G1021" s="678"/>
      <c r="H1021" s="678"/>
      <c r="I1021" s="678"/>
      <c r="J1021" s="678"/>
      <c r="K1021" s="678"/>
      <c r="L1021" s="678"/>
      <c r="M1021" s="678"/>
      <c r="N1021" s="678"/>
      <c r="O1021" s="678"/>
      <c r="P1021" s="678"/>
      <c r="Q1021" s="678"/>
      <c r="R1021" s="678"/>
      <c r="S1021" s="678"/>
      <c r="T1021" s="678"/>
      <c r="U1021" s="678"/>
      <c r="V1021" s="678"/>
      <c r="W1021" s="678"/>
      <c r="X1021" s="681"/>
      <c r="Y1021" s="679"/>
      <c r="Z1021" s="679"/>
      <c r="AA1021" s="679"/>
      <c r="AB1021" s="680"/>
    </row>
    <row r="1022" spans="2:28" s="780" customFormat="1" hidden="1" x14ac:dyDescent="0.45">
      <c r="B1022" s="1692"/>
      <c r="C1022" s="1698" t="s">
        <v>331</v>
      </c>
      <c r="D1022" s="125" t="s">
        <v>326</v>
      </c>
      <c r="E1022" s="682"/>
      <c r="F1022" s="682"/>
      <c r="G1022" s="685"/>
      <c r="H1022" s="682"/>
      <c r="I1022" s="682"/>
      <c r="J1022" s="682"/>
      <c r="K1022" s="682"/>
      <c r="L1022" s="682"/>
      <c r="M1022" s="682"/>
      <c r="N1022" s="682"/>
      <c r="O1022" s="682"/>
      <c r="P1022" s="682"/>
      <c r="Q1022" s="682"/>
      <c r="R1022" s="682"/>
      <c r="S1022" s="682"/>
      <c r="T1022" s="682"/>
      <c r="U1022" s="682"/>
      <c r="V1022" s="682"/>
      <c r="W1022" s="682"/>
      <c r="X1022" s="682"/>
      <c r="Y1022" s="683"/>
      <c r="Z1022" s="683"/>
      <c r="AA1022" s="683"/>
      <c r="AB1022" s="684"/>
    </row>
    <row r="1023" spans="2:28" s="780" customFormat="1" hidden="1" x14ac:dyDescent="0.45">
      <c r="B1023" s="1692"/>
      <c r="C1023" s="1695"/>
      <c r="D1023" s="124" t="s">
        <v>327</v>
      </c>
      <c r="E1023" s="675"/>
      <c r="F1023" s="675"/>
      <c r="G1023" s="686"/>
      <c r="H1023" s="675"/>
      <c r="I1023" s="675"/>
      <c r="J1023" s="675"/>
      <c r="K1023" s="675"/>
      <c r="L1023" s="675"/>
      <c r="M1023" s="675"/>
      <c r="N1023" s="675"/>
      <c r="O1023" s="675"/>
      <c r="P1023" s="675"/>
      <c r="Q1023" s="675"/>
      <c r="R1023" s="675"/>
      <c r="S1023" s="675"/>
      <c r="T1023" s="675"/>
      <c r="U1023" s="675"/>
      <c r="V1023" s="675"/>
      <c r="W1023" s="675"/>
      <c r="X1023" s="675"/>
      <c r="Y1023" s="676"/>
      <c r="Z1023" s="676"/>
      <c r="AA1023" s="676"/>
      <c r="AB1023" s="677"/>
    </row>
    <row r="1024" spans="2:28" s="780" customFormat="1" hidden="1" x14ac:dyDescent="0.45">
      <c r="B1024" s="1692"/>
      <c r="C1024" s="1696" t="s">
        <v>332</v>
      </c>
      <c r="D1024" s="122" t="s">
        <v>326</v>
      </c>
      <c r="E1024" s="678"/>
      <c r="F1024" s="678"/>
      <c r="G1024" s="678"/>
      <c r="H1024" s="678"/>
      <c r="I1024" s="678"/>
      <c r="J1024" s="678"/>
      <c r="K1024" s="678"/>
      <c r="L1024" s="678"/>
      <c r="M1024" s="678"/>
      <c r="N1024" s="678"/>
      <c r="O1024" s="678"/>
      <c r="P1024" s="678"/>
      <c r="Q1024" s="678"/>
      <c r="R1024" s="678"/>
      <c r="S1024" s="678"/>
      <c r="T1024" s="678"/>
      <c r="U1024" s="678"/>
      <c r="V1024" s="678"/>
      <c r="W1024" s="679"/>
      <c r="X1024" s="679"/>
      <c r="Y1024" s="679"/>
      <c r="Z1024" s="679"/>
      <c r="AA1024" s="679"/>
      <c r="AB1024" s="680"/>
    </row>
    <row r="1025" spans="2:28" s="780" customFormat="1" hidden="1" x14ac:dyDescent="0.45">
      <c r="B1025" s="1692"/>
      <c r="C1025" s="1697"/>
      <c r="D1025" s="122" t="s">
        <v>327</v>
      </c>
      <c r="E1025" s="678"/>
      <c r="F1025" s="678"/>
      <c r="G1025" s="678"/>
      <c r="H1025" s="678"/>
      <c r="I1025" s="678"/>
      <c r="J1025" s="678"/>
      <c r="K1025" s="678"/>
      <c r="L1025" s="678"/>
      <c r="M1025" s="678"/>
      <c r="N1025" s="678"/>
      <c r="O1025" s="678"/>
      <c r="P1025" s="678"/>
      <c r="Q1025" s="678"/>
      <c r="R1025" s="678"/>
      <c r="S1025" s="678"/>
      <c r="T1025" s="678"/>
      <c r="U1025" s="678"/>
      <c r="V1025" s="678"/>
      <c r="W1025" s="678"/>
      <c r="X1025" s="678"/>
      <c r="Y1025" s="679"/>
      <c r="Z1025" s="679"/>
      <c r="AA1025" s="679"/>
      <c r="AB1025" s="680"/>
    </row>
    <row r="1026" spans="2:28" s="780" customFormat="1" hidden="1" x14ac:dyDescent="0.45">
      <c r="B1026" s="1692"/>
      <c r="C1026" s="1698" t="s">
        <v>333</v>
      </c>
      <c r="D1026" s="124" t="s">
        <v>326</v>
      </c>
      <c r="E1026" s="675"/>
      <c r="F1026" s="675"/>
      <c r="G1026" s="675"/>
      <c r="H1026" s="675"/>
      <c r="I1026" s="675"/>
      <c r="J1026" s="675"/>
      <c r="K1026" s="675"/>
      <c r="L1026" s="675"/>
      <c r="M1026" s="675"/>
      <c r="N1026" s="675"/>
      <c r="O1026" s="675"/>
      <c r="P1026" s="675"/>
      <c r="Q1026" s="675"/>
      <c r="R1026" s="675"/>
      <c r="S1026" s="675"/>
      <c r="T1026" s="675"/>
      <c r="U1026" s="675"/>
      <c r="V1026" s="675"/>
      <c r="W1026" s="676"/>
      <c r="X1026" s="676"/>
      <c r="Y1026" s="676"/>
      <c r="Z1026" s="676"/>
      <c r="AA1026" s="676"/>
      <c r="AB1026" s="677"/>
    </row>
    <row r="1027" spans="2:28" s="780" customFormat="1" hidden="1" x14ac:dyDescent="0.45">
      <c r="B1027" s="1693"/>
      <c r="C1027" s="1699"/>
      <c r="D1027" s="126" t="s">
        <v>327</v>
      </c>
      <c r="E1027" s="687"/>
      <c r="F1027" s="687"/>
      <c r="G1027" s="687"/>
      <c r="H1027" s="687"/>
      <c r="I1027" s="687"/>
      <c r="J1027" s="687"/>
      <c r="K1027" s="687"/>
      <c r="L1027" s="687"/>
      <c r="M1027" s="687"/>
      <c r="N1027" s="687"/>
      <c r="O1027" s="687"/>
      <c r="P1027" s="687"/>
      <c r="Q1027" s="687"/>
      <c r="R1027" s="687"/>
      <c r="S1027" s="687"/>
      <c r="T1027" s="687"/>
      <c r="U1027" s="687"/>
      <c r="V1027" s="687"/>
      <c r="W1027" s="687"/>
      <c r="X1027" s="687"/>
      <c r="Y1027" s="687"/>
      <c r="Z1027" s="687"/>
      <c r="AA1027" s="687"/>
      <c r="AB1027" s="688"/>
    </row>
    <row r="1028" spans="2:28" s="780" customFormat="1" hidden="1" x14ac:dyDescent="0.45"/>
    <row r="1029" spans="2:28" s="780" customFormat="1" hidden="1" x14ac:dyDescent="0.45">
      <c r="B1029" s="1688" t="s">
        <v>54</v>
      </c>
      <c r="C1029" s="1689"/>
      <c r="D1029" s="1690"/>
      <c r="E1029" s="779"/>
      <c r="F1029" s="779"/>
      <c r="G1029" s="779"/>
      <c r="H1029" s="779"/>
      <c r="I1029" s="779"/>
      <c r="J1029" s="779"/>
      <c r="K1029" s="779"/>
      <c r="L1029" s="779"/>
      <c r="M1029" s="779"/>
      <c r="N1029" s="779"/>
      <c r="O1029" s="779"/>
      <c r="P1029" s="779"/>
      <c r="Q1029" s="779"/>
      <c r="R1029" s="779"/>
      <c r="S1029" s="779"/>
      <c r="T1029" s="779"/>
      <c r="U1029" s="779"/>
      <c r="V1029" s="779"/>
      <c r="W1029" s="779"/>
      <c r="X1029" s="779"/>
      <c r="Y1029" s="779"/>
      <c r="Z1029" s="779"/>
      <c r="AA1029" s="779"/>
      <c r="AB1029" s="708"/>
    </row>
    <row r="1030" spans="2:28" s="780" customFormat="1" ht="15" hidden="1" customHeight="1" x14ac:dyDescent="0.45">
      <c r="B1030" s="1691" t="str">
        <f>CONCATENATE("Plan ", INDEX(plans_index,,(ROW(B1030)-6)/16), ": ", INDEX(plans_name,,(ROW(B1030)-6)/16))</f>
        <v xml:space="preserve">Plan 64: </v>
      </c>
      <c r="C1030" s="1694" t="s">
        <v>325</v>
      </c>
      <c r="D1030" s="123" t="s">
        <v>326</v>
      </c>
      <c r="E1030" s="672"/>
      <c r="F1030" s="672"/>
      <c r="G1030" s="672"/>
      <c r="H1030" s="673"/>
      <c r="I1030" s="672"/>
      <c r="J1030" s="672"/>
      <c r="K1030" s="672"/>
      <c r="L1030" s="672"/>
      <c r="M1030" s="672"/>
      <c r="N1030" s="672"/>
      <c r="O1030" s="672"/>
      <c r="P1030" s="672"/>
      <c r="Q1030" s="672"/>
      <c r="R1030" s="672"/>
      <c r="S1030" s="672"/>
      <c r="T1030" s="672"/>
      <c r="U1030" s="672"/>
      <c r="V1030" s="672"/>
      <c r="W1030" s="672"/>
      <c r="X1030" s="672"/>
      <c r="Y1030" s="672"/>
      <c r="Z1030" s="672"/>
      <c r="AA1030" s="672"/>
      <c r="AB1030" s="674"/>
    </row>
    <row r="1031" spans="2:28" s="780" customFormat="1" hidden="1" x14ac:dyDescent="0.45">
      <c r="B1031" s="1692"/>
      <c r="C1031" s="1695"/>
      <c r="D1031" s="124" t="s">
        <v>327</v>
      </c>
      <c r="E1031" s="675"/>
      <c r="F1031" s="675"/>
      <c r="G1031" s="675"/>
      <c r="H1031" s="675"/>
      <c r="I1031" s="675"/>
      <c r="J1031" s="675"/>
      <c r="K1031" s="675"/>
      <c r="L1031" s="675"/>
      <c r="M1031" s="675"/>
      <c r="N1031" s="675"/>
      <c r="O1031" s="675"/>
      <c r="P1031" s="675"/>
      <c r="Q1031" s="675"/>
      <c r="R1031" s="675"/>
      <c r="S1031" s="675"/>
      <c r="T1031" s="675"/>
      <c r="U1031" s="675"/>
      <c r="V1031" s="675"/>
      <c r="W1031" s="675"/>
      <c r="X1031" s="675"/>
      <c r="Y1031" s="676"/>
      <c r="Z1031" s="676"/>
      <c r="AA1031" s="676"/>
      <c r="AB1031" s="677"/>
    </row>
    <row r="1032" spans="2:28" s="780" customFormat="1" hidden="1" x14ac:dyDescent="0.45">
      <c r="B1032" s="1692"/>
      <c r="C1032" s="1696" t="s">
        <v>328</v>
      </c>
      <c r="D1032" s="122" t="s">
        <v>326</v>
      </c>
      <c r="E1032" s="678"/>
      <c r="F1032" s="678"/>
      <c r="G1032" s="678"/>
      <c r="H1032" s="678"/>
      <c r="I1032" s="678"/>
      <c r="J1032" s="678"/>
      <c r="K1032" s="678"/>
      <c r="L1032" s="678"/>
      <c r="M1032" s="678"/>
      <c r="N1032" s="678"/>
      <c r="O1032" s="678"/>
      <c r="P1032" s="678"/>
      <c r="Q1032" s="678"/>
      <c r="R1032" s="678"/>
      <c r="S1032" s="678"/>
      <c r="T1032" s="678"/>
      <c r="U1032" s="678"/>
      <c r="V1032" s="678"/>
      <c r="W1032" s="678"/>
      <c r="X1032" s="678"/>
      <c r="Y1032" s="679"/>
      <c r="Z1032" s="679"/>
      <c r="AA1032" s="679"/>
      <c r="AB1032" s="680"/>
    </row>
    <row r="1033" spans="2:28" s="780" customFormat="1" hidden="1" x14ac:dyDescent="0.45">
      <c r="B1033" s="1692"/>
      <c r="C1033" s="1697"/>
      <c r="D1033" s="122" t="s">
        <v>327</v>
      </c>
      <c r="E1033" s="678"/>
      <c r="F1033" s="678"/>
      <c r="G1033" s="678"/>
      <c r="H1033" s="678"/>
      <c r="I1033" s="678"/>
      <c r="J1033" s="678"/>
      <c r="K1033" s="678"/>
      <c r="L1033" s="678"/>
      <c r="M1033" s="678"/>
      <c r="N1033" s="678"/>
      <c r="O1033" s="678"/>
      <c r="P1033" s="678"/>
      <c r="Q1033" s="678"/>
      <c r="R1033" s="678"/>
      <c r="S1033" s="678"/>
      <c r="T1033" s="678"/>
      <c r="U1033" s="678"/>
      <c r="V1033" s="678"/>
      <c r="W1033" s="678"/>
      <c r="X1033" s="681"/>
      <c r="Y1033" s="679"/>
      <c r="Z1033" s="679"/>
      <c r="AA1033" s="679"/>
      <c r="AB1033" s="680"/>
    </row>
    <row r="1034" spans="2:28" s="780" customFormat="1" hidden="1" x14ac:dyDescent="0.45">
      <c r="B1034" s="1692"/>
      <c r="C1034" s="1698" t="s">
        <v>329</v>
      </c>
      <c r="D1034" s="125" t="s">
        <v>326</v>
      </c>
      <c r="E1034" s="682"/>
      <c r="F1034" s="682"/>
      <c r="G1034" s="682"/>
      <c r="H1034" s="682"/>
      <c r="I1034" s="682"/>
      <c r="J1034" s="682"/>
      <c r="K1034" s="682"/>
      <c r="L1034" s="682"/>
      <c r="M1034" s="682"/>
      <c r="N1034" s="682"/>
      <c r="O1034" s="682"/>
      <c r="P1034" s="682"/>
      <c r="Q1034" s="682"/>
      <c r="R1034" s="682"/>
      <c r="S1034" s="682"/>
      <c r="T1034" s="682"/>
      <c r="U1034" s="682"/>
      <c r="V1034" s="682"/>
      <c r="W1034" s="682"/>
      <c r="X1034" s="682"/>
      <c r="Y1034" s="683"/>
      <c r="Z1034" s="683"/>
      <c r="AA1034" s="683"/>
      <c r="AB1034" s="684"/>
    </row>
    <row r="1035" spans="2:28" s="780" customFormat="1" hidden="1" x14ac:dyDescent="0.45">
      <c r="B1035" s="1692"/>
      <c r="C1035" s="1695"/>
      <c r="D1035" s="124" t="s">
        <v>327</v>
      </c>
      <c r="E1035" s="675"/>
      <c r="F1035" s="675"/>
      <c r="G1035" s="675"/>
      <c r="H1035" s="675"/>
      <c r="I1035" s="675"/>
      <c r="J1035" s="675"/>
      <c r="K1035" s="675"/>
      <c r="L1035" s="675"/>
      <c r="M1035" s="675"/>
      <c r="N1035" s="675"/>
      <c r="O1035" s="675"/>
      <c r="P1035" s="675"/>
      <c r="Q1035" s="675"/>
      <c r="R1035" s="675"/>
      <c r="S1035" s="675"/>
      <c r="T1035" s="675"/>
      <c r="U1035" s="675"/>
      <c r="V1035" s="675"/>
      <c r="W1035" s="675"/>
      <c r="X1035" s="675"/>
      <c r="Y1035" s="676"/>
      <c r="Z1035" s="676"/>
      <c r="AA1035" s="676"/>
      <c r="AB1035" s="677"/>
    </row>
    <row r="1036" spans="2:28" s="780" customFormat="1" hidden="1" x14ac:dyDescent="0.45">
      <c r="B1036" s="1692"/>
      <c r="C1036" s="1696" t="s">
        <v>330</v>
      </c>
      <c r="D1036" s="122" t="s">
        <v>326</v>
      </c>
      <c r="E1036" s="678"/>
      <c r="F1036" s="678"/>
      <c r="G1036" s="678"/>
      <c r="H1036" s="678"/>
      <c r="I1036" s="678"/>
      <c r="J1036" s="678"/>
      <c r="K1036" s="678"/>
      <c r="L1036" s="678"/>
      <c r="M1036" s="678"/>
      <c r="N1036" s="678"/>
      <c r="O1036" s="678"/>
      <c r="P1036" s="678"/>
      <c r="Q1036" s="678"/>
      <c r="R1036" s="678"/>
      <c r="S1036" s="678"/>
      <c r="T1036" s="678"/>
      <c r="U1036" s="678"/>
      <c r="V1036" s="678"/>
      <c r="W1036" s="678"/>
      <c r="X1036" s="678"/>
      <c r="Y1036" s="679"/>
      <c r="Z1036" s="679"/>
      <c r="AA1036" s="679"/>
      <c r="AB1036" s="680"/>
    </row>
    <row r="1037" spans="2:28" s="780" customFormat="1" hidden="1" x14ac:dyDescent="0.45">
      <c r="B1037" s="1692"/>
      <c r="C1037" s="1697"/>
      <c r="D1037" s="122" t="s">
        <v>327</v>
      </c>
      <c r="E1037" s="678"/>
      <c r="F1037" s="678"/>
      <c r="G1037" s="678"/>
      <c r="H1037" s="678"/>
      <c r="I1037" s="678"/>
      <c r="J1037" s="678"/>
      <c r="K1037" s="678"/>
      <c r="L1037" s="678"/>
      <c r="M1037" s="678"/>
      <c r="N1037" s="678"/>
      <c r="O1037" s="678"/>
      <c r="P1037" s="678"/>
      <c r="Q1037" s="678"/>
      <c r="R1037" s="678"/>
      <c r="S1037" s="678"/>
      <c r="T1037" s="678"/>
      <c r="U1037" s="678"/>
      <c r="V1037" s="678"/>
      <c r="W1037" s="678"/>
      <c r="X1037" s="681"/>
      <c r="Y1037" s="679"/>
      <c r="Z1037" s="679"/>
      <c r="AA1037" s="679"/>
      <c r="AB1037" s="680"/>
    </row>
    <row r="1038" spans="2:28" s="780" customFormat="1" hidden="1" x14ac:dyDescent="0.45">
      <c r="B1038" s="1692"/>
      <c r="C1038" s="1698" t="s">
        <v>331</v>
      </c>
      <c r="D1038" s="125" t="s">
        <v>326</v>
      </c>
      <c r="E1038" s="682"/>
      <c r="F1038" s="682"/>
      <c r="G1038" s="685"/>
      <c r="H1038" s="682"/>
      <c r="I1038" s="682"/>
      <c r="J1038" s="682"/>
      <c r="K1038" s="682"/>
      <c r="L1038" s="682"/>
      <c r="M1038" s="682"/>
      <c r="N1038" s="682"/>
      <c r="O1038" s="682"/>
      <c r="P1038" s="682"/>
      <c r="Q1038" s="682"/>
      <c r="R1038" s="682"/>
      <c r="S1038" s="682"/>
      <c r="T1038" s="682"/>
      <c r="U1038" s="682"/>
      <c r="V1038" s="682"/>
      <c r="W1038" s="682"/>
      <c r="X1038" s="682"/>
      <c r="Y1038" s="683"/>
      <c r="Z1038" s="683"/>
      <c r="AA1038" s="683"/>
      <c r="AB1038" s="684"/>
    </row>
    <row r="1039" spans="2:28" s="780" customFormat="1" hidden="1" x14ac:dyDescent="0.45">
      <c r="B1039" s="1692"/>
      <c r="C1039" s="1695"/>
      <c r="D1039" s="124" t="s">
        <v>327</v>
      </c>
      <c r="E1039" s="675"/>
      <c r="F1039" s="675"/>
      <c r="G1039" s="686"/>
      <c r="H1039" s="675"/>
      <c r="I1039" s="675"/>
      <c r="J1039" s="675"/>
      <c r="K1039" s="675"/>
      <c r="L1039" s="675"/>
      <c r="M1039" s="675"/>
      <c r="N1039" s="675"/>
      <c r="O1039" s="675"/>
      <c r="P1039" s="675"/>
      <c r="Q1039" s="675"/>
      <c r="R1039" s="675"/>
      <c r="S1039" s="675"/>
      <c r="T1039" s="675"/>
      <c r="U1039" s="675"/>
      <c r="V1039" s="675"/>
      <c r="W1039" s="675"/>
      <c r="X1039" s="675"/>
      <c r="Y1039" s="676"/>
      <c r="Z1039" s="676"/>
      <c r="AA1039" s="676"/>
      <c r="AB1039" s="677"/>
    </row>
    <row r="1040" spans="2:28" s="780" customFormat="1" hidden="1" x14ac:dyDescent="0.45">
      <c r="B1040" s="1692"/>
      <c r="C1040" s="1696" t="s">
        <v>332</v>
      </c>
      <c r="D1040" s="122" t="s">
        <v>326</v>
      </c>
      <c r="E1040" s="678"/>
      <c r="F1040" s="678"/>
      <c r="G1040" s="678"/>
      <c r="H1040" s="678"/>
      <c r="I1040" s="678"/>
      <c r="J1040" s="678"/>
      <c r="K1040" s="678"/>
      <c r="L1040" s="678"/>
      <c r="M1040" s="678"/>
      <c r="N1040" s="678"/>
      <c r="O1040" s="678"/>
      <c r="P1040" s="678"/>
      <c r="Q1040" s="678"/>
      <c r="R1040" s="678"/>
      <c r="S1040" s="678"/>
      <c r="T1040" s="678"/>
      <c r="U1040" s="678"/>
      <c r="V1040" s="678"/>
      <c r="W1040" s="679"/>
      <c r="X1040" s="679"/>
      <c r="Y1040" s="679"/>
      <c r="Z1040" s="679"/>
      <c r="AA1040" s="679"/>
      <c r="AB1040" s="680"/>
    </row>
    <row r="1041" spans="2:28" s="780" customFormat="1" hidden="1" x14ac:dyDescent="0.45">
      <c r="B1041" s="1692"/>
      <c r="C1041" s="1697"/>
      <c r="D1041" s="122" t="s">
        <v>327</v>
      </c>
      <c r="E1041" s="678"/>
      <c r="F1041" s="678"/>
      <c r="G1041" s="678"/>
      <c r="H1041" s="678"/>
      <c r="I1041" s="678"/>
      <c r="J1041" s="678"/>
      <c r="K1041" s="678"/>
      <c r="L1041" s="678"/>
      <c r="M1041" s="678"/>
      <c r="N1041" s="678"/>
      <c r="O1041" s="678"/>
      <c r="P1041" s="678"/>
      <c r="Q1041" s="678"/>
      <c r="R1041" s="678"/>
      <c r="S1041" s="678"/>
      <c r="T1041" s="678"/>
      <c r="U1041" s="678"/>
      <c r="V1041" s="678"/>
      <c r="W1041" s="678"/>
      <c r="X1041" s="678"/>
      <c r="Y1041" s="679"/>
      <c r="Z1041" s="679"/>
      <c r="AA1041" s="679"/>
      <c r="AB1041" s="680"/>
    </row>
    <row r="1042" spans="2:28" s="780" customFormat="1" hidden="1" x14ac:dyDescent="0.45">
      <c r="B1042" s="1692"/>
      <c r="C1042" s="1698" t="s">
        <v>333</v>
      </c>
      <c r="D1042" s="124" t="s">
        <v>326</v>
      </c>
      <c r="E1042" s="675"/>
      <c r="F1042" s="675"/>
      <c r="G1042" s="675"/>
      <c r="H1042" s="675"/>
      <c r="I1042" s="675"/>
      <c r="J1042" s="675"/>
      <c r="K1042" s="675"/>
      <c r="L1042" s="675"/>
      <c r="M1042" s="675"/>
      <c r="N1042" s="675"/>
      <c r="O1042" s="675"/>
      <c r="P1042" s="675"/>
      <c r="Q1042" s="675"/>
      <c r="R1042" s="675"/>
      <c r="S1042" s="675"/>
      <c r="T1042" s="675"/>
      <c r="U1042" s="675"/>
      <c r="V1042" s="675"/>
      <c r="W1042" s="676"/>
      <c r="X1042" s="676"/>
      <c r="Y1042" s="676"/>
      <c r="Z1042" s="676"/>
      <c r="AA1042" s="676"/>
      <c r="AB1042" s="677"/>
    </row>
    <row r="1043" spans="2:28" s="780" customFormat="1" hidden="1" x14ac:dyDescent="0.45">
      <c r="B1043" s="1693"/>
      <c r="C1043" s="1699"/>
      <c r="D1043" s="126" t="s">
        <v>327</v>
      </c>
      <c r="E1043" s="687"/>
      <c r="F1043" s="687"/>
      <c r="G1043" s="687"/>
      <c r="H1043" s="687"/>
      <c r="I1043" s="687"/>
      <c r="J1043" s="687"/>
      <c r="K1043" s="687"/>
      <c r="L1043" s="687"/>
      <c r="M1043" s="687"/>
      <c r="N1043" s="687"/>
      <c r="O1043" s="687"/>
      <c r="P1043" s="687"/>
      <c r="Q1043" s="687"/>
      <c r="R1043" s="687"/>
      <c r="S1043" s="687"/>
      <c r="T1043" s="687"/>
      <c r="U1043" s="687"/>
      <c r="V1043" s="687"/>
      <c r="W1043" s="687"/>
      <c r="X1043" s="687"/>
      <c r="Y1043" s="687"/>
      <c r="Z1043" s="687"/>
      <c r="AA1043" s="687"/>
      <c r="AB1043" s="688"/>
    </row>
    <row r="1044" spans="2:28" s="780" customFormat="1" hidden="1" x14ac:dyDescent="0.45"/>
    <row r="1045" spans="2:28" s="780" customFormat="1" hidden="1" x14ac:dyDescent="0.45">
      <c r="B1045" s="1688" t="s">
        <v>54</v>
      </c>
      <c r="C1045" s="1689"/>
      <c r="D1045" s="1690"/>
      <c r="E1045" s="779"/>
      <c r="F1045" s="779"/>
      <c r="G1045" s="779"/>
      <c r="H1045" s="779"/>
      <c r="I1045" s="779"/>
      <c r="J1045" s="779"/>
      <c r="K1045" s="779"/>
      <c r="L1045" s="779"/>
      <c r="M1045" s="779"/>
      <c r="N1045" s="779"/>
      <c r="O1045" s="779"/>
      <c r="P1045" s="779"/>
      <c r="Q1045" s="779"/>
      <c r="R1045" s="779"/>
      <c r="S1045" s="779"/>
      <c r="T1045" s="779"/>
      <c r="U1045" s="779"/>
      <c r="V1045" s="779"/>
      <c r="W1045" s="779"/>
      <c r="X1045" s="779"/>
      <c r="Y1045" s="779"/>
      <c r="Z1045" s="779"/>
      <c r="AA1045" s="779"/>
      <c r="AB1045" s="708"/>
    </row>
    <row r="1046" spans="2:28" s="780" customFormat="1" ht="15" hidden="1" customHeight="1" x14ac:dyDescent="0.45">
      <c r="B1046" s="1691" t="str">
        <f>CONCATENATE("Plan ", INDEX(plans_index,,(ROW(B1046)-6)/16), ": ", INDEX(plans_name,,(ROW(B1046)-6)/16))</f>
        <v xml:space="preserve">Plan 65: </v>
      </c>
      <c r="C1046" s="1694" t="s">
        <v>325</v>
      </c>
      <c r="D1046" s="123" t="s">
        <v>326</v>
      </c>
      <c r="E1046" s="672"/>
      <c r="F1046" s="672"/>
      <c r="G1046" s="672"/>
      <c r="H1046" s="673"/>
      <c r="I1046" s="672"/>
      <c r="J1046" s="672"/>
      <c r="K1046" s="672"/>
      <c r="L1046" s="672"/>
      <c r="M1046" s="672"/>
      <c r="N1046" s="672"/>
      <c r="O1046" s="672"/>
      <c r="P1046" s="672"/>
      <c r="Q1046" s="672"/>
      <c r="R1046" s="672"/>
      <c r="S1046" s="672"/>
      <c r="T1046" s="672"/>
      <c r="U1046" s="672"/>
      <c r="V1046" s="672"/>
      <c r="W1046" s="672"/>
      <c r="X1046" s="672"/>
      <c r="Y1046" s="672"/>
      <c r="Z1046" s="672"/>
      <c r="AA1046" s="672"/>
      <c r="AB1046" s="674"/>
    </row>
    <row r="1047" spans="2:28" s="780" customFormat="1" hidden="1" x14ac:dyDescent="0.45">
      <c r="B1047" s="1692"/>
      <c r="C1047" s="1695"/>
      <c r="D1047" s="124" t="s">
        <v>327</v>
      </c>
      <c r="E1047" s="675"/>
      <c r="F1047" s="675"/>
      <c r="G1047" s="675"/>
      <c r="H1047" s="675"/>
      <c r="I1047" s="675"/>
      <c r="J1047" s="675"/>
      <c r="K1047" s="675"/>
      <c r="L1047" s="675"/>
      <c r="M1047" s="675"/>
      <c r="N1047" s="675"/>
      <c r="O1047" s="675"/>
      <c r="P1047" s="675"/>
      <c r="Q1047" s="675"/>
      <c r="R1047" s="675"/>
      <c r="S1047" s="675"/>
      <c r="T1047" s="675"/>
      <c r="U1047" s="675"/>
      <c r="V1047" s="675"/>
      <c r="W1047" s="675"/>
      <c r="X1047" s="675"/>
      <c r="Y1047" s="676"/>
      <c r="Z1047" s="676"/>
      <c r="AA1047" s="676"/>
      <c r="AB1047" s="677"/>
    </row>
    <row r="1048" spans="2:28" s="780" customFormat="1" hidden="1" x14ac:dyDescent="0.45">
      <c r="B1048" s="1692"/>
      <c r="C1048" s="1696" t="s">
        <v>328</v>
      </c>
      <c r="D1048" s="122" t="s">
        <v>326</v>
      </c>
      <c r="E1048" s="678"/>
      <c r="F1048" s="678"/>
      <c r="G1048" s="678"/>
      <c r="H1048" s="678"/>
      <c r="I1048" s="678"/>
      <c r="J1048" s="678"/>
      <c r="K1048" s="678"/>
      <c r="L1048" s="678"/>
      <c r="M1048" s="678"/>
      <c r="N1048" s="678"/>
      <c r="O1048" s="678"/>
      <c r="P1048" s="678"/>
      <c r="Q1048" s="678"/>
      <c r="R1048" s="678"/>
      <c r="S1048" s="678"/>
      <c r="T1048" s="678"/>
      <c r="U1048" s="678"/>
      <c r="V1048" s="678"/>
      <c r="W1048" s="678"/>
      <c r="X1048" s="678"/>
      <c r="Y1048" s="679"/>
      <c r="Z1048" s="679"/>
      <c r="AA1048" s="679"/>
      <c r="AB1048" s="680"/>
    </row>
    <row r="1049" spans="2:28" s="780" customFormat="1" hidden="1" x14ac:dyDescent="0.45">
      <c r="B1049" s="1692"/>
      <c r="C1049" s="1697"/>
      <c r="D1049" s="122" t="s">
        <v>327</v>
      </c>
      <c r="E1049" s="678"/>
      <c r="F1049" s="678"/>
      <c r="G1049" s="678"/>
      <c r="H1049" s="678"/>
      <c r="I1049" s="678"/>
      <c r="J1049" s="678"/>
      <c r="K1049" s="678"/>
      <c r="L1049" s="678"/>
      <c r="M1049" s="678"/>
      <c r="N1049" s="678"/>
      <c r="O1049" s="678"/>
      <c r="P1049" s="678"/>
      <c r="Q1049" s="678"/>
      <c r="R1049" s="678"/>
      <c r="S1049" s="678"/>
      <c r="T1049" s="678"/>
      <c r="U1049" s="678"/>
      <c r="V1049" s="678"/>
      <c r="W1049" s="678"/>
      <c r="X1049" s="681"/>
      <c r="Y1049" s="679"/>
      <c r="Z1049" s="679"/>
      <c r="AA1049" s="679"/>
      <c r="AB1049" s="680"/>
    </row>
    <row r="1050" spans="2:28" s="780" customFormat="1" hidden="1" x14ac:dyDescent="0.45">
      <c r="B1050" s="1692"/>
      <c r="C1050" s="1698" t="s">
        <v>329</v>
      </c>
      <c r="D1050" s="125" t="s">
        <v>326</v>
      </c>
      <c r="E1050" s="682"/>
      <c r="F1050" s="682"/>
      <c r="G1050" s="682"/>
      <c r="H1050" s="682"/>
      <c r="I1050" s="682"/>
      <c r="J1050" s="682"/>
      <c r="K1050" s="682"/>
      <c r="L1050" s="682"/>
      <c r="M1050" s="682"/>
      <c r="N1050" s="682"/>
      <c r="O1050" s="682"/>
      <c r="P1050" s="682"/>
      <c r="Q1050" s="682"/>
      <c r="R1050" s="682"/>
      <c r="S1050" s="682"/>
      <c r="T1050" s="682"/>
      <c r="U1050" s="682"/>
      <c r="V1050" s="682"/>
      <c r="W1050" s="682"/>
      <c r="X1050" s="682"/>
      <c r="Y1050" s="683"/>
      <c r="Z1050" s="683"/>
      <c r="AA1050" s="683"/>
      <c r="AB1050" s="684"/>
    </row>
    <row r="1051" spans="2:28" s="780" customFormat="1" hidden="1" x14ac:dyDescent="0.45">
      <c r="B1051" s="1692"/>
      <c r="C1051" s="1695"/>
      <c r="D1051" s="124" t="s">
        <v>327</v>
      </c>
      <c r="E1051" s="675"/>
      <c r="F1051" s="675"/>
      <c r="G1051" s="675"/>
      <c r="H1051" s="675"/>
      <c r="I1051" s="675"/>
      <c r="J1051" s="675"/>
      <c r="K1051" s="675"/>
      <c r="L1051" s="675"/>
      <c r="M1051" s="675"/>
      <c r="N1051" s="675"/>
      <c r="O1051" s="675"/>
      <c r="P1051" s="675"/>
      <c r="Q1051" s="675"/>
      <c r="R1051" s="675"/>
      <c r="S1051" s="675"/>
      <c r="T1051" s="675"/>
      <c r="U1051" s="675"/>
      <c r="V1051" s="675"/>
      <c r="W1051" s="675"/>
      <c r="X1051" s="675"/>
      <c r="Y1051" s="676"/>
      <c r="Z1051" s="676"/>
      <c r="AA1051" s="676"/>
      <c r="AB1051" s="677"/>
    </row>
    <row r="1052" spans="2:28" s="780" customFormat="1" hidden="1" x14ac:dyDescent="0.45">
      <c r="B1052" s="1692"/>
      <c r="C1052" s="1696" t="s">
        <v>330</v>
      </c>
      <c r="D1052" s="122" t="s">
        <v>326</v>
      </c>
      <c r="E1052" s="678"/>
      <c r="F1052" s="678"/>
      <c r="G1052" s="678"/>
      <c r="H1052" s="678"/>
      <c r="I1052" s="678"/>
      <c r="J1052" s="678"/>
      <c r="K1052" s="678"/>
      <c r="L1052" s="678"/>
      <c r="M1052" s="678"/>
      <c r="N1052" s="678"/>
      <c r="O1052" s="678"/>
      <c r="P1052" s="678"/>
      <c r="Q1052" s="678"/>
      <c r="R1052" s="678"/>
      <c r="S1052" s="678"/>
      <c r="T1052" s="678"/>
      <c r="U1052" s="678"/>
      <c r="V1052" s="678"/>
      <c r="W1052" s="678"/>
      <c r="X1052" s="678"/>
      <c r="Y1052" s="679"/>
      <c r="Z1052" s="679"/>
      <c r="AA1052" s="679"/>
      <c r="AB1052" s="680"/>
    </row>
    <row r="1053" spans="2:28" s="780" customFormat="1" hidden="1" x14ac:dyDescent="0.45">
      <c r="B1053" s="1692"/>
      <c r="C1053" s="1697"/>
      <c r="D1053" s="122" t="s">
        <v>327</v>
      </c>
      <c r="E1053" s="678"/>
      <c r="F1053" s="678"/>
      <c r="G1053" s="678"/>
      <c r="H1053" s="678"/>
      <c r="I1053" s="678"/>
      <c r="J1053" s="678"/>
      <c r="K1053" s="678"/>
      <c r="L1053" s="678"/>
      <c r="M1053" s="678"/>
      <c r="N1053" s="678"/>
      <c r="O1053" s="678"/>
      <c r="P1053" s="678"/>
      <c r="Q1053" s="678"/>
      <c r="R1053" s="678"/>
      <c r="S1053" s="678"/>
      <c r="T1053" s="678"/>
      <c r="U1053" s="678"/>
      <c r="V1053" s="678"/>
      <c r="W1053" s="678"/>
      <c r="X1053" s="681"/>
      <c r="Y1053" s="679"/>
      <c r="Z1053" s="679"/>
      <c r="AA1053" s="679"/>
      <c r="AB1053" s="680"/>
    </row>
    <row r="1054" spans="2:28" s="780" customFormat="1" hidden="1" x14ac:dyDescent="0.45">
      <c r="B1054" s="1692"/>
      <c r="C1054" s="1698" t="s">
        <v>331</v>
      </c>
      <c r="D1054" s="125" t="s">
        <v>326</v>
      </c>
      <c r="E1054" s="682"/>
      <c r="F1054" s="682"/>
      <c r="G1054" s="685"/>
      <c r="H1054" s="682"/>
      <c r="I1054" s="682"/>
      <c r="J1054" s="682"/>
      <c r="K1054" s="682"/>
      <c r="L1054" s="682"/>
      <c r="M1054" s="682"/>
      <c r="N1054" s="682"/>
      <c r="O1054" s="682"/>
      <c r="P1054" s="682"/>
      <c r="Q1054" s="682"/>
      <c r="R1054" s="682"/>
      <c r="S1054" s="682"/>
      <c r="T1054" s="682"/>
      <c r="U1054" s="682"/>
      <c r="V1054" s="682"/>
      <c r="W1054" s="682"/>
      <c r="X1054" s="682"/>
      <c r="Y1054" s="683"/>
      <c r="Z1054" s="683"/>
      <c r="AA1054" s="683"/>
      <c r="AB1054" s="684"/>
    </row>
    <row r="1055" spans="2:28" s="780" customFormat="1" hidden="1" x14ac:dyDescent="0.45">
      <c r="B1055" s="1692"/>
      <c r="C1055" s="1695"/>
      <c r="D1055" s="124" t="s">
        <v>327</v>
      </c>
      <c r="E1055" s="675"/>
      <c r="F1055" s="675"/>
      <c r="G1055" s="686"/>
      <c r="H1055" s="675"/>
      <c r="I1055" s="675"/>
      <c r="J1055" s="675"/>
      <c r="K1055" s="675"/>
      <c r="L1055" s="675"/>
      <c r="M1055" s="675"/>
      <c r="N1055" s="675"/>
      <c r="O1055" s="675"/>
      <c r="P1055" s="675"/>
      <c r="Q1055" s="675"/>
      <c r="R1055" s="675"/>
      <c r="S1055" s="675"/>
      <c r="T1055" s="675"/>
      <c r="U1055" s="675"/>
      <c r="V1055" s="675"/>
      <c r="W1055" s="675"/>
      <c r="X1055" s="675"/>
      <c r="Y1055" s="676"/>
      <c r="Z1055" s="676"/>
      <c r="AA1055" s="676"/>
      <c r="AB1055" s="677"/>
    </row>
    <row r="1056" spans="2:28" s="780" customFormat="1" hidden="1" x14ac:dyDescent="0.45">
      <c r="B1056" s="1692"/>
      <c r="C1056" s="1696" t="s">
        <v>332</v>
      </c>
      <c r="D1056" s="122" t="s">
        <v>326</v>
      </c>
      <c r="E1056" s="678"/>
      <c r="F1056" s="678"/>
      <c r="G1056" s="678"/>
      <c r="H1056" s="678"/>
      <c r="I1056" s="678"/>
      <c r="J1056" s="678"/>
      <c r="K1056" s="678"/>
      <c r="L1056" s="678"/>
      <c r="M1056" s="678"/>
      <c r="N1056" s="678"/>
      <c r="O1056" s="678"/>
      <c r="P1056" s="678"/>
      <c r="Q1056" s="678"/>
      <c r="R1056" s="678"/>
      <c r="S1056" s="678"/>
      <c r="T1056" s="678"/>
      <c r="U1056" s="678"/>
      <c r="V1056" s="678"/>
      <c r="W1056" s="679"/>
      <c r="X1056" s="679"/>
      <c r="Y1056" s="679"/>
      <c r="Z1056" s="679"/>
      <c r="AA1056" s="679"/>
      <c r="AB1056" s="680"/>
    </row>
    <row r="1057" spans="2:28" s="780" customFormat="1" hidden="1" x14ac:dyDescent="0.45">
      <c r="B1057" s="1692"/>
      <c r="C1057" s="1697"/>
      <c r="D1057" s="122" t="s">
        <v>327</v>
      </c>
      <c r="E1057" s="678"/>
      <c r="F1057" s="678"/>
      <c r="G1057" s="678"/>
      <c r="H1057" s="678"/>
      <c r="I1057" s="678"/>
      <c r="J1057" s="678"/>
      <c r="K1057" s="678"/>
      <c r="L1057" s="678"/>
      <c r="M1057" s="678"/>
      <c r="N1057" s="678"/>
      <c r="O1057" s="678"/>
      <c r="P1057" s="678"/>
      <c r="Q1057" s="678"/>
      <c r="R1057" s="678"/>
      <c r="S1057" s="678"/>
      <c r="T1057" s="678"/>
      <c r="U1057" s="678"/>
      <c r="V1057" s="678"/>
      <c r="W1057" s="678"/>
      <c r="X1057" s="678"/>
      <c r="Y1057" s="679"/>
      <c r="Z1057" s="679"/>
      <c r="AA1057" s="679"/>
      <c r="AB1057" s="680"/>
    </row>
    <row r="1058" spans="2:28" s="780" customFormat="1" hidden="1" x14ac:dyDescent="0.45">
      <c r="B1058" s="1692"/>
      <c r="C1058" s="1698" t="s">
        <v>333</v>
      </c>
      <c r="D1058" s="124" t="s">
        <v>326</v>
      </c>
      <c r="E1058" s="675"/>
      <c r="F1058" s="675"/>
      <c r="G1058" s="675"/>
      <c r="H1058" s="675"/>
      <c r="I1058" s="675"/>
      <c r="J1058" s="675"/>
      <c r="K1058" s="675"/>
      <c r="L1058" s="675"/>
      <c r="M1058" s="675"/>
      <c r="N1058" s="675"/>
      <c r="O1058" s="675"/>
      <c r="P1058" s="675"/>
      <c r="Q1058" s="675"/>
      <c r="R1058" s="675"/>
      <c r="S1058" s="675"/>
      <c r="T1058" s="675"/>
      <c r="U1058" s="675"/>
      <c r="V1058" s="675"/>
      <c r="W1058" s="676"/>
      <c r="X1058" s="676"/>
      <c r="Y1058" s="676"/>
      <c r="Z1058" s="676"/>
      <c r="AA1058" s="676"/>
      <c r="AB1058" s="677"/>
    </row>
    <row r="1059" spans="2:28" s="780" customFormat="1" hidden="1" x14ac:dyDescent="0.45">
      <c r="B1059" s="1693"/>
      <c r="C1059" s="1699"/>
      <c r="D1059" s="126" t="s">
        <v>327</v>
      </c>
      <c r="E1059" s="687"/>
      <c r="F1059" s="687"/>
      <c r="G1059" s="687"/>
      <c r="H1059" s="687"/>
      <c r="I1059" s="687"/>
      <c r="J1059" s="687"/>
      <c r="K1059" s="687"/>
      <c r="L1059" s="687"/>
      <c r="M1059" s="687"/>
      <c r="N1059" s="687"/>
      <c r="O1059" s="687"/>
      <c r="P1059" s="687"/>
      <c r="Q1059" s="687"/>
      <c r="R1059" s="687"/>
      <c r="S1059" s="687"/>
      <c r="T1059" s="687"/>
      <c r="U1059" s="687"/>
      <c r="V1059" s="687"/>
      <c r="W1059" s="687"/>
      <c r="X1059" s="687"/>
      <c r="Y1059" s="687"/>
      <c r="Z1059" s="687"/>
      <c r="AA1059" s="687"/>
      <c r="AB1059" s="688"/>
    </row>
    <row r="1060" spans="2:28" s="780" customFormat="1" hidden="1" x14ac:dyDescent="0.45"/>
    <row r="1061" spans="2:28" s="780" customFormat="1" hidden="1" x14ac:dyDescent="0.45">
      <c r="B1061" s="1688" t="s">
        <v>54</v>
      </c>
      <c r="C1061" s="1689"/>
      <c r="D1061" s="1690"/>
      <c r="E1061" s="779"/>
      <c r="F1061" s="779"/>
      <c r="G1061" s="779"/>
      <c r="H1061" s="779"/>
      <c r="I1061" s="779"/>
      <c r="J1061" s="779"/>
      <c r="K1061" s="779"/>
      <c r="L1061" s="779"/>
      <c r="M1061" s="779"/>
      <c r="N1061" s="779"/>
      <c r="O1061" s="779"/>
      <c r="P1061" s="779"/>
      <c r="Q1061" s="779"/>
      <c r="R1061" s="779"/>
      <c r="S1061" s="779"/>
      <c r="T1061" s="779"/>
      <c r="U1061" s="779"/>
      <c r="V1061" s="779"/>
      <c r="W1061" s="779"/>
      <c r="X1061" s="779"/>
      <c r="Y1061" s="779"/>
      <c r="Z1061" s="779"/>
      <c r="AA1061" s="779"/>
      <c r="AB1061" s="708"/>
    </row>
    <row r="1062" spans="2:28" s="780" customFormat="1" ht="15" hidden="1" customHeight="1" x14ac:dyDescent="0.45">
      <c r="B1062" s="1691" t="str">
        <f>CONCATENATE("Plan ", INDEX(plans_index,,(ROW(B1062)-6)/16), ": ", INDEX(plans_name,,(ROW(B1062)-6)/16))</f>
        <v xml:space="preserve">Plan 66: </v>
      </c>
      <c r="C1062" s="1694" t="s">
        <v>325</v>
      </c>
      <c r="D1062" s="123" t="s">
        <v>326</v>
      </c>
      <c r="E1062" s="672"/>
      <c r="F1062" s="672"/>
      <c r="G1062" s="672"/>
      <c r="H1062" s="673"/>
      <c r="I1062" s="672"/>
      <c r="J1062" s="672"/>
      <c r="K1062" s="672"/>
      <c r="L1062" s="672"/>
      <c r="M1062" s="672"/>
      <c r="N1062" s="672"/>
      <c r="O1062" s="672"/>
      <c r="P1062" s="672"/>
      <c r="Q1062" s="672"/>
      <c r="R1062" s="672"/>
      <c r="S1062" s="672"/>
      <c r="T1062" s="672"/>
      <c r="U1062" s="672"/>
      <c r="V1062" s="672"/>
      <c r="W1062" s="672"/>
      <c r="X1062" s="672"/>
      <c r="Y1062" s="672"/>
      <c r="Z1062" s="672"/>
      <c r="AA1062" s="672"/>
      <c r="AB1062" s="674"/>
    </row>
    <row r="1063" spans="2:28" s="780" customFormat="1" hidden="1" x14ac:dyDescent="0.45">
      <c r="B1063" s="1692"/>
      <c r="C1063" s="1695"/>
      <c r="D1063" s="124" t="s">
        <v>327</v>
      </c>
      <c r="E1063" s="675"/>
      <c r="F1063" s="675"/>
      <c r="G1063" s="675"/>
      <c r="H1063" s="675"/>
      <c r="I1063" s="675"/>
      <c r="J1063" s="675"/>
      <c r="K1063" s="675"/>
      <c r="L1063" s="675"/>
      <c r="M1063" s="675"/>
      <c r="N1063" s="675"/>
      <c r="O1063" s="675"/>
      <c r="P1063" s="675"/>
      <c r="Q1063" s="675"/>
      <c r="R1063" s="675"/>
      <c r="S1063" s="675"/>
      <c r="T1063" s="675"/>
      <c r="U1063" s="675"/>
      <c r="V1063" s="675"/>
      <c r="W1063" s="675"/>
      <c r="X1063" s="675"/>
      <c r="Y1063" s="676"/>
      <c r="Z1063" s="676"/>
      <c r="AA1063" s="676"/>
      <c r="AB1063" s="677"/>
    </row>
    <row r="1064" spans="2:28" s="780" customFormat="1" hidden="1" x14ac:dyDescent="0.45">
      <c r="B1064" s="1692"/>
      <c r="C1064" s="1696" t="s">
        <v>328</v>
      </c>
      <c r="D1064" s="122" t="s">
        <v>326</v>
      </c>
      <c r="E1064" s="678"/>
      <c r="F1064" s="678"/>
      <c r="G1064" s="678"/>
      <c r="H1064" s="678"/>
      <c r="I1064" s="678"/>
      <c r="J1064" s="678"/>
      <c r="K1064" s="678"/>
      <c r="L1064" s="678"/>
      <c r="M1064" s="678"/>
      <c r="N1064" s="678"/>
      <c r="O1064" s="678"/>
      <c r="P1064" s="678"/>
      <c r="Q1064" s="678"/>
      <c r="R1064" s="678"/>
      <c r="S1064" s="678"/>
      <c r="T1064" s="678"/>
      <c r="U1064" s="678"/>
      <c r="V1064" s="678"/>
      <c r="W1064" s="678"/>
      <c r="X1064" s="678"/>
      <c r="Y1064" s="679"/>
      <c r="Z1064" s="679"/>
      <c r="AA1064" s="679"/>
      <c r="AB1064" s="680"/>
    </row>
    <row r="1065" spans="2:28" s="780" customFormat="1" hidden="1" x14ac:dyDescent="0.45">
      <c r="B1065" s="1692"/>
      <c r="C1065" s="1697"/>
      <c r="D1065" s="122" t="s">
        <v>327</v>
      </c>
      <c r="E1065" s="678"/>
      <c r="F1065" s="678"/>
      <c r="G1065" s="678"/>
      <c r="H1065" s="678"/>
      <c r="I1065" s="678"/>
      <c r="J1065" s="678"/>
      <c r="K1065" s="678"/>
      <c r="L1065" s="678"/>
      <c r="M1065" s="678"/>
      <c r="N1065" s="678"/>
      <c r="O1065" s="678"/>
      <c r="P1065" s="678"/>
      <c r="Q1065" s="678"/>
      <c r="R1065" s="678"/>
      <c r="S1065" s="678"/>
      <c r="T1065" s="678"/>
      <c r="U1065" s="678"/>
      <c r="V1065" s="678"/>
      <c r="W1065" s="678"/>
      <c r="X1065" s="681"/>
      <c r="Y1065" s="679"/>
      <c r="Z1065" s="679"/>
      <c r="AA1065" s="679"/>
      <c r="AB1065" s="680"/>
    </row>
    <row r="1066" spans="2:28" s="780" customFormat="1" hidden="1" x14ac:dyDescent="0.45">
      <c r="B1066" s="1692"/>
      <c r="C1066" s="1698" t="s">
        <v>329</v>
      </c>
      <c r="D1066" s="125" t="s">
        <v>326</v>
      </c>
      <c r="E1066" s="682"/>
      <c r="F1066" s="682"/>
      <c r="G1066" s="682"/>
      <c r="H1066" s="682"/>
      <c r="I1066" s="682"/>
      <c r="J1066" s="682"/>
      <c r="K1066" s="682"/>
      <c r="L1066" s="682"/>
      <c r="M1066" s="682"/>
      <c r="N1066" s="682"/>
      <c r="O1066" s="682"/>
      <c r="P1066" s="682"/>
      <c r="Q1066" s="682"/>
      <c r="R1066" s="682"/>
      <c r="S1066" s="682"/>
      <c r="T1066" s="682"/>
      <c r="U1066" s="682"/>
      <c r="V1066" s="682"/>
      <c r="W1066" s="682"/>
      <c r="X1066" s="682"/>
      <c r="Y1066" s="683"/>
      <c r="Z1066" s="683"/>
      <c r="AA1066" s="683"/>
      <c r="AB1066" s="684"/>
    </row>
    <row r="1067" spans="2:28" s="780" customFormat="1" hidden="1" x14ac:dyDescent="0.45">
      <c r="B1067" s="1692"/>
      <c r="C1067" s="1695"/>
      <c r="D1067" s="124" t="s">
        <v>327</v>
      </c>
      <c r="E1067" s="675"/>
      <c r="F1067" s="675"/>
      <c r="G1067" s="675"/>
      <c r="H1067" s="675"/>
      <c r="I1067" s="675"/>
      <c r="J1067" s="675"/>
      <c r="K1067" s="675"/>
      <c r="L1067" s="675"/>
      <c r="M1067" s="675"/>
      <c r="N1067" s="675"/>
      <c r="O1067" s="675"/>
      <c r="P1067" s="675"/>
      <c r="Q1067" s="675"/>
      <c r="R1067" s="675"/>
      <c r="S1067" s="675"/>
      <c r="T1067" s="675"/>
      <c r="U1067" s="675"/>
      <c r="V1067" s="675"/>
      <c r="W1067" s="675"/>
      <c r="X1067" s="675"/>
      <c r="Y1067" s="676"/>
      <c r="Z1067" s="676"/>
      <c r="AA1067" s="676"/>
      <c r="AB1067" s="677"/>
    </row>
    <row r="1068" spans="2:28" s="780" customFormat="1" hidden="1" x14ac:dyDescent="0.45">
      <c r="B1068" s="1692"/>
      <c r="C1068" s="1696" t="s">
        <v>330</v>
      </c>
      <c r="D1068" s="122" t="s">
        <v>326</v>
      </c>
      <c r="E1068" s="678"/>
      <c r="F1068" s="678"/>
      <c r="G1068" s="678"/>
      <c r="H1068" s="678"/>
      <c r="I1068" s="678"/>
      <c r="J1068" s="678"/>
      <c r="K1068" s="678"/>
      <c r="L1068" s="678"/>
      <c r="M1068" s="678"/>
      <c r="N1068" s="678"/>
      <c r="O1068" s="678"/>
      <c r="P1068" s="678"/>
      <c r="Q1068" s="678"/>
      <c r="R1068" s="678"/>
      <c r="S1068" s="678"/>
      <c r="T1068" s="678"/>
      <c r="U1068" s="678"/>
      <c r="V1068" s="678"/>
      <c r="W1068" s="678"/>
      <c r="X1068" s="678"/>
      <c r="Y1068" s="679"/>
      <c r="Z1068" s="679"/>
      <c r="AA1068" s="679"/>
      <c r="AB1068" s="680"/>
    </row>
    <row r="1069" spans="2:28" s="780" customFormat="1" hidden="1" x14ac:dyDescent="0.45">
      <c r="B1069" s="1692"/>
      <c r="C1069" s="1697"/>
      <c r="D1069" s="122" t="s">
        <v>327</v>
      </c>
      <c r="E1069" s="678"/>
      <c r="F1069" s="678"/>
      <c r="G1069" s="678"/>
      <c r="H1069" s="678"/>
      <c r="I1069" s="678"/>
      <c r="J1069" s="678"/>
      <c r="K1069" s="678"/>
      <c r="L1069" s="678"/>
      <c r="M1069" s="678"/>
      <c r="N1069" s="678"/>
      <c r="O1069" s="678"/>
      <c r="P1069" s="678"/>
      <c r="Q1069" s="678"/>
      <c r="R1069" s="678"/>
      <c r="S1069" s="678"/>
      <c r="T1069" s="678"/>
      <c r="U1069" s="678"/>
      <c r="V1069" s="678"/>
      <c r="W1069" s="678"/>
      <c r="X1069" s="681"/>
      <c r="Y1069" s="679"/>
      <c r="Z1069" s="679"/>
      <c r="AA1069" s="679"/>
      <c r="AB1069" s="680"/>
    </row>
    <row r="1070" spans="2:28" s="780" customFormat="1" hidden="1" x14ac:dyDescent="0.45">
      <c r="B1070" s="1692"/>
      <c r="C1070" s="1698" t="s">
        <v>331</v>
      </c>
      <c r="D1070" s="125" t="s">
        <v>326</v>
      </c>
      <c r="E1070" s="682"/>
      <c r="F1070" s="682"/>
      <c r="G1070" s="685"/>
      <c r="H1070" s="682"/>
      <c r="I1070" s="682"/>
      <c r="J1070" s="682"/>
      <c r="K1070" s="682"/>
      <c r="L1070" s="682"/>
      <c r="M1070" s="682"/>
      <c r="N1070" s="682"/>
      <c r="O1070" s="682"/>
      <c r="P1070" s="682"/>
      <c r="Q1070" s="682"/>
      <c r="R1070" s="682"/>
      <c r="S1070" s="682"/>
      <c r="T1070" s="682"/>
      <c r="U1070" s="682"/>
      <c r="V1070" s="682"/>
      <c r="W1070" s="682"/>
      <c r="X1070" s="682"/>
      <c r="Y1070" s="683"/>
      <c r="Z1070" s="683"/>
      <c r="AA1070" s="683"/>
      <c r="AB1070" s="684"/>
    </row>
    <row r="1071" spans="2:28" s="780" customFormat="1" hidden="1" x14ac:dyDescent="0.45">
      <c r="B1071" s="1692"/>
      <c r="C1071" s="1695"/>
      <c r="D1071" s="124" t="s">
        <v>327</v>
      </c>
      <c r="E1071" s="675"/>
      <c r="F1071" s="675"/>
      <c r="G1071" s="686"/>
      <c r="H1071" s="675"/>
      <c r="I1071" s="675"/>
      <c r="J1071" s="675"/>
      <c r="K1071" s="675"/>
      <c r="L1071" s="675"/>
      <c r="M1071" s="675"/>
      <c r="N1071" s="675"/>
      <c r="O1071" s="675"/>
      <c r="P1071" s="675"/>
      <c r="Q1071" s="675"/>
      <c r="R1071" s="675"/>
      <c r="S1071" s="675"/>
      <c r="T1071" s="675"/>
      <c r="U1071" s="675"/>
      <c r="V1071" s="675"/>
      <c r="W1071" s="675"/>
      <c r="X1071" s="675"/>
      <c r="Y1071" s="676"/>
      <c r="Z1071" s="676"/>
      <c r="AA1071" s="676"/>
      <c r="AB1071" s="677"/>
    </row>
    <row r="1072" spans="2:28" s="780" customFormat="1" hidden="1" x14ac:dyDescent="0.45">
      <c r="B1072" s="1692"/>
      <c r="C1072" s="1696" t="s">
        <v>332</v>
      </c>
      <c r="D1072" s="122" t="s">
        <v>326</v>
      </c>
      <c r="E1072" s="678"/>
      <c r="F1072" s="678"/>
      <c r="G1072" s="678"/>
      <c r="H1072" s="678"/>
      <c r="I1072" s="678"/>
      <c r="J1072" s="678"/>
      <c r="K1072" s="678"/>
      <c r="L1072" s="678"/>
      <c r="M1072" s="678"/>
      <c r="N1072" s="678"/>
      <c r="O1072" s="678"/>
      <c r="P1072" s="678"/>
      <c r="Q1072" s="678"/>
      <c r="R1072" s="678"/>
      <c r="S1072" s="678"/>
      <c r="T1072" s="678"/>
      <c r="U1072" s="678"/>
      <c r="V1072" s="678"/>
      <c r="W1072" s="679"/>
      <c r="X1072" s="679"/>
      <c r="Y1072" s="679"/>
      <c r="Z1072" s="679"/>
      <c r="AA1072" s="679"/>
      <c r="AB1072" s="680"/>
    </row>
    <row r="1073" spans="2:28" s="780" customFormat="1" hidden="1" x14ac:dyDescent="0.45">
      <c r="B1073" s="1692"/>
      <c r="C1073" s="1697"/>
      <c r="D1073" s="122" t="s">
        <v>327</v>
      </c>
      <c r="E1073" s="678"/>
      <c r="F1073" s="678"/>
      <c r="G1073" s="678"/>
      <c r="H1073" s="678"/>
      <c r="I1073" s="678"/>
      <c r="J1073" s="678"/>
      <c r="K1073" s="678"/>
      <c r="L1073" s="678"/>
      <c r="M1073" s="678"/>
      <c r="N1073" s="678"/>
      <c r="O1073" s="678"/>
      <c r="P1073" s="678"/>
      <c r="Q1073" s="678"/>
      <c r="R1073" s="678"/>
      <c r="S1073" s="678"/>
      <c r="T1073" s="678"/>
      <c r="U1073" s="678"/>
      <c r="V1073" s="678"/>
      <c r="W1073" s="678"/>
      <c r="X1073" s="678"/>
      <c r="Y1073" s="679"/>
      <c r="Z1073" s="679"/>
      <c r="AA1073" s="679"/>
      <c r="AB1073" s="680"/>
    </row>
    <row r="1074" spans="2:28" s="780" customFormat="1" hidden="1" x14ac:dyDescent="0.45">
      <c r="B1074" s="1692"/>
      <c r="C1074" s="1698" t="s">
        <v>333</v>
      </c>
      <c r="D1074" s="124" t="s">
        <v>326</v>
      </c>
      <c r="E1074" s="675"/>
      <c r="F1074" s="675"/>
      <c r="G1074" s="675"/>
      <c r="H1074" s="675"/>
      <c r="I1074" s="675"/>
      <c r="J1074" s="675"/>
      <c r="K1074" s="675"/>
      <c r="L1074" s="675"/>
      <c r="M1074" s="675"/>
      <c r="N1074" s="675"/>
      <c r="O1074" s="675"/>
      <c r="P1074" s="675"/>
      <c r="Q1074" s="675"/>
      <c r="R1074" s="675"/>
      <c r="S1074" s="675"/>
      <c r="T1074" s="675"/>
      <c r="U1074" s="675"/>
      <c r="V1074" s="675"/>
      <c r="W1074" s="676"/>
      <c r="X1074" s="676"/>
      <c r="Y1074" s="676"/>
      <c r="Z1074" s="676"/>
      <c r="AA1074" s="676"/>
      <c r="AB1074" s="677"/>
    </row>
    <row r="1075" spans="2:28" s="780" customFormat="1" hidden="1" x14ac:dyDescent="0.45">
      <c r="B1075" s="1693"/>
      <c r="C1075" s="1699"/>
      <c r="D1075" s="126" t="s">
        <v>327</v>
      </c>
      <c r="E1075" s="687"/>
      <c r="F1075" s="687"/>
      <c r="G1075" s="687"/>
      <c r="H1075" s="687"/>
      <c r="I1075" s="687"/>
      <c r="J1075" s="687"/>
      <c r="K1075" s="687"/>
      <c r="L1075" s="687"/>
      <c r="M1075" s="687"/>
      <c r="N1075" s="687"/>
      <c r="O1075" s="687"/>
      <c r="P1075" s="687"/>
      <c r="Q1075" s="687"/>
      <c r="R1075" s="687"/>
      <c r="S1075" s="687"/>
      <c r="T1075" s="687"/>
      <c r="U1075" s="687"/>
      <c r="V1075" s="687"/>
      <c r="W1075" s="687"/>
      <c r="X1075" s="687"/>
      <c r="Y1075" s="687"/>
      <c r="Z1075" s="687"/>
      <c r="AA1075" s="687"/>
      <c r="AB1075" s="688"/>
    </row>
    <row r="1076" spans="2:28" s="780" customFormat="1" hidden="1" x14ac:dyDescent="0.45"/>
    <row r="1077" spans="2:28" s="780" customFormat="1" hidden="1" x14ac:dyDescent="0.45">
      <c r="B1077" s="1688" t="s">
        <v>54</v>
      </c>
      <c r="C1077" s="1689"/>
      <c r="D1077" s="1690"/>
      <c r="E1077" s="779"/>
      <c r="F1077" s="779"/>
      <c r="G1077" s="779"/>
      <c r="H1077" s="779"/>
      <c r="I1077" s="779"/>
      <c r="J1077" s="779"/>
      <c r="K1077" s="779"/>
      <c r="L1077" s="779"/>
      <c r="M1077" s="779"/>
      <c r="N1077" s="779"/>
      <c r="O1077" s="779"/>
      <c r="P1077" s="779"/>
      <c r="Q1077" s="779"/>
      <c r="R1077" s="779"/>
      <c r="S1077" s="779"/>
      <c r="T1077" s="779"/>
      <c r="U1077" s="779"/>
      <c r="V1077" s="779"/>
      <c r="W1077" s="779"/>
      <c r="X1077" s="779"/>
      <c r="Y1077" s="779"/>
      <c r="Z1077" s="779"/>
      <c r="AA1077" s="779"/>
      <c r="AB1077" s="708"/>
    </row>
    <row r="1078" spans="2:28" s="780" customFormat="1" ht="15" hidden="1" customHeight="1" x14ac:dyDescent="0.45">
      <c r="B1078" s="1691" t="str">
        <f>CONCATENATE("Plan ", INDEX(plans_index,,(ROW(B1078)-6)/16), ": ", INDEX(plans_name,,(ROW(B1078)-6)/16))</f>
        <v xml:space="preserve">Plan 67: </v>
      </c>
      <c r="C1078" s="1694" t="s">
        <v>325</v>
      </c>
      <c r="D1078" s="123" t="s">
        <v>326</v>
      </c>
      <c r="E1078" s="672"/>
      <c r="F1078" s="672"/>
      <c r="G1078" s="672"/>
      <c r="H1078" s="673"/>
      <c r="I1078" s="672"/>
      <c r="J1078" s="672"/>
      <c r="K1078" s="672"/>
      <c r="L1078" s="672"/>
      <c r="M1078" s="672"/>
      <c r="N1078" s="672"/>
      <c r="O1078" s="672"/>
      <c r="P1078" s="672"/>
      <c r="Q1078" s="672"/>
      <c r="R1078" s="672"/>
      <c r="S1078" s="672"/>
      <c r="T1078" s="672"/>
      <c r="U1078" s="672"/>
      <c r="V1078" s="672"/>
      <c r="W1078" s="672"/>
      <c r="X1078" s="672"/>
      <c r="Y1078" s="672"/>
      <c r="Z1078" s="672"/>
      <c r="AA1078" s="672"/>
      <c r="AB1078" s="674"/>
    </row>
    <row r="1079" spans="2:28" s="780" customFormat="1" hidden="1" x14ac:dyDescent="0.45">
      <c r="B1079" s="1692"/>
      <c r="C1079" s="1695"/>
      <c r="D1079" s="124" t="s">
        <v>327</v>
      </c>
      <c r="E1079" s="675"/>
      <c r="F1079" s="675"/>
      <c r="G1079" s="675"/>
      <c r="H1079" s="675"/>
      <c r="I1079" s="675"/>
      <c r="J1079" s="675"/>
      <c r="K1079" s="675"/>
      <c r="L1079" s="675"/>
      <c r="M1079" s="675"/>
      <c r="N1079" s="675"/>
      <c r="O1079" s="675"/>
      <c r="P1079" s="675"/>
      <c r="Q1079" s="675"/>
      <c r="R1079" s="675"/>
      <c r="S1079" s="675"/>
      <c r="T1079" s="675"/>
      <c r="U1079" s="675"/>
      <c r="V1079" s="675"/>
      <c r="W1079" s="675"/>
      <c r="X1079" s="675"/>
      <c r="Y1079" s="676"/>
      <c r="Z1079" s="676"/>
      <c r="AA1079" s="676"/>
      <c r="AB1079" s="677"/>
    </row>
    <row r="1080" spans="2:28" s="780" customFormat="1" hidden="1" x14ac:dyDescent="0.45">
      <c r="B1080" s="1692"/>
      <c r="C1080" s="1696" t="s">
        <v>328</v>
      </c>
      <c r="D1080" s="122" t="s">
        <v>326</v>
      </c>
      <c r="E1080" s="678"/>
      <c r="F1080" s="678"/>
      <c r="G1080" s="678"/>
      <c r="H1080" s="678"/>
      <c r="I1080" s="678"/>
      <c r="J1080" s="678"/>
      <c r="K1080" s="678"/>
      <c r="L1080" s="678"/>
      <c r="M1080" s="678"/>
      <c r="N1080" s="678"/>
      <c r="O1080" s="678"/>
      <c r="P1080" s="678"/>
      <c r="Q1080" s="678"/>
      <c r="R1080" s="678"/>
      <c r="S1080" s="678"/>
      <c r="T1080" s="678"/>
      <c r="U1080" s="678"/>
      <c r="V1080" s="678"/>
      <c r="W1080" s="678"/>
      <c r="X1080" s="678"/>
      <c r="Y1080" s="679"/>
      <c r="Z1080" s="679"/>
      <c r="AA1080" s="679"/>
      <c r="AB1080" s="680"/>
    </row>
    <row r="1081" spans="2:28" s="780" customFormat="1" hidden="1" x14ac:dyDescent="0.45">
      <c r="B1081" s="1692"/>
      <c r="C1081" s="1697"/>
      <c r="D1081" s="122" t="s">
        <v>327</v>
      </c>
      <c r="E1081" s="678"/>
      <c r="F1081" s="678"/>
      <c r="G1081" s="678"/>
      <c r="H1081" s="678"/>
      <c r="I1081" s="678"/>
      <c r="J1081" s="678"/>
      <c r="K1081" s="678"/>
      <c r="L1081" s="678"/>
      <c r="M1081" s="678"/>
      <c r="N1081" s="678"/>
      <c r="O1081" s="678"/>
      <c r="P1081" s="678"/>
      <c r="Q1081" s="678"/>
      <c r="R1081" s="678"/>
      <c r="S1081" s="678"/>
      <c r="T1081" s="678"/>
      <c r="U1081" s="678"/>
      <c r="V1081" s="678"/>
      <c r="W1081" s="678"/>
      <c r="X1081" s="681"/>
      <c r="Y1081" s="679"/>
      <c r="Z1081" s="679"/>
      <c r="AA1081" s="679"/>
      <c r="AB1081" s="680"/>
    </row>
    <row r="1082" spans="2:28" s="780" customFormat="1" hidden="1" x14ac:dyDescent="0.45">
      <c r="B1082" s="1692"/>
      <c r="C1082" s="1698" t="s">
        <v>329</v>
      </c>
      <c r="D1082" s="125" t="s">
        <v>326</v>
      </c>
      <c r="E1082" s="682"/>
      <c r="F1082" s="682"/>
      <c r="G1082" s="682"/>
      <c r="H1082" s="682"/>
      <c r="I1082" s="682"/>
      <c r="J1082" s="682"/>
      <c r="K1082" s="682"/>
      <c r="L1082" s="682"/>
      <c r="M1082" s="682"/>
      <c r="N1082" s="682"/>
      <c r="O1082" s="682"/>
      <c r="P1082" s="682"/>
      <c r="Q1082" s="682"/>
      <c r="R1082" s="682"/>
      <c r="S1082" s="682"/>
      <c r="T1082" s="682"/>
      <c r="U1082" s="682"/>
      <c r="V1082" s="682"/>
      <c r="W1082" s="682"/>
      <c r="X1082" s="682"/>
      <c r="Y1082" s="683"/>
      <c r="Z1082" s="683"/>
      <c r="AA1082" s="683"/>
      <c r="AB1082" s="684"/>
    </row>
    <row r="1083" spans="2:28" s="780" customFormat="1" hidden="1" x14ac:dyDescent="0.45">
      <c r="B1083" s="1692"/>
      <c r="C1083" s="1695"/>
      <c r="D1083" s="124" t="s">
        <v>327</v>
      </c>
      <c r="E1083" s="675"/>
      <c r="F1083" s="675"/>
      <c r="G1083" s="675"/>
      <c r="H1083" s="675"/>
      <c r="I1083" s="675"/>
      <c r="J1083" s="675"/>
      <c r="K1083" s="675"/>
      <c r="L1083" s="675"/>
      <c r="M1083" s="675"/>
      <c r="N1083" s="675"/>
      <c r="O1083" s="675"/>
      <c r="P1083" s="675"/>
      <c r="Q1083" s="675"/>
      <c r="R1083" s="675"/>
      <c r="S1083" s="675"/>
      <c r="T1083" s="675"/>
      <c r="U1083" s="675"/>
      <c r="V1083" s="675"/>
      <c r="W1083" s="675"/>
      <c r="X1083" s="675"/>
      <c r="Y1083" s="676"/>
      <c r="Z1083" s="676"/>
      <c r="AA1083" s="676"/>
      <c r="AB1083" s="677"/>
    </row>
    <row r="1084" spans="2:28" s="780" customFormat="1" hidden="1" x14ac:dyDescent="0.45">
      <c r="B1084" s="1692"/>
      <c r="C1084" s="1696" t="s">
        <v>330</v>
      </c>
      <c r="D1084" s="122" t="s">
        <v>326</v>
      </c>
      <c r="E1084" s="678"/>
      <c r="F1084" s="678"/>
      <c r="G1084" s="678"/>
      <c r="H1084" s="678"/>
      <c r="I1084" s="678"/>
      <c r="J1084" s="678"/>
      <c r="K1084" s="678"/>
      <c r="L1084" s="678"/>
      <c r="M1084" s="678"/>
      <c r="N1084" s="678"/>
      <c r="O1084" s="678"/>
      <c r="P1084" s="678"/>
      <c r="Q1084" s="678"/>
      <c r="R1084" s="678"/>
      <c r="S1084" s="678"/>
      <c r="T1084" s="678"/>
      <c r="U1084" s="678"/>
      <c r="V1084" s="678"/>
      <c r="W1084" s="678"/>
      <c r="X1084" s="678"/>
      <c r="Y1084" s="679"/>
      <c r="Z1084" s="679"/>
      <c r="AA1084" s="679"/>
      <c r="AB1084" s="680"/>
    </row>
    <row r="1085" spans="2:28" s="780" customFormat="1" hidden="1" x14ac:dyDescent="0.45">
      <c r="B1085" s="1692"/>
      <c r="C1085" s="1697"/>
      <c r="D1085" s="122" t="s">
        <v>327</v>
      </c>
      <c r="E1085" s="678"/>
      <c r="F1085" s="678"/>
      <c r="G1085" s="678"/>
      <c r="H1085" s="678"/>
      <c r="I1085" s="678"/>
      <c r="J1085" s="678"/>
      <c r="K1085" s="678"/>
      <c r="L1085" s="678"/>
      <c r="M1085" s="678"/>
      <c r="N1085" s="678"/>
      <c r="O1085" s="678"/>
      <c r="P1085" s="678"/>
      <c r="Q1085" s="678"/>
      <c r="R1085" s="678"/>
      <c r="S1085" s="678"/>
      <c r="T1085" s="678"/>
      <c r="U1085" s="678"/>
      <c r="V1085" s="678"/>
      <c r="W1085" s="678"/>
      <c r="X1085" s="681"/>
      <c r="Y1085" s="679"/>
      <c r="Z1085" s="679"/>
      <c r="AA1085" s="679"/>
      <c r="AB1085" s="680"/>
    </row>
    <row r="1086" spans="2:28" s="780" customFormat="1" hidden="1" x14ac:dyDescent="0.45">
      <c r="B1086" s="1692"/>
      <c r="C1086" s="1698" t="s">
        <v>331</v>
      </c>
      <c r="D1086" s="125" t="s">
        <v>326</v>
      </c>
      <c r="E1086" s="682"/>
      <c r="F1086" s="682"/>
      <c r="G1086" s="685"/>
      <c r="H1086" s="682"/>
      <c r="I1086" s="682"/>
      <c r="J1086" s="682"/>
      <c r="K1086" s="682"/>
      <c r="L1086" s="682"/>
      <c r="M1086" s="682"/>
      <c r="N1086" s="682"/>
      <c r="O1086" s="682"/>
      <c r="P1086" s="682"/>
      <c r="Q1086" s="682"/>
      <c r="R1086" s="682"/>
      <c r="S1086" s="682"/>
      <c r="T1086" s="682"/>
      <c r="U1086" s="682"/>
      <c r="V1086" s="682"/>
      <c r="W1086" s="682"/>
      <c r="X1086" s="682"/>
      <c r="Y1086" s="683"/>
      <c r="Z1086" s="683"/>
      <c r="AA1086" s="683"/>
      <c r="AB1086" s="684"/>
    </row>
    <row r="1087" spans="2:28" s="780" customFormat="1" hidden="1" x14ac:dyDescent="0.45">
      <c r="B1087" s="1692"/>
      <c r="C1087" s="1695"/>
      <c r="D1087" s="124" t="s">
        <v>327</v>
      </c>
      <c r="E1087" s="675"/>
      <c r="F1087" s="675"/>
      <c r="G1087" s="686"/>
      <c r="H1087" s="675"/>
      <c r="I1087" s="675"/>
      <c r="J1087" s="675"/>
      <c r="K1087" s="675"/>
      <c r="L1087" s="675"/>
      <c r="M1087" s="675"/>
      <c r="N1087" s="675"/>
      <c r="O1087" s="675"/>
      <c r="P1087" s="675"/>
      <c r="Q1087" s="675"/>
      <c r="R1087" s="675"/>
      <c r="S1087" s="675"/>
      <c r="T1087" s="675"/>
      <c r="U1087" s="675"/>
      <c r="V1087" s="675"/>
      <c r="W1087" s="675"/>
      <c r="X1087" s="675"/>
      <c r="Y1087" s="676"/>
      <c r="Z1087" s="676"/>
      <c r="AA1087" s="676"/>
      <c r="AB1087" s="677"/>
    </row>
    <row r="1088" spans="2:28" s="780" customFormat="1" hidden="1" x14ac:dyDescent="0.45">
      <c r="B1088" s="1692"/>
      <c r="C1088" s="1696" t="s">
        <v>332</v>
      </c>
      <c r="D1088" s="122" t="s">
        <v>326</v>
      </c>
      <c r="E1088" s="678"/>
      <c r="F1088" s="678"/>
      <c r="G1088" s="678"/>
      <c r="H1088" s="678"/>
      <c r="I1088" s="678"/>
      <c r="J1088" s="678"/>
      <c r="K1088" s="678"/>
      <c r="L1088" s="678"/>
      <c r="M1088" s="678"/>
      <c r="N1088" s="678"/>
      <c r="O1088" s="678"/>
      <c r="P1088" s="678"/>
      <c r="Q1088" s="678"/>
      <c r="R1088" s="678"/>
      <c r="S1088" s="678"/>
      <c r="T1088" s="678"/>
      <c r="U1088" s="678"/>
      <c r="V1088" s="678"/>
      <c r="W1088" s="679"/>
      <c r="X1088" s="679"/>
      <c r="Y1088" s="679"/>
      <c r="Z1088" s="679"/>
      <c r="AA1088" s="679"/>
      <c r="AB1088" s="680"/>
    </row>
    <row r="1089" spans="2:28" s="780" customFormat="1" hidden="1" x14ac:dyDescent="0.45">
      <c r="B1089" s="1692"/>
      <c r="C1089" s="1697"/>
      <c r="D1089" s="122" t="s">
        <v>327</v>
      </c>
      <c r="E1089" s="678"/>
      <c r="F1089" s="678"/>
      <c r="G1089" s="678"/>
      <c r="H1089" s="678"/>
      <c r="I1089" s="678"/>
      <c r="J1089" s="678"/>
      <c r="K1089" s="678"/>
      <c r="L1089" s="678"/>
      <c r="M1089" s="678"/>
      <c r="N1089" s="678"/>
      <c r="O1089" s="678"/>
      <c r="P1089" s="678"/>
      <c r="Q1089" s="678"/>
      <c r="R1089" s="678"/>
      <c r="S1089" s="678"/>
      <c r="T1089" s="678"/>
      <c r="U1089" s="678"/>
      <c r="V1089" s="678"/>
      <c r="W1089" s="678"/>
      <c r="X1089" s="678"/>
      <c r="Y1089" s="679"/>
      <c r="Z1089" s="679"/>
      <c r="AA1089" s="679"/>
      <c r="AB1089" s="680"/>
    </row>
    <row r="1090" spans="2:28" s="780" customFormat="1" hidden="1" x14ac:dyDescent="0.45">
      <c r="B1090" s="1692"/>
      <c r="C1090" s="1698" t="s">
        <v>333</v>
      </c>
      <c r="D1090" s="124" t="s">
        <v>326</v>
      </c>
      <c r="E1090" s="675"/>
      <c r="F1090" s="675"/>
      <c r="G1090" s="675"/>
      <c r="H1090" s="675"/>
      <c r="I1090" s="675"/>
      <c r="J1090" s="675"/>
      <c r="K1090" s="675"/>
      <c r="L1090" s="675"/>
      <c r="M1090" s="675"/>
      <c r="N1090" s="675"/>
      <c r="O1090" s="675"/>
      <c r="P1090" s="675"/>
      <c r="Q1090" s="675"/>
      <c r="R1090" s="675"/>
      <c r="S1090" s="675"/>
      <c r="T1090" s="675"/>
      <c r="U1090" s="675"/>
      <c r="V1090" s="675"/>
      <c r="W1090" s="676"/>
      <c r="X1090" s="676"/>
      <c r="Y1090" s="676"/>
      <c r="Z1090" s="676"/>
      <c r="AA1090" s="676"/>
      <c r="AB1090" s="677"/>
    </row>
    <row r="1091" spans="2:28" s="780" customFormat="1" hidden="1" x14ac:dyDescent="0.45">
      <c r="B1091" s="1693"/>
      <c r="C1091" s="1699"/>
      <c r="D1091" s="126" t="s">
        <v>327</v>
      </c>
      <c r="E1091" s="687"/>
      <c r="F1091" s="687"/>
      <c r="G1091" s="687"/>
      <c r="H1091" s="687"/>
      <c r="I1091" s="687"/>
      <c r="J1091" s="687"/>
      <c r="K1091" s="687"/>
      <c r="L1091" s="687"/>
      <c r="M1091" s="687"/>
      <c r="N1091" s="687"/>
      <c r="O1091" s="687"/>
      <c r="P1091" s="687"/>
      <c r="Q1091" s="687"/>
      <c r="R1091" s="687"/>
      <c r="S1091" s="687"/>
      <c r="T1091" s="687"/>
      <c r="U1091" s="687"/>
      <c r="V1091" s="687"/>
      <c r="W1091" s="687"/>
      <c r="X1091" s="687"/>
      <c r="Y1091" s="687"/>
      <c r="Z1091" s="687"/>
      <c r="AA1091" s="687"/>
      <c r="AB1091" s="688"/>
    </row>
    <row r="1092" spans="2:28" s="780" customFormat="1" hidden="1" x14ac:dyDescent="0.45"/>
    <row r="1093" spans="2:28" s="780" customFormat="1" hidden="1" x14ac:dyDescent="0.45">
      <c r="B1093" s="1688" t="s">
        <v>54</v>
      </c>
      <c r="C1093" s="1689"/>
      <c r="D1093" s="1690"/>
      <c r="E1093" s="779"/>
      <c r="F1093" s="779"/>
      <c r="G1093" s="779"/>
      <c r="H1093" s="779"/>
      <c r="I1093" s="779"/>
      <c r="J1093" s="779"/>
      <c r="K1093" s="779"/>
      <c r="L1093" s="779"/>
      <c r="M1093" s="779"/>
      <c r="N1093" s="779"/>
      <c r="O1093" s="779"/>
      <c r="P1093" s="779"/>
      <c r="Q1093" s="779"/>
      <c r="R1093" s="779"/>
      <c r="S1093" s="779"/>
      <c r="T1093" s="779"/>
      <c r="U1093" s="779"/>
      <c r="V1093" s="779"/>
      <c r="W1093" s="779"/>
      <c r="X1093" s="779"/>
      <c r="Y1093" s="779"/>
      <c r="Z1093" s="779"/>
      <c r="AA1093" s="779"/>
      <c r="AB1093" s="708"/>
    </row>
    <row r="1094" spans="2:28" s="780" customFormat="1" ht="15" hidden="1" customHeight="1" x14ac:dyDescent="0.45">
      <c r="B1094" s="1691" t="str">
        <f>CONCATENATE("Plan ", INDEX(plans_index,,(ROW(B1094)-6)/16), ": ", INDEX(plans_name,,(ROW(B1094)-6)/16))</f>
        <v xml:space="preserve">Plan 68: </v>
      </c>
      <c r="C1094" s="1694" t="s">
        <v>325</v>
      </c>
      <c r="D1094" s="123" t="s">
        <v>326</v>
      </c>
      <c r="E1094" s="672"/>
      <c r="F1094" s="672"/>
      <c r="G1094" s="672"/>
      <c r="H1094" s="673"/>
      <c r="I1094" s="672"/>
      <c r="J1094" s="672"/>
      <c r="K1094" s="672"/>
      <c r="L1094" s="672"/>
      <c r="M1094" s="672"/>
      <c r="N1094" s="672"/>
      <c r="O1094" s="672"/>
      <c r="P1094" s="672"/>
      <c r="Q1094" s="672"/>
      <c r="R1094" s="672"/>
      <c r="S1094" s="672"/>
      <c r="T1094" s="672"/>
      <c r="U1094" s="672"/>
      <c r="V1094" s="672"/>
      <c r="W1094" s="672"/>
      <c r="X1094" s="672"/>
      <c r="Y1094" s="672"/>
      <c r="Z1094" s="672"/>
      <c r="AA1094" s="672"/>
      <c r="AB1094" s="674"/>
    </row>
    <row r="1095" spans="2:28" s="780" customFormat="1" hidden="1" x14ac:dyDescent="0.45">
      <c r="B1095" s="1692"/>
      <c r="C1095" s="1695"/>
      <c r="D1095" s="124" t="s">
        <v>327</v>
      </c>
      <c r="E1095" s="675"/>
      <c r="F1095" s="675"/>
      <c r="G1095" s="675"/>
      <c r="H1095" s="675"/>
      <c r="I1095" s="675"/>
      <c r="J1095" s="675"/>
      <c r="K1095" s="675"/>
      <c r="L1095" s="675"/>
      <c r="M1095" s="675"/>
      <c r="N1095" s="675"/>
      <c r="O1095" s="675"/>
      <c r="P1095" s="675"/>
      <c r="Q1095" s="675"/>
      <c r="R1095" s="675"/>
      <c r="S1095" s="675"/>
      <c r="T1095" s="675"/>
      <c r="U1095" s="675"/>
      <c r="V1095" s="675"/>
      <c r="W1095" s="675"/>
      <c r="X1095" s="675"/>
      <c r="Y1095" s="676"/>
      <c r="Z1095" s="676"/>
      <c r="AA1095" s="676"/>
      <c r="AB1095" s="677"/>
    </row>
    <row r="1096" spans="2:28" s="780" customFormat="1" hidden="1" x14ac:dyDescent="0.45">
      <c r="B1096" s="1692"/>
      <c r="C1096" s="1696" t="s">
        <v>328</v>
      </c>
      <c r="D1096" s="122" t="s">
        <v>326</v>
      </c>
      <c r="E1096" s="678"/>
      <c r="F1096" s="678"/>
      <c r="G1096" s="678"/>
      <c r="H1096" s="678"/>
      <c r="I1096" s="678"/>
      <c r="J1096" s="678"/>
      <c r="K1096" s="678"/>
      <c r="L1096" s="678"/>
      <c r="M1096" s="678"/>
      <c r="N1096" s="678"/>
      <c r="O1096" s="678"/>
      <c r="P1096" s="678"/>
      <c r="Q1096" s="678"/>
      <c r="R1096" s="678"/>
      <c r="S1096" s="678"/>
      <c r="T1096" s="678"/>
      <c r="U1096" s="678"/>
      <c r="V1096" s="678"/>
      <c r="W1096" s="678"/>
      <c r="X1096" s="678"/>
      <c r="Y1096" s="679"/>
      <c r="Z1096" s="679"/>
      <c r="AA1096" s="679"/>
      <c r="AB1096" s="680"/>
    </row>
    <row r="1097" spans="2:28" s="780" customFormat="1" hidden="1" x14ac:dyDescent="0.45">
      <c r="B1097" s="1692"/>
      <c r="C1097" s="1697"/>
      <c r="D1097" s="122" t="s">
        <v>327</v>
      </c>
      <c r="E1097" s="678"/>
      <c r="F1097" s="678"/>
      <c r="G1097" s="678"/>
      <c r="H1097" s="678"/>
      <c r="I1097" s="678"/>
      <c r="J1097" s="678"/>
      <c r="K1097" s="678"/>
      <c r="L1097" s="678"/>
      <c r="M1097" s="678"/>
      <c r="N1097" s="678"/>
      <c r="O1097" s="678"/>
      <c r="P1097" s="678"/>
      <c r="Q1097" s="678"/>
      <c r="R1097" s="678"/>
      <c r="S1097" s="678"/>
      <c r="T1097" s="678"/>
      <c r="U1097" s="678"/>
      <c r="V1097" s="678"/>
      <c r="W1097" s="678"/>
      <c r="X1097" s="681"/>
      <c r="Y1097" s="679"/>
      <c r="Z1097" s="679"/>
      <c r="AA1097" s="679"/>
      <c r="AB1097" s="680"/>
    </row>
    <row r="1098" spans="2:28" s="780" customFormat="1" hidden="1" x14ac:dyDescent="0.45">
      <c r="B1098" s="1692"/>
      <c r="C1098" s="1698" t="s">
        <v>329</v>
      </c>
      <c r="D1098" s="125" t="s">
        <v>326</v>
      </c>
      <c r="E1098" s="682"/>
      <c r="F1098" s="682"/>
      <c r="G1098" s="682"/>
      <c r="H1098" s="682"/>
      <c r="I1098" s="682"/>
      <c r="J1098" s="682"/>
      <c r="K1098" s="682"/>
      <c r="L1098" s="682"/>
      <c r="M1098" s="682"/>
      <c r="N1098" s="682"/>
      <c r="O1098" s="682"/>
      <c r="P1098" s="682"/>
      <c r="Q1098" s="682"/>
      <c r="R1098" s="682"/>
      <c r="S1098" s="682"/>
      <c r="T1098" s="682"/>
      <c r="U1098" s="682"/>
      <c r="V1098" s="682"/>
      <c r="W1098" s="682"/>
      <c r="X1098" s="682"/>
      <c r="Y1098" s="683"/>
      <c r="Z1098" s="683"/>
      <c r="AA1098" s="683"/>
      <c r="AB1098" s="684"/>
    </row>
    <row r="1099" spans="2:28" s="780" customFormat="1" hidden="1" x14ac:dyDescent="0.45">
      <c r="B1099" s="1692"/>
      <c r="C1099" s="1695"/>
      <c r="D1099" s="124" t="s">
        <v>327</v>
      </c>
      <c r="E1099" s="675"/>
      <c r="F1099" s="675"/>
      <c r="G1099" s="675"/>
      <c r="H1099" s="675"/>
      <c r="I1099" s="675"/>
      <c r="J1099" s="675"/>
      <c r="K1099" s="675"/>
      <c r="L1099" s="675"/>
      <c r="M1099" s="675"/>
      <c r="N1099" s="675"/>
      <c r="O1099" s="675"/>
      <c r="P1099" s="675"/>
      <c r="Q1099" s="675"/>
      <c r="R1099" s="675"/>
      <c r="S1099" s="675"/>
      <c r="T1099" s="675"/>
      <c r="U1099" s="675"/>
      <c r="V1099" s="675"/>
      <c r="W1099" s="675"/>
      <c r="X1099" s="675"/>
      <c r="Y1099" s="676"/>
      <c r="Z1099" s="676"/>
      <c r="AA1099" s="676"/>
      <c r="AB1099" s="677"/>
    </row>
    <row r="1100" spans="2:28" s="780" customFormat="1" hidden="1" x14ac:dyDescent="0.45">
      <c r="B1100" s="1692"/>
      <c r="C1100" s="1696" t="s">
        <v>330</v>
      </c>
      <c r="D1100" s="122" t="s">
        <v>326</v>
      </c>
      <c r="E1100" s="678"/>
      <c r="F1100" s="678"/>
      <c r="G1100" s="678"/>
      <c r="H1100" s="678"/>
      <c r="I1100" s="678"/>
      <c r="J1100" s="678"/>
      <c r="K1100" s="678"/>
      <c r="L1100" s="678"/>
      <c r="M1100" s="678"/>
      <c r="N1100" s="678"/>
      <c r="O1100" s="678"/>
      <c r="P1100" s="678"/>
      <c r="Q1100" s="678"/>
      <c r="R1100" s="678"/>
      <c r="S1100" s="678"/>
      <c r="T1100" s="678"/>
      <c r="U1100" s="678"/>
      <c r="V1100" s="678"/>
      <c r="W1100" s="678"/>
      <c r="X1100" s="678"/>
      <c r="Y1100" s="679"/>
      <c r="Z1100" s="679"/>
      <c r="AA1100" s="679"/>
      <c r="AB1100" s="680"/>
    </row>
    <row r="1101" spans="2:28" s="780" customFormat="1" hidden="1" x14ac:dyDescent="0.45">
      <c r="B1101" s="1692"/>
      <c r="C1101" s="1697"/>
      <c r="D1101" s="122" t="s">
        <v>327</v>
      </c>
      <c r="E1101" s="678"/>
      <c r="F1101" s="678"/>
      <c r="G1101" s="678"/>
      <c r="H1101" s="678"/>
      <c r="I1101" s="678"/>
      <c r="J1101" s="678"/>
      <c r="K1101" s="678"/>
      <c r="L1101" s="678"/>
      <c r="M1101" s="678"/>
      <c r="N1101" s="678"/>
      <c r="O1101" s="678"/>
      <c r="P1101" s="678"/>
      <c r="Q1101" s="678"/>
      <c r="R1101" s="678"/>
      <c r="S1101" s="678"/>
      <c r="T1101" s="678"/>
      <c r="U1101" s="678"/>
      <c r="V1101" s="678"/>
      <c r="W1101" s="678"/>
      <c r="X1101" s="681"/>
      <c r="Y1101" s="679"/>
      <c r="Z1101" s="679"/>
      <c r="AA1101" s="679"/>
      <c r="AB1101" s="680"/>
    </row>
    <row r="1102" spans="2:28" s="780" customFormat="1" hidden="1" x14ac:dyDescent="0.45">
      <c r="B1102" s="1692"/>
      <c r="C1102" s="1698" t="s">
        <v>331</v>
      </c>
      <c r="D1102" s="125" t="s">
        <v>326</v>
      </c>
      <c r="E1102" s="682"/>
      <c r="F1102" s="682"/>
      <c r="G1102" s="685"/>
      <c r="H1102" s="682"/>
      <c r="I1102" s="682"/>
      <c r="J1102" s="682"/>
      <c r="K1102" s="682"/>
      <c r="L1102" s="682"/>
      <c r="M1102" s="682"/>
      <c r="N1102" s="682"/>
      <c r="O1102" s="682"/>
      <c r="P1102" s="682"/>
      <c r="Q1102" s="682"/>
      <c r="R1102" s="682"/>
      <c r="S1102" s="682"/>
      <c r="T1102" s="682"/>
      <c r="U1102" s="682"/>
      <c r="V1102" s="682"/>
      <c r="W1102" s="682"/>
      <c r="X1102" s="682"/>
      <c r="Y1102" s="683"/>
      <c r="Z1102" s="683"/>
      <c r="AA1102" s="683"/>
      <c r="AB1102" s="684"/>
    </row>
    <row r="1103" spans="2:28" s="780" customFormat="1" hidden="1" x14ac:dyDescent="0.45">
      <c r="B1103" s="1692"/>
      <c r="C1103" s="1695"/>
      <c r="D1103" s="124" t="s">
        <v>327</v>
      </c>
      <c r="E1103" s="675"/>
      <c r="F1103" s="675"/>
      <c r="G1103" s="686"/>
      <c r="H1103" s="675"/>
      <c r="I1103" s="675"/>
      <c r="J1103" s="675"/>
      <c r="K1103" s="675"/>
      <c r="L1103" s="675"/>
      <c r="M1103" s="675"/>
      <c r="N1103" s="675"/>
      <c r="O1103" s="675"/>
      <c r="P1103" s="675"/>
      <c r="Q1103" s="675"/>
      <c r="R1103" s="675"/>
      <c r="S1103" s="675"/>
      <c r="T1103" s="675"/>
      <c r="U1103" s="675"/>
      <c r="V1103" s="675"/>
      <c r="W1103" s="675"/>
      <c r="X1103" s="675"/>
      <c r="Y1103" s="676"/>
      <c r="Z1103" s="676"/>
      <c r="AA1103" s="676"/>
      <c r="AB1103" s="677"/>
    </row>
    <row r="1104" spans="2:28" s="780" customFormat="1" hidden="1" x14ac:dyDescent="0.45">
      <c r="B1104" s="1692"/>
      <c r="C1104" s="1696" t="s">
        <v>332</v>
      </c>
      <c r="D1104" s="122" t="s">
        <v>326</v>
      </c>
      <c r="E1104" s="678"/>
      <c r="F1104" s="678"/>
      <c r="G1104" s="678"/>
      <c r="H1104" s="678"/>
      <c r="I1104" s="678"/>
      <c r="J1104" s="678"/>
      <c r="K1104" s="678"/>
      <c r="L1104" s="678"/>
      <c r="M1104" s="678"/>
      <c r="N1104" s="678"/>
      <c r="O1104" s="678"/>
      <c r="P1104" s="678"/>
      <c r="Q1104" s="678"/>
      <c r="R1104" s="678"/>
      <c r="S1104" s="678"/>
      <c r="T1104" s="678"/>
      <c r="U1104" s="678"/>
      <c r="V1104" s="678"/>
      <c r="W1104" s="679"/>
      <c r="X1104" s="679"/>
      <c r="Y1104" s="679"/>
      <c r="Z1104" s="679"/>
      <c r="AA1104" s="679"/>
      <c r="AB1104" s="680"/>
    </row>
    <row r="1105" spans="2:28" s="780" customFormat="1" hidden="1" x14ac:dyDescent="0.45">
      <c r="B1105" s="1692"/>
      <c r="C1105" s="1697"/>
      <c r="D1105" s="122" t="s">
        <v>327</v>
      </c>
      <c r="E1105" s="678"/>
      <c r="F1105" s="678"/>
      <c r="G1105" s="678"/>
      <c r="H1105" s="678"/>
      <c r="I1105" s="678"/>
      <c r="J1105" s="678"/>
      <c r="K1105" s="678"/>
      <c r="L1105" s="678"/>
      <c r="M1105" s="678"/>
      <c r="N1105" s="678"/>
      <c r="O1105" s="678"/>
      <c r="P1105" s="678"/>
      <c r="Q1105" s="678"/>
      <c r="R1105" s="678"/>
      <c r="S1105" s="678"/>
      <c r="T1105" s="678"/>
      <c r="U1105" s="678"/>
      <c r="V1105" s="678"/>
      <c r="W1105" s="678"/>
      <c r="X1105" s="678"/>
      <c r="Y1105" s="679"/>
      <c r="Z1105" s="679"/>
      <c r="AA1105" s="679"/>
      <c r="AB1105" s="680"/>
    </row>
    <row r="1106" spans="2:28" s="780" customFormat="1" hidden="1" x14ac:dyDescent="0.45">
      <c r="B1106" s="1692"/>
      <c r="C1106" s="1698" t="s">
        <v>333</v>
      </c>
      <c r="D1106" s="124" t="s">
        <v>326</v>
      </c>
      <c r="E1106" s="675"/>
      <c r="F1106" s="675"/>
      <c r="G1106" s="675"/>
      <c r="H1106" s="675"/>
      <c r="I1106" s="675"/>
      <c r="J1106" s="675"/>
      <c r="K1106" s="675"/>
      <c r="L1106" s="675"/>
      <c r="M1106" s="675"/>
      <c r="N1106" s="675"/>
      <c r="O1106" s="675"/>
      <c r="P1106" s="675"/>
      <c r="Q1106" s="675"/>
      <c r="R1106" s="675"/>
      <c r="S1106" s="675"/>
      <c r="T1106" s="675"/>
      <c r="U1106" s="675"/>
      <c r="V1106" s="675"/>
      <c r="W1106" s="676"/>
      <c r="X1106" s="676"/>
      <c r="Y1106" s="676"/>
      <c r="Z1106" s="676"/>
      <c r="AA1106" s="676"/>
      <c r="AB1106" s="677"/>
    </row>
    <row r="1107" spans="2:28" s="780" customFormat="1" hidden="1" x14ac:dyDescent="0.45">
      <c r="B1107" s="1693"/>
      <c r="C1107" s="1699"/>
      <c r="D1107" s="126" t="s">
        <v>327</v>
      </c>
      <c r="E1107" s="687"/>
      <c r="F1107" s="687"/>
      <c r="G1107" s="687"/>
      <c r="H1107" s="687"/>
      <c r="I1107" s="687"/>
      <c r="J1107" s="687"/>
      <c r="K1107" s="687"/>
      <c r="L1107" s="687"/>
      <c r="M1107" s="687"/>
      <c r="N1107" s="687"/>
      <c r="O1107" s="687"/>
      <c r="P1107" s="687"/>
      <c r="Q1107" s="687"/>
      <c r="R1107" s="687"/>
      <c r="S1107" s="687"/>
      <c r="T1107" s="687"/>
      <c r="U1107" s="687"/>
      <c r="V1107" s="687"/>
      <c r="W1107" s="687"/>
      <c r="X1107" s="687"/>
      <c r="Y1107" s="687"/>
      <c r="Z1107" s="687"/>
      <c r="AA1107" s="687"/>
      <c r="AB1107" s="688"/>
    </row>
    <row r="1108" spans="2:28" s="780" customFormat="1" hidden="1" x14ac:dyDescent="0.45"/>
    <row r="1109" spans="2:28" s="780" customFormat="1" hidden="1" x14ac:dyDescent="0.45">
      <c r="B1109" s="1688" t="s">
        <v>54</v>
      </c>
      <c r="C1109" s="1689"/>
      <c r="D1109" s="1690"/>
      <c r="E1109" s="779"/>
      <c r="F1109" s="779"/>
      <c r="G1109" s="779"/>
      <c r="H1109" s="779"/>
      <c r="I1109" s="779"/>
      <c r="J1109" s="779"/>
      <c r="K1109" s="779"/>
      <c r="L1109" s="779"/>
      <c r="M1109" s="779"/>
      <c r="N1109" s="779"/>
      <c r="O1109" s="779"/>
      <c r="P1109" s="779"/>
      <c r="Q1109" s="779"/>
      <c r="R1109" s="779"/>
      <c r="S1109" s="779"/>
      <c r="T1109" s="779"/>
      <c r="U1109" s="779"/>
      <c r="V1109" s="779"/>
      <c r="W1109" s="779"/>
      <c r="X1109" s="779"/>
      <c r="Y1109" s="779"/>
      <c r="Z1109" s="779"/>
      <c r="AA1109" s="779"/>
      <c r="AB1109" s="708"/>
    </row>
    <row r="1110" spans="2:28" s="780" customFormat="1" ht="15" hidden="1" customHeight="1" x14ac:dyDescent="0.45">
      <c r="B1110" s="1691" t="str">
        <f>CONCATENATE("Plan ", INDEX(plans_index,,(ROW(B1110)-6)/16), ": ", INDEX(plans_name,,(ROW(B1110)-6)/16))</f>
        <v xml:space="preserve">Plan 69: </v>
      </c>
      <c r="C1110" s="1694" t="s">
        <v>325</v>
      </c>
      <c r="D1110" s="123" t="s">
        <v>326</v>
      </c>
      <c r="E1110" s="672"/>
      <c r="F1110" s="672"/>
      <c r="G1110" s="672"/>
      <c r="H1110" s="673"/>
      <c r="I1110" s="672"/>
      <c r="J1110" s="672"/>
      <c r="K1110" s="672"/>
      <c r="L1110" s="672"/>
      <c r="M1110" s="672"/>
      <c r="N1110" s="672"/>
      <c r="O1110" s="672"/>
      <c r="P1110" s="672"/>
      <c r="Q1110" s="672"/>
      <c r="R1110" s="672"/>
      <c r="S1110" s="672"/>
      <c r="T1110" s="672"/>
      <c r="U1110" s="672"/>
      <c r="V1110" s="672"/>
      <c r="W1110" s="672"/>
      <c r="X1110" s="672"/>
      <c r="Y1110" s="672"/>
      <c r="Z1110" s="672"/>
      <c r="AA1110" s="672"/>
      <c r="AB1110" s="674"/>
    </row>
    <row r="1111" spans="2:28" s="780" customFormat="1" hidden="1" x14ac:dyDescent="0.45">
      <c r="B1111" s="1692"/>
      <c r="C1111" s="1695"/>
      <c r="D1111" s="124" t="s">
        <v>327</v>
      </c>
      <c r="E1111" s="675"/>
      <c r="F1111" s="675"/>
      <c r="G1111" s="675"/>
      <c r="H1111" s="675"/>
      <c r="I1111" s="675"/>
      <c r="J1111" s="675"/>
      <c r="K1111" s="675"/>
      <c r="L1111" s="675"/>
      <c r="M1111" s="675"/>
      <c r="N1111" s="675"/>
      <c r="O1111" s="675"/>
      <c r="P1111" s="675"/>
      <c r="Q1111" s="675"/>
      <c r="R1111" s="675"/>
      <c r="S1111" s="675"/>
      <c r="T1111" s="675"/>
      <c r="U1111" s="675"/>
      <c r="V1111" s="675"/>
      <c r="W1111" s="675"/>
      <c r="X1111" s="675"/>
      <c r="Y1111" s="676"/>
      <c r="Z1111" s="676"/>
      <c r="AA1111" s="676"/>
      <c r="AB1111" s="677"/>
    </row>
    <row r="1112" spans="2:28" s="780" customFormat="1" hidden="1" x14ac:dyDescent="0.45">
      <c r="B1112" s="1692"/>
      <c r="C1112" s="1696" t="s">
        <v>328</v>
      </c>
      <c r="D1112" s="122" t="s">
        <v>326</v>
      </c>
      <c r="E1112" s="678"/>
      <c r="F1112" s="678"/>
      <c r="G1112" s="678"/>
      <c r="H1112" s="678"/>
      <c r="I1112" s="678"/>
      <c r="J1112" s="678"/>
      <c r="K1112" s="678"/>
      <c r="L1112" s="678"/>
      <c r="M1112" s="678"/>
      <c r="N1112" s="678"/>
      <c r="O1112" s="678"/>
      <c r="P1112" s="678"/>
      <c r="Q1112" s="678"/>
      <c r="R1112" s="678"/>
      <c r="S1112" s="678"/>
      <c r="T1112" s="678"/>
      <c r="U1112" s="678"/>
      <c r="V1112" s="678"/>
      <c r="W1112" s="678"/>
      <c r="X1112" s="678"/>
      <c r="Y1112" s="679"/>
      <c r="Z1112" s="679"/>
      <c r="AA1112" s="679"/>
      <c r="AB1112" s="680"/>
    </row>
    <row r="1113" spans="2:28" s="780" customFormat="1" hidden="1" x14ac:dyDescent="0.45">
      <c r="B1113" s="1692"/>
      <c r="C1113" s="1697"/>
      <c r="D1113" s="122" t="s">
        <v>327</v>
      </c>
      <c r="E1113" s="678"/>
      <c r="F1113" s="678"/>
      <c r="G1113" s="678"/>
      <c r="H1113" s="678"/>
      <c r="I1113" s="678"/>
      <c r="J1113" s="678"/>
      <c r="K1113" s="678"/>
      <c r="L1113" s="678"/>
      <c r="M1113" s="678"/>
      <c r="N1113" s="678"/>
      <c r="O1113" s="678"/>
      <c r="P1113" s="678"/>
      <c r="Q1113" s="678"/>
      <c r="R1113" s="678"/>
      <c r="S1113" s="678"/>
      <c r="T1113" s="678"/>
      <c r="U1113" s="678"/>
      <c r="V1113" s="678"/>
      <c r="W1113" s="678"/>
      <c r="X1113" s="681"/>
      <c r="Y1113" s="679"/>
      <c r="Z1113" s="679"/>
      <c r="AA1113" s="679"/>
      <c r="AB1113" s="680"/>
    </row>
    <row r="1114" spans="2:28" s="780" customFormat="1" hidden="1" x14ac:dyDescent="0.45">
      <c r="B1114" s="1692"/>
      <c r="C1114" s="1698" t="s">
        <v>329</v>
      </c>
      <c r="D1114" s="125" t="s">
        <v>326</v>
      </c>
      <c r="E1114" s="682"/>
      <c r="F1114" s="682"/>
      <c r="G1114" s="682"/>
      <c r="H1114" s="682"/>
      <c r="I1114" s="682"/>
      <c r="J1114" s="682"/>
      <c r="K1114" s="682"/>
      <c r="L1114" s="682"/>
      <c r="M1114" s="682"/>
      <c r="N1114" s="682"/>
      <c r="O1114" s="682"/>
      <c r="P1114" s="682"/>
      <c r="Q1114" s="682"/>
      <c r="R1114" s="682"/>
      <c r="S1114" s="682"/>
      <c r="T1114" s="682"/>
      <c r="U1114" s="682"/>
      <c r="V1114" s="682"/>
      <c r="W1114" s="682"/>
      <c r="X1114" s="682"/>
      <c r="Y1114" s="683"/>
      <c r="Z1114" s="683"/>
      <c r="AA1114" s="683"/>
      <c r="AB1114" s="684"/>
    </row>
    <row r="1115" spans="2:28" s="780" customFormat="1" hidden="1" x14ac:dyDescent="0.45">
      <c r="B1115" s="1692"/>
      <c r="C1115" s="1695"/>
      <c r="D1115" s="124" t="s">
        <v>327</v>
      </c>
      <c r="E1115" s="675"/>
      <c r="F1115" s="675"/>
      <c r="G1115" s="675"/>
      <c r="H1115" s="675"/>
      <c r="I1115" s="675"/>
      <c r="J1115" s="675"/>
      <c r="K1115" s="675"/>
      <c r="L1115" s="675"/>
      <c r="M1115" s="675"/>
      <c r="N1115" s="675"/>
      <c r="O1115" s="675"/>
      <c r="P1115" s="675"/>
      <c r="Q1115" s="675"/>
      <c r="R1115" s="675"/>
      <c r="S1115" s="675"/>
      <c r="T1115" s="675"/>
      <c r="U1115" s="675"/>
      <c r="V1115" s="675"/>
      <c r="W1115" s="675"/>
      <c r="X1115" s="675"/>
      <c r="Y1115" s="676"/>
      <c r="Z1115" s="676"/>
      <c r="AA1115" s="676"/>
      <c r="AB1115" s="677"/>
    </row>
    <row r="1116" spans="2:28" s="780" customFormat="1" hidden="1" x14ac:dyDescent="0.45">
      <c r="B1116" s="1692"/>
      <c r="C1116" s="1696" t="s">
        <v>330</v>
      </c>
      <c r="D1116" s="122" t="s">
        <v>326</v>
      </c>
      <c r="E1116" s="678"/>
      <c r="F1116" s="678"/>
      <c r="G1116" s="678"/>
      <c r="H1116" s="678"/>
      <c r="I1116" s="678"/>
      <c r="J1116" s="678"/>
      <c r="K1116" s="678"/>
      <c r="L1116" s="678"/>
      <c r="M1116" s="678"/>
      <c r="N1116" s="678"/>
      <c r="O1116" s="678"/>
      <c r="P1116" s="678"/>
      <c r="Q1116" s="678"/>
      <c r="R1116" s="678"/>
      <c r="S1116" s="678"/>
      <c r="T1116" s="678"/>
      <c r="U1116" s="678"/>
      <c r="V1116" s="678"/>
      <c r="W1116" s="678"/>
      <c r="X1116" s="678"/>
      <c r="Y1116" s="679"/>
      <c r="Z1116" s="679"/>
      <c r="AA1116" s="679"/>
      <c r="AB1116" s="680"/>
    </row>
    <row r="1117" spans="2:28" s="780" customFormat="1" hidden="1" x14ac:dyDescent="0.45">
      <c r="B1117" s="1692"/>
      <c r="C1117" s="1697"/>
      <c r="D1117" s="122" t="s">
        <v>327</v>
      </c>
      <c r="E1117" s="678"/>
      <c r="F1117" s="678"/>
      <c r="G1117" s="678"/>
      <c r="H1117" s="678"/>
      <c r="I1117" s="678"/>
      <c r="J1117" s="678"/>
      <c r="K1117" s="678"/>
      <c r="L1117" s="678"/>
      <c r="M1117" s="678"/>
      <c r="N1117" s="678"/>
      <c r="O1117" s="678"/>
      <c r="P1117" s="678"/>
      <c r="Q1117" s="678"/>
      <c r="R1117" s="678"/>
      <c r="S1117" s="678"/>
      <c r="T1117" s="678"/>
      <c r="U1117" s="678"/>
      <c r="V1117" s="678"/>
      <c r="W1117" s="678"/>
      <c r="X1117" s="681"/>
      <c r="Y1117" s="679"/>
      <c r="Z1117" s="679"/>
      <c r="AA1117" s="679"/>
      <c r="AB1117" s="680"/>
    </row>
    <row r="1118" spans="2:28" s="780" customFormat="1" hidden="1" x14ac:dyDescent="0.45">
      <c r="B1118" s="1692"/>
      <c r="C1118" s="1698" t="s">
        <v>331</v>
      </c>
      <c r="D1118" s="125" t="s">
        <v>326</v>
      </c>
      <c r="E1118" s="682"/>
      <c r="F1118" s="682"/>
      <c r="G1118" s="685"/>
      <c r="H1118" s="682"/>
      <c r="I1118" s="682"/>
      <c r="J1118" s="682"/>
      <c r="K1118" s="682"/>
      <c r="L1118" s="682"/>
      <c r="M1118" s="682"/>
      <c r="N1118" s="682"/>
      <c r="O1118" s="682"/>
      <c r="P1118" s="682"/>
      <c r="Q1118" s="682"/>
      <c r="R1118" s="682"/>
      <c r="S1118" s="682"/>
      <c r="T1118" s="682"/>
      <c r="U1118" s="682"/>
      <c r="V1118" s="682"/>
      <c r="W1118" s="682"/>
      <c r="X1118" s="682"/>
      <c r="Y1118" s="683"/>
      <c r="Z1118" s="683"/>
      <c r="AA1118" s="683"/>
      <c r="AB1118" s="684"/>
    </row>
    <row r="1119" spans="2:28" s="780" customFormat="1" hidden="1" x14ac:dyDescent="0.45">
      <c r="B1119" s="1692"/>
      <c r="C1119" s="1695"/>
      <c r="D1119" s="124" t="s">
        <v>327</v>
      </c>
      <c r="E1119" s="675"/>
      <c r="F1119" s="675"/>
      <c r="G1119" s="686"/>
      <c r="H1119" s="675"/>
      <c r="I1119" s="675"/>
      <c r="J1119" s="675"/>
      <c r="K1119" s="675"/>
      <c r="L1119" s="675"/>
      <c r="M1119" s="675"/>
      <c r="N1119" s="675"/>
      <c r="O1119" s="675"/>
      <c r="P1119" s="675"/>
      <c r="Q1119" s="675"/>
      <c r="R1119" s="675"/>
      <c r="S1119" s="675"/>
      <c r="T1119" s="675"/>
      <c r="U1119" s="675"/>
      <c r="V1119" s="675"/>
      <c r="W1119" s="675"/>
      <c r="X1119" s="675"/>
      <c r="Y1119" s="676"/>
      <c r="Z1119" s="676"/>
      <c r="AA1119" s="676"/>
      <c r="AB1119" s="677"/>
    </row>
    <row r="1120" spans="2:28" s="780" customFormat="1" hidden="1" x14ac:dyDescent="0.45">
      <c r="B1120" s="1692"/>
      <c r="C1120" s="1696" t="s">
        <v>332</v>
      </c>
      <c r="D1120" s="122" t="s">
        <v>326</v>
      </c>
      <c r="E1120" s="678"/>
      <c r="F1120" s="678"/>
      <c r="G1120" s="678"/>
      <c r="H1120" s="678"/>
      <c r="I1120" s="678"/>
      <c r="J1120" s="678"/>
      <c r="K1120" s="678"/>
      <c r="L1120" s="678"/>
      <c r="M1120" s="678"/>
      <c r="N1120" s="678"/>
      <c r="O1120" s="678"/>
      <c r="P1120" s="678"/>
      <c r="Q1120" s="678"/>
      <c r="R1120" s="678"/>
      <c r="S1120" s="678"/>
      <c r="T1120" s="678"/>
      <c r="U1120" s="678"/>
      <c r="V1120" s="678"/>
      <c r="W1120" s="679"/>
      <c r="X1120" s="679"/>
      <c r="Y1120" s="679"/>
      <c r="Z1120" s="679"/>
      <c r="AA1120" s="679"/>
      <c r="AB1120" s="680"/>
    </row>
    <row r="1121" spans="2:28" s="780" customFormat="1" hidden="1" x14ac:dyDescent="0.45">
      <c r="B1121" s="1692"/>
      <c r="C1121" s="1697"/>
      <c r="D1121" s="122" t="s">
        <v>327</v>
      </c>
      <c r="E1121" s="678"/>
      <c r="F1121" s="678"/>
      <c r="G1121" s="678"/>
      <c r="H1121" s="678"/>
      <c r="I1121" s="678"/>
      <c r="J1121" s="678"/>
      <c r="K1121" s="678"/>
      <c r="L1121" s="678"/>
      <c r="M1121" s="678"/>
      <c r="N1121" s="678"/>
      <c r="O1121" s="678"/>
      <c r="P1121" s="678"/>
      <c r="Q1121" s="678"/>
      <c r="R1121" s="678"/>
      <c r="S1121" s="678"/>
      <c r="T1121" s="678"/>
      <c r="U1121" s="678"/>
      <c r="V1121" s="678"/>
      <c r="W1121" s="678"/>
      <c r="X1121" s="678"/>
      <c r="Y1121" s="679"/>
      <c r="Z1121" s="679"/>
      <c r="AA1121" s="679"/>
      <c r="AB1121" s="680"/>
    </row>
    <row r="1122" spans="2:28" s="780" customFormat="1" hidden="1" x14ac:dyDescent="0.45">
      <c r="B1122" s="1692"/>
      <c r="C1122" s="1698" t="s">
        <v>333</v>
      </c>
      <c r="D1122" s="124" t="s">
        <v>326</v>
      </c>
      <c r="E1122" s="675"/>
      <c r="F1122" s="675"/>
      <c r="G1122" s="675"/>
      <c r="H1122" s="675"/>
      <c r="I1122" s="675"/>
      <c r="J1122" s="675"/>
      <c r="K1122" s="675"/>
      <c r="L1122" s="675"/>
      <c r="M1122" s="675"/>
      <c r="N1122" s="675"/>
      <c r="O1122" s="675"/>
      <c r="P1122" s="675"/>
      <c r="Q1122" s="675"/>
      <c r="R1122" s="675"/>
      <c r="S1122" s="675"/>
      <c r="T1122" s="675"/>
      <c r="U1122" s="675"/>
      <c r="V1122" s="675"/>
      <c r="W1122" s="676"/>
      <c r="X1122" s="676"/>
      <c r="Y1122" s="676"/>
      <c r="Z1122" s="676"/>
      <c r="AA1122" s="676"/>
      <c r="AB1122" s="677"/>
    </row>
    <row r="1123" spans="2:28" s="780" customFormat="1" hidden="1" x14ac:dyDescent="0.45">
      <c r="B1123" s="1693"/>
      <c r="C1123" s="1699"/>
      <c r="D1123" s="126" t="s">
        <v>327</v>
      </c>
      <c r="E1123" s="687"/>
      <c r="F1123" s="687"/>
      <c r="G1123" s="687"/>
      <c r="H1123" s="687"/>
      <c r="I1123" s="687"/>
      <c r="J1123" s="687"/>
      <c r="K1123" s="687"/>
      <c r="L1123" s="687"/>
      <c r="M1123" s="687"/>
      <c r="N1123" s="687"/>
      <c r="O1123" s="687"/>
      <c r="P1123" s="687"/>
      <c r="Q1123" s="687"/>
      <c r="R1123" s="687"/>
      <c r="S1123" s="687"/>
      <c r="T1123" s="687"/>
      <c r="U1123" s="687"/>
      <c r="V1123" s="687"/>
      <c r="W1123" s="687"/>
      <c r="X1123" s="687"/>
      <c r="Y1123" s="687"/>
      <c r="Z1123" s="687"/>
      <c r="AA1123" s="687"/>
      <c r="AB1123" s="688"/>
    </row>
    <row r="1124" spans="2:28" s="780" customFormat="1" hidden="1" x14ac:dyDescent="0.45"/>
    <row r="1125" spans="2:28" s="780" customFormat="1" hidden="1" x14ac:dyDescent="0.45">
      <c r="B1125" s="1688" t="s">
        <v>54</v>
      </c>
      <c r="C1125" s="1689"/>
      <c r="D1125" s="1690"/>
      <c r="E1125" s="779"/>
      <c r="F1125" s="779"/>
      <c r="G1125" s="779"/>
      <c r="H1125" s="779"/>
      <c r="I1125" s="779"/>
      <c r="J1125" s="779"/>
      <c r="K1125" s="779"/>
      <c r="L1125" s="779"/>
      <c r="M1125" s="779"/>
      <c r="N1125" s="779"/>
      <c r="O1125" s="779"/>
      <c r="P1125" s="779"/>
      <c r="Q1125" s="779"/>
      <c r="R1125" s="779"/>
      <c r="S1125" s="779"/>
      <c r="T1125" s="779"/>
      <c r="U1125" s="779"/>
      <c r="V1125" s="779"/>
      <c r="W1125" s="779"/>
      <c r="X1125" s="779"/>
      <c r="Y1125" s="779"/>
      <c r="Z1125" s="779"/>
      <c r="AA1125" s="779"/>
      <c r="AB1125" s="708"/>
    </row>
    <row r="1126" spans="2:28" s="780" customFormat="1" ht="15" hidden="1" customHeight="1" x14ac:dyDescent="0.45">
      <c r="B1126" s="1691" t="str">
        <f>CONCATENATE("Plan ", INDEX(plans_index,,(ROW(B1126)-6)/16), ": ", INDEX(plans_name,,(ROW(B1126)-6)/16))</f>
        <v xml:space="preserve">Plan 70: </v>
      </c>
      <c r="C1126" s="1694" t="s">
        <v>325</v>
      </c>
      <c r="D1126" s="123" t="s">
        <v>326</v>
      </c>
      <c r="E1126" s="672"/>
      <c r="F1126" s="672"/>
      <c r="G1126" s="672"/>
      <c r="H1126" s="673"/>
      <c r="I1126" s="672"/>
      <c r="J1126" s="672"/>
      <c r="K1126" s="672"/>
      <c r="L1126" s="672"/>
      <c r="M1126" s="672"/>
      <c r="N1126" s="672"/>
      <c r="O1126" s="672"/>
      <c r="P1126" s="672"/>
      <c r="Q1126" s="672"/>
      <c r="R1126" s="672"/>
      <c r="S1126" s="672"/>
      <c r="T1126" s="672"/>
      <c r="U1126" s="672"/>
      <c r="V1126" s="672"/>
      <c r="W1126" s="672"/>
      <c r="X1126" s="672"/>
      <c r="Y1126" s="672"/>
      <c r="Z1126" s="672"/>
      <c r="AA1126" s="672"/>
      <c r="AB1126" s="674"/>
    </row>
    <row r="1127" spans="2:28" s="780" customFormat="1" hidden="1" x14ac:dyDescent="0.45">
      <c r="B1127" s="1692"/>
      <c r="C1127" s="1695"/>
      <c r="D1127" s="124" t="s">
        <v>327</v>
      </c>
      <c r="E1127" s="675"/>
      <c r="F1127" s="675"/>
      <c r="G1127" s="675"/>
      <c r="H1127" s="675"/>
      <c r="I1127" s="675"/>
      <c r="J1127" s="675"/>
      <c r="K1127" s="675"/>
      <c r="L1127" s="675"/>
      <c r="M1127" s="675"/>
      <c r="N1127" s="675"/>
      <c r="O1127" s="675"/>
      <c r="P1127" s="675"/>
      <c r="Q1127" s="675"/>
      <c r="R1127" s="675"/>
      <c r="S1127" s="675"/>
      <c r="T1127" s="675"/>
      <c r="U1127" s="675"/>
      <c r="V1127" s="675"/>
      <c r="W1127" s="675"/>
      <c r="X1127" s="675"/>
      <c r="Y1127" s="676"/>
      <c r="Z1127" s="676"/>
      <c r="AA1127" s="676"/>
      <c r="AB1127" s="677"/>
    </row>
    <row r="1128" spans="2:28" s="780" customFormat="1" hidden="1" x14ac:dyDescent="0.45">
      <c r="B1128" s="1692"/>
      <c r="C1128" s="1696" t="s">
        <v>328</v>
      </c>
      <c r="D1128" s="122" t="s">
        <v>326</v>
      </c>
      <c r="E1128" s="678"/>
      <c r="F1128" s="678"/>
      <c r="G1128" s="678"/>
      <c r="H1128" s="678"/>
      <c r="I1128" s="678"/>
      <c r="J1128" s="678"/>
      <c r="K1128" s="678"/>
      <c r="L1128" s="678"/>
      <c r="M1128" s="678"/>
      <c r="N1128" s="678"/>
      <c r="O1128" s="678"/>
      <c r="P1128" s="678"/>
      <c r="Q1128" s="678"/>
      <c r="R1128" s="678"/>
      <c r="S1128" s="678"/>
      <c r="T1128" s="678"/>
      <c r="U1128" s="678"/>
      <c r="V1128" s="678"/>
      <c r="W1128" s="678"/>
      <c r="X1128" s="678"/>
      <c r="Y1128" s="679"/>
      <c r="Z1128" s="679"/>
      <c r="AA1128" s="679"/>
      <c r="AB1128" s="680"/>
    </row>
    <row r="1129" spans="2:28" s="780" customFormat="1" hidden="1" x14ac:dyDescent="0.45">
      <c r="B1129" s="1692"/>
      <c r="C1129" s="1697"/>
      <c r="D1129" s="122" t="s">
        <v>327</v>
      </c>
      <c r="E1129" s="678"/>
      <c r="F1129" s="678"/>
      <c r="G1129" s="678"/>
      <c r="H1129" s="678"/>
      <c r="I1129" s="678"/>
      <c r="J1129" s="678"/>
      <c r="K1129" s="678"/>
      <c r="L1129" s="678"/>
      <c r="M1129" s="678"/>
      <c r="N1129" s="678"/>
      <c r="O1129" s="678"/>
      <c r="P1129" s="678"/>
      <c r="Q1129" s="678"/>
      <c r="R1129" s="678"/>
      <c r="S1129" s="678"/>
      <c r="T1129" s="678"/>
      <c r="U1129" s="678"/>
      <c r="V1129" s="678"/>
      <c r="W1129" s="678"/>
      <c r="X1129" s="681"/>
      <c r="Y1129" s="679"/>
      <c r="Z1129" s="679"/>
      <c r="AA1129" s="679"/>
      <c r="AB1129" s="680"/>
    </row>
    <row r="1130" spans="2:28" s="780" customFormat="1" hidden="1" x14ac:dyDescent="0.45">
      <c r="B1130" s="1692"/>
      <c r="C1130" s="1698" t="s">
        <v>329</v>
      </c>
      <c r="D1130" s="125" t="s">
        <v>326</v>
      </c>
      <c r="E1130" s="682"/>
      <c r="F1130" s="682"/>
      <c r="G1130" s="682"/>
      <c r="H1130" s="682"/>
      <c r="I1130" s="682"/>
      <c r="J1130" s="682"/>
      <c r="K1130" s="682"/>
      <c r="L1130" s="682"/>
      <c r="M1130" s="682"/>
      <c r="N1130" s="682"/>
      <c r="O1130" s="682"/>
      <c r="P1130" s="682"/>
      <c r="Q1130" s="682"/>
      <c r="R1130" s="682"/>
      <c r="S1130" s="682"/>
      <c r="T1130" s="682"/>
      <c r="U1130" s="682"/>
      <c r="V1130" s="682"/>
      <c r="W1130" s="682"/>
      <c r="X1130" s="682"/>
      <c r="Y1130" s="683"/>
      <c r="Z1130" s="683"/>
      <c r="AA1130" s="683"/>
      <c r="AB1130" s="684"/>
    </row>
    <row r="1131" spans="2:28" s="780" customFormat="1" hidden="1" x14ac:dyDescent="0.45">
      <c r="B1131" s="1692"/>
      <c r="C1131" s="1695"/>
      <c r="D1131" s="124" t="s">
        <v>327</v>
      </c>
      <c r="E1131" s="675"/>
      <c r="F1131" s="675"/>
      <c r="G1131" s="675"/>
      <c r="H1131" s="675"/>
      <c r="I1131" s="675"/>
      <c r="J1131" s="675"/>
      <c r="K1131" s="675"/>
      <c r="L1131" s="675"/>
      <c r="M1131" s="675"/>
      <c r="N1131" s="675"/>
      <c r="O1131" s="675"/>
      <c r="P1131" s="675"/>
      <c r="Q1131" s="675"/>
      <c r="R1131" s="675"/>
      <c r="S1131" s="675"/>
      <c r="T1131" s="675"/>
      <c r="U1131" s="675"/>
      <c r="V1131" s="675"/>
      <c r="W1131" s="675"/>
      <c r="X1131" s="675"/>
      <c r="Y1131" s="676"/>
      <c r="Z1131" s="676"/>
      <c r="AA1131" s="676"/>
      <c r="AB1131" s="677"/>
    </row>
    <row r="1132" spans="2:28" s="780" customFormat="1" hidden="1" x14ac:dyDescent="0.45">
      <c r="B1132" s="1692"/>
      <c r="C1132" s="1696" t="s">
        <v>330</v>
      </c>
      <c r="D1132" s="122" t="s">
        <v>326</v>
      </c>
      <c r="E1132" s="678"/>
      <c r="F1132" s="678"/>
      <c r="G1132" s="678"/>
      <c r="H1132" s="678"/>
      <c r="I1132" s="678"/>
      <c r="J1132" s="678"/>
      <c r="K1132" s="678"/>
      <c r="L1132" s="678"/>
      <c r="M1132" s="678"/>
      <c r="N1132" s="678"/>
      <c r="O1132" s="678"/>
      <c r="P1132" s="678"/>
      <c r="Q1132" s="678"/>
      <c r="R1132" s="678"/>
      <c r="S1132" s="678"/>
      <c r="T1132" s="678"/>
      <c r="U1132" s="678"/>
      <c r="V1132" s="678"/>
      <c r="W1132" s="678"/>
      <c r="X1132" s="678"/>
      <c r="Y1132" s="679"/>
      <c r="Z1132" s="679"/>
      <c r="AA1132" s="679"/>
      <c r="AB1132" s="680"/>
    </row>
    <row r="1133" spans="2:28" s="780" customFormat="1" hidden="1" x14ac:dyDescent="0.45">
      <c r="B1133" s="1692"/>
      <c r="C1133" s="1697"/>
      <c r="D1133" s="122" t="s">
        <v>327</v>
      </c>
      <c r="E1133" s="678"/>
      <c r="F1133" s="678"/>
      <c r="G1133" s="678"/>
      <c r="H1133" s="678"/>
      <c r="I1133" s="678"/>
      <c r="J1133" s="678"/>
      <c r="K1133" s="678"/>
      <c r="L1133" s="678"/>
      <c r="M1133" s="678"/>
      <c r="N1133" s="678"/>
      <c r="O1133" s="678"/>
      <c r="P1133" s="678"/>
      <c r="Q1133" s="678"/>
      <c r="R1133" s="678"/>
      <c r="S1133" s="678"/>
      <c r="T1133" s="678"/>
      <c r="U1133" s="678"/>
      <c r="V1133" s="678"/>
      <c r="W1133" s="678"/>
      <c r="X1133" s="681"/>
      <c r="Y1133" s="679"/>
      <c r="Z1133" s="679"/>
      <c r="AA1133" s="679"/>
      <c r="AB1133" s="680"/>
    </row>
    <row r="1134" spans="2:28" s="780" customFormat="1" hidden="1" x14ac:dyDescent="0.45">
      <c r="B1134" s="1692"/>
      <c r="C1134" s="1698" t="s">
        <v>331</v>
      </c>
      <c r="D1134" s="125" t="s">
        <v>326</v>
      </c>
      <c r="E1134" s="682"/>
      <c r="F1134" s="682"/>
      <c r="G1134" s="685"/>
      <c r="H1134" s="682"/>
      <c r="I1134" s="682"/>
      <c r="J1134" s="682"/>
      <c r="K1134" s="682"/>
      <c r="L1134" s="682"/>
      <c r="M1134" s="682"/>
      <c r="N1134" s="682"/>
      <c r="O1134" s="682"/>
      <c r="P1134" s="682"/>
      <c r="Q1134" s="682"/>
      <c r="R1134" s="682"/>
      <c r="S1134" s="682"/>
      <c r="T1134" s="682"/>
      <c r="U1134" s="682"/>
      <c r="V1134" s="682"/>
      <c r="W1134" s="682"/>
      <c r="X1134" s="682"/>
      <c r="Y1134" s="683"/>
      <c r="Z1134" s="683"/>
      <c r="AA1134" s="683"/>
      <c r="AB1134" s="684"/>
    </row>
    <row r="1135" spans="2:28" s="780" customFormat="1" hidden="1" x14ac:dyDescent="0.45">
      <c r="B1135" s="1692"/>
      <c r="C1135" s="1695"/>
      <c r="D1135" s="124" t="s">
        <v>327</v>
      </c>
      <c r="E1135" s="675"/>
      <c r="F1135" s="675"/>
      <c r="G1135" s="686"/>
      <c r="H1135" s="675"/>
      <c r="I1135" s="675"/>
      <c r="J1135" s="675"/>
      <c r="K1135" s="675"/>
      <c r="L1135" s="675"/>
      <c r="M1135" s="675"/>
      <c r="N1135" s="675"/>
      <c r="O1135" s="675"/>
      <c r="P1135" s="675"/>
      <c r="Q1135" s="675"/>
      <c r="R1135" s="675"/>
      <c r="S1135" s="675"/>
      <c r="T1135" s="675"/>
      <c r="U1135" s="675"/>
      <c r="V1135" s="675"/>
      <c r="W1135" s="675"/>
      <c r="X1135" s="675"/>
      <c r="Y1135" s="676"/>
      <c r="Z1135" s="676"/>
      <c r="AA1135" s="676"/>
      <c r="AB1135" s="677"/>
    </row>
    <row r="1136" spans="2:28" s="780" customFormat="1" hidden="1" x14ac:dyDescent="0.45">
      <c r="B1136" s="1692"/>
      <c r="C1136" s="1696" t="s">
        <v>332</v>
      </c>
      <c r="D1136" s="122" t="s">
        <v>326</v>
      </c>
      <c r="E1136" s="678"/>
      <c r="F1136" s="678"/>
      <c r="G1136" s="678"/>
      <c r="H1136" s="678"/>
      <c r="I1136" s="678"/>
      <c r="J1136" s="678"/>
      <c r="K1136" s="678"/>
      <c r="L1136" s="678"/>
      <c r="M1136" s="678"/>
      <c r="N1136" s="678"/>
      <c r="O1136" s="678"/>
      <c r="P1136" s="678"/>
      <c r="Q1136" s="678"/>
      <c r="R1136" s="678"/>
      <c r="S1136" s="678"/>
      <c r="T1136" s="678"/>
      <c r="U1136" s="678"/>
      <c r="V1136" s="678"/>
      <c r="W1136" s="679"/>
      <c r="X1136" s="679"/>
      <c r="Y1136" s="679"/>
      <c r="Z1136" s="679"/>
      <c r="AA1136" s="679"/>
      <c r="AB1136" s="680"/>
    </row>
    <row r="1137" spans="2:28" s="780" customFormat="1" hidden="1" x14ac:dyDescent="0.45">
      <c r="B1137" s="1692"/>
      <c r="C1137" s="1697"/>
      <c r="D1137" s="122" t="s">
        <v>327</v>
      </c>
      <c r="E1137" s="678"/>
      <c r="F1137" s="678"/>
      <c r="G1137" s="678"/>
      <c r="H1137" s="678"/>
      <c r="I1137" s="678"/>
      <c r="J1137" s="678"/>
      <c r="K1137" s="678"/>
      <c r="L1137" s="678"/>
      <c r="M1137" s="678"/>
      <c r="N1137" s="678"/>
      <c r="O1137" s="678"/>
      <c r="P1137" s="678"/>
      <c r="Q1137" s="678"/>
      <c r="R1137" s="678"/>
      <c r="S1137" s="678"/>
      <c r="T1137" s="678"/>
      <c r="U1137" s="678"/>
      <c r="V1137" s="678"/>
      <c r="W1137" s="678"/>
      <c r="X1137" s="678"/>
      <c r="Y1137" s="679"/>
      <c r="Z1137" s="679"/>
      <c r="AA1137" s="679"/>
      <c r="AB1137" s="680"/>
    </row>
    <row r="1138" spans="2:28" s="780" customFormat="1" hidden="1" x14ac:dyDescent="0.45">
      <c r="B1138" s="1692"/>
      <c r="C1138" s="1698" t="s">
        <v>333</v>
      </c>
      <c r="D1138" s="124" t="s">
        <v>326</v>
      </c>
      <c r="E1138" s="675"/>
      <c r="F1138" s="675"/>
      <c r="G1138" s="675"/>
      <c r="H1138" s="675"/>
      <c r="I1138" s="675"/>
      <c r="J1138" s="675"/>
      <c r="K1138" s="675"/>
      <c r="L1138" s="675"/>
      <c r="M1138" s="675"/>
      <c r="N1138" s="675"/>
      <c r="O1138" s="675"/>
      <c r="P1138" s="675"/>
      <c r="Q1138" s="675"/>
      <c r="R1138" s="675"/>
      <c r="S1138" s="675"/>
      <c r="T1138" s="675"/>
      <c r="U1138" s="675"/>
      <c r="V1138" s="675"/>
      <c r="W1138" s="676"/>
      <c r="X1138" s="676"/>
      <c r="Y1138" s="676"/>
      <c r="Z1138" s="676"/>
      <c r="AA1138" s="676"/>
      <c r="AB1138" s="677"/>
    </row>
    <row r="1139" spans="2:28" s="780" customFormat="1" hidden="1" x14ac:dyDescent="0.45">
      <c r="B1139" s="1693"/>
      <c r="C1139" s="1699"/>
      <c r="D1139" s="126" t="s">
        <v>327</v>
      </c>
      <c r="E1139" s="687"/>
      <c r="F1139" s="687"/>
      <c r="G1139" s="687"/>
      <c r="H1139" s="687"/>
      <c r="I1139" s="687"/>
      <c r="J1139" s="687"/>
      <c r="K1139" s="687"/>
      <c r="L1139" s="687"/>
      <c r="M1139" s="687"/>
      <c r="N1139" s="687"/>
      <c r="O1139" s="687"/>
      <c r="P1139" s="687"/>
      <c r="Q1139" s="687"/>
      <c r="R1139" s="687"/>
      <c r="S1139" s="687"/>
      <c r="T1139" s="687"/>
      <c r="U1139" s="687"/>
      <c r="V1139" s="687"/>
      <c r="W1139" s="687"/>
      <c r="X1139" s="687"/>
      <c r="Y1139" s="687"/>
      <c r="Z1139" s="687"/>
      <c r="AA1139" s="687"/>
      <c r="AB1139" s="688"/>
    </row>
    <row r="1140" spans="2:28" s="780" customFormat="1" hidden="1" x14ac:dyDescent="0.45"/>
    <row r="1141" spans="2:28" s="780" customFormat="1" hidden="1" x14ac:dyDescent="0.45">
      <c r="B1141" s="1688" t="s">
        <v>54</v>
      </c>
      <c r="C1141" s="1689"/>
      <c r="D1141" s="1690"/>
      <c r="E1141" s="779"/>
      <c r="F1141" s="779"/>
      <c r="G1141" s="779"/>
      <c r="H1141" s="779"/>
      <c r="I1141" s="779"/>
      <c r="J1141" s="779"/>
      <c r="K1141" s="779"/>
      <c r="L1141" s="779"/>
      <c r="M1141" s="779"/>
      <c r="N1141" s="779"/>
      <c r="O1141" s="779"/>
      <c r="P1141" s="779"/>
      <c r="Q1141" s="779"/>
      <c r="R1141" s="779"/>
      <c r="S1141" s="779"/>
      <c r="T1141" s="779"/>
      <c r="U1141" s="779"/>
      <c r="V1141" s="779"/>
      <c r="W1141" s="779"/>
      <c r="X1141" s="779"/>
      <c r="Y1141" s="779"/>
      <c r="Z1141" s="779"/>
      <c r="AA1141" s="779"/>
      <c r="AB1141" s="708"/>
    </row>
    <row r="1142" spans="2:28" s="780" customFormat="1" ht="15" hidden="1" customHeight="1" x14ac:dyDescent="0.45">
      <c r="B1142" s="1691" t="str">
        <f>CONCATENATE("Plan ", INDEX(plans_index,,(ROW(B1142)-6)/16), ": ", INDEX(plans_name,,(ROW(B1142)-6)/16))</f>
        <v xml:space="preserve">Plan 71: </v>
      </c>
      <c r="C1142" s="1694" t="s">
        <v>325</v>
      </c>
      <c r="D1142" s="123" t="s">
        <v>326</v>
      </c>
      <c r="E1142" s="672"/>
      <c r="F1142" s="672"/>
      <c r="G1142" s="672"/>
      <c r="H1142" s="673"/>
      <c r="I1142" s="672"/>
      <c r="J1142" s="672"/>
      <c r="K1142" s="672"/>
      <c r="L1142" s="672"/>
      <c r="M1142" s="672"/>
      <c r="N1142" s="672"/>
      <c r="O1142" s="672"/>
      <c r="P1142" s="672"/>
      <c r="Q1142" s="672"/>
      <c r="R1142" s="672"/>
      <c r="S1142" s="672"/>
      <c r="T1142" s="672"/>
      <c r="U1142" s="672"/>
      <c r="V1142" s="672"/>
      <c r="W1142" s="672"/>
      <c r="X1142" s="672"/>
      <c r="Y1142" s="672"/>
      <c r="Z1142" s="672"/>
      <c r="AA1142" s="672"/>
      <c r="AB1142" s="674"/>
    </row>
    <row r="1143" spans="2:28" s="780" customFormat="1" hidden="1" x14ac:dyDescent="0.45">
      <c r="B1143" s="1692"/>
      <c r="C1143" s="1695"/>
      <c r="D1143" s="124" t="s">
        <v>327</v>
      </c>
      <c r="E1143" s="675"/>
      <c r="F1143" s="675"/>
      <c r="G1143" s="675"/>
      <c r="H1143" s="675"/>
      <c r="I1143" s="675"/>
      <c r="J1143" s="675"/>
      <c r="K1143" s="675"/>
      <c r="L1143" s="675"/>
      <c r="M1143" s="675"/>
      <c r="N1143" s="675"/>
      <c r="O1143" s="675"/>
      <c r="P1143" s="675"/>
      <c r="Q1143" s="675"/>
      <c r="R1143" s="675"/>
      <c r="S1143" s="675"/>
      <c r="T1143" s="675"/>
      <c r="U1143" s="675"/>
      <c r="V1143" s="675"/>
      <c r="W1143" s="675"/>
      <c r="X1143" s="675"/>
      <c r="Y1143" s="676"/>
      <c r="Z1143" s="676"/>
      <c r="AA1143" s="676"/>
      <c r="AB1143" s="677"/>
    </row>
    <row r="1144" spans="2:28" s="780" customFormat="1" hidden="1" x14ac:dyDescent="0.45">
      <c r="B1144" s="1692"/>
      <c r="C1144" s="1696" t="s">
        <v>328</v>
      </c>
      <c r="D1144" s="122" t="s">
        <v>326</v>
      </c>
      <c r="E1144" s="678"/>
      <c r="F1144" s="678"/>
      <c r="G1144" s="678"/>
      <c r="H1144" s="678"/>
      <c r="I1144" s="678"/>
      <c r="J1144" s="678"/>
      <c r="K1144" s="678"/>
      <c r="L1144" s="678"/>
      <c r="M1144" s="678"/>
      <c r="N1144" s="678"/>
      <c r="O1144" s="678"/>
      <c r="P1144" s="678"/>
      <c r="Q1144" s="678"/>
      <c r="R1144" s="678"/>
      <c r="S1144" s="678"/>
      <c r="T1144" s="678"/>
      <c r="U1144" s="678"/>
      <c r="V1144" s="678"/>
      <c r="W1144" s="678"/>
      <c r="X1144" s="678"/>
      <c r="Y1144" s="679"/>
      <c r="Z1144" s="679"/>
      <c r="AA1144" s="679"/>
      <c r="AB1144" s="680"/>
    </row>
    <row r="1145" spans="2:28" s="780" customFormat="1" hidden="1" x14ac:dyDescent="0.45">
      <c r="B1145" s="1692"/>
      <c r="C1145" s="1697"/>
      <c r="D1145" s="122" t="s">
        <v>327</v>
      </c>
      <c r="E1145" s="678"/>
      <c r="F1145" s="678"/>
      <c r="G1145" s="678"/>
      <c r="H1145" s="678"/>
      <c r="I1145" s="678"/>
      <c r="J1145" s="678"/>
      <c r="K1145" s="678"/>
      <c r="L1145" s="678"/>
      <c r="M1145" s="678"/>
      <c r="N1145" s="678"/>
      <c r="O1145" s="678"/>
      <c r="P1145" s="678"/>
      <c r="Q1145" s="678"/>
      <c r="R1145" s="678"/>
      <c r="S1145" s="678"/>
      <c r="T1145" s="678"/>
      <c r="U1145" s="678"/>
      <c r="V1145" s="678"/>
      <c r="W1145" s="678"/>
      <c r="X1145" s="681"/>
      <c r="Y1145" s="679"/>
      <c r="Z1145" s="679"/>
      <c r="AA1145" s="679"/>
      <c r="AB1145" s="680"/>
    </row>
    <row r="1146" spans="2:28" s="780" customFormat="1" hidden="1" x14ac:dyDescent="0.45">
      <c r="B1146" s="1692"/>
      <c r="C1146" s="1698" t="s">
        <v>329</v>
      </c>
      <c r="D1146" s="125" t="s">
        <v>326</v>
      </c>
      <c r="E1146" s="682"/>
      <c r="F1146" s="682"/>
      <c r="G1146" s="682"/>
      <c r="H1146" s="682"/>
      <c r="I1146" s="682"/>
      <c r="J1146" s="682"/>
      <c r="K1146" s="682"/>
      <c r="L1146" s="682"/>
      <c r="M1146" s="682"/>
      <c r="N1146" s="682"/>
      <c r="O1146" s="682"/>
      <c r="P1146" s="682"/>
      <c r="Q1146" s="682"/>
      <c r="R1146" s="682"/>
      <c r="S1146" s="682"/>
      <c r="T1146" s="682"/>
      <c r="U1146" s="682"/>
      <c r="V1146" s="682"/>
      <c r="W1146" s="682"/>
      <c r="X1146" s="682"/>
      <c r="Y1146" s="683"/>
      <c r="Z1146" s="683"/>
      <c r="AA1146" s="683"/>
      <c r="AB1146" s="684"/>
    </row>
    <row r="1147" spans="2:28" s="780" customFormat="1" hidden="1" x14ac:dyDescent="0.45">
      <c r="B1147" s="1692"/>
      <c r="C1147" s="1695"/>
      <c r="D1147" s="124" t="s">
        <v>327</v>
      </c>
      <c r="E1147" s="675"/>
      <c r="F1147" s="675"/>
      <c r="G1147" s="675"/>
      <c r="H1147" s="675"/>
      <c r="I1147" s="675"/>
      <c r="J1147" s="675"/>
      <c r="K1147" s="675"/>
      <c r="L1147" s="675"/>
      <c r="M1147" s="675"/>
      <c r="N1147" s="675"/>
      <c r="O1147" s="675"/>
      <c r="P1147" s="675"/>
      <c r="Q1147" s="675"/>
      <c r="R1147" s="675"/>
      <c r="S1147" s="675"/>
      <c r="T1147" s="675"/>
      <c r="U1147" s="675"/>
      <c r="V1147" s="675"/>
      <c r="W1147" s="675"/>
      <c r="X1147" s="675"/>
      <c r="Y1147" s="676"/>
      <c r="Z1147" s="676"/>
      <c r="AA1147" s="676"/>
      <c r="AB1147" s="677"/>
    </row>
    <row r="1148" spans="2:28" s="780" customFormat="1" hidden="1" x14ac:dyDescent="0.45">
      <c r="B1148" s="1692"/>
      <c r="C1148" s="1696" t="s">
        <v>330</v>
      </c>
      <c r="D1148" s="122" t="s">
        <v>326</v>
      </c>
      <c r="E1148" s="678"/>
      <c r="F1148" s="678"/>
      <c r="G1148" s="678"/>
      <c r="H1148" s="678"/>
      <c r="I1148" s="678"/>
      <c r="J1148" s="678"/>
      <c r="K1148" s="678"/>
      <c r="L1148" s="678"/>
      <c r="M1148" s="678"/>
      <c r="N1148" s="678"/>
      <c r="O1148" s="678"/>
      <c r="P1148" s="678"/>
      <c r="Q1148" s="678"/>
      <c r="R1148" s="678"/>
      <c r="S1148" s="678"/>
      <c r="T1148" s="678"/>
      <c r="U1148" s="678"/>
      <c r="V1148" s="678"/>
      <c r="W1148" s="678"/>
      <c r="X1148" s="678"/>
      <c r="Y1148" s="679"/>
      <c r="Z1148" s="679"/>
      <c r="AA1148" s="679"/>
      <c r="AB1148" s="680"/>
    </row>
    <row r="1149" spans="2:28" s="780" customFormat="1" hidden="1" x14ac:dyDescent="0.45">
      <c r="B1149" s="1692"/>
      <c r="C1149" s="1697"/>
      <c r="D1149" s="122" t="s">
        <v>327</v>
      </c>
      <c r="E1149" s="678"/>
      <c r="F1149" s="678"/>
      <c r="G1149" s="678"/>
      <c r="H1149" s="678"/>
      <c r="I1149" s="678"/>
      <c r="J1149" s="678"/>
      <c r="K1149" s="678"/>
      <c r="L1149" s="678"/>
      <c r="M1149" s="678"/>
      <c r="N1149" s="678"/>
      <c r="O1149" s="678"/>
      <c r="P1149" s="678"/>
      <c r="Q1149" s="678"/>
      <c r="R1149" s="678"/>
      <c r="S1149" s="678"/>
      <c r="T1149" s="678"/>
      <c r="U1149" s="678"/>
      <c r="V1149" s="678"/>
      <c r="W1149" s="678"/>
      <c r="X1149" s="681"/>
      <c r="Y1149" s="679"/>
      <c r="Z1149" s="679"/>
      <c r="AA1149" s="679"/>
      <c r="AB1149" s="680"/>
    </row>
    <row r="1150" spans="2:28" s="780" customFormat="1" hidden="1" x14ac:dyDescent="0.45">
      <c r="B1150" s="1692"/>
      <c r="C1150" s="1698" t="s">
        <v>331</v>
      </c>
      <c r="D1150" s="125" t="s">
        <v>326</v>
      </c>
      <c r="E1150" s="682"/>
      <c r="F1150" s="682"/>
      <c r="G1150" s="685"/>
      <c r="H1150" s="682"/>
      <c r="I1150" s="682"/>
      <c r="J1150" s="682"/>
      <c r="K1150" s="682"/>
      <c r="L1150" s="682"/>
      <c r="M1150" s="682"/>
      <c r="N1150" s="682"/>
      <c r="O1150" s="682"/>
      <c r="P1150" s="682"/>
      <c r="Q1150" s="682"/>
      <c r="R1150" s="682"/>
      <c r="S1150" s="682"/>
      <c r="T1150" s="682"/>
      <c r="U1150" s="682"/>
      <c r="V1150" s="682"/>
      <c r="W1150" s="682"/>
      <c r="X1150" s="682"/>
      <c r="Y1150" s="683"/>
      <c r="Z1150" s="683"/>
      <c r="AA1150" s="683"/>
      <c r="AB1150" s="684"/>
    </row>
    <row r="1151" spans="2:28" s="780" customFormat="1" hidden="1" x14ac:dyDescent="0.45">
      <c r="B1151" s="1692"/>
      <c r="C1151" s="1695"/>
      <c r="D1151" s="124" t="s">
        <v>327</v>
      </c>
      <c r="E1151" s="675"/>
      <c r="F1151" s="675"/>
      <c r="G1151" s="686"/>
      <c r="H1151" s="675"/>
      <c r="I1151" s="675"/>
      <c r="J1151" s="675"/>
      <c r="K1151" s="675"/>
      <c r="L1151" s="675"/>
      <c r="M1151" s="675"/>
      <c r="N1151" s="675"/>
      <c r="O1151" s="675"/>
      <c r="P1151" s="675"/>
      <c r="Q1151" s="675"/>
      <c r="R1151" s="675"/>
      <c r="S1151" s="675"/>
      <c r="T1151" s="675"/>
      <c r="U1151" s="675"/>
      <c r="V1151" s="675"/>
      <c r="W1151" s="675"/>
      <c r="X1151" s="675"/>
      <c r="Y1151" s="676"/>
      <c r="Z1151" s="676"/>
      <c r="AA1151" s="676"/>
      <c r="AB1151" s="677"/>
    </row>
    <row r="1152" spans="2:28" s="780" customFormat="1" hidden="1" x14ac:dyDescent="0.45">
      <c r="B1152" s="1692"/>
      <c r="C1152" s="1696" t="s">
        <v>332</v>
      </c>
      <c r="D1152" s="122" t="s">
        <v>326</v>
      </c>
      <c r="E1152" s="678"/>
      <c r="F1152" s="678"/>
      <c r="G1152" s="678"/>
      <c r="H1152" s="678"/>
      <c r="I1152" s="678"/>
      <c r="J1152" s="678"/>
      <c r="K1152" s="678"/>
      <c r="L1152" s="678"/>
      <c r="M1152" s="678"/>
      <c r="N1152" s="678"/>
      <c r="O1152" s="678"/>
      <c r="P1152" s="678"/>
      <c r="Q1152" s="678"/>
      <c r="R1152" s="678"/>
      <c r="S1152" s="678"/>
      <c r="T1152" s="678"/>
      <c r="U1152" s="678"/>
      <c r="V1152" s="678"/>
      <c r="W1152" s="679"/>
      <c r="X1152" s="679"/>
      <c r="Y1152" s="679"/>
      <c r="Z1152" s="679"/>
      <c r="AA1152" s="679"/>
      <c r="AB1152" s="680"/>
    </row>
    <row r="1153" spans="2:28" s="780" customFormat="1" hidden="1" x14ac:dyDescent="0.45">
      <c r="B1153" s="1692"/>
      <c r="C1153" s="1697"/>
      <c r="D1153" s="122" t="s">
        <v>327</v>
      </c>
      <c r="E1153" s="678"/>
      <c r="F1153" s="678"/>
      <c r="G1153" s="678"/>
      <c r="H1153" s="678"/>
      <c r="I1153" s="678"/>
      <c r="J1153" s="678"/>
      <c r="K1153" s="678"/>
      <c r="L1153" s="678"/>
      <c r="M1153" s="678"/>
      <c r="N1153" s="678"/>
      <c r="O1153" s="678"/>
      <c r="P1153" s="678"/>
      <c r="Q1153" s="678"/>
      <c r="R1153" s="678"/>
      <c r="S1153" s="678"/>
      <c r="T1153" s="678"/>
      <c r="U1153" s="678"/>
      <c r="V1153" s="678"/>
      <c r="W1153" s="678"/>
      <c r="X1153" s="678"/>
      <c r="Y1153" s="679"/>
      <c r="Z1153" s="679"/>
      <c r="AA1153" s="679"/>
      <c r="AB1153" s="680"/>
    </row>
    <row r="1154" spans="2:28" s="780" customFormat="1" hidden="1" x14ac:dyDescent="0.45">
      <c r="B1154" s="1692"/>
      <c r="C1154" s="1698" t="s">
        <v>333</v>
      </c>
      <c r="D1154" s="124" t="s">
        <v>326</v>
      </c>
      <c r="E1154" s="675"/>
      <c r="F1154" s="675"/>
      <c r="G1154" s="675"/>
      <c r="H1154" s="675"/>
      <c r="I1154" s="675"/>
      <c r="J1154" s="675"/>
      <c r="K1154" s="675"/>
      <c r="L1154" s="675"/>
      <c r="M1154" s="675"/>
      <c r="N1154" s="675"/>
      <c r="O1154" s="675"/>
      <c r="P1154" s="675"/>
      <c r="Q1154" s="675"/>
      <c r="R1154" s="675"/>
      <c r="S1154" s="675"/>
      <c r="T1154" s="675"/>
      <c r="U1154" s="675"/>
      <c r="V1154" s="675"/>
      <c r="W1154" s="676"/>
      <c r="X1154" s="676"/>
      <c r="Y1154" s="676"/>
      <c r="Z1154" s="676"/>
      <c r="AA1154" s="676"/>
      <c r="AB1154" s="677"/>
    </row>
    <row r="1155" spans="2:28" s="780" customFormat="1" hidden="1" x14ac:dyDescent="0.45">
      <c r="B1155" s="1693"/>
      <c r="C1155" s="1699"/>
      <c r="D1155" s="126" t="s">
        <v>327</v>
      </c>
      <c r="E1155" s="687"/>
      <c r="F1155" s="687"/>
      <c r="G1155" s="687"/>
      <c r="H1155" s="687"/>
      <c r="I1155" s="687"/>
      <c r="J1155" s="687"/>
      <c r="K1155" s="687"/>
      <c r="L1155" s="687"/>
      <c r="M1155" s="687"/>
      <c r="N1155" s="687"/>
      <c r="O1155" s="687"/>
      <c r="P1155" s="687"/>
      <c r="Q1155" s="687"/>
      <c r="R1155" s="687"/>
      <c r="S1155" s="687"/>
      <c r="T1155" s="687"/>
      <c r="U1155" s="687"/>
      <c r="V1155" s="687"/>
      <c r="W1155" s="687"/>
      <c r="X1155" s="687"/>
      <c r="Y1155" s="687"/>
      <c r="Z1155" s="687"/>
      <c r="AA1155" s="687"/>
      <c r="AB1155" s="688"/>
    </row>
    <row r="1156" spans="2:28" s="780" customFormat="1" hidden="1" x14ac:dyDescent="0.45"/>
    <row r="1157" spans="2:28" s="780" customFormat="1" hidden="1" x14ac:dyDescent="0.45">
      <c r="B1157" s="1688" t="s">
        <v>54</v>
      </c>
      <c r="C1157" s="1689"/>
      <c r="D1157" s="1690"/>
      <c r="E1157" s="779"/>
      <c r="F1157" s="779"/>
      <c r="G1157" s="779"/>
      <c r="H1157" s="779"/>
      <c r="I1157" s="779"/>
      <c r="J1157" s="779"/>
      <c r="K1157" s="779"/>
      <c r="L1157" s="779"/>
      <c r="M1157" s="779"/>
      <c r="N1157" s="779"/>
      <c r="O1157" s="779"/>
      <c r="P1157" s="779"/>
      <c r="Q1157" s="779"/>
      <c r="R1157" s="779"/>
      <c r="S1157" s="779"/>
      <c r="T1157" s="779"/>
      <c r="U1157" s="779"/>
      <c r="V1157" s="779"/>
      <c r="W1157" s="779"/>
      <c r="X1157" s="779"/>
      <c r="Y1157" s="779"/>
      <c r="Z1157" s="779"/>
      <c r="AA1157" s="779"/>
      <c r="AB1157" s="708"/>
    </row>
    <row r="1158" spans="2:28" s="780" customFormat="1" ht="15" hidden="1" customHeight="1" x14ac:dyDescent="0.45">
      <c r="B1158" s="1691" t="str">
        <f>CONCATENATE("Plan ", INDEX(plans_index,,(ROW(B1158)-6)/16), ": ", INDEX(plans_name,,(ROW(B1158)-6)/16))</f>
        <v xml:space="preserve">Plan 72: </v>
      </c>
      <c r="C1158" s="1694" t="s">
        <v>325</v>
      </c>
      <c r="D1158" s="123" t="s">
        <v>326</v>
      </c>
      <c r="E1158" s="672"/>
      <c r="F1158" s="672"/>
      <c r="G1158" s="672"/>
      <c r="H1158" s="673"/>
      <c r="I1158" s="672"/>
      <c r="J1158" s="672"/>
      <c r="K1158" s="672"/>
      <c r="L1158" s="672"/>
      <c r="M1158" s="672"/>
      <c r="N1158" s="672"/>
      <c r="O1158" s="672"/>
      <c r="P1158" s="672"/>
      <c r="Q1158" s="672"/>
      <c r="R1158" s="672"/>
      <c r="S1158" s="672"/>
      <c r="T1158" s="672"/>
      <c r="U1158" s="672"/>
      <c r="V1158" s="672"/>
      <c r="W1158" s="672"/>
      <c r="X1158" s="672"/>
      <c r="Y1158" s="672"/>
      <c r="Z1158" s="672"/>
      <c r="AA1158" s="672"/>
      <c r="AB1158" s="674"/>
    </row>
    <row r="1159" spans="2:28" s="780" customFormat="1" hidden="1" x14ac:dyDescent="0.45">
      <c r="B1159" s="1692"/>
      <c r="C1159" s="1695"/>
      <c r="D1159" s="124" t="s">
        <v>327</v>
      </c>
      <c r="E1159" s="675"/>
      <c r="F1159" s="675"/>
      <c r="G1159" s="675"/>
      <c r="H1159" s="675"/>
      <c r="I1159" s="675"/>
      <c r="J1159" s="675"/>
      <c r="K1159" s="675"/>
      <c r="L1159" s="675"/>
      <c r="M1159" s="675"/>
      <c r="N1159" s="675"/>
      <c r="O1159" s="675"/>
      <c r="P1159" s="675"/>
      <c r="Q1159" s="675"/>
      <c r="R1159" s="675"/>
      <c r="S1159" s="675"/>
      <c r="T1159" s="675"/>
      <c r="U1159" s="675"/>
      <c r="V1159" s="675"/>
      <c r="W1159" s="675"/>
      <c r="X1159" s="675"/>
      <c r="Y1159" s="676"/>
      <c r="Z1159" s="676"/>
      <c r="AA1159" s="676"/>
      <c r="AB1159" s="677"/>
    </row>
    <row r="1160" spans="2:28" s="780" customFormat="1" hidden="1" x14ac:dyDescent="0.45">
      <c r="B1160" s="1692"/>
      <c r="C1160" s="1696" t="s">
        <v>328</v>
      </c>
      <c r="D1160" s="122" t="s">
        <v>326</v>
      </c>
      <c r="E1160" s="678"/>
      <c r="F1160" s="678"/>
      <c r="G1160" s="678"/>
      <c r="H1160" s="678"/>
      <c r="I1160" s="678"/>
      <c r="J1160" s="678"/>
      <c r="K1160" s="678"/>
      <c r="L1160" s="678"/>
      <c r="M1160" s="678"/>
      <c r="N1160" s="678"/>
      <c r="O1160" s="678"/>
      <c r="P1160" s="678"/>
      <c r="Q1160" s="678"/>
      <c r="R1160" s="678"/>
      <c r="S1160" s="678"/>
      <c r="T1160" s="678"/>
      <c r="U1160" s="678"/>
      <c r="V1160" s="678"/>
      <c r="W1160" s="678"/>
      <c r="X1160" s="678"/>
      <c r="Y1160" s="679"/>
      <c r="Z1160" s="679"/>
      <c r="AA1160" s="679"/>
      <c r="AB1160" s="680"/>
    </row>
    <row r="1161" spans="2:28" s="780" customFormat="1" hidden="1" x14ac:dyDescent="0.45">
      <c r="B1161" s="1692"/>
      <c r="C1161" s="1697"/>
      <c r="D1161" s="122" t="s">
        <v>327</v>
      </c>
      <c r="E1161" s="678"/>
      <c r="F1161" s="678"/>
      <c r="G1161" s="678"/>
      <c r="H1161" s="678"/>
      <c r="I1161" s="678"/>
      <c r="J1161" s="678"/>
      <c r="K1161" s="678"/>
      <c r="L1161" s="678"/>
      <c r="M1161" s="678"/>
      <c r="N1161" s="678"/>
      <c r="O1161" s="678"/>
      <c r="P1161" s="678"/>
      <c r="Q1161" s="678"/>
      <c r="R1161" s="678"/>
      <c r="S1161" s="678"/>
      <c r="T1161" s="678"/>
      <c r="U1161" s="678"/>
      <c r="V1161" s="678"/>
      <c r="W1161" s="678"/>
      <c r="X1161" s="681"/>
      <c r="Y1161" s="679"/>
      <c r="Z1161" s="679"/>
      <c r="AA1161" s="679"/>
      <c r="AB1161" s="680"/>
    </row>
    <row r="1162" spans="2:28" s="780" customFormat="1" hidden="1" x14ac:dyDescent="0.45">
      <c r="B1162" s="1692"/>
      <c r="C1162" s="1698" t="s">
        <v>329</v>
      </c>
      <c r="D1162" s="125" t="s">
        <v>326</v>
      </c>
      <c r="E1162" s="682"/>
      <c r="F1162" s="682"/>
      <c r="G1162" s="682"/>
      <c r="H1162" s="682"/>
      <c r="I1162" s="682"/>
      <c r="J1162" s="682"/>
      <c r="K1162" s="682"/>
      <c r="L1162" s="682"/>
      <c r="M1162" s="682"/>
      <c r="N1162" s="682"/>
      <c r="O1162" s="682"/>
      <c r="P1162" s="682"/>
      <c r="Q1162" s="682"/>
      <c r="R1162" s="682"/>
      <c r="S1162" s="682"/>
      <c r="T1162" s="682"/>
      <c r="U1162" s="682"/>
      <c r="V1162" s="682"/>
      <c r="W1162" s="682"/>
      <c r="X1162" s="682"/>
      <c r="Y1162" s="683"/>
      <c r="Z1162" s="683"/>
      <c r="AA1162" s="683"/>
      <c r="AB1162" s="684"/>
    </row>
    <row r="1163" spans="2:28" s="780" customFormat="1" hidden="1" x14ac:dyDescent="0.45">
      <c r="B1163" s="1692"/>
      <c r="C1163" s="1695"/>
      <c r="D1163" s="124" t="s">
        <v>327</v>
      </c>
      <c r="E1163" s="675"/>
      <c r="F1163" s="675"/>
      <c r="G1163" s="675"/>
      <c r="H1163" s="675"/>
      <c r="I1163" s="675"/>
      <c r="J1163" s="675"/>
      <c r="K1163" s="675"/>
      <c r="L1163" s="675"/>
      <c r="M1163" s="675"/>
      <c r="N1163" s="675"/>
      <c r="O1163" s="675"/>
      <c r="P1163" s="675"/>
      <c r="Q1163" s="675"/>
      <c r="R1163" s="675"/>
      <c r="S1163" s="675"/>
      <c r="T1163" s="675"/>
      <c r="U1163" s="675"/>
      <c r="V1163" s="675"/>
      <c r="W1163" s="675"/>
      <c r="X1163" s="675"/>
      <c r="Y1163" s="676"/>
      <c r="Z1163" s="676"/>
      <c r="AA1163" s="676"/>
      <c r="AB1163" s="677"/>
    </row>
    <row r="1164" spans="2:28" s="780" customFormat="1" hidden="1" x14ac:dyDescent="0.45">
      <c r="B1164" s="1692"/>
      <c r="C1164" s="1696" t="s">
        <v>330</v>
      </c>
      <c r="D1164" s="122" t="s">
        <v>326</v>
      </c>
      <c r="E1164" s="678"/>
      <c r="F1164" s="678"/>
      <c r="G1164" s="678"/>
      <c r="H1164" s="678"/>
      <c r="I1164" s="678"/>
      <c r="J1164" s="678"/>
      <c r="K1164" s="678"/>
      <c r="L1164" s="678"/>
      <c r="M1164" s="678"/>
      <c r="N1164" s="678"/>
      <c r="O1164" s="678"/>
      <c r="P1164" s="678"/>
      <c r="Q1164" s="678"/>
      <c r="R1164" s="678"/>
      <c r="S1164" s="678"/>
      <c r="T1164" s="678"/>
      <c r="U1164" s="678"/>
      <c r="V1164" s="678"/>
      <c r="W1164" s="678"/>
      <c r="X1164" s="678"/>
      <c r="Y1164" s="679"/>
      <c r="Z1164" s="679"/>
      <c r="AA1164" s="679"/>
      <c r="AB1164" s="680"/>
    </row>
    <row r="1165" spans="2:28" s="780" customFormat="1" hidden="1" x14ac:dyDescent="0.45">
      <c r="B1165" s="1692"/>
      <c r="C1165" s="1697"/>
      <c r="D1165" s="122" t="s">
        <v>327</v>
      </c>
      <c r="E1165" s="678"/>
      <c r="F1165" s="678"/>
      <c r="G1165" s="678"/>
      <c r="H1165" s="678"/>
      <c r="I1165" s="678"/>
      <c r="J1165" s="678"/>
      <c r="K1165" s="678"/>
      <c r="L1165" s="678"/>
      <c r="M1165" s="678"/>
      <c r="N1165" s="678"/>
      <c r="O1165" s="678"/>
      <c r="P1165" s="678"/>
      <c r="Q1165" s="678"/>
      <c r="R1165" s="678"/>
      <c r="S1165" s="678"/>
      <c r="T1165" s="678"/>
      <c r="U1165" s="678"/>
      <c r="V1165" s="678"/>
      <c r="W1165" s="678"/>
      <c r="X1165" s="681"/>
      <c r="Y1165" s="679"/>
      <c r="Z1165" s="679"/>
      <c r="AA1165" s="679"/>
      <c r="AB1165" s="680"/>
    </row>
    <row r="1166" spans="2:28" s="780" customFormat="1" hidden="1" x14ac:dyDescent="0.45">
      <c r="B1166" s="1692"/>
      <c r="C1166" s="1698" t="s">
        <v>331</v>
      </c>
      <c r="D1166" s="125" t="s">
        <v>326</v>
      </c>
      <c r="E1166" s="682"/>
      <c r="F1166" s="682"/>
      <c r="G1166" s="685"/>
      <c r="H1166" s="682"/>
      <c r="I1166" s="682"/>
      <c r="J1166" s="682"/>
      <c r="K1166" s="682"/>
      <c r="L1166" s="682"/>
      <c r="M1166" s="682"/>
      <c r="N1166" s="682"/>
      <c r="O1166" s="682"/>
      <c r="P1166" s="682"/>
      <c r="Q1166" s="682"/>
      <c r="R1166" s="682"/>
      <c r="S1166" s="682"/>
      <c r="T1166" s="682"/>
      <c r="U1166" s="682"/>
      <c r="V1166" s="682"/>
      <c r="W1166" s="682"/>
      <c r="X1166" s="682"/>
      <c r="Y1166" s="683"/>
      <c r="Z1166" s="683"/>
      <c r="AA1166" s="683"/>
      <c r="AB1166" s="684"/>
    </row>
    <row r="1167" spans="2:28" s="780" customFormat="1" hidden="1" x14ac:dyDescent="0.45">
      <c r="B1167" s="1692"/>
      <c r="C1167" s="1695"/>
      <c r="D1167" s="124" t="s">
        <v>327</v>
      </c>
      <c r="E1167" s="675"/>
      <c r="F1167" s="675"/>
      <c r="G1167" s="686"/>
      <c r="H1167" s="675"/>
      <c r="I1167" s="675"/>
      <c r="J1167" s="675"/>
      <c r="K1167" s="675"/>
      <c r="L1167" s="675"/>
      <c r="M1167" s="675"/>
      <c r="N1167" s="675"/>
      <c r="O1167" s="675"/>
      <c r="P1167" s="675"/>
      <c r="Q1167" s="675"/>
      <c r="R1167" s="675"/>
      <c r="S1167" s="675"/>
      <c r="T1167" s="675"/>
      <c r="U1167" s="675"/>
      <c r="V1167" s="675"/>
      <c r="W1167" s="675"/>
      <c r="X1167" s="675"/>
      <c r="Y1167" s="676"/>
      <c r="Z1167" s="676"/>
      <c r="AA1167" s="676"/>
      <c r="AB1167" s="677"/>
    </row>
    <row r="1168" spans="2:28" s="780" customFormat="1" hidden="1" x14ac:dyDescent="0.45">
      <c r="B1168" s="1692"/>
      <c r="C1168" s="1696" t="s">
        <v>332</v>
      </c>
      <c r="D1168" s="122" t="s">
        <v>326</v>
      </c>
      <c r="E1168" s="678"/>
      <c r="F1168" s="678"/>
      <c r="G1168" s="678"/>
      <c r="H1168" s="678"/>
      <c r="I1168" s="678"/>
      <c r="J1168" s="678"/>
      <c r="K1168" s="678"/>
      <c r="L1168" s="678"/>
      <c r="M1168" s="678"/>
      <c r="N1168" s="678"/>
      <c r="O1168" s="678"/>
      <c r="P1168" s="678"/>
      <c r="Q1168" s="678"/>
      <c r="R1168" s="678"/>
      <c r="S1168" s="678"/>
      <c r="T1168" s="678"/>
      <c r="U1168" s="678"/>
      <c r="V1168" s="678"/>
      <c r="W1168" s="679"/>
      <c r="X1168" s="679"/>
      <c r="Y1168" s="679"/>
      <c r="Z1168" s="679"/>
      <c r="AA1168" s="679"/>
      <c r="AB1168" s="680"/>
    </row>
    <row r="1169" spans="2:28" s="780" customFormat="1" hidden="1" x14ac:dyDescent="0.45">
      <c r="B1169" s="1692"/>
      <c r="C1169" s="1697"/>
      <c r="D1169" s="122" t="s">
        <v>327</v>
      </c>
      <c r="E1169" s="678"/>
      <c r="F1169" s="678"/>
      <c r="G1169" s="678"/>
      <c r="H1169" s="678"/>
      <c r="I1169" s="678"/>
      <c r="J1169" s="678"/>
      <c r="K1169" s="678"/>
      <c r="L1169" s="678"/>
      <c r="M1169" s="678"/>
      <c r="N1169" s="678"/>
      <c r="O1169" s="678"/>
      <c r="P1169" s="678"/>
      <c r="Q1169" s="678"/>
      <c r="R1169" s="678"/>
      <c r="S1169" s="678"/>
      <c r="T1169" s="678"/>
      <c r="U1169" s="678"/>
      <c r="V1169" s="678"/>
      <c r="W1169" s="678"/>
      <c r="X1169" s="678"/>
      <c r="Y1169" s="679"/>
      <c r="Z1169" s="679"/>
      <c r="AA1169" s="679"/>
      <c r="AB1169" s="680"/>
    </row>
    <row r="1170" spans="2:28" s="780" customFormat="1" hidden="1" x14ac:dyDescent="0.45">
      <c r="B1170" s="1692"/>
      <c r="C1170" s="1698" t="s">
        <v>333</v>
      </c>
      <c r="D1170" s="124" t="s">
        <v>326</v>
      </c>
      <c r="E1170" s="675"/>
      <c r="F1170" s="675"/>
      <c r="G1170" s="675"/>
      <c r="H1170" s="675"/>
      <c r="I1170" s="675"/>
      <c r="J1170" s="675"/>
      <c r="K1170" s="675"/>
      <c r="L1170" s="675"/>
      <c r="M1170" s="675"/>
      <c r="N1170" s="675"/>
      <c r="O1170" s="675"/>
      <c r="P1170" s="675"/>
      <c r="Q1170" s="675"/>
      <c r="R1170" s="675"/>
      <c r="S1170" s="675"/>
      <c r="T1170" s="675"/>
      <c r="U1170" s="675"/>
      <c r="V1170" s="675"/>
      <c r="W1170" s="676"/>
      <c r="X1170" s="676"/>
      <c r="Y1170" s="676"/>
      <c r="Z1170" s="676"/>
      <c r="AA1170" s="676"/>
      <c r="AB1170" s="677"/>
    </row>
    <row r="1171" spans="2:28" s="780" customFormat="1" hidden="1" x14ac:dyDescent="0.45">
      <c r="B1171" s="1693"/>
      <c r="C1171" s="1699"/>
      <c r="D1171" s="126" t="s">
        <v>327</v>
      </c>
      <c r="E1171" s="687"/>
      <c r="F1171" s="687"/>
      <c r="G1171" s="687"/>
      <c r="H1171" s="687"/>
      <c r="I1171" s="687"/>
      <c r="J1171" s="687"/>
      <c r="K1171" s="687"/>
      <c r="L1171" s="687"/>
      <c r="M1171" s="687"/>
      <c r="N1171" s="687"/>
      <c r="O1171" s="687"/>
      <c r="P1171" s="687"/>
      <c r="Q1171" s="687"/>
      <c r="R1171" s="687"/>
      <c r="S1171" s="687"/>
      <c r="T1171" s="687"/>
      <c r="U1171" s="687"/>
      <c r="V1171" s="687"/>
      <c r="W1171" s="687"/>
      <c r="X1171" s="687"/>
      <c r="Y1171" s="687"/>
      <c r="Z1171" s="687"/>
      <c r="AA1171" s="687"/>
      <c r="AB1171" s="688"/>
    </row>
    <row r="1172" spans="2:28" s="780" customFormat="1" hidden="1" x14ac:dyDescent="0.45"/>
    <row r="1173" spans="2:28" s="780" customFormat="1" hidden="1" x14ac:dyDescent="0.45">
      <c r="B1173" s="1688" t="s">
        <v>54</v>
      </c>
      <c r="C1173" s="1689"/>
      <c r="D1173" s="1690"/>
      <c r="E1173" s="779"/>
      <c r="F1173" s="779"/>
      <c r="G1173" s="779"/>
      <c r="H1173" s="779"/>
      <c r="I1173" s="779"/>
      <c r="J1173" s="779"/>
      <c r="K1173" s="779"/>
      <c r="L1173" s="779"/>
      <c r="M1173" s="779"/>
      <c r="N1173" s="779"/>
      <c r="O1173" s="779"/>
      <c r="P1173" s="779"/>
      <c r="Q1173" s="779"/>
      <c r="R1173" s="779"/>
      <c r="S1173" s="779"/>
      <c r="T1173" s="779"/>
      <c r="U1173" s="779"/>
      <c r="V1173" s="779"/>
      <c r="W1173" s="779"/>
      <c r="X1173" s="779"/>
      <c r="Y1173" s="779"/>
      <c r="Z1173" s="779"/>
      <c r="AA1173" s="779"/>
      <c r="AB1173" s="708"/>
    </row>
    <row r="1174" spans="2:28" s="780" customFormat="1" ht="15" hidden="1" customHeight="1" x14ac:dyDescent="0.45">
      <c r="B1174" s="1691" t="str">
        <f>CONCATENATE("Plan ", INDEX(plans_index,,(ROW(B1174)-6)/16), ": ", INDEX(plans_name,,(ROW(B1174)-6)/16))</f>
        <v xml:space="preserve">Plan 73: </v>
      </c>
      <c r="C1174" s="1694" t="s">
        <v>325</v>
      </c>
      <c r="D1174" s="123" t="s">
        <v>326</v>
      </c>
      <c r="E1174" s="672"/>
      <c r="F1174" s="672"/>
      <c r="G1174" s="672"/>
      <c r="H1174" s="673"/>
      <c r="I1174" s="672"/>
      <c r="J1174" s="672"/>
      <c r="K1174" s="672"/>
      <c r="L1174" s="672"/>
      <c r="M1174" s="672"/>
      <c r="N1174" s="672"/>
      <c r="O1174" s="672"/>
      <c r="P1174" s="672"/>
      <c r="Q1174" s="672"/>
      <c r="R1174" s="672"/>
      <c r="S1174" s="672"/>
      <c r="T1174" s="672"/>
      <c r="U1174" s="672"/>
      <c r="V1174" s="672"/>
      <c r="W1174" s="672"/>
      <c r="X1174" s="672"/>
      <c r="Y1174" s="672"/>
      <c r="Z1174" s="672"/>
      <c r="AA1174" s="672"/>
      <c r="AB1174" s="674"/>
    </row>
    <row r="1175" spans="2:28" s="780" customFormat="1" hidden="1" x14ac:dyDescent="0.45">
      <c r="B1175" s="1692"/>
      <c r="C1175" s="1695"/>
      <c r="D1175" s="124" t="s">
        <v>327</v>
      </c>
      <c r="E1175" s="675"/>
      <c r="F1175" s="675"/>
      <c r="G1175" s="675"/>
      <c r="H1175" s="675"/>
      <c r="I1175" s="675"/>
      <c r="J1175" s="675"/>
      <c r="K1175" s="675"/>
      <c r="L1175" s="675"/>
      <c r="M1175" s="675"/>
      <c r="N1175" s="675"/>
      <c r="O1175" s="675"/>
      <c r="P1175" s="675"/>
      <c r="Q1175" s="675"/>
      <c r="R1175" s="675"/>
      <c r="S1175" s="675"/>
      <c r="T1175" s="675"/>
      <c r="U1175" s="675"/>
      <c r="V1175" s="675"/>
      <c r="W1175" s="675"/>
      <c r="X1175" s="675"/>
      <c r="Y1175" s="676"/>
      <c r="Z1175" s="676"/>
      <c r="AA1175" s="676"/>
      <c r="AB1175" s="677"/>
    </row>
    <row r="1176" spans="2:28" s="780" customFormat="1" hidden="1" x14ac:dyDescent="0.45">
      <c r="B1176" s="1692"/>
      <c r="C1176" s="1696" t="s">
        <v>328</v>
      </c>
      <c r="D1176" s="122" t="s">
        <v>326</v>
      </c>
      <c r="E1176" s="678"/>
      <c r="F1176" s="678"/>
      <c r="G1176" s="678"/>
      <c r="H1176" s="678"/>
      <c r="I1176" s="678"/>
      <c r="J1176" s="678"/>
      <c r="K1176" s="678"/>
      <c r="L1176" s="678"/>
      <c r="M1176" s="678"/>
      <c r="N1176" s="678"/>
      <c r="O1176" s="678"/>
      <c r="P1176" s="678"/>
      <c r="Q1176" s="678"/>
      <c r="R1176" s="678"/>
      <c r="S1176" s="678"/>
      <c r="T1176" s="678"/>
      <c r="U1176" s="678"/>
      <c r="V1176" s="678"/>
      <c r="W1176" s="678"/>
      <c r="X1176" s="678"/>
      <c r="Y1176" s="679"/>
      <c r="Z1176" s="679"/>
      <c r="AA1176" s="679"/>
      <c r="AB1176" s="680"/>
    </row>
    <row r="1177" spans="2:28" s="780" customFormat="1" hidden="1" x14ac:dyDescent="0.45">
      <c r="B1177" s="1692"/>
      <c r="C1177" s="1697"/>
      <c r="D1177" s="122" t="s">
        <v>327</v>
      </c>
      <c r="E1177" s="678"/>
      <c r="F1177" s="678"/>
      <c r="G1177" s="678"/>
      <c r="H1177" s="678"/>
      <c r="I1177" s="678"/>
      <c r="J1177" s="678"/>
      <c r="K1177" s="678"/>
      <c r="L1177" s="678"/>
      <c r="M1177" s="678"/>
      <c r="N1177" s="678"/>
      <c r="O1177" s="678"/>
      <c r="P1177" s="678"/>
      <c r="Q1177" s="678"/>
      <c r="R1177" s="678"/>
      <c r="S1177" s="678"/>
      <c r="T1177" s="678"/>
      <c r="U1177" s="678"/>
      <c r="V1177" s="678"/>
      <c r="W1177" s="678"/>
      <c r="X1177" s="681"/>
      <c r="Y1177" s="679"/>
      <c r="Z1177" s="679"/>
      <c r="AA1177" s="679"/>
      <c r="AB1177" s="680"/>
    </row>
    <row r="1178" spans="2:28" s="780" customFormat="1" hidden="1" x14ac:dyDescent="0.45">
      <c r="B1178" s="1692"/>
      <c r="C1178" s="1698" t="s">
        <v>329</v>
      </c>
      <c r="D1178" s="125" t="s">
        <v>326</v>
      </c>
      <c r="E1178" s="682"/>
      <c r="F1178" s="682"/>
      <c r="G1178" s="682"/>
      <c r="H1178" s="682"/>
      <c r="I1178" s="682"/>
      <c r="J1178" s="682"/>
      <c r="K1178" s="682"/>
      <c r="L1178" s="682"/>
      <c r="M1178" s="682"/>
      <c r="N1178" s="682"/>
      <c r="O1178" s="682"/>
      <c r="P1178" s="682"/>
      <c r="Q1178" s="682"/>
      <c r="R1178" s="682"/>
      <c r="S1178" s="682"/>
      <c r="T1178" s="682"/>
      <c r="U1178" s="682"/>
      <c r="V1178" s="682"/>
      <c r="W1178" s="682"/>
      <c r="X1178" s="682"/>
      <c r="Y1178" s="683"/>
      <c r="Z1178" s="683"/>
      <c r="AA1178" s="683"/>
      <c r="AB1178" s="684"/>
    </row>
    <row r="1179" spans="2:28" s="780" customFormat="1" hidden="1" x14ac:dyDescent="0.45">
      <c r="B1179" s="1692"/>
      <c r="C1179" s="1695"/>
      <c r="D1179" s="124" t="s">
        <v>327</v>
      </c>
      <c r="E1179" s="675"/>
      <c r="F1179" s="675"/>
      <c r="G1179" s="675"/>
      <c r="H1179" s="675"/>
      <c r="I1179" s="675"/>
      <c r="J1179" s="675"/>
      <c r="K1179" s="675"/>
      <c r="L1179" s="675"/>
      <c r="M1179" s="675"/>
      <c r="N1179" s="675"/>
      <c r="O1179" s="675"/>
      <c r="P1179" s="675"/>
      <c r="Q1179" s="675"/>
      <c r="R1179" s="675"/>
      <c r="S1179" s="675"/>
      <c r="T1179" s="675"/>
      <c r="U1179" s="675"/>
      <c r="V1179" s="675"/>
      <c r="W1179" s="675"/>
      <c r="X1179" s="675"/>
      <c r="Y1179" s="676"/>
      <c r="Z1179" s="676"/>
      <c r="AA1179" s="676"/>
      <c r="AB1179" s="677"/>
    </row>
    <row r="1180" spans="2:28" s="780" customFormat="1" hidden="1" x14ac:dyDescent="0.45">
      <c r="B1180" s="1692"/>
      <c r="C1180" s="1696" t="s">
        <v>330</v>
      </c>
      <c r="D1180" s="122" t="s">
        <v>326</v>
      </c>
      <c r="E1180" s="678"/>
      <c r="F1180" s="678"/>
      <c r="G1180" s="678"/>
      <c r="H1180" s="678"/>
      <c r="I1180" s="678"/>
      <c r="J1180" s="678"/>
      <c r="K1180" s="678"/>
      <c r="L1180" s="678"/>
      <c r="M1180" s="678"/>
      <c r="N1180" s="678"/>
      <c r="O1180" s="678"/>
      <c r="P1180" s="678"/>
      <c r="Q1180" s="678"/>
      <c r="R1180" s="678"/>
      <c r="S1180" s="678"/>
      <c r="T1180" s="678"/>
      <c r="U1180" s="678"/>
      <c r="V1180" s="678"/>
      <c r="W1180" s="678"/>
      <c r="X1180" s="678"/>
      <c r="Y1180" s="679"/>
      <c r="Z1180" s="679"/>
      <c r="AA1180" s="679"/>
      <c r="AB1180" s="680"/>
    </row>
    <row r="1181" spans="2:28" s="780" customFormat="1" hidden="1" x14ac:dyDescent="0.45">
      <c r="B1181" s="1692"/>
      <c r="C1181" s="1697"/>
      <c r="D1181" s="122" t="s">
        <v>327</v>
      </c>
      <c r="E1181" s="678"/>
      <c r="F1181" s="678"/>
      <c r="G1181" s="678"/>
      <c r="H1181" s="678"/>
      <c r="I1181" s="678"/>
      <c r="J1181" s="678"/>
      <c r="K1181" s="678"/>
      <c r="L1181" s="678"/>
      <c r="M1181" s="678"/>
      <c r="N1181" s="678"/>
      <c r="O1181" s="678"/>
      <c r="P1181" s="678"/>
      <c r="Q1181" s="678"/>
      <c r="R1181" s="678"/>
      <c r="S1181" s="678"/>
      <c r="T1181" s="678"/>
      <c r="U1181" s="678"/>
      <c r="V1181" s="678"/>
      <c r="W1181" s="678"/>
      <c r="X1181" s="681"/>
      <c r="Y1181" s="679"/>
      <c r="Z1181" s="679"/>
      <c r="AA1181" s="679"/>
      <c r="AB1181" s="680"/>
    </row>
    <row r="1182" spans="2:28" s="780" customFormat="1" hidden="1" x14ac:dyDescent="0.45">
      <c r="B1182" s="1692"/>
      <c r="C1182" s="1698" t="s">
        <v>331</v>
      </c>
      <c r="D1182" s="125" t="s">
        <v>326</v>
      </c>
      <c r="E1182" s="682"/>
      <c r="F1182" s="682"/>
      <c r="G1182" s="685"/>
      <c r="H1182" s="682"/>
      <c r="I1182" s="682"/>
      <c r="J1182" s="682"/>
      <c r="K1182" s="682"/>
      <c r="L1182" s="682"/>
      <c r="M1182" s="682"/>
      <c r="N1182" s="682"/>
      <c r="O1182" s="682"/>
      <c r="P1182" s="682"/>
      <c r="Q1182" s="682"/>
      <c r="R1182" s="682"/>
      <c r="S1182" s="682"/>
      <c r="T1182" s="682"/>
      <c r="U1182" s="682"/>
      <c r="V1182" s="682"/>
      <c r="W1182" s="682"/>
      <c r="X1182" s="682"/>
      <c r="Y1182" s="683"/>
      <c r="Z1182" s="683"/>
      <c r="AA1182" s="683"/>
      <c r="AB1182" s="684"/>
    </row>
    <row r="1183" spans="2:28" s="780" customFormat="1" hidden="1" x14ac:dyDescent="0.45">
      <c r="B1183" s="1692"/>
      <c r="C1183" s="1695"/>
      <c r="D1183" s="124" t="s">
        <v>327</v>
      </c>
      <c r="E1183" s="675"/>
      <c r="F1183" s="675"/>
      <c r="G1183" s="686"/>
      <c r="H1183" s="675"/>
      <c r="I1183" s="675"/>
      <c r="J1183" s="675"/>
      <c r="K1183" s="675"/>
      <c r="L1183" s="675"/>
      <c r="M1183" s="675"/>
      <c r="N1183" s="675"/>
      <c r="O1183" s="675"/>
      <c r="P1183" s="675"/>
      <c r="Q1183" s="675"/>
      <c r="R1183" s="675"/>
      <c r="S1183" s="675"/>
      <c r="T1183" s="675"/>
      <c r="U1183" s="675"/>
      <c r="V1183" s="675"/>
      <c r="W1183" s="675"/>
      <c r="X1183" s="675"/>
      <c r="Y1183" s="676"/>
      <c r="Z1183" s="676"/>
      <c r="AA1183" s="676"/>
      <c r="AB1183" s="677"/>
    </row>
    <row r="1184" spans="2:28" s="780" customFormat="1" hidden="1" x14ac:dyDescent="0.45">
      <c r="B1184" s="1692"/>
      <c r="C1184" s="1696" t="s">
        <v>332</v>
      </c>
      <c r="D1184" s="122" t="s">
        <v>326</v>
      </c>
      <c r="E1184" s="678"/>
      <c r="F1184" s="678"/>
      <c r="G1184" s="678"/>
      <c r="H1184" s="678"/>
      <c r="I1184" s="678"/>
      <c r="J1184" s="678"/>
      <c r="K1184" s="678"/>
      <c r="L1184" s="678"/>
      <c r="M1184" s="678"/>
      <c r="N1184" s="678"/>
      <c r="O1184" s="678"/>
      <c r="P1184" s="678"/>
      <c r="Q1184" s="678"/>
      <c r="R1184" s="678"/>
      <c r="S1184" s="678"/>
      <c r="T1184" s="678"/>
      <c r="U1184" s="678"/>
      <c r="V1184" s="678"/>
      <c r="W1184" s="679"/>
      <c r="X1184" s="679"/>
      <c r="Y1184" s="679"/>
      <c r="Z1184" s="679"/>
      <c r="AA1184" s="679"/>
      <c r="AB1184" s="680"/>
    </row>
    <row r="1185" spans="2:28" s="780" customFormat="1" hidden="1" x14ac:dyDescent="0.45">
      <c r="B1185" s="1692"/>
      <c r="C1185" s="1697"/>
      <c r="D1185" s="122" t="s">
        <v>327</v>
      </c>
      <c r="E1185" s="678"/>
      <c r="F1185" s="678"/>
      <c r="G1185" s="678"/>
      <c r="H1185" s="678"/>
      <c r="I1185" s="678"/>
      <c r="J1185" s="678"/>
      <c r="K1185" s="678"/>
      <c r="L1185" s="678"/>
      <c r="M1185" s="678"/>
      <c r="N1185" s="678"/>
      <c r="O1185" s="678"/>
      <c r="P1185" s="678"/>
      <c r="Q1185" s="678"/>
      <c r="R1185" s="678"/>
      <c r="S1185" s="678"/>
      <c r="T1185" s="678"/>
      <c r="U1185" s="678"/>
      <c r="V1185" s="678"/>
      <c r="W1185" s="678"/>
      <c r="X1185" s="678"/>
      <c r="Y1185" s="679"/>
      <c r="Z1185" s="679"/>
      <c r="AA1185" s="679"/>
      <c r="AB1185" s="680"/>
    </row>
    <row r="1186" spans="2:28" s="780" customFormat="1" hidden="1" x14ac:dyDescent="0.45">
      <c r="B1186" s="1692"/>
      <c r="C1186" s="1698" t="s">
        <v>333</v>
      </c>
      <c r="D1186" s="124" t="s">
        <v>326</v>
      </c>
      <c r="E1186" s="675"/>
      <c r="F1186" s="675"/>
      <c r="G1186" s="675"/>
      <c r="H1186" s="675"/>
      <c r="I1186" s="675"/>
      <c r="J1186" s="675"/>
      <c r="K1186" s="675"/>
      <c r="L1186" s="675"/>
      <c r="M1186" s="675"/>
      <c r="N1186" s="675"/>
      <c r="O1186" s="675"/>
      <c r="P1186" s="675"/>
      <c r="Q1186" s="675"/>
      <c r="R1186" s="675"/>
      <c r="S1186" s="675"/>
      <c r="T1186" s="675"/>
      <c r="U1186" s="675"/>
      <c r="V1186" s="675"/>
      <c r="W1186" s="676"/>
      <c r="X1186" s="676"/>
      <c r="Y1186" s="676"/>
      <c r="Z1186" s="676"/>
      <c r="AA1186" s="676"/>
      <c r="AB1186" s="677"/>
    </row>
    <row r="1187" spans="2:28" s="780" customFormat="1" hidden="1" x14ac:dyDescent="0.45">
      <c r="B1187" s="1693"/>
      <c r="C1187" s="1699"/>
      <c r="D1187" s="126" t="s">
        <v>327</v>
      </c>
      <c r="E1187" s="687"/>
      <c r="F1187" s="687"/>
      <c r="G1187" s="687"/>
      <c r="H1187" s="687"/>
      <c r="I1187" s="687"/>
      <c r="J1187" s="687"/>
      <c r="K1187" s="687"/>
      <c r="L1187" s="687"/>
      <c r="M1187" s="687"/>
      <c r="N1187" s="687"/>
      <c r="O1187" s="687"/>
      <c r="P1187" s="687"/>
      <c r="Q1187" s="687"/>
      <c r="R1187" s="687"/>
      <c r="S1187" s="687"/>
      <c r="T1187" s="687"/>
      <c r="U1187" s="687"/>
      <c r="V1187" s="687"/>
      <c r="W1187" s="687"/>
      <c r="X1187" s="687"/>
      <c r="Y1187" s="687"/>
      <c r="Z1187" s="687"/>
      <c r="AA1187" s="687"/>
      <c r="AB1187" s="688"/>
    </row>
    <row r="1188" spans="2:28" s="780" customFormat="1" hidden="1" x14ac:dyDescent="0.45"/>
    <row r="1189" spans="2:28" s="780" customFormat="1" hidden="1" x14ac:dyDescent="0.45">
      <c r="B1189" s="1688" t="s">
        <v>54</v>
      </c>
      <c r="C1189" s="1689"/>
      <c r="D1189" s="1690"/>
      <c r="E1189" s="779"/>
      <c r="F1189" s="779"/>
      <c r="G1189" s="779"/>
      <c r="H1189" s="779"/>
      <c r="I1189" s="779"/>
      <c r="J1189" s="779"/>
      <c r="K1189" s="779"/>
      <c r="L1189" s="779"/>
      <c r="M1189" s="779"/>
      <c r="N1189" s="779"/>
      <c r="O1189" s="779"/>
      <c r="P1189" s="779"/>
      <c r="Q1189" s="779"/>
      <c r="R1189" s="779"/>
      <c r="S1189" s="779"/>
      <c r="T1189" s="779"/>
      <c r="U1189" s="779"/>
      <c r="V1189" s="779"/>
      <c r="W1189" s="779"/>
      <c r="X1189" s="779"/>
      <c r="Y1189" s="779"/>
      <c r="Z1189" s="779"/>
      <c r="AA1189" s="779"/>
      <c r="AB1189" s="708"/>
    </row>
    <row r="1190" spans="2:28" s="780" customFormat="1" ht="15" hidden="1" customHeight="1" x14ac:dyDescent="0.45">
      <c r="B1190" s="1691" t="str">
        <f>CONCATENATE("Plan ", INDEX(plans_index,,(ROW(B1190)-6)/16), ": ", INDEX(plans_name,,(ROW(B1190)-6)/16))</f>
        <v xml:space="preserve">Plan 74: </v>
      </c>
      <c r="C1190" s="1694" t="s">
        <v>325</v>
      </c>
      <c r="D1190" s="123" t="s">
        <v>326</v>
      </c>
      <c r="E1190" s="672"/>
      <c r="F1190" s="672"/>
      <c r="G1190" s="672"/>
      <c r="H1190" s="673"/>
      <c r="I1190" s="672"/>
      <c r="J1190" s="672"/>
      <c r="K1190" s="672"/>
      <c r="L1190" s="672"/>
      <c r="M1190" s="672"/>
      <c r="N1190" s="672"/>
      <c r="O1190" s="672"/>
      <c r="P1190" s="672"/>
      <c r="Q1190" s="672"/>
      <c r="R1190" s="672"/>
      <c r="S1190" s="672"/>
      <c r="T1190" s="672"/>
      <c r="U1190" s="672"/>
      <c r="V1190" s="672"/>
      <c r="W1190" s="672"/>
      <c r="X1190" s="672"/>
      <c r="Y1190" s="672"/>
      <c r="Z1190" s="672"/>
      <c r="AA1190" s="672"/>
      <c r="AB1190" s="674"/>
    </row>
    <row r="1191" spans="2:28" s="780" customFormat="1" hidden="1" x14ac:dyDescent="0.45">
      <c r="B1191" s="1692"/>
      <c r="C1191" s="1695"/>
      <c r="D1191" s="124" t="s">
        <v>327</v>
      </c>
      <c r="E1191" s="675"/>
      <c r="F1191" s="675"/>
      <c r="G1191" s="675"/>
      <c r="H1191" s="675"/>
      <c r="I1191" s="675"/>
      <c r="J1191" s="675"/>
      <c r="K1191" s="675"/>
      <c r="L1191" s="675"/>
      <c r="M1191" s="675"/>
      <c r="N1191" s="675"/>
      <c r="O1191" s="675"/>
      <c r="P1191" s="675"/>
      <c r="Q1191" s="675"/>
      <c r="R1191" s="675"/>
      <c r="S1191" s="675"/>
      <c r="T1191" s="675"/>
      <c r="U1191" s="675"/>
      <c r="V1191" s="675"/>
      <c r="W1191" s="675"/>
      <c r="X1191" s="675"/>
      <c r="Y1191" s="676"/>
      <c r="Z1191" s="676"/>
      <c r="AA1191" s="676"/>
      <c r="AB1191" s="677"/>
    </row>
    <row r="1192" spans="2:28" s="780" customFormat="1" hidden="1" x14ac:dyDescent="0.45">
      <c r="B1192" s="1692"/>
      <c r="C1192" s="1696" t="s">
        <v>328</v>
      </c>
      <c r="D1192" s="122" t="s">
        <v>326</v>
      </c>
      <c r="E1192" s="678"/>
      <c r="F1192" s="678"/>
      <c r="G1192" s="678"/>
      <c r="H1192" s="678"/>
      <c r="I1192" s="678"/>
      <c r="J1192" s="678"/>
      <c r="K1192" s="678"/>
      <c r="L1192" s="678"/>
      <c r="M1192" s="678"/>
      <c r="N1192" s="678"/>
      <c r="O1192" s="678"/>
      <c r="P1192" s="678"/>
      <c r="Q1192" s="678"/>
      <c r="R1192" s="678"/>
      <c r="S1192" s="678"/>
      <c r="T1192" s="678"/>
      <c r="U1192" s="678"/>
      <c r="V1192" s="678"/>
      <c r="W1192" s="678"/>
      <c r="X1192" s="678"/>
      <c r="Y1192" s="679"/>
      <c r="Z1192" s="679"/>
      <c r="AA1192" s="679"/>
      <c r="AB1192" s="680"/>
    </row>
    <row r="1193" spans="2:28" s="780" customFormat="1" hidden="1" x14ac:dyDescent="0.45">
      <c r="B1193" s="1692"/>
      <c r="C1193" s="1697"/>
      <c r="D1193" s="122" t="s">
        <v>327</v>
      </c>
      <c r="E1193" s="678"/>
      <c r="F1193" s="678"/>
      <c r="G1193" s="678"/>
      <c r="H1193" s="678"/>
      <c r="I1193" s="678"/>
      <c r="J1193" s="678"/>
      <c r="K1193" s="678"/>
      <c r="L1193" s="678"/>
      <c r="M1193" s="678"/>
      <c r="N1193" s="678"/>
      <c r="O1193" s="678"/>
      <c r="P1193" s="678"/>
      <c r="Q1193" s="678"/>
      <c r="R1193" s="678"/>
      <c r="S1193" s="678"/>
      <c r="T1193" s="678"/>
      <c r="U1193" s="678"/>
      <c r="V1193" s="678"/>
      <c r="W1193" s="678"/>
      <c r="X1193" s="681"/>
      <c r="Y1193" s="679"/>
      <c r="Z1193" s="679"/>
      <c r="AA1193" s="679"/>
      <c r="AB1193" s="680"/>
    </row>
    <row r="1194" spans="2:28" s="780" customFormat="1" hidden="1" x14ac:dyDescent="0.45">
      <c r="B1194" s="1692"/>
      <c r="C1194" s="1698" t="s">
        <v>329</v>
      </c>
      <c r="D1194" s="125" t="s">
        <v>326</v>
      </c>
      <c r="E1194" s="682"/>
      <c r="F1194" s="682"/>
      <c r="G1194" s="682"/>
      <c r="H1194" s="682"/>
      <c r="I1194" s="682"/>
      <c r="J1194" s="682"/>
      <c r="K1194" s="682"/>
      <c r="L1194" s="682"/>
      <c r="M1194" s="682"/>
      <c r="N1194" s="682"/>
      <c r="O1194" s="682"/>
      <c r="P1194" s="682"/>
      <c r="Q1194" s="682"/>
      <c r="R1194" s="682"/>
      <c r="S1194" s="682"/>
      <c r="T1194" s="682"/>
      <c r="U1194" s="682"/>
      <c r="V1194" s="682"/>
      <c r="W1194" s="682"/>
      <c r="X1194" s="682"/>
      <c r="Y1194" s="683"/>
      <c r="Z1194" s="683"/>
      <c r="AA1194" s="683"/>
      <c r="AB1194" s="684"/>
    </row>
    <row r="1195" spans="2:28" s="780" customFormat="1" hidden="1" x14ac:dyDescent="0.45">
      <c r="B1195" s="1692"/>
      <c r="C1195" s="1695"/>
      <c r="D1195" s="124" t="s">
        <v>327</v>
      </c>
      <c r="E1195" s="675"/>
      <c r="F1195" s="675"/>
      <c r="G1195" s="675"/>
      <c r="H1195" s="675"/>
      <c r="I1195" s="675"/>
      <c r="J1195" s="675"/>
      <c r="K1195" s="675"/>
      <c r="L1195" s="675"/>
      <c r="M1195" s="675"/>
      <c r="N1195" s="675"/>
      <c r="O1195" s="675"/>
      <c r="P1195" s="675"/>
      <c r="Q1195" s="675"/>
      <c r="R1195" s="675"/>
      <c r="S1195" s="675"/>
      <c r="T1195" s="675"/>
      <c r="U1195" s="675"/>
      <c r="V1195" s="675"/>
      <c r="W1195" s="675"/>
      <c r="X1195" s="675"/>
      <c r="Y1195" s="676"/>
      <c r="Z1195" s="676"/>
      <c r="AA1195" s="676"/>
      <c r="AB1195" s="677"/>
    </row>
    <row r="1196" spans="2:28" s="780" customFormat="1" hidden="1" x14ac:dyDescent="0.45">
      <c r="B1196" s="1692"/>
      <c r="C1196" s="1696" t="s">
        <v>330</v>
      </c>
      <c r="D1196" s="122" t="s">
        <v>326</v>
      </c>
      <c r="E1196" s="678"/>
      <c r="F1196" s="678"/>
      <c r="G1196" s="678"/>
      <c r="H1196" s="678"/>
      <c r="I1196" s="678"/>
      <c r="J1196" s="678"/>
      <c r="K1196" s="678"/>
      <c r="L1196" s="678"/>
      <c r="M1196" s="678"/>
      <c r="N1196" s="678"/>
      <c r="O1196" s="678"/>
      <c r="P1196" s="678"/>
      <c r="Q1196" s="678"/>
      <c r="R1196" s="678"/>
      <c r="S1196" s="678"/>
      <c r="T1196" s="678"/>
      <c r="U1196" s="678"/>
      <c r="V1196" s="678"/>
      <c r="W1196" s="678"/>
      <c r="X1196" s="678"/>
      <c r="Y1196" s="679"/>
      <c r="Z1196" s="679"/>
      <c r="AA1196" s="679"/>
      <c r="AB1196" s="680"/>
    </row>
    <row r="1197" spans="2:28" s="780" customFormat="1" hidden="1" x14ac:dyDescent="0.45">
      <c r="B1197" s="1692"/>
      <c r="C1197" s="1697"/>
      <c r="D1197" s="122" t="s">
        <v>327</v>
      </c>
      <c r="E1197" s="678"/>
      <c r="F1197" s="678"/>
      <c r="G1197" s="678"/>
      <c r="H1197" s="678"/>
      <c r="I1197" s="678"/>
      <c r="J1197" s="678"/>
      <c r="K1197" s="678"/>
      <c r="L1197" s="678"/>
      <c r="M1197" s="678"/>
      <c r="N1197" s="678"/>
      <c r="O1197" s="678"/>
      <c r="P1197" s="678"/>
      <c r="Q1197" s="678"/>
      <c r="R1197" s="678"/>
      <c r="S1197" s="678"/>
      <c r="T1197" s="678"/>
      <c r="U1197" s="678"/>
      <c r="V1197" s="678"/>
      <c r="W1197" s="678"/>
      <c r="X1197" s="681"/>
      <c r="Y1197" s="679"/>
      <c r="Z1197" s="679"/>
      <c r="AA1197" s="679"/>
      <c r="AB1197" s="680"/>
    </row>
    <row r="1198" spans="2:28" s="780" customFormat="1" hidden="1" x14ac:dyDescent="0.45">
      <c r="B1198" s="1692"/>
      <c r="C1198" s="1698" t="s">
        <v>331</v>
      </c>
      <c r="D1198" s="125" t="s">
        <v>326</v>
      </c>
      <c r="E1198" s="682"/>
      <c r="F1198" s="682"/>
      <c r="G1198" s="685"/>
      <c r="H1198" s="682"/>
      <c r="I1198" s="682"/>
      <c r="J1198" s="682"/>
      <c r="K1198" s="682"/>
      <c r="L1198" s="682"/>
      <c r="M1198" s="682"/>
      <c r="N1198" s="682"/>
      <c r="O1198" s="682"/>
      <c r="P1198" s="682"/>
      <c r="Q1198" s="682"/>
      <c r="R1198" s="682"/>
      <c r="S1198" s="682"/>
      <c r="T1198" s="682"/>
      <c r="U1198" s="682"/>
      <c r="V1198" s="682"/>
      <c r="W1198" s="682"/>
      <c r="X1198" s="682"/>
      <c r="Y1198" s="683"/>
      <c r="Z1198" s="683"/>
      <c r="AA1198" s="683"/>
      <c r="AB1198" s="684"/>
    </row>
    <row r="1199" spans="2:28" s="780" customFormat="1" hidden="1" x14ac:dyDescent="0.45">
      <c r="B1199" s="1692"/>
      <c r="C1199" s="1695"/>
      <c r="D1199" s="124" t="s">
        <v>327</v>
      </c>
      <c r="E1199" s="675"/>
      <c r="F1199" s="675"/>
      <c r="G1199" s="686"/>
      <c r="H1199" s="675"/>
      <c r="I1199" s="675"/>
      <c r="J1199" s="675"/>
      <c r="K1199" s="675"/>
      <c r="L1199" s="675"/>
      <c r="M1199" s="675"/>
      <c r="N1199" s="675"/>
      <c r="O1199" s="675"/>
      <c r="P1199" s="675"/>
      <c r="Q1199" s="675"/>
      <c r="R1199" s="675"/>
      <c r="S1199" s="675"/>
      <c r="T1199" s="675"/>
      <c r="U1199" s="675"/>
      <c r="V1199" s="675"/>
      <c r="W1199" s="675"/>
      <c r="X1199" s="675"/>
      <c r="Y1199" s="676"/>
      <c r="Z1199" s="676"/>
      <c r="AA1199" s="676"/>
      <c r="AB1199" s="677"/>
    </row>
    <row r="1200" spans="2:28" s="780" customFormat="1" hidden="1" x14ac:dyDescent="0.45">
      <c r="B1200" s="1692"/>
      <c r="C1200" s="1696" t="s">
        <v>332</v>
      </c>
      <c r="D1200" s="122" t="s">
        <v>326</v>
      </c>
      <c r="E1200" s="678"/>
      <c r="F1200" s="678"/>
      <c r="G1200" s="678"/>
      <c r="H1200" s="678"/>
      <c r="I1200" s="678"/>
      <c r="J1200" s="678"/>
      <c r="K1200" s="678"/>
      <c r="L1200" s="678"/>
      <c r="M1200" s="678"/>
      <c r="N1200" s="678"/>
      <c r="O1200" s="678"/>
      <c r="P1200" s="678"/>
      <c r="Q1200" s="678"/>
      <c r="R1200" s="678"/>
      <c r="S1200" s="678"/>
      <c r="T1200" s="678"/>
      <c r="U1200" s="678"/>
      <c r="V1200" s="678"/>
      <c r="W1200" s="679"/>
      <c r="X1200" s="679"/>
      <c r="Y1200" s="679"/>
      <c r="Z1200" s="679"/>
      <c r="AA1200" s="679"/>
      <c r="AB1200" s="680"/>
    </row>
    <row r="1201" spans="2:28" s="780" customFormat="1" hidden="1" x14ac:dyDescent="0.45">
      <c r="B1201" s="1692"/>
      <c r="C1201" s="1697"/>
      <c r="D1201" s="122" t="s">
        <v>327</v>
      </c>
      <c r="E1201" s="678"/>
      <c r="F1201" s="678"/>
      <c r="G1201" s="678"/>
      <c r="H1201" s="678"/>
      <c r="I1201" s="678"/>
      <c r="J1201" s="678"/>
      <c r="K1201" s="678"/>
      <c r="L1201" s="678"/>
      <c r="M1201" s="678"/>
      <c r="N1201" s="678"/>
      <c r="O1201" s="678"/>
      <c r="P1201" s="678"/>
      <c r="Q1201" s="678"/>
      <c r="R1201" s="678"/>
      <c r="S1201" s="678"/>
      <c r="T1201" s="678"/>
      <c r="U1201" s="678"/>
      <c r="V1201" s="678"/>
      <c r="W1201" s="678"/>
      <c r="X1201" s="678"/>
      <c r="Y1201" s="679"/>
      <c r="Z1201" s="679"/>
      <c r="AA1201" s="679"/>
      <c r="AB1201" s="680"/>
    </row>
    <row r="1202" spans="2:28" s="780" customFormat="1" hidden="1" x14ac:dyDescent="0.45">
      <c r="B1202" s="1692"/>
      <c r="C1202" s="1698" t="s">
        <v>333</v>
      </c>
      <c r="D1202" s="124" t="s">
        <v>326</v>
      </c>
      <c r="E1202" s="675"/>
      <c r="F1202" s="675"/>
      <c r="G1202" s="675"/>
      <c r="H1202" s="675"/>
      <c r="I1202" s="675"/>
      <c r="J1202" s="675"/>
      <c r="K1202" s="675"/>
      <c r="L1202" s="675"/>
      <c r="M1202" s="675"/>
      <c r="N1202" s="675"/>
      <c r="O1202" s="675"/>
      <c r="P1202" s="675"/>
      <c r="Q1202" s="675"/>
      <c r="R1202" s="675"/>
      <c r="S1202" s="675"/>
      <c r="T1202" s="675"/>
      <c r="U1202" s="675"/>
      <c r="V1202" s="675"/>
      <c r="W1202" s="676"/>
      <c r="X1202" s="676"/>
      <c r="Y1202" s="676"/>
      <c r="Z1202" s="676"/>
      <c r="AA1202" s="676"/>
      <c r="AB1202" s="677"/>
    </row>
    <row r="1203" spans="2:28" s="780" customFormat="1" hidden="1" x14ac:dyDescent="0.45">
      <c r="B1203" s="1693"/>
      <c r="C1203" s="1699"/>
      <c r="D1203" s="126" t="s">
        <v>327</v>
      </c>
      <c r="E1203" s="687"/>
      <c r="F1203" s="687"/>
      <c r="G1203" s="687"/>
      <c r="H1203" s="687"/>
      <c r="I1203" s="687"/>
      <c r="J1203" s="687"/>
      <c r="K1203" s="687"/>
      <c r="L1203" s="687"/>
      <c r="M1203" s="687"/>
      <c r="N1203" s="687"/>
      <c r="O1203" s="687"/>
      <c r="P1203" s="687"/>
      <c r="Q1203" s="687"/>
      <c r="R1203" s="687"/>
      <c r="S1203" s="687"/>
      <c r="T1203" s="687"/>
      <c r="U1203" s="687"/>
      <c r="V1203" s="687"/>
      <c r="W1203" s="687"/>
      <c r="X1203" s="687"/>
      <c r="Y1203" s="687"/>
      <c r="Z1203" s="687"/>
      <c r="AA1203" s="687"/>
      <c r="AB1203" s="688"/>
    </row>
    <row r="1204" spans="2:28" s="780" customFormat="1" hidden="1" x14ac:dyDescent="0.45"/>
    <row r="1205" spans="2:28" s="780" customFormat="1" hidden="1" x14ac:dyDescent="0.45">
      <c r="B1205" s="1688" t="s">
        <v>54</v>
      </c>
      <c r="C1205" s="1689"/>
      <c r="D1205" s="1690"/>
      <c r="E1205" s="779"/>
      <c r="F1205" s="779"/>
      <c r="G1205" s="779"/>
      <c r="H1205" s="779"/>
      <c r="I1205" s="779"/>
      <c r="J1205" s="779"/>
      <c r="K1205" s="779"/>
      <c r="L1205" s="779"/>
      <c r="M1205" s="779"/>
      <c r="N1205" s="779"/>
      <c r="O1205" s="779"/>
      <c r="P1205" s="779"/>
      <c r="Q1205" s="779"/>
      <c r="R1205" s="779"/>
      <c r="S1205" s="779"/>
      <c r="T1205" s="779"/>
      <c r="U1205" s="779"/>
      <c r="V1205" s="779"/>
      <c r="W1205" s="779"/>
      <c r="X1205" s="779"/>
      <c r="Y1205" s="779"/>
      <c r="Z1205" s="779"/>
      <c r="AA1205" s="779"/>
      <c r="AB1205" s="708"/>
    </row>
    <row r="1206" spans="2:28" s="780" customFormat="1" ht="15" hidden="1" customHeight="1" x14ac:dyDescent="0.45">
      <c r="B1206" s="1691" t="str">
        <f>CONCATENATE("Plan ", INDEX(plans_index,,(ROW(B1206)-6)/16), ": ", INDEX(plans_name,,(ROW(B1206)-6)/16))</f>
        <v xml:space="preserve">Plan 75: </v>
      </c>
      <c r="C1206" s="1694" t="s">
        <v>325</v>
      </c>
      <c r="D1206" s="123" t="s">
        <v>326</v>
      </c>
      <c r="E1206" s="672"/>
      <c r="F1206" s="672"/>
      <c r="G1206" s="672"/>
      <c r="H1206" s="673"/>
      <c r="I1206" s="672"/>
      <c r="J1206" s="672"/>
      <c r="K1206" s="672"/>
      <c r="L1206" s="672"/>
      <c r="M1206" s="672"/>
      <c r="N1206" s="672"/>
      <c r="O1206" s="672"/>
      <c r="P1206" s="672"/>
      <c r="Q1206" s="672"/>
      <c r="R1206" s="672"/>
      <c r="S1206" s="672"/>
      <c r="T1206" s="672"/>
      <c r="U1206" s="672"/>
      <c r="V1206" s="672"/>
      <c r="W1206" s="672"/>
      <c r="X1206" s="672"/>
      <c r="Y1206" s="672"/>
      <c r="Z1206" s="672"/>
      <c r="AA1206" s="672"/>
      <c r="AB1206" s="674"/>
    </row>
    <row r="1207" spans="2:28" s="780" customFormat="1" hidden="1" x14ac:dyDescent="0.45">
      <c r="B1207" s="1692"/>
      <c r="C1207" s="1695"/>
      <c r="D1207" s="124" t="s">
        <v>327</v>
      </c>
      <c r="E1207" s="675"/>
      <c r="F1207" s="675"/>
      <c r="G1207" s="675"/>
      <c r="H1207" s="675"/>
      <c r="I1207" s="675"/>
      <c r="J1207" s="675"/>
      <c r="K1207" s="675"/>
      <c r="L1207" s="675"/>
      <c r="M1207" s="675"/>
      <c r="N1207" s="675"/>
      <c r="O1207" s="675"/>
      <c r="P1207" s="675"/>
      <c r="Q1207" s="675"/>
      <c r="R1207" s="675"/>
      <c r="S1207" s="675"/>
      <c r="T1207" s="675"/>
      <c r="U1207" s="675"/>
      <c r="V1207" s="675"/>
      <c r="W1207" s="675"/>
      <c r="X1207" s="675"/>
      <c r="Y1207" s="676"/>
      <c r="Z1207" s="676"/>
      <c r="AA1207" s="676"/>
      <c r="AB1207" s="677"/>
    </row>
    <row r="1208" spans="2:28" s="780" customFormat="1" hidden="1" x14ac:dyDescent="0.45">
      <c r="B1208" s="1692"/>
      <c r="C1208" s="1696" t="s">
        <v>328</v>
      </c>
      <c r="D1208" s="122" t="s">
        <v>326</v>
      </c>
      <c r="E1208" s="678"/>
      <c r="F1208" s="678"/>
      <c r="G1208" s="678"/>
      <c r="H1208" s="678"/>
      <c r="I1208" s="678"/>
      <c r="J1208" s="678"/>
      <c r="K1208" s="678"/>
      <c r="L1208" s="678"/>
      <c r="M1208" s="678"/>
      <c r="N1208" s="678"/>
      <c r="O1208" s="678"/>
      <c r="P1208" s="678"/>
      <c r="Q1208" s="678"/>
      <c r="R1208" s="678"/>
      <c r="S1208" s="678"/>
      <c r="T1208" s="678"/>
      <c r="U1208" s="678"/>
      <c r="V1208" s="678"/>
      <c r="W1208" s="678"/>
      <c r="X1208" s="678"/>
      <c r="Y1208" s="679"/>
      <c r="Z1208" s="679"/>
      <c r="AA1208" s="679"/>
      <c r="AB1208" s="680"/>
    </row>
    <row r="1209" spans="2:28" s="780" customFormat="1" hidden="1" x14ac:dyDescent="0.45">
      <c r="B1209" s="1692"/>
      <c r="C1209" s="1697"/>
      <c r="D1209" s="122" t="s">
        <v>327</v>
      </c>
      <c r="E1209" s="678"/>
      <c r="F1209" s="678"/>
      <c r="G1209" s="678"/>
      <c r="H1209" s="678"/>
      <c r="I1209" s="678"/>
      <c r="J1209" s="678"/>
      <c r="K1209" s="678"/>
      <c r="L1209" s="678"/>
      <c r="M1209" s="678"/>
      <c r="N1209" s="678"/>
      <c r="O1209" s="678"/>
      <c r="P1209" s="678"/>
      <c r="Q1209" s="678"/>
      <c r="R1209" s="678"/>
      <c r="S1209" s="678"/>
      <c r="T1209" s="678"/>
      <c r="U1209" s="678"/>
      <c r="V1209" s="678"/>
      <c r="W1209" s="678"/>
      <c r="X1209" s="681"/>
      <c r="Y1209" s="679"/>
      <c r="Z1209" s="679"/>
      <c r="AA1209" s="679"/>
      <c r="AB1209" s="680"/>
    </row>
    <row r="1210" spans="2:28" s="780" customFormat="1" hidden="1" x14ac:dyDescent="0.45">
      <c r="B1210" s="1692"/>
      <c r="C1210" s="1698" t="s">
        <v>329</v>
      </c>
      <c r="D1210" s="125" t="s">
        <v>326</v>
      </c>
      <c r="E1210" s="682"/>
      <c r="F1210" s="682"/>
      <c r="G1210" s="682"/>
      <c r="H1210" s="682"/>
      <c r="I1210" s="682"/>
      <c r="J1210" s="682"/>
      <c r="K1210" s="682"/>
      <c r="L1210" s="682"/>
      <c r="M1210" s="682"/>
      <c r="N1210" s="682"/>
      <c r="O1210" s="682"/>
      <c r="P1210" s="682"/>
      <c r="Q1210" s="682"/>
      <c r="R1210" s="682"/>
      <c r="S1210" s="682"/>
      <c r="T1210" s="682"/>
      <c r="U1210" s="682"/>
      <c r="V1210" s="682"/>
      <c r="W1210" s="682"/>
      <c r="X1210" s="682"/>
      <c r="Y1210" s="683"/>
      <c r="Z1210" s="683"/>
      <c r="AA1210" s="683"/>
      <c r="AB1210" s="684"/>
    </row>
    <row r="1211" spans="2:28" s="780" customFormat="1" hidden="1" x14ac:dyDescent="0.45">
      <c r="B1211" s="1692"/>
      <c r="C1211" s="1695"/>
      <c r="D1211" s="124" t="s">
        <v>327</v>
      </c>
      <c r="E1211" s="675"/>
      <c r="F1211" s="675"/>
      <c r="G1211" s="675"/>
      <c r="H1211" s="675"/>
      <c r="I1211" s="675"/>
      <c r="J1211" s="675"/>
      <c r="K1211" s="675"/>
      <c r="L1211" s="675"/>
      <c r="M1211" s="675"/>
      <c r="N1211" s="675"/>
      <c r="O1211" s="675"/>
      <c r="P1211" s="675"/>
      <c r="Q1211" s="675"/>
      <c r="R1211" s="675"/>
      <c r="S1211" s="675"/>
      <c r="T1211" s="675"/>
      <c r="U1211" s="675"/>
      <c r="V1211" s="675"/>
      <c r="W1211" s="675"/>
      <c r="X1211" s="675"/>
      <c r="Y1211" s="676"/>
      <c r="Z1211" s="676"/>
      <c r="AA1211" s="676"/>
      <c r="AB1211" s="677"/>
    </row>
    <row r="1212" spans="2:28" s="780" customFormat="1" hidden="1" x14ac:dyDescent="0.45">
      <c r="B1212" s="1692"/>
      <c r="C1212" s="1696" t="s">
        <v>330</v>
      </c>
      <c r="D1212" s="122" t="s">
        <v>326</v>
      </c>
      <c r="E1212" s="678"/>
      <c r="F1212" s="678"/>
      <c r="G1212" s="678"/>
      <c r="H1212" s="678"/>
      <c r="I1212" s="678"/>
      <c r="J1212" s="678"/>
      <c r="K1212" s="678"/>
      <c r="L1212" s="678"/>
      <c r="M1212" s="678"/>
      <c r="N1212" s="678"/>
      <c r="O1212" s="678"/>
      <c r="P1212" s="678"/>
      <c r="Q1212" s="678"/>
      <c r="R1212" s="678"/>
      <c r="S1212" s="678"/>
      <c r="T1212" s="678"/>
      <c r="U1212" s="678"/>
      <c r="V1212" s="678"/>
      <c r="W1212" s="678"/>
      <c r="X1212" s="678"/>
      <c r="Y1212" s="679"/>
      <c r="Z1212" s="679"/>
      <c r="AA1212" s="679"/>
      <c r="AB1212" s="680"/>
    </row>
    <row r="1213" spans="2:28" s="780" customFormat="1" hidden="1" x14ac:dyDescent="0.45">
      <c r="B1213" s="1692"/>
      <c r="C1213" s="1697"/>
      <c r="D1213" s="122" t="s">
        <v>327</v>
      </c>
      <c r="E1213" s="678"/>
      <c r="F1213" s="678"/>
      <c r="G1213" s="678"/>
      <c r="H1213" s="678"/>
      <c r="I1213" s="678"/>
      <c r="J1213" s="678"/>
      <c r="K1213" s="678"/>
      <c r="L1213" s="678"/>
      <c r="M1213" s="678"/>
      <c r="N1213" s="678"/>
      <c r="O1213" s="678"/>
      <c r="P1213" s="678"/>
      <c r="Q1213" s="678"/>
      <c r="R1213" s="678"/>
      <c r="S1213" s="678"/>
      <c r="T1213" s="678"/>
      <c r="U1213" s="678"/>
      <c r="V1213" s="678"/>
      <c r="W1213" s="678"/>
      <c r="X1213" s="681"/>
      <c r="Y1213" s="679"/>
      <c r="Z1213" s="679"/>
      <c r="AA1213" s="679"/>
      <c r="AB1213" s="680"/>
    </row>
    <row r="1214" spans="2:28" s="780" customFormat="1" hidden="1" x14ac:dyDescent="0.45">
      <c r="B1214" s="1692"/>
      <c r="C1214" s="1698" t="s">
        <v>331</v>
      </c>
      <c r="D1214" s="125" t="s">
        <v>326</v>
      </c>
      <c r="E1214" s="682"/>
      <c r="F1214" s="682"/>
      <c r="G1214" s="685"/>
      <c r="H1214" s="682"/>
      <c r="I1214" s="682"/>
      <c r="J1214" s="682"/>
      <c r="K1214" s="682"/>
      <c r="L1214" s="682"/>
      <c r="M1214" s="682"/>
      <c r="N1214" s="682"/>
      <c r="O1214" s="682"/>
      <c r="P1214" s="682"/>
      <c r="Q1214" s="682"/>
      <c r="R1214" s="682"/>
      <c r="S1214" s="682"/>
      <c r="T1214" s="682"/>
      <c r="U1214" s="682"/>
      <c r="V1214" s="682"/>
      <c r="W1214" s="682"/>
      <c r="X1214" s="682"/>
      <c r="Y1214" s="683"/>
      <c r="Z1214" s="683"/>
      <c r="AA1214" s="683"/>
      <c r="AB1214" s="684"/>
    </row>
    <row r="1215" spans="2:28" s="780" customFormat="1" hidden="1" x14ac:dyDescent="0.45">
      <c r="B1215" s="1692"/>
      <c r="C1215" s="1695"/>
      <c r="D1215" s="124" t="s">
        <v>327</v>
      </c>
      <c r="E1215" s="675"/>
      <c r="F1215" s="675"/>
      <c r="G1215" s="686"/>
      <c r="H1215" s="675"/>
      <c r="I1215" s="675"/>
      <c r="J1215" s="675"/>
      <c r="K1215" s="675"/>
      <c r="L1215" s="675"/>
      <c r="M1215" s="675"/>
      <c r="N1215" s="675"/>
      <c r="O1215" s="675"/>
      <c r="P1215" s="675"/>
      <c r="Q1215" s="675"/>
      <c r="R1215" s="675"/>
      <c r="S1215" s="675"/>
      <c r="T1215" s="675"/>
      <c r="U1215" s="675"/>
      <c r="V1215" s="675"/>
      <c r="W1215" s="675"/>
      <c r="X1215" s="675"/>
      <c r="Y1215" s="676"/>
      <c r="Z1215" s="676"/>
      <c r="AA1215" s="676"/>
      <c r="AB1215" s="677"/>
    </row>
    <row r="1216" spans="2:28" s="780" customFormat="1" hidden="1" x14ac:dyDescent="0.45">
      <c r="B1216" s="1692"/>
      <c r="C1216" s="1696" t="s">
        <v>332</v>
      </c>
      <c r="D1216" s="122" t="s">
        <v>326</v>
      </c>
      <c r="E1216" s="678"/>
      <c r="F1216" s="678"/>
      <c r="G1216" s="678"/>
      <c r="H1216" s="678"/>
      <c r="I1216" s="678"/>
      <c r="J1216" s="678"/>
      <c r="K1216" s="678"/>
      <c r="L1216" s="678"/>
      <c r="M1216" s="678"/>
      <c r="N1216" s="678"/>
      <c r="O1216" s="678"/>
      <c r="P1216" s="678"/>
      <c r="Q1216" s="678"/>
      <c r="R1216" s="678"/>
      <c r="S1216" s="678"/>
      <c r="T1216" s="678"/>
      <c r="U1216" s="678"/>
      <c r="V1216" s="678"/>
      <c r="W1216" s="679"/>
      <c r="X1216" s="679"/>
      <c r="Y1216" s="679"/>
      <c r="Z1216" s="679"/>
      <c r="AA1216" s="679"/>
      <c r="AB1216" s="680"/>
    </row>
    <row r="1217" spans="2:28" s="780" customFormat="1" hidden="1" x14ac:dyDescent="0.45">
      <c r="B1217" s="1692"/>
      <c r="C1217" s="1697"/>
      <c r="D1217" s="122" t="s">
        <v>327</v>
      </c>
      <c r="E1217" s="678"/>
      <c r="F1217" s="678"/>
      <c r="G1217" s="678"/>
      <c r="H1217" s="678"/>
      <c r="I1217" s="678"/>
      <c r="J1217" s="678"/>
      <c r="K1217" s="678"/>
      <c r="L1217" s="678"/>
      <c r="M1217" s="678"/>
      <c r="N1217" s="678"/>
      <c r="O1217" s="678"/>
      <c r="P1217" s="678"/>
      <c r="Q1217" s="678"/>
      <c r="R1217" s="678"/>
      <c r="S1217" s="678"/>
      <c r="T1217" s="678"/>
      <c r="U1217" s="678"/>
      <c r="V1217" s="678"/>
      <c r="W1217" s="678"/>
      <c r="X1217" s="678"/>
      <c r="Y1217" s="679"/>
      <c r="Z1217" s="679"/>
      <c r="AA1217" s="679"/>
      <c r="AB1217" s="680"/>
    </row>
    <row r="1218" spans="2:28" s="780" customFormat="1" hidden="1" x14ac:dyDescent="0.45">
      <c r="B1218" s="1692"/>
      <c r="C1218" s="1698" t="s">
        <v>333</v>
      </c>
      <c r="D1218" s="124" t="s">
        <v>326</v>
      </c>
      <c r="E1218" s="675"/>
      <c r="F1218" s="675"/>
      <c r="G1218" s="675"/>
      <c r="H1218" s="675"/>
      <c r="I1218" s="675"/>
      <c r="J1218" s="675"/>
      <c r="K1218" s="675"/>
      <c r="L1218" s="675"/>
      <c r="M1218" s="675"/>
      <c r="N1218" s="675"/>
      <c r="O1218" s="675"/>
      <c r="P1218" s="675"/>
      <c r="Q1218" s="675"/>
      <c r="R1218" s="675"/>
      <c r="S1218" s="675"/>
      <c r="T1218" s="675"/>
      <c r="U1218" s="675"/>
      <c r="V1218" s="675"/>
      <c r="W1218" s="676"/>
      <c r="X1218" s="676"/>
      <c r="Y1218" s="676"/>
      <c r="Z1218" s="676"/>
      <c r="AA1218" s="676"/>
      <c r="AB1218" s="677"/>
    </row>
    <row r="1219" spans="2:28" s="780" customFormat="1" hidden="1" x14ac:dyDescent="0.45">
      <c r="B1219" s="1693"/>
      <c r="C1219" s="1699"/>
      <c r="D1219" s="126" t="s">
        <v>327</v>
      </c>
      <c r="E1219" s="687"/>
      <c r="F1219" s="687"/>
      <c r="G1219" s="687"/>
      <c r="H1219" s="687"/>
      <c r="I1219" s="687"/>
      <c r="J1219" s="687"/>
      <c r="K1219" s="687"/>
      <c r="L1219" s="687"/>
      <c r="M1219" s="687"/>
      <c r="N1219" s="687"/>
      <c r="O1219" s="687"/>
      <c r="P1219" s="687"/>
      <c r="Q1219" s="687"/>
      <c r="R1219" s="687"/>
      <c r="S1219" s="687"/>
      <c r="T1219" s="687"/>
      <c r="U1219" s="687"/>
      <c r="V1219" s="687"/>
      <c r="W1219" s="687"/>
      <c r="X1219" s="687"/>
      <c r="Y1219" s="687"/>
      <c r="Z1219" s="687"/>
      <c r="AA1219" s="687"/>
      <c r="AB1219" s="688"/>
    </row>
    <row r="1220" spans="2:28" s="780" customFormat="1" hidden="1" x14ac:dyDescent="0.45"/>
    <row r="1221" spans="2:28" s="780" customFormat="1" hidden="1" x14ac:dyDescent="0.45">
      <c r="B1221" s="1688" t="s">
        <v>54</v>
      </c>
      <c r="C1221" s="1689"/>
      <c r="D1221" s="1690"/>
      <c r="E1221" s="779"/>
      <c r="F1221" s="779"/>
      <c r="G1221" s="779"/>
      <c r="H1221" s="779"/>
      <c r="I1221" s="779"/>
      <c r="J1221" s="779"/>
      <c r="K1221" s="779"/>
      <c r="L1221" s="779"/>
      <c r="M1221" s="779"/>
      <c r="N1221" s="779"/>
      <c r="O1221" s="779"/>
      <c r="P1221" s="779"/>
      <c r="Q1221" s="779"/>
      <c r="R1221" s="779"/>
      <c r="S1221" s="779"/>
      <c r="T1221" s="779"/>
      <c r="U1221" s="779"/>
      <c r="V1221" s="779"/>
      <c r="W1221" s="779"/>
      <c r="X1221" s="779"/>
      <c r="Y1221" s="779"/>
      <c r="Z1221" s="779"/>
      <c r="AA1221" s="779"/>
      <c r="AB1221" s="708"/>
    </row>
    <row r="1222" spans="2:28" s="780" customFormat="1" ht="15" hidden="1" customHeight="1" x14ac:dyDescent="0.45">
      <c r="B1222" s="1691" t="str">
        <f>CONCATENATE("Plan ", INDEX(plans_index,,(ROW(B1222)-6)/16), ": ", INDEX(plans_name,,(ROW(B1222)-6)/16))</f>
        <v xml:space="preserve">Plan 76: </v>
      </c>
      <c r="C1222" s="1694" t="s">
        <v>325</v>
      </c>
      <c r="D1222" s="123" t="s">
        <v>326</v>
      </c>
      <c r="E1222" s="672"/>
      <c r="F1222" s="672"/>
      <c r="G1222" s="672"/>
      <c r="H1222" s="673"/>
      <c r="I1222" s="672"/>
      <c r="J1222" s="672"/>
      <c r="K1222" s="672"/>
      <c r="L1222" s="672"/>
      <c r="M1222" s="672"/>
      <c r="N1222" s="672"/>
      <c r="O1222" s="672"/>
      <c r="P1222" s="672"/>
      <c r="Q1222" s="672"/>
      <c r="R1222" s="672"/>
      <c r="S1222" s="672"/>
      <c r="T1222" s="672"/>
      <c r="U1222" s="672"/>
      <c r="V1222" s="672"/>
      <c r="W1222" s="672"/>
      <c r="X1222" s="672"/>
      <c r="Y1222" s="672"/>
      <c r="Z1222" s="672"/>
      <c r="AA1222" s="672"/>
      <c r="AB1222" s="674"/>
    </row>
    <row r="1223" spans="2:28" s="780" customFormat="1" hidden="1" x14ac:dyDescent="0.45">
      <c r="B1223" s="1692"/>
      <c r="C1223" s="1695"/>
      <c r="D1223" s="124" t="s">
        <v>327</v>
      </c>
      <c r="E1223" s="675"/>
      <c r="F1223" s="675"/>
      <c r="G1223" s="675"/>
      <c r="H1223" s="675"/>
      <c r="I1223" s="675"/>
      <c r="J1223" s="675"/>
      <c r="K1223" s="675"/>
      <c r="L1223" s="675"/>
      <c r="M1223" s="675"/>
      <c r="N1223" s="675"/>
      <c r="O1223" s="675"/>
      <c r="P1223" s="675"/>
      <c r="Q1223" s="675"/>
      <c r="R1223" s="675"/>
      <c r="S1223" s="675"/>
      <c r="T1223" s="675"/>
      <c r="U1223" s="675"/>
      <c r="V1223" s="675"/>
      <c r="W1223" s="675"/>
      <c r="X1223" s="675"/>
      <c r="Y1223" s="676"/>
      <c r="Z1223" s="676"/>
      <c r="AA1223" s="676"/>
      <c r="AB1223" s="677"/>
    </row>
    <row r="1224" spans="2:28" s="780" customFormat="1" hidden="1" x14ac:dyDescent="0.45">
      <c r="B1224" s="1692"/>
      <c r="C1224" s="1696" t="s">
        <v>328</v>
      </c>
      <c r="D1224" s="122" t="s">
        <v>326</v>
      </c>
      <c r="E1224" s="678"/>
      <c r="F1224" s="678"/>
      <c r="G1224" s="678"/>
      <c r="H1224" s="678"/>
      <c r="I1224" s="678"/>
      <c r="J1224" s="678"/>
      <c r="K1224" s="678"/>
      <c r="L1224" s="678"/>
      <c r="M1224" s="678"/>
      <c r="N1224" s="678"/>
      <c r="O1224" s="678"/>
      <c r="P1224" s="678"/>
      <c r="Q1224" s="678"/>
      <c r="R1224" s="678"/>
      <c r="S1224" s="678"/>
      <c r="T1224" s="678"/>
      <c r="U1224" s="678"/>
      <c r="V1224" s="678"/>
      <c r="W1224" s="678"/>
      <c r="X1224" s="678"/>
      <c r="Y1224" s="679"/>
      <c r="Z1224" s="679"/>
      <c r="AA1224" s="679"/>
      <c r="AB1224" s="680"/>
    </row>
    <row r="1225" spans="2:28" s="780" customFormat="1" hidden="1" x14ac:dyDescent="0.45">
      <c r="B1225" s="1692"/>
      <c r="C1225" s="1697"/>
      <c r="D1225" s="122" t="s">
        <v>327</v>
      </c>
      <c r="E1225" s="678"/>
      <c r="F1225" s="678"/>
      <c r="G1225" s="678"/>
      <c r="H1225" s="678"/>
      <c r="I1225" s="678"/>
      <c r="J1225" s="678"/>
      <c r="K1225" s="678"/>
      <c r="L1225" s="678"/>
      <c r="M1225" s="678"/>
      <c r="N1225" s="678"/>
      <c r="O1225" s="678"/>
      <c r="P1225" s="678"/>
      <c r="Q1225" s="678"/>
      <c r="R1225" s="678"/>
      <c r="S1225" s="678"/>
      <c r="T1225" s="678"/>
      <c r="U1225" s="678"/>
      <c r="V1225" s="678"/>
      <c r="W1225" s="678"/>
      <c r="X1225" s="681"/>
      <c r="Y1225" s="679"/>
      <c r="Z1225" s="679"/>
      <c r="AA1225" s="679"/>
      <c r="AB1225" s="680"/>
    </row>
    <row r="1226" spans="2:28" s="780" customFormat="1" hidden="1" x14ac:dyDescent="0.45">
      <c r="B1226" s="1692"/>
      <c r="C1226" s="1698" t="s">
        <v>329</v>
      </c>
      <c r="D1226" s="125" t="s">
        <v>326</v>
      </c>
      <c r="E1226" s="682"/>
      <c r="F1226" s="682"/>
      <c r="G1226" s="682"/>
      <c r="H1226" s="682"/>
      <c r="I1226" s="682"/>
      <c r="J1226" s="682"/>
      <c r="K1226" s="682"/>
      <c r="L1226" s="682"/>
      <c r="M1226" s="682"/>
      <c r="N1226" s="682"/>
      <c r="O1226" s="682"/>
      <c r="P1226" s="682"/>
      <c r="Q1226" s="682"/>
      <c r="R1226" s="682"/>
      <c r="S1226" s="682"/>
      <c r="T1226" s="682"/>
      <c r="U1226" s="682"/>
      <c r="V1226" s="682"/>
      <c r="W1226" s="682"/>
      <c r="X1226" s="682"/>
      <c r="Y1226" s="683"/>
      <c r="Z1226" s="683"/>
      <c r="AA1226" s="683"/>
      <c r="AB1226" s="684"/>
    </row>
    <row r="1227" spans="2:28" s="780" customFormat="1" hidden="1" x14ac:dyDescent="0.45">
      <c r="B1227" s="1692"/>
      <c r="C1227" s="1695"/>
      <c r="D1227" s="124" t="s">
        <v>327</v>
      </c>
      <c r="E1227" s="675"/>
      <c r="F1227" s="675"/>
      <c r="G1227" s="675"/>
      <c r="H1227" s="675"/>
      <c r="I1227" s="675"/>
      <c r="J1227" s="675"/>
      <c r="K1227" s="675"/>
      <c r="L1227" s="675"/>
      <c r="M1227" s="675"/>
      <c r="N1227" s="675"/>
      <c r="O1227" s="675"/>
      <c r="P1227" s="675"/>
      <c r="Q1227" s="675"/>
      <c r="R1227" s="675"/>
      <c r="S1227" s="675"/>
      <c r="T1227" s="675"/>
      <c r="U1227" s="675"/>
      <c r="V1227" s="675"/>
      <c r="W1227" s="675"/>
      <c r="X1227" s="675"/>
      <c r="Y1227" s="676"/>
      <c r="Z1227" s="676"/>
      <c r="AA1227" s="676"/>
      <c r="AB1227" s="677"/>
    </row>
    <row r="1228" spans="2:28" s="780" customFormat="1" hidden="1" x14ac:dyDescent="0.45">
      <c r="B1228" s="1692"/>
      <c r="C1228" s="1696" t="s">
        <v>330</v>
      </c>
      <c r="D1228" s="122" t="s">
        <v>326</v>
      </c>
      <c r="E1228" s="678"/>
      <c r="F1228" s="678"/>
      <c r="G1228" s="678"/>
      <c r="H1228" s="678"/>
      <c r="I1228" s="678"/>
      <c r="J1228" s="678"/>
      <c r="K1228" s="678"/>
      <c r="L1228" s="678"/>
      <c r="M1228" s="678"/>
      <c r="N1228" s="678"/>
      <c r="O1228" s="678"/>
      <c r="P1228" s="678"/>
      <c r="Q1228" s="678"/>
      <c r="R1228" s="678"/>
      <c r="S1228" s="678"/>
      <c r="T1228" s="678"/>
      <c r="U1228" s="678"/>
      <c r="V1228" s="678"/>
      <c r="W1228" s="678"/>
      <c r="X1228" s="678"/>
      <c r="Y1228" s="679"/>
      <c r="Z1228" s="679"/>
      <c r="AA1228" s="679"/>
      <c r="AB1228" s="680"/>
    </row>
    <row r="1229" spans="2:28" s="780" customFormat="1" hidden="1" x14ac:dyDescent="0.45">
      <c r="B1229" s="1692"/>
      <c r="C1229" s="1697"/>
      <c r="D1229" s="122" t="s">
        <v>327</v>
      </c>
      <c r="E1229" s="678"/>
      <c r="F1229" s="678"/>
      <c r="G1229" s="678"/>
      <c r="H1229" s="678"/>
      <c r="I1229" s="678"/>
      <c r="J1229" s="678"/>
      <c r="K1229" s="678"/>
      <c r="L1229" s="678"/>
      <c r="M1229" s="678"/>
      <c r="N1229" s="678"/>
      <c r="O1229" s="678"/>
      <c r="P1229" s="678"/>
      <c r="Q1229" s="678"/>
      <c r="R1229" s="678"/>
      <c r="S1229" s="678"/>
      <c r="T1229" s="678"/>
      <c r="U1229" s="678"/>
      <c r="V1229" s="678"/>
      <c r="W1229" s="678"/>
      <c r="X1229" s="681"/>
      <c r="Y1229" s="679"/>
      <c r="Z1229" s="679"/>
      <c r="AA1229" s="679"/>
      <c r="AB1229" s="680"/>
    </row>
    <row r="1230" spans="2:28" s="780" customFormat="1" hidden="1" x14ac:dyDescent="0.45">
      <c r="B1230" s="1692"/>
      <c r="C1230" s="1698" t="s">
        <v>331</v>
      </c>
      <c r="D1230" s="125" t="s">
        <v>326</v>
      </c>
      <c r="E1230" s="682"/>
      <c r="F1230" s="682"/>
      <c r="G1230" s="685"/>
      <c r="H1230" s="682"/>
      <c r="I1230" s="682"/>
      <c r="J1230" s="682"/>
      <c r="K1230" s="682"/>
      <c r="L1230" s="682"/>
      <c r="M1230" s="682"/>
      <c r="N1230" s="682"/>
      <c r="O1230" s="682"/>
      <c r="P1230" s="682"/>
      <c r="Q1230" s="682"/>
      <c r="R1230" s="682"/>
      <c r="S1230" s="682"/>
      <c r="T1230" s="682"/>
      <c r="U1230" s="682"/>
      <c r="V1230" s="682"/>
      <c r="W1230" s="682"/>
      <c r="X1230" s="682"/>
      <c r="Y1230" s="683"/>
      <c r="Z1230" s="683"/>
      <c r="AA1230" s="683"/>
      <c r="AB1230" s="684"/>
    </row>
    <row r="1231" spans="2:28" s="780" customFormat="1" hidden="1" x14ac:dyDescent="0.45">
      <c r="B1231" s="1692"/>
      <c r="C1231" s="1695"/>
      <c r="D1231" s="124" t="s">
        <v>327</v>
      </c>
      <c r="E1231" s="675"/>
      <c r="F1231" s="675"/>
      <c r="G1231" s="686"/>
      <c r="H1231" s="675"/>
      <c r="I1231" s="675"/>
      <c r="J1231" s="675"/>
      <c r="K1231" s="675"/>
      <c r="L1231" s="675"/>
      <c r="M1231" s="675"/>
      <c r="N1231" s="675"/>
      <c r="O1231" s="675"/>
      <c r="P1231" s="675"/>
      <c r="Q1231" s="675"/>
      <c r="R1231" s="675"/>
      <c r="S1231" s="675"/>
      <c r="T1231" s="675"/>
      <c r="U1231" s="675"/>
      <c r="V1231" s="675"/>
      <c r="W1231" s="675"/>
      <c r="X1231" s="675"/>
      <c r="Y1231" s="676"/>
      <c r="Z1231" s="676"/>
      <c r="AA1231" s="676"/>
      <c r="AB1231" s="677"/>
    </row>
    <row r="1232" spans="2:28" s="780" customFormat="1" hidden="1" x14ac:dyDescent="0.45">
      <c r="B1232" s="1692"/>
      <c r="C1232" s="1696" t="s">
        <v>332</v>
      </c>
      <c r="D1232" s="122" t="s">
        <v>326</v>
      </c>
      <c r="E1232" s="678"/>
      <c r="F1232" s="678"/>
      <c r="G1232" s="678"/>
      <c r="H1232" s="678"/>
      <c r="I1232" s="678"/>
      <c r="J1232" s="678"/>
      <c r="K1232" s="678"/>
      <c r="L1232" s="678"/>
      <c r="M1232" s="678"/>
      <c r="N1232" s="678"/>
      <c r="O1232" s="678"/>
      <c r="P1232" s="678"/>
      <c r="Q1232" s="678"/>
      <c r="R1232" s="678"/>
      <c r="S1232" s="678"/>
      <c r="T1232" s="678"/>
      <c r="U1232" s="678"/>
      <c r="V1232" s="678"/>
      <c r="W1232" s="679"/>
      <c r="X1232" s="679"/>
      <c r="Y1232" s="679"/>
      <c r="Z1232" s="679"/>
      <c r="AA1232" s="679"/>
      <c r="AB1232" s="680"/>
    </row>
    <row r="1233" spans="2:28" s="780" customFormat="1" hidden="1" x14ac:dyDescent="0.45">
      <c r="B1233" s="1692"/>
      <c r="C1233" s="1697"/>
      <c r="D1233" s="122" t="s">
        <v>327</v>
      </c>
      <c r="E1233" s="678"/>
      <c r="F1233" s="678"/>
      <c r="G1233" s="678"/>
      <c r="H1233" s="678"/>
      <c r="I1233" s="678"/>
      <c r="J1233" s="678"/>
      <c r="K1233" s="678"/>
      <c r="L1233" s="678"/>
      <c r="M1233" s="678"/>
      <c r="N1233" s="678"/>
      <c r="O1233" s="678"/>
      <c r="P1233" s="678"/>
      <c r="Q1233" s="678"/>
      <c r="R1233" s="678"/>
      <c r="S1233" s="678"/>
      <c r="T1233" s="678"/>
      <c r="U1233" s="678"/>
      <c r="V1233" s="678"/>
      <c r="W1233" s="678"/>
      <c r="X1233" s="678"/>
      <c r="Y1233" s="679"/>
      <c r="Z1233" s="679"/>
      <c r="AA1233" s="679"/>
      <c r="AB1233" s="680"/>
    </row>
    <row r="1234" spans="2:28" s="780" customFormat="1" hidden="1" x14ac:dyDescent="0.45">
      <c r="B1234" s="1692"/>
      <c r="C1234" s="1698" t="s">
        <v>333</v>
      </c>
      <c r="D1234" s="124" t="s">
        <v>326</v>
      </c>
      <c r="E1234" s="675"/>
      <c r="F1234" s="675"/>
      <c r="G1234" s="675"/>
      <c r="H1234" s="675"/>
      <c r="I1234" s="675"/>
      <c r="J1234" s="675"/>
      <c r="K1234" s="675"/>
      <c r="L1234" s="675"/>
      <c r="M1234" s="675"/>
      <c r="N1234" s="675"/>
      <c r="O1234" s="675"/>
      <c r="P1234" s="675"/>
      <c r="Q1234" s="675"/>
      <c r="R1234" s="675"/>
      <c r="S1234" s="675"/>
      <c r="T1234" s="675"/>
      <c r="U1234" s="675"/>
      <c r="V1234" s="675"/>
      <c r="W1234" s="676"/>
      <c r="X1234" s="676"/>
      <c r="Y1234" s="676"/>
      <c r="Z1234" s="676"/>
      <c r="AA1234" s="676"/>
      <c r="AB1234" s="677"/>
    </row>
    <row r="1235" spans="2:28" s="780" customFormat="1" hidden="1" x14ac:dyDescent="0.45">
      <c r="B1235" s="1693"/>
      <c r="C1235" s="1699"/>
      <c r="D1235" s="126" t="s">
        <v>327</v>
      </c>
      <c r="E1235" s="687"/>
      <c r="F1235" s="687"/>
      <c r="G1235" s="687"/>
      <c r="H1235" s="687"/>
      <c r="I1235" s="687"/>
      <c r="J1235" s="687"/>
      <c r="K1235" s="687"/>
      <c r="L1235" s="687"/>
      <c r="M1235" s="687"/>
      <c r="N1235" s="687"/>
      <c r="O1235" s="687"/>
      <c r="P1235" s="687"/>
      <c r="Q1235" s="687"/>
      <c r="R1235" s="687"/>
      <c r="S1235" s="687"/>
      <c r="T1235" s="687"/>
      <c r="U1235" s="687"/>
      <c r="V1235" s="687"/>
      <c r="W1235" s="687"/>
      <c r="X1235" s="687"/>
      <c r="Y1235" s="687"/>
      <c r="Z1235" s="687"/>
      <c r="AA1235" s="687"/>
      <c r="AB1235" s="688"/>
    </row>
    <row r="1236" spans="2:28" s="780" customFormat="1" hidden="1" x14ac:dyDescent="0.45"/>
    <row r="1237" spans="2:28" s="780" customFormat="1" hidden="1" x14ac:dyDescent="0.45">
      <c r="B1237" s="1688" t="s">
        <v>54</v>
      </c>
      <c r="C1237" s="1689"/>
      <c r="D1237" s="1690"/>
      <c r="E1237" s="779"/>
      <c r="F1237" s="779"/>
      <c r="G1237" s="779"/>
      <c r="H1237" s="779"/>
      <c r="I1237" s="779"/>
      <c r="J1237" s="779"/>
      <c r="K1237" s="779"/>
      <c r="L1237" s="779"/>
      <c r="M1237" s="779"/>
      <c r="N1237" s="779"/>
      <c r="O1237" s="779"/>
      <c r="P1237" s="779"/>
      <c r="Q1237" s="779"/>
      <c r="R1237" s="779"/>
      <c r="S1237" s="779"/>
      <c r="T1237" s="779"/>
      <c r="U1237" s="779"/>
      <c r="V1237" s="779"/>
      <c r="W1237" s="779"/>
      <c r="X1237" s="779"/>
      <c r="Y1237" s="779"/>
      <c r="Z1237" s="779"/>
      <c r="AA1237" s="779"/>
      <c r="AB1237" s="708"/>
    </row>
    <row r="1238" spans="2:28" s="780" customFormat="1" ht="15" hidden="1" customHeight="1" x14ac:dyDescent="0.45">
      <c r="B1238" s="1691" t="str">
        <f>CONCATENATE("Plan ", INDEX(plans_index,,(ROW(B1238)-6)/16), ": ", INDEX(plans_name,,(ROW(B1238)-6)/16))</f>
        <v xml:space="preserve">Plan 77: </v>
      </c>
      <c r="C1238" s="1694" t="s">
        <v>325</v>
      </c>
      <c r="D1238" s="123" t="s">
        <v>326</v>
      </c>
      <c r="E1238" s="672"/>
      <c r="F1238" s="672"/>
      <c r="G1238" s="672"/>
      <c r="H1238" s="673"/>
      <c r="I1238" s="672"/>
      <c r="J1238" s="672"/>
      <c r="K1238" s="672"/>
      <c r="L1238" s="672"/>
      <c r="M1238" s="672"/>
      <c r="N1238" s="672"/>
      <c r="O1238" s="672"/>
      <c r="P1238" s="672"/>
      <c r="Q1238" s="672"/>
      <c r="R1238" s="672"/>
      <c r="S1238" s="672"/>
      <c r="T1238" s="672"/>
      <c r="U1238" s="672"/>
      <c r="V1238" s="672"/>
      <c r="W1238" s="672"/>
      <c r="X1238" s="672"/>
      <c r="Y1238" s="672"/>
      <c r="Z1238" s="672"/>
      <c r="AA1238" s="672"/>
      <c r="AB1238" s="674"/>
    </row>
    <row r="1239" spans="2:28" s="780" customFormat="1" hidden="1" x14ac:dyDescent="0.45">
      <c r="B1239" s="1692"/>
      <c r="C1239" s="1695"/>
      <c r="D1239" s="124" t="s">
        <v>327</v>
      </c>
      <c r="E1239" s="675"/>
      <c r="F1239" s="675"/>
      <c r="G1239" s="675"/>
      <c r="H1239" s="675"/>
      <c r="I1239" s="675"/>
      <c r="J1239" s="675"/>
      <c r="K1239" s="675"/>
      <c r="L1239" s="675"/>
      <c r="M1239" s="675"/>
      <c r="N1239" s="675"/>
      <c r="O1239" s="675"/>
      <c r="P1239" s="675"/>
      <c r="Q1239" s="675"/>
      <c r="R1239" s="675"/>
      <c r="S1239" s="675"/>
      <c r="T1239" s="675"/>
      <c r="U1239" s="675"/>
      <c r="V1239" s="675"/>
      <c r="W1239" s="675"/>
      <c r="X1239" s="675"/>
      <c r="Y1239" s="676"/>
      <c r="Z1239" s="676"/>
      <c r="AA1239" s="676"/>
      <c r="AB1239" s="677"/>
    </row>
    <row r="1240" spans="2:28" s="780" customFormat="1" hidden="1" x14ac:dyDescent="0.45">
      <c r="B1240" s="1692"/>
      <c r="C1240" s="1696" t="s">
        <v>328</v>
      </c>
      <c r="D1240" s="122" t="s">
        <v>326</v>
      </c>
      <c r="E1240" s="678"/>
      <c r="F1240" s="678"/>
      <c r="G1240" s="678"/>
      <c r="H1240" s="678"/>
      <c r="I1240" s="678"/>
      <c r="J1240" s="678"/>
      <c r="K1240" s="678"/>
      <c r="L1240" s="678"/>
      <c r="M1240" s="678"/>
      <c r="N1240" s="678"/>
      <c r="O1240" s="678"/>
      <c r="P1240" s="678"/>
      <c r="Q1240" s="678"/>
      <c r="R1240" s="678"/>
      <c r="S1240" s="678"/>
      <c r="T1240" s="678"/>
      <c r="U1240" s="678"/>
      <c r="V1240" s="678"/>
      <c r="W1240" s="678"/>
      <c r="X1240" s="678"/>
      <c r="Y1240" s="679"/>
      <c r="Z1240" s="679"/>
      <c r="AA1240" s="679"/>
      <c r="AB1240" s="680"/>
    </row>
    <row r="1241" spans="2:28" s="780" customFormat="1" hidden="1" x14ac:dyDescent="0.45">
      <c r="B1241" s="1692"/>
      <c r="C1241" s="1697"/>
      <c r="D1241" s="122" t="s">
        <v>327</v>
      </c>
      <c r="E1241" s="678"/>
      <c r="F1241" s="678"/>
      <c r="G1241" s="678"/>
      <c r="H1241" s="678"/>
      <c r="I1241" s="678"/>
      <c r="J1241" s="678"/>
      <c r="K1241" s="678"/>
      <c r="L1241" s="678"/>
      <c r="M1241" s="678"/>
      <c r="N1241" s="678"/>
      <c r="O1241" s="678"/>
      <c r="P1241" s="678"/>
      <c r="Q1241" s="678"/>
      <c r="R1241" s="678"/>
      <c r="S1241" s="678"/>
      <c r="T1241" s="678"/>
      <c r="U1241" s="678"/>
      <c r="V1241" s="678"/>
      <c r="W1241" s="678"/>
      <c r="X1241" s="681"/>
      <c r="Y1241" s="679"/>
      <c r="Z1241" s="679"/>
      <c r="AA1241" s="679"/>
      <c r="AB1241" s="680"/>
    </row>
    <row r="1242" spans="2:28" s="780" customFormat="1" hidden="1" x14ac:dyDescent="0.45">
      <c r="B1242" s="1692"/>
      <c r="C1242" s="1698" t="s">
        <v>329</v>
      </c>
      <c r="D1242" s="125" t="s">
        <v>326</v>
      </c>
      <c r="E1242" s="682"/>
      <c r="F1242" s="682"/>
      <c r="G1242" s="682"/>
      <c r="H1242" s="682"/>
      <c r="I1242" s="682"/>
      <c r="J1242" s="682"/>
      <c r="K1242" s="682"/>
      <c r="L1242" s="682"/>
      <c r="M1242" s="682"/>
      <c r="N1242" s="682"/>
      <c r="O1242" s="682"/>
      <c r="P1242" s="682"/>
      <c r="Q1242" s="682"/>
      <c r="R1242" s="682"/>
      <c r="S1242" s="682"/>
      <c r="T1242" s="682"/>
      <c r="U1242" s="682"/>
      <c r="V1242" s="682"/>
      <c r="W1242" s="682"/>
      <c r="X1242" s="682"/>
      <c r="Y1242" s="683"/>
      <c r="Z1242" s="683"/>
      <c r="AA1242" s="683"/>
      <c r="AB1242" s="684"/>
    </row>
    <row r="1243" spans="2:28" s="780" customFormat="1" hidden="1" x14ac:dyDescent="0.45">
      <c r="B1243" s="1692"/>
      <c r="C1243" s="1695"/>
      <c r="D1243" s="124" t="s">
        <v>327</v>
      </c>
      <c r="E1243" s="675"/>
      <c r="F1243" s="675"/>
      <c r="G1243" s="675"/>
      <c r="H1243" s="675"/>
      <c r="I1243" s="675"/>
      <c r="J1243" s="675"/>
      <c r="K1243" s="675"/>
      <c r="L1243" s="675"/>
      <c r="M1243" s="675"/>
      <c r="N1243" s="675"/>
      <c r="O1243" s="675"/>
      <c r="P1243" s="675"/>
      <c r="Q1243" s="675"/>
      <c r="R1243" s="675"/>
      <c r="S1243" s="675"/>
      <c r="T1243" s="675"/>
      <c r="U1243" s="675"/>
      <c r="V1243" s="675"/>
      <c r="W1243" s="675"/>
      <c r="X1243" s="675"/>
      <c r="Y1243" s="676"/>
      <c r="Z1243" s="676"/>
      <c r="AA1243" s="676"/>
      <c r="AB1243" s="677"/>
    </row>
    <row r="1244" spans="2:28" s="780" customFormat="1" hidden="1" x14ac:dyDescent="0.45">
      <c r="B1244" s="1692"/>
      <c r="C1244" s="1696" t="s">
        <v>330</v>
      </c>
      <c r="D1244" s="122" t="s">
        <v>326</v>
      </c>
      <c r="E1244" s="678"/>
      <c r="F1244" s="678"/>
      <c r="G1244" s="678"/>
      <c r="H1244" s="678"/>
      <c r="I1244" s="678"/>
      <c r="J1244" s="678"/>
      <c r="K1244" s="678"/>
      <c r="L1244" s="678"/>
      <c r="M1244" s="678"/>
      <c r="N1244" s="678"/>
      <c r="O1244" s="678"/>
      <c r="P1244" s="678"/>
      <c r="Q1244" s="678"/>
      <c r="R1244" s="678"/>
      <c r="S1244" s="678"/>
      <c r="T1244" s="678"/>
      <c r="U1244" s="678"/>
      <c r="V1244" s="678"/>
      <c r="W1244" s="678"/>
      <c r="X1244" s="678"/>
      <c r="Y1244" s="679"/>
      <c r="Z1244" s="679"/>
      <c r="AA1244" s="679"/>
      <c r="AB1244" s="680"/>
    </row>
    <row r="1245" spans="2:28" s="780" customFormat="1" hidden="1" x14ac:dyDescent="0.45">
      <c r="B1245" s="1692"/>
      <c r="C1245" s="1697"/>
      <c r="D1245" s="122" t="s">
        <v>327</v>
      </c>
      <c r="E1245" s="678"/>
      <c r="F1245" s="678"/>
      <c r="G1245" s="678"/>
      <c r="H1245" s="678"/>
      <c r="I1245" s="678"/>
      <c r="J1245" s="678"/>
      <c r="K1245" s="678"/>
      <c r="L1245" s="678"/>
      <c r="M1245" s="678"/>
      <c r="N1245" s="678"/>
      <c r="O1245" s="678"/>
      <c r="P1245" s="678"/>
      <c r="Q1245" s="678"/>
      <c r="R1245" s="678"/>
      <c r="S1245" s="678"/>
      <c r="T1245" s="678"/>
      <c r="U1245" s="678"/>
      <c r="V1245" s="678"/>
      <c r="W1245" s="678"/>
      <c r="X1245" s="681"/>
      <c r="Y1245" s="679"/>
      <c r="Z1245" s="679"/>
      <c r="AA1245" s="679"/>
      <c r="AB1245" s="680"/>
    </row>
    <row r="1246" spans="2:28" s="780" customFormat="1" hidden="1" x14ac:dyDescent="0.45">
      <c r="B1246" s="1692"/>
      <c r="C1246" s="1698" t="s">
        <v>331</v>
      </c>
      <c r="D1246" s="125" t="s">
        <v>326</v>
      </c>
      <c r="E1246" s="682"/>
      <c r="F1246" s="682"/>
      <c r="G1246" s="685"/>
      <c r="H1246" s="682"/>
      <c r="I1246" s="682"/>
      <c r="J1246" s="682"/>
      <c r="K1246" s="682"/>
      <c r="L1246" s="682"/>
      <c r="M1246" s="682"/>
      <c r="N1246" s="682"/>
      <c r="O1246" s="682"/>
      <c r="P1246" s="682"/>
      <c r="Q1246" s="682"/>
      <c r="R1246" s="682"/>
      <c r="S1246" s="682"/>
      <c r="T1246" s="682"/>
      <c r="U1246" s="682"/>
      <c r="V1246" s="682"/>
      <c r="W1246" s="682"/>
      <c r="X1246" s="682"/>
      <c r="Y1246" s="683"/>
      <c r="Z1246" s="683"/>
      <c r="AA1246" s="683"/>
      <c r="AB1246" s="684"/>
    </row>
    <row r="1247" spans="2:28" s="780" customFormat="1" hidden="1" x14ac:dyDescent="0.45">
      <c r="B1247" s="1692"/>
      <c r="C1247" s="1695"/>
      <c r="D1247" s="124" t="s">
        <v>327</v>
      </c>
      <c r="E1247" s="675"/>
      <c r="F1247" s="675"/>
      <c r="G1247" s="686"/>
      <c r="H1247" s="675"/>
      <c r="I1247" s="675"/>
      <c r="J1247" s="675"/>
      <c r="K1247" s="675"/>
      <c r="L1247" s="675"/>
      <c r="M1247" s="675"/>
      <c r="N1247" s="675"/>
      <c r="O1247" s="675"/>
      <c r="P1247" s="675"/>
      <c r="Q1247" s="675"/>
      <c r="R1247" s="675"/>
      <c r="S1247" s="675"/>
      <c r="T1247" s="675"/>
      <c r="U1247" s="675"/>
      <c r="V1247" s="675"/>
      <c r="W1247" s="675"/>
      <c r="X1247" s="675"/>
      <c r="Y1247" s="676"/>
      <c r="Z1247" s="676"/>
      <c r="AA1247" s="676"/>
      <c r="AB1247" s="677"/>
    </row>
    <row r="1248" spans="2:28" s="780" customFormat="1" hidden="1" x14ac:dyDescent="0.45">
      <c r="B1248" s="1692"/>
      <c r="C1248" s="1696" t="s">
        <v>332</v>
      </c>
      <c r="D1248" s="122" t="s">
        <v>326</v>
      </c>
      <c r="E1248" s="678"/>
      <c r="F1248" s="678"/>
      <c r="G1248" s="678"/>
      <c r="H1248" s="678"/>
      <c r="I1248" s="678"/>
      <c r="J1248" s="678"/>
      <c r="K1248" s="678"/>
      <c r="L1248" s="678"/>
      <c r="M1248" s="678"/>
      <c r="N1248" s="678"/>
      <c r="O1248" s="678"/>
      <c r="P1248" s="678"/>
      <c r="Q1248" s="678"/>
      <c r="R1248" s="678"/>
      <c r="S1248" s="678"/>
      <c r="T1248" s="678"/>
      <c r="U1248" s="678"/>
      <c r="V1248" s="678"/>
      <c r="W1248" s="679"/>
      <c r="X1248" s="679"/>
      <c r="Y1248" s="679"/>
      <c r="Z1248" s="679"/>
      <c r="AA1248" s="679"/>
      <c r="AB1248" s="680"/>
    </row>
    <row r="1249" spans="2:28" s="780" customFormat="1" hidden="1" x14ac:dyDescent="0.45">
      <c r="B1249" s="1692"/>
      <c r="C1249" s="1697"/>
      <c r="D1249" s="122" t="s">
        <v>327</v>
      </c>
      <c r="E1249" s="678"/>
      <c r="F1249" s="678"/>
      <c r="G1249" s="678"/>
      <c r="H1249" s="678"/>
      <c r="I1249" s="678"/>
      <c r="J1249" s="678"/>
      <c r="K1249" s="678"/>
      <c r="L1249" s="678"/>
      <c r="M1249" s="678"/>
      <c r="N1249" s="678"/>
      <c r="O1249" s="678"/>
      <c r="P1249" s="678"/>
      <c r="Q1249" s="678"/>
      <c r="R1249" s="678"/>
      <c r="S1249" s="678"/>
      <c r="T1249" s="678"/>
      <c r="U1249" s="678"/>
      <c r="V1249" s="678"/>
      <c r="W1249" s="678"/>
      <c r="X1249" s="678"/>
      <c r="Y1249" s="679"/>
      <c r="Z1249" s="679"/>
      <c r="AA1249" s="679"/>
      <c r="AB1249" s="680"/>
    </row>
    <row r="1250" spans="2:28" s="780" customFormat="1" hidden="1" x14ac:dyDescent="0.45">
      <c r="B1250" s="1692"/>
      <c r="C1250" s="1698" t="s">
        <v>333</v>
      </c>
      <c r="D1250" s="124" t="s">
        <v>326</v>
      </c>
      <c r="E1250" s="675"/>
      <c r="F1250" s="675"/>
      <c r="G1250" s="675"/>
      <c r="H1250" s="675"/>
      <c r="I1250" s="675"/>
      <c r="J1250" s="675"/>
      <c r="K1250" s="675"/>
      <c r="L1250" s="675"/>
      <c r="M1250" s="675"/>
      <c r="N1250" s="675"/>
      <c r="O1250" s="675"/>
      <c r="P1250" s="675"/>
      <c r="Q1250" s="675"/>
      <c r="R1250" s="675"/>
      <c r="S1250" s="675"/>
      <c r="T1250" s="675"/>
      <c r="U1250" s="675"/>
      <c r="V1250" s="675"/>
      <c r="W1250" s="676"/>
      <c r="X1250" s="676"/>
      <c r="Y1250" s="676"/>
      <c r="Z1250" s="676"/>
      <c r="AA1250" s="676"/>
      <c r="AB1250" s="677"/>
    </row>
    <row r="1251" spans="2:28" s="780" customFormat="1" hidden="1" x14ac:dyDescent="0.45">
      <c r="B1251" s="1693"/>
      <c r="C1251" s="1699"/>
      <c r="D1251" s="126" t="s">
        <v>327</v>
      </c>
      <c r="E1251" s="687"/>
      <c r="F1251" s="687"/>
      <c r="G1251" s="687"/>
      <c r="H1251" s="687"/>
      <c r="I1251" s="687"/>
      <c r="J1251" s="687"/>
      <c r="K1251" s="687"/>
      <c r="L1251" s="687"/>
      <c r="M1251" s="687"/>
      <c r="N1251" s="687"/>
      <c r="O1251" s="687"/>
      <c r="P1251" s="687"/>
      <c r="Q1251" s="687"/>
      <c r="R1251" s="687"/>
      <c r="S1251" s="687"/>
      <c r="T1251" s="687"/>
      <c r="U1251" s="687"/>
      <c r="V1251" s="687"/>
      <c r="W1251" s="687"/>
      <c r="X1251" s="687"/>
      <c r="Y1251" s="687"/>
      <c r="Z1251" s="687"/>
      <c r="AA1251" s="687"/>
      <c r="AB1251" s="688"/>
    </row>
    <row r="1252" spans="2:28" s="780" customFormat="1" hidden="1" x14ac:dyDescent="0.45"/>
    <row r="1253" spans="2:28" s="780" customFormat="1" hidden="1" x14ac:dyDescent="0.45">
      <c r="B1253" s="1688" t="s">
        <v>54</v>
      </c>
      <c r="C1253" s="1689"/>
      <c r="D1253" s="1690"/>
      <c r="E1253" s="779"/>
      <c r="F1253" s="779"/>
      <c r="G1253" s="779"/>
      <c r="H1253" s="779"/>
      <c r="I1253" s="779"/>
      <c r="J1253" s="779"/>
      <c r="K1253" s="779"/>
      <c r="L1253" s="779"/>
      <c r="M1253" s="779"/>
      <c r="N1253" s="779"/>
      <c r="O1253" s="779"/>
      <c r="P1253" s="779"/>
      <c r="Q1253" s="779"/>
      <c r="R1253" s="779"/>
      <c r="S1253" s="779"/>
      <c r="T1253" s="779"/>
      <c r="U1253" s="779"/>
      <c r="V1253" s="779"/>
      <c r="W1253" s="779"/>
      <c r="X1253" s="779"/>
      <c r="Y1253" s="779"/>
      <c r="Z1253" s="779"/>
      <c r="AA1253" s="779"/>
      <c r="AB1253" s="708"/>
    </row>
    <row r="1254" spans="2:28" s="780" customFormat="1" ht="15" hidden="1" customHeight="1" x14ac:dyDescent="0.45">
      <c r="B1254" s="1691" t="str">
        <f>CONCATENATE("Plan ", INDEX(plans_index,,(ROW(B1254)-6)/16), ": ", INDEX(plans_name,,(ROW(B1254)-6)/16))</f>
        <v xml:space="preserve">Plan 78: </v>
      </c>
      <c r="C1254" s="1694" t="s">
        <v>325</v>
      </c>
      <c r="D1254" s="123" t="s">
        <v>326</v>
      </c>
      <c r="E1254" s="672"/>
      <c r="F1254" s="672"/>
      <c r="G1254" s="672"/>
      <c r="H1254" s="673"/>
      <c r="I1254" s="672"/>
      <c r="J1254" s="672"/>
      <c r="K1254" s="672"/>
      <c r="L1254" s="672"/>
      <c r="M1254" s="672"/>
      <c r="N1254" s="672"/>
      <c r="O1254" s="672"/>
      <c r="P1254" s="672"/>
      <c r="Q1254" s="672"/>
      <c r="R1254" s="672"/>
      <c r="S1254" s="672"/>
      <c r="T1254" s="672"/>
      <c r="U1254" s="672"/>
      <c r="V1254" s="672"/>
      <c r="W1254" s="672"/>
      <c r="X1254" s="672"/>
      <c r="Y1254" s="672"/>
      <c r="Z1254" s="672"/>
      <c r="AA1254" s="672"/>
      <c r="AB1254" s="674"/>
    </row>
    <row r="1255" spans="2:28" s="780" customFormat="1" hidden="1" x14ac:dyDescent="0.45">
      <c r="B1255" s="1692"/>
      <c r="C1255" s="1695"/>
      <c r="D1255" s="124" t="s">
        <v>327</v>
      </c>
      <c r="E1255" s="675"/>
      <c r="F1255" s="675"/>
      <c r="G1255" s="675"/>
      <c r="H1255" s="675"/>
      <c r="I1255" s="675"/>
      <c r="J1255" s="675"/>
      <c r="K1255" s="675"/>
      <c r="L1255" s="675"/>
      <c r="M1255" s="675"/>
      <c r="N1255" s="675"/>
      <c r="O1255" s="675"/>
      <c r="P1255" s="675"/>
      <c r="Q1255" s="675"/>
      <c r="R1255" s="675"/>
      <c r="S1255" s="675"/>
      <c r="T1255" s="675"/>
      <c r="U1255" s="675"/>
      <c r="V1255" s="675"/>
      <c r="W1255" s="675"/>
      <c r="X1255" s="675"/>
      <c r="Y1255" s="676"/>
      <c r="Z1255" s="676"/>
      <c r="AA1255" s="676"/>
      <c r="AB1255" s="677"/>
    </row>
    <row r="1256" spans="2:28" s="780" customFormat="1" hidden="1" x14ac:dyDescent="0.45">
      <c r="B1256" s="1692"/>
      <c r="C1256" s="1696" t="s">
        <v>328</v>
      </c>
      <c r="D1256" s="122" t="s">
        <v>326</v>
      </c>
      <c r="E1256" s="678"/>
      <c r="F1256" s="678"/>
      <c r="G1256" s="678"/>
      <c r="H1256" s="678"/>
      <c r="I1256" s="678"/>
      <c r="J1256" s="678"/>
      <c r="K1256" s="678"/>
      <c r="L1256" s="678"/>
      <c r="M1256" s="678"/>
      <c r="N1256" s="678"/>
      <c r="O1256" s="678"/>
      <c r="P1256" s="678"/>
      <c r="Q1256" s="678"/>
      <c r="R1256" s="678"/>
      <c r="S1256" s="678"/>
      <c r="T1256" s="678"/>
      <c r="U1256" s="678"/>
      <c r="V1256" s="678"/>
      <c r="W1256" s="678"/>
      <c r="X1256" s="678"/>
      <c r="Y1256" s="679"/>
      <c r="Z1256" s="679"/>
      <c r="AA1256" s="679"/>
      <c r="AB1256" s="680"/>
    </row>
    <row r="1257" spans="2:28" s="780" customFormat="1" hidden="1" x14ac:dyDescent="0.45">
      <c r="B1257" s="1692"/>
      <c r="C1257" s="1697"/>
      <c r="D1257" s="122" t="s">
        <v>327</v>
      </c>
      <c r="E1257" s="678"/>
      <c r="F1257" s="678"/>
      <c r="G1257" s="678"/>
      <c r="H1257" s="678"/>
      <c r="I1257" s="678"/>
      <c r="J1257" s="678"/>
      <c r="K1257" s="678"/>
      <c r="L1257" s="678"/>
      <c r="M1257" s="678"/>
      <c r="N1257" s="678"/>
      <c r="O1257" s="678"/>
      <c r="P1257" s="678"/>
      <c r="Q1257" s="678"/>
      <c r="R1257" s="678"/>
      <c r="S1257" s="678"/>
      <c r="T1257" s="678"/>
      <c r="U1257" s="678"/>
      <c r="V1257" s="678"/>
      <c r="W1257" s="678"/>
      <c r="X1257" s="681"/>
      <c r="Y1257" s="679"/>
      <c r="Z1257" s="679"/>
      <c r="AA1257" s="679"/>
      <c r="AB1257" s="680"/>
    </row>
    <row r="1258" spans="2:28" s="780" customFormat="1" hidden="1" x14ac:dyDescent="0.45">
      <c r="B1258" s="1692"/>
      <c r="C1258" s="1698" t="s">
        <v>329</v>
      </c>
      <c r="D1258" s="125" t="s">
        <v>326</v>
      </c>
      <c r="E1258" s="682"/>
      <c r="F1258" s="682"/>
      <c r="G1258" s="682"/>
      <c r="H1258" s="682"/>
      <c r="I1258" s="682"/>
      <c r="J1258" s="682"/>
      <c r="K1258" s="682"/>
      <c r="L1258" s="682"/>
      <c r="M1258" s="682"/>
      <c r="N1258" s="682"/>
      <c r="O1258" s="682"/>
      <c r="P1258" s="682"/>
      <c r="Q1258" s="682"/>
      <c r="R1258" s="682"/>
      <c r="S1258" s="682"/>
      <c r="T1258" s="682"/>
      <c r="U1258" s="682"/>
      <c r="V1258" s="682"/>
      <c r="W1258" s="682"/>
      <c r="X1258" s="682"/>
      <c r="Y1258" s="683"/>
      <c r="Z1258" s="683"/>
      <c r="AA1258" s="683"/>
      <c r="AB1258" s="684"/>
    </row>
    <row r="1259" spans="2:28" s="780" customFormat="1" hidden="1" x14ac:dyDescent="0.45">
      <c r="B1259" s="1692"/>
      <c r="C1259" s="1695"/>
      <c r="D1259" s="124" t="s">
        <v>327</v>
      </c>
      <c r="E1259" s="675"/>
      <c r="F1259" s="675"/>
      <c r="G1259" s="675"/>
      <c r="H1259" s="675"/>
      <c r="I1259" s="675"/>
      <c r="J1259" s="675"/>
      <c r="K1259" s="675"/>
      <c r="L1259" s="675"/>
      <c r="M1259" s="675"/>
      <c r="N1259" s="675"/>
      <c r="O1259" s="675"/>
      <c r="P1259" s="675"/>
      <c r="Q1259" s="675"/>
      <c r="R1259" s="675"/>
      <c r="S1259" s="675"/>
      <c r="T1259" s="675"/>
      <c r="U1259" s="675"/>
      <c r="V1259" s="675"/>
      <c r="W1259" s="675"/>
      <c r="X1259" s="675"/>
      <c r="Y1259" s="676"/>
      <c r="Z1259" s="676"/>
      <c r="AA1259" s="676"/>
      <c r="AB1259" s="677"/>
    </row>
    <row r="1260" spans="2:28" s="780" customFormat="1" hidden="1" x14ac:dyDescent="0.45">
      <c r="B1260" s="1692"/>
      <c r="C1260" s="1696" t="s">
        <v>330</v>
      </c>
      <c r="D1260" s="122" t="s">
        <v>326</v>
      </c>
      <c r="E1260" s="678"/>
      <c r="F1260" s="678"/>
      <c r="G1260" s="678"/>
      <c r="H1260" s="678"/>
      <c r="I1260" s="678"/>
      <c r="J1260" s="678"/>
      <c r="K1260" s="678"/>
      <c r="L1260" s="678"/>
      <c r="M1260" s="678"/>
      <c r="N1260" s="678"/>
      <c r="O1260" s="678"/>
      <c r="P1260" s="678"/>
      <c r="Q1260" s="678"/>
      <c r="R1260" s="678"/>
      <c r="S1260" s="678"/>
      <c r="T1260" s="678"/>
      <c r="U1260" s="678"/>
      <c r="V1260" s="678"/>
      <c r="W1260" s="678"/>
      <c r="X1260" s="678"/>
      <c r="Y1260" s="679"/>
      <c r="Z1260" s="679"/>
      <c r="AA1260" s="679"/>
      <c r="AB1260" s="680"/>
    </row>
    <row r="1261" spans="2:28" s="780" customFormat="1" hidden="1" x14ac:dyDescent="0.45">
      <c r="B1261" s="1692"/>
      <c r="C1261" s="1697"/>
      <c r="D1261" s="122" t="s">
        <v>327</v>
      </c>
      <c r="E1261" s="678"/>
      <c r="F1261" s="678"/>
      <c r="G1261" s="678"/>
      <c r="H1261" s="678"/>
      <c r="I1261" s="678"/>
      <c r="J1261" s="678"/>
      <c r="K1261" s="678"/>
      <c r="L1261" s="678"/>
      <c r="M1261" s="678"/>
      <c r="N1261" s="678"/>
      <c r="O1261" s="678"/>
      <c r="P1261" s="678"/>
      <c r="Q1261" s="678"/>
      <c r="R1261" s="678"/>
      <c r="S1261" s="678"/>
      <c r="T1261" s="678"/>
      <c r="U1261" s="678"/>
      <c r="V1261" s="678"/>
      <c r="W1261" s="678"/>
      <c r="X1261" s="681"/>
      <c r="Y1261" s="679"/>
      <c r="Z1261" s="679"/>
      <c r="AA1261" s="679"/>
      <c r="AB1261" s="680"/>
    </row>
    <row r="1262" spans="2:28" s="780" customFormat="1" hidden="1" x14ac:dyDescent="0.45">
      <c r="B1262" s="1692"/>
      <c r="C1262" s="1698" t="s">
        <v>331</v>
      </c>
      <c r="D1262" s="125" t="s">
        <v>326</v>
      </c>
      <c r="E1262" s="682"/>
      <c r="F1262" s="682"/>
      <c r="G1262" s="685"/>
      <c r="H1262" s="682"/>
      <c r="I1262" s="682"/>
      <c r="J1262" s="682"/>
      <c r="K1262" s="682"/>
      <c r="L1262" s="682"/>
      <c r="M1262" s="682"/>
      <c r="N1262" s="682"/>
      <c r="O1262" s="682"/>
      <c r="P1262" s="682"/>
      <c r="Q1262" s="682"/>
      <c r="R1262" s="682"/>
      <c r="S1262" s="682"/>
      <c r="T1262" s="682"/>
      <c r="U1262" s="682"/>
      <c r="V1262" s="682"/>
      <c r="W1262" s="682"/>
      <c r="X1262" s="682"/>
      <c r="Y1262" s="683"/>
      <c r="Z1262" s="683"/>
      <c r="AA1262" s="683"/>
      <c r="AB1262" s="684"/>
    </row>
    <row r="1263" spans="2:28" s="780" customFormat="1" hidden="1" x14ac:dyDescent="0.45">
      <c r="B1263" s="1692"/>
      <c r="C1263" s="1695"/>
      <c r="D1263" s="124" t="s">
        <v>327</v>
      </c>
      <c r="E1263" s="675"/>
      <c r="F1263" s="675"/>
      <c r="G1263" s="686"/>
      <c r="H1263" s="675"/>
      <c r="I1263" s="675"/>
      <c r="J1263" s="675"/>
      <c r="K1263" s="675"/>
      <c r="L1263" s="675"/>
      <c r="M1263" s="675"/>
      <c r="N1263" s="675"/>
      <c r="O1263" s="675"/>
      <c r="P1263" s="675"/>
      <c r="Q1263" s="675"/>
      <c r="R1263" s="675"/>
      <c r="S1263" s="675"/>
      <c r="T1263" s="675"/>
      <c r="U1263" s="675"/>
      <c r="V1263" s="675"/>
      <c r="W1263" s="675"/>
      <c r="X1263" s="675"/>
      <c r="Y1263" s="676"/>
      <c r="Z1263" s="676"/>
      <c r="AA1263" s="676"/>
      <c r="AB1263" s="677"/>
    </row>
    <row r="1264" spans="2:28" s="780" customFormat="1" hidden="1" x14ac:dyDescent="0.45">
      <c r="B1264" s="1692"/>
      <c r="C1264" s="1696" t="s">
        <v>332</v>
      </c>
      <c r="D1264" s="122" t="s">
        <v>326</v>
      </c>
      <c r="E1264" s="678"/>
      <c r="F1264" s="678"/>
      <c r="G1264" s="678"/>
      <c r="H1264" s="678"/>
      <c r="I1264" s="678"/>
      <c r="J1264" s="678"/>
      <c r="K1264" s="678"/>
      <c r="L1264" s="678"/>
      <c r="M1264" s="678"/>
      <c r="N1264" s="678"/>
      <c r="O1264" s="678"/>
      <c r="P1264" s="678"/>
      <c r="Q1264" s="678"/>
      <c r="R1264" s="678"/>
      <c r="S1264" s="678"/>
      <c r="T1264" s="678"/>
      <c r="U1264" s="678"/>
      <c r="V1264" s="678"/>
      <c r="W1264" s="679"/>
      <c r="X1264" s="679"/>
      <c r="Y1264" s="679"/>
      <c r="Z1264" s="679"/>
      <c r="AA1264" s="679"/>
      <c r="AB1264" s="680"/>
    </row>
    <row r="1265" spans="2:28" s="780" customFormat="1" hidden="1" x14ac:dyDescent="0.45">
      <c r="B1265" s="1692"/>
      <c r="C1265" s="1697"/>
      <c r="D1265" s="122" t="s">
        <v>327</v>
      </c>
      <c r="E1265" s="678"/>
      <c r="F1265" s="678"/>
      <c r="G1265" s="678"/>
      <c r="H1265" s="678"/>
      <c r="I1265" s="678"/>
      <c r="J1265" s="678"/>
      <c r="K1265" s="678"/>
      <c r="L1265" s="678"/>
      <c r="M1265" s="678"/>
      <c r="N1265" s="678"/>
      <c r="O1265" s="678"/>
      <c r="P1265" s="678"/>
      <c r="Q1265" s="678"/>
      <c r="R1265" s="678"/>
      <c r="S1265" s="678"/>
      <c r="T1265" s="678"/>
      <c r="U1265" s="678"/>
      <c r="V1265" s="678"/>
      <c r="W1265" s="678"/>
      <c r="X1265" s="678"/>
      <c r="Y1265" s="679"/>
      <c r="Z1265" s="679"/>
      <c r="AA1265" s="679"/>
      <c r="AB1265" s="680"/>
    </row>
    <row r="1266" spans="2:28" s="780" customFormat="1" hidden="1" x14ac:dyDescent="0.45">
      <c r="B1266" s="1692"/>
      <c r="C1266" s="1698" t="s">
        <v>333</v>
      </c>
      <c r="D1266" s="124" t="s">
        <v>326</v>
      </c>
      <c r="E1266" s="675"/>
      <c r="F1266" s="675"/>
      <c r="G1266" s="675"/>
      <c r="H1266" s="675"/>
      <c r="I1266" s="675"/>
      <c r="J1266" s="675"/>
      <c r="K1266" s="675"/>
      <c r="L1266" s="675"/>
      <c r="M1266" s="675"/>
      <c r="N1266" s="675"/>
      <c r="O1266" s="675"/>
      <c r="P1266" s="675"/>
      <c r="Q1266" s="675"/>
      <c r="R1266" s="675"/>
      <c r="S1266" s="675"/>
      <c r="T1266" s="675"/>
      <c r="U1266" s="675"/>
      <c r="V1266" s="675"/>
      <c r="W1266" s="676"/>
      <c r="X1266" s="676"/>
      <c r="Y1266" s="676"/>
      <c r="Z1266" s="676"/>
      <c r="AA1266" s="676"/>
      <c r="AB1266" s="677"/>
    </row>
    <row r="1267" spans="2:28" s="780" customFormat="1" hidden="1" x14ac:dyDescent="0.45">
      <c r="B1267" s="1693"/>
      <c r="C1267" s="1699"/>
      <c r="D1267" s="126" t="s">
        <v>327</v>
      </c>
      <c r="E1267" s="687"/>
      <c r="F1267" s="687"/>
      <c r="G1267" s="687"/>
      <c r="H1267" s="687"/>
      <c r="I1267" s="687"/>
      <c r="J1267" s="687"/>
      <c r="K1267" s="687"/>
      <c r="L1267" s="687"/>
      <c r="M1267" s="687"/>
      <c r="N1267" s="687"/>
      <c r="O1267" s="687"/>
      <c r="P1267" s="687"/>
      <c r="Q1267" s="687"/>
      <c r="R1267" s="687"/>
      <c r="S1267" s="687"/>
      <c r="T1267" s="687"/>
      <c r="U1267" s="687"/>
      <c r="V1267" s="687"/>
      <c r="W1267" s="687"/>
      <c r="X1267" s="687"/>
      <c r="Y1267" s="687"/>
      <c r="Z1267" s="687"/>
      <c r="AA1267" s="687"/>
      <c r="AB1267" s="688"/>
    </row>
    <row r="1268" spans="2:28" s="780" customFormat="1" hidden="1" x14ac:dyDescent="0.45"/>
    <row r="1269" spans="2:28" s="780" customFormat="1" hidden="1" x14ac:dyDescent="0.45">
      <c r="B1269" s="1688" t="s">
        <v>54</v>
      </c>
      <c r="C1269" s="1689"/>
      <c r="D1269" s="1690"/>
      <c r="E1269" s="779"/>
      <c r="F1269" s="779"/>
      <c r="G1269" s="779"/>
      <c r="H1269" s="779"/>
      <c r="I1269" s="779"/>
      <c r="J1269" s="779"/>
      <c r="K1269" s="779"/>
      <c r="L1269" s="779"/>
      <c r="M1269" s="779"/>
      <c r="N1269" s="779"/>
      <c r="O1269" s="779"/>
      <c r="P1269" s="779"/>
      <c r="Q1269" s="779"/>
      <c r="R1269" s="779"/>
      <c r="S1269" s="779"/>
      <c r="T1269" s="779"/>
      <c r="U1269" s="779"/>
      <c r="V1269" s="779"/>
      <c r="W1269" s="779"/>
      <c r="X1269" s="779"/>
      <c r="Y1269" s="779"/>
      <c r="Z1269" s="779"/>
      <c r="AA1269" s="779"/>
      <c r="AB1269" s="708"/>
    </row>
    <row r="1270" spans="2:28" s="780" customFormat="1" ht="15" hidden="1" customHeight="1" x14ac:dyDescent="0.45">
      <c r="B1270" s="1691" t="str">
        <f>CONCATENATE("Plan ", INDEX(plans_index,,(ROW(B1270)-6)/16), ": ", INDEX(plans_name,,(ROW(B1270)-6)/16))</f>
        <v xml:space="preserve">Plan 79: </v>
      </c>
      <c r="C1270" s="1694" t="s">
        <v>325</v>
      </c>
      <c r="D1270" s="123" t="s">
        <v>326</v>
      </c>
      <c r="E1270" s="672"/>
      <c r="F1270" s="672"/>
      <c r="G1270" s="672"/>
      <c r="H1270" s="673"/>
      <c r="I1270" s="672"/>
      <c r="J1270" s="672"/>
      <c r="K1270" s="672"/>
      <c r="L1270" s="672"/>
      <c r="M1270" s="672"/>
      <c r="N1270" s="672"/>
      <c r="O1270" s="672"/>
      <c r="P1270" s="672"/>
      <c r="Q1270" s="672"/>
      <c r="R1270" s="672"/>
      <c r="S1270" s="672"/>
      <c r="T1270" s="672"/>
      <c r="U1270" s="672"/>
      <c r="V1270" s="672"/>
      <c r="W1270" s="672"/>
      <c r="X1270" s="672"/>
      <c r="Y1270" s="672"/>
      <c r="Z1270" s="672"/>
      <c r="AA1270" s="672"/>
      <c r="AB1270" s="674"/>
    </row>
    <row r="1271" spans="2:28" s="780" customFormat="1" hidden="1" x14ac:dyDescent="0.45">
      <c r="B1271" s="1692"/>
      <c r="C1271" s="1695"/>
      <c r="D1271" s="124" t="s">
        <v>327</v>
      </c>
      <c r="E1271" s="675"/>
      <c r="F1271" s="675"/>
      <c r="G1271" s="675"/>
      <c r="H1271" s="675"/>
      <c r="I1271" s="675"/>
      <c r="J1271" s="675"/>
      <c r="K1271" s="675"/>
      <c r="L1271" s="675"/>
      <c r="M1271" s="675"/>
      <c r="N1271" s="675"/>
      <c r="O1271" s="675"/>
      <c r="P1271" s="675"/>
      <c r="Q1271" s="675"/>
      <c r="R1271" s="675"/>
      <c r="S1271" s="675"/>
      <c r="T1271" s="675"/>
      <c r="U1271" s="675"/>
      <c r="V1271" s="675"/>
      <c r="W1271" s="675"/>
      <c r="X1271" s="675"/>
      <c r="Y1271" s="676"/>
      <c r="Z1271" s="676"/>
      <c r="AA1271" s="676"/>
      <c r="AB1271" s="677"/>
    </row>
    <row r="1272" spans="2:28" s="780" customFormat="1" hidden="1" x14ac:dyDescent="0.45">
      <c r="B1272" s="1692"/>
      <c r="C1272" s="1696" t="s">
        <v>328</v>
      </c>
      <c r="D1272" s="122" t="s">
        <v>326</v>
      </c>
      <c r="E1272" s="678"/>
      <c r="F1272" s="678"/>
      <c r="G1272" s="678"/>
      <c r="H1272" s="678"/>
      <c r="I1272" s="678"/>
      <c r="J1272" s="678"/>
      <c r="K1272" s="678"/>
      <c r="L1272" s="678"/>
      <c r="M1272" s="678"/>
      <c r="N1272" s="678"/>
      <c r="O1272" s="678"/>
      <c r="P1272" s="678"/>
      <c r="Q1272" s="678"/>
      <c r="R1272" s="678"/>
      <c r="S1272" s="678"/>
      <c r="T1272" s="678"/>
      <c r="U1272" s="678"/>
      <c r="V1272" s="678"/>
      <c r="W1272" s="678"/>
      <c r="X1272" s="678"/>
      <c r="Y1272" s="679"/>
      <c r="Z1272" s="679"/>
      <c r="AA1272" s="679"/>
      <c r="AB1272" s="680"/>
    </row>
    <row r="1273" spans="2:28" s="780" customFormat="1" hidden="1" x14ac:dyDescent="0.45">
      <c r="B1273" s="1692"/>
      <c r="C1273" s="1697"/>
      <c r="D1273" s="122" t="s">
        <v>327</v>
      </c>
      <c r="E1273" s="678"/>
      <c r="F1273" s="678"/>
      <c r="G1273" s="678"/>
      <c r="H1273" s="678"/>
      <c r="I1273" s="678"/>
      <c r="J1273" s="678"/>
      <c r="K1273" s="678"/>
      <c r="L1273" s="678"/>
      <c r="M1273" s="678"/>
      <c r="N1273" s="678"/>
      <c r="O1273" s="678"/>
      <c r="P1273" s="678"/>
      <c r="Q1273" s="678"/>
      <c r="R1273" s="678"/>
      <c r="S1273" s="678"/>
      <c r="T1273" s="678"/>
      <c r="U1273" s="678"/>
      <c r="V1273" s="678"/>
      <c r="W1273" s="678"/>
      <c r="X1273" s="681"/>
      <c r="Y1273" s="679"/>
      <c r="Z1273" s="679"/>
      <c r="AA1273" s="679"/>
      <c r="AB1273" s="680"/>
    </row>
    <row r="1274" spans="2:28" s="780" customFormat="1" hidden="1" x14ac:dyDescent="0.45">
      <c r="B1274" s="1692"/>
      <c r="C1274" s="1698" t="s">
        <v>329</v>
      </c>
      <c r="D1274" s="125" t="s">
        <v>326</v>
      </c>
      <c r="E1274" s="682"/>
      <c r="F1274" s="682"/>
      <c r="G1274" s="682"/>
      <c r="H1274" s="682"/>
      <c r="I1274" s="682"/>
      <c r="J1274" s="682"/>
      <c r="K1274" s="682"/>
      <c r="L1274" s="682"/>
      <c r="M1274" s="682"/>
      <c r="N1274" s="682"/>
      <c r="O1274" s="682"/>
      <c r="P1274" s="682"/>
      <c r="Q1274" s="682"/>
      <c r="R1274" s="682"/>
      <c r="S1274" s="682"/>
      <c r="T1274" s="682"/>
      <c r="U1274" s="682"/>
      <c r="V1274" s="682"/>
      <c r="W1274" s="682"/>
      <c r="X1274" s="682"/>
      <c r="Y1274" s="683"/>
      <c r="Z1274" s="683"/>
      <c r="AA1274" s="683"/>
      <c r="AB1274" s="684"/>
    </row>
    <row r="1275" spans="2:28" s="780" customFormat="1" hidden="1" x14ac:dyDescent="0.45">
      <c r="B1275" s="1692"/>
      <c r="C1275" s="1695"/>
      <c r="D1275" s="124" t="s">
        <v>327</v>
      </c>
      <c r="E1275" s="675"/>
      <c r="F1275" s="675"/>
      <c r="G1275" s="675"/>
      <c r="H1275" s="675"/>
      <c r="I1275" s="675"/>
      <c r="J1275" s="675"/>
      <c r="K1275" s="675"/>
      <c r="L1275" s="675"/>
      <c r="M1275" s="675"/>
      <c r="N1275" s="675"/>
      <c r="O1275" s="675"/>
      <c r="P1275" s="675"/>
      <c r="Q1275" s="675"/>
      <c r="R1275" s="675"/>
      <c r="S1275" s="675"/>
      <c r="T1275" s="675"/>
      <c r="U1275" s="675"/>
      <c r="V1275" s="675"/>
      <c r="W1275" s="675"/>
      <c r="X1275" s="675"/>
      <c r="Y1275" s="676"/>
      <c r="Z1275" s="676"/>
      <c r="AA1275" s="676"/>
      <c r="AB1275" s="677"/>
    </row>
    <row r="1276" spans="2:28" s="780" customFormat="1" hidden="1" x14ac:dyDescent="0.45">
      <c r="B1276" s="1692"/>
      <c r="C1276" s="1696" t="s">
        <v>330</v>
      </c>
      <c r="D1276" s="122" t="s">
        <v>326</v>
      </c>
      <c r="E1276" s="678"/>
      <c r="F1276" s="678"/>
      <c r="G1276" s="678"/>
      <c r="H1276" s="678"/>
      <c r="I1276" s="678"/>
      <c r="J1276" s="678"/>
      <c r="K1276" s="678"/>
      <c r="L1276" s="678"/>
      <c r="M1276" s="678"/>
      <c r="N1276" s="678"/>
      <c r="O1276" s="678"/>
      <c r="P1276" s="678"/>
      <c r="Q1276" s="678"/>
      <c r="R1276" s="678"/>
      <c r="S1276" s="678"/>
      <c r="T1276" s="678"/>
      <c r="U1276" s="678"/>
      <c r="V1276" s="678"/>
      <c r="W1276" s="678"/>
      <c r="X1276" s="678"/>
      <c r="Y1276" s="679"/>
      <c r="Z1276" s="679"/>
      <c r="AA1276" s="679"/>
      <c r="AB1276" s="680"/>
    </row>
    <row r="1277" spans="2:28" s="780" customFormat="1" hidden="1" x14ac:dyDescent="0.45">
      <c r="B1277" s="1692"/>
      <c r="C1277" s="1697"/>
      <c r="D1277" s="122" t="s">
        <v>327</v>
      </c>
      <c r="E1277" s="678"/>
      <c r="F1277" s="678"/>
      <c r="G1277" s="678"/>
      <c r="H1277" s="678"/>
      <c r="I1277" s="678"/>
      <c r="J1277" s="678"/>
      <c r="K1277" s="678"/>
      <c r="L1277" s="678"/>
      <c r="M1277" s="678"/>
      <c r="N1277" s="678"/>
      <c r="O1277" s="678"/>
      <c r="P1277" s="678"/>
      <c r="Q1277" s="678"/>
      <c r="R1277" s="678"/>
      <c r="S1277" s="678"/>
      <c r="T1277" s="678"/>
      <c r="U1277" s="678"/>
      <c r="V1277" s="678"/>
      <c r="W1277" s="678"/>
      <c r="X1277" s="681"/>
      <c r="Y1277" s="679"/>
      <c r="Z1277" s="679"/>
      <c r="AA1277" s="679"/>
      <c r="AB1277" s="680"/>
    </row>
    <row r="1278" spans="2:28" s="780" customFormat="1" hidden="1" x14ac:dyDescent="0.45">
      <c r="B1278" s="1692"/>
      <c r="C1278" s="1698" t="s">
        <v>331</v>
      </c>
      <c r="D1278" s="125" t="s">
        <v>326</v>
      </c>
      <c r="E1278" s="682"/>
      <c r="F1278" s="682"/>
      <c r="G1278" s="685"/>
      <c r="H1278" s="682"/>
      <c r="I1278" s="682"/>
      <c r="J1278" s="682"/>
      <c r="K1278" s="682"/>
      <c r="L1278" s="682"/>
      <c r="M1278" s="682"/>
      <c r="N1278" s="682"/>
      <c r="O1278" s="682"/>
      <c r="P1278" s="682"/>
      <c r="Q1278" s="682"/>
      <c r="R1278" s="682"/>
      <c r="S1278" s="682"/>
      <c r="T1278" s="682"/>
      <c r="U1278" s="682"/>
      <c r="V1278" s="682"/>
      <c r="W1278" s="682"/>
      <c r="X1278" s="682"/>
      <c r="Y1278" s="683"/>
      <c r="Z1278" s="683"/>
      <c r="AA1278" s="683"/>
      <c r="AB1278" s="684"/>
    </row>
    <row r="1279" spans="2:28" s="780" customFormat="1" hidden="1" x14ac:dyDescent="0.45">
      <c r="B1279" s="1692"/>
      <c r="C1279" s="1695"/>
      <c r="D1279" s="124" t="s">
        <v>327</v>
      </c>
      <c r="E1279" s="675"/>
      <c r="F1279" s="675"/>
      <c r="G1279" s="686"/>
      <c r="H1279" s="675"/>
      <c r="I1279" s="675"/>
      <c r="J1279" s="675"/>
      <c r="K1279" s="675"/>
      <c r="L1279" s="675"/>
      <c r="M1279" s="675"/>
      <c r="N1279" s="675"/>
      <c r="O1279" s="675"/>
      <c r="P1279" s="675"/>
      <c r="Q1279" s="675"/>
      <c r="R1279" s="675"/>
      <c r="S1279" s="675"/>
      <c r="T1279" s="675"/>
      <c r="U1279" s="675"/>
      <c r="V1279" s="675"/>
      <c r="W1279" s="675"/>
      <c r="X1279" s="675"/>
      <c r="Y1279" s="676"/>
      <c r="Z1279" s="676"/>
      <c r="AA1279" s="676"/>
      <c r="AB1279" s="677"/>
    </row>
    <row r="1280" spans="2:28" s="780" customFormat="1" hidden="1" x14ac:dyDescent="0.45">
      <c r="B1280" s="1692"/>
      <c r="C1280" s="1696" t="s">
        <v>332</v>
      </c>
      <c r="D1280" s="122" t="s">
        <v>326</v>
      </c>
      <c r="E1280" s="678"/>
      <c r="F1280" s="678"/>
      <c r="G1280" s="678"/>
      <c r="H1280" s="678"/>
      <c r="I1280" s="678"/>
      <c r="J1280" s="678"/>
      <c r="K1280" s="678"/>
      <c r="L1280" s="678"/>
      <c r="M1280" s="678"/>
      <c r="N1280" s="678"/>
      <c r="O1280" s="678"/>
      <c r="P1280" s="678"/>
      <c r="Q1280" s="678"/>
      <c r="R1280" s="678"/>
      <c r="S1280" s="678"/>
      <c r="T1280" s="678"/>
      <c r="U1280" s="678"/>
      <c r="V1280" s="678"/>
      <c r="W1280" s="679"/>
      <c r="X1280" s="679"/>
      <c r="Y1280" s="679"/>
      <c r="Z1280" s="679"/>
      <c r="AA1280" s="679"/>
      <c r="AB1280" s="680"/>
    </row>
    <row r="1281" spans="2:28" s="780" customFormat="1" hidden="1" x14ac:dyDescent="0.45">
      <c r="B1281" s="1692"/>
      <c r="C1281" s="1697"/>
      <c r="D1281" s="122" t="s">
        <v>327</v>
      </c>
      <c r="E1281" s="678"/>
      <c r="F1281" s="678"/>
      <c r="G1281" s="678"/>
      <c r="H1281" s="678"/>
      <c r="I1281" s="678"/>
      <c r="J1281" s="678"/>
      <c r="K1281" s="678"/>
      <c r="L1281" s="678"/>
      <c r="M1281" s="678"/>
      <c r="N1281" s="678"/>
      <c r="O1281" s="678"/>
      <c r="P1281" s="678"/>
      <c r="Q1281" s="678"/>
      <c r="R1281" s="678"/>
      <c r="S1281" s="678"/>
      <c r="T1281" s="678"/>
      <c r="U1281" s="678"/>
      <c r="V1281" s="678"/>
      <c r="W1281" s="678"/>
      <c r="X1281" s="678"/>
      <c r="Y1281" s="679"/>
      <c r="Z1281" s="679"/>
      <c r="AA1281" s="679"/>
      <c r="AB1281" s="680"/>
    </row>
    <row r="1282" spans="2:28" s="780" customFormat="1" hidden="1" x14ac:dyDescent="0.45">
      <c r="B1282" s="1692"/>
      <c r="C1282" s="1698" t="s">
        <v>333</v>
      </c>
      <c r="D1282" s="124" t="s">
        <v>326</v>
      </c>
      <c r="E1282" s="675"/>
      <c r="F1282" s="675"/>
      <c r="G1282" s="675"/>
      <c r="H1282" s="675"/>
      <c r="I1282" s="675"/>
      <c r="J1282" s="675"/>
      <c r="K1282" s="675"/>
      <c r="L1282" s="675"/>
      <c r="M1282" s="675"/>
      <c r="N1282" s="675"/>
      <c r="O1282" s="675"/>
      <c r="P1282" s="675"/>
      <c r="Q1282" s="675"/>
      <c r="R1282" s="675"/>
      <c r="S1282" s="675"/>
      <c r="T1282" s="675"/>
      <c r="U1282" s="675"/>
      <c r="V1282" s="675"/>
      <c r="W1282" s="676"/>
      <c r="X1282" s="676"/>
      <c r="Y1282" s="676"/>
      <c r="Z1282" s="676"/>
      <c r="AA1282" s="676"/>
      <c r="AB1282" s="677"/>
    </row>
    <row r="1283" spans="2:28" s="780" customFormat="1" hidden="1" x14ac:dyDescent="0.45">
      <c r="B1283" s="1693"/>
      <c r="C1283" s="1699"/>
      <c r="D1283" s="126" t="s">
        <v>327</v>
      </c>
      <c r="E1283" s="687"/>
      <c r="F1283" s="687"/>
      <c r="G1283" s="687"/>
      <c r="H1283" s="687"/>
      <c r="I1283" s="687"/>
      <c r="J1283" s="687"/>
      <c r="K1283" s="687"/>
      <c r="L1283" s="687"/>
      <c r="M1283" s="687"/>
      <c r="N1283" s="687"/>
      <c r="O1283" s="687"/>
      <c r="P1283" s="687"/>
      <c r="Q1283" s="687"/>
      <c r="R1283" s="687"/>
      <c r="S1283" s="687"/>
      <c r="T1283" s="687"/>
      <c r="U1283" s="687"/>
      <c r="V1283" s="687"/>
      <c r="W1283" s="687"/>
      <c r="X1283" s="687"/>
      <c r="Y1283" s="687"/>
      <c r="Z1283" s="687"/>
      <c r="AA1283" s="687"/>
      <c r="AB1283" s="688"/>
    </row>
    <row r="1284" spans="2:28" s="780" customFormat="1" hidden="1" x14ac:dyDescent="0.45"/>
    <row r="1285" spans="2:28" s="780" customFormat="1" hidden="1" x14ac:dyDescent="0.45">
      <c r="B1285" s="1688" t="s">
        <v>54</v>
      </c>
      <c r="C1285" s="1689"/>
      <c r="D1285" s="1690"/>
      <c r="E1285" s="779"/>
      <c r="F1285" s="779"/>
      <c r="G1285" s="779"/>
      <c r="H1285" s="779"/>
      <c r="I1285" s="779"/>
      <c r="J1285" s="779"/>
      <c r="K1285" s="779"/>
      <c r="L1285" s="779"/>
      <c r="M1285" s="779"/>
      <c r="N1285" s="779"/>
      <c r="O1285" s="779"/>
      <c r="P1285" s="779"/>
      <c r="Q1285" s="779"/>
      <c r="R1285" s="779"/>
      <c r="S1285" s="779"/>
      <c r="T1285" s="779"/>
      <c r="U1285" s="779"/>
      <c r="V1285" s="779"/>
      <c r="W1285" s="779"/>
      <c r="X1285" s="779"/>
      <c r="Y1285" s="779"/>
      <c r="Z1285" s="779"/>
      <c r="AA1285" s="779"/>
      <c r="AB1285" s="708"/>
    </row>
    <row r="1286" spans="2:28" s="780" customFormat="1" ht="15" hidden="1" customHeight="1" x14ac:dyDescent="0.45">
      <c r="B1286" s="1691" t="str">
        <f>CONCATENATE("Plan ", INDEX(plans_index,,(ROW(B1286)-6)/16), ": ", INDEX(plans_name,,(ROW(B1286)-6)/16))</f>
        <v xml:space="preserve">Plan 80: </v>
      </c>
      <c r="C1286" s="1694" t="s">
        <v>325</v>
      </c>
      <c r="D1286" s="123" t="s">
        <v>326</v>
      </c>
      <c r="E1286" s="672"/>
      <c r="F1286" s="672"/>
      <c r="G1286" s="672"/>
      <c r="H1286" s="673"/>
      <c r="I1286" s="672"/>
      <c r="J1286" s="672"/>
      <c r="K1286" s="672"/>
      <c r="L1286" s="672"/>
      <c r="M1286" s="672"/>
      <c r="N1286" s="672"/>
      <c r="O1286" s="672"/>
      <c r="P1286" s="672"/>
      <c r="Q1286" s="672"/>
      <c r="R1286" s="672"/>
      <c r="S1286" s="672"/>
      <c r="T1286" s="672"/>
      <c r="U1286" s="672"/>
      <c r="V1286" s="672"/>
      <c r="W1286" s="672"/>
      <c r="X1286" s="672"/>
      <c r="Y1286" s="672"/>
      <c r="Z1286" s="672"/>
      <c r="AA1286" s="672"/>
      <c r="AB1286" s="674"/>
    </row>
    <row r="1287" spans="2:28" s="780" customFormat="1" hidden="1" x14ac:dyDescent="0.45">
      <c r="B1287" s="1692"/>
      <c r="C1287" s="1695"/>
      <c r="D1287" s="124" t="s">
        <v>327</v>
      </c>
      <c r="E1287" s="675"/>
      <c r="F1287" s="675"/>
      <c r="G1287" s="675"/>
      <c r="H1287" s="675"/>
      <c r="I1287" s="675"/>
      <c r="J1287" s="675"/>
      <c r="K1287" s="675"/>
      <c r="L1287" s="675"/>
      <c r="M1287" s="675"/>
      <c r="N1287" s="675"/>
      <c r="O1287" s="675"/>
      <c r="P1287" s="675"/>
      <c r="Q1287" s="675"/>
      <c r="R1287" s="675"/>
      <c r="S1287" s="675"/>
      <c r="T1287" s="675"/>
      <c r="U1287" s="675"/>
      <c r="V1287" s="675"/>
      <c r="W1287" s="675"/>
      <c r="X1287" s="675"/>
      <c r="Y1287" s="676"/>
      <c r="Z1287" s="676"/>
      <c r="AA1287" s="676"/>
      <c r="AB1287" s="677"/>
    </row>
    <row r="1288" spans="2:28" s="780" customFormat="1" hidden="1" x14ac:dyDescent="0.45">
      <c r="B1288" s="1692"/>
      <c r="C1288" s="1696" t="s">
        <v>328</v>
      </c>
      <c r="D1288" s="122" t="s">
        <v>326</v>
      </c>
      <c r="E1288" s="678"/>
      <c r="F1288" s="678"/>
      <c r="G1288" s="678"/>
      <c r="H1288" s="678"/>
      <c r="I1288" s="678"/>
      <c r="J1288" s="678"/>
      <c r="K1288" s="678"/>
      <c r="L1288" s="678"/>
      <c r="M1288" s="678"/>
      <c r="N1288" s="678"/>
      <c r="O1288" s="678"/>
      <c r="P1288" s="678"/>
      <c r="Q1288" s="678"/>
      <c r="R1288" s="678"/>
      <c r="S1288" s="678"/>
      <c r="T1288" s="678"/>
      <c r="U1288" s="678"/>
      <c r="V1288" s="678"/>
      <c r="W1288" s="678"/>
      <c r="X1288" s="678"/>
      <c r="Y1288" s="679"/>
      <c r="Z1288" s="679"/>
      <c r="AA1288" s="679"/>
      <c r="AB1288" s="680"/>
    </row>
    <row r="1289" spans="2:28" s="780" customFormat="1" hidden="1" x14ac:dyDescent="0.45">
      <c r="B1289" s="1692"/>
      <c r="C1289" s="1697"/>
      <c r="D1289" s="122" t="s">
        <v>327</v>
      </c>
      <c r="E1289" s="678"/>
      <c r="F1289" s="678"/>
      <c r="G1289" s="678"/>
      <c r="H1289" s="678"/>
      <c r="I1289" s="678"/>
      <c r="J1289" s="678"/>
      <c r="K1289" s="678"/>
      <c r="L1289" s="678"/>
      <c r="M1289" s="678"/>
      <c r="N1289" s="678"/>
      <c r="O1289" s="678"/>
      <c r="P1289" s="678"/>
      <c r="Q1289" s="678"/>
      <c r="R1289" s="678"/>
      <c r="S1289" s="678"/>
      <c r="T1289" s="678"/>
      <c r="U1289" s="678"/>
      <c r="V1289" s="678"/>
      <c r="W1289" s="678"/>
      <c r="X1289" s="681"/>
      <c r="Y1289" s="679"/>
      <c r="Z1289" s="679"/>
      <c r="AA1289" s="679"/>
      <c r="AB1289" s="680"/>
    </row>
    <row r="1290" spans="2:28" s="780" customFormat="1" hidden="1" x14ac:dyDescent="0.45">
      <c r="B1290" s="1692"/>
      <c r="C1290" s="1698" t="s">
        <v>329</v>
      </c>
      <c r="D1290" s="125" t="s">
        <v>326</v>
      </c>
      <c r="E1290" s="682"/>
      <c r="F1290" s="682"/>
      <c r="G1290" s="682"/>
      <c r="H1290" s="682"/>
      <c r="I1290" s="682"/>
      <c r="J1290" s="682"/>
      <c r="K1290" s="682"/>
      <c r="L1290" s="682"/>
      <c r="M1290" s="682"/>
      <c r="N1290" s="682"/>
      <c r="O1290" s="682"/>
      <c r="P1290" s="682"/>
      <c r="Q1290" s="682"/>
      <c r="R1290" s="682"/>
      <c r="S1290" s="682"/>
      <c r="T1290" s="682"/>
      <c r="U1290" s="682"/>
      <c r="V1290" s="682"/>
      <c r="W1290" s="682"/>
      <c r="X1290" s="682"/>
      <c r="Y1290" s="683"/>
      <c r="Z1290" s="683"/>
      <c r="AA1290" s="683"/>
      <c r="AB1290" s="684"/>
    </row>
    <row r="1291" spans="2:28" s="780" customFormat="1" hidden="1" x14ac:dyDescent="0.45">
      <c r="B1291" s="1692"/>
      <c r="C1291" s="1695"/>
      <c r="D1291" s="124" t="s">
        <v>327</v>
      </c>
      <c r="E1291" s="675"/>
      <c r="F1291" s="675"/>
      <c r="G1291" s="675"/>
      <c r="H1291" s="675"/>
      <c r="I1291" s="675"/>
      <c r="J1291" s="675"/>
      <c r="K1291" s="675"/>
      <c r="L1291" s="675"/>
      <c r="M1291" s="675"/>
      <c r="N1291" s="675"/>
      <c r="O1291" s="675"/>
      <c r="P1291" s="675"/>
      <c r="Q1291" s="675"/>
      <c r="R1291" s="675"/>
      <c r="S1291" s="675"/>
      <c r="T1291" s="675"/>
      <c r="U1291" s="675"/>
      <c r="V1291" s="675"/>
      <c r="W1291" s="675"/>
      <c r="X1291" s="675"/>
      <c r="Y1291" s="676"/>
      <c r="Z1291" s="676"/>
      <c r="AA1291" s="676"/>
      <c r="AB1291" s="677"/>
    </row>
    <row r="1292" spans="2:28" s="780" customFormat="1" hidden="1" x14ac:dyDescent="0.45">
      <c r="B1292" s="1692"/>
      <c r="C1292" s="1696" t="s">
        <v>330</v>
      </c>
      <c r="D1292" s="122" t="s">
        <v>326</v>
      </c>
      <c r="E1292" s="678"/>
      <c r="F1292" s="678"/>
      <c r="G1292" s="678"/>
      <c r="H1292" s="678"/>
      <c r="I1292" s="678"/>
      <c r="J1292" s="678"/>
      <c r="K1292" s="678"/>
      <c r="L1292" s="678"/>
      <c r="M1292" s="678"/>
      <c r="N1292" s="678"/>
      <c r="O1292" s="678"/>
      <c r="P1292" s="678"/>
      <c r="Q1292" s="678"/>
      <c r="R1292" s="678"/>
      <c r="S1292" s="678"/>
      <c r="T1292" s="678"/>
      <c r="U1292" s="678"/>
      <c r="V1292" s="678"/>
      <c r="W1292" s="678"/>
      <c r="X1292" s="678"/>
      <c r="Y1292" s="679"/>
      <c r="Z1292" s="679"/>
      <c r="AA1292" s="679"/>
      <c r="AB1292" s="680"/>
    </row>
    <row r="1293" spans="2:28" s="780" customFormat="1" hidden="1" x14ac:dyDescent="0.45">
      <c r="B1293" s="1692"/>
      <c r="C1293" s="1697"/>
      <c r="D1293" s="122" t="s">
        <v>327</v>
      </c>
      <c r="E1293" s="678"/>
      <c r="F1293" s="678"/>
      <c r="G1293" s="678"/>
      <c r="H1293" s="678"/>
      <c r="I1293" s="678"/>
      <c r="J1293" s="678"/>
      <c r="K1293" s="678"/>
      <c r="L1293" s="678"/>
      <c r="M1293" s="678"/>
      <c r="N1293" s="678"/>
      <c r="O1293" s="678"/>
      <c r="P1293" s="678"/>
      <c r="Q1293" s="678"/>
      <c r="R1293" s="678"/>
      <c r="S1293" s="678"/>
      <c r="T1293" s="678"/>
      <c r="U1293" s="678"/>
      <c r="V1293" s="678"/>
      <c r="W1293" s="678"/>
      <c r="X1293" s="681"/>
      <c r="Y1293" s="679"/>
      <c r="Z1293" s="679"/>
      <c r="AA1293" s="679"/>
      <c r="AB1293" s="680"/>
    </row>
    <row r="1294" spans="2:28" s="780" customFormat="1" hidden="1" x14ac:dyDescent="0.45">
      <c r="B1294" s="1692"/>
      <c r="C1294" s="1698" t="s">
        <v>331</v>
      </c>
      <c r="D1294" s="125" t="s">
        <v>326</v>
      </c>
      <c r="E1294" s="682"/>
      <c r="F1294" s="682"/>
      <c r="G1294" s="685"/>
      <c r="H1294" s="682"/>
      <c r="I1294" s="682"/>
      <c r="J1294" s="682"/>
      <c r="K1294" s="682"/>
      <c r="L1294" s="682"/>
      <c r="M1294" s="682"/>
      <c r="N1294" s="682"/>
      <c r="O1294" s="682"/>
      <c r="P1294" s="682"/>
      <c r="Q1294" s="682"/>
      <c r="R1294" s="682"/>
      <c r="S1294" s="682"/>
      <c r="T1294" s="682"/>
      <c r="U1294" s="682"/>
      <c r="V1294" s="682"/>
      <c r="W1294" s="682"/>
      <c r="X1294" s="682"/>
      <c r="Y1294" s="683"/>
      <c r="Z1294" s="683"/>
      <c r="AA1294" s="683"/>
      <c r="AB1294" s="684"/>
    </row>
    <row r="1295" spans="2:28" s="780" customFormat="1" hidden="1" x14ac:dyDescent="0.45">
      <c r="B1295" s="1692"/>
      <c r="C1295" s="1695"/>
      <c r="D1295" s="124" t="s">
        <v>327</v>
      </c>
      <c r="E1295" s="675"/>
      <c r="F1295" s="675"/>
      <c r="G1295" s="686"/>
      <c r="H1295" s="675"/>
      <c r="I1295" s="675"/>
      <c r="J1295" s="675"/>
      <c r="K1295" s="675"/>
      <c r="L1295" s="675"/>
      <c r="M1295" s="675"/>
      <c r="N1295" s="675"/>
      <c r="O1295" s="675"/>
      <c r="P1295" s="675"/>
      <c r="Q1295" s="675"/>
      <c r="R1295" s="675"/>
      <c r="S1295" s="675"/>
      <c r="T1295" s="675"/>
      <c r="U1295" s="675"/>
      <c r="V1295" s="675"/>
      <c r="W1295" s="675"/>
      <c r="X1295" s="675"/>
      <c r="Y1295" s="676"/>
      <c r="Z1295" s="676"/>
      <c r="AA1295" s="676"/>
      <c r="AB1295" s="677"/>
    </row>
    <row r="1296" spans="2:28" s="780" customFormat="1" hidden="1" x14ac:dyDescent="0.45">
      <c r="B1296" s="1692"/>
      <c r="C1296" s="1696" t="s">
        <v>332</v>
      </c>
      <c r="D1296" s="122" t="s">
        <v>326</v>
      </c>
      <c r="E1296" s="678"/>
      <c r="F1296" s="678"/>
      <c r="G1296" s="678"/>
      <c r="H1296" s="678"/>
      <c r="I1296" s="678"/>
      <c r="J1296" s="678"/>
      <c r="K1296" s="678"/>
      <c r="L1296" s="678"/>
      <c r="M1296" s="678"/>
      <c r="N1296" s="678"/>
      <c r="O1296" s="678"/>
      <c r="P1296" s="678"/>
      <c r="Q1296" s="678"/>
      <c r="R1296" s="678"/>
      <c r="S1296" s="678"/>
      <c r="T1296" s="678"/>
      <c r="U1296" s="678"/>
      <c r="V1296" s="678"/>
      <c r="W1296" s="679"/>
      <c r="X1296" s="679"/>
      <c r="Y1296" s="679"/>
      <c r="Z1296" s="679"/>
      <c r="AA1296" s="679"/>
      <c r="AB1296" s="680"/>
    </row>
    <row r="1297" spans="2:28" s="780" customFormat="1" hidden="1" x14ac:dyDescent="0.45">
      <c r="B1297" s="1692"/>
      <c r="C1297" s="1697"/>
      <c r="D1297" s="122" t="s">
        <v>327</v>
      </c>
      <c r="E1297" s="678"/>
      <c r="F1297" s="678"/>
      <c r="G1297" s="678"/>
      <c r="H1297" s="678"/>
      <c r="I1297" s="678"/>
      <c r="J1297" s="678"/>
      <c r="K1297" s="678"/>
      <c r="L1297" s="678"/>
      <c r="M1297" s="678"/>
      <c r="N1297" s="678"/>
      <c r="O1297" s="678"/>
      <c r="P1297" s="678"/>
      <c r="Q1297" s="678"/>
      <c r="R1297" s="678"/>
      <c r="S1297" s="678"/>
      <c r="T1297" s="678"/>
      <c r="U1297" s="678"/>
      <c r="V1297" s="678"/>
      <c r="W1297" s="678"/>
      <c r="X1297" s="678"/>
      <c r="Y1297" s="679"/>
      <c r="Z1297" s="679"/>
      <c r="AA1297" s="679"/>
      <c r="AB1297" s="680"/>
    </row>
    <row r="1298" spans="2:28" s="780" customFormat="1" hidden="1" x14ac:dyDescent="0.45">
      <c r="B1298" s="1692"/>
      <c r="C1298" s="1698" t="s">
        <v>333</v>
      </c>
      <c r="D1298" s="124" t="s">
        <v>326</v>
      </c>
      <c r="E1298" s="675"/>
      <c r="F1298" s="675"/>
      <c r="G1298" s="675"/>
      <c r="H1298" s="675"/>
      <c r="I1298" s="675"/>
      <c r="J1298" s="675"/>
      <c r="K1298" s="675"/>
      <c r="L1298" s="675"/>
      <c r="M1298" s="675"/>
      <c r="N1298" s="675"/>
      <c r="O1298" s="675"/>
      <c r="P1298" s="675"/>
      <c r="Q1298" s="675"/>
      <c r="R1298" s="675"/>
      <c r="S1298" s="675"/>
      <c r="T1298" s="675"/>
      <c r="U1298" s="675"/>
      <c r="V1298" s="675"/>
      <c r="W1298" s="676"/>
      <c r="X1298" s="676"/>
      <c r="Y1298" s="676"/>
      <c r="Z1298" s="676"/>
      <c r="AA1298" s="676"/>
      <c r="AB1298" s="677"/>
    </row>
    <row r="1299" spans="2:28" s="780" customFormat="1" hidden="1" x14ac:dyDescent="0.45">
      <c r="B1299" s="1693"/>
      <c r="C1299" s="1699"/>
      <c r="D1299" s="126" t="s">
        <v>327</v>
      </c>
      <c r="E1299" s="687"/>
      <c r="F1299" s="687"/>
      <c r="G1299" s="687"/>
      <c r="H1299" s="687"/>
      <c r="I1299" s="687"/>
      <c r="J1299" s="687"/>
      <c r="K1299" s="687"/>
      <c r="L1299" s="687"/>
      <c r="M1299" s="687"/>
      <c r="N1299" s="687"/>
      <c r="O1299" s="687"/>
      <c r="P1299" s="687"/>
      <c r="Q1299" s="687"/>
      <c r="R1299" s="687"/>
      <c r="S1299" s="687"/>
      <c r="T1299" s="687"/>
      <c r="U1299" s="687"/>
      <c r="V1299" s="687"/>
      <c r="W1299" s="687"/>
      <c r="X1299" s="687"/>
      <c r="Y1299" s="687"/>
      <c r="Z1299" s="687"/>
      <c r="AA1299" s="687"/>
      <c r="AB1299" s="688"/>
    </row>
    <row r="1300" spans="2:28" s="780" customFormat="1" hidden="1" x14ac:dyDescent="0.45"/>
    <row r="1301" spans="2:28" s="780" customFormat="1" hidden="1" x14ac:dyDescent="0.45">
      <c r="B1301" s="1688" t="s">
        <v>54</v>
      </c>
      <c r="C1301" s="1689"/>
      <c r="D1301" s="1690"/>
      <c r="E1301" s="779"/>
      <c r="F1301" s="779"/>
      <c r="G1301" s="779"/>
      <c r="H1301" s="779"/>
      <c r="I1301" s="779"/>
      <c r="J1301" s="779"/>
      <c r="K1301" s="779"/>
      <c r="L1301" s="779"/>
      <c r="M1301" s="779"/>
      <c r="N1301" s="779"/>
      <c r="O1301" s="779"/>
      <c r="P1301" s="779"/>
      <c r="Q1301" s="779"/>
      <c r="R1301" s="779"/>
      <c r="S1301" s="779"/>
      <c r="T1301" s="779"/>
      <c r="U1301" s="779"/>
      <c r="V1301" s="779"/>
      <c r="W1301" s="779"/>
      <c r="X1301" s="779"/>
      <c r="Y1301" s="779"/>
      <c r="Z1301" s="779"/>
      <c r="AA1301" s="779"/>
      <c r="AB1301" s="708"/>
    </row>
    <row r="1302" spans="2:28" s="780" customFormat="1" ht="15" hidden="1" customHeight="1" x14ac:dyDescent="0.45">
      <c r="B1302" s="1691" t="str">
        <f>CONCATENATE("Plan ", INDEX(plans_index,,(ROW(B1302)-6)/16), ": ", INDEX(plans_name,,(ROW(B1302)-6)/16))</f>
        <v xml:space="preserve">Plan 81: </v>
      </c>
      <c r="C1302" s="1694" t="s">
        <v>325</v>
      </c>
      <c r="D1302" s="123" t="s">
        <v>326</v>
      </c>
      <c r="E1302" s="672"/>
      <c r="F1302" s="672"/>
      <c r="G1302" s="672"/>
      <c r="H1302" s="673"/>
      <c r="I1302" s="672"/>
      <c r="J1302" s="672"/>
      <c r="K1302" s="672"/>
      <c r="L1302" s="672"/>
      <c r="M1302" s="672"/>
      <c r="N1302" s="672"/>
      <c r="O1302" s="672"/>
      <c r="P1302" s="672"/>
      <c r="Q1302" s="672"/>
      <c r="R1302" s="672"/>
      <c r="S1302" s="672"/>
      <c r="T1302" s="672"/>
      <c r="U1302" s="672"/>
      <c r="V1302" s="672"/>
      <c r="W1302" s="672"/>
      <c r="X1302" s="672"/>
      <c r="Y1302" s="672"/>
      <c r="Z1302" s="672"/>
      <c r="AA1302" s="672"/>
      <c r="AB1302" s="674"/>
    </row>
    <row r="1303" spans="2:28" s="780" customFormat="1" hidden="1" x14ac:dyDescent="0.45">
      <c r="B1303" s="1692"/>
      <c r="C1303" s="1695"/>
      <c r="D1303" s="124" t="s">
        <v>327</v>
      </c>
      <c r="E1303" s="675"/>
      <c r="F1303" s="675"/>
      <c r="G1303" s="675"/>
      <c r="H1303" s="675"/>
      <c r="I1303" s="675"/>
      <c r="J1303" s="675"/>
      <c r="K1303" s="675"/>
      <c r="L1303" s="675"/>
      <c r="M1303" s="675"/>
      <c r="N1303" s="675"/>
      <c r="O1303" s="675"/>
      <c r="P1303" s="675"/>
      <c r="Q1303" s="675"/>
      <c r="R1303" s="675"/>
      <c r="S1303" s="675"/>
      <c r="T1303" s="675"/>
      <c r="U1303" s="675"/>
      <c r="V1303" s="675"/>
      <c r="W1303" s="675"/>
      <c r="X1303" s="675"/>
      <c r="Y1303" s="676"/>
      <c r="Z1303" s="676"/>
      <c r="AA1303" s="676"/>
      <c r="AB1303" s="677"/>
    </row>
    <row r="1304" spans="2:28" s="780" customFormat="1" hidden="1" x14ac:dyDescent="0.45">
      <c r="B1304" s="1692"/>
      <c r="C1304" s="1696" t="s">
        <v>328</v>
      </c>
      <c r="D1304" s="122" t="s">
        <v>326</v>
      </c>
      <c r="E1304" s="678"/>
      <c r="F1304" s="678"/>
      <c r="G1304" s="678"/>
      <c r="H1304" s="678"/>
      <c r="I1304" s="678"/>
      <c r="J1304" s="678"/>
      <c r="K1304" s="678"/>
      <c r="L1304" s="678"/>
      <c r="M1304" s="678"/>
      <c r="N1304" s="678"/>
      <c r="O1304" s="678"/>
      <c r="P1304" s="678"/>
      <c r="Q1304" s="678"/>
      <c r="R1304" s="678"/>
      <c r="S1304" s="678"/>
      <c r="T1304" s="678"/>
      <c r="U1304" s="678"/>
      <c r="V1304" s="678"/>
      <c r="W1304" s="678"/>
      <c r="X1304" s="678"/>
      <c r="Y1304" s="679"/>
      <c r="Z1304" s="679"/>
      <c r="AA1304" s="679"/>
      <c r="AB1304" s="680"/>
    </row>
    <row r="1305" spans="2:28" s="780" customFormat="1" hidden="1" x14ac:dyDescent="0.45">
      <c r="B1305" s="1692"/>
      <c r="C1305" s="1697"/>
      <c r="D1305" s="122" t="s">
        <v>327</v>
      </c>
      <c r="E1305" s="678"/>
      <c r="F1305" s="678"/>
      <c r="G1305" s="678"/>
      <c r="H1305" s="678"/>
      <c r="I1305" s="678"/>
      <c r="J1305" s="678"/>
      <c r="K1305" s="678"/>
      <c r="L1305" s="678"/>
      <c r="M1305" s="678"/>
      <c r="N1305" s="678"/>
      <c r="O1305" s="678"/>
      <c r="P1305" s="678"/>
      <c r="Q1305" s="678"/>
      <c r="R1305" s="678"/>
      <c r="S1305" s="678"/>
      <c r="T1305" s="678"/>
      <c r="U1305" s="678"/>
      <c r="V1305" s="678"/>
      <c r="W1305" s="678"/>
      <c r="X1305" s="681"/>
      <c r="Y1305" s="679"/>
      <c r="Z1305" s="679"/>
      <c r="AA1305" s="679"/>
      <c r="AB1305" s="680"/>
    </row>
    <row r="1306" spans="2:28" s="780" customFormat="1" hidden="1" x14ac:dyDescent="0.45">
      <c r="B1306" s="1692"/>
      <c r="C1306" s="1698" t="s">
        <v>329</v>
      </c>
      <c r="D1306" s="125" t="s">
        <v>326</v>
      </c>
      <c r="E1306" s="682"/>
      <c r="F1306" s="682"/>
      <c r="G1306" s="682"/>
      <c r="H1306" s="682"/>
      <c r="I1306" s="682"/>
      <c r="J1306" s="682"/>
      <c r="K1306" s="682"/>
      <c r="L1306" s="682"/>
      <c r="M1306" s="682"/>
      <c r="N1306" s="682"/>
      <c r="O1306" s="682"/>
      <c r="P1306" s="682"/>
      <c r="Q1306" s="682"/>
      <c r="R1306" s="682"/>
      <c r="S1306" s="682"/>
      <c r="T1306" s="682"/>
      <c r="U1306" s="682"/>
      <c r="V1306" s="682"/>
      <c r="W1306" s="682"/>
      <c r="X1306" s="682"/>
      <c r="Y1306" s="683"/>
      <c r="Z1306" s="683"/>
      <c r="AA1306" s="683"/>
      <c r="AB1306" s="684"/>
    </row>
    <row r="1307" spans="2:28" s="780" customFormat="1" hidden="1" x14ac:dyDescent="0.45">
      <c r="B1307" s="1692"/>
      <c r="C1307" s="1695"/>
      <c r="D1307" s="124" t="s">
        <v>327</v>
      </c>
      <c r="E1307" s="675"/>
      <c r="F1307" s="675"/>
      <c r="G1307" s="675"/>
      <c r="H1307" s="675"/>
      <c r="I1307" s="675"/>
      <c r="J1307" s="675"/>
      <c r="K1307" s="675"/>
      <c r="L1307" s="675"/>
      <c r="M1307" s="675"/>
      <c r="N1307" s="675"/>
      <c r="O1307" s="675"/>
      <c r="P1307" s="675"/>
      <c r="Q1307" s="675"/>
      <c r="R1307" s="675"/>
      <c r="S1307" s="675"/>
      <c r="T1307" s="675"/>
      <c r="U1307" s="675"/>
      <c r="V1307" s="675"/>
      <c r="W1307" s="675"/>
      <c r="X1307" s="675"/>
      <c r="Y1307" s="676"/>
      <c r="Z1307" s="676"/>
      <c r="AA1307" s="676"/>
      <c r="AB1307" s="677"/>
    </row>
    <row r="1308" spans="2:28" s="780" customFormat="1" hidden="1" x14ac:dyDescent="0.45">
      <c r="B1308" s="1692"/>
      <c r="C1308" s="1696" t="s">
        <v>330</v>
      </c>
      <c r="D1308" s="122" t="s">
        <v>326</v>
      </c>
      <c r="E1308" s="678"/>
      <c r="F1308" s="678"/>
      <c r="G1308" s="678"/>
      <c r="H1308" s="678"/>
      <c r="I1308" s="678"/>
      <c r="J1308" s="678"/>
      <c r="K1308" s="678"/>
      <c r="L1308" s="678"/>
      <c r="M1308" s="678"/>
      <c r="N1308" s="678"/>
      <c r="O1308" s="678"/>
      <c r="P1308" s="678"/>
      <c r="Q1308" s="678"/>
      <c r="R1308" s="678"/>
      <c r="S1308" s="678"/>
      <c r="T1308" s="678"/>
      <c r="U1308" s="678"/>
      <c r="V1308" s="678"/>
      <c r="W1308" s="678"/>
      <c r="X1308" s="678"/>
      <c r="Y1308" s="679"/>
      <c r="Z1308" s="679"/>
      <c r="AA1308" s="679"/>
      <c r="AB1308" s="680"/>
    </row>
    <row r="1309" spans="2:28" s="780" customFormat="1" hidden="1" x14ac:dyDescent="0.45">
      <c r="B1309" s="1692"/>
      <c r="C1309" s="1697"/>
      <c r="D1309" s="122" t="s">
        <v>327</v>
      </c>
      <c r="E1309" s="678"/>
      <c r="F1309" s="678"/>
      <c r="G1309" s="678"/>
      <c r="H1309" s="678"/>
      <c r="I1309" s="678"/>
      <c r="J1309" s="678"/>
      <c r="K1309" s="678"/>
      <c r="L1309" s="678"/>
      <c r="M1309" s="678"/>
      <c r="N1309" s="678"/>
      <c r="O1309" s="678"/>
      <c r="P1309" s="678"/>
      <c r="Q1309" s="678"/>
      <c r="R1309" s="678"/>
      <c r="S1309" s="678"/>
      <c r="T1309" s="678"/>
      <c r="U1309" s="678"/>
      <c r="V1309" s="678"/>
      <c r="W1309" s="678"/>
      <c r="X1309" s="681"/>
      <c r="Y1309" s="679"/>
      <c r="Z1309" s="679"/>
      <c r="AA1309" s="679"/>
      <c r="AB1309" s="680"/>
    </row>
    <row r="1310" spans="2:28" s="780" customFormat="1" hidden="1" x14ac:dyDescent="0.45">
      <c r="B1310" s="1692"/>
      <c r="C1310" s="1698" t="s">
        <v>331</v>
      </c>
      <c r="D1310" s="125" t="s">
        <v>326</v>
      </c>
      <c r="E1310" s="682"/>
      <c r="F1310" s="682"/>
      <c r="G1310" s="685"/>
      <c r="H1310" s="682"/>
      <c r="I1310" s="682"/>
      <c r="J1310" s="682"/>
      <c r="K1310" s="682"/>
      <c r="L1310" s="682"/>
      <c r="M1310" s="682"/>
      <c r="N1310" s="682"/>
      <c r="O1310" s="682"/>
      <c r="P1310" s="682"/>
      <c r="Q1310" s="682"/>
      <c r="R1310" s="682"/>
      <c r="S1310" s="682"/>
      <c r="T1310" s="682"/>
      <c r="U1310" s="682"/>
      <c r="V1310" s="682"/>
      <c r="W1310" s="682"/>
      <c r="X1310" s="682"/>
      <c r="Y1310" s="683"/>
      <c r="Z1310" s="683"/>
      <c r="AA1310" s="683"/>
      <c r="AB1310" s="684"/>
    </row>
    <row r="1311" spans="2:28" s="780" customFormat="1" hidden="1" x14ac:dyDescent="0.45">
      <c r="B1311" s="1692"/>
      <c r="C1311" s="1695"/>
      <c r="D1311" s="124" t="s">
        <v>327</v>
      </c>
      <c r="E1311" s="675"/>
      <c r="F1311" s="675"/>
      <c r="G1311" s="686"/>
      <c r="H1311" s="675"/>
      <c r="I1311" s="675"/>
      <c r="J1311" s="675"/>
      <c r="K1311" s="675"/>
      <c r="L1311" s="675"/>
      <c r="M1311" s="675"/>
      <c r="N1311" s="675"/>
      <c r="O1311" s="675"/>
      <c r="P1311" s="675"/>
      <c r="Q1311" s="675"/>
      <c r="R1311" s="675"/>
      <c r="S1311" s="675"/>
      <c r="T1311" s="675"/>
      <c r="U1311" s="675"/>
      <c r="V1311" s="675"/>
      <c r="W1311" s="675"/>
      <c r="X1311" s="675"/>
      <c r="Y1311" s="676"/>
      <c r="Z1311" s="676"/>
      <c r="AA1311" s="676"/>
      <c r="AB1311" s="677"/>
    </row>
    <row r="1312" spans="2:28" s="780" customFormat="1" hidden="1" x14ac:dyDescent="0.45">
      <c r="B1312" s="1692"/>
      <c r="C1312" s="1696" t="s">
        <v>332</v>
      </c>
      <c r="D1312" s="122" t="s">
        <v>326</v>
      </c>
      <c r="E1312" s="678"/>
      <c r="F1312" s="678"/>
      <c r="G1312" s="678"/>
      <c r="H1312" s="678"/>
      <c r="I1312" s="678"/>
      <c r="J1312" s="678"/>
      <c r="K1312" s="678"/>
      <c r="L1312" s="678"/>
      <c r="M1312" s="678"/>
      <c r="N1312" s="678"/>
      <c r="O1312" s="678"/>
      <c r="P1312" s="678"/>
      <c r="Q1312" s="678"/>
      <c r="R1312" s="678"/>
      <c r="S1312" s="678"/>
      <c r="T1312" s="678"/>
      <c r="U1312" s="678"/>
      <c r="V1312" s="678"/>
      <c r="W1312" s="679"/>
      <c r="X1312" s="679"/>
      <c r="Y1312" s="679"/>
      <c r="Z1312" s="679"/>
      <c r="AA1312" s="679"/>
      <c r="AB1312" s="680"/>
    </row>
    <row r="1313" spans="2:28" s="780" customFormat="1" hidden="1" x14ac:dyDescent="0.45">
      <c r="B1313" s="1692"/>
      <c r="C1313" s="1697"/>
      <c r="D1313" s="122" t="s">
        <v>327</v>
      </c>
      <c r="E1313" s="678"/>
      <c r="F1313" s="678"/>
      <c r="G1313" s="678"/>
      <c r="H1313" s="678"/>
      <c r="I1313" s="678"/>
      <c r="J1313" s="678"/>
      <c r="K1313" s="678"/>
      <c r="L1313" s="678"/>
      <c r="M1313" s="678"/>
      <c r="N1313" s="678"/>
      <c r="O1313" s="678"/>
      <c r="P1313" s="678"/>
      <c r="Q1313" s="678"/>
      <c r="R1313" s="678"/>
      <c r="S1313" s="678"/>
      <c r="T1313" s="678"/>
      <c r="U1313" s="678"/>
      <c r="V1313" s="678"/>
      <c r="W1313" s="678"/>
      <c r="X1313" s="678"/>
      <c r="Y1313" s="679"/>
      <c r="Z1313" s="679"/>
      <c r="AA1313" s="679"/>
      <c r="AB1313" s="680"/>
    </row>
    <row r="1314" spans="2:28" s="780" customFormat="1" hidden="1" x14ac:dyDescent="0.45">
      <c r="B1314" s="1692"/>
      <c r="C1314" s="1698" t="s">
        <v>333</v>
      </c>
      <c r="D1314" s="124" t="s">
        <v>326</v>
      </c>
      <c r="E1314" s="675"/>
      <c r="F1314" s="675"/>
      <c r="G1314" s="675"/>
      <c r="H1314" s="675"/>
      <c r="I1314" s="675"/>
      <c r="J1314" s="675"/>
      <c r="K1314" s="675"/>
      <c r="L1314" s="675"/>
      <c r="M1314" s="675"/>
      <c r="N1314" s="675"/>
      <c r="O1314" s="675"/>
      <c r="P1314" s="675"/>
      <c r="Q1314" s="675"/>
      <c r="R1314" s="675"/>
      <c r="S1314" s="675"/>
      <c r="T1314" s="675"/>
      <c r="U1314" s="675"/>
      <c r="V1314" s="675"/>
      <c r="W1314" s="676"/>
      <c r="X1314" s="676"/>
      <c r="Y1314" s="676"/>
      <c r="Z1314" s="676"/>
      <c r="AA1314" s="676"/>
      <c r="AB1314" s="677"/>
    </row>
    <row r="1315" spans="2:28" s="780" customFormat="1" hidden="1" x14ac:dyDescent="0.45">
      <c r="B1315" s="1693"/>
      <c r="C1315" s="1699"/>
      <c r="D1315" s="126" t="s">
        <v>327</v>
      </c>
      <c r="E1315" s="687"/>
      <c r="F1315" s="687"/>
      <c r="G1315" s="687"/>
      <c r="H1315" s="687"/>
      <c r="I1315" s="687"/>
      <c r="J1315" s="687"/>
      <c r="K1315" s="687"/>
      <c r="L1315" s="687"/>
      <c r="M1315" s="687"/>
      <c r="N1315" s="687"/>
      <c r="O1315" s="687"/>
      <c r="P1315" s="687"/>
      <c r="Q1315" s="687"/>
      <c r="R1315" s="687"/>
      <c r="S1315" s="687"/>
      <c r="T1315" s="687"/>
      <c r="U1315" s="687"/>
      <c r="V1315" s="687"/>
      <c r="W1315" s="687"/>
      <c r="X1315" s="687"/>
      <c r="Y1315" s="687"/>
      <c r="Z1315" s="687"/>
      <c r="AA1315" s="687"/>
      <c r="AB1315" s="688"/>
    </row>
    <row r="1316" spans="2:28" s="780" customFormat="1" hidden="1" x14ac:dyDescent="0.45"/>
    <row r="1317" spans="2:28" s="780" customFormat="1" hidden="1" x14ac:dyDescent="0.45">
      <c r="B1317" s="1688" t="s">
        <v>54</v>
      </c>
      <c r="C1317" s="1689"/>
      <c r="D1317" s="1690"/>
      <c r="E1317" s="779"/>
      <c r="F1317" s="779"/>
      <c r="G1317" s="779"/>
      <c r="H1317" s="779"/>
      <c r="I1317" s="779"/>
      <c r="J1317" s="779"/>
      <c r="K1317" s="779"/>
      <c r="L1317" s="779"/>
      <c r="M1317" s="779"/>
      <c r="N1317" s="779"/>
      <c r="O1317" s="779"/>
      <c r="P1317" s="779"/>
      <c r="Q1317" s="779"/>
      <c r="R1317" s="779"/>
      <c r="S1317" s="779"/>
      <c r="T1317" s="779"/>
      <c r="U1317" s="779"/>
      <c r="V1317" s="779"/>
      <c r="W1317" s="779"/>
      <c r="X1317" s="779"/>
      <c r="Y1317" s="779"/>
      <c r="Z1317" s="779"/>
      <c r="AA1317" s="779"/>
      <c r="AB1317" s="708"/>
    </row>
    <row r="1318" spans="2:28" s="780" customFormat="1" ht="15" hidden="1" customHeight="1" x14ac:dyDescent="0.45">
      <c r="B1318" s="1691" t="str">
        <f>CONCATENATE("Plan ", INDEX(plans_index,,(ROW(B1318)-6)/16), ": ", INDEX(plans_name,,(ROW(B1318)-6)/16))</f>
        <v xml:space="preserve">Plan 82: </v>
      </c>
      <c r="C1318" s="1694" t="s">
        <v>325</v>
      </c>
      <c r="D1318" s="123" t="s">
        <v>326</v>
      </c>
      <c r="E1318" s="672"/>
      <c r="F1318" s="672"/>
      <c r="G1318" s="672"/>
      <c r="H1318" s="673"/>
      <c r="I1318" s="672"/>
      <c r="J1318" s="672"/>
      <c r="K1318" s="672"/>
      <c r="L1318" s="672"/>
      <c r="M1318" s="672"/>
      <c r="N1318" s="672"/>
      <c r="O1318" s="672"/>
      <c r="P1318" s="672"/>
      <c r="Q1318" s="672"/>
      <c r="R1318" s="672"/>
      <c r="S1318" s="672"/>
      <c r="T1318" s="672"/>
      <c r="U1318" s="672"/>
      <c r="V1318" s="672"/>
      <c r="W1318" s="672"/>
      <c r="X1318" s="672"/>
      <c r="Y1318" s="672"/>
      <c r="Z1318" s="672"/>
      <c r="AA1318" s="672"/>
      <c r="AB1318" s="674"/>
    </row>
    <row r="1319" spans="2:28" s="780" customFormat="1" hidden="1" x14ac:dyDescent="0.45">
      <c r="B1319" s="1692"/>
      <c r="C1319" s="1695"/>
      <c r="D1319" s="124" t="s">
        <v>327</v>
      </c>
      <c r="E1319" s="675"/>
      <c r="F1319" s="675"/>
      <c r="G1319" s="675"/>
      <c r="H1319" s="675"/>
      <c r="I1319" s="675"/>
      <c r="J1319" s="675"/>
      <c r="K1319" s="675"/>
      <c r="L1319" s="675"/>
      <c r="M1319" s="675"/>
      <c r="N1319" s="675"/>
      <c r="O1319" s="675"/>
      <c r="P1319" s="675"/>
      <c r="Q1319" s="675"/>
      <c r="R1319" s="675"/>
      <c r="S1319" s="675"/>
      <c r="T1319" s="675"/>
      <c r="U1319" s="675"/>
      <c r="V1319" s="675"/>
      <c r="W1319" s="675"/>
      <c r="X1319" s="675"/>
      <c r="Y1319" s="676"/>
      <c r="Z1319" s="676"/>
      <c r="AA1319" s="676"/>
      <c r="AB1319" s="677"/>
    </row>
    <row r="1320" spans="2:28" s="780" customFormat="1" hidden="1" x14ac:dyDescent="0.45">
      <c r="B1320" s="1692"/>
      <c r="C1320" s="1696" t="s">
        <v>328</v>
      </c>
      <c r="D1320" s="122" t="s">
        <v>326</v>
      </c>
      <c r="E1320" s="678"/>
      <c r="F1320" s="678"/>
      <c r="G1320" s="678"/>
      <c r="H1320" s="678"/>
      <c r="I1320" s="678"/>
      <c r="J1320" s="678"/>
      <c r="K1320" s="678"/>
      <c r="L1320" s="678"/>
      <c r="M1320" s="678"/>
      <c r="N1320" s="678"/>
      <c r="O1320" s="678"/>
      <c r="P1320" s="678"/>
      <c r="Q1320" s="678"/>
      <c r="R1320" s="678"/>
      <c r="S1320" s="678"/>
      <c r="T1320" s="678"/>
      <c r="U1320" s="678"/>
      <c r="V1320" s="678"/>
      <c r="W1320" s="678"/>
      <c r="X1320" s="678"/>
      <c r="Y1320" s="679"/>
      <c r="Z1320" s="679"/>
      <c r="AA1320" s="679"/>
      <c r="AB1320" s="680"/>
    </row>
    <row r="1321" spans="2:28" s="780" customFormat="1" hidden="1" x14ac:dyDescent="0.45">
      <c r="B1321" s="1692"/>
      <c r="C1321" s="1697"/>
      <c r="D1321" s="122" t="s">
        <v>327</v>
      </c>
      <c r="E1321" s="678"/>
      <c r="F1321" s="678"/>
      <c r="G1321" s="678"/>
      <c r="H1321" s="678"/>
      <c r="I1321" s="678"/>
      <c r="J1321" s="678"/>
      <c r="K1321" s="678"/>
      <c r="L1321" s="678"/>
      <c r="M1321" s="678"/>
      <c r="N1321" s="678"/>
      <c r="O1321" s="678"/>
      <c r="P1321" s="678"/>
      <c r="Q1321" s="678"/>
      <c r="R1321" s="678"/>
      <c r="S1321" s="678"/>
      <c r="T1321" s="678"/>
      <c r="U1321" s="678"/>
      <c r="V1321" s="678"/>
      <c r="W1321" s="678"/>
      <c r="X1321" s="681"/>
      <c r="Y1321" s="679"/>
      <c r="Z1321" s="679"/>
      <c r="AA1321" s="679"/>
      <c r="AB1321" s="680"/>
    </row>
    <row r="1322" spans="2:28" s="780" customFormat="1" hidden="1" x14ac:dyDescent="0.45">
      <c r="B1322" s="1692"/>
      <c r="C1322" s="1698" t="s">
        <v>329</v>
      </c>
      <c r="D1322" s="125" t="s">
        <v>326</v>
      </c>
      <c r="E1322" s="682"/>
      <c r="F1322" s="682"/>
      <c r="G1322" s="682"/>
      <c r="H1322" s="682"/>
      <c r="I1322" s="682"/>
      <c r="J1322" s="682"/>
      <c r="K1322" s="682"/>
      <c r="L1322" s="682"/>
      <c r="M1322" s="682"/>
      <c r="N1322" s="682"/>
      <c r="O1322" s="682"/>
      <c r="P1322" s="682"/>
      <c r="Q1322" s="682"/>
      <c r="R1322" s="682"/>
      <c r="S1322" s="682"/>
      <c r="T1322" s="682"/>
      <c r="U1322" s="682"/>
      <c r="V1322" s="682"/>
      <c r="W1322" s="682"/>
      <c r="X1322" s="682"/>
      <c r="Y1322" s="683"/>
      <c r="Z1322" s="683"/>
      <c r="AA1322" s="683"/>
      <c r="AB1322" s="684"/>
    </row>
    <row r="1323" spans="2:28" s="780" customFormat="1" hidden="1" x14ac:dyDescent="0.45">
      <c r="B1323" s="1692"/>
      <c r="C1323" s="1695"/>
      <c r="D1323" s="124" t="s">
        <v>327</v>
      </c>
      <c r="E1323" s="675"/>
      <c r="F1323" s="675"/>
      <c r="G1323" s="675"/>
      <c r="H1323" s="675"/>
      <c r="I1323" s="675"/>
      <c r="J1323" s="675"/>
      <c r="K1323" s="675"/>
      <c r="L1323" s="675"/>
      <c r="M1323" s="675"/>
      <c r="N1323" s="675"/>
      <c r="O1323" s="675"/>
      <c r="P1323" s="675"/>
      <c r="Q1323" s="675"/>
      <c r="R1323" s="675"/>
      <c r="S1323" s="675"/>
      <c r="T1323" s="675"/>
      <c r="U1323" s="675"/>
      <c r="V1323" s="675"/>
      <c r="W1323" s="675"/>
      <c r="X1323" s="675"/>
      <c r="Y1323" s="676"/>
      <c r="Z1323" s="676"/>
      <c r="AA1323" s="676"/>
      <c r="AB1323" s="677"/>
    </row>
    <row r="1324" spans="2:28" s="780" customFormat="1" hidden="1" x14ac:dyDescent="0.45">
      <c r="B1324" s="1692"/>
      <c r="C1324" s="1696" t="s">
        <v>330</v>
      </c>
      <c r="D1324" s="122" t="s">
        <v>326</v>
      </c>
      <c r="E1324" s="678"/>
      <c r="F1324" s="678"/>
      <c r="G1324" s="678"/>
      <c r="H1324" s="678"/>
      <c r="I1324" s="678"/>
      <c r="J1324" s="678"/>
      <c r="K1324" s="678"/>
      <c r="L1324" s="678"/>
      <c r="M1324" s="678"/>
      <c r="N1324" s="678"/>
      <c r="O1324" s="678"/>
      <c r="P1324" s="678"/>
      <c r="Q1324" s="678"/>
      <c r="R1324" s="678"/>
      <c r="S1324" s="678"/>
      <c r="T1324" s="678"/>
      <c r="U1324" s="678"/>
      <c r="V1324" s="678"/>
      <c r="W1324" s="678"/>
      <c r="X1324" s="678"/>
      <c r="Y1324" s="679"/>
      <c r="Z1324" s="679"/>
      <c r="AA1324" s="679"/>
      <c r="AB1324" s="680"/>
    </row>
    <row r="1325" spans="2:28" s="780" customFormat="1" hidden="1" x14ac:dyDescent="0.45">
      <c r="B1325" s="1692"/>
      <c r="C1325" s="1697"/>
      <c r="D1325" s="122" t="s">
        <v>327</v>
      </c>
      <c r="E1325" s="678"/>
      <c r="F1325" s="678"/>
      <c r="G1325" s="678"/>
      <c r="H1325" s="678"/>
      <c r="I1325" s="678"/>
      <c r="J1325" s="678"/>
      <c r="K1325" s="678"/>
      <c r="L1325" s="678"/>
      <c r="M1325" s="678"/>
      <c r="N1325" s="678"/>
      <c r="O1325" s="678"/>
      <c r="P1325" s="678"/>
      <c r="Q1325" s="678"/>
      <c r="R1325" s="678"/>
      <c r="S1325" s="678"/>
      <c r="T1325" s="678"/>
      <c r="U1325" s="678"/>
      <c r="V1325" s="678"/>
      <c r="W1325" s="678"/>
      <c r="X1325" s="681"/>
      <c r="Y1325" s="679"/>
      <c r="Z1325" s="679"/>
      <c r="AA1325" s="679"/>
      <c r="AB1325" s="680"/>
    </row>
    <row r="1326" spans="2:28" s="780" customFormat="1" hidden="1" x14ac:dyDescent="0.45">
      <c r="B1326" s="1692"/>
      <c r="C1326" s="1698" t="s">
        <v>331</v>
      </c>
      <c r="D1326" s="125" t="s">
        <v>326</v>
      </c>
      <c r="E1326" s="682"/>
      <c r="F1326" s="682"/>
      <c r="G1326" s="685"/>
      <c r="H1326" s="682"/>
      <c r="I1326" s="682"/>
      <c r="J1326" s="682"/>
      <c r="K1326" s="682"/>
      <c r="L1326" s="682"/>
      <c r="M1326" s="682"/>
      <c r="N1326" s="682"/>
      <c r="O1326" s="682"/>
      <c r="P1326" s="682"/>
      <c r="Q1326" s="682"/>
      <c r="R1326" s="682"/>
      <c r="S1326" s="682"/>
      <c r="T1326" s="682"/>
      <c r="U1326" s="682"/>
      <c r="V1326" s="682"/>
      <c r="W1326" s="682"/>
      <c r="X1326" s="682"/>
      <c r="Y1326" s="683"/>
      <c r="Z1326" s="683"/>
      <c r="AA1326" s="683"/>
      <c r="AB1326" s="684"/>
    </row>
    <row r="1327" spans="2:28" s="780" customFormat="1" hidden="1" x14ac:dyDescent="0.45">
      <c r="B1327" s="1692"/>
      <c r="C1327" s="1695"/>
      <c r="D1327" s="124" t="s">
        <v>327</v>
      </c>
      <c r="E1327" s="675"/>
      <c r="F1327" s="675"/>
      <c r="G1327" s="686"/>
      <c r="H1327" s="675"/>
      <c r="I1327" s="675"/>
      <c r="J1327" s="675"/>
      <c r="K1327" s="675"/>
      <c r="L1327" s="675"/>
      <c r="M1327" s="675"/>
      <c r="N1327" s="675"/>
      <c r="O1327" s="675"/>
      <c r="P1327" s="675"/>
      <c r="Q1327" s="675"/>
      <c r="R1327" s="675"/>
      <c r="S1327" s="675"/>
      <c r="T1327" s="675"/>
      <c r="U1327" s="675"/>
      <c r="V1327" s="675"/>
      <c r="W1327" s="675"/>
      <c r="X1327" s="675"/>
      <c r="Y1327" s="676"/>
      <c r="Z1327" s="676"/>
      <c r="AA1327" s="676"/>
      <c r="AB1327" s="677"/>
    </row>
    <row r="1328" spans="2:28" s="780" customFormat="1" hidden="1" x14ac:dyDescent="0.45">
      <c r="B1328" s="1692"/>
      <c r="C1328" s="1696" t="s">
        <v>332</v>
      </c>
      <c r="D1328" s="122" t="s">
        <v>326</v>
      </c>
      <c r="E1328" s="678"/>
      <c r="F1328" s="678"/>
      <c r="G1328" s="678"/>
      <c r="H1328" s="678"/>
      <c r="I1328" s="678"/>
      <c r="J1328" s="678"/>
      <c r="K1328" s="678"/>
      <c r="L1328" s="678"/>
      <c r="M1328" s="678"/>
      <c r="N1328" s="678"/>
      <c r="O1328" s="678"/>
      <c r="P1328" s="678"/>
      <c r="Q1328" s="678"/>
      <c r="R1328" s="678"/>
      <c r="S1328" s="678"/>
      <c r="T1328" s="678"/>
      <c r="U1328" s="678"/>
      <c r="V1328" s="678"/>
      <c r="W1328" s="679"/>
      <c r="X1328" s="679"/>
      <c r="Y1328" s="679"/>
      <c r="Z1328" s="679"/>
      <c r="AA1328" s="679"/>
      <c r="AB1328" s="680"/>
    </row>
    <row r="1329" spans="2:28" s="780" customFormat="1" hidden="1" x14ac:dyDescent="0.45">
      <c r="B1329" s="1692"/>
      <c r="C1329" s="1697"/>
      <c r="D1329" s="122" t="s">
        <v>327</v>
      </c>
      <c r="E1329" s="678"/>
      <c r="F1329" s="678"/>
      <c r="G1329" s="678"/>
      <c r="H1329" s="678"/>
      <c r="I1329" s="678"/>
      <c r="J1329" s="678"/>
      <c r="K1329" s="678"/>
      <c r="L1329" s="678"/>
      <c r="M1329" s="678"/>
      <c r="N1329" s="678"/>
      <c r="O1329" s="678"/>
      <c r="P1329" s="678"/>
      <c r="Q1329" s="678"/>
      <c r="R1329" s="678"/>
      <c r="S1329" s="678"/>
      <c r="T1329" s="678"/>
      <c r="U1329" s="678"/>
      <c r="V1329" s="678"/>
      <c r="W1329" s="678"/>
      <c r="X1329" s="678"/>
      <c r="Y1329" s="679"/>
      <c r="Z1329" s="679"/>
      <c r="AA1329" s="679"/>
      <c r="AB1329" s="680"/>
    </row>
    <row r="1330" spans="2:28" s="780" customFormat="1" hidden="1" x14ac:dyDescent="0.45">
      <c r="B1330" s="1692"/>
      <c r="C1330" s="1698" t="s">
        <v>333</v>
      </c>
      <c r="D1330" s="124" t="s">
        <v>326</v>
      </c>
      <c r="E1330" s="675"/>
      <c r="F1330" s="675"/>
      <c r="G1330" s="675"/>
      <c r="H1330" s="675"/>
      <c r="I1330" s="675"/>
      <c r="J1330" s="675"/>
      <c r="K1330" s="675"/>
      <c r="L1330" s="675"/>
      <c r="M1330" s="675"/>
      <c r="N1330" s="675"/>
      <c r="O1330" s="675"/>
      <c r="P1330" s="675"/>
      <c r="Q1330" s="675"/>
      <c r="R1330" s="675"/>
      <c r="S1330" s="675"/>
      <c r="T1330" s="675"/>
      <c r="U1330" s="675"/>
      <c r="V1330" s="675"/>
      <c r="W1330" s="676"/>
      <c r="X1330" s="676"/>
      <c r="Y1330" s="676"/>
      <c r="Z1330" s="676"/>
      <c r="AA1330" s="676"/>
      <c r="AB1330" s="677"/>
    </row>
    <row r="1331" spans="2:28" s="780" customFormat="1" hidden="1" x14ac:dyDescent="0.45">
      <c r="B1331" s="1693"/>
      <c r="C1331" s="1699"/>
      <c r="D1331" s="126" t="s">
        <v>327</v>
      </c>
      <c r="E1331" s="687"/>
      <c r="F1331" s="687"/>
      <c r="G1331" s="687"/>
      <c r="H1331" s="687"/>
      <c r="I1331" s="687"/>
      <c r="J1331" s="687"/>
      <c r="K1331" s="687"/>
      <c r="L1331" s="687"/>
      <c r="M1331" s="687"/>
      <c r="N1331" s="687"/>
      <c r="O1331" s="687"/>
      <c r="P1331" s="687"/>
      <c r="Q1331" s="687"/>
      <c r="R1331" s="687"/>
      <c r="S1331" s="687"/>
      <c r="T1331" s="687"/>
      <c r="U1331" s="687"/>
      <c r="V1331" s="687"/>
      <c r="W1331" s="687"/>
      <c r="X1331" s="687"/>
      <c r="Y1331" s="687"/>
      <c r="Z1331" s="687"/>
      <c r="AA1331" s="687"/>
      <c r="AB1331" s="688"/>
    </row>
    <row r="1332" spans="2:28" s="780" customFormat="1" hidden="1" x14ac:dyDescent="0.45"/>
    <row r="1333" spans="2:28" s="780" customFormat="1" hidden="1" x14ac:dyDescent="0.45">
      <c r="B1333" s="1688" t="s">
        <v>54</v>
      </c>
      <c r="C1333" s="1689"/>
      <c r="D1333" s="1690"/>
      <c r="E1333" s="779"/>
      <c r="F1333" s="779"/>
      <c r="G1333" s="779"/>
      <c r="H1333" s="779"/>
      <c r="I1333" s="779"/>
      <c r="J1333" s="779"/>
      <c r="K1333" s="779"/>
      <c r="L1333" s="779"/>
      <c r="M1333" s="779"/>
      <c r="N1333" s="779"/>
      <c r="O1333" s="779"/>
      <c r="P1333" s="779"/>
      <c r="Q1333" s="779"/>
      <c r="R1333" s="779"/>
      <c r="S1333" s="779"/>
      <c r="T1333" s="779"/>
      <c r="U1333" s="779"/>
      <c r="V1333" s="779"/>
      <c r="W1333" s="779"/>
      <c r="X1333" s="779"/>
      <c r="Y1333" s="779"/>
      <c r="Z1333" s="779"/>
      <c r="AA1333" s="779"/>
      <c r="AB1333" s="708"/>
    </row>
    <row r="1334" spans="2:28" s="780" customFormat="1" ht="15" hidden="1" customHeight="1" x14ac:dyDescent="0.45">
      <c r="B1334" s="1691" t="str">
        <f>CONCATENATE("Plan ", INDEX(plans_index,,(ROW(B1334)-6)/16), ": ", INDEX(plans_name,,(ROW(B1334)-6)/16))</f>
        <v xml:space="preserve">Plan 83: </v>
      </c>
      <c r="C1334" s="1694" t="s">
        <v>325</v>
      </c>
      <c r="D1334" s="123" t="s">
        <v>326</v>
      </c>
      <c r="E1334" s="672"/>
      <c r="F1334" s="672"/>
      <c r="G1334" s="672"/>
      <c r="H1334" s="673"/>
      <c r="I1334" s="672"/>
      <c r="J1334" s="672"/>
      <c r="K1334" s="672"/>
      <c r="L1334" s="672"/>
      <c r="M1334" s="672"/>
      <c r="N1334" s="672"/>
      <c r="O1334" s="672"/>
      <c r="P1334" s="672"/>
      <c r="Q1334" s="672"/>
      <c r="R1334" s="672"/>
      <c r="S1334" s="672"/>
      <c r="T1334" s="672"/>
      <c r="U1334" s="672"/>
      <c r="V1334" s="672"/>
      <c r="W1334" s="672"/>
      <c r="X1334" s="672"/>
      <c r="Y1334" s="672"/>
      <c r="Z1334" s="672"/>
      <c r="AA1334" s="672"/>
      <c r="AB1334" s="674"/>
    </row>
    <row r="1335" spans="2:28" s="780" customFormat="1" hidden="1" x14ac:dyDescent="0.45">
      <c r="B1335" s="1692"/>
      <c r="C1335" s="1695"/>
      <c r="D1335" s="124" t="s">
        <v>327</v>
      </c>
      <c r="E1335" s="675"/>
      <c r="F1335" s="675"/>
      <c r="G1335" s="675"/>
      <c r="H1335" s="675"/>
      <c r="I1335" s="675"/>
      <c r="J1335" s="675"/>
      <c r="K1335" s="675"/>
      <c r="L1335" s="675"/>
      <c r="M1335" s="675"/>
      <c r="N1335" s="675"/>
      <c r="O1335" s="675"/>
      <c r="P1335" s="675"/>
      <c r="Q1335" s="675"/>
      <c r="R1335" s="675"/>
      <c r="S1335" s="675"/>
      <c r="T1335" s="675"/>
      <c r="U1335" s="675"/>
      <c r="V1335" s="675"/>
      <c r="W1335" s="675"/>
      <c r="X1335" s="675"/>
      <c r="Y1335" s="676"/>
      <c r="Z1335" s="676"/>
      <c r="AA1335" s="676"/>
      <c r="AB1335" s="677"/>
    </row>
    <row r="1336" spans="2:28" s="780" customFormat="1" hidden="1" x14ac:dyDescent="0.45">
      <c r="B1336" s="1692"/>
      <c r="C1336" s="1696" t="s">
        <v>328</v>
      </c>
      <c r="D1336" s="122" t="s">
        <v>326</v>
      </c>
      <c r="E1336" s="678"/>
      <c r="F1336" s="678"/>
      <c r="G1336" s="678"/>
      <c r="H1336" s="678"/>
      <c r="I1336" s="678"/>
      <c r="J1336" s="678"/>
      <c r="K1336" s="678"/>
      <c r="L1336" s="678"/>
      <c r="M1336" s="678"/>
      <c r="N1336" s="678"/>
      <c r="O1336" s="678"/>
      <c r="P1336" s="678"/>
      <c r="Q1336" s="678"/>
      <c r="R1336" s="678"/>
      <c r="S1336" s="678"/>
      <c r="T1336" s="678"/>
      <c r="U1336" s="678"/>
      <c r="V1336" s="678"/>
      <c r="W1336" s="678"/>
      <c r="X1336" s="678"/>
      <c r="Y1336" s="679"/>
      <c r="Z1336" s="679"/>
      <c r="AA1336" s="679"/>
      <c r="AB1336" s="680"/>
    </row>
    <row r="1337" spans="2:28" s="780" customFormat="1" hidden="1" x14ac:dyDescent="0.45">
      <c r="B1337" s="1692"/>
      <c r="C1337" s="1697"/>
      <c r="D1337" s="122" t="s">
        <v>327</v>
      </c>
      <c r="E1337" s="678"/>
      <c r="F1337" s="678"/>
      <c r="G1337" s="678"/>
      <c r="H1337" s="678"/>
      <c r="I1337" s="678"/>
      <c r="J1337" s="678"/>
      <c r="K1337" s="678"/>
      <c r="L1337" s="678"/>
      <c r="M1337" s="678"/>
      <c r="N1337" s="678"/>
      <c r="O1337" s="678"/>
      <c r="P1337" s="678"/>
      <c r="Q1337" s="678"/>
      <c r="R1337" s="678"/>
      <c r="S1337" s="678"/>
      <c r="T1337" s="678"/>
      <c r="U1337" s="678"/>
      <c r="V1337" s="678"/>
      <c r="W1337" s="678"/>
      <c r="X1337" s="681"/>
      <c r="Y1337" s="679"/>
      <c r="Z1337" s="679"/>
      <c r="AA1337" s="679"/>
      <c r="AB1337" s="680"/>
    </row>
    <row r="1338" spans="2:28" s="780" customFormat="1" hidden="1" x14ac:dyDescent="0.45">
      <c r="B1338" s="1692"/>
      <c r="C1338" s="1698" t="s">
        <v>329</v>
      </c>
      <c r="D1338" s="125" t="s">
        <v>326</v>
      </c>
      <c r="E1338" s="682"/>
      <c r="F1338" s="682"/>
      <c r="G1338" s="682"/>
      <c r="H1338" s="682"/>
      <c r="I1338" s="682"/>
      <c r="J1338" s="682"/>
      <c r="K1338" s="682"/>
      <c r="L1338" s="682"/>
      <c r="M1338" s="682"/>
      <c r="N1338" s="682"/>
      <c r="O1338" s="682"/>
      <c r="P1338" s="682"/>
      <c r="Q1338" s="682"/>
      <c r="R1338" s="682"/>
      <c r="S1338" s="682"/>
      <c r="T1338" s="682"/>
      <c r="U1338" s="682"/>
      <c r="V1338" s="682"/>
      <c r="W1338" s="682"/>
      <c r="X1338" s="682"/>
      <c r="Y1338" s="683"/>
      <c r="Z1338" s="683"/>
      <c r="AA1338" s="683"/>
      <c r="AB1338" s="684"/>
    </row>
    <row r="1339" spans="2:28" s="780" customFormat="1" hidden="1" x14ac:dyDescent="0.45">
      <c r="B1339" s="1692"/>
      <c r="C1339" s="1695"/>
      <c r="D1339" s="124" t="s">
        <v>327</v>
      </c>
      <c r="E1339" s="675"/>
      <c r="F1339" s="675"/>
      <c r="G1339" s="675"/>
      <c r="H1339" s="675"/>
      <c r="I1339" s="675"/>
      <c r="J1339" s="675"/>
      <c r="K1339" s="675"/>
      <c r="L1339" s="675"/>
      <c r="M1339" s="675"/>
      <c r="N1339" s="675"/>
      <c r="O1339" s="675"/>
      <c r="P1339" s="675"/>
      <c r="Q1339" s="675"/>
      <c r="R1339" s="675"/>
      <c r="S1339" s="675"/>
      <c r="T1339" s="675"/>
      <c r="U1339" s="675"/>
      <c r="V1339" s="675"/>
      <c r="W1339" s="675"/>
      <c r="X1339" s="675"/>
      <c r="Y1339" s="676"/>
      <c r="Z1339" s="676"/>
      <c r="AA1339" s="676"/>
      <c r="AB1339" s="677"/>
    </row>
    <row r="1340" spans="2:28" s="780" customFormat="1" hidden="1" x14ac:dyDescent="0.45">
      <c r="B1340" s="1692"/>
      <c r="C1340" s="1696" t="s">
        <v>330</v>
      </c>
      <c r="D1340" s="122" t="s">
        <v>326</v>
      </c>
      <c r="E1340" s="678"/>
      <c r="F1340" s="678"/>
      <c r="G1340" s="678"/>
      <c r="H1340" s="678"/>
      <c r="I1340" s="678"/>
      <c r="J1340" s="678"/>
      <c r="K1340" s="678"/>
      <c r="L1340" s="678"/>
      <c r="M1340" s="678"/>
      <c r="N1340" s="678"/>
      <c r="O1340" s="678"/>
      <c r="P1340" s="678"/>
      <c r="Q1340" s="678"/>
      <c r="R1340" s="678"/>
      <c r="S1340" s="678"/>
      <c r="T1340" s="678"/>
      <c r="U1340" s="678"/>
      <c r="V1340" s="678"/>
      <c r="W1340" s="678"/>
      <c r="X1340" s="678"/>
      <c r="Y1340" s="679"/>
      <c r="Z1340" s="679"/>
      <c r="AA1340" s="679"/>
      <c r="AB1340" s="680"/>
    </row>
    <row r="1341" spans="2:28" s="780" customFormat="1" hidden="1" x14ac:dyDescent="0.45">
      <c r="B1341" s="1692"/>
      <c r="C1341" s="1697"/>
      <c r="D1341" s="122" t="s">
        <v>327</v>
      </c>
      <c r="E1341" s="678"/>
      <c r="F1341" s="678"/>
      <c r="G1341" s="678"/>
      <c r="H1341" s="678"/>
      <c r="I1341" s="678"/>
      <c r="J1341" s="678"/>
      <c r="K1341" s="678"/>
      <c r="L1341" s="678"/>
      <c r="M1341" s="678"/>
      <c r="N1341" s="678"/>
      <c r="O1341" s="678"/>
      <c r="P1341" s="678"/>
      <c r="Q1341" s="678"/>
      <c r="R1341" s="678"/>
      <c r="S1341" s="678"/>
      <c r="T1341" s="678"/>
      <c r="U1341" s="678"/>
      <c r="V1341" s="678"/>
      <c r="W1341" s="678"/>
      <c r="X1341" s="681"/>
      <c r="Y1341" s="679"/>
      <c r="Z1341" s="679"/>
      <c r="AA1341" s="679"/>
      <c r="AB1341" s="680"/>
    </row>
    <row r="1342" spans="2:28" s="780" customFormat="1" hidden="1" x14ac:dyDescent="0.45">
      <c r="B1342" s="1692"/>
      <c r="C1342" s="1698" t="s">
        <v>331</v>
      </c>
      <c r="D1342" s="125" t="s">
        <v>326</v>
      </c>
      <c r="E1342" s="682"/>
      <c r="F1342" s="682"/>
      <c r="G1342" s="685"/>
      <c r="H1342" s="682"/>
      <c r="I1342" s="682"/>
      <c r="J1342" s="682"/>
      <c r="K1342" s="682"/>
      <c r="L1342" s="682"/>
      <c r="M1342" s="682"/>
      <c r="N1342" s="682"/>
      <c r="O1342" s="682"/>
      <c r="P1342" s="682"/>
      <c r="Q1342" s="682"/>
      <c r="R1342" s="682"/>
      <c r="S1342" s="682"/>
      <c r="T1342" s="682"/>
      <c r="U1342" s="682"/>
      <c r="V1342" s="682"/>
      <c r="W1342" s="682"/>
      <c r="X1342" s="682"/>
      <c r="Y1342" s="683"/>
      <c r="Z1342" s="683"/>
      <c r="AA1342" s="683"/>
      <c r="AB1342" s="684"/>
    </row>
    <row r="1343" spans="2:28" s="780" customFormat="1" hidden="1" x14ac:dyDescent="0.45">
      <c r="B1343" s="1692"/>
      <c r="C1343" s="1695"/>
      <c r="D1343" s="124" t="s">
        <v>327</v>
      </c>
      <c r="E1343" s="675"/>
      <c r="F1343" s="675"/>
      <c r="G1343" s="686"/>
      <c r="H1343" s="675"/>
      <c r="I1343" s="675"/>
      <c r="J1343" s="675"/>
      <c r="K1343" s="675"/>
      <c r="L1343" s="675"/>
      <c r="M1343" s="675"/>
      <c r="N1343" s="675"/>
      <c r="O1343" s="675"/>
      <c r="P1343" s="675"/>
      <c r="Q1343" s="675"/>
      <c r="R1343" s="675"/>
      <c r="S1343" s="675"/>
      <c r="T1343" s="675"/>
      <c r="U1343" s="675"/>
      <c r="V1343" s="675"/>
      <c r="W1343" s="675"/>
      <c r="X1343" s="675"/>
      <c r="Y1343" s="676"/>
      <c r="Z1343" s="676"/>
      <c r="AA1343" s="676"/>
      <c r="AB1343" s="677"/>
    </row>
    <row r="1344" spans="2:28" s="780" customFormat="1" hidden="1" x14ac:dyDescent="0.45">
      <c r="B1344" s="1692"/>
      <c r="C1344" s="1696" t="s">
        <v>332</v>
      </c>
      <c r="D1344" s="122" t="s">
        <v>326</v>
      </c>
      <c r="E1344" s="678"/>
      <c r="F1344" s="678"/>
      <c r="G1344" s="678"/>
      <c r="H1344" s="678"/>
      <c r="I1344" s="678"/>
      <c r="J1344" s="678"/>
      <c r="K1344" s="678"/>
      <c r="L1344" s="678"/>
      <c r="M1344" s="678"/>
      <c r="N1344" s="678"/>
      <c r="O1344" s="678"/>
      <c r="P1344" s="678"/>
      <c r="Q1344" s="678"/>
      <c r="R1344" s="678"/>
      <c r="S1344" s="678"/>
      <c r="T1344" s="678"/>
      <c r="U1344" s="678"/>
      <c r="V1344" s="678"/>
      <c r="W1344" s="679"/>
      <c r="X1344" s="679"/>
      <c r="Y1344" s="679"/>
      <c r="Z1344" s="679"/>
      <c r="AA1344" s="679"/>
      <c r="AB1344" s="680"/>
    </row>
    <row r="1345" spans="2:28" s="780" customFormat="1" hidden="1" x14ac:dyDescent="0.45">
      <c r="B1345" s="1692"/>
      <c r="C1345" s="1697"/>
      <c r="D1345" s="122" t="s">
        <v>327</v>
      </c>
      <c r="E1345" s="678"/>
      <c r="F1345" s="678"/>
      <c r="G1345" s="678"/>
      <c r="H1345" s="678"/>
      <c r="I1345" s="678"/>
      <c r="J1345" s="678"/>
      <c r="K1345" s="678"/>
      <c r="L1345" s="678"/>
      <c r="M1345" s="678"/>
      <c r="N1345" s="678"/>
      <c r="O1345" s="678"/>
      <c r="P1345" s="678"/>
      <c r="Q1345" s="678"/>
      <c r="R1345" s="678"/>
      <c r="S1345" s="678"/>
      <c r="T1345" s="678"/>
      <c r="U1345" s="678"/>
      <c r="V1345" s="678"/>
      <c r="W1345" s="678"/>
      <c r="X1345" s="678"/>
      <c r="Y1345" s="679"/>
      <c r="Z1345" s="679"/>
      <c r="AA1345" s="679"/>
      <c r="AB1345" s="680"/>
    </row>
    <row r="1346" spans="2:28" s="780" customFormat="1" hidden="1" x14ac:dyDescent="0.45">
      <c r="B1346" s="1692"/>
      <c r="C1346" s="1698" t="s">
        <v>333</v>
      </c>
      <c r="D1346" s="124" t="s">
        <v>326</v>
      </c>
      <c r="E1346" s="675"/>
      <c r="F1346" s="675"/>
      <c r="G1346" s="675"/>
      <c r="H1346" s="675"/>
      <c r="I1346" s="675"/>
      <c r="J1346" s="675"/>
      <c r="K1346" s="675"/>
      <c r="L1346" s="675"/>
      <c r="M1346" s="675"/>
      <c r="N1346" s="675"/>
      <c r="O1346" s="675"/>
      <c r="P1346" s="675"/>
      <c r="Q1346" s="675"/>
      <c r="R1346" s="675"/>
      <c r="S1346" s="675"/>
      <c r="T1346" s="675"/>
      <c r="U1346" s="675"/>
      <c r="V1346" s="675"/>
      <c r="W1346" s="676"/>
      <c r="X1346" s="676"/>
      <c r="Y1346" s="676"/>
      <c r="Z1346" s="676"/>
      <c r="AA1346" s="676"/>
      <c r="AB1346" s="677"/>
    </row>
    <row r="1347" spans="2:28" s="780" customFormat="1" hidden="1" x14ac:dyDescent="0.45">
      <c r="B1347" s="1693"/>
      <c r="C1347" s="1699"/>
      <c r="D1347" s="126" t="s">
        <v>327</v>
      </c>
      <c r="E1347" s="687"/>
      <c r="F1347" s="687"/>
      <c r="G1347" s="687"/>
      <c r="H1347" s="687"/>
      <c r="I1347" s="687"/>
      <c r="J1347" s="687"/>
      <c r="K1347" s="687"/>
      <c r="L1347" s="687"/>
      <c r="M1347" s="687"/>
      <c r="N1347" s="687"/>
      <c r="O1347" s="687"/>
      <c r="P1347" s="687"/>
      <c r="Q1347" s="687"/>
      <c r="R1347" s="687"/>
      <c r="S1347" s="687"/>
      <c r="T1347" s="687"/>
      <c r="U1347" s="687"/>
      <c r="V1347" s="687"/>
      <c r="W1347" s="687"/>
      <c r="X1347" s="687"/>
      <c r="Y1347" s="687"/>
      <c r="Z1347" s="687"/>
      <c r="AA1347" s="687"/>
      <c r="AB1347" s="688"/>
    </row>
    <row r="1348" spans="2:28" s="780" customFormat="1" hidden="1" x14ac:dyDescent="0.45"/>
    <row r="1349" spans="2:28" s="780" customFormat="1" hidden="1" x14ac:dyDescent="0.45">
      <c r="B1349" s="1688" t="s">
        <v>54</v>
      </c>
      <c r="C1349" s="1689"/>
      <c r="D1349" s="1690"/>
      <c r="E1349" s="779"/>
      <c r="F1349" s="779"/>
      <c r="G1349" s="779"/>
      <c r="H1349" s="779"/>
      <c r="I1349" s="779"/>
      <c r="J1349" s="779"/>
      <c r="K1349" s="779"/>
      <c r="L1349" s="779"/>
      <c r="M1349" s="779"/>
      <c r="N1349" s="779"/>
      <c r="O1349" s="779"/>
      <c r="P1349" s="779"/>
      <c r="Q1349" s="779"/>
      <c r="R1349" s="779"/>
      <c r="S1349" s="779"/>
      <c r="T1349" s="779"/>
      <c r="U1349" s="779"/>
      <c r="V1349" s="779"/>
      <c r="W1349" s="779"/>
      <c r="X1349" s="779"/>
      <c r="Y1349" s="779"/>
      <c r="Z1349" s="779"/>
      <c r="AA1349" s="779"/>
      <c r="AB1349" s="708"/>
    </row>
    <row r="1350" spans="2:28" s="780" customFormat="1" ht="15" hidden="1" customHeight="1" x14ac:dyDescent="0.45">
      <c r="B1350" s="1691" t="str">
        <f>CONCATENATE("Plan ", INDEX(plans_index,,(ROW(B1350)-6)/16), ": ", INDEX(plans_name,,(ROW(B1350)-6)/16))</f>
        <v xml:space="preserve">Plan 84: </v>
      </c>
      <c r="C1350" s="1694" t="s">
        <v>325</v>
      </c>
      <c r="D1350" s="123" t="s">
        <v>326</v>
      </c>
      <c r="E1350" s="672"/>
      <c r="F1350" s="672"/>
      <c r="G1350" s="672"/>
      <c r="H1350" s="673"/>
      <c r="I1350" s="672"/>
      <c r="J1350" s="672"/>
      <c r="K1350" s="672"/>
      <c r="L1350" s="672"/>
      <c r="M1350" s="672"/>
      <c r="N1350" s="672"/>
      <c r="O1350" s="672"/>
      <c r="P1350" s="672"/>
      <c r="Q1350" s="672"/>
      <c r="R1350" s="672"/>
      <c r="S1350" s="672"/>
      <c r="T1350" s="672"/>
      <c r="U1350" s="672"/>
      <c r="V1350" s="672"/>
      <c r="W1350" s="672"/>
      <c r="X1350" s="672"/>
      <c r="Y1350" s="672"/>
      <c r="Z1350" s="672"/>
      <c r="AA1350" s="672"/>
      <c r="AB1350" s="674"/>
    </row>
    <row r="1351" spans="2:28" s="780" customFormat="1" hidden="1" x14ac:dyDescent="0.45">
      <c r="B1351" s="1692"/>
      <c r="C1351" s="1695"/>
      <c r="D1351" s="124" t="s">
        <v>327</v>
      </c>
      <c r="E1351" s="675"/>
      <c r="F1351" s="675"/>
      <c r="G1351" s="675"/>
      <c r="H1351" s="675"/>
      <c r="I1351" s="675"/>
      <c r="J1351" s="675"/>
      <c r="K1351" s="675"/>
      <c r="L1351" s="675"/>
      <c r="M1351" s="675"/>
      <c r="N1351" s="675"/>
      <c r="O1351" s="675"/>
      <c r="P1351" s="675"/>
      <c r="Q1351" s="675"/>
      <c r="R1351" s="675"/>
      <c r="S1351" s="675"/>
      <c r="T1351" s="675"/>
      <c r="U1351" s="675"/>
      <c r="V1351" s="675"/>
      <c r="W1351" s="675"/>
      <c r="X1351" s="675"/>
      <c r="Y1351" s="676"/>
      <c r="Z1351" s="676"/>
      <c r="AA1351" s="676"/>
      <c r="AB1351" s="677"/>
    </row>
    <row r="1352" spans="2:28" s="780" customFormat="1" hidden="1" x14ac:dyDescent="0.45">
      <c r="B1352" s="1692"/>
      <c r="C1352" s="1696" t="s">
        <v>328</v>
      </c>
      <c r="D1352" s="122" t="s">
        <v>326</v>
      </c>
      <c r="E1352" s="678"/>
      <c r="F1352" s="678"/>
      <c r="G1352" s="678"/>
      <c r="H1352" s="678"/>
      <c r="I1352" s="678"/>
      <c r="J1352" s="678"/>
      <c r="K1352" s="678"/>
      <c r="L1352" s="678"/>
      <c r="M1352" s="678"/>
      <c r="N1352" s="678"/>
      <c r="O1352" s="678"/>
      <c r="P1352" s="678"/>
      <c r="Q1352" s="678"/>
      <c r="R1352" s="678"/>
      <c r="S1352" s="678"/>
      <c r="T1352" s="678"/>
      <c r="U1352" s="678"/>
      <c r="V1352" s="678"/>
      <c r="W1352" s="678"/>
      <c r="X1352" s="678"/>
      <c r="Y1352" s="679"/>
      <c r="Z1352" s="679"/>
      <c r="AA1352" s="679"/>
      <c r="AB1352" s="680"/>
    </row>
    <row r="1353" spans="2:28" s="780" customFormat="1" hidden="1" x14ac:dyDescent="0.45">
      <c r="B1353" s="1692"/>
      <c r="C1353" s="1697"/>
      <c r="D1353" s="122" t="s">
        <v>327</v>
      </c>
      <c r="E1353" s="678"/>
      <c r="F1353" s="678"/>
      <c r="G1353" s="678"/>
      <c r="H1353" s="678"/>
      <c r="I1353" s="678"/>
      <c r="J1353" s="678"/>
      <c r="K1353" s="678"/>
      <c r="L1353" s="678"/>
      <c r="M1353" s="678"/>
      <c r="N1353" s="678"/>
      <c r="O1353" s="678"/>
      <c r="P1353" s="678"/>
      <c r="Q1353" s="678"/>
      <c r="R1353" s="678"/>
      <c r="S1353" s="678"/>
      <c r="T1353" s="678"/>
      <c r="U1353" s="678"/>
      <c r="V1353" s="678"/>
      <c r="W1353" s="678"/>
      <c r="X1353" s="681"/>
      <c r="Y1353" s="679"/>
      <c r="Z1353" s="679"/>
      <c r="AA1353" s="679"/>
      <c r="AB1353" s="680"/>
    </row>
    <row r="1354" spans="2:28" s="780" customFormat="1" hidden="1" x14ac:dyDescent="0.45">
      <c r="B1354" s="1692"/>
      <c r="C1354" s="1698" t="s">
        <v>329</v>
      </c>
      <c r="D1354" s="125" t="s">
        <v>326</v>
      </c>
      <c r="E1354" s="682"/>
      <c r="F1354" s="682"/>
      <c r="G1354" s="682"/>
      <c r="H1354" s="682"/>
      <c r="I1354" s="682"/>
      <c r="J1354" s="682"/>
      <c r="K1354" s="682"/>
      <c r="L1354" s="682"/>
      <c r="M1354" s="682"/>
      <c r="N1354" s="682"/>
      <c r="O1354" s="682"/>
      <c r="P1354" s="682"/>
      <c r="Q1354" s="682"/>
      <c r="R1354" s="682"/>
      <c r="S1354" s="682"/>
      <c r="T1354" s="682"/>
      <c r="U1354" s="682"/>
      <c r="V1354" s="682"/>
      <c r="W1354" s="682"/>
      <c r="X1354" s="682"/>
      <c r="Y1354" s="683"/>
      <c r="Z1354" s="683"/>
      <c r="AA1354" s="683"/>
      <c r="AB1354" s="684"/>
    </row>
    <row r="1355" spans="2:28" s="780" customFormat="1" hidden="1" x14ac:dyDescent="0.45">
      <c r="B1355" s="1692"/>
      <c r="C1355" s="1695"/>
      <c r="D1355" s="124" t="s">
        <v>327</v>
      </c>
      <c r="E1355" s="675"/>
      <c r="F1355" s="675"/>
      <c r="G1355" s="675"/>
      <c r="H1355" s="675"/>
      <c r="I1355" s="675"/>
      <c r="J1355" s="675"/>
      <c r="K1355" s="675"/>
      <c r="L1355" s="675"/>
      <c r="M1355" s="675"/>
      <c r="N1355" s="675"/>
      <c r="O1355" s="675"/>
      <c r="P1355" s="675"/>
      <c r="Q1355" s="675"/>
      <c r="R1355" s="675"/>
      <c r="S1355" s="675"/>
      <c r="T1355" s="675"/>
      <c r="U1355" s="675"/>
      <c r="V1355" s="675"/>
      <c r="W1355" s="675"/>
      <c r="X1355" s="675"/>
      <c r="Y1355" s="676"/>
      <c r="Z1355" s="676"/>
      <c r="AA1355" s="676"/>
      <c r="AB1355" s="677"/>
    </row>
    <row r="1356" spans="2:28" s="780" customFormat="1" hidden="1" x14ac:dyDescent="0.45">
      <c r="B1356" s="1692"/>
      <c r="C1356" s="1696" t="s">
        <v>330</v>
      </c>
      <c r="D1356" s="122" t="s">
        <v>326</v>
      </c>
      <c r="E1356" s="678"/>
      <c r="F1356" s="678"/>
      <c r="G1356" s="678"/>
      <c r="H1356" s="678"/>
      <c r="I1356" s="678"/>
      <c r="J1356" s="678"/>
      <c r="K1356" s="678"/>
      <c r="L1356" s="678"/>
      <c r="M1356" s="678"/>
      <c r="N1356" s="678"/>
      <c r="O1356" s="678"/>
      <c r="P1356" s="678"/>
      <c r="Q1356" s="678"/>
      <c r="R1356" s="678"/>
      <c r="S1356" s="678"/>
      <c r="T1356" s="678"/>
      <c r="U1356" s="678"/>
      <c r="V1356" s="678"/>
      <c r="W1356" s="678"/>
      <c r="X1356" s="678"/>
      <c r="Y1356" s="679"/>
      <c r="Z1356" s="679"/>
      <c r="AA1356" s="679"/>
      <c r="AB1356" s="680"/>
    </row>
    <row r="1357" spans="2:28" s="780" customFormat="1" hidden="1" x14ac:dyDescent="0.45">
      <c r="B1357" s="1692"/>
      <c r="C1357" s="1697"/>
      <c r="D1357" s="122" t="s">
        <v>327</v>
      </c>
      <c r="E1357" s="678"/>
      <c r="F1357" s="678"/>
      <c r="G1357" s="678"/>
      <c r="H1357" s="678"/>
      <c r="I1357" s="678"/>
      <c r="J1357" s="678"/>
      <c r="K1357" s="678"/>
      <c r="L1357" s="678"/>
      <c r="M1357" s="678"/>
      <c r="N1357" s="678"/>
      <c r="O1357" s="678"/>
      <c r="P1357" s="678"/>
      <c r="Q1357" s="678"/>
      <c r="R1357" s="678"/>
      <c r="S1357" s="678"/>
      <c r="T1357" s="678"/>
      <c r="U1357" s="678"/>
      <c r="V1357" s="678"/>
      <c r="W1357" s="678"/>
      <c r="X1357" s="681"/>
      <c r="Y1357" s="679"/>
      <c r="Z1357" s="679"/>
      <c r="AA1357" s="679"/>
      <c r="AB1357" s="680"/>
    </row>
    <row r="1358" spans="2:28" s="780" customFormat="1" hidden="1" x14ac:dyDescent="0.45">
      <c r="B1358" s="1692"/>
      <c r="C1358" s="1698" t="s">
        <v>331</v>
      </c>
      <c r="D1358" s="125" t="s">
        <v>326</v>
      </c>
      <c r="E1358" s="682"/>
      <c r="F1358" s="682"/>
      <c r="G1358" s="685"/>
      <c r="H1358" s="682"/>
      <c r="I1358" s="682"/>
      <c r="J1358" s="682"/>
      <c r="K1358" s="682"/>
      <c r="L1358" s="682"/>
      <c r="M1358" s="682"/>
      <c r="N1358" s="682"/>
      <c r="O1358" s="682"/>
      <c r="P1358" s="682"/>
      <c r="Q1358" s="682"/>
      <c r="R1358" s="682"/>
      <c r="S1358" s="682"/>
      <c r="T1358" s="682"/>
      <c r="U1358" s="682"/>
      <c r="V1358" s="682"/>
      <c r="W1358" s="682"/>
      <c r="X1358" s="682"/>
      <c r="Y1358" s="683"/>
      <c r="Z1358" s="683"/>
      <c r="AA1358" s="683"/>
      <c r="AB1358" s="684"/>
    </row>
    <row r="1359" spans="2:28" s="780" customFormat="1" hidden="1" x14ac:dyDescent="0.45">
      <c r="B1359" s="1692"/>
      <c r="C1359" s="1695"/>
      <c r="D1359" s="124" t="s">
        <v>327</v>
      </c>
      <c r="E1359" s="675"/>
      <c r="F1359" s="675"/>
      <c r="G1359" s="686"/>
      <c r="H1359" s="675"/>
      <c r="I1359" s="675"/>
      <c r="J1359" s="675"/>
      <c r="K1359" s="675"/>
      <c r="L1359" s="675"/>
      <c r="M1359" s="675"/>
      <c r="N1359" s="675"/>
      <c r="O1359" s="675"/>
      <c r="P1359" s="675"/>
      <c r="Q1359" s="675"/>
      <c r="R1359" s="675"/>
      <c r="S1359" s="675"/>
      <c r="T1359" s="675"/>
      <c r="U1359" s="675"/>
      <c r="V1359" s="675"/>
      <c r="W1359" s="675"/>
      <c r="X1359" s="675"/>
      <c r="Y1359" s="676"/>
      <c r="Z1359" s="676"/>
      <c r="AA1359" s="676"/>
      <c r="AB1359" s="677"/>
    </row>
    <row r="1360" spans="2:28" s="780" customFormat="1" hidden="1" x14ac:dyDescent="0.45">
      <c r="B1360" s="1692"/>
      <c r="C1360" s="1696" t="s">
        <v>332</v>
      </c>
      <c r="D1360" s="122" t="s">
        <v>326</v>
      </c>
      <c r="E1360" s="678"/>
      <c r="F1360" s="678"/>
      <c r="G1360" s="678"/>
      <c r="H1360" s="678"/>
      <c r="I1360" s="678"/>
      <c r="J1360" s="678"/>
      <c r="K1360" s="678"/>
      <c r="L1360" s="678"/>
      <c r="M1360" s="678"/>
      <c r="N1360" s="678"/>
      <c r="O1360" s="678"/>
      <c r="P1360" s="678"/>
      <c r="Q1360" s="678"/>
      <c r="R1360" s="678"/>
      <c r="S1360" s="678"/>
      <c r="T1360" s="678"/>
      <c r="U1360" s="678"/>
      <c r="V1360" s="678"/>
      <c r="W1360" s="679"/>
      <c r="X1360" s="679"/>
      <c r="Y1360" s="679"/>
      <c r="Z1360" s="679"/>
      <c r="AA1360" s="679"/>
      <c r="AB1360" s="680"/>
    </row>
    <row r="1361" spans="2:28" s="780" customFormat="1" hidden="1" x14ac:dyDescent="0.45">
      <c r="B1361" s="1692"/>
      <c r="C1361" s="1697"/>
      <c r="D1361" s="122" t="s">
        <v>327</v>
      </c>
      <c r="E1361" s="678"/>
      <c r="F1361" s="678"/>
      <c r="G1361" s="678"/>
      <c r="H1361" s="678"/>
      <c r="I1361" s="678"/>
      <c r="J1361" s="678"/>
      <c r="K1361" s="678"/>
      <c r="L1361" s="678"/>
      <c r="M1361" s="678"/>
      <c r="N1361" s="678"/>
      <c r="O1361" s="678"/>
      <c r="P1361" s="678"/>
      <c r="Q1361" s="678"/>
      <c r="R1361" s="678"/>
      <c r="S1361" s="678"/>
      <c r="T1361" s="678"/>
      <c r="U1361" s="678"/>
      <c r="V1361" s="678"/>
      <c r="W1361" s="678"/>
      <c r="X1361" s="678"/>
      <c r="Y1361" s="679"/>
      <c r="Z1361" s="679"/>
      <c r="AA1361" s="679"/>
      <c r="AB1361" s="680"/>
    </row>
    <row r="1362" spans="2:28" s="780" customFormat="1" hidden="1" x14ac:dyDescent="0.45">
      <c r="B1362" s="1692"/>
      <c r="C1362" s="1698" t="s">
        <v>333</v>
      </c>
      <c r="D1362" s="124" t="s">
        <v>326</v>
      </c>
      <c r="E1362" s="675"/>
      <c r="F1362" s="675"/>
      <c r="G1362" s="675"/>
      <c r="H1362" s="675"/>
      <c r="I1362" s="675"/>
      <c r="J1362" s="675"/>
      <c r="K1362" s="675"/>
      <c r="L1362" s="675"/>
      <c r="M1362" s="675"/>
      <c r="N1362" s="675"/>
      <c r="O1362" s="675"/>
      <c r="P1362" s="675"/>
      <c r="Q1362" s="675"/>
      <c r="R1362" s="675"/>
      <c r="S1362" s="675"/>
      <c r="T1362" s="675"/>
      <c r="U1362" s="675"/>
      <c r="V1362" s="675"/>
      <c r="W1362" s="676"/>
      <c r="X1362" s="676"/>
      <c r="Y1362" s="676"/>
      <c r="Z1362" s="676"/>
      <c r="AA1362" s="676"/>
      <c r="AB1362" s="677"/>
    </row>
    <row r="1363" spans="2:28" s="780" customFormat="1" hidden="1" x14ac:dyDescent="0.45">
      <c r="B1363" s="1693"/>
      <c r="C1363" s="1699"/>
      <c r="D1363" s="126" t="s">
        <v>327</v>
      </c>
      <c r="E1363" s="687"/>
      <c r="F1363" s="687"/>
      <c r="G1363" s="687"/>
      <c r="H1363" s="687"/>
      <c r="I1363" s="687"/>
      <c r="J1363" s="687"/>
      <c r="K1363" s="687"/>
      <c r="L1363" s="687"/>
      <c r="M1363" s="687"/>
      <c r="N1363" s="687"/>
      <c r="O1363" s="687"/>
      <c r="P1363" s="687"/>
      <c r="Q1363" s="687"/>
      <c r="R1363" s="687"/>
      <c r="S1363" s="687"/>
      <c r="T1363" s="687"/>
      <c r="U1363" s="687"/>
      <c r="V1363" s="687"/>
      <c r="W1363" s="687"/>
      <c r="X1363" s="687"/>
      <c r="Y1363" s="687"/>
      <c r="Z1363" s="687"/>
      <c r="AA1363" s="687"/>
      <c r="AB1363" s="688"/>
    </row>
    <row r="1364" spans="2:28" s="780" customFormat="1" hidden="1" x14ac:dyDescent="0.45"/>
    <row r="1365" spans="2:28" s="780" customFormat="1" hidden="1" x14ac:dyDescent="0.45">
      <c r="B1365" s="1688" t="s">
        <v>54</v>
      </c>
      <c r="C1365" s="1689"/>
      <c r="D1365" s="1690"/>
      <c r="E1365" s="779"/>
      <c r="F1365" s="779"/>
      <c r="G1365" s="779"/>
      <c r="H1365" s="779"/>
      <c r="I1365" s="779"/>
      <c r="J1365" s="779"/>
      <c r="K1365" s="779"/>
      <c r="L1365" s="779"/>
      <c r="M1365" s="779"/>
      <c r="N1365" s="779"/>
      <c r="O1365" s="779"/>
      <c r="P1365" s="779"/>
      <c r="Q1365" s="779"/>
      <c r="R1365" s="779"/>
      <c r="S1365" s="779"/>
      <c r="T1365" s="779"/>
      <c r="U1365" s="779"/>
      <c r="V1365" s="779"/>
      <c r="W1365" s="779"/>
      <c r="X1365" s="779"/>
      <c r="Y1365" s="779"/>
      <c r="Z1365" s="779"/>
      <c r="AA1365" s="779"/>
      <c r="AB1365" s="708"/>
    </row>
    <row r="1366" spans="2:28" s="780" customFormat="1" ht="15" hidden="1" customHeight="1" x14ac:dyDescent="0.45">
      <c r="B1366" s="1691" t="str">
        <f>CONCATENATE("Plan ", INDEX(plans_index,,(ROW(B1366)-6)/16), ": ", INDEX(plans_name,,(ROW(B1366)-6)/16))</f>
        <v xml:space="preserve">Plan 85: </v>
      </c>
      <c r="C1366" s="1694" t="s">
        <v>325</v>
      </c>
      <c r="D1366" s="123" t="s">
        <v>326</v>
      </c>
      <c r="E1366" s="672"/>
      <c r="F1366" s="672"/>
      <c r="G1366" s="672"/>
      <c r="H1366" s="673"/>
      <c r="I1366" s="672"/>
      <c r="J1366" s="672"/>
      <c r="K1366" s="672"/>
      <c r="L1366" s="672"/>
      <c r="M1366" s="672"/>
      <c r="N1366" s="672"/>
      <c r="O1366" s="672"/>
      <c r="P1366" s="672"/>
      <c r="Q1366" s="672"/>
      <c r="R1366" s="672"/>
      <c r="S1366" s="672"/>
      <c r="T1366" s="672"/>
      <c r="U1366" s="672"/>
      <c r="V1366" s="672"/>
      <c r="W1366" s="672"/>
      <c r="X1366" s="672"/>
      <c r="Y1366" s="672"/>
      <c r="Z1366" s="672"/>
      <c r="AA1366" s="672"/>
      <c r="AB1366" s="674"/>
    </row>
    <row r="1367" spans="2:28" s="780" customFormat="1" hidden="1" x14ac:dyDescent="0.45">
      <c r="B1367" s="1692"/>
      <c r="C1367" s="1695"/>
      <c r="D1367" s="124" t="s">
        <v>327</v>
      </c>
      <c r="E1367" s="675"/>
      <c r="F1367" s="675"/>
      <c r="G1367" s="675"/>
      <c r="H1367" s="675"/>
      <c r="I1367" s="675"/>
      <c r="J1367" s="675"/>
      <c r="K1367" s="675"/>
      <c r="L1367" s="675"/>
      <c r="M1367" s="675"/>
      <c r="N1367" s="675"/>
      <c r="O1367" s="675"/>
      <c r="P1367" s="675"/>
      <c r="Q1367" s="675"/>
      <c r="R1367" s="675"/>
      <c r="S1367" s="675"/>
      <c r="T1367" s="675"/>
      <c r="U1367" s="675"/>
      <c r="V1367" s="675"/>
      <c r="W1367" s="675"/>
      <c r="X1367" s="675"/>
      <c r="Y1367" s="676"/>
      <c r="Z1367" s="676"/>
      <c r="AA1367" s="676"/>
      <c r="AB1367" s="677"/>
    </row>
    <row r="1368" spans="2:28" s="780" customFormat="1" hidden="1" x14ac:dyDescent="0.45">
      <c r="B1368" s="1692"/>
      <c r="C1368" s="1696" t="s">
        <v>328</v>
      </c>
      <c r="D1368" s="122" t="s">
        <v>326</v>
      </c>
      <c r="E1368" s="678"/>
      <c r="F1368" s="678"/>
      <c r="G1368" s="678"/>
      <c r="H1368" s="678"/>
      <c r="I1368" s="678"/>
      <c r="J1368" s="678"/>
      <c r="K1368" s="678"/>
      <c r="L1368" s="678"/>
      <c r="M1368" s="678"/>
      <c r="N1368" s="678"/>
      <c r="O1368" s="678"/>
      <c r="P1368" s="678"/>
      <c r="Q1368" s="678"/>
      <c r="R1368" s="678"/>
      <c r="S1368" s="678"/>
      <c r="T1368" s="678"/>
      <c r="U1368" s="678"/>
      <c r="V1368" s="678"/>
      <c r="W1368" s="678"/>
      <c r="X1368" s="678"/>
      <c r="Y1368" s="679"/>
      <c r="Z1368" s="679"/>
      <c r="AA1368" s="679"/>
      <c r="AB1368" s="680"/>
    </row>
    <row r="1369" spans="2:28" s="780" customFormat="1" hidden="1" x14ac:dyDescent="0.45">
      <c r="B1369" s="1692"/>
      <c r="C1369" s="1697"/>
      <c r="D1369" s="122" t="s">
        <v>327</v>
      </c>
      <c r="E1369" s="678"/>
      <c r="F1369" s="678"/>
      <c r="G1369" s="678"/>
      <c r="H1369" s="678"/>
      <c r="I1369" s="678"/>
      <c r="J1369" s="678"/>
      <c r="K1369" s="678"/>
      <c r="L1369" s="678"/>
      <c r="M1369" s="678"/>
      <c r="N1369" s="678"/>
      <c r="O1369" s="678"/>
      <c r="P1369" s="678"/>
      <c r="Q1369" s="678"/>
      <c r="R1369" s="678"/>
      <c r="S1369" s="678"/>
      <c r="T1369" s="678"/>
      <c r="U1369" s="678"/>
      <c r="V1369" s="678"/>
      <c r="W1369" s="678"/>
      <c r="X1369" s="681"/>
      <c r="Y1369" s="679"/>
      <c r="Z1369" s="679"/>
      <c r="AA1369" s="679"/>
      <c r="AB1369" s="680"/>
    </row>
    <row r="1370" spans="2:28" s="780" customFormat="1" hidden="1" x14ac:dyDescent="0.45">
      <c r="B1370" s="1692"/>
      <c r="C1370" s="1698" t="s">
        <v>329</v>
      </c>
      <c r="D1370" s="125" t="s">
        <v>326</v>
      </c>
      <c r="E1370" s="682"/>
      <c r="F1370" s="682"/>
      <c r="G1370" s="682"/>
      <c r="H1370" s="682"/>
      <c r="I1370" s="682"/>
      <c r="J1370" s="682"/>
      <c r="K1370" s="682"/>
      <c r="L1370" s="682"/>
      <c r="M1370" s="682"/>
      <c r="N1370" s="682"/>
      <c r="O1370" s="682"/>
      <c r="P1370" s="682"/>
      <c r="Q1370" s="682"/>
      <c r="R1370" s="682"/>
      <c r="S1370" s="682"/>
      <c r="T1370" s="682"/>
      <c r="U1370" s="682"/>
      <c r="V1370" s="682"/>
      <c r="W1370" s="682"/>
      <c r="X1370" s="682"/>
      <c r="Y1370" s="683"/>
      <c r="Z1370" s="683"/>
      <c r="AA1370" s="683"/>
      <c r="AB1370" s="684"/>
    </row>
    <row r="1371" spans="2:28" s="780" customFormat="1" hidden="1" x14ac:dyDescent="0.45">
      <c r="B1371" s="1692"/>
      <c r="C1371" s="1695"/>
      <c r="D1371" s="124" t="s">
        <v>327</v>
      </c>
      <c r="E1371" s="675"/>
      <c r="F1371" s="675"/>
      <c r="G1371" s="675"/>
      <c r="H1371" s="675"/>
      <c r="I1371" s="675"/>
      <c r="J1371" s="675"/>
      <c r="K1371" s="675"/>
      <c r="L1371" s="675"/>
      <c r="M1371" s="675"/>
      <c r="N1371" s="675"/>
      <c r="O1371" s="675"/>
      <c r="P1371" s="675"/>
      <c r="Q1371" s="675"/>
      <c r="R1371" s="675"/>
      <c r="S1371" s="675"/>
      <c r="T1371" s="675"/>
      <c r="U1371" s="675"/>
      <c r="V1371" s="675"/>
      <c r="W1371" s="675"/>
      <c r="X1371" s="675"/>
      <c r="Y1371" s="676"/>
      <c r="Z1371" s="676"/>
      <c r="AA1371" s="676"/>
      <c r="AB1371" s="677"/>
    </row>
    <row r="1372" spans="2:28" s="780" customFormat="1" hidden="1" x14ac:dyDescent="0.45">
      <c r="B1372" s="1692"/>
      <c r="C1372" s="1696" t="s">
        <v>330</v>
      </c>
      <c r="D1372" s="122" t="s">
        <v>326</v>
      </c>
      <c r="E1372" s="678"/>
      <c r="F1372" s="678"/>
      <c r="G1372" s="678"/>
      <c r="H1372" s="678"/>
      <c r="I1372" s="678"/>
      <c r="J1372" s="678"/>
      <c r="K1372" s="678"/>
      <c r="L1372" s="678"/>
      <c r="M1372" s="678"/>
      <c r="N1372" s="678"/>
      <c r="O1372" s="678"/>
      <c r="P1372" s="678"/>
      <c r="Q1372" s="678"/>
      <c r="R1372" s="678"/>
      <c r="S1372" s="678"/>
      <c r="T1372" s="678"/>
      <c r="U1372" s="678"/>
      <c r="V1372" s="678"/>
      <c r="W1372" s="678"/>
      <c r="X1372" s="678"/>
      <c r="Y1372" s="679"/>
      <c r="Z1372" s="679"/>
      <c r="AA1372" s="679"/>
      <c r="AB1372" s="680"/>
    </row>
    <row r="1373" spans="2:28" s="780" customFormat="1" hidden="1" x14ac:dyDescent="0.45">
      <c r="B1373" s="1692"/>
      <c r="C1373" s="1697"/>
      <c r="D1373" s="122" t="s">
        <v>327</v>
      </c>
      <c r="E1373" s="678"/>
      <c r="F1373" s="678"/>
      <c r="G1373" s="678"/>
      <c r="H1373" s="678"/>
      <c r="I1373" s="678"/>
      <c r="J1373" s="678"/>
      <c r="K1373" s="678"/>
      <c r="L1373" s="678"/>
      <c r="M1373" s="678"/>
      <c r="N1373" s="678"/>
      <c r="O1373" s="678"/>
      <c r="P1373" s="678"/>
      <c r="Q1373" s="678"/>
      <c r="R1373" s="678"/>
      <c r="S1373" s="678"/>
      <c r="T1373" s="678"/>
      <c r="U1373" s="678"/>
      <c r="V1373" s="678"/>
      <c r="W1373" s="678"/>
      <c r="X1373" s="681"/>
      <c r="Y1373" s="679"/>
      <c r="Z1373" s="679"/>
      <c r="AA1373" s="679"/>
      <c r="AB1373" s="680"/>
    </row>
    <row r="1374" spans="2:28" s="780" customFormat="1" hidden="1" x14ac:dyDescent="0.45">
      <c r="B1374" s="1692"/>
      <c r="C1374" s="1698" t="s">
        <v>331</v>
      </c>
      <c r="D1374" s="125" t="s">
        <v>326</v>
      </c>
      <c r="E1374" s="682"/>
      <c r="F1374" s="682"/>
      <c r="G1374" s="685"/>
      <c r="H1374" s="682"/>
      <c r="I1374" s="682"/>
      <c r="J1374" s="682"/>
      <c r="K1374" s="682"/>
      <c r="L1374" s="682"/>
      <c r="M1374" s="682"/>
      <c r="N1374" s="682"/>
      <c r="O1374" s="682"/>
      <c r="P1374" s="682"/>
      <c r="Q1374" s="682"/>
      <c r="R1374" s="682"/>
      <c r="S1374" s="682"/>
      <c r="T1374" s="682"/>
      <c r="U1374" s="682"/>
      <c r="V1374" s="682"/>
      <c r="W1374" s="682"/>
      <c r="X1374" s="682"/>
      <c r="Y1374" s="683"/>
      <c r="Z1374" s="683"/>
      <c r="AA1374" s="683"/>
      <c r="AB1374" s="684"/>
    </row>
    <row r="1375" spans="2:28" s="780" customFormat="1" hidden="1" x14ac:dyDescent="0.45">
      <c r="B1375" s="1692"/>
      <c r="C1375" s="1695"/>
      <c r="D1375" s="124" t="s">
        <v>327</v>
      </c>
      <c r="E1375" s="675"/>
      <c r="F1375" s="675"/>
      <c r="G1375" s="686"/>
      <c r="H1375" s="675"/>
      <c r="I1375" s="675"/>
      <c r="J1375" s="675"/>
      <c r="K1375" s="675"/>
      <c r="L1375" s="675"/>
      <c r="M1375" s="675"/>
      <c r="N1375" s="675"/>
      <c r="O1375" s="675"/>
      <c r="P1375" s="675"/>
      <c r="Q1375" s="675"/>
      <c r="R1375" s="675"/>
      <c r="S1375" s="675"/>
      <c r="T1375" s="675"/>
      <c r="U1375" s="675"/>
      <c r="V1375" s="675"/>
      <c r="W1375" s="675"/>
      <c r="X1375" s="675"/>
      <c r="Y1375" s="676"/>
      <c r="Z1375" s="676"/>
      <c r="AA1375" s="676"/>
      <c r="AB1375" s="677"/>
    </row>
    <row r="1376" spans="2:28" s="780" customFormat="1" hidden="1" x14ac:dyDescent="0.45">
      <c r="B1376" s="1692"/>
      <c r="C1376" s="1696" t="s">
        <v>332</v>
      </c>
      <c r="D1376" s="122" t="s">
        <v>326</v>
      </c>
      <c r="E1376" s="678"/>
      <c r="F1376" s="678"/>
      <c r="G1376" s="678"/>
      <c r="H1376" s="678"/>
      <c r="I1376" s="678"/>
      <c r="J1376" s="678"/>
      <c r="K1376" s="678"/>
      <c r="L1376" s="678"/>
      <c r="M1376" s="678"/>
      <c r="N1376" s="678"/>
      <c r="O1376" s="678"/>
      <c r="P1376" s="678"/>
      <c r="Q1376" s="678"/>
      <c r="R1376" s="678"/>
      <c r="S1376" s="678"/>
      <c r="T1376" s="678"/>
      <c r="U1376" s="678"/>
      <c r="V1376" s="678"/>
      <c r="W1376" s="679"/>
      <c r="X1376" s="679"/>
      <c r="Y1376" s="679"/>
      <c r="Z1376" s="679"/>
      <c r="AA1376" s="679"/>
      <c r="AB1376" s="680"/>
    </row>
    <row r="1377" spans="2:28" s="780" customFormat="1" hidden="1" x14ac:dyDescent="0.45">
      <c r="B1377" s="1692"/>
      <c r="C1377" s="1697"/>
      <c r="D1377" s="122" t="s">
        <v>327</v>
      </c>
      <c r="E1377" s="678"/>
      <c r="F1377" s="678"/>
      <c r="G1377" s="678"/>
      <c r="H1377" s="678"/>
      <c r="I1377" s="678"/>
      <c r="J1377" s="678"/>
      <c r="K1377" s="678"/>
      <c r="L1377" s="678"/>
      <c r="M1377" s="678"/>
      <c r="N1377" s="678"/>
      <c r="O1377" s="678"/>
      <c r="P1377" s="678"/>
      <c r="Q1377" s="678"/>
      <c r="R1377" s="678"/>
      <c r="S1377" s="678"/>
      <c r="T1377" s="678"/>
      <c r="U1377" s="678"/>
      <c r="V1377" s="678"/>
      <c r="W1377" s="678"/>
      <c r="X1377" s="678"/>
      <c r="Y1377" s="679"/>
      <c r="Z1377" s="679"/>
      <c r="AA1377" s="679"/>
      <c r="AB1377" s="680"/>
    </row>
    <row r="1378" spans="2:28" s="780" customFormat="1" hidden="1" x14ac:dyDescent="0.45">
      <c r="B1378" s="1692"/>
      <c r="C1378" s="1698" t="s">
        <v>333</v>
      </c>
      <c r="D1378" s="124" t="s">
        <v>326</v>
      </c>
      <c r="E1378" s="675"/>
      <c r="F1378" s="675"/>
      <c r="G1378" s="675"/>
      <c r="H1378" s="675"/>
      <c r="I1378" s="675"/>
      <c r="J1378" s="675"/>
      <c r="K1378" s="675"/>
      <c r="L1378" s="675"/>
      <c r="M1378" s="675"/>
      <c r="N1378" s="675"/>
      <c r="O1378" s="675"/>
      <c r="P1378" s="675"/>
      <c r="Q1378" s="675"/>
      <c r="R1378" s="675"/>
      <c r="S1378" s="675"/>
      <c r="T1378" s="675"/>
      <c r="U1378" s="675"/>
      <c r="V1378" s="675"/>
      <c r="W1378" s="676"/>
      <c r="X1378" s="676"/>
      <c r="Y1378" s="676"/>
      <c r="Z1378" s="676"/>
      <c r="AA1378" s="676"/>
      <c r="AB1378" s="677"/>
    </row>
    <row r="1379" spans="2:28" s="780" customFormat="1" hidden="1" x14ac:dyDescent="0.45">
      <c r="B1379" s="1693"/>
      <c r="C1379" s="1699"/>
      <c r="D1379" s="126" t="s">
        <v>327</v>
      </c>
      <c r="E1379" s="687"/>
      <c r="F1379" s="687"/>
      <c r="G1379" s="687"/>
      <c r="H1379" s="687"/>
      <c r="I1379" s="687"/>
      <c r="J1379" s="687"/>
      <c r="K1379" s="687"/>
      <c r="L1379" s="687"/>
      <c r="M1379" s="687"/>
      <c r="N1379" s="687"/>
      <c r="O1379" s="687"/>
      <c r="P1379" s="687"/>
      <c r="Q1379" s="687"/>
      <c r="R1379" s="687"/>
      <c r="S1379" s="687"/>
      <c r="T1379" s="687"/>
      <c r="U1379" s="687"/>
      <c r="V1379" s="687"/>
      <c r="W1379" s="687"/>
      <c r="X1379" s="687"/>
      <c r="Y1379" s="687"/>
      <c r="Z1379" s="687"/>
      <c r="AA1379" s="687"/>
      <c r="AB1379" s="688"/>
    </row>
    <row r="1380" spans="2:28" s="780" customFormat="1" hidden="1" x14ac:dyDescent="0.45"/>
    <row r="1381" spans="2:28" s="780" customFormat="1" hidden="1" x14ac:dyDescent="0.45">
      <c r="B1381" s="1688" t="s">
        <v>54</v>
      </c>
      <c r="C1381" s="1689"/>
      <c r="D1381" s="1690"/>
      <c r="E1381" s="779"/>
      <c r="F1381" s="779"/>
      <c r="G1381" s="779"/>
      <c r="H1381" s="779"/>
      <c r="I1381" s="779"/>
      <c r="J1381" s="779"/>
      <c r="K1381" s="779"/>
      <c r="L1381" s="779"/>
      <c r="M1381" s="779"/>
      <c r="N1381" s="779"/>
      <c r="O1381" s="779"/>
      <c r="P1381" s="779"/>
      <c r="Q1381" s="779"/>
      <c r="R1381" s="779"/>
      <c r="S1381" s="779"/>
      <c r="T1381" s="779"/>
      <c r="U1381" s="779"/>
      <c r="V1381" s="779"/>
      <c r="W1381" s="779"/>
      <c r="X1381" s="779"/>
      <c r="Y1381" s="779"/>
      <c r="Z1381" s="779"/>
      <c r="AA1381" s="779"/>
      <c r="AB1381" s="708"/>
    </row>
    <row r="1382" spans="2:28" s="780" customFormat="1" ht="15" hidden="1" customHeight="1" x14ac:dyDescent="0.45">
      <c r="B1382" s="1691" t="str">
        <f>CONCATENATE("Plan ", INDEX(plans_index,,(ROW(B1382)-6)/16), ": ", INDEX(plans_name,,(ROW(B1382)-6)/16))</f>
        <v xml:space="preserve">Plan 86: </v>
      </c>
      <c r="C1382" s="1694" t="s">
        <v>325</v>
      </c>
      <c r="D1382" s="123" t="s">
        <v>326</v>
      </c>
      <c r="E1382" s="672"/>
      <c r="F1382" s="672"/>
      <c r="G1382" s="672"/>
      <c r="H1382" s="673"/>
      <c r="I1382" s="672"/>
      <c r="J1382" s="672"/>
      <c r="K1382" s="672"/>
      <c r="L1382" s="672"/>
      <c r="M1382" s="672"/>
      <c r="N1382" s="672"/>
      <c r="O1382" s="672"/>
      <c r="P1382" s="672"/>
      <c r="Q1382" s="672"/>
      <c r="R1382" s="672"/>
      <c r="S1382" s="672"/>
      <c r="T1382" s="672"/>
      <c r="U1382" s="672"/>
      <c r="V1382" s="672"/>
      <c r="W1382" s="672"/>
      <c r="X1382" s="672"/>
      <c r="Y1382" s="672"/>
      <c r="Z1382" s="672"/>
      <c r="AA1382" s="672"/>
      <c r="AB1382" s="674"/>
    </row>
    <row r="1383" spans="2:28" s="780" customFormat="1" hidden="1" x14ac:dyDescent="0.45">
      <c r="B1383" s="1692"/>
      <c r="C1383" s="1695"/>
      <c r="D1383" s="124" t="s">
        <v>327</v>
      </c>
      <c r="E1383" s="675"/>
      <c r="F1383" s="675"/>
      <c r="G1383" s="675"/>
      <c r="H1383" s="675"/>
      <c r="I1383" s="675"/>
      <c r="J1383" s="675"/>
      <c r="K1383" s="675"/>
      <c r="L1383" s="675"/>
      <c r="M1383" s="675"/>
      <c r="N1383" s="675"/>
      <c r="O1383" s="675"/>
      <c r="P1383" s="675"/>
      <c r="Q1383" s="675"/>
      <c r="R1383" s="675"/>
      <c r="S1383" s="675"/>
      <c r="T1383" s="675"/>
      <c r="U1383" s="675"/>
      <c r="V1383" s="675"/>
      <c r="W1383" s="675"/>
      <c r="X1383" s="675"/>
      <c r="Y1383" s="676"/>
      <c r="Z1383" s="676"/>
      <c r="AA1383" s="676"/>
      <c r="AB1383" s="677"/>
    </row>
    <row r="1384" spans="2:28" s="780" customFormat="1" hidden="1" x14ac:dyDescent="0.45">
      <c r="B1384" s="1692"/>
      <c r="C1384" s="1696" t="s">
        <v>328</v>
      </c>
      <c r="D1384" s="122" t="s">
        <v>326</v>
      </c>
      <c r="E1384" s="678"/>
      <c r="F1384" s="678"/>
      <c r="G1384" s="678"/>
      <c r="H1384" s="678"/>
      <c r="I1384" s="678"/>
      <c r="J1384" s="678"/>
      <c r="K1384" s="678"/>
      <c r="L1384" s="678"/>
      <c r="M1384" s="678"/>
      <c r="N1384" s="678"/>
      <c r="O1384" s="678"/>
      <c r="P1384" s="678"/>
      <c r="Q1384" s="678"/>
      <c r="R1384" s="678"/>
      <c r="S1384" s="678"/>
      <c r="T1384" s="678"/>
      <c r="U1384" s="678"/>
      <c r="V1384" s="678"/>
      <c r="W1384" s="678"/>
      <c r="X1384" s="678"/>
      <c r="Y1384" s="679"/>
      <c r="Z1384" s="679"/>
      <c r="AA1384" s="679"/>
      <c r="AB1384" s="680"/>
    </row>
    <row r="1385" spans="2:28" s="780" customFormat="1" hidden="1" x14ac:dyDescent="0.45">
      <c r="B1385" s="1692"/>
      <c r="C1385" s="1697"/>
      <c r="D1385" s="122" t="s">
        <v>327</v>
      </c>
      <c r="E1385" s="678"/>
      <c r="F1385" s="678"/>
      <c r="G1385" s="678"/>
      <c r="H1385" s="678"/>
      <c r="I1385" s="678"/>
      <c r="J1385" s="678"/>
      <c r="K1385" s="678"/>
      <c r="L1385" s="678"/>
      <c r="M1385" s="678"/>
      <c r="N1385" s="678"/>
      <c r="O1385" s="678"/>
      <c r="P1385" s="678"/>
      <c r="Q1385" s="678"/>
      <c r="R1385" s="678"/>
      <c r="S1385" s="678"/>
      <c r="T1385" s="678"/>
      <c r="U1385" s="678"/>
      <c r="V1385" s="678"/>
      <c r="W1385" s="678"/>
      <c r="X1385" s="681"/>
      <c r="Y1385" s="679"/>
      <c r="Z1385" s="679"/>
      <c r="AA1385" s="679"/>
      <c r="AB1385" s="680"/>
    </row>
    <row r="1386" spans="2:28" s="780" customFormat="1" hidden="1" x14ac:dyDescent="0.45">
      <c r="B1386" s="1692"/>
      <c r="C1386" s="1698" t="s">
        <v>329</v>
      </c>
      <c r="D1386" s="125" t="s">
        <v>326</v>
      </c>
      <c r="E1386" s="682"/>
      <c r="F1386" s="682"/>
      <c r="G1386" s="682"/>
      <c r="H1386" s="682"/>
      <c r="I1386" s="682"/>
      <c r="J1386" s="682"/>
      <c r="K1386" s="682"/>
      <c r="L1386" s="682"/>
      <c r="M1386" s="682"/>
      <c r="N1386" s="682"/>
      <c r="O1386" s="682"/>
      <c r="P1386" s="682"/>
      <c r="Q1386" s="682"/>
      <c r="R1386" s="682"/>
      <c r="S1386" s="682"/>
      <c r="T1386" s="682"/>
      <c r="U1386" s="682"/>
      <c r="V1386" s="682"/>
      <c r="W1386" s="682"/>
      <c r="X1386" s="682"/>
      <c r="Y1386" s="683"/>
      <c r="Z1386" s="683"/>
      <c r="AA1386" s="683"/>
      <c r="AB1386" s="684"/>
    </row>
    <row r="1387" spans="2:28" s="780" customFormat="1" hidden="1" x14ac:dyDescent="0.45">
      <c r="B1387" s="1692"/>
      <c r="C1387" s="1695"/>
      <c r="D1387" s="124" t="s">
        <v>327</v>
      </c>
      <c r="E1387" s="675"/>
      <c r="F1387" s="675"/>
      <c r="G1387" s="675"/>
      <c r="H1387" s="675"/>
      <c r="I1387" s="675"/>
      <c r="J1387" s="675"/>
      <c r="K1387" s="675"/>
      <c r="L1387" s="675"/>
      <c r="M1387" s="675"/>
      <c r="N1387" s="675"/>
      <c r="O1387" s="675"/>
      <c r="P1387" s="675"/>
      <c r="Q1387" s="675"/>
      <c r="R1387" s="675"/>
      <c r="S1387" s="675"/>
      <c r="T1387" s="675"/>
      <c r="U1387" s="675"/>
      <c r="V1387" s="675"/>
      <c r="W1387" s="675"/>
      <c r="X1387" s="675"/>
      <c r="Y1387" s="676"/>
      <c r="Z1387" s="676"/>
      <c r="AA1387" s="676"/>
      <c r="AB1387" s="677"/>
    </row>
    <row r="1388" spans="2:28" s="780" customFormat="1" hidden="1" x14ac:dyDescent="0.45">
      <c r="B1388" s="1692"/>
      <c r="C1388" s="1696" t="s">
        <v>330</v>
      </c>
      <c r="D1388" s="122" t="s">
        <v>326</v>
      </c>
      <c r="E1388" s="678"/>
      <c r="F1388" s="678"/>
      <c r="G1388" s="678"/>
      <c r="H1388" s="678"/>
      <c r="I1388" s="678"/>
      <c r="J1388" s="678"/>
      <c r="K1388" s="678"/>
      <c r="L1388" s="678"/>
      <c r="M1388" s="678"/>
      <c r="N1388" s="678"/>
      <c r="O1388" s="678"/>
      <c r="P1388" s="678"/>
      <c r="Q1388" s="678"/>
      <c r="R1388" s="678"/>
      <c r="S1388" s="678"/>
      <c r="T1388" s="678"/>
      <c r="U1388" s="678"/>
      <c r="V1388" s="678"/>
      <c r="W1388" s="678"/>
      <c r="X1388" s="678"/>
      <c r="Y1388" s="679"/>
      <c r="Z1388" s="679"/>
      <c r="AA1388" s="679"/>
      <c r="AB1388" s="680"/>
    </row>
    <row r="1389" spans="2:28" s="780" customFormat="1" hidden="1" x14ac:dyDescent="0.45">
      <c r="B1389" s="1692"/>
      <c r="C1389" s="1697"/>
      <c r="D1389" s="122" t="s">
        <v>327</v>
      </c>
      <c r="E1389" s="678"/>
      <c r="F1389" s="678"/>
      <c r="G1389" s="678"/>
      <c r="H1389" s="678"/>
      <c r="I1389" s="678"/>
      <c r="J1389" s="678"/>
      <c r="K1389" s="678"/>
      <c r="L1389" s="678"/>
      <c r="M1389" s="678"/>
      <c r="N1389" s="678"/>
      <c r="O1389" s="678"/>
      <c r="P1389" s="678"/>
      <c r="Q1389" s="678"/>
      <c r="R1389" s="678"/>
      <c r="S1389" s="678"/>
      <c r="T1389" s="678"/>
      <c r="U1389" s="678"/>
      <c r="V1389" s="678"/>
      <c r="W1389" s="678"/>
      <c r="X1389" s="681"/>
      <c r="Y1389" s="679"/>
      <c r="Z1389" s="679"/>
      <c r="AA1389" s="679"/>
      <c r="AB1389" s="680"/>
    </row>
    <row r="1390" spans="2:28" s="780" customFormat="1" hidden="1" x14ac:dyDescent="0.45">
      <c r="B1390" s="1692"/>
      <c r="C1390" s="1698" t="s">
        <v>331</v>
      </c>
      <c r="D1390" s="125" t="s">
        <v>326</v>
      </c>
      <c r="E1390" s="682"/>
      <c r="F1390" s="682"/>
      <c r="G1390" s="685"/>
      <c r="H1390" s="682"/>
      <c r="I1390" s="682"/>
      <c r="J1390" s="682"/>
      <c r="K1390" s="682"/>
      <c r="L1390" s="682"/>
      <c r="M1390" s="682"/>
      <c r="N1390" s="682"/>
      <c r="O1390" s="682"/>
      <c r="P1390" s="682"/>
      <c r="Q1390" s="682"/>
      <c r="R1390" s="682"/>
      <c r="S1390" s="682"/>
      <c r="T1390" s="682"/>
      <c r="U1390" s="682"/>
      <c r="V1390" s="682"/>
      <c r="W1390" s="682"/>
      <c r="X1390" s="682"/>
      <c r="Y1390" s="683"/>
      <c r="Z1390" s="683"/>
      <c r="AA1390" s="683"/>
      <c r="AB1390" s="684"/>
    </row>
    <row r="1391" spans="2:28" s="780" customFormat="1" hidden="1" x14ac:dyDescent="0.45">
      <c r="B1391" s="1692"/>
      <c r="C1391" s="1695"/>
      <c r="D1391" s="124" t="s">
        <v>327</v>
      </c>
      <c r="E1391" s="675"/>
      <c r="F1391" s="675"/>
      <c r="G1391" s="686"/>
      <c r="H1391" s="675"/>
      <c r="I1391" s="675"/>
      <c r="J1391" s="675"/>
      <c r="K1391" s="675"/>
      <c r="L1391" s="675"/>
      <c r="M1391" s="675"/>
      <c r="N1391" s="675"/>
      <c r="O1391" s="675"/>
      <c r="P1391" s="675"/>
      <c r="Q1391" s="675"/>
      <c r="R1391" s="675"/>
      <c r="S1391" s="675"/>
      <c r="T1391" s="675"/>
      <c r="U1391" s="675"/>
      <c r="V1391" s="675"/>
      <c r="W1391" s="675"/>
      <c r="X1391" s="675"/>
      <c r="Y1391" s="676"/>
      <c r="Z1391" s="676"/>
      <c r="AA1391" s="676"/>
      <c r="AB1391" s="677"/>
    </row>
    <row r="1392" spans="2:28" s="780" customFormat="1" hidden="1" x14ac:dyDescent="0.45">
      <c r="B1392" s="1692"/>
      <c r="C1392" s="1696" t="s">
        <v>332</v>
      </c>
      <c r="D1392" s="122" t="s">
        <v>326</v>
      </c>
      <c r="E1392" s="678"/>
      <c r="F1392" s="678"/>
      <c r="G1392" s="678"/>
      <c r="H1392" s="678"/>
      <c r="I1392" s="678"/>
      <c r="J1392" s="678"/>
      <c r="K1392" s="678"/>
      <c r="L1392" s="678"/>
      <c r="M1392" s="678"/>
      <c r="N1392" s="678"/>
      <c r="O1392" s="678"/>
      <c r="P1392" s="678"/>
      <c r="Q1392" s="678"/>
      <c r="R1392" s="678"/>
      <c r="S1392" s="678"/>
      <c r="T1392" s="678"/>
      <c r="U1392" s="678"/>
      <c r="V1392" s="678"/>
      <c r="W1392" s="679"/>
      <c r="X1392" s="679"/>
      <c r="Y1392" s="679"/>
      <c r="Z1392" s="679"/>
      <c r="AA1392" s="679"/>
      <c r="AB1392" s="680"/>
    </row>
    <row r="1393" spans="2:28" s="780" customFormat="1" hidden="1" x14ac:dyDescent="0.45">
      <c r="B1393" s="1692"/>
      <c r="C1393" s="1697"/>
      <c r="D1393" s="122" t="s">
        <v>327</v>
      </c>
      <c r="E1393" s="678"/>
      <c r="F1393" s="678"/>
      <c r="G1393" s="678"/>
      <c r="H1393" s="678"/>
      <c r="I1393" s="678"/>
      <c r="J1393" s="678"/>
      <c r="K1393" s="678"/>
      <c r="L1393" s="678"/>
      <c r="M1393" s="678"/>
      <c r="N1393" s="678"/>
      <c r="O1393" s="678"/>
      <c r="P1393" s="678"/>
      <c r="Q1393" s="678"/>
      <c r="R1393" s="678"/>
      <c r="S1393" s="678"/>
      <c r="T1393" s="678"/>
      <c r="U1393" s="678"/>
      <c r="V1393" s="678"/>
      <c r="W1393" s="678"/>
      <c r="X1393" s="678"/>
      <c r="Y1393" s="679"/>
      <c r="Z1393" s="679"/>
      <c r="AA1393" s="679"/>
      <c r="AB1393" s="680"/>
    </row>
    <row r="1394" spans="2:28" s="780" customFormat="1" hidden="1" x14ac:dyDescent="0.45">
      <c r="B1394" s="1692"/>
      <c r="C1394" s="1698" t="s">
        <v>333</v>
      </c>
      <c r="D1394" s="124" t="s">
        <v>326</v>
      </c>
      <c r="E1394" s="675"/>
      <c r="F1394" s="675"/>
      <c r="G1394" s="675"/>
      <c r="H1394" s="675"/>
      <c r="I1394" s="675"/>
      <c r="J1394" s="675"/>
      <c r="K1394" s="675"/>
      <c r="L1394" s="675"/>
      <c r="M1394" s="675"/>
      <c r="N1394" s="675"/>
      <c r="O1394" s="675"/>
      <c r="P1394" s="675"/>
      <c r="Q1394" s="675"/>
      <c r="R1394" s="675"/>
      <c r="S1394" s="675"/>
      <c r="T1394" s="675"/>
      <c r="U1394" s="675"/>
      <c r="V1394" s="675"/>
      <c r="W1394" s="676"/>
      <c r="X1394" s="676"/>
      <c r="Y1394" s="676"/>
      <c r="Z1394" s="676"/>
      <c r="AA1394" s="676"/>
      <c r="AB1394" s="677"/>
    </row>
    <row r="1395" spans="2:28" s="780" customFormat="1" hidden="1" x14ac:dyDescent="0.45">
      <c r="B1395" s="1693"/>
      <c r="C1395" s="1699"/>
      <c r="D1395" s="126" t="s">
        <v>327</v>
      </c>
      <c r="E1395" s="687"/>
      <c r="F1395" s="687"/>
      <c r="G1395" s="687"/>
      <c r="H1395" s="687"/>
      <c r="I1395" s="687"/>
      <c r="J1395" s="687"/>
      <c r="K1395" s="687"/>
      <c r="L1395" s="687"/>
      <c r="M1395" s="687"/>
      <c r="N1395" s="687"/>
      <c r="O1395" s="687"/>
      <c r="P1395" s="687"/>
      <c r="Q1395" s="687"/>
      <c r="R1395" s="687"/>
      <c r="S1395" s="687"/>
      <c r="T1395" s="687"/>
      <c r="U1395" s="687"/>
      <c r="V1395" s="687"/>
      <c r="W1395" s="687"/>
      <c r="X1395" s="687"/>
      <c r="Y1395" s="687"/>
      <c r="Z1395" s="687"/>
      <c r="AA1395" s="687"/>
      <c r="AB1395" s="688"/>
    </row>
    <row r="1396" spans="2:28" s="780" customFormat="1" hidden="1" x14ac:dyDescent="0.45"/>
    <row r="1397" spans="2:28" s="780" customFormat="1" hidden="1" x14ac:dyDescent="0.45">
      <c r="B1397" s="1688" t="s">
        <v>54</v>
      </c>
      <c r="C1397" s="1689"/>
      <c r="D1397" s="1690"/>
      <c r="E1397" s="779"/>
      <c r="F1397" s="779"/>
      <c r="G1397" s="779"/>
      <c r="H1397" s="779"/>
      <c r="I1397" s="779"/>
      <c r="J1397" s="779"/>
      <c r="K1397" s="779"/>
      <c r="L1397" s="779"/>
      <c r="M1397" s="779"/>
      <c r="N1397" s="779"/>
      <c r="O1397" s="779"/>
      <c r="P1397" s="779"/>
      <c r="Q1397" s="779"/>
      <c r="R1397" s="779"/>
      <c r="S1397" s="779"/>
      <c r="T1397" s="779"/>
      <c r="U1397" s="779"/>
      <c r="V1397" s="779"/>
      <c r="W1397" s="779"/>
      <c r="X1397" s="779"/>
      <c r="Y1397" s="779"/>
      <c r="Z1397" s="779"/>
      <c r="AA1397" s="779"/>
      <c r="AB1397" s="708"/>
    </row>
    <row r="1398" spans="2:28" s="780" customFormat="1" ht="15" hidden="1" customHeight="1" x14ac:dyDescent="0.45">
      <c r="B1398" s="1691" t="str">
        <f>CONCATENATE("Plan ", INDEX(plans_index,,(ROW(B1398)-6)/16), ": ", INDEX(plans_name,,(ROW(B1398)-6)/16))</f>
        <v xml:space="preserve">Plan 87: </v>
      </c>
      <c r="C1398" s="1694" t="s">
        <v>325</v>
      </c>
      <c r="D1398" s="123" t="s">
        <v>326</v>
      </c>
      <c r="E1398" s="672"/>
      <c r="F1398" s="672"/>
      <c r="G1398" s="672"/>
      <c r="H1398" s="673"/>
      <c r="I1398" s="672"/>
      <c r="J1398" s="672"/>
      <c r="K1398" s="672"/>
      <c r="L1398" s="672"/>
      <c r="M1398" s="672"/>
      <c r="N1398" s="672"/>
      <c r="O1398" s="672"/>
      <c r="P1398" s="672"/>
      <c r="Q1398" s="672"/>
      <c r="R1398" s="672"/>
      <c r="S1398" s="672"/>
      <c r="T1398" s="672"/>
      <c r="U1398" s="672"/>
      <c r="V1398" s="672"/>
      <c r="W1398" s="672"/>
      <c r="X1398" s="672"/>
      <c r="Y1398" s="672"/>
      <c r="Z1398" s="672"/>
      <c r="AA1398" s="672"/>
      <c r="AB1398" s="674"/>
    </row>
    <row r="1399" spans="2:28" s="780" customFormat="1" hidden="1" x14ac:dyDescent="0.45">
      <c r="B1399" s="1692"/>
      <c r="C1399" s="1695"/>
      <c r="D1399" s="124" t="s">
        <v>327</v>
      </c>
      <c r="E1399" s="675"/>
      <c r="F1399" s="675"/>
      <c r="G1399" s="675"/>
      <c r="H1399" s="675"/>
      <c r="I1399" s="675"/>
      <c r="J1399" s="675"/>
      <c r="K1399" s="675"/>
      <c r="L1399" s="675"/>
      <c r="M1399" s="675"/>
      <c r="N1399" s="675"/>
      <c r="O1399" s="675"/>
      <c r="P1399" s="675"/>
      <c r="Q1399" s="675"/>
      <c r="R1399" s="675"/>
      <c r="S1399" s="675"/>
      <c r="T1399" s="675"/>
      <c r="U1399" s="675"/>
      <c r="V1399" s="675"/>
      <c r="W1399" s="675"/>
      <c r="X1399" s="675"/>
      <c r="Y1399" s="676"/>
      <c r="Z1399" s="676"/>
      <c r="AA1399" s="676"/>
      <c r="AB1399" s="677"/>
    </row>
    <row r="1400" spans="2:28" s="780" customFormat="1" hidden="1" x14ac:dyDescent="0.45">
      <c r="B1400" s="1692"/>
      <c r="C1400" s="1696" t="s">
        <v>328</v>
      </c>
      <c r="D1400" s="122" t="s">
        <v>326</v>
      </c>
      <c r="E1400" s="678"/>
      <c r="F1400" s="678"/>
      <c r="G1400" s="678"/>
      <c r="H1400" s="678"/>
      <c r="I1400" s="678"/>
      <c r="J1400" s="678"/>
      <c r="K1400" s="678"/>
      <c r="L1400" s="678"/>
      <c r="M1400" s="678"/>
      <c r="N1400" s="678"/>
      <c r="O1400" s="678"/>
      <c r="P1400" s="678"/>
      <c r="Q1400" s="678"/>
      <c r="R1400" s="678"/>
      <c r="S1400" s="678"/>
      <c r="T1400" s="678"/>
      <c r="U1400" s="678"/>
      <c r="V1400" s="678"/>
      <c r="W1400" s="678"/>
      <c r="X1400" s="678"/>
      <c r="Y1400" s="679"/>
      <c r="Z1400" s="679"/>
      <c r="AA1400" s="679"/>
      <c r="AB1400" s="680"/>
    </row>
    <row r="1401" spans="2:28" s="780" customFormat="1" hidden="1" x14ac:dyDescent="0.45">
      <c r="B1401" s="1692"/>
      <c r="C1401" s="1697"/>
      <c r="D1401" s="122" t="s">
        <v>327</v>
      </c>
      <c r="E1401" s="678"/>
      <c r="F1401" s="678"/>
      <c r="G1401" s="678"/>
      <c r="H1401" s="678"/>
      <c r="I1401" s="678"/>
      <c r="J1401" s="678"/>
      <c r="K1401" s="678"/>
      <c r="L1401" s="678"/>
      <c r="M1401" s="678"/>
      <c r="N1401" s="678"/>
      <c r="O1401" s="678"/>
      <c r="P1401" s="678"/>
      <c r="Q1401" s="678"/>
      <c r="R1401" s="678"/>
      <c r="S1401" s="678"/>
      <c r="T1401" s="678"/>
      <c r="U1401" s="678"/>
      <c r="V1401" s="678"/>
      <c r="W1401" s="678"/>
      <c r="X1401" s="681"/>
      <c r="Y1401" s="679"/>
      <c r="Z1401" s="679"/>
      <c r="AA1401" s="679"/>
      <c r="AB1401" s="680"/>
    </row>
    <row r="1402" spans="2:28" s="780" customFormat="1" hidden="1" x14ac:dyDescent="0.45">
      <c r="B1402" s="1692"/>
      <c r="C1402" s="1698" t="s">
        <v>329</v>
      </c>
      <c r="D1402" s="125" t="s">
        <v>326</v>
      </c>
      <c r="E1402" s="682"/>
      <c r="F1402" s="682"/>
      <c r="G1402" s="682"/>
      <c r="H1402" s="682"/>
      <c r="I1402" s="682"/>
      <c r="J1402" s="682"/>
      <c r="K1402" s="682"/>
      <c r="L1402" s="682"/>
      <c r="M1402" s="682"/>
      <c r="N1402" s="682"/>
      <c r="O1402" s="682"/>
      <c r="P1402" s="682"/>
      <c r="Q1402" s="682"/>
      <c r="R1402" s="682"/>
      <c r="S1402" s="682"/>
      <c r="T1402" s="682"/>
      <c r="U1402" s="682"/>
      <c r="V1402" s="682"/>
      <c r="W1402" s="682"/>
      <c r="X1402" s="682"/>
      <c r="Y1402" s="683"/>
      <c r="Z1402" s="683"/>
      <c r="AA1402" s="683"/>
      <c r="AB1402" s="684"/>
    </row>
    <row r="1403" spans="2:28" s="780" customFormat="1" hidden="1" x14ac:dyDescent="0.45">
      <c r="B1403" s="1692"/>
      <c r="C1403" s="1695"/>
      <c r="D1403" s="124" t="s">
        <v>327</v>
      </c>
      <c r="E1403" s="675"/>
      <c r="F1403" s="675"/>
      <c r="G1403" s="675"/>
      <c r="H1403" s="675"/>
      <c r="I1403" s="675"/>
      <c r="J1403" s="675"/>
      <c r="K1403" s="675"/>
      <c r="L1403" s="675"/>
      <c r="M1403" s="675"/>
      <c r="N1403" s="675"/>
      <c r="O1403" s="675"/>
      <c r="P1403" s="675"/>
      <c r="Q1403" s="675"/>
      <c r="R1403" s="675"/>
      <c r="S1403" s="675"/>
      <c r="T1403" s="675"/>
      <c r="U1403" s="675"/>
      <c r="V1403" s="675"/>
      <c r="W1403" s="675"/>
      <c r="X1403" s="675"/>
      <c r="Y1403" s="676"/>
      <c r="Z1403" s="676"/>
      <c r="AA1403" s="676"/>
      <c r="AB1403" s="677"/>
    </row>
    <row r="1404" spans="2:28" s="780" customFormat="1" hidden="1" x14ac:dyDescent="0.45">
      <c r="B1404" s="1692"/>
      <c r="C1404" s="1696" t="s">
        <v>330</v>
      </c>
      <c r="D1404" s="122" t="s">
        <v>326</v>
      </c>
      <c r="E1404" s="678"/>
      <c r="F1404" s="678"/>
      <c r="G1404" s="678"/>
      <c r="H1404" s="678"/>
      <c r="I1404" s="678"/>
      <c r="J1404" s="678"/>
      <c r="K1404" s="678"/>
      <c r="L1404" s="678"/>
      <c r="M1404" s="678"/>
      <c r="N1404" s="678"/>
      <c r="O1404" s="678"/>
      <c r="P1404" s="678"/>
      <c r="Q1404" s="678"/>
      <c r="R1404" s="678"/>
      <c r="S1404" s="678"/>
      <c r="T1404" s="678"/>
      <c r="U1404" s="678"/>
      <c r="V1404" s="678"/>
      <c r="W1404" s="678"/>
      <c r="X1404" s="678"/>
      <c r="Y1404" s="679"/>
      <c r="Z1404" s="679"/>
      <c r="AA1404" s="679"/>
      <c r="AB1404" s="680"/>
    </row>
    <row r="1405" spans="2:28" s="780" customFormat="1" hidden="1" x14ac:dyDescent="0.45">
      <c r="B1405" s="1692"/>
      <c r="C1405" s="1697"/>
      <c r="D1405" s="122" t="s">
        <v>327</v>
      </c>
      <c r="E1405" s="678"/>
      <c r="F1405" s="678"/>
      <c r="G1405" s="678"/>
      <c r="H1405" s="678"/>
      <c r="I1405" s="678"/>
      <c r="J1405" s="678"/>
      <c r="K1405" s="678"/>
      <c r="L1405" s="678"/>
      <c r="M1405" s="678"/>
      <c r="N1405" s="678"/>
      <c r="O1405" s="678"/>
      <c r="P1405" s="678"/>
      <c r="Q1405" s="678"/>
      <c r="R1405" s="678"/>
      <c r="S1405" s="678"/>
      <c r="T1405" s="678"/>
      <c r="U1405" s="678"/>
      <c r="V1405" s="678"/>
      <c r="W1405" s="678"/>
      <c r="X1405" s="681"/>
      <c r="Y1405" s="679"/>
      <c r="Z1405" s="679"/>
      <c r="AA1405" s="679"/>
      <c r="AB1405" s="680"/>
    </row>
    <row r="1406" spans="2:28" s="780" customFormat="1" hidden="1" x14ac:dyDescent="0.45">
      <c r="B1406" s="1692"/>
      <c r="C1406" s="1698" t="s">
        <v>331</v>
      </c>
      <c r="D1406" s="125" t="s">
        <v>326</v>
      </c>
      <c r="E1406" s="682"/>
      <c r="F1406" s="682"/>
      <c r="G1406" s="685"/>
      <c r="H1406" s="682"/>
      <c r="I1406" s="682"/>
      <c r="J1406" s="682"/>
      <c r="K1406" s="682"/>
      <c r="L1406" s="682"/>
      <c r="M1406" s="682"/>
      <c r="N1406" s="682"/>
      <c r="O1406" s="682"/>
      <c r="P1406" s="682"/>
      <c r="Q1406" s="682"/>
      <c r="R1406" s="682"/>
      <c r="S1406" s="682"/>
      <c r="T1406" s="682"/>
      <c r="U1406" s="682"/>
      <c r="V1406" s="682"/>
      <c r="W1406" s="682"/>
      <c r="X1406" s="682"/>
      <c r="Y1406" s="683"/>
      <c r="Z1406" s="683"/>
      <c r="AA1406" s="683"/>
      <c r="AB1406" s="684"/>
    </row>
    <row r="1407" spans="2:28" s="780" customFormat="1" hidden="1" x14ac:dyDescent="0.45">
      <c r="B1407" s="1692"/>
      <c r="C1407" s="1695"/>
      <c r="D1407" s="124" t="s">
        <v>327</v>
      </c>
      <c r="E1407" s="675"/>
      <c r="F1407" s="675"/>
      <c r="G1407" s="686"/>
      <c r="H1407" s="675"/>
      <c r="I1407" s="675"/>
      <c r="J1407" s="675"/>
      <c r="K1407" s="675"/>
      <c r="L1407" s="675"/>
      <c r="M1407" s="675"/>
      <c r="N1407" s="675"/>
      <c r="O1407" s="675"/>
      <c r="P1407" s="675"/>
      <c r="Q1407" s="675"/>
      <c r="R1407" s="675"/>
      <c r="S1407" s="675"/>
      <c r="T1407" s="675"/>
      <c r="U1407" s="675"/>
      <c r="V1407" s="675"/>
      <c r="W1407" s="675"/>
      <c r="X1407" s="675"/>
      <c r="Y1407" s="676"/>
      <c r="Z1407" s="676"/>
      <c r="AA1407" s="676"/>
      <c r="AB1407" s="677"/>
    </row>
    <row r="1408" spans="2:28" s="780" customFormat="1" hidden="1" x14ac:dyDescent="0.45">
      <c r="B1408" s="1692"/>
      <c r="C1408" s="1696" t="s">
        <v>332</v>
      </c>
      <c r="D1408" s="122" t="s">
        <v>326</v>
      </c>
      <c r="E1408" s="678"/>
      <c r="F1408" s="678"/>
      <c r="G1408" s="678"/>
      <c r="H1408" s="678"/>
      <c r="I1408" s="678"/>
      <c r="J1408" s="678"/>
      <c r="K1408" s="678"/>
      <c r="L1408" s="678"/>
      <c r="M1408" s="678"/>
      <c r="N1408" s="678"/>
      <c r="O1408" s="678"/>
      <c r="P1408" s="678"/>
      <c r="Q1408" s="678"/>
      <c r="R1408" s="678"/>
      <c r="S1408" s="678"/>
      <c r="T1408" s="678"/>
      <c r="U1408" s="678"/>
      <c r="V1408" s="678"/>
      <c r="W1408" s="679"/>
      <c r="X1408" s="679"/>
      <c r="Y1408" s="679"/>
      <c r="Z1408" s="679"/>
      <c r="AA1408" s="679"/>
      <c r="AB1408" s="680"/>
    </row>
    <row r="1409" spans="2:28" s="780" customFormat="1" hidden="1" x14ac:dyDescent="0.45">
      <c r="B1409" s="1692"/>
      <c r="C1409" s="1697"/>
      <c r="D1409" s="122" t="s">
        <v>327</v>
      </c>
      <c r="E1409" s="678"/>
      <c r="F1409" s="678"/>
      <c r="G1409" s="678"/>
      <c r="H1409" s="678"/>
      <c r="I1409" s="678"/>
      <c r="J1409" s="678"/>
      <c r="K1409" s="678"/>
      <c r="L1409" s="678"/>
      <c r="M1409" s="678"/>
      <c r="N1409" s="678"/>
      <c r="O1409" s="678"/>
      <c r="P1409" s="678"/>
      <c r="Q1409" s="678"/>
      <c r="R1409" s="678"/>
      <c r="S1409" s="678"/>
      <c r="T1409" s="678"/>
      <c r="U1409" s="678"/>
      <c r="V1409" s="678"/>
      <c r="W1409" s="678"/>
      <c r="X1409" s="678"/>
      <c r="Y1409" s="679"/>
      <c r="Z1409" s="679"/>
      <c r="AA1409" s="679"/>
      <c r="AB1409" s="680"/>
    </row>
    <row r="1410" spans="2:28" s="780" customFormat="1" hidden="1" x14ac:dyDescent="0.45">
      <c r="B1410" s="1692"/>
      <c r="C1410" s="1698" t="s">
        <v>333</v>
      </c>
      <c r="D1410" s="124" t="s">
        <v>326</v>
      </c>
      <c r="E1410" s="675"/>
      <c r="F1410" s="675"/>
      <c r="G1410" s="675"/>
      <c r="H1410" s="675"/>
      <c r="I1410" s="675"/>
      <c r="J1410" s="675"/>
      <c r="K1410" s="675"/>
      <c r="L1410" s="675"/>
      <c r="M1410" s="675"/>
      <c r="N1410" s="675"/>
      <c r="O1410" s="675"/>
      <c r="P1410" s="675"/>
      <c r="Q1410" s="675"/>
      <c r="R1410" s="675"/>
      <c r="S1410" s="675"/>
      <c r="T1410" s="675"/>
      <c r="U1410" s="675"/>
      <c r="V1410" s="675"/>
      <c r="W1410" s="676"/>
      <c r="X1410" s="676"/>
      <c r="Y1410" s="676"/>
      <c r="Z1410" s="676"/>
      <c r="AA1410" s="676"/>
      <c r="AB1410" s="677"/>
    </row>
    <row r="1411" spans="2:28" s="780" customFormat="1" hidden="1" x14ac:dyDescent="0.45">
      <c r="B1411" s="1693"/>
      <c r="C1411" s="1699"/>
      <c r="D1411" s="126" t="s">
        <v>327</v>
      </c>
      <c r="E1411" s="687"/>
      <c r="F1411" s="687"/>
      <c r="G1411" s="687"/>
      <c r="H1411" s="687"/>
      <c r="I1411" s="687"/>
      <c r="J1411" s="687"/>
      <c r="K1411" s="687"/>
      <c r="L1411" s="687"/>
      <c r="M1411" s="687"/>
      <c r="N1411" s="687"/>
      <c r="O1411" s="687"/>
      <c r="P1411" s="687"/>
      <c r="Q1411" s="687"/>
      <c r="R1411" s="687"/>
      <c r="S1411" s="687"/>
      <c r="T1411" s="687"/>
      <c r="U1411" s="687"/>
      <c r="V1411" s="687"/>
      <c r="W1411" s="687"/>
      <c r="X1411" s="687"/>
      <c r="Y1411" s="687"/>
      <c r="Z1411" s="687"/>
      <c r="AA1411" s="687"/>
      <c r="AB1411" s="688"/>
    </row>
    <row r="1412" spans="2:28" s="780" customFormat="1" hidden="1" x14ac:dyDescent="0.45"/>
    <row r="1413" spans="2:28" s="780" customFormat="1" hidden="1" x14ac:dyDescent="0.45">
      <c r="B1413" s="1688" t="s">
        <v>54</v>
      </c>
      <c r="C1413" s="1689"/>
      <c r="D1413" s="1690"/>
      <c r="E1413" s="779"/>
      <c r="F1413" s="779"/>
      <c r="G1413" s="779"/>
      <c r="H1413" s="779"/>
      <c r="I1413" s="779"/>
      <c r="J1413" s="779"/>
      <c r="K1413" s="779"/>
      <c r="L1413" s="779"/>
      <c r="M1413" s="779"/>
      <c r="N1413" s="779"/>
      <c r="O1413" s="779"/>
      <c r="P1413" s="779"/>
      <c r="Q1413" s="779"/>
      <c r="R1413" s="779"/>
      <c r="S1413" s="779"/>
      <c r="T1413" s="779"/>
      <c r="U1413" s="779"/>
      <c r="V1413" s="779"/>
      <c r="W1413" s="779"/>
      <c r="X1413" s="779"/>
      <c r="Y1413" s="779"/>
      <c r="Z1413" s="779"/>
      <c r="AA1413" s="779"/>
      <c r="AB1413" s="708"/>
    </row>
    <row r="1414" spans="2:28" s="780" customFormat="1" ht="15" hidden="1" customHeight="1" x14ac:dyDescent="0.45">
      <c r="B1414" s="1691" t="str">
        <f>CONCATENATE("Plan ", INDEX(plans_index,,(ROW(B1414)-6)/16), ": ", INDEX(plans_name,,(ROW(B1414)-6)/16))</f>
        <v xml:space="preserve">Plan 88: </v>
      </c>
      <c r="C1414" s="1694" t="s">
        <v>325</v>
      </c>
      <c r="D1414" s="123" t="s">
        <v>326</v>
      </c>
      <c r="E1414" s="672"/>
      <c r="F1414" s="672"/>
      <c r="G1414" s="672"/>
      <c r="H1414" s="673"/>
      <c r="I1414" s="672"/>
      <c r="J1414" s="672"/>
      <c r="K1414" s="672"/>
      <c r="L1414" s="672"/>
      <c r="M1414" s="672"/>
      <c r="N1414" s="672"/>
      <c r="O1414" s="672"/>
      <c r="P1414" s="672"/>
      <c r="Q1414" s="672"/>
      <c r="R1414" s="672"/>
      <c r="S1414" s="672"/>
      <c r="T1414" s="672"/>
      <c r="U1414" s="672"/>
      <c r="V1414" s="672"/>
      <c r="W1414" s="672"/>
      <c r="X1414" s="672"/>
      <c r="Y1414" s="672"/>
      <c r="Z1414" s="672"/>
      <c r="AA1414" s="672"/>
      <c r="AB1414" s="674"/>
    </row>
    <row r="1415" spans="2:28" s="780" customFormat="1" hidden="1" x14ac:dyDescent="0.45">
      <c r="B1415" s="1692"/>
      <c r="C1415" s="1695"/>
      <c r="D1415" s="124" t="s">
        <v>327</v>
      </c>
      <c r="E1415" s="675"/>
      <c r="F1415" s="675"/>
      <c r="G1415" s="675"/>
      <c r="H1415" s="675"/>
      <c r="I1415" s="675"/>
      <c r="J1415" s="675"/>
      <c r="K1415" s="675"/>
      <c r="L1415" s="675"/>
      <c r="M1415" s="675"/>
      <c r="N1415" s="675"/>
      <c r="O1415" s="675"/>
      <c r="P1415" s="675"/>
      <c r="Q1415" s="675"/>
      <c r="R1415" s="675"/>
      <c r="S1415" s="675"/>
      <c r="T1415" s="675"/>
      <c r="U1415" s="675"/>
      <c r="V1415" s="675"/>
      <c r="W1415" s="675"/>
      <c r="X1415" s="675"/>
      <c r="Y1415" s="676"/>
      <c r="Z1415" s="676"/>
      <c r="AA1415" s="676"/>
      <c r="AB1415" s="677"/>
    </row>
    <row r="1416" spans="2:28" s="780" customFormat="1" hidden="1" x14ac:dyDescent="0.45">
      <c r="B1416" s="1692"/>
      <c r="C1416" s="1696" t="s">
        <v>328</v>
      </c>
      <c r="D1416" s="122" t="s">
        <v>326</v>
      </c>
      <c r="E1416" s="678"/>
      <c r="F1416" s="678"/>
      <c r="G1416" s="678"/>
      <c r="H1416" s="678"/>
      <c r="I1416" s="678"/>
      <c r="J1416" s="678"/>
      <c r="K1416" s="678"/>
      <c r="L1416" s="678"/>
      <c r="M1416" s="678"/>
      <c r="N1416" s="678"/>
      <c r="O1416" s="678"/>
      <c r="P1416" s="678"/>
      <c r="Q1416" s="678"/>
      <c r="R1416" s="678"/>
      <c r="S1416" s="678"/>
      <c r="T1416" s="678"/>
      <c r="U1416" s="678"/>
      <c r="V1416" s="678"/>
      <c r="W1416" s="678"/>
      <c r="X1416" s="678"/>
      <c r="Y1416" s="679"/>
      <c r="Z1416" s="679"/>
      <c r="AA1416" s="679"/>
      <c r="AB1416" s="680"/>
    </row>
    <row r="1417" spans="2:28" s="780" customFormat="1" hidden="1" x14ac:dyDescent="0.45">
      <c r="B1417" s="1692"/>
      <c r="C1417" s="1697"/>
      <c r="D1417" s="122" t="s">
        <v>327</v>
      </c>
      <c r="E1417" s="678"/>
      <c r="F1417" s="678"/>
      <c r="G1417" s="678"/>
      <c r="H1417" s="678"/>
      <c r="I1417" s="678"/>
      <c r="J1417" s="678"/>
      <c r="K1417" s="678"/>
      <c r="L1417" s="678"/>
      <c r="M1417" s="678"/>
      <c r="N1417" s="678"/>
      <c r="O1417" s="678"/>
      <c r="P1417" s="678"/>
      <c r="Q1417" s="678"/>
      <c r="R1417" s="678"/>
      <c r="S1417" s="678"/>
      <c r="T1417" s="678"/>
      <c r="U1417" s="678"/>
      <c r="V1417" s="678"/>
      <c r="W1417" s="678"/>
      <c r="X1417" s="681"/>
      <c r="Y1417" s="679"/>
      <c r="Z1417" s="679"/>
      <c r="AA1417" s="679"/>
      <c r="AB1417" s="680"/>
    </row>
    <row r="1418" spans="2:28" s="780" customFormat="1" hidden="1" x14ac:dyDescent="0.45">
      <c r="B1418" s="1692"/>
      <c r="C1418" s="1698" t="s">
        <v>329</v>
      </c>
      <c r="D1418" s="125" t="s">
        <v>326</v>
      </c>
      <c r="E1418" s="682"/>
      <c r="F1418" s="682"/>
      <c r="G1418" s="682"/>
      <c r="H1418" s="682"/>
      <c r="I1418" s="682"/>
      <c r="J1418" s="682"/>
      <c r="K1418" s="682"/>
      <c r="L1418" s="682"/>
      <c r="M1418" s="682"/>
      <c r="N1418" s="682"/>
      <c r="O1418" s="682"/>
      <c r="P1418" s="682"/>
      <c r="Q1418" s="682"/>
      <c r="R1418" s="682"/>
      <c r="S1418" s="682"/>
      <c r="T1418" s="682"/>
      <c r="U1418" s="682"/>
      <c r="V1418" s="682"/>
      <c r="W1418" s="682"/>
      <c r="X1418" s="682"/>
      <c r="Y1418" s="683"/>
      <c r="Z1418" s="683"/>
      <c r="AA1418" s="683"/>
      <c r="AB1418" s="684"/>
    </row>
    <row r="1419" spans="2:28" s="780" customFormat="1" hidden="1" x14ac:dyDescent="0.45">
      <c r="B1419" s="1692"/>
      <c r="C1419" s="1695"/>
      <c r="D1419" s="124" t="s">
        <v>327</v>
      </c>
      <c r="E1419" s="675"/>
      <c r="F1419" s="675"/>
      <c r="G1419" s="675"/>
      <c r="H1419" s="675"/>
      <c r="I1419" s="675"/>
      <c r="J1419" s="675"/>
      <c r="K1419" s="675"/>
      <c r="L1419" s="675"/>
      <c r="M1419" s="675"/>
      <c r="N1419" s="675"/>
      <c r="O1419" s="675"/>
      <c r="P1419" s="675"/>
      <c r="Q1419" s="675"/>
      <c r="R1419" s="675"/>
      <c r="S1419" s="675"/>
      <c r="T1419" s="675"/>
      <c r="U1419" s="675"/>
      <c r="V1419" s="675"/>
      <c r="W1419" s="675"/>
      <c r="X1419" s="675"/>
      <c r="Y1419" s="676"/>
      <c r="Z1419" s="676"/>
      <c r="AA1419" s="676"/>
      <c r="AB1419" s="677"/>
    </row>
    <row r="1420" spans="2:28" s="780" customFormat="1" hidden="1" x14ac:dyDescent="0.45">
      <c r="B1420" s="1692"/>
      <c r="C1420" s="1696" t="s">
        <v>330</v>
      </c>
      <c r="D1420" s="122" t="s">
        <v>326</v>
      </c>
      <c r="E1420" s="678"/>
      <c r="F1420" s="678"/>
      <c r="G1420" s="678"/>
      <c r="H1420" s="678"/>
      <c r="I1420" s="678"/>
      <c r="J1420" s="678"/>
      <c r="K1420" s="678"/>
      <c r="L1420" s="678"/>
      <c r="M1420" s="678"/>
      <c r="N1420" s="678"/>
      <c r="O1420" s="678"/>
      <c r="P1420" s="678"/>
      <c r="Q1420" s="678"/>
      <c r="R1420" s="678"/>
      <c r="S1420" s="678"/>
      <c r="T1420" s="678"/>
      <c r="U1420" s="678"/>
      <c r="V1420" s="678"/>
      <c r="W1420" s="678"/>
      <c r="X1420" s="678"/>
      <c r="Y1420" s="679"/>
      <c r="Z1420" s="679"/>
      <c r="AA1420" s="679"/>
      <c r="AB1420" s="680"/>
    </row>
    <row r="1421" spans="2:28" s="780" customFormat="1" hidden="1" x14ac:dyDescent="0.45">
      <c r="B1421" s="1692"/>
      <c r="C1421" s="1697"/>
      <c r="D1421" s="122" t="s">
        <v>327</v>
      </c>
      <c r="E1421" s="678"/>
      <c r="F1421" s="678"/>
      <c r="G1421" s="678"/>
      <c r="H1421" s="678"/>
      <c r="I1421" s="678"/>
      <c r="J1421" s="678"/>
      <c r="K1421" s="678"/>
      <c r="L1421" s="678"/>
      <c r="M1421" s="678"/>
      <c r="N1421" s="678"/>
      <c r="O1421" s="678"/>
      <c r="P1421" s="678"/>
      <c r="Q1421" s="678"/>
      <c r="R1421" s="678"/>
      <c r="S1421" s="678"/>
      <c r="T1421" s="678"/>
      <c r="U1421" s="678"/>
      <c r="V1421" s="678"/>
      <c r="W1421" s="678"/>
      <c r="X1421" s="681"/>
      <c r="Y1421" s="679"/>
      <c r="Z1421" s="679"/>
      <c r="AA1421" s="679"/>
      <c r="AB1421" s="680"/>
    </row>
    <row r="1422" spans="2:28" s="780" customFormat="1" hidden="1" x14ac:dyDescent="0.45">
      <c r="B1422" s="1692"/>
      <c r="C1422" s="1698" t="s">
        <v>331</v>
      </c>
      <c r="D1422" s="125" t="s">
        <v>326</v>
      </c>
      <c r="E1422" s="682"/>
      <c r="F1422" s="682"/>
      <c r="G1422" s="685"/>
      <c r="H1422" s="682"/>
      <c r="I1422" s="682"/>
      <c r="J1422" s="682"/>
      <c r="K1422" s="682"/>
      <c r="L1422" s="682"/>
      <c r="M1422" s="682"/>
      <c r="N1422" s="682"/>
      <c r="O1422" s="682"/>
      <c r="P1422" s="682"/>
      <c r="Q1422" s="682"/>
      <c r="R1422" s="682"/>
      <c r="S1422" s="682"/>
      <c r="T1422" s="682"/>
      <c r="U1422" s="682"/>
      <c r="V1422" s="682"/>
      <c r="W1422" s="682"/>
      <c r="X1422" s="682"/>
      <c r="Y1422" s="683"/>
      <c r="Z1422" s="683"/>
      <c r="AA1422" s="683"/>
      <c r="AB1422" s="684"/>
    </row>
    <row r="1423" spans="2:28" s="780" customFormat="1" hidden="1" x14ac:dyDescent="0.45">
      <c r="B1423" s="1692"/>
      <c r="C1423" s="1695"/>
      <c r="D1423" s="124" t="s">
        <v>327</v>
      </c>
      <c r="E1423" s="675"/>
      <c r="F1423" s="675"/>
      <c r="G1423" s="686"/>
      <c r="H1423" s="675"/>
      <c r="I1423" s="675"/>
      <c r="J1423" s="675"/>
      <c r="K1423" s="675"/>
      <c r="L1423" s="675"/>
      <c r="M1423" s="675"/>
      <c r="N1423" s="675"/>
      <c r="O1423" s="675"/>
      <c r="P1423" s="675"/>
      <c r="Q1423" s="675"/>
      <c r="R1423" s="675"/>
      <c r="S1423" s="675"/>
      <c r="T1423" s="675"/>
      <c r="U1423" s="675"/>
      <c r="V1423" s="675"/>
      <c r="W1423" s="675"/>
      <c r="X1423" s="675"/>
      <c r="Y1423" s="676"/>
      <c r="Z1423" s="676"/>
      <c r="AA1423" s="676"/>
      <c r="AB1423" s="677"/>
    </row>
    <row r="1424" spans="2:28" s="780" customFormat="1" hidden="1" x14ac:dyDescent="0.45">
      <c r="B1424" s="1692"/>
      <c r="C1424" s="1696" t="s">
        <v>332</v>
      </c>
      <c r="D1424" s="122" t="s">
        <v>326</v>
      </c>
      <c r="E1424" s="678"/>
      <c r="F1424" s="678"/>
      <c r="G1424" s="678"/>
      <c r="H1424" s="678"/>
      <c r="I1424" s="678"/>
      <c r="J1424" s="678"/>
      <c r="K1424" s="678"/>
      <c r="L1424" s="678"/>
      <c r="M1424" s="678"/>
      <c r="N1424" s="678"/>
      <c r="O1424" s="678"/>
      <c r="P1424" s="678"/>
      <c r="Q1424" s="678"/>
      <c r="R1424" s="678"/>
      <c r="S1424" s="678"/>
      <c r="T1424" s="678"/>
      <c r="U1424" s="678"/>
      <c r="V1424" s="678"/>
      <c r="W1424" s="679"/>
      <c r="X1424" s="679"/>
      <c r="Y1424" s="679"/>
      <c r="Z1424" s="679"/>
      <c r="AA1424" s="679"/>
      <c r="AB1424" s="680"/>
    </row>
    <row r="1425" spans="2:28" s="780" customFormat="1" hidden="1" x14ac:dyDescent="0.45">
      <c r="B1425" s="1692"/>
      <c r="C1425" s="1697"/>
      <c r="D1425" s="122" t="s">
        <v>327</v>
      </c>
      <c r="E1425" s="678"/>
      <c r="F1425" s="678"/>
      <c r="G1425" s="678"/>
      <c r="H1425" s="678"/>
      <c r="I1425" s="678"/>
      <c r="J1425" s="678"/>
      <c r="K1425" s="678"/>
      <c r="L1425" s="678"/>
      <c r="M1425" s="678"/>
      <c r="N1425" s="678"/>
      <c r="O1425" s="678"/>
      <c r="P1425" s="678"/>
      <c r="Q1425" s="678"/>
      <c r="R1425" s="678"/>
      <c r="S1425" s="678"/>
      <c r="T1425" s="678"/>
      <c r="U1425" s="678"/>
      <c r="V1425" s="678"/>
      <c r="W1425" s="678"/>
      <c r="X1425" s="678"/>
      <c r="Y1425" s="679"/>
      <c r="Z1425" s="679"/>
      <c r="AA1425" s="679"/>
      <c r="AB1425" s="680"/>
    </row>
    <row r="1426" spans="2:28" s="780" customFormat="1" hidden="1" x14ac:dyDescent="0.45">
      <c r="B1426" s="1692"/>
      <c r="C1426" s="1698" t="s">
        <v>333</v>
      </c>
      <c r="D1426" s="124" t="s">
        <v>326</v>
      </c>
      <c r="E1426" s="675"/>
      <c r="F1426" s="675"/>
      <c r="G1426" s="675"/>
      <c r="H1426" s="675"/>
      <c r="I1426" s="675"/>
      <c r="J1426" s="675"/>
      <c r="K1426" s="675"/>
      <c r="L1426" s="675"/>
      <c r="M1426" s="675"/>
      <c r="N1426" s="675"/>
      <c r="O1426" s="675"/>
      <c r="P1426" s="675"/>
      <c r="Q1426" s="675"/>
      <c r="R1426" s="675"/>
      <c r="S1426" s="675"/>
      <c r="T1426" s="675"/>
      <c r="U1426" s="675"/>
      <c r="V1426" s="675"/>
      <c r="W1426" s="676"/>
      <c r="X1426" s="676"/>
      <c r="Y1426" s="676"/>
      <c r="Z1426" s="676"/>
      <c r="AA1426" s="676"/>
      <c r="AB1426" s="677"/>
    </row>
    <row r="1427" spans="2:28" s="780" customFormat="1" hidden="1" x14ac:dyDescent="0.45">
      <c r="B1427" s="1693"/>
      <c r="C1427" s="1699"/>
      <c r="D1427" s="126" t="s">
        <v>327</v>
      </c>
      <c r="E1427" s="687"/>
      <c r="F1427" s="687"/>
      <c r="G1427" s="687"/>
      <c r="H1427" s="687"/>
      <c r="I1427" s="687"/>
      <c r="J1427" s="687"/>
      <c r="K1427" s="687"/>
      <c r="L1427" s="687"/>
      <c r="M1427" s="687"/>
      <c r="N1427" s="687"/>
      <c r="O1427" s="687"/>
      <c r="P1427" s="687"/>
      <c r="Q1427" s="687"/>
      <c r="R1427" s="687"/>
      <c r="S1427" s="687"/>
      <c r="T1427" s="687"/>
      <c r="U1427" s="687"/>
      <c r="V1427" s="687"/>
      <c r="W1427" s="687"/>
      <c r="X1427" s="687"/>
      <c r="Y1427" s="687"/>
      <c r="Z1427" s="687"/>
      <c r="AA1427" s="687"/>
      <c r="AB1427" s="688"/>
    </row>
    <row r="1428" spans="2:28" s="780" customFormat="1" hidden="1" x14ac:dyDescent="0.45"/>
    <row r="1429" spans="2:28" s="780" customFormat="1" hidden="1" x14ac:dyDescent="0.45">
      <c r="B1429" s="1688" t="s">
        <v>54</v>
      </c>
      <c r="C1429" s="1689"/>
      <c r="D1429" s="1690"/>
      <c r="E1429" s="779"/>
      <c r="F1429" s="779"/>
      <c r="G1429" s="779"/>
      <c r="H1429" s="779"/>
      <c r="I1429" s="779"/>
      <c r="J1429" s="779"/>
      <c r="K1429" s="779"/>
      <c r="L1429" s="779"/>
      <c r="M1429" s="779"/>
      <c r="N1429" s="779"/>
      <c r="O1429" s="779"/>
      <c r="P1429" s="779"/>
      <c r="Q1429" s="779"/>
      <c r="R1429" s="779"/>
      <c r="S1429" s="779"/>
      <c r="T1429" s="779"/>
      <c r="U1429" s="779"/>
      <c r="V1429" s="779"/>
      <c r="W1429" s="779"/>
      <c r="X1429" s="779"/>
      <c r="Y1429" s="779"/>
      <c r="Z1429" s="779"/>
      <c r="AA1429" s="779"/>
      <c r="AB1429" s="708"/>
    </row>
    <row r="1430" spans="2:28" s="780" customFormat="1" ht="15" hidden="1" customHeight="1" x14ac:dyDescent="0.45">
      <c r="B1430" s="1691" t="str">
        <f>CONCATENATE("Plan ", INDEX(plans_index,,(ROW(B1430)-6)/16), ": ", INDEX(plans_name,,(ROW(B1430)-6)/16))</f>
        <v xml:space="preserve">Plan 89: </v>
      </c>
      <c r="C1430" s="1694" t="s">
        <v>325</v>
      </c>
      <c r="D1430" s="123" t="s">
        <v>326</v>
      </c>
      <c r="E1430" s="672"/>
      <c r="F1430" s="672"/>
      <c r="G1430" s="672"/>
      <c r="H1430" s="673"/>
      <c r="I1430" s="672"/>
      <c r="J1430" s="672"/>
      <c r="K1430" s="672"/>
      <c r="L1430" s="672"/>
      <c r="M1430" s="672"/>
      <c r="N1430" s="672"/>
      <c r="O1430" s="672"/>
      <c r="P1430" s="672"/>
      <c r="Q1430" s="672"/>
      <c r="R1430" s="672"/>
      <c r="S1430" s="672"/>
      <c r="T1430" s="672"/>
      <c r="U1430" s="672"/>
      <c r="V1430" s="672"/>
      <c r="W1430" s="672"/>
      <c r="X1430" s="672"/>
      <c r="Y1430" s="672"/>
      <c r="Z1430" s="672"/>
      <c r="AA1430" s="672"/>
      <c r="AB1430" s="674"/>
    </row>
    <row r="1431" spans="2:28" s="780" customFormat="1" hidden="1" x14ac:dyDescent="0.45">
      <c r="B1431" s="1692"/>
      <c r="C1431" s="1695"/>
      <c r="D1431" s="124" t="s">
        <v>327</v>
      </c>
      <c r="E1431" s="675"/>
      <c r="F1431" s="675"/>
      <c r="G1431" s="675"/>
      <c r="H1431" s="675"/>
      <c r="I1431" s="675"/>
      <c r="J1431" s="675"/>
      <c r="K1431" s="675"/>
      <c r="L1431" s="675"/>
      <c r="M1431" s="675"/>
      <c r="N1431" s="675"/>
      <c r="O1431" s="675"/>
      <c r="P1431" s="675"/>
      <c r="Q1431" s="675"/>
      <c r="R1431" s="675"/>
      <c r="S1431" s="675"/>
      <c r="T1431" s="675"/>
      <c r="U1431" s="675"/>
      <c r="V1431" s="675"/>
      <c r="W1431" s="675"/>
      <c r="X1431" s="675"/>
      <c r="Y1431" s="676"/>
      <c r="Z1431" s="676"/>
      <c r="AA1431" s="676"/>
      <c r="AB1431" s="677"/>
    </row>
    <row r="1432" spans="2:28" s="780" customFormat="1" hidden="1" x14ac:dyDescent="0.45">
      <c r="B1432" s="1692"/>
      <c r="C1432" s="1696" t="s">
        <v>328</v>
      </c>
      <c r="D1432" s="122" t="s">
        <v>326</v>
      </c>
      <c r="E1432" s="678"/>
      <c r="F1432" s="678"/>
      <c r="G1432" s="678"/>
      <c r="H1432" s="678"/>
      <c r="I1432" s="678"/>
      <c r="J1432" s="678"/>
      <c r="K1432" s="678"/>
      <c r="L1432" s="678"/>
      <c r="M1432" s="678"/>
      <c r="N1432" s="678"/>
      <c r="O1432" s="678"/>
      <c r="P1432" s="678"/>
      <c r="Q1432" s="678"/>
      <c r="R1432" s="678"/>
      <c r="S1432" s="678"/>
      <c r="T1432" s="678"/>
      <c r="U1432" s="678"/>
      <c r="V1432" s="678"/>
      <c r="W1432" s="678"/>
      <c r="X1432" s="678"/>
      <c r="Y1432" s="679"/>
      <c r="Z1432" s="679"/>
      <c r="AA1432" s="679"/>
      <c r="AB1432" s="680"/>
    </row>
    <row r="1433" spans="2:28" s="780" customFormat="1" hidden="1" x14ac:dyDescent="0.45">
      <c r="B1433" s="1692"/>
      <c r="C1433" s="1697"/>
      <c r="D1433" s="122" t="s">
        <v>327</v>
      </c>
      <c r="E1433" s="678"/>
      <c r="F1433" s="678"/>
      <c r="G1433" s="678"/>
      <c r="H1433" s="678"/>
      <c r="I1433" s="678"/>
      <c r="J1433" s="678"/>
      <c r="K1433" s="678"/>
      <c r="L1433" s="678"/>
      <c r="M1433" s="678"/>
      <c r="N1433" s="678"/>
      <c r="O1433" s="678"/>
      <c r="P1433" s="678"/>
      <c r="Q1433" s="678"/>
      <c r="R1433" s="678"/>
      <c r="S1433" s="678"/>
      <c r="T1433" s="678"/>
      <c r="U1433" s="678"/>
      <c r="V1433" s="678"/>
      <c r="W1433" s="678"/>
      <c r="X1433" s="681"/>
      <c r="Y1433" s="679"/>
      <c r="Z1433" s="679"/>
      <c r="AA1433" s="679"/>
      <c r="AB1433" s="680"/>
    </row>
    <row r="1434" spans="2:28" s="780" customFormat="1" hidden="1" x14ac:dyDescent="0.45">
      <c r="B1434" s="1692"/>
      <c r="C1434" s="1698" t="s">
        <v>329</v>
      </c>
      <c r="D1434" s="125" t="s">
        <v>326</v>
      </c>
      <c r="E1434" s="682"/>
      <c r="F1434" s="682"/>
      <c r="G1434" s="682"/>
      <c r="H1434" s="682"/>
      <c r="I1434" s="682"/>
      <c r="J1434" s="682"/>
      <c r="K1434" s="682"/>
      <c r="L1434" s="682"/>
      <c r="M1434" s="682"/>
      <c r="N1434" s="682"/>
      <c r="O1434" s="682"/>
      <c r="P1434" s="682"/>
      <c r="Q1434" s="682"/>
      <c r="R1434" s="682"/>
      <c r="S1434" s="682"/>
      <c r="T1434" s="682"/>
      <c r="U1434" s="682"/>
      <c r="V1434" s="682"/>
      <c r="W1434" s="682"/>
      <c r="X1434" s="682"/>
      <c r="Y1434" s="683"/>
      <c r="Z1434" s="683"/>
      <c r="AA1434" s="683"/>
      <c r="AB1434" s="684"/>
    </row>
    <row r="1435" spans="2:28" s="780" customFormat="1" hidden="1" x14ac:dyDescent="0.45">
      <c r="B1435" s="1692"/>
      <c r="C1435" s="1695"/>
      <c r="D1435" s="124" t="s">
        <v>327</v>
      </c>
      <c r="E1435" s="675"/>
      <c r="F1435" s="675"/>
      <c r="G1435" s="675"/>
      <c r="H1435" s="675"/>
      <c r="I1435" s="675"/>
      <c r="J1435" s="675"/>
      <c r="K1435" s="675"/>
      <c r="L1435" s="675"/>
      <c r="M1435" s="675"/>
      <c r="N1435" s="675"/>
      <c r="O1435" s="675"/>
      <c r="P1435" s="675"/>
      <c r="Q1435" s="675"/>
      <c r="R1435" s="675"/>
      <c r="S1435" s="675"/>
      <c r="T1435" s="675"/>
      <c r="U1435" s="675"/>
      <c r="V1435" s="675"/>
      <c r="W1435" s="675"/>
      <c r="X1435" s="675"/>
      <c r="Y1435" s="676"/>
      <c r="Z1435" s="676"/>
      <c r="AA1435" s="676"/>
      <c r="AB1435" s="677"/>
    </row>
    <row r="1436" spans="2:28" s="780" customFormat="1" hidden="1" x14ac:dyDescent="0.45">
      <c r="B1436" s="1692"/>
      <c r="C1436" s="1696" t="s">
        <v>330</v>
      </c>
      <c r="D1436" s="122" t="s">
        <v>326</v>
      </c>
      <c r="E1436" s="678"/>
      <c r="F1436" s="678"/>
      <c r="G1436" s="678"/>
      <c r="H1436" s="678"/>
      <c r="I1436" s="678"/>
      <c r="J1436" s="678"/>
      <c r="K1436" s="678"/>
      <c r="L1436" s="678"/>
      <c r="M1436" s="678"/>
      <c r="N1436" s="678"/>
      <c r="O1436" s="678"/>
      <c r="P1436" s="678"/>
      <c r="Q1436" s="678"/>
      <c r="R1436" s="678"/>
      <c r="S1436" s="678"/>
      <c r="T1436" s="678"/>
      <c r="U1436" s="678"/>
      <c r="V1436" s="678"/>
      <c r="W1436" s="678"/>
      <c r="X1436" s="678"/>
      <c r="Y1436" s="679"/>
      <c r="Z1436" s="679"/>
      <c r="AA1436" s="679"/>
      <c r="AB1436" s="680"/>
    </row>
    <row r="1437" spans="2:28" s="780" customFormat="1" hidden="1" x14ac:dyDescent="0.45">
      <c r="B1437" s="1692"/>
      <c r="C1437" s="1697"/>
      <c r="D1437" s="122" t="s">
        <v>327</v>
      </c>
      <c r="E1437" s="678"/>
      <c r="F1437" s="678"/>
      <c r="G1437" s="678"/>
      <c r="H1437" s="678"/>
      <c r="I1437" s="678"/>
      <c r="J1437" s="678"/>
      <c r="K1437" s="678"/>
      <c r="L1437" s="678"/>
      <c r="M1437" s="678"/>
      <c r="N1437" s="678"/>
      <c r="O1437" s="678"/>
      <c r="P1437" s="678"/>
      <c r="Q1437" s="678"/>
      <c r="R1437" s="678"/>
      <c r="S1437" s="678"/>
      <c r="T1437" s="678"/>
      <c r="U1437" s="678"/>
      <c r="V1437" s="678"/>
      <c r="W1437" s="678"/>
      <c r="X1437" s="681"/>
      <c r="Y1437" s="679"/>
      <c r="Z1437" s="679"/>
      <c r="AA1437" s="679"/>
      <c r="AB1437" s="680"/>
    </row>
    <row r="1438" spans="2:28" s="780" customFormat="1" hidden="1" x14ac:dyDescent="0.45">
      <c r="B1438" s="1692"/>
      <c r="C1438" s="1698" t="s">
        <v>331</v>
      </c>
      <c r="D1438" s="125" t="s">
        <v>326</v>
      </c>
      <c r="E1438" s="682"/>
      <c r="F1438" s="682"/>
      <c r="G1438" s="685"/>
      <c r="H1438" s="682"/>
      <c r="I1438" s="682"/>
      <c r="J1438" s="682"/>
      <c r="K1438" s="682"/>
      <c r="L1438" s="682"/>
      <c r="M1438" s="682"/>
      <c r="N1438" s="682"/>
      <c r="O1438" s="682"/>
      <c r="P1438" s="682"/>
      <c r="Q1438" s="682"/>
      <c r="R1438" s="682"/>
      <c r="S1438" s="682"/>
      <c r="T1438" s="682"/>
      <c r="U1438" s="682"/>
      <c r="V1438" s="682"/>
      <c r="W1438" s="682"/>
      <c r="X1438" s="682"/>
      <c r="Y1438" s="683"/>
      <c r="Z1438" s="683"/>
      <c r="AA1438" s="683"/>
      <c r="AB1438" s="684"/>
    </row>
    <row r="1439" spans="2:28" s="780" customFormat="1" hidden="1" x14ac:dyDescent="0.45">
      <c r="B1439" s="1692"/>
      <c r="C1439" s="1695"/>
      <c r="D1439" s="124" t="s">
        <v>327</v>
      </c>
      <c r="E1439" s="675"/>
      <c r="F1439" s="675"/>
      <c r="G1439" s="686"/>
      <c r="H1439" s="675"/>
      <c r="I1439" s="675"/>
      <c r="J1439" s="675"/>
      <c r="K1439" s="675"/>
      <c r="L1439" s="675"/>
      <c r="M1439" s="675"/>
      <c r="N1439" s="675"/>
      <c r="O1439" s="675"/>
      <c r="P1439" s="675"/>
      <c r="Q1439" s="675"/>
      <c r="R1439" s="675"/>
      <c r="S1439" s="675"/>
      <c r="T1439" s="675"/>
      <c r="U1439" s="675"/>
      <c r="V1439" s="675"/>
      <c r="W1439" s="675"/>
      <c r="X1439" s="675"/>
      <c r="Y1439" s="676"/>
      <c r="Z1439" s="676"/>
      <c r="AA1439" s="676"/>
      <c r="AB1439" s="677"/>
    </row>
    <row r="1440" spans="2:28" s="780" customFormat="1" hidden="1" x14ac:dyDescent="0.45">
      <c r="B1440" s="1692"/>
      <c r="C1440" s="1696" t="s">
        <v>332</v>
      </c>
      <c r="D1440" s="122" t="s">
        <v>326</v>
      </c>
      <c r="E1440" s="678"/>
      <c r="F1440" s="678"/>
      <c r="G1440" s="678"/>
      <c r="H1440" s="678"/>
      <c r="I1440" s="678"/>
      <c r="J1440" s="678"/>
      <c r="K1440" s="678"/>
      <c r="L1440" s="678"/>
      <c r="M1440" s="678"/>
      <c r="N1440" s="678"/>
      <c r="O1440" s="678"/>
      <c r="P1440" s="678"/>
      <c r="Q1440" s="678"/>
      <c r="R1440" s="678"/>
      <c r="S1440" s="678"/>
      <c r="T1440" s="678"/>
      <c r="U1440" s="678"/>
      <c r="V1440" s="678"/>
      <c r="W1440" s="679"/>
      <c r="X1440" s="679"/>
      <c r="Y1440" s="679"/>
      <c r="Z1440" s="679"/>
      <c r="AA1440" s="679"/>
      <c r="AB1440" s="680"/>
    </row>
    <row r="1441" spans="2:28" s="780" customFormat="1" hidden="1" x14ac:dyDescent="0.45">
      <c r="B1441" s="1692"/>
      <c r="C1441" s="1697"/>
      <c r="D1441" s="122" t="s">
        <v>327</v>
      </c>
      <c r="E1441" s="678"/>
      <c r="F1441" s="678"/>
      <c r="G1441" s="678"/>
      <c r="H1441" s="678"/>
      <c r="I1441" s="678"/>
      <c r="J1441" s="678"/>
      <c r="K1441" s="678"/>
      <c r="L1441" s="678"/>
      <c r="M1441" s="678"/>
      <c r="N1441" s="678"/>
      <c r="O1441" s="678"/>
      <c r="P1441" s="678"/>
      <c r="Q1441" s="678"/>
      <c r="R1441" s="678"/>
      <c r="S1441" s="678"/>
      <c r="T1441" s="678"/>
      <c r="U1441" s="678"/>
      <c r="V1441" s="678"/>
      <c r="W1441" s="678"/>
      <c r="X1441" s="678"/>
      <c r="Y1441" s="679"/>
      <c r="Z1441" s="679"/>
      <c r="AA1441" s="679"/>
      <c r="AB1441" s="680"/>
    </row>
    <row r="1442" spans="2:28" s="780" customFormat="1" hidden="1" x14ac:dyDescent="0.45">
      <c r="B1442" s="1692"/>
      <c r="C1442" s="1698" t="s">
        <v>333</v>
      </c>
      <c r="D1442" s="124" t="s">
        <v>326</v>
      </c>
      <c r="E1442" s="675"/>
      <c r="F1442" s="675"/>
      <c r="G1442" s="675"/>
      <c r="H1442" s="675"/>
      <c r="I1442" s="675"/>
      <c r="J1442" s="675"/>
      <c r="K1442" s="675"/>
      <c r="L1442" s="675"/>
      <c r="M1442" s="675"/>
      <c r="N1442" s="675"/>
      <c r="O1442" s="675"/>
      <c r="P1442" s="675"/>
      <c r="Q1442" s="675"/>
      <c r="R1442" s="675"/>
      <c r="S1442" s="675"/>
      <c r="T1442" s="675"/>
      <c r="U1442" s="675"/>
      <c r="V1442" s="675"/>
      <c r="W1442" s="676"/>
      <c r="X1442" s="676"/>
      <c r="Y1442" s="676"/>
      <c r="Z1442" s="676"/>
      <c r="AA1442" s="676"/>
      <c r="AB1442" s="677"/>
    </row>
    <row r="1443" spans="2:28" s="780" customFormat="1" hidden="1" x14ac:dyDescent="0.45">
      <c r="B1443" s="1693"/>
      <c r="C1443" s="1699"/>
      <c r="D1443" s="126" t="s">
        <v>327</v>
      </c>
      <c r="E1443" s="687"/>
      <c r="F1443" s="687"/>
      <c r="G1443" s="687"/>
      <c r="H1443" s="687"/>
      <c r="I1443" s="687"/>
      <c r="J1443" s="687"/>
      <c r="K1443" s="687"/>
      <c r="L1443" s="687"/>
      <c r="M1443" s="687"/>
      <c r="N1443" s="687"/>
      <c r="O1443" s="687"/>
      <c r="P1443" s="687"/>
      <c r="Q1443" s="687"/>
      <c r="R1443" s="687"/>
      <c r="S1443" s="687"/>
      <c r="T1443" s="687"/>
      <c r="U1443" s="687"/>
      <c r="V1443" s="687"/>
      <c r="W1443" s="687"/>
      <c r="X1443" s="687"/>
      <c r="Y1443" s="687"/>
      <c r="Z1443" s="687"/>
      <c r="AA1443" s="687"/>
      <c r="AB1443" s="688"/>
    </row>
    <row r="1444" spans="2:28" s="780" customFormat="1" hidden="1" x14ac:dyDescent="0.45"/>
    <row r="1445" spans="2:28" s="780" customFormat="1" hidden="1" x14ac:dyDescent="0.45">
      <c r="B1445" s="1688" t="s">
        <v>54</v>
      </c>
      <c r="C1445" s="1689"/>
      <c r="D1445" s="1690"/>
      <c r="E1445" s="779"/>
      <c r="F1445" s="779"/>
      <c r="G1445" s="779"/>
      <c r="H1445" s="779"/>
      <c r="I1445" s="779"/>
      <c r="J1445" s="779"/>
      <c r="K1445" s="779"/>
      <c r="L1445" s="779"/>
      <c r="M1445" s="779"/>
      <c r="N1445" s="779"/>
      <c r="O1445" s="779"/>
      <c r="P1445" s="779"/>
      <c r="Q1445" s="779"/>
      <c r="R1445" s="779"/>
      <c r="S1445" s="779"/>
      <c r="T1445" s="779"/>
      <c r="U1445" s="779"/>
      <c r="V1445" s="779"/>
      <c r="W1445" s="779"/>
      <c r="X1445" s="779"/>
      <c r="Y1445" s="779"/>
      <c r="Z1445" s="779"/>
      <c r="AA1445" s="779"/>
      <c r="AB1445" s="708"/>
    </row>
    <row r="1446" spans="2:28" s="780" customFormat="1" ht="15" hidden="1" customHeight="1" x14ac:dyDescent="0.45">
      <c r="B1446" s="1691" t="str">
        <f>CONCATENATE("Plan ", INDEX(plans_index,,(ROW(B1446)-6)/16), ": ", INDEX(plans_name,,(ROW(B1446)-6)/16))</f>
        <v xml:space="preserve">Plan 90: </v>
      </c>
      <c r="C1446" s="1694" t="s">
        <v>325</v>
      </c>
      <c r="D1446" s="123" t="s">
        <v>326</v>
      </c>
      <c r="E1446" s="672"/>
      <c r="F1446" s="672"/>
      <c r="G1446" s="672"/>
      <c r="H1446" s="673"/>
      <c r="I1446" s="672"/>
      <c r="J1446" s="672"/>
      <c r="K1446" s="672"/>
      <c r="L1446" s="672"/>
      <c r="M1446" s="672"/>
      <c r="N1446" s="672"/>
      <c r="O1446" s="672"/>
      <c r="P1446" s="672"/>
      <c r="Q1446" s="672"/>
      <c r="R1446" s="672"/>
      <c r="S1446" s="672"/>
      <c r="T1446" s="672"/>
      <c r="U1446" s="672"/>
      <c r="V1446" s="672"/>
      <c r="W1446" s="672"/>
      <c r="X1446" s="672"/>
      <c r="Y1446" s="672"/>
      <c r="Z1446" s="672"/>
      <c r="AA1446" s="672"/>
      <c r="AB1446" s="674"/>
    </row>
    <row r="1447" spans="2:28" s="780" customFormat="1" hidden="1" x14ac:dyDescent="0.45">
      <c r="B1447" s="1692"/>
      <c r="C1447" s="1695"/>
      <c r="D1447" s="124" t="s">
        <v>327</v>
      </c>
      <c r="E1447" s="675"/>
      <c r="F1447" s="675"/>
      <c r="G1447" s="675"/>
      <c r="H1447" s="675"/>
      <c r="I1447" s="675"/>
      <c r="J1447" s="675"/>
      <c r="K1447" s="675"/>
      <c r="L1447" s="675"/>
      <c r="M1447" s="675"/>
      <c r="N1447" s="675"/>
      <c r="O1447" s="675"/>
      <c r="P1447" s="675"/>
      <c r="Q1447" s="675"/>
      <c r="R1447" s="675"/>
      <c r="S1447" s="675"/>
      <c r="T1447" s="675"/>
      <c r="U1447" s="675"/>
      <c r="V1447" s="675"/>
      <c r="W1447" s="675"/>
      <c r="X1447" s="675"/>
      <c r="Y1447" s="676"/>
      <c r="Z1447" s="676"/>
      <c r="AA1447" s="676"/>
      <c r="AB1447" s="677"/>
    </row>
    <row r="1448" spans="2:28" s="780" customFormat="1" hidden="1" x14ac:dyDescent="0.45">
      <c r="B1448" s="1692"/>
      <c r="C1448" s="1696" t="s">
        <v>328</v>
      </c>
      <c r="D1448" s="122" t="s">
        <v>326</v>
      </c>
      <c r="E1448" s="678"/>
      <c r="F1448" s="678"/>
      <c r="G1448" s="678"/>
      <c r="H1448" s="678"/>
      <c r="I1448" s="678"/>
      <c r="J1448" s="678"/>
      <c r="K1448" s="678"/>
      <c r="L1448" s="678"/>
      <c r="M1448" s="678"/>
      <c r="N1448" s="678"/>
      <c r="O1448" s="678"/>
      <c r="P1448" s="678"/>
      <c r="Q1448" s="678"/>
      <c r="R1448" s="678"/>
      <c r="S1448" s="678"/>
      <c r="T1448" s="678"/>
      <c r="U1448" s="678"/>
      <c r="V1448" s="678"/>
      <c r="W1448" s="678"/>
      <c r="X1448" s="678"/>
      <c r="Y1448" s="679"/>
      <c r="Z1448" s="679"/>
      <c r="AA1448" s="679"/>
      <c r="AB1448" s="680"/>
    </row>
    <row r="1449" spans="2:28" s="780" customFormat="1" hidden="1" x14ac:dyDescent="0.45">
      <c r="B1449" s="1692"/>
      <c r="C1449" s="1697"/>
      <c r="D1449" s="122" t="s">
        <v>327</v>
      </c>
      <c r="E1449" s="678"/>
      <c r="F1449" s="678"/>
      <c r="G1449" s="678"/>
      <c r="H1449" s="678"/>
      <c r="I1449" s="678"/>
      <c r="J1449" s="678"/>
      <c r="K1449" s="678"/>
      <c r="L1449" s="678"/>
      <c r="M1449" s="678"/>
      <c r="N1449" s="678"/>
      <c r="O1449" s="678"/>
      <c r="P1449" s="678"/>
      <c r="Q1449" s="678"/>
      <c r="R1449" s="678"/>
      <c r="S1449" s="678"/>
      <c r="T1449" s="678"/>
      <c r="U1449" s="678"/>
      <c r="V1449" s="678"/>
      <c r="W1449" s="678"/>
      <c r="X1449" s="681"/>
      <c r="Y1449" s="679"/>
      <c r="Z1449" s="679"/>
      <c r="AA1449" s="679"/>
      <c r="AB1449" s="680"/>
    </row>
    <row r="1450" spans="2:28" s="780" customFormat="1" hidden="1" x14ac:dyDescent="0.45">
      <c r="B1450" s="1692"/>
      <c r="C1450" s="1698" t="s">
        <v>329</v>
      </c>
      <c r="D1450" s="125" t="s">
        <v>326</v>
      </c>
      <c r="E1450" s="682"/>
      <c r="F1450" s="682"/>
      <c r="G1450" s="682"/>
      <c r="H1450" s="682"/>
      <c r="I1450" s="682"/>
      <c r="J1450" s="682"/>
      <c r="K1450" s="682"/>
      <c r="L1450" s="682"/>
      <c r="M1450" s="682"/>
      <c r="N1450" s="682"/>
      <c r="O1450" s="682"/>
      <c r="P1450" s="682"/>
      <c r="Q1450" s="682"/>
      <c r="R1450" s="682"/>
      <c r="S1450" s="682"/>
      <c r="T1450" s="682"/>
      <c r="U1450" s="682"/>
      <c r="V1450" s="682"/>
      <c r="W1450" s="682"/>
      <c r="X1450" s="682"/>
      <c r="Y1450" s="683"/>
      <c r="Z1450" s="683"/>
      <c r="AA1450" s="683"/>
      <c r="AB1450" s="684"/>
    </row>
    <row r="1451" spans="2:28" s="780" customFormat="1" hidden="1" x14ac:dyDescent="0.45">
      <c r="B1451" s="1692"/>
      <c r="C1451" s="1695"/>
      <c r="D1451" s="124" t="s">
        <v>327</v>
      </c>
      <c r="E1451" s="675"/>
      <c r="F1451" s="675"/>
      <c r="G1451" s="675"/>
      <c r="H1451" s="675"/>
      <c r="I1451" s="675"/>
      <c r="J1451" s="675"/>
      <c r="K1451" s="675"/>
      <c r="L1451" s="675"/>
      <c r="M1451" s="675"/>
      <c r="N1451" s="675"/>
      <c r="O1451" s="675"/>
      <c r="P1451" s="675"/>
      <c r="Q1451" s="675"/>
      <c r="R1451" s="675"/>
      <c r="S1451" s="675"/>
      <c r="T1451" s="675"/>
      <c r="U1451" s="675"/>
      <c r="V1451" s="675"/>
      <c r="W1451" s="675"/>
      <c r="X1451" s="675"/>
      <c r="Y1451" s="676"/>
      <c r="Z1451" s="676"/>
      <c r="AA1451" s="676"/>
      <c r="AB1451" s="677"/>
    </row>
    <row r="1452" spans="2:28" s="780" customFormat="1" hidden="1" x14ac:dyDescent="0.45">
      <c r="B1452" s="1692"/>
      <c r="C1452" s="1696" t="s">
        <v>330</v>
      </c>
      <c r="D1452" s="122" t="s">
        <v>326</v>
      </c>
      <c r="E1452" s="678"/>
      <c r="F1452" s="678"/>
      <c r="G1452" s="678"/>
      <c r="H1452" s="678"/>
      <c r="I1452" s="678"/>
      <c r="J1452" s="678"/>
      <c r="K1452" s="678"/>
      <c r="L1452" s="678"/>
      <c r="M1452" s="678"/>
      <c r="N1452" s="678"/>
      <c r="O1452" s="678"/>
      <c r="P1452" s="678"/>
      <c r="Q1452" s="678"/>
      <c r="R1452" s="678"/>
      <c r="S1452" s="678"/>
      <c r="T1452" s="678"/>
      <c r="U1452" s="678"/>
      <c r="V1452" s="678"/>
      <c r="W1452" s="678"/>
      <c r="X1452" s="678"/>
      <c r="Y1452" s="679"/>
      <c r="Z1452" s="679"/>
      <c r="AA1452" s="679"/>
      <c r="AB1452" s="680"/>
    </row>
    <row r="1453" spans="2:28" s="780" customFormat="1" hidden="1" x14ac:dyDescent="0.45">
      <c r="B1453" s="1692"/>
      <c r="C1453" s="1697"/>
      <c r="D1453" s="122" t="s">
        <v>327</v>
      </c>
      <c r="E1453" s="678"/>
      <c r="F1453" s="678"/>
      <c r="G1453" s="678"/>
      <c r="H1453" s="678"/>
      <c r="I1453" s="678"/>
      <c r="J1453" s="678"/>
      <c r="K1453" s="678"/>
      <c r="L1453" s="678"/>
      <c r="M1453" s="678"/>
      <c r="N1453" s="678"/>
      <c r="O1453" s="678"/>
      <c r="P1453" s="678"/>
      <c r="Q1453" s="678"/>
      <c r="R1453" s="678"/>
      <c r="S1453" s="678"/>
      <c r="T1453" s="678"/>
      <c r="U1453" s="678"/>
      <c r="V1453" s="678"/>
      <c r="W1453" s="678"/>
      <c r="X1453" s="681"/>
      <c r="Y1453" s="679"/>
      <c r="Z1453" s="679"/>
      <c r="AA1453" s="679"/>
      <c r="AB1453" s="680"/>
    </row>
    <row r="1454" spans="2:28" s="780" customFormat="1" hidden="1" x14ac:dyDescent="0.45">
      <c r="B1454" s="1692"/>
      <c r="C1454" s="1698" t="s">
        <v>331</v>
      </c>
      <c r="D1454" s="125" t="s">
        <v>326</v>
      </c>
      <c r="E1454" s="682"/>
      <c r="F1454" s="682"/>
      <c r="G1454" s="685"/>
      <c r="H1454" s="682"/>
      <c r="I1454" s="682"/>
      <c r="J1454" s="682"/>
      <c r="K1454" s="682"/>
      <c r="L1454" s="682"/>
      <c r="M1454" s="682"/>
      <c r="N1454" s="682"/>
      <c r="O1454" s="682"/>
      <c r="P1454" s="682"/>
      <c r="Q1454" s="682"/>
      <c r="R1454" s="682"/>
      <c r="S1454" s="682"/>
      <c r="T1454" s="682"/>
      <c r="U1454" s="682"/>
      <c r="V1454" s="682"/>
      <c r="W1454" s="682"/>
      <c r="X1454" s="682"/>
      <c r="Y1454" s="683"/>
      <c r="Z1454" s="683"/>
      <c r="AA1454" s="683"/>
      <c r="AB1454" s="684"/>
    </row>
    <row r="1455" spans="2:28" s="780" customFormat="1" hidden="1" x14ac:dyDescent="0.45">
      <c r="B1455" s="1692"/>
      <c r="C1455" s="1695"/>
      <c r="D1455" s="124" t="s">
        <v>327</v>
      </c>
      <c r="E1455" s="675"/>
      <c r="F1455" s="675"/>
      <c r="G1455" s="686"/>
      <c r="H1455" s="675"/>
      <c r="I1455" s="675"/>
      <c r="J1455" s="675"/>
      <c r="K1455" s="675"/>
      <c r="L1455" s="675"/>
      <c r="M1455" s="675"/>
      <c r="N1455" s="675"/>
      <c r="O1455" s="675"/>
      <c r="P1455" s="675"/>
      <c r="Q1455" s="675"/>
      <c r="R1455" s="675"/>
      <c r="S1455" s="675"/>
      <c r="T1455" s="675"/>
      <c r="U1455" s="675"/>
      <c r="V1455" s="675"/>
      <c r="W1455" s="675"/>
      <c r="X1455" s="675"/>
      <c r="Y1455" s="676"/>
      <c r="Z1455" s="676"/>
      <c r="AA1455" s="676"/>
      <c r="AB1455" s="677"/>
    </row>
    <row r="1456" spans="2:28" s="780" customFormat="1" hidden="1" x14ac:dyDescent="0.45">
      <c r="B1456" s="1692"/>
      <c r="C1456" s="1696" t="s">
        <v>332</v>
      </c>
      <c r="D1456" s="122" t="s">
        <v>326</v>
      </c>
      <c r="E1456" s="678"/>
      <c r="F1456" s="678"/>
      <c r="G1456" s="678"/>
      <c r="H1456" s="678"/>
      <c r="I1456" s="678"/>
      <c r="J1456" s="678"/>
      <c r="K1456" s="678"/>
      <c r="L1456" s="678"/>
      <c r="M1456" s="678"/>
      <c r="N1456" s="678"/>
      <c r="O1456" s="678"/>
      <c r="P1456" s="678"/>
      <c r="Q1456" s="678"/>
      <c r="R1456" s="678"/>
      <c r="S1456" s="678"/>
      <c r="T1456" s="678"/>
      <c r="U1456" s="678"/>
      <c r="V1456" s="678"/>
      <c r="W1456" s="679"/>
      <c r="X1456" s="679"/>
      <c r="Y1456" s="679"/>
      <c r="Z1456" s="679"/>
      <c r="AA1456" s="679"/>
      <c r="AB1456" s="680"/>
    </row>
    <row r="1457" spans="2:28" s="780" customFormat="1" hidden="1" x14ac:dyDescent="0.45">
      <c r="B1457" s="1692"/>
      <c r="C1457" s="1697"/>
      <c r="D1457" s="122" t="s">
        <v>327</v>
      </c>
      <c r="E1457" s="678"/>
      <c r="F1457" s="678"/>
      <c r="G1457" s="678"/>
      <c r="H1457" s="678"/>
      <c r="I1457" s="678"/>
      <c r="J1457" s="678"/>
      <c r="K1457" s="678"/>
      <c r="L1457" s="678"/>
      <c r="M1457" s="678"/>
      <c r="N1457" s="678"/>
      <c r="O1457" s="678"/>
      <c r="P1457" s="678"/>
      <c r="Q1457" s="678"/>
      <c r="R1457" s="678"/>
      <c r="S1457" s="678"/>
      <c r="T1457" s="678"/>
      <c r="U1457" s="678"/>
      <c r="V1457" s="678"/>
      <c r="W1457" s="678"/>
      <c r="X1457" s="678"/>
      <c r="Y1457" s="679"/>
      <c r="Z1457" s="679"/>
      <c r="AA1457" s="679"/>
      <c r="AB1457" s="680"/>
    </row>
    <row r="1458" spans="2:28" s="780" customFormat="1" hidden="1" x14ac:dyDescent="0.45">
      <c r="B1458" s="1692"/>
      <c r="C1458" s="1698" t="s">
        <v>333</v>
      </c>
      <c r="D1458" s="124" t="s">
        <v>326</v>
      </c>
      <c r="E1458" s="675"/>
      <c r="F1458" s="675"/>
      <c r="G1458" s="675"/>
      <c r="H1458" s="675"/>
      <c r="I1458" s="675"/>
      <c r="J1458" s="675"/>
      <c r="K1458" s="675"/>
      <c r="L1458" s="675"/>
      <c r="M1458" s="675"/>
      <c r="N1458" s="675"/>
      <c r="O1458" s="675"/>
      <c r="P1458" s="675"/>
      <c r="Q1458" s="675"/>
      <c r="R1458" s="675"/>
      <c r="S1458" s="675"/>
      <c r="T1458" s="675"/>
      <c r="U1458" s="675"/>
      <c r="V1458" s="675"/>
      <c r="W1458" s="676"/>
      <c r="X1458" s="676"/>
      <c r="Y1458" s="676"/>
      <c r="Z1458" s="676"/>
      <c r="AA1458" s="676"/>
      <c r="AB1458" s="677"/>
    </row>
    <row r="1459" spans="2:28" s="780" customFormat="1" hidden="1" x14ac:dyDescent="0.45">
      <c r="B1459" s="1693"/>
      <c r="C1459" s="1699"/>
      <c r="D1459" s="126" t="s">
        <v>327</v>
      </c>
      <c r="E1459" s="687"/>
      <c r="F1459" s="687"/>
      <c r="G1459" s="687"/>
      <c r="H1459" s="687"/>
      <c r="I1459" s="687"/>
      <c r="J1459" s="687"/>
      <c r="K1459" s="687"/>
      <c r="L1459" s="687"/>
      <c r="M1459" s="687"/>
      <c r="N1459" s="687"/>
      <c r="O1459" s="687"/>
      <c r="P1459" s="687"/>
      <c r="Q1459" s="687"/>
      <c r="R1459" s="687"/>
      <c r="S1459" s="687"/>
      <c r="T1459" s="687"/>
      <c r="U1459" s="687"/>
      <c r="V1459" s="687"/>
      <c r="W1459" s="687"/>
      <c r="X1459" s="687"/>
      <c r="Y1459" s="687"/>
      <c r="Z1459" s="687"/>
      <c r="AA1459" s="687"/>
      <c r="AB1459" s="688"/>
    </row>
    <row r="1460" spans="2:28" s="780" customFormat="1" hidden="1" x14ac:dyDescent="0.45"/>
    <row r="1461" spans="2:28" s="780" customFormat="1" hidden="1" x14ac:dyDescent="0.45">
      <c r="B1461" s="1688" t="s">
        <v>54</v>
      </c>
      <c r="C1461" s="1689"/>
      <c r="D1461" s="1690"/>
      <c r="E1461" s="779"/>
      <c r="F1461" s="779"/>
      <c r="G1461" s="779"/>
      <c r="H1461" s="779"/>
      <c r="I1461" s="779"/>
      <c r="J1461" s="779"/>
      <c r="K1461" s="779"/>
      <c r="L1461" s="779"/>
      <c r="M1461" s="779"/>
      <c r="N1461" s="779"/>
      <c r="O1461" s="779"/>
      <c r="P1461" s="779"/>
      <c r="Q1461" s="779"/>
      <c r="R1461" s="779"/>
      <c r="S1461" s="779"/>
      <c r="T1461" s="779"/>
      <c r="U1461" s="779"/>
      <c r="V1461" s="779"/>
      <c r="W1461" s="779"/>
      <c r="X1461" s="779"/>
      <c r="Y1461" s="779"/>
      <c r="Z1461" s="779"/>
      <c r="AA1461" s="779"/>
      <c r="AB1461" s="708"/>
    </row>
    <row r="1462" spans="2:28" s="780" customFormat="1" ht="15" hidden="1" customHeight="1" x14ac:dyDescent="0.45">
      <c r="B1462" s="1691" t="str">
        <f>CONCATENATE("Plan ", INDEX(plans_index,,(ROW(B1462)-6)/16), ": ", INDEX(plans_name,,(ROW(B1462)-6)/16))</f>
        <v xml:space="preserve">Plan 91: </v>
      </c>
      <c r="C1462" s="1694" t="s">
        <v>325</v>
      </c>
      <c r="D1462" s="123" t="s">
        <v>326</v>
      </c>
      <c r="E1462" s="672"/>
      <c r="F1462" s="672"/>
      <c r="G1462" s="672"/>
      <c r="H1462" s="673"/>
      <c r="I1462" s="672"/>
      <c r="J1462" s="672"/>
      <c r="K1462" s="672"/>
      <c r="L1462" s="672"/>
      <c r="M1462" s="672"/>
      <c r="N1462" s="672"/>
      <c r="O1462" s="672"/>
      <c r="P1462" s="672"/>
      <c r="Q1462" s="672"/>
      <c r="R1462" s="672"/>
      <c r="S1462" s="672"/>
      <c r="T1462" s="672"/>
      <c r="U1462" s="672"/>
      <c r="V1462" s="672"/>
      <c r="W1462" s="672"/>
      <c r="X1462" s="672"/>
      <c r="Y1462" s="672"/>
      <c r="Z1462" s="672"/>
      <c r="AA1462" s="672"/>
      <c r="AB1462" s="674"/>
    </row>
    <row r="1463" spans="2:28" s="780" customFormat="1" hidden="1" x14ac:dyDescent="0.45">
      <c r="B1463" s="1692"/>
      <c r="C1463" s="1695"/>
      <c r="D1463" s="124" t="s">
        <v>327</v>
      </c>
      <c r="E1463" s="675"/>
      <c r="F1463" s="675"/>
      <c r="G1463" s="675"/>
      <c r="H1463" s="675"/>
      <c r="I1463" s="675"/>
      <c r="J1463" s="675"/>
      <c r="K1463" s="675"/>
      <c r="L1463" s="675"/>
      <c r="M1463" s="675"/>
      <c r="N1463" s="675"/>
      <c r="O1463" s="675"/>
      <c r="P1463" s="675"/>
      <c r="Q1463" s="675"/>
      <c r="R1463" s="675"/>
      <c r="S1463" s="675"/>
      <c r="T1463" s="675"/>
      <c r="U1463" s="675"/>
      <c r="V1463" s="675"/>
      <c r="W1463" s="675"/>
      <c r="X1463" s="675"/>
      <c r="Y1463" s="676"/>
      <c r="Z1463" s="676"/>
      <c r="AA1463" s="676"/>
      <c r="AB1463" s="677"/>
    </row>
    <row r="1464" spans="2:28" s="780" customFormat="1" hidden="1" x14ac:dyDescent="0.45">
      <c r="B1464" s="1692"/>
      <c r="C1464" s="1696" t="s">
        <v>328</v>
      </c>
      <c r="D1464" s="122" t="s">
        <v>326</v>
      </c>
      <c r="E1464" s="678"/>
      <c r="F1464" s="678"/>
      <c r="G1464" s="678"/>
      <c r="H1464" s="678"/>
      <c r="I1464" s="678"/>
      <c r="J1464" s="678"/>
      <c r="K1464" s="678"/>
      <c r="L1464" s="678"/>
      <c r="M1464" s="678"/>
      <c r="N1464" s="678"/>
      <c r="O1464" s="678"/>
      <c r="P1464" s="678"/>
      <c r="Q1464" s="678"/>
      <c r="R1464" s="678"/>
      <c r="S1464" s="678"/>
      <c r="T1464" s="678"/>
      <c r="U1464" s="678"/>
      <c r="V1464" s="678"/>
      <c r="W1464" s="678"/>
      <c r="X1464" s="678"/>
      <c r="Y1464" s="679"/>
      <c r="Z1464" s="679"/>
      <c r="AA1464" s="679"/>
      <c r="AB1464" s="680"/>
    </row>
    <row r="1465" spans="2:28" s="780" customFormat="1" hidden="1" x14ac:dyDescent="0.45">
      <c r="B1465" s="1692"/>
      <c r="C1465" s="1697"/>
      <c r="D1465" s="122" t="s">
        <v>327</v>
      </c>
      <c r="E1465" s="678"/>
      <c r="F1465" s="678"/>
      <c r="G1465" s="678"/>
      <c r="H1465" s="678"/>
      <c r="I1465" s="678"/>
      <c r="J1465" s="678"/>
      <c r="K1465" s="678"/>
      <c r="L1465" s="678"/>
      <c r="M1465" s="678"/>
      <c r="N1465" s="678"/>
      <c r="O1465" s="678"/>
      <c r="P1465" s="678"/>
      <c r="Q1465" s="678"/>
      <c r="R1465" s="678"/>
      <c r="S1465" s="678"/>
      <c r="T1465" s="678"/>
      <c r="U1465" s="678"/>
      <c r="V1465" s="678"/>
      <c r="W1465" s="678"/>
      <c r="X1465" s="681"/>
      <c r="Y1465" s="679"/>
      <c r="Z1465" s="679"/>
      <c r="AA1465" s="679"/>
      <c r="AB1465" s="680"/>
    </row>
    <row r="1466" spans="2:28" s="780" customFormat="1" hidden="1" x14ac:dyDescent="0.45">
      <c r="B1466" s="1692"/>
      <c r="C1466" s="1698" t="s">
        <v>329</v>
      </c>
      <c r="D1466" s="125" t="s">
        <v>326</v>
      </c>
      <c r="E1466" s="682"/>
      <c r="F1466" s="682"/>
      <c r="G1466" s="682"/>
      <c r="H1466" s="682"/>
      <c r="I1466" s="682"/>
      <c r="J1466" s="682"/>
      <c r="K1466" s="682"/>
      <c r="L1466" s="682"/>
      <c r="M1466" s="682"/>
      <c r="N1466" s="682"/>
      <c r="O1466" s="682"/>
      <c r="P1466" s="682"/>
      <c r="Q1466" s="682"/>
      <c r="R1466" s="682"/>
      <c r="S1466" s="682"/>
      <c r="T1466" s="682"/>
      <c r="U1466" s="682"/>
      <c r="V1466" s="682"/>
      <c r="W1466" s="682"/>
      <c r="X1466" s="682"/>
      <c r="Y1466" s="683"/>
      <c r="Z1466" s="683"/>
      <c r="AA1466" s="683"/>
      <c r="AB1466" s="684"/>
    </row>
    <row r="1467" spans="2:28" s="780" customFormat="1" hidden="1" x14ac:dyDescent="0.45">
      <c r="B1467" s="1692"/>
      <c r="C1467" s="1695"/>
      <c r="D1467" s="124" t="s">
        <v>327</v>
      </c>
      <c r="E1467" s="675"/>
      <c r="F1467" s="675"/>
      <c r="G1467" s="675"/>
      <c r="H1467" s="675"/>
      <c r="I1467" s="675"/>
      <c r="J1467" s="675"/>
      <c r="K1467" s="675"/>
      <c r="L1467" s="675"/>
      <c r="M1467" s="675"/>
      <c r="N1467" s="675"/>
      <c r="O1467" s="675"/>
      <c r="P1467" s="675"/>
      <c r="Q1467" s="675"/>
      <c r="R1467" s="675"/>
      <c r="S1467" s="675"/>
      <c r="T1467" s="675"/>
      <c r="U1467" s="675"/>
      <c r="V1467" s="675"/>
      <c r="W1467" s="675"/>
      <c r="X1467" s="675"/>
      <c r="Y1467" s="676"/>
      <c r="Z1467" s="676"/>
      <c r="AA1467" s="676"/>
      <c r="AB1467" s="677"/>
    </row>
    <row r="1468" spans="2:28" s="780" customFormat="1" hidden="1" x14ac:dyDescent="0.45">
      <c r="B1468" s="1692"/>
      <c r="C1468" s="1696" t="s">
        <v>330</v>
      </c>
      <c r="D1468" s="122" t="s">
        <v>326</v>
      </c>
      <c r="E1468" s="678"/>
      <c r="F1468" s="678"/>
      <c r="G1468" s="678"/>
      <c r="H1468" s="678"/>
      <c r="I1468" s="678"/>
      <c r="J1468" s="678"/>
      <c r="K1468" s="678"/>
      <c r="L1468" s="678"/>
      <c r="M1468" s="678"/>
      <c r="N1468" s="678"/>
      <c r="O1468" s="678"/>
      <c r="P1468" s="678"/>
      <c r="Q1468" s="678"/>
      <c r="R1468" s="678"/>
      <c r="S1468" s="678"/>
      <c r="T1468" s="678"/>
      <c r="U1468" s="678"/>
      <c r="V1468" s="678"/>
      <c r="W1468" s="678"/>
      <c r="X1468" s="678"/>
      <c r="Y1468" s="679"/>
      <c r="Z1468" s="679"/>
      <c r="AA1468" s="679"/>
      <c r="AB1468" s="680"/>
    </row>
    <row r="1469" spans="2:28" s="780" customFormat="1" hidden="1" x14ac:dyDescent="0.45">
      <c r="B1469" s="1692"/>
      <c r="C1469" s="1697"/>
      <c r="D1469" s="122" t="s">
        <v>327</v>
      </c>
      <c r="E1469" s="678"/>
      <c r="F1469" s="678"/>
      <c r="G1469" s="678"/>
      <c r="H1469" s="678"/>
      <c r="I1469" s="678"/>
      <c r="J1469" s="678"/>
      <c r="K1469" s="678"/>
      <c r="L1469" s="678"/>
      <c r="M1469" s="678"/>
      <c r="N1469" s="678"/>
      <c r="O1469" s="678"/>
      <c r="P1469" s="678"/>
      <c r="Q1469" s="678"/>
      <c r="R1469" s="678"/>
      <c r="S1469" s="678"/>
      <c r="T1469" s="678"/>
      <c r="U1469" s="678"/>
      <c r="V1469" s="678"/>
      <c r="W1469" s="678"/>
      <c r="X1469" s="681"/>
      <c r="Y1469" s="679"/>
      <c r="Z1469" s="679"/>
      <c r="AA1469" s="679"/>
      <c r="AB1469" s="680"/>
    </row>
    <row r="1470" spans="2:28" s="780" customFormat="1" hidden="1" x14ac:dyDescent="0.45">
      <c r="B1470" s="1692"/>
      <c r="C1470" s="1698" t="s">
        <v>331</v>
      </c>
      <c r="D1470" s="125" t="s">
        <v>326</v>
      </c>
      <c r="E1470" s="682"/>
      <c r="F1470" s="682"/>
      <c r="G1470" s="685"/>
      <c r="H1470" s="682"/>
      <c r="I1470" s="682"/>
      <c r="J1470" s="682"/>
      <c r="K1470" s="682"/>
      <c r="L1470" s="682"/>
      <c r="M1470" s="682"/>
      <c r="N1470" s="682"/>
      <c r="O1470" s="682"/>
      <c r="P1470" s="682"/>
      <c r="Q1470" s="682"/>
      <c r="R1470" s="682"/>
      <c r="S1470" s="682"/>
      <c r="T1470" s="682"/>
      <c r="U1470" s="682"/>
      <c r="V1470" s="682"/>
      <c r="W1470" s="682"/>
      <c r="X1470" s="682"/>
      <c r="Y1470" s="683"/>
      <c r="Z1470" s="683"/>
      <c r="AA1470" s="683"/>
      <c r="AB1470" s="684"/>
    </row>
    <row r="1471" spans="2:28" s="780" customFormat="1" hidden="1" x14ac:dyDescent="0.45">
      <c r="B1471" s="1692"/>
      <c r="C1471" s="1695"/>
      <c r="D1471" s="124" t="s">
        <v>327</v>
      </c>
      <c r="E1471" s="675"/>
      <c r="F1471" s="675"/>
      <c r="G1471" s="686"/>
      <c r="H1471" s="675"/>
      <c r="I1471" s="675"/>
      <c r="J1471" s="675"/>
      <c r="K1471" s="675"/>
      <c r="L1471" s="675"/>
      <c r="M1471" s="675"/>
      <c r="N1471" s="675"/>
      <c r="O1471" s="675"/>
      <c r="P1471" s="675"/>
      <c r="Q1471" s="675"/>
      <c r="R1471" s="675"/>
      <c r="S1471" s="675"/>
      <c r="T1471" s="675"/>
      <c r="U1471" s="675"/>
      <c r="V1471" s="675"/>
      <c r="W1471" s="675"/>
      <c r="X1471" s="675"/>
      <c r="Y1471" s="676"/>
      <c r="Z1471" s="676"/>
      <c r="AA1471" s="676"/>
      <c r="AB1471" s="677"/>
    </row>
    <row r="1472" spans="2:28" s="780" customFormat="1" hidden="1" x14ac:dyDescent="0.45">
      <c r="B1472" s="1692"/>
      <c r="C1472" s="1696" t="s">
        <v>332</v>
      </c>
      <c r="D1472" s="122" t="s">
        <v>326</v>
      </c>
      <c r="E1472" s="678"/>
      <c r="F1472" s="678"/>
      <c r="G1472" s="678"/>
      <c r="H1472" s="678"/>
      <c r="I1472" s="678"/>
      <c r="J1472" s="678"/>
      <c r="K1472" s="678"/>
      <c r="L1472" s="678"/>
      <c r="M1472" s="678"/>
      <c r="N1472" s="678"/>
      <c r="O1472" s="678"/>
      <c r="P1472" s="678"/>
      <c r="Q1472" s="678"/>
      <c r="R1472" s="678"/>
      <c r="S1472" s="678"/>
      <c r="T1472" s="678"/>
      <c r="U1472" s="678"/>
      <c r="V1472" s="678"/>
      <c r="W1472" s="679"/>
      <c r="X1472" s="679"/>
      <c r="Y1472" s="679"/>
      <c r="Z1472" s="679"/>
      <c r="AA1472" s="679"/>
      <c r="AB1472" s="680"/>
    </row>
    <row r="1473" spans="2:28" s="780" customFormat="1" hidden="1" x14ac:dyDescent="0.45">
      <c r="B1473" s="1692"/>
      <c r="C1473" s="1697"/>
      <c r="D1473" s="122" t="s">
        <v>327</v>
      </c>
      <c r="E1473" s="678"/>
      <c r="F1473" s="678"/>
      <c r="G1473" s="678"/>
      <c r="H1473" s="678"/>
      <c r="I1473" s="678"/>
      <c r="J1473" s="678"/>
      <c r="K1473" s="678"/>
      <c r="L1473" s="678"/>
      <c r="M1473" s="678"/>
      <c r="N1473" s="678"/>
      <c r="O1473" s="678"/>
      <c r="P1473" s="678"/>
      <c r="Q1473" s="678"/>
      <c r="R1473" s="678"/>
      <c r="S1473" s="678"/>
      <c r="T1473" s="678"/>
      <c r="U1473" s="678"/>
      <c r="V1473" s="678"/>
      <c r="W1473" s="678"/>
      <c r="X1473" s="678"/>
      <c r="Y1473" s="679"/>
      <c r="Z1473" s="679"/>
      <c r="AA1473" s="679"/>
      <c r="AB1473" s="680"/>
    </row>
    <row r="1474" spans="2:28" s="780" customFormat="1" hidden="1" x14ac:dyDescent="0.45">
      <c r="B1474" s="1692"/>
      <c r="C1474" s="1698" t="s">
        <v>333</v>
      </c>
      <c r="D1474" s="124" t="s">
        <v>326</v>
      </c>
      <c r="E1474" s="675"/>
      <c r="F1474" s="675"/>
      <c r="G1474" s="675"/>
      <c r="H1474" s="675"/>
      <c r="I1474" s="675"/>
      <c r="J1474" s="675"/>
      <c r="K1474" s="675"/>
      <c r="L1474" s="675"/>
      <c r="M1474" s="675"/>
      <c r="N1474" s="675"/>
      <c r="O1474" s="675"/>
      <c r="P1474" s="675"/>
      <c r="Q1474" s="675"/>
      <c r="R1474" s="675"/>
      <c r="S1474" s="675"/>
      <c r="T1474" s="675"/>
      <c r="U1474" s="675"/>
      <c r="V1474" s="675"/>
      <c r="W1474" s="676"/>
      <c r="X1474" s="676"/>
      <c r="Y1474" s="676"/>
      <c r="Z1474" s="676"/>
      <c r="AA1474" s="676"/>
      <c r="AB1474" s="677"/>
    </row>
    <row r="1475" spans="2:28" s="780" customFormat="1" hidden="1" x14ac:dyDescent="0.45">
      <c r="B1475" s="1693"/>
      <c r="C1475" s="1699"/>
      <c r="D1475" s="126" t="s">
        <v>327</v>
      </c>
      <c r="E1475" s="687"/>
      <c r="F1475" s="687"/>
      <c r="G1475" s="687"/>
      <c r="H1475" s="687"/>
      <c r="I1475" s="687"/>
      <c r="J1475" s="687"/>
      <c r="K1475" s="687"/>
      <c r="L1475" s="687"/>
      <c r="M1475" s="687"/>
      <c r="N1475" s="687"/>
      <c r="O1475" s="687"/>
      <c r="P1475" s="687"/>
      <c r="Q1475" s="687"/>
      <c r="R1475" s="687"/>
      <c r="S1475" s="687"/>
      <c r="T1475" s="687"/>
      <c r="U1475" s="687"/>
      <c r="V1475" s="687"/>
      <c r="W1475" s="687"/>
      <c r="X1475" s="687"/>
      <c r="Y1475" s="687"/>
      <c r="Z1475" s="687"/>
      <c r="AA1475" s="687"/>
      <c r="AB1475" s="688"/>
    </row>
    <row r="1476" spans="2:28" s="780" customFormat="1" hidden="1" x14ac:dyDescent="0.45"/>
    <row r="1477" spans="2:28" s="780" customFormat="1" hidden="1" x14ac:dyDescent="0.45">
      <c r="B1477" s="1688" t="s">
        <v>54</v>
      </c>
      <c r="C1477" s="1689"/>
      <c r="D1477" s="1690"/>
      <c r="E1477" s="779"/>
      <c r="F1477" s="779"/>
      <c r="G1477" s="779"/>
      <c r="H1477" s="779"/>
      <c r="I1477" s="779"/>
      <c r="J1477" s="779"/>
      <c r="K1477" s="779"/>
      <c r="L1477" s="779"/>
      <c r="M1477" s="779"/>
      <c r="N1477" s="779"/>
      <c r="O1477" s="779"/>
      <c r="P1477" s="779"/>
      <c r="Q1477" s="779"/>
      <c r="R1477" s="779"/>
      <c r="S1477" s="779"/>
      <c r="T1477" s="779"/>
      <c r="U1477" s="779"/>
      <c r="V1477" s="779"/>
      <c r="W1477" s="779"/>
      <c r="X1477" s="779"/>
      <c r="Y1477" s="779"/>
      <c r="Z1477" s="779"/>
      <c r="AA1477" s="779"/>
      <c r="AB1477" s="708"/>
    </row>
    <row r="1478" spans="2:28" s="780" customFormat="1" ht="15" hidden="1" customHeight="1" x14ac:dyDescent="0.45">
      <c r="B1478" s="1691" t="str">
        <f>CONCATENATE("Plan ", INDEX(plans_index,,(ROW(B1478)-6)/16), ": ", INDEX(plans_name,,(ROW(B1478)-6)/16))</f>
        <v xml:space="preserve">Plan 92: </v>
      </c>
      <c r="C1478" s="1694" t="s">
        <v>325</v>
      </c>
      <c r="D1478" s="123" t="s">
        <v>326</v>
      </c>
      <c r="E1478" s="672"/>
      <c r="F1478" s="672"/>
      <c r="G1478" s="672"/>
      <c r="H1478" s="673"/>
      <c r="I1478" s="672"/>
      <c r="J1478" s="672"/>
      <c r="K1478" s="672"/>
      <c r="L1478" s="672"/>
      <c r="M1478" s="672"/>
      <c r="N1478" s="672"/>
      <c r="O1478" s="672"/>
      <c r="P1478" s="672"/>
      <c r="Q1478" s="672"/>
      <c r="R1478" s="672"/>
      <c r="S1478" s="672"/>
      <c r="T1478" s="672"/>
      <c r="U1478" s="672"/>
      <c r="V1478" s="672"/>
      <c r="W1478" s="672"/>
      <c r="X1478" s="672"/>
      <c r="Y1478" s="672"/>
      <c r="Z1478" s="672"/>
      <c r="AA1478" s="672"/>
      <c r="AB1478" s="674"/>
    </row>
    <row r="1479" spans="2:28" s="780" customFormat="1" hidden="1" x14ac:dyDescent="0.45">
      <c r="B1479" s="1692"/>
      <c r="C1479" s="1695"/>
      <c r="D1479" s="124" t="s">
        <v>327</v>
      </c>
      <c r="E1479" s="675"/>
      <c r="F1479" s="675"/>
      <c r="G1479" s="675"/>
      <c r="H1479" s="675"/>
      <c r="I1479" s="675"/>
      <c r="J1479" s="675"/>
      <c r="K1479" s="675"/>
      <c r="L1479" s="675"/>
      <c r="M1479" s="675"/>
      <c r="N1479" s="675"/>
      <c r="O1479" s="675"/>
      <c r="P1479" s="675"/>
      <c r="Q1479" s="675"/>
      <c r="R1479" s="675"/>
      <c r="S1479" s="675"/>
      <c r="T1479" s="675"/>
      <c r="U1479" s="675"/>
      <c r="V1479" s="675"/>
      <c r="W1479" s="675"/>
      <c r="X1479" s="675"/>
      <c r="Y1479" s="676"/>
      <c r="Z1479" s="676"/>
      <c r="AA1479" s="676"/>
      <c r="AB1479" s="677"/>
    </row>
    <row r="1480" spans="2:28" s="780" customFormat="1" hidden="1" x14ac:dyDescent="0.45">
      <c r="B1480" s="1692"/>
      <c r="C1480" s="1696" t="s">
        <v>328</v>
      </c>
      <c r="D1480" s="122" t="s">
        <v>326</v>
      </c>
      <c r="E1480" s="678"/>
      <c r="F1480" s="678"/>
      <c r="G1480" s="678"/>
      <c r="H1480" s="678"/>
      <c r="I1480" s="678"/>
      <c r="J1480" s="678"/>
      <c r="K1480" s="678"/>
      <c r="L1480" s="678"/>
      <c r="M1480" s="678"/>
      <c r="N1480" s="678"/>
      <c r="O1480" s="678"/>
      <c r="P1480" s="678"/>
      <c r="Q1480" s="678"/>
      <c r="R1480" s="678"/>
      <c r="S1480" s="678"/>
      <c r="T1480" s="678"/>
      <c r="U1480" s="678"/>
      <c r="V1480" s="678"/>
      <c r="W1480" s="678"/>
      <c r="X1480" s="678"/>
      <c r="Y1480" s="679"/>
      <c r="Z1480" s="679"/>
      <c r="AA1480" s="679"/>
      <c r="AB1480" s="680"/>
    </row>
    <row r="1481" spans="2:28" s="780" customFormat="1" hidden="1" x14ac:dyDescent="0.45">
      <c r="B1481" s="1692"/>
      <c r="C1481" s="1697"/>
      <c r="D1481" s="122" t="s">
        <v>327</v>
      </c>
      <c r="E1481" s="678"/>
      <c r="F1481" s="678"/>
      <c r="G1481" s="678"/>
      <c r="H1481" s="678"/>
      <c r="I1481" s="678"/>
      <c r="J1481" s="678"/>
      <c r="K1481" s="678"/>
      <c r="L1481" s="678"/>
      <c r="M1481" s="678"/>
      <c r="N1481" s="678"/>
      <c r="O1481" s="678"/>
      <c r="P1481" s="678"/>
      <c r="Q1481" s="678"/>
      <c r="R1481" s="678"/>
      <c r="S1481" s="678"/>
      <c r="T1481" s="678"/>
      <c r="U1481" s="678"/>
      <c r="V1481" s="678"/>
      <c r="W1481" s="678"/>
      <c r="X1481" s="681"/>
      <c r="Y1481" s="679"/>
      <c r="Z1481" s="679"/>
      <c r="AA1481" s="679"/>
      <c r="AB1481" s="680"/>
    </row>
    <row r="1482" spans="2:28" s="780" customFormat="1" hidden="1" x14ac:dyDescent="0.45">
      <c r="B1482" s="1692"/>
      <c r="C1482" s="1698" t="s">
        <v>329</v>
      </c>
      <c r="D1482" s="125" t="s">
        <v>326</v>
      </c>
      <c r="E1482" s="682"/>
      <c r="F1482" s="682"/>
      <c r="G1482" s="682"/>
      <c r="H1482" s="682"/>
      <c r="I1482" s="682"/>
      <c r="J1482" s="682"/>
      <c r="K1482" s="682"/>
      <c r="L1482" s="682"/>
      <c r="M1482" s="682"/>
      <c r="N1482" s="682"/>
      <c r="O1482" s="682"/>
      <c r="P1482" s="682"/>
      <c r="Q1482" s="682"/>
      <c r="R1482" s="682"/>
      <c r="S1482" s="682"/>
      <c r="T1482" s="682"/>
      <c r="U1482" s="682"/>
      <c r="V1482" s="682"/>
      <c r="W1482" s="682"/>
      <c r="X1482" s="682"/>
      <c r="Y1482" s="683"/>
      <c r="Z1482" s="683"/>
      <c r="AA1482" s="683"/>
      <c r="AB1482" s="684"/>
    </row>
    <row r="1483" spans="2:28" s="780" customFormat="1" hidden="1" x14ac:dyDescent="0.45">
      <c r="B1483" s="1692"/>
      <c r="C1483" s="1695"/>
      <c r="D1483" s="124" t="s">
        <v>327</v>
      </c>
      <c r="E1483" s="675"/>
      <c r="F1483" s="675"/>
      <c r="G1483" s="675"/>
      <c r="H1483" s="675"/>
      <c r="I1483" s="675"/>
      <c r="J1483" s="675"/>
      <c r="K1483" s="675"/>
      <c r="L1483" s="675"/>
      <c r="M1483" s="675"/>
      <c r="N1483" s="675"/>
      <c r="O1483" s="675"/>
      <c r="P1483" s="675"/>
      <c r="Q1483" s="675"/>
      <c r="R1483" s="675"/>
      <c r="S1483" s="675"/>
      <c r="T1483" s="675"/>
      <c r="U1483" s="675"/>
      <c r="V1483" s="675"/>
      <c r="W1483" s="675"/>
      <c r="X1483" s="675"/>
      <c r="Y1483" s="676"/>
      <c r="Z1483" s="676"/>
      <c r="AA1483" s="676"/>
      <c r="AB1483" s="677"/>
    </row>
    <row r="1484" spans="2:28" s="780" customFormat="1" hidden="1" x14ac:dyDescent="0.45">
      <c r="B1484" s="1692"/>
      <c r="C1484" s="1696" t="s">
        <v>330</v>
      </c>
      <c r="D1484" s="122" t="s">
        <v>326</v>
      </c>
      <c r="E1484" s="678"/>
      <c r="F1484" s="678"/>
      <c r="G1484" s="678"/>
      <c r="H1484" s="678"/>
      <c r="I1484" s="678"/>
      <c r="J1484" s="678"/>
      <c r="K1484" s="678"/>
      <c r="L1484" s="678"/>
      <c r="M1484" s="678"/>
      <c r="N1484" s="678"/>
      <c r="O1484" s="678"/>
      <c r="P1484" s="678"/>
      <c r="Q1484" s="678"/>
      <c r="R1484" s="678"/>
      <c r="S1484" s="678"/>
      <c r="T1484" s="678"/>
      <c r="U1484" s="678"/>
      <c r="V1484" s="678"/>
      <c r="W1484" s="678"/>
      <c r="X1484" s="678"/>
      <c r="Y1484" s="679"/>
      <c r="Z1484" s="679"/>
      <c r="AA1484" s="679"/>
      <c r="AB1484" s="680"/>
    </row>
    <row r="1485" spans="2:28" s="780" customFormat="1" hidden="1" x14ac:dyDescent="0.45">
      <c r="B1485" s="1692"/>
      <c r="C1485" s="1697"/>
      <c r="D1485" s="122" t="s">
        <v>327</v>
      </c>
      <c r="E1485" s="678"/>
      <c r="F1485" s="678"/>
      <c r="G1485" s="678"/>
      <c r="H1485" s="678"/>
      <c r="I1485" s="678"/>
      <c r="J1485" s="678"/>
      <c r="K1485" s="678"/>
      <c r="L1485" s="678"/>
      <c r="M1485" s="678"/>
      <c r="N1485" s="678"/>
      <c r="O1485" s="678"/>
      <c r="P1485" s="678"/>
      <c r="Q1485" s="678"/>
      <c r="R1485" s="678"/>
      <c r="S1485" s="678"/>
      <c r="T1485" s="678"/>
      <c r="U1485" s="678"/>
      <c r="V1485" s="678"/>
      <c r="W1485" s="678"/>
      <c r="X1485" s="681"/>
      <c r="Y1485" s="679"/>
      <c r="Z1485" s="679"/>
      <c r="AA1485" s="679"/>
      <c r="AB1485" s="680"/>
    </row>
    <row r="1486" spans="2:28" s="780" customFormat="1" hidden="1" x14ac:dyDescent="0.45">
      <c r="B1486" s="1692"/>
      <c r="C1486" s="1698" t="s">
        <v>331</v>
      </c>
      <c r="D1486" s="125" t="s">
        <v>326</v>
      </c>
      <c r="E1486" s="682"/>
      <c r="F1486" s="682"/>
      <c r="G1486" s="685"/>
      <c r="H1486" s="682"/>
      <c r="I1486" s="682"/>
      <c r="J1486" s="682"/>
      <c r="K1486" s="682"/>
      <c r="L1486" s="682"/>
      <c r="M1486" s="682"/>
      <c r="N1486" s="682"/>
      <c r="O1486" s="682"/>
      <c r="P1486" s="682"/>
      <c r="Q1486" s="682"/>
      <c r="R1486" s="682"/>
      <c r="S1486" s="682"/>
      <c r="T1486" s="682"/>
      <c r="U1486" s="682"/>
      <c r="V1486" s="682"/>
      <c r="W1486" s="682"/>
      <c r="X1486" s="682"/>
      <c r="Y1486" s="683"/>
      <c r="Z1486" s="683"/>
      <c r="AA1486" s="683"/>
      <c r="AB1486" s="684"/>
    </row>
    <row r="1487" spans="2:28" s="780" customFormat="1" hidden="1" x14ac:dyDescent="0.45">
      <c r="B1487" s="1692"/>
      <c r="C1487" s="1695"/>
      <c r="D1487" s="124" t="s">
        <v>327</v>
      </c>
      <c r="E1487" s="675"/>
      <c r="F1487" s="675"/>
      <c r="G1487" s="686"/>
      <c r="H1487" s="675"/>
      <c r="I1487" s="675"/>
      <c r="J1487" s="675"/>
      <c r="K1487" s="675"/>
      <c r="L1487" s="675"/>
      <c r="M1487" s="675"/>
      <c r="N1487" s="675"/>
      <c r="O1487" s="675"/>
      <c r="P1487" s="675"/>
      <c r="Q1487" s="675"/>
      <c r="R1487" s="675"/>
      <c r="S1487" s="675"/>
      <c r="T1487" s="675"/>
      <c r="U1487" s="675"/>
      <c r="V1487" s="675"/>
      <c r="W1487" s="675"/>
      <c r="X1487" s="675"/>
      <c r="Y1487" s="676"/>
      <c r="Z1487" s="676"/>
      <c r="AA1487" s="676"/>
      <c r="AB1487" s="677"/>
    </row>
    <row r="1488" spans="2:28" s="780" customFormat="1" hidden="1" x14ac:dyDescent="0.45">
      <c r="B1488" s="1692"/>
      <c r="C1488" s="1696" t="s">
        <v>332</v>
      </c>
      <c r="D1488" s="122" t="s">
        <v>326</v>
      </c>
      <c r="E1488" s="678"/>
      <c r="F1488" s="678"/>
      <c r="G1488" s="678"/>
      <c r="H1488" s="678"/>
      <c r="I1488" s="678"/>
      <c r="J1488" s="678"/>
      <c r="K1488" s="678"/>
      <c r="L1488" s="678"/>
      <c r="M1488" s="678"/>
      <c r="N1488" s="678"/>
      <c r="O1488" s="678"/>
      <c r="P1488" s="678"/>
      <c r="Q1488" s="678"/>
      <c r="R1488" s="678"/>
      <c r="S1488" s="678"/>
      <c r="T1488" s="678"/>
      <c r="U1488" s="678"/>
      <c r="V1488" s="678"/>
      <c r="W1488" s="679"/>
      <c r="X1488" s="679"/>
      <c r="Y1488" s="679"/>
      <c r="Z1488" s="679"/>
      <c r="AA1488" s="679"/>
      <c r="AB1488" s="680"/>
    </row>
    <row r="1489" spans="2:28" s="780" customFormat="1" hidden="1" x14ac:dyDescent="0.45">
      <c r="B1489" s="1692"/>
      <c r="C1489" s="1697"/>
      <c r="D1489" s="122" t="s">
        <v>327</v>
      </c>
      <c r="E1489" s="678"/>
      <c r="F1489" s="678"/>
      <c r="G1489" s="678"/>
      <c r="H1489" s="678"/>
      <c r="I1489" s="678"/>
      <c r="J1489" s="678"/>
      <c r="K1489" s="678"/>
      <c r="L1489" s="678"/>
      <c r="M1489" s="678"/>
      <c r="N1489" s="678"/>
      <c r="O1489" s="678"/>
      <c r="P1489" s="678"/>
      <c r="Q1489" s="678"/>
      <c r="R1489" s="678"/>
      <c r="S1489" s="678"/>
      <c r="T1489" s="678"/>
      <c r="U1489" s="678"/>
      <c r="V1489" s="678"/>
      <c r="W1489" s="678"/>
      <c r="X1489" s="678"/>
      <c r="Y1489" s="679"/>
      <c r="Z1489" s="679"/>
      <c r="AA1489" s="679"/>
      <c r="AB1489" s="680"/>
    </row>
    <row r="1490" spans="2:28" s="780" customFormat="1" hidden="1" x14ac:dyDescent="0.45">
      <c r="B1490" s="1692"/>
      <c r="C1490" s="1698" t="s">
        <v>333</v>
      </c>
      <c r="D1490" s="124" t="s">
        <v>326</v>
      </c>
      <c r="E1490" s="675"/>
      <c r="F1490" s="675"/>
      <c r="G1490" s="675"/>
      <c r="H1490" s="675"/>
      <c r="I1490" s="675"/>
      <c r="J1490" s="675"/>
      <c r="K1490" s="675"/>
      <c r="L1490" s="675"/>
      <c r="M1490" s="675"/>
      <c r="N1490" s="675"/>
      <c r="O1490" s="675"/>
      <c r="P1490" s="675"/>
      <c r="Q1490" s="675"/>
      <c r="R1490" s="675"/>
      <c r="S1490" s="675"/>
      <c r="T1490" s="675"/>
      <c r="U1490" s="675"/>
      <c r="V1490" s="675"/>
      <c r="W1490" s="676"/>
      <c r="X1490" s="676"/>
      <c r="Y1490" s="676"/>
      <c r="Z1490" s="676"/>
      <c r="AA1490" s="676"/>
      <c r="AB1490" s="677"/>
    </row>
    <row r="1491" spans="2:28" s="780" customFormat="1" hidden="1" x14ac:dyDescent="0.45">
      <c r="B1491" s="1693"/>
      <c r="C1491" s="1699"/>
      <c r="D1491" s="126" t="s">
        <v>327</v>
      </c>
      <c r="E1491" s="687"/>
      <c r="F1491" s="687"/>
      <c r="G1491" s="687"/>
      <c r="H1491" s="687"/>
      <c r="I1491" s="687"/>
      <c r="J1491" s="687"/>
      <c r="K1491" s="687"/>
      <c r="L1491" s="687"/>
      <c r="M1491" s="687"/>
      <c r="N1491" s="687"/>
      <c r="O1491" s="687"/>
      <c r="P1491" s="687"/>
      <c r="Q1491" s="687"/>
      <c r="R1491" s="687"/>
      <c r="S1491" s="687"/>
      <c r="T1491" s="687"/>
      <c r="U1491" s="687"/>
      <c r="V1491" s="687"/>
      <c r="W1491" s="687"/>
      <c r="X1491" s="687"/>
      <c r="Y1491" s="687"/>
      <c r="Z1491" s="687"/>
      <c r="AA1491" s="687"/>
      <c r="AB1491" s="688"/>
    </row>
    <row r="1492" spans="2:28" s="780" customFormat="1" hidden="1" x14ac:dyDescent="0.45"/>
    <row r="1493" spans="2:28" s="780" customFormat="1" hidden="1" x14ac:dyDescent="0.45">
      <c r="B1493" s="1688" t="s">
        <v>54</v>
      </c>
      <c r="C1493" s="1689"/>
      <c r="D1493" s="1690"/>
      <c r="E1493" s="779"/>
      <c r="F1493" s="779"/>
      <c r="G1493" s="779"/>
      <c r="H1493" s="779"/>
      <c r="I1493" s="779"/>
      <c r="J1493" s="779"/>
      <c r="K1493" s="779"/>
      <c r="L1493" s="779"/>
      <c r="M1493" s="779"/>
      <c r="N1493" s="779"/>
      <c r="O1493" s="779"/>
      <c r="P1493" s="779"/>
      <c r="Q1493" s="779"/>
      <c r="R1493" s="779"/>
      <c r="S1493" s="779"/>
      <c r="T1493" s="779"/>
      <c r="U1493" s="779"/>
      <c r="V1493" s="779"/>
      <c r="W1493" s="779"/>
      <c r="X1493" s="779"/>
      <c r="Y1493" s="779"/>
      <c r="Z1493" s="779"/>
      <c r="AA1493" s="779"/>
      <c r="AB1493" s="708"/>
    </row>
    <row r="1494" spans="2:28" s="780" customFormat="1" ht="15" hidden="1" customHeight="1" x14ac:dyDescent="0.45">
      <c r="B1494" s="1691" t="str">
        <f>CONCATENATE("Plan ", INDEX(plans_index,,(ROW(B1494)-6)/16), ": ", INDEX(plans_name,,(ROW(B1494)-6)/16))</f>
        <v xml:space="preserve">Plan 93: </v>
      </c>
      <c r="C1494" s="1694" t="s">
        <v>325</v>
      </c>
      <c r="D1494" s="123" t="s">
        <v>326</v>
      </c>
      <c r="E1494" s="672"/>
      <c r="F1494" s="672"/>
      <c r="G1494" s="672"/>
      <c r="H1494" s="673"/>
      <c r="I1494" s="672"/>
      <c r="J1494" s="672"/>
      <c r="K1494" s="672"/>
      <c r="L1494" s="672"/>
      <c r="M1494" s="672"/>
      <c r="N1494" s="672"/>
      <c r="O1494" s="672"/>
      <c r="P1494" s="672"/>
      <c r="Q1494" s="672"/>
      <c r="R1494" s="672"/>
      <c r="S1494" s="672"/>
      <c r="T1494" s="672"/>
      <c r="U1494" s="672"/>
      <c r="V1494" s="672"/>
      <c r="W1494" s="672"/>
      <c r="X1494" s="672"/>
      <c r="Y1494" s="672"/>
      <c r="Z1494" s="672"/>
      <c r="AA1494" s="672"/>
      <c r="AB1494" s="674"/>
    </row>
    <row r="1495" spans="2:28" s="780" customFormat="1" hidden="1" x14ac:dyDescent="0.45">
      <c r="B1495" s="1692"/>
      <c r="C1495" s="1695"/>
      <c r="D1495" s="124" t="s">
        <v>327</v>
      </c>
      <c r="E1495" s="675"/>
      <c r="F1495" s="675"/>
      <c r="G1495" s="675"/>
      <c r="H1495" s="675"/>
      <c r="I1495" s="675"/>
      <c r="J1495" s="675"/>
      <c r="K1495" s="675"/>
      <c r="L1495" s="675"/>
      <c r="M1495" s="675"/>
      <c r="N1495" s="675"/>
      <c r="O1495" s="675"/>
      <c r="P1495" s="675"/>
      <c r="Q1495" s="675"/>
      <c r="R1495" s="675"/>
      <c r="S1495" s="675"/>
      <c r="T1495" s="675"/>
      <c r="U1495" s="675"/>
      <c r="V1495" s="675"/>
      <c r="W1495" s="675"/>
      <c r="X1495" s="675"/>
      <c r="Y1495" s="676"/>
      <c r="Z1495" s="676"/>
      <c r="AA1495" s="676"/>
      <c r="AB1495" s="677"/>
    </row>
    <row r="1496" spans="2:28" s="780" customFormat="1" hidden="1" x14ac:dyDescent="0.45">
      <c r="B1496" s="1692"/>
      <c r="C1496" s="1696" t="s">
        <v>328</v>
      </c>
      <c r="D1496" s="122" t="s">
        <v>326</v>
      </c>
      <c r="E1496" s="678"/>
      <c r="F1496" s="678"/>
      <c r="G1496" s="678"/>
      <c r="H1496" s="678"/>
      <c r="I1496" s="678"/>
      <c r="J1496" s="678"/>
      <c r="K1496" s="678"/>
      <c r="L1496" s="678"/>
      <c r="M1496" s="678"/>
      <c r="N1496" s="678"/>
      <c r="O1496" s="678"/>
      <c r="P1496" s="678"/>
      <c r="Q1496" s="678"/>
      <c r="R1496" s="678"/>
      <c r="S1496" s="678"/>
      <c r="T1496" s="678"/>
      <c r="U1496" s="678"/>
      <c r="V1496" s="678"/>
      <c r="W1496" s="678"/>
      <c r="X1496" s="678"/>
      <c r="Y1496" s="679"/>
      <c r="Z1496" s="679"/>
      <c r="AA1496" s="679"/>
      <c r="AB1496" s="680"/>
    </row>
    <row r="1497" spans="2:28" s="780" customFormat="1" hidden="1" x14ac:dyDescent="0.45">
      <c r="B1497" s="1692"/>
      <c r="C1497" s="1697"/>
      <c r="D1497" s="122" t="s">
        <v>327</v>
      </c>
      <c r="E1497" s="678"/>
      <c r="F1497" s="678"/>
      <c r="G1497" s="678"/>
      <c r="H1497" s="678"/>
      <c r="I1497" s="678"/>
      <c r="J1497" s="678"/>
      <c r="K1497" s="678"/>
      <c r="L1497" s="678"/>
      <c r="M1497" s="678"/>
      <c r="N1497" s="678"/>
      <c r="O1497" s="678"/>
      <c r="P1497" s="678"/>
      <c r="Q1497" s="678"/>
      <c r="R1497" s="678"/>
      <c r="S1497" s="678"/>
      <c r="T1497" s="678"/>
      <c r="U1497" s="678"/>
      <c r="V1497" s="678"/>
      <c r="W1497" s="678"/>
      <c r="X1497" s="681"/>
      <c r="Y1497" s="679"/>
      <c r="Z1497" s="679"/>
      <c r="AA1497" s="679"/>
      <c r="AB1497" s="680"/>
    </row>
    <row r="1498" spans="2:28" s="780" customFormat="1" hidden="1" x14ac:dyDescent="0.45">
      <c r="B1498" s="1692"/>
      <c r="C1498" s="1698" t="s">
        <v>329</v>
      </c>
      <c r="D1498" s="125" t="s">
        <v>326</v>
      </c>
      <c r="E1498" s="682"/>
      <c r="F1498" s="682"/>
      <c r="G1498" s="682"/>
      <c r="H1498" s="682"/>
      <c r="I1498" s="682"/>
      <c r="J1498" s="682"/>
      <c r="K1498" s="682"/>
      <c r="L1498" s="682"/>
      <c r="M1498" s="682"/>
      <c r="N1498" s="682"/>
      <c r="O1498" s="682"/>
      <c r="P1498" s="682"/>
      <c r="Q1498" s="682"/>
      <c r="R1498" s="682"/>
      <c r="S1498" s="682"/>
      <c r="T1498" s="682"/>
      <c r="U1498" s="682"/>
      <c r="V1498" s="682"/>
      <c r="W1498" s="682"/>
      <c r="X1498" s="682"/>
      <c r="Y1498" s="683"/>
      <c r="Z1498" s="683"/>
      <c r="AA1498" s="683"/>
      <c r="AB1498" s="684"/>
    </row>
    <row r="1499" spans="2:28" s="780" customFormat="1" hidden="1" x14ac:dyDescent="0.45">
      <c r="B1499" s="1692"/>
      <c r="C1499" s="1695"/>
      <c r="D1499" s="124" t="s">
        <v>327</v>
      </c>
      <c r="E1499" s="675"/>
      <c r="F1499" s="675"/>
      <c r="G1499" s="675"/>
      <c r="H1499" s="675"/>
      <c r="I1499" s="675"/>
      <c r="J1499" s="675"/>
      <c r="K1499" s="675"/>
      <c r="L1499" s="675"/>
      <c r="M1499" s="675"/>
      <c r="N1499" s="675"/>
      <c r="O1499" s="675"/>
      <c r="P1499" s="675"/>
      <c r="Q1499" s="675"/>
      <c r="R1499" s="675"/>
      <c r="S1499" s="675"/>
      <c r="T1499" s="675"/>
      <c r="U1499" s="675"/>
      <c r="V1499" s="675"/>
      <c r="W1499" s="675"/>
      <c r="X1499" s="675"/>
      <c r="Y1499" s="676"/>
      <c r="Z1499" s="676"/>
      <c r="AA1499" s="676"/>
      <c r="AB1499" s="677"/>
    </row>
    <row r="1500" spans="2:28" s="780" customFormat="1" hidden="1" x14ac:dyDescent="0.45">
      <c r="B1500" s="1692"/>
      <c r="C1500" s="1696" t="s">
        <v>330</v>
      </c>
      <c r="D1500" s="122" t="s">
        <v>326</v>
      </c>
      <c r="E1500" s="678"/>
      <c r="F1500" s="678"/>
      <c r="G1500" s="678"/>
      <c r="H1500" s="678"/>
      <c r="I1500" s="678"/>
      <c r="J1500" s="678"/>
      <c r="K1500" s="678"/>
      <c r="L1500" s="678"/>
      <c r="M1500" s="678"/>
      <c r="N1500" s="678"/>
      <c r="O1500" s="678"/>
      <c r="P1500" s="678"/>
      <c r="Q1500" s="678"/>
      <c r="R1500" s="678"/>
      <c r="S1500" s="678"/>
      <c r="T1500" s="678"/>
      <c r="U1500" s="678"/>
      <c r="V1500" s="678"/>
      <c r="W1500" s="678"/>
      <c r="X1500" s="678"/>
      <c r="Y1500" s="679"/>
      <c r="Z1500" s="679"/>
      <c r="AA1500" s="679"/>
      <c r="AB1500" s="680"/>
    </row>
    <row r="1501" spans="2:28" s="780" customFormat="1" hidden="1" x14ac:dyDescent="0.45">
      <c r="B1501" s="1692"/>
      <c r="C1501" s="1697"/>
      <c r="D1501" s="122" t="s">
        <v>327</v>
      </c>
      <c r="E1501" s="678"/>
      <c r="F1501" s="678"/>
      <c r="G1501" s="678"/>
      <c r="H1501" s="678"/>
      <c r="I1501" s="678"/>
      <c r="J1501" s="678"/>
      <c r="K1501" s="678"/>
      <c r="L1501" s="678"/>
      <c r="M1501" s="678"/>
      <c r="N1501" s="678"/>
      <c r="O1501" s="678"/>
      <c r="P1501" s="678"/>
      <c r="Q1501" s="678"/>
      <c r="R1501" s="678"/>
      <c r="S1501" s="678"/>
      <c r="T1501" s="678"/>
      <c r="U1501" s="678"/>
      <c r="V1501" s="678"/>
      <c r="W1501" s="678"/>
      <c r="X1501" s="681"/>
      <c r="Y1501" s="679"/>
      <c r="Z1501" s="679"/>
      <c r="AA1501" s="679"/>
      <c r="AB1501" s="680"/>
    </row>
    <row r="1502" spans="2:28" s="780" customFormat="1" hidden="1" x14ac:dyDescent="0.45">
      <c r="B1502" s="1692"/>
      <c r="C1502" s="1698" t="s">
        <v>331</v>
      </c>
      <c r="D1502" s="125" t="s">
        <v>326</v>
      </c>
      <c r="E1502" s="682"/>
      <c r="F1502" s="682"/>
      <c r="G1502" s="685"/>
      <c r="H1502" s="682"/>
      <c r="I1502" s="682"/>
      <c r="J1502" s="682"/>
      <c r="K1502" s="682"/>
      <c r="L1502" s="682"/>
      <c r="M1502" s="682"/>
      <c r="N1502" s="682"/>
      <c r="O1502" s="682"/>
      <c r="P1502" s="682"/>
      <c r="Q1502" s="682"/>
      <c r="R1502" s="682"/>
      <c r="S1502" s="682"/>
      <c r="T1502" s="682"/>
      <c r="U1502" s="682"/>
      <c r="V1502" s="682"/>
      <c r="W1502" s="682"/>
      <c r="X1502" s="682"/>
      <c r="Y1502" s="683"/>
      <c r="Z1502" s="683"/>
      <c r="AA1502" s="683"/>
      <c r="AB1502" s="684"/>
    </row>
    <row r="1503" spans="2:28" s="780" customFormat="1" hidden="1" x14ac:dyDescent="0.45">
      <c r="B1503" s="1692"/>
      <c r="C1503" s="1695"/>
      <c r="D1503" s="124" t="s">
        <v>327</v>
      </c>
      <c r="E1503" s="675"/>
      <c r="F1503" s="675"/>
      <c r="G1503" s="686"/>
      <c r="H1503" s="675"/>
      <c r="I1503" s="675"/>
      <c r="J1503" s="675"/>
      <c r="K1503" s="675"/>
      <c r="L1503" s="675"/>
      <c r="M1503" s="675"/>
      <c r="N1503" s="675"/>
      <c r="O1503" s="675"/>
      <c r="P1503" s="675"/>
      <c r="Q1503" s="675"/>
      <c r="R1503" s="675"/>
      <c r="S1503" s="675"/>
      <c r="T1503" s="675"/>
      <c r="U1503" s="675"/>
      <c r="V1503" s="675"/>
      <c r="W1503" s="675"/>
      <c r="X1503" s="675"/>
      <c r="Y1503" s="676"/>
      <c r="Z1503" s="676"/>
      <c r="AA1503" s="676"/>
      <c r="AB1503" s="677"/>
    </row>
    <row r="1504" spans="2:28" s="780" customFormat="1" hidden="1" x14ac:dyDescent="0.45">
      <c r="B1504" s="1692"/>
      <c r="C1504" s="1696" t="s">
        <v>332</v>
      </c>
      <c r="D1504" s="122" t="s">
        <v>326</v>
      </c>
      <c r="E1504" s="678"/>
      <c r="F1504" s="678"/>
      <c r="G1504" s="678"/>
      <c r="H1504" s="678"/>
      <c r="I1504" s="678"/>
      <c r="J1504" s="678"/>
      <c r="K1504" s="678"/>
      <c r="L1504" s="678"/>
      <c r="M1504" s="678"/>
      <c r="N1504" s="678"/>
      <c r="O1504" s="678"/>
      <c r="P1504" s="678"/>
      <c r="Q1504" s="678"/>
      <c r="R1504" s="678"/>
      <c r="S1504" s="678"/>
      <c r="T1504" s="678"/>
      <c r="U1504" s="678"/>
      <c r="V1504" s="678"/>
      <c r="W1504" s="679"/>
      <c r="X1504" s="679"/>
      <c r="Y1504" s="679"/>
      <c r="Z1504" s="679"/>
      <c r="AA1504" s="679"/>
      <c r="AB1504" s="680"/>
    </row>
    <row r="1505" spans="2:28" s="780" customFormat="1" hidden="1" x14ac:dyDescent="0.45">
      <c r="B1505" s="1692"/>
      <c r="C1505" s="1697"/>
      <c r="D1505" s="122" t="s">
        <v>327</v>
      </c>
      <c r="E1505" s="678"/>
      <c r="F1505" s="678"/>
      <c r="G1505" s="678"/>
      <c r="H1505" s="678"/>
      <c r="I1505" s="678"/>
      <c r="J1505" s="678"/>
      <c r="K1505" s="678"/>
      <c r="L1505" s="678"/>
      <c r="M1505" s="678"/>
      <c r="N1505" s="678"/>
      <c r="O1505" s="678"/>
      <c r="P1505" s="678"/>
      <c r="Q1505" s="678"/>
      <c r="R1505" s="678"/>
      <c r="S1505" s="678"/>
      <c r="T1505" s="678"/>
      <c r="U1505" s="678"/>
      <c r="V1505" s="678"/>
      <c r="W1505" s="678"/>
      <c r="X1505" s="678"/>
      <c r="Y1505" s="679"/>
      <c r="Z1505" s="679"/>
      <c r="AA1505" s="679"/>
      <c r="AB1505" s="680"/>
    </row>
    <row r="1506" spans="2:28" s="780" customFormat="1" hidden="1" x14ac:dyDescent="0.45">
      <c r="B1506" s="1692"/>
      <c r="C1506" s="1698" t="s">
        <v>333</v>
      </c>
      <c r="D1506" s="124" t="s">
        <v>326</v>
      </c>
      <c r="E1506" s="675"/>
      <c r="F1506" s="675"/>
      <c r="G1506" s="675"/>
      <c r="H1506" s="675"/>
      <c r="I1506" s="675"/>
      <c r="J1506" s="675"/>
      <c r="K1506" s="675"/>
      <c r="L1506" s="675"/>
      <c r="M1506" s="675"/>
      <c r="N1506" s="675"/>
      <c r="O1506" s="675"/>
      <c r="P1506" s="675"/>
      <c r="Q1506" s="675"/>
      <c r="R1506" s="675"/>
      <c r="S1506" s="675"/>
      <c r="T1506" s="675"/>
      <c r="U1506" s="675"/>
      <c r="V1506" s="675"/>
      <c r="W1506" s="676"/>
      <c r="X1506" s="676"/>
      <c r="Y1506" s="676"/>
      <c r="Z1506" s="676"/>
      <c r="AA1506" s="676"/>
      <c r="AB1506" s="677"/>
    </row>
    <row r="1507" spans="2:28" s="780" customFormat="1" hidden="1" x14ac:dyDescent="0.45">
      <c r="B1507" s="1693"/>
      <c r="C1507" s="1699"/>
      <c r="D1507" s="126" t="s">
        <v>327</v>
      </c>
      <c r="E1507" s="687"/>
      <c r="F1507" s="687"/>
      <c r="G1507" s="687"/>
      <c r="H1507" s="687"/>
      <c r="I1507" s="687"/>
      <c r="J1507" s="687"/>
      <c r="K1507" s="687"/>
      <c r="L1507" s="687"/>
      <c r="M1507" s="687"/>
      <c r="N1507" s="687"/>
      <c r="O1507" s="687"/>
      <c r="P1507" s="687"/>
      <c r="Q1507" s="687"/>
      <c r="R1507" s="687"/>
      <c r="S1507" s="687"/>
      <c r="T1507" s="687"/>
      <c r="U1507" s="687"/>
      <c r="V1507" s="687"/>
      <c r="W1507" s="687"/>
      <c r="X1507" s="687"/>
      <c r="Y1507" s="687"/>
      <c r="Z1507" s="687"/>
      <c r="AA1507" s="687"/>
      <c r="AB1507" s="688"/>
    </row>
    <row r="1508" spans="2:28" s="780" customFormat="1" hidden="1" x14ac:dyDescent="0.45"/>
    <row r="1509" spans="2:28" s="780" customFormat="1" hidden="1" x14ac:dyDescent="0.45">
      <c r="B1509" s="1688" t="s">
        <v>54</v>
      </c>
      <c r="C1509" s="1689"/>
      <c r="D1509" s="1690"/>
      <c r="E1509" s="779"/>
      <c r="F1509" s="779"/>
      <c r="G1509" s="779"/>
      <c r="H1509" s="779"/>
      <c r="I1509" s="779"/>
      <c r="J1509" s="779"/>
      <c r="K1509" s="779"/>
      <c r="L1509" s="779"/>
      <c r="M1509" s="779"/>
      <c r="N1509" s="779"/>
      <c r="O1509" s="779"/>
      <c r="P1509" s="779"/>
      <c r="Q1509" s="779"/>
      <c r="R1509" s="779"/>
      <c r="S1509" s="779"/>
      <c r="T1509" s="779"/>
      <c r="U1509" s="779"/>
      <c r="V1509" s="779"/>
      <c r="W1509" s="779"/>
      <c r="X1509" s="779"/>
      <c r="Y1509" s="779"/>
      <c r="Z1509" s="779"/>
      <c r="AA1509" s="779"/>
      <c r="AB1509" s="708"/>
    </row>
    <row r="1510" spans="2:28" s="780" customFormat="1" ht="15" hidden="1" customHeight="1" x14ac:dyDescent="0.45">
      <c r="B1510" s="1691" t="str">
        <f>CONCATENATE("Plan ", INDEX(plans_index,,(ROW(B1510)-6)/16), ": ", INDEX(plans_name,,(ROW(B1510)-6)/16))</f>
        <v xml:space="preserve">Plan 94: </v>
      </c>
      <c r="C1510" s="1694" t="s">
        <v>325</v>
      </c>
      <c r="D1510" s="123" t="s">
        <v>326</v>
      </c>
      <c r="E1510" s="672"/>
      <c r="F1510" s="672"/>
      <c r="G1510" s="672"/>
      <c r="H1510" s="673"/>
      <c r="I1510" s="672"/>
      <c r="J1510" s="672"/>
      <c r="K1510" s="672"/>
      <c r="L1510" s="672"/>
      <c r="M1510" s="672"/>
      <c r="N1510" s="672"/>
      <c r="O1510" s="672"/>
      <c r="P1510" s="672"/>
      <c r="Q1510" s="672"/>
      <c r="R1510" s="672"/>
      <c r="S1510" s="672"/>
      <c r="T1510" s="672"/>
      <c r="U1510" s="672"/>
      <c r="V1510" s="672"/>
      <c r="W1510" s="672"/>
      <c r="X1510" s="672"/>
      <c r="Y1510" s="672"/>
      <c r="Z1510" s="672"/>
      <c r="AA1510" s="672"/>
      <c r="AB1510" s="674"/>
    </row>
    <row r="1511" spans="2:28" s="780" customFormat="1" hidden="1" x14ac:dyDescent="0.45">
      <c r="B1511" s="1692"/>
      <c r="C1511" s="1695"/>
      <c r="D1511" s="124" t="s">
        <v>327</v>
      </c>
      <c r="E1511" s="675"/>
      <c r="F1511" s="675"/>
      <c r="G1511" s="675"/>
      <c r="H1511" s="675"/>
      <c r="I1511" s="675"/>
      <c r="J1511" s="675"/>
      <c r="K1511" s="675"/>
      <c r="L1511" s="675"/>
      <c r="M1511" s="675"/>
      <c r="N1511" s="675"/>
      <c r="O1511" s="675"/>
      <c r="P1511" s="675"/>
      <c r="Q1511" s="675"/>
      <c r="R1511" s="675"/>
      <c r="S1511" s="675"/>
      <c r="T1511" s="675"/>
      <c r="U1511" s="675"/>
      <c r="V1511" s="675"/>
      <c r="W1511" s="675"/>
      <c r="X1511" s="675"/>
      <c r="Y1511" s="676"/>
      <c r="Z1511" s="676"/>
      <c r="AA1511" s="676"/>
      <c r="AB1511" s="677"/>
    </row>
    <row r="1512" spans="2:28" s="780" customFormat="1" hidden="1" x14ac:dyDescent="0.45">
      <c r="B1512" s="1692"/>
      <c r="C1512" s="1696" t="s">
        <v>328</v>
      </c>
      <c r="D1512" s="122" t="s">
        <v>326</v>
      </c>
      <c r="E1512" s="678"/>
      <c r="F1512" s="678"/>
      <c r="G1512" s="678"/>
      <c r="H1512" s="678"/>
      <c r="I1512" s="678"/>
      <c r="J1512" s="678"/>
      <c r="K1512" s="678"/>
      <c r="L1512" s="678"/>
      <c r="M1512" s="678"/>
      <c r="N1512" s="678"/>
      <c r="O1512" s="678"/>
      <c r="P1512" s="678"/>
      <c r="Q1512" s="678"/>
      <c r="R1512" s="678"/>
      <c r="S1512" s="678"/>
      <c r="T1512" s="678"/>
      <c r="U1512" s="678"/>
      <c r="V1512" s="678"/>
      <c r="W1512" s="678"/>
      <c r="X1512" s="678"/>
      <c r="Y1512" s="679"/>
      <c r="Z1512" s="679"/>
      <c r="AA1512" s="679"/>
      <c r="AB1512" s="680"/>
    </row>
    <row r="1513" spans="2:28" s="780" customFormat="1" hidden="1" x14ac:dyDescent="0.45">
      <c r="B1513" s="1692"/>
      <c r="C1513" s="1697"/>
      <c r="D1513" s="122" t="s">
        <v>327</v>
      </c>
      <c r="E1513" s="678"/>
      <c r="F1513" s="678"/>
      <c r="G1513" s="678"/>
      <c r="H1513" s="678"/>
      <c r="I1513" s="678"/>
      <c r="J1513" s="678"/>
      <c r="K1513" s="678"/>
      <c r="L1513" s="678"/>
      <c r="M1513" s="678"/>
      <c r="N1513" s="678"/>
      <c r="O1513" s="678"/>
      <c r="P1513" s="678"/>
      <c r="Q1513" s="678"/>
      <c r="R1513" s="678"/>
      <c r="S1513" s="678"/>
      <c r="T1513" s="678"/>
      <c r="U1513" s="678"/>
      <c r="V1513" s="678"/>
      <c r="W1513" s="678"/>
      <c r="X1513" s="681"/>
      <c r="Y1513" s="679"/>
      <c r="Z1513" s="679"/>
      <c r="AA1513" s="679"/>
      <c r="AB1513" s="680"/>
    </row>
    <row r="1514" spans="2:28" s="780" customFormat="1" hidden="1" x14ac:dyDescent="0.45">
      <c r="B1514" s="1692"/>
      <c r="C1514" s="1698" t="s">
        <v>329</v>
      </c>
      <c r="D1514" s="125" t="s">
        <v>326</v>
      </c>
      <c r="E1514" s="682"/>
      <c r="F1514" s="682"/>
      <c r="G1514" s="682"/>
      <c r="H1514" s="682"/>
      <c r="I1514" s="682"/>
      <c r="J1514" s="682"/>
      <c r="K1514" s="682"/>
      <c r="L1514" s="682"/>
      <c r="M1514" s="682"/>
      <c r="N1514" s="682"/>
      <c r="O1514" s="682"/>
      <c r="P1514" s="682"/>
      <c r="Q1514" s="682"/>
      <c r="R1514" s="682"/>
      <c r="S1514" s="682"/>
      <c r="T1514" s="682"/>
      <c r="U1514" s="682"/>
      <c r="V1514" s="682"/>
      <c r="W1514" s="682"/>
      <c r="X1514" s="682"/>
      <c r="Y1514" s="683"/>
      <c r="Z1514" s="683"/>
      <c r="AA1514" s="683"/>
      <c r="AB1514" s="684"/>
    </row>
    <row r="1515" spans="2:28" s="780" customFormat="1" hidden="1" x14ac:dyDescent="0.45">
      <c r="B1515" s="1692"/>
      <c r="C1515" s="1695"/>
      <c r="D1515" s="124" t="s">
        <v>327</v>
      </c>
      <c r="E1515" s="675"/>
      <c r="F1515" s="675"/>
      <c r="G1515" s="675"/>
      <c r="H1515" s="675"/>
      <c r="I1515" s="675"/>
      <c r="J1515" s="675"/>
      <c r="K1515" s="675"/>
      <c r="L1515" s="675"/>
      <c r="M1515" s="675"/>
      <c r="N1515" s="675"/>
      <c r="O1515" s="675"/>
      <c r="P1515" s="675"/>
      <c r="Q1515" s="675"/>
      <c r="R1515" s="675"/>
      <c r="S1515" s="675"/>
      <c r="T1515" s="675"/>
      <c r="U1515" s="675"/>
      <c r="V1515" s="675"/>
      <c r="W1515" s="675"/>
      <c r="X1515" s="675"/>
      <c r="Y1515" s="676"/>
      <c r="Z1515" s="676"/>
      <c r="AA1515" s="676"/>
      <c r="AB1515" s="677"/>
    </row>
    <row r="1516" spans="2:28" s="780" customFormat="1" hidden="1" x14ac:dyDescent="0.45">
      <c r="B1516" s="1692"/>
      <c r="C1516" s="1696" t="s">
        <v>330</v>
      </c>
      <c r="D1516" s="122" t="s">
        <v>326</v>
      </c>
      <c r="E1516" s="678"/>
      <c r="F1516" s="678"/>
      <c r="G1516" s="678"/>
      <c r="H1516" s="678"/>
      <c r="I1516" s="678"/>
      <c r="J1516" s="678"/>
      <c r="K1516" s="678"/>
      <c r="L1516" s="678"/>
      <c r="M1516" s="678"/>
      <c r="N1516" s="678"/>
      <c r="O1516" s="678"/>
      <c r="P1516" s="678"/>
      <c r="Q1516" s="678"/>
      <c r="R1516" s="678"/>
      <c r="S1516" s="678"/>
      <c r="T1516" s="678"/>
      <c r="U1516" s="678"/>
      <c r="V1516" s="678"/>
      <c r="W1516" s="678"/>
      <c r="X1516" s="678"/>
      <c r="Y1516" s="679"/>
      <c r="Z1516" s="679"/>
      <c r="AA1516" s="679"/>
      <c r="AB1516" s="680"/>
    </row>
    <row r="1517" spans="2:28" s="780" customFormat="1" hidden="1" x14ac:dyDescent="0.45">
      <c r="B1517" s="1692"/>
      <c r="C1517" s="1697"/>
      <c r="D1517" s="122" t="s">
        <v>327</v>
      </c>
      <c r="E1517" s="678"/>
      <c r="F1517" s="678"/>
      <c r="G1517" s="678"/>
      <c r="H1517" s="678"/>
      <c r="I1517" s="678"/>
      <c r="J1517" s="678"/>
      <c r="K1517" s="678"/>
      <c r="L1517" s="678"/>
      <c r="M1517" s="678"/>
      <c r="N1517" s="678"/>
      <c r="O1517" s="678"/>
      <c r="P1517" s="678"/>
      <c r="Q1517" s="678"/>
      <c r="R1517" s="678"/>
      <c r="S1517" s="678"/>
      <c r="T1517" s="678"/>
      <c r="U1517" s="678"/>
      <c r="V1517" s="678"/>
      <c r="W1517" s="678"/>
      <c r="X1517" s="681"/>
      <c r="Y1517" s="679"/>
      <c r="Z1517" s="679"/>
      <c r="AA1517" s="679"/>
      <c r="AB1517" s="680"/>
    </row>
    <row r="1518" spans="2:28" s="780" customFormat="1" hidden="1" x14ac:dyDescent="0.45">
      <c r="B1518" s="1692"/>
      <c r="C1518" s="1698" t="s">
        <v>331</v>
      </c>
      <c r="D1518" s="125" t="s">
        <v>326</v>
      </c>
      <c r="E1518" s="682"/>
      <c r="F1518" s="682"/>
      <c r="G1518" s="685"/>
      <c r="H1518" s="682"/>
      <c r="I1518" s="682"/>
      <c r="J1518" s="682"/>
      <c r="K1518" s="682"/>
      <c r="L1518" s="682"/>
      <c r="M1518" s="682"/>
      <c r="N1518" s="682"/>
      <c r="O1518" s="682"/>
      <c r="P1518" s="682"/>
      <c r="Q1518" s="682"/>
      <c r="R1518" s="682"/>
      <c r="S1518" s="682"/>
      <c r="T1518" s="682"/>
      <c r="U1518" s="682"/>
      <c r="V1518" s="682"/>
      <c r="W1518" s="682"/>
      <c r="X1518" s="682"/>
      <c r="Y1518" s="683"/>
      <c r="Z1518" s="683"/>
      <c r="AA1518" s="683"/>
      <c r="AB1518" s="684"/>
    </row>
    <row r="1519" spans="2:28" s="780" customFormat="1" hidden="1" x14ac:dyDescent="0.45">
      <c r="B1519" s="1692"/>
      <c r="C1519" s="1695"/>
      <c r="D1519" s="124" t="s">
        <v>327</v>
      </c>
      <c r="E1519" s="675"/>
      <c r="F1519" s="675"/>
      <c r="G1519" s="686"/>
      <c r="H1519" s="675"/>
      <c r="I1519" s="675"/>
      <c r="J1519" s="675"/>
      <c r="K1519" s="675"/>
      <c r="L1519" s="675"/>
      <c r="M1519" s="675"/>
      <c r="N1519" s="675"/>
      <c r="O1519" s="675"/>
      <c r="P1519" s="675"/>
      <c r="Q1519" s="675"/>
      <c r="R1519" s="675"/>
      <c r="S1519" s="675"/>
      <c r="T1519" s="675"/>
      <c r="U1519" s="675"/>
      <c r="V1519" s="675"/>
      <c r="W1519" s="675"/>
      <c r="X1519" s="675"/>
      <c r="Y1519" s="676"/>
      <c r="Z1519" s="676"/>
      <c r="AA1519" s="676"/>
      <c r="AB1519" s="677"/>
    </row>
    <row r="1520" spans="2:28" s="780" customFormat="1" hidden="1" x14ac:dyDescent="0.45">
      <c r="B1520" s="1692"/>
      <c r="C1520" s="1696" t="s">
        <v>332</v>
      </c>
      <c r="D1520" s="122" t="s">
        <v>326</v>
      </c>
      <c r="E1520" s="678"/>
      <c r="F1520" s="678"/>
      <c r="G1520" s="678"/>
      <c r="H1520" s="678"/>
      <c r="I1520" s="678"/>
      <c r="J1520" s="678"/>
      <c r="K1520" s="678"/>
      <c r="L1520" s="678"/>
      <c r="M1520" s="678"/>
      <c r="N1520" s="678"/>
      <c r="O1520" s="678"/>
      <c r="P1520" s="678"/>
      <c r="Q1520" s="678"/>
      <c r="R1520" s="678"/>
      <c r="S1520" s="678"/>
      <c r="T1520" s="678"/>
      <c r="U1520" s="678"/>
      <c r="V1520" s="678"/>
      <c r="W1520" s="679"/>
      <c r="X1520" s="679"/>
      <c r="Y1520" s="679"/>
      <c r="Z1520" s="679"/>
      <c r="AA1520" s="679"/>
      <c r="AB1520" s="680"/>
    </row>
    <row r="1521" spans="2:28" s="780" customFormat="1" hidden="1" x14ac:dyDescent="0.45">
      <c r="B1521" s="1692"/>
      <c r="C1521" s="1697"/>
      <c r="D1521" s="122" t="s">
        <v>327</v>
      </c>
      <c r="E1521" s="678"/>
      <c r="F1521" s="678"/>
      <c r="G1521" s="678"/>
      <c r="H1521" s="678"/>
      <c r="I1521" s="678"/>
      <c r="J1521" s="678"/>
      <c r="K1521" s="678"/>
      <c r="L1521" s="678"/>
      <c r="M1521" s="678"/>
      <c r="N1521" s="678"/>
      <c r="O1521" s="678"/>
      <c r="P1521" s="678"/>
      <c r="Q1521" s="678"/>
      <c r="R1521" s="678"/>
      <c r="S1521" s="678"/>
      <c r="T1521" s="678"/>
      <c r="U1521" s="678"/>
      <c r="V1521" s="678"/>
      <c r="W1521" s="678"/>
      <c r="X1521" s="678"/>
      <c r="Y1521" s="679"/>
      <c r="Z1521" s="679"/>
      <c r="AA1521" s="679"/>
      <c r="AB1521" s="680"/>
    </row>
    <row r="1522" spans="2:28" s="780" customFormat="1" hidden="1" x14ac:dyDescent="0.45">
      <c r="B1522" s="1692"/>
      <c r="C1522" s="1698" t="s">
        <v>333</v>
      </c>
      <c r="D1522" s="124" t="s">
        <v>326</v>
      </c>
      <c r="E1522" s="675"/>
      <c r="F1522" s="675"/>
      <c r="G1522" s="675"/>
      <c r="H1522" s="675"/>
      <c r="I1522" s="675"/>
      <c r="J1522" s="675"/>
      <c r="K1522" s="675"/>
      <c r="L1522" s="675"/>
      <c r="M1522" s="675"/>
      <c r="N1522" s="675"/>
      <c r="O1522" s="675"/>
      <c r="P1522" s="675"/>
      <c r="Q1522" s="675"/>
      <c r="R1522" s="675"/>
      <c r="S1522" s="675"/>
      <c r="T1522" s="675"/>
      <c r="U1522" s="675"/>
      <c r="V1522" s="675"/>
      <c r="W1522" s="676"/>
      <c r="X1522" s="676"/>
      <c r="Y1522" s="676"/>
      <c r="Z1522" s="676"/>
      <c r="AA1522" s="676"/>
      <c r="AB1522" s="677"/>
    </row>
    <row r="1523" spans="2:28" s="780" customFormat="1" hidden="1" x14ac:dyDescent="0.45">
      <c r="B1523" s="1693"/>
      <c r="C1523" s="1699"/>
      <c r="D1523" s="126" t="s">
        <v>327</v>
      </c>
      <c r="E1523" s="687"/>
      <c r="F1523" s="687"/>
      <c r="G1523" s="687"/>
      <c r="H1523" s="687"/>
      <c r="I1523" s="687"/>
      <c r="J1523" s="687"/>
      <c r="K1523" s="687"/>
      <c r="L1523" s="687"/>
      <c r="M1523" s="687"/>
      <c r="N1523" s="687"/>
      <c r="O1523" s="687"/>
      <c r="P1523" s="687"/>
      <c r="Q1523" s="687"/>
      <c r="R1523" s="687"/>
      <c r="S1523" s="687"/>
      <c r="T1523" s="687"/>
      <c r="U1523" s="687"/>
      <c r="V1523" s="687"/>
      <c r="W1523" s="687"/>
      <c r="X1523" s="687"/>
      <c r="Y1523" s="687"/>
      <c r="Z1523" s="687"/>
      <c r="AA1523" s="687"/>
      <c r="AB1523" s="688"/>
    </row>
    <row r="1524" spans="2:28" s="780" customFormat="1" hidden="1" x14ac:dyDescent="0.45"/>
    <row r="1525" spans="2:28" s="780" customFormat="1" hidden="1" x14ac:dyDescent="0.45">
      <c r="B1525" s="1688" t="s">
        <v>54</v>
      </c>
      <c r="C1525" s="1689"/>
      <c r="D1525" s="1690"/>
      <c r="E1525" s="779"/>
      <c r="F1525" s="779"/>
      <c r="G1525" s="779"/>
      <c r="H1525" s="779"/>
      <c r="I1525" s="779"/>
      <c r="J1525" s="779"/>
      <c r="K1525" s="779"/>
      <c r="L1525" s="779"/>
      <c r="M1525" s="779"/>
      <c r="N1525" s="779"/>
      <c r="O1525" s="779"/>
      <c r="P1525" s="779"/>
      <c r="Q1525" s="779"/>
      <c r="R1525" s="779"/>
      <c r="S1525" s="779"/>
      <c r="T1525" s="779"/>
      <c r="U1525" s="779"/>
      <c r="V1525" s="779"/>
      <c r="W1525" s="779"/>
      <c r="X1525" s="779"/>
      <c r="Y1525" s="779"/>
      <c r="Z1525" s="779"/>
      <c r="AA1525" s="779"/>
      <c r="AB1525" s="708"/>
    </row>
    <row r="1526" spans="2:28" s="780" customFormat="1" ht="15" hidden="1" customHeight="1" x14ac:dyDescent="0.45">
      <c r="B1526" s="1691" t="str">
        <f>CONCATENATE("Plan ", INDEX(plans_index,,(ROW(B1526)-6)/16), ": ", INDEX(plans_name,,(ROW(B1526)-6)/16))</f>
        <v xml:space="preserve">Plan 95: </v>
      </c>
      <c r="C1526" s="1694" t="s">
        <v>325</v>
      </c>
      <c r="D1526" s="123" t="s">
        <v>326</v>
      </c>
      <c r="E1526" s="672"/>
      <c r="F1526" s="672"/>
      <c r="G1526" s="672"/>
      <c r="H1526" s="673"/>
      <c r="I1526" s="672"/>
      <c r="J1526" s="672"/>
      <c r="K1526" s="672"/>
      <c r="L1526" s="672"/>
      <c r="M1526" s="672"/>
      <c r="N1526" s="672"/>
      <c r="O1526" s="672"/>
      <c r="P1526" s="672"/>
      <c r="Q1526" s="672"/>
      <c r="R1526" s="672"/>
      <c r="S1526" s="672"/>
      <c r="T1526" s="672"/>
      <c r="U1526" s="672"/>
      <c r="V1526" s="672"/>
      <c r="W1526" s="672"/>
      <c r="X1526" s="672"/>
      <c r="Y1526" s="672"/>
      <c r="Z1526" s="672"/>
      <c r="AA1526" s="672"/>
      <c r="AB1526" s="674"/>
    </row>
    <row r="1527" spans="2:28" s="780" customFormat="1" hidden="1" x14ac:dyDescent="0.45">
      <c r="B1527" s="1692"/>
      <c r="C1527" s="1695"/>
      <c r="D1527" s="124" t="s">
        <v>327</v>
      </c>
      <c r="E1527" s="675"/>
      <c r="F1527" s="675"/>
      <c r="G1527" s="675"/>
      <c r="H1527" s="675"/>
      <c r="I1527" s="675"/>
      <c r="J1527" s="675"/>
      <c r="K1527" s="675"/>
      <c r="L1527" s="675"/>
      <c r="M1527" s="675"/>
      <c r="N1527" s="675"/>
      <c r="O1527" s="675"/>
      <c r="P1527" s="675"/>
      <c r="Q1527" s="675"/>
      <c r="R1527" s="675"/>
      <c r="S1527" s="675"/>
      <c r="T1527" s="675"/>
      <c r="U1527" s="675"/>
      <c r="V1527" s="675"/>
      <c r="W1527" s="675"/>
      <c r="X1527" s="675"/>
      <c r="Y1527" s="676"/>
      <c r="Z1527" s="676"/>
      <c r="AA1527" s="676"/>
      <c r="AB1527" s="677"/>
    </row>
    <row r="1528" spans="2:28" s="780" customFormat="1" hidden="1" x14ac:dyDescent="0.45">
      <c r="B1528" s="1692"/>
      <c r="C1528" s="1696" t="s">
        <v>328</v>
      </c>
      <c r="D1528" s="122" t="s">
        <v>326</v>
      </c>
      <c r="E1528" s="678"/>
      <c r="F1528" s="678"/>
      <c r="G1528" s="678"/>
      <c r="H1528" s="678"/>
      <c r="I1528" s="678"/>
      <c r="J1528" s="678"/>
      <c r="K1528" s="678"/>
      <c r="L1528" s="678"/>
      <c r="M1528" s="678"/>
      <c r="N1528" s="678"/>
      <c r="O1528" s="678"/>
      <c r="P1528" s="678"/>
      <c r="Q1528" s="678"/>
      <c r="R1528" s="678"/>
      <c r="S1528" s="678"/>
      <c r="T1528" s="678"/>
      <c r="U1528" s="678"/>
      <c r="V1528" s="678"/>
      <c r="W1528" s="678"/>
      <c r="X1528" s="678"/>
      <c r="Y1528" s="679"/>
      <c r="Z1528" s="679"/>
      <c r="AA1528" s="679"/>
      <c r="AB1528" s="680"/>
    </row>
    <row r="1529" spans="2:28" s="780" customFormat="1" hidden="1" x14ac:dyDescent="0.45">
      <c r="B1529" s="1692"/>
      <c r="C1529" s="1697"/>
      <c r="D1529" s="122" t="s">
        <v>327</v>
      </c>
      <c r="E1529" s="678"/>
      <c r="F1529" s="678"/>
      <c r="G1529" s="678"/>
      <c r="H1529" s="678"/>
      <c r="I1529" s="678"/>
      <c r="J1529" s="678"/>
      <c r="K1529" s="678"/>
      <c r="L1529" s="678"/>
      <c r="M1529" s="678"/>
      <c r="N1529" s="678"/>
      <c r="O1529" s="678"/>
      <c r="P1529" s="678"/>
      <c r="Q1529" s="678"/>
      <c r="R1529" s="678"/>
      <c r="S1529" s="678"/>
      <c r="T1529" s="678"/>
      <c r="U1529" s="678"/>
      <c r="V1529" s="678"/>
      <c r="W1529" s="678"/>
      <c r="X1529" s="681"/>
      <c r="Y1529" s="679"/>
      <c r="Z1529" s="679"/>
      <c r="AA1529" s="679"/>
      <c r="AB1529" s="680"/>
    </row>
    <row r="1530" spans="2:28" s="780" customFormat="1" hidden="1" x14ac:dyDescent="0.45">
      <c r="B1530" s="1692"/>
      <c r="C1530" s="1698" t="s">
        <v>329</v>
      </c>
      <c r="D1530" s="125" t="s">
        <v>326</v>
      </c>
      <c r="E1530" s="682"/>
      <c r="F1530" s="682"/>
      <c r="G1530" s="682"/>
      <c r="H1530" s="682"/>
      <c r="I1530" s="682"/>
      <c r="J1530" s="682"/>
      <c r="K1530" s="682"/>
      <c r="L1530" s="682"/>
      <c r="M1530" s="682"/>
      <c r="N1530" s="682"/>
      <c r="O1530" s="682"/>
      <c r="P1530" s="682"/>
      <c r="Q1530" s="682"/>
      <c r="R1530" s="682"/>
      <c r="S1530" s="682"/>
      <c r="T1530" s="682"/>
      <c r="U1530" s="682"/>
      <c r="V1530" s="682"/>
      <c r="W1530" s="682"/>
      <c r="X1530" s="682"/>
      <c r="Y1530" s="683"/>
      <c r="Z1530" s="683"/>
      <c r="AA1530" s="683"/>
      <c r="AB1530" s="684"/>
    </row>
    <row r="1531" spans="2:28" s="780" customFormat="1" hidden="1" x14ac:dyDescent="0.45">
      <c r="B1531" s="1692"/>
      <c r="C1531" s="1695"/>
      <c r="D1531" s="124" t="s">
        <v>327</v>
      </c>
      <c r="E1531" s="675"/>
      <c r="F1531" s="675"/>
      <c r="G1531" s="675"/>
      <c r="H1531" s="675"/>
      <c r="I1531" s="675"/>
      <c r="J1531" s="675"/>
      <c r="K1531" s="675"/>
      <c r="L1531" s="675"/>
      <c r="M1531" s="675"/>
      <c r="N1531" s="675"/>
      <c r="O1531" s="675"/>
      <c r="P1531" s="675"/>
      <c r="Q1531" s="675"/>
      <c r="R1531" s="675"/>
      <c r="S1531" s="675"/>
      <c r="T1531" s="675"/>
      <c r="U1531" s="675"/>
      <c r="V1531" s="675"/>
      <c r="W1531" s="675"/>
      <c r="X1531" s="675"/>
      <c r="Y1531" s="676"/>
      <c r="Z1531" s="676"/>
      <c r="AA1531" s="676"/>
      <c r="AB1531" s="677"/>
    </row>
    <row r="1532" spans="2:28" s="780" customFormat="1" hidden="1" x14ac:dyDescent="0.45">
      <c r="B1532" s="1692"/>
      <c r="C1532" s="1696" t="s">
        <v>330</v>
      </c>
      <c r="D1532" s="122" t="s">
        <v>326</v>
      </c>
      <c r="E1532" s="678"/>
      <c r="F1532" s="678"/>
      <c r="G1532" s="678"/>
      <c r="H1532" s="678"/>
      <c r="I1532" s="678"/>
      <c r="J1532" s="678"/>
      <c r="K1532" s="678"/>
      <c r="L1532" s="678"/>
      <c r="M1532" s="678"/>
      <c r="N1532" s="678"/>
      <c r="O1532" s="678"/>
      <c r="P1532" s="678"/>
      <c r="Q1532" s="678"/>
      <c r="R1532" s="678"/>
      <c r="S1532" s="678"/>
      <c r="T1532" s="678"/>
      <c r="U1532" s="678"/>
      <c r="V1532" s="678"/>
      <c r="W1532" s="678"/>
      <c r="X1532" s="678"/>
      <c r="Y1532" s="679"/>
      <c r="Z1532" s="679"/>
      <c r="AA1532" s="679"/>
      <c r="AB1532" s="680"/>
    </row>
    <row r="1533" spans="2:28" s="780" customFormat="1" hidden="1" x14ac:dyDescent="0.45">
      <c r="B1533" s="1692"/>
      <c r="C1533" s="1697"/>
      <c r="D1533" s="122" t="s">
        <v>327</v>
      </c>
      <c r="E1533" s="678"/>
      <c r="F1533" s="678"/>
      <c r="G1533" s="678"/>
      <c r="H1533" s="678"/>
      <c r="I1533" s="678"/>
      <c r="J1533" s="678"/>
      <c r="K1533" s="678"/>
      <c r="L1533" s="678"/>
      <c r="M1533" s="678"/>
      <c r="N1533" s="678"/>
      <c r="O1533" s="678"/>
      <c r="P1533" s="678"/>
      <c r="Q1533" s="678"/>
      <c r="R1533" s="678"/>
      <c r="S1533" s="678"/>
      <c r="T1533" s="678"/>
      <c r="U1533" s="678"/>
      <c r="V1533" s="678"/>
      <c r="W1533" s="678"/>
      <c r="X1533" s="681"/>
      <c r="Y1533" s="679"/>
      <c r="Z1533" s="679"/>
      <c r="AA1533" s="679"/>
      <c r="AB1533" s="680"/>
    </row>
    <row r="1534" spans="2:28" s="780" customFormat="1" hidden="1" x14ac:dyDescent="0.45">
      <c r="B1534" s="1692"/>
      <c r="C1534" s="1698" t="s">
        <v>331</v>
      </c>
      <c r="D1534" s="125" t="s">
        <v>326</v>
      </c>
      <c r="E1534" s="682"/>
      <c r="F1534" s="682"/>
      <c r="G1534" s="685"/>
      <c r="H1534" s="682"/>
      <c r="I1534" s="682"/>
      <c r="J1534" s="682"/>
      <c r="K1534" s="682"/>
      <c r="L1534" s="682"/>
      <c r="M1534" s="682"/>
      <c r="N1534" s="682"/>
      <c r="O1534" s="682"/>
      <c r="P1534" s="682"/>
      <c r="Q1534" s="682"/>
      <c r="R1534" s="682"/>
      <c r="S1534" s="682"/>
      <c r="T1534" s="682"/>
      <c r="U1534" s="682"/>
      <c r="V1534" s="682"/>
      <c r="W1534" s="682"/>
      <c r="X1534" s="682"/>
      <c r="Y1534" s="683"/>
      <c r="Z1534" s="683"/>
      <c r="AA1534" s="683"/>
      <c r="AB1534" s="684"/>
    </row>
    <row r="1535" spans="2:28" s="780" customFormat="1" hidden="1" x14ac:dyDescent="0.45">
      <c r="B1535" s="1692"/>
      <c r="C1535" s="1695"/>
      <c r="D1535" s="124" t="s">
        <v>327</v>
      </c>
      <c r="E1535" s="675"/>
      <c r="F1535" s="675"/>
      <c r="G1535" s="686"/>
      <c r="H1535" s="675"/>
      <c r="I1535" s="675"/>
      <c r="J1535" s="675"/>
      <c r="K1535" s="675"/>
      <c r="L1535" s="675"/>
      <c r="M1535" s="675"/>
      <c r="N1535" s="675"/>
      <c r="O1535" s="675"/>
      <c r="P1535" s="675"/>
      <c r="Q1535" s="675"/>
      <c r="R1535" s="675"/>
      <c r="S1535" s="675"/>
      <c r="T1535" s="675"/>
      <c r="U1535" s="675"/>
      <c r="V1535" s="675"/>
      <c r="W1535" s="675"/>
      <c r="X1535" s="675"/>
      <c r="Y1535" s="676"/>
      <c r="Z1535" s="676"/>
      <c r="AA1535" s="676"/>
      <c r="AB1535" s="677"/>
    </row>
    <row r="1536" spans="2:28" s="780" customFormat="1" hidden="1" x14ac:dyDescent="0.45">
      <c r="B1536" s="1692"/>
      <c r="C1536" s="1696" t="s">
        <v>332</v>
      </c>
      <c r="D1536" s="122" t="s">
        <v>326</v>
      </c>
      <c r="E1536" s="678"/>
      <c r="F1536" s="678"/>
      <c r="G1536" s="678"/>
      <c r="H1536" s="678"/>
      <c r="I1536" s="678"/>
      <c r="J1536" s="678"/>
      <c r="K1536" s="678"/>
      <c r="L1536" s="678"/>
      <c r="M1536" s="678"/>
      <c r="N1536" s="678"/>
      <c r="O1536" s="678"/>
      <c r="P1536" s="678"/>
      <c r="Q1536" s="678"/>
      <c r="R1536" s="678"/>
      <c r="S1536" s="678"/>
      <c r="T1536" s="678"/>
      <c r="U1536" s="678"/>
      <c r="V1536" s="678"/>
      <c r="W1536" s="679"/>
      <c r="X1536" s="679"/>
      <c r="Y1536" s="679"/>
      <c r="Z1536" s="679"/>
      <c r="AA1536" s="679"/>
      <c r="AB1536" s="680"/>
    </row>
    <row r="1537" spans="2:28" s="780" customFormat="1" hidden="1" x14ac:dyDescent="0.45">
      <c r="B1537" s="1692"/>
      <c r="C1537" s="1697"/>
      <c r="D1537" s="122" t="s">
        <v>327</v>
      </c>
      <c r="E1537" s="678"/>
      <c r="F1537" s="678"/>
      <c r="G1537" s="678"/>
      <c r="H1537" s="678"/>
      <c r="I1537" s="678"/>
      <c r="J1537" s="678"/>
      <c r="K1537" s="678"/>
      <c r="L1537" s="678"/>
      <c r="M1537" s="678"/>
      <c r="N1537" s="678"/>
      <c r="O1537" s="678"/>
      <c r="P1537" s="678"/>
      <c r="Q1537" s="678"/>
      <c r="R1537" s="678"/>
      <c r="S1537" s="678"/>
      <c r="T1537" s="678"/>
      <c r="U1537" s="678"/>
      <c r="V1537" s="678"/>
      <c r="W1537" s="678"/>
      <c r="X1537" s="678"/>
      <c r="Y1537" s="679"/>
      <c r="Z1537" s="679"/>
      <c r="AA1537" s="679"/>
      <c r="AB1537" s="680"/>
    </row>
    <row r="1538" spans="2:28" s="780" customFormat="1" hidden="1" x14ac:dyDescent="0.45">
      <c r="B1538" s="1692"/>
      <c r="C1538" s="1698" t="s">
        <v>333</v>
      </c>
      <c r="D1538" s="124" t="s">
        <v>326</v>
      </c>
      <c r="E1538" s="675"/>
      <c r="F1538" s="675"/>
      <c r="G1538" s="675"/>
      <c r="H1538" s="675"/>
      <c r="I1538" s="675"/>
      <c r="J1538" s="675"/>
      <c r="K1538" s="675"/>
      <c r="L1538" s="675"/>
      <c r="M1538" s="675"/>
      <c r="N1538" s="675"/>
      <c r="O1538" s="675"/>
      <c r="P1538" s="675"/>
      <c r="Q1538" s="675"/>
      <c r="R1538" s="675"/>
      <c r="S1538" s="675"/>
      <c r="T1538" s="675"/>
      <c r="U1538" s="675"/>
      <c r="V1538" s="675"/>
      <c r="W1538" s="676"/>
      <c r="X1538" s="676"/>
      <c r="Y1538" s="676"/>
      <c r="Z1538" s="676"/>
      <c r="AA1538" s="676"/>
      <c r="AB1538" s="677"/>
    </row>
    <row r="1539" spans="2:28" s="780" customFormat="1" hidden="1" x14ac:dyDescent="0.45">
      <c r="B1539" s="1693"/>
      <c r="C1539" s="1699"/>
      <c r="D1539" s="126" t="s">
        <v>327</v>
      </c>
      <c r="E1539" s="687"/>
      <c r="F1539" s="687"/>
      <c r="G1539" s="687"/>
      <c r="H1539" s="687"/>
      <c r="I1539" s="687"/>
      <c r="J1539" s="687"/>
      <c r="K1539" s="687"/>
      <c r="L1539" s="687"/>
      <c r="M1539" s="687"/>
      <c r="N1539" s="687"/>
      <c r="O1539" s="687"/>
      <c r="P1539" s="687"/>
      <c r="Q1539" s="687"/>
      <c r="R1539" s="687"/>
      <c r="S1539" s="687"/>
      <c r="T1539" s="687"/>
      <c r="U1539" s="687"/>
      <c r="V1539" s="687"/>
      <c r="W1539" s="687"/>
      <c r="X1539" s="687"/>
      <c r="Y1539" s="687"/>
      <c r="Z1539" s="687"/>
      <c r="AA1539" s="687"/>
      <c r="AB1539" s="688"/>
    </row>
    <row r="1540" spans="2:28" s="780" customFormat="1" hidden="1" x14ac:dyDescent="0.45"/>
    <row r="1541" spans="2:28" s="780" customFormat="1" hidden="1" x14ac:dyDescent="0.45">
      <c r="B1541" s="1688" t="s">
        <v>54</v>
      </c>
      <c r="C1541" s="1689"/>
      <c r="D1541" s="1690"/>
      <c r="E1541" s="779"/>
      <c r="F1541" s="779"/>
      <c r="G1541" s="779"/>
      <c r="H1541" s="779"/>
      <c r="I1541" s="779"/>
      <c r="J1541" s="779"/>
      <c r="K1541" s="779"/>
      <c r="L1541" s="779"/>
      <c r="M1541" s="779"/>
      <c r="N1541" s="779"/>
      <c r="O1541" s="779"/>
      <c r="P1541" s="779"/>
      <c r="Q1541" s="779"/>
      <c r="R1541" s="779"/>
      <c r="S1541" s="779"/>
      <c r="T1541" s="779"/>
      <c r="U1541" s="779"/>
      <c r="V1541" s="779"/>
      <c r="W1541" s="779"/>
      <c r="X1541" s="779"/>
      <c r="Y1541" s="779"/>
      <c r="Z1541" s="779"/>
      <c r="AA1541" s="779"/>
      <c r="AB1541" s="708"/>
    </row>
    <row r="1542" spans="2:28" s="780" customFormat="1" ht="15" hidden="1" customHeight="1" x14ac:dyDescent="0.45">
      <c r="B1542" s="1691" t="str">
        <f>CONCATENATE("Plan ", INDEX(plans_index,,(ROW(B1542)-6)/16), ": ", INDEX(plans_name,,(ROW(B1542)-6)/16))</f>
        <v xml:space="preserve">Plan 96: </v>
      </c>
      <c r="C1542" s="1694" t="s">
        <v>325</v>
      </c>
      <c r="D1542" s="123" t="s">
        <v>326</v>
      </c>
      <c r="E1542" s="672"/>
      <c r="F1542" s="672"/>
      <c r="G1542" s="672"/>
      <c r="H1542" s="673"/>
      <c r="I1542" s="672"/>
      <c r="J1542" s="672"/>
      <c r="K1542" s="672"/>
      <c r="L1542" s="672"/>
      <c r="M1542" s="672"/>
      <c r="N1542" s="672"/>
      <c r="O1542" s="672"/>
      <c r="P1542" s="672"/>
      <c r="Q1542" s="672"/>
      <c r="R1542" s="672"/>
      <c r="S1542" s="672"/>
      <c r="T1542" s="672"/>
      <c r="U1542" s="672"/>
      <c r="V1542" s="672"/>
      <c r="W1542" s="672"/>
      <c r="X1542" s="672"/>
      <c r="Y1542" s="672"/>
      <c r="Z1542" s="672"/>
      <c r="AA1542" s="672"/>
      <c r="AB1542" s="674"/>
    </row>
    <row r="1543" spans="2:28" s="780" customFormat="1" hidden="1" x14ac:dyDescent="0.45">
      <c r="B1543" s="1692"/>
      <c r="C1543" s="1695"/>
      <c r="D1543" s="124" t="s">
        <v>327</v>
      </c>
      <c r="E1543" s="675"/>
      <c r="F1543" s="675"/>
      <c r="G1543" s="675"/>
      <c r="H1543" s="675"/>
      <c r="I1543" s="675"/>
      <c r="J1543" s="675"/>
      <c r="K1543" s="675"/>
      <c r="L1543" s="675"/>
      <c r="M1543" s="675"/>
      <c r="N1543" s="675"/>
      <c r="O1543" s="675"/>
      <c r="P1543" s="675"/>
      <c r="Q1543" s="675"/>
      <c r="R1543" s="675"/>
      <c r="S1543" s="675"/>
      <c r="T1543" s="675"/>
      <c r="U1543" s="675"/>
      <c r="V1543" s="675"/>
      <c r="W1543" s="675"/>
      <c r="X1543" s="675"/>
      <c r="Y1543" s="676"/>
      <c r="Z1543" s="676"/>
      <c r="AA1543" s="676"/>
      <c r="AB1543" s="677"/>
    </row>
    <row r="1544" spans="2:28" s="780" customFormat="1" hidden="1" x14ac:dyDescent="0.45">
      <c r="B1544" s="1692"/>
      <c r="C1544" s="1696" t="s">
        <v>328</v>
      </c>
      <c r="D1544" s="122" t="s">
        <v>326</v>
      </c>
      <c r="E1544" s="678"/>
      <c r="F1544" s="678"/>
      <c r="G1544" s="678"/>
      <c r="H1544" s="678"/>
      <c r="I1544" s="678"/>
      <c r="J1544" s="678"/>
      <c r="K1544" s="678"/>
      <c r="L1544" s="678"/>
      <c r="M1544" s="678"/>
      <c r="N1544" s="678"/>
      <c r="O1544" s="678"/>
      <c r="P1544" s="678"/>
      <c r="Q1544" s="678"/>
      <c r="R1544" s="678"/>
      <c r="S1544" s="678"/>
      <c r="T1544" s="678"/>
      <c r="U1544" s="678"/>
      <c r="V1544" s="678"/>
      <c r="W1544" s="678"/>
      <c r="X1544" s="678"/>
      <c r="Y1544" s="679"/>
      <c r="Z1544" s="679"/>
      <c r="AA1544" s="679"/>
      <c r="AB1544" s="680"/>
    </row>
    <row r="1545" spans="2:28" s="780" customFormat="1" hidden="1" x14ac:dyDescent="0.45">
      <c r="B1545" s="1692"/>
      <c r="C1545" s="1697"/>
      <c r="D1545" s="122" t="s">
        <v>327</v>
      </c>
      <c r="E1545" s="678"/>
      <c r="F1545" s="678"/>
      <c r="G1545" s="678"/>
      <c r="H1545" s="678"/>
      <c r="I1545" s="678"/>
      <c r="J1545" s="678"/>
      <c r="K1545" s="678"/>
      <c r="L1545" s="678"/>
      <c r="M1545" s="678"/>
      <c r="N1545" s="678"/>
      <c r="O1545" s="678"/>
      <c r="P1545" s="678"/>
      <c r="Q1545" s="678"/>
      <c r="R1545" s="678"/>
      <c r="S1545" s="678"/>
      <c r="T1545" s="678"/>
      <c r="U1545" s="678"/>
      <c r="V1545" s="678"/>
      <c r="W1545" s="678"/>
      <c r="X1545" s="681"/>
      <c r="Y1545" s="679"/>
      <c r="Z1545" s="679"/>
      <c r="AA1545" s="679"/>
      <c r="AB1545" s="680"/>
    </row>
    <row r="1546" spans="2:28" s="780" customFormat="1" hidden="1" x14ac:dyDescent="0.45">
      <c r="B1546" s="1692"/>
      <c r="C1546" s="1698" t="s">
        <v>329</v>
      </c>
      <c r="D1546" s="125" t="s">
        <v>326</v>
      </c>
      <c r="E1546" s="682"/>
      <c r="F1546" s="682"/>
      <c r="G1546" s="682"/>
      <c r="H1546" s="682"/>
      <c r="I1546" s="682"/>
      <c r="J1546" s="682"/>
      <c r="K1546" s="682"/>
      <c r="L1546" s="682"/>
      <c r="M1546" s="682"/>
      <c r="N1546" s="682"/>
      <c r="O1546" s="682"/>
      <c r="P1546" s="682"/>
      <c r="Q1546" s="682"/>
      <c r="R1546" s="682"/>
      <c r="S1546" s="682"/>
      <c r="T1546" s="682"/>
      <c r="U1546" s="682"/>
      <c r="V1546" s="682"/>
      <c r="W1546" s="682"/>
      <c r="X1546" s="682"/>
      <c r="Y1546" s="683"/>
      <c r="Z1546" s="683"/>
      <c r="AA1546" s="683"/>
      <c r="AB1546" s="684"/>
    </row>
    <row r="1547" spans="2:28" s="780" customFormat="1" hidden="1" x14ac:dyDescent="0.45">
      <c r="B1547" s="1692"/>
      <c r="C1547" s="1695"/>
      <c r="D1547" s="124" t="s">
        <v>327</v>
      </c>
      <c r="E1547" s="675"/>
      <c r="F1547" s="675"/>
      <c r="G1547" s="675"/>
      <c r="H1547" s="675"/>
      <c r="I1547" s="675"/>
      <c r="J1547" s="675"/>
      <c r="K1547" s="675"/>
      <c r="L1547" s="675"/>
      <c r="M1547" s="675"/>
      <c r="N1547" s="675"/>
      <c r="O1547" s="675"/>
      <c r="P1547" s="675"/>
      <c r="Q1547" s="675"/>
      <c r="R1547" s="675"/>
      <c r="S1547" s="675"/>
      <c r="T1547" s="675"/>
      <c r="U1547" s="675"/>
      <c r="V1547" s="675"/>
      <c r="W1547" s="675"/>
      <c r="X1547" s="675"/>
      <c r="Y1547" s="676"/>
      <c r="Z1547" s="676"/>
      <c r="AA1547" s="676"/>
      <c r="AB1547" s="677"/>
    </row>
    <row r="1548" spans="2:28" s="780" customFormat="1" hidden="1" x14ac:dyDescent="0.45">
      <c r="B1548" s="1692"/>
      <c r="C1548" s="1696" t="s">
        <v>330</v>
      </c>
      <c r="D1548" s="122" t="s">
        <v>326</v>
      </c>
      <c r="E1548" s="678"/>
      <c r="F1548" s="678"/>
      <c r="G1548" s="678"/>
      <c r="H1548" s="678"/>
      <c r="I1548" s="678"/>
      <c r="J1548" s="678"/>
      <c r="K1548" s="678"/>
      <c r="L1548" s="678"/>
      <c r="M1548" s="678"/>
      <c r="N1548" s="678"/>
      <c r="O1548" s="678"/>
      <c r="P1548" s="678"/>
      <c r="Q1548" s="678"/>
      <c r="R1548" s="678"/>
      <c r="S1548" s="678"/>
      <c r="T1548" s="678"/>
      <c r="U1548" s="678"/>
      <c r="V1548" s="678"/>
      <c r="W1548" s="678"/>
      <c r="X1548" s="678"/>
      <c r="Y1548" s="679"/>
      <c r="Z1548" s="679"/>
      <c r="AA1548" s="679"/>
      <c r="AB1548" s="680"/>
    </row>
    <row r="1549" spans="2:28" s="780" customFormat="1" hidden="1" x14ac:dyDescent="0.45">
      <c r="B1549" s="1692"/>
      <c r="C1549" s="1697"/>
      <c r="D1549" s="122" t="s">
        <v>327</v>
      </c>
      <c r="E1549" s="678"/>
      <c r="F1549" s="678"/>
      <c r="G1549" s="678"/>
      <c r="H1549" s="678"/>
      <c r="I1549" s="678"/>
      <c r="J1549" s="678"/>
      <c r="K1549" s="678"/>
      <c r="L1549" s="678"/>
      <c r="M1549" s="678"/>
      <c r="N1549" s="678"/>
      <c r="O1549" s="678"/>
      <c r="P1549" s="678"/>
      <c r="Q1549" s="678"/>
      <c r="R1549" s="678"/>
      <c r="S1549" s="678"/>
      <c r="T1549" s="678"/>
      <c r="U1549" s="678"/>
      <c r="V1549" s="678"/>
      <c r="W1549" s="678"/>
      <c r="X1549" s="681"/>
      <c r="Y1549" s="679"/>
      <c r="Z1549" s="679"/>
      <c r="AA1549" s="679"/>
      <c r="AB1549" s="680"/>
    </row>
    <row r="1550" spans="2:28" s="780" customFormat="1" hidden="1" x14ac:dyDescent="0.45">
      <c r="B1550" s="1692"/>
      <c r="C1550" s="1698" t="s">
        <v>331</v>
      </c>
      <c r="D1550" s="125" t="s">
        <v>326</v>
      </c>
      <c r="E1550" s="682"/>
      <c r="F1550" s="682"/>
      <c r="G1550" s="685"/>
      <c r="H1550" s="682"/>
      <c r="I1550" s="682"/>
      <c r="J1550" s="682"/>
      <c r="K1550" s="682"/>
      <c r="L1550" s="682"/>
      <c r="M1550" s="682"/>
      <c r="N1550" s="682"/>
      <c r="O1550" s="682"/>
      <c r="P1550" s="682"/>
      <c r="Q1550" s="682"/>
      <c r="R1550" s="682"/>
      <c r="S1550" s="682"/>
      <c r="T1550" s="682"/>
      <c r="U1550" s="682"/>
      <c r="V1550" s="682"/>
      <c r="W1550" s="682"/>
      <c r="X1550" s="682"/>
      <c r="Y1550" s="683"/>
      <c r="Z1550" s="683"/>
      <c r="AA1550" s="683"/>
      <c r="AB1550" s="684"/>
    </row>
    <row r="1551" spans="2:28" s="780" customFormat="1" hidden="1" x14ac:dyDescent="0.45">
      <c r="B1551" s="1692"/>
      <c r="C1551" s="1695"/>
      <c r="D1551" s="124" t="s">
        <v>327</v>
      </c>
      <c r="E1551" s="675"/>
      <c r="F1551" s="675"/>
      <c r="G1551" s="686"/>
      <c r="H1551" s="675"/>
      <c r="I1551" s="675"/>
      <c r="J1551" s="675"/>
      <c r="K1551" s="675"/>
      <c r="L1551" s="675"/>
      <c r="M1551" s="675"/>
      <c r="N1551" s="675"/>
      <c r="O1551" s="675"/>
      <c r="P1551" s="675"/>
      <c r="Q1551" s="675"/>
      <c r="R1551" s="675"/>
      <c r="S1551" s="675"/>
      <c r="T1551" s="675"/>
      <c r="U1551" s="675"/>
      <c r="V1551" s="675"/>
      <c r="W1551" s="675"/>
      <c r="X1551" s="675"/>
      <c r="Y1551" s="676"/>
      <c r="Z1551" s="676"/>
      <c r="AA1551" s="676"/>
      <c r="AB1551" s="677"/>
    </row>
    <row r="1552" spans="2:28" s="780" customFormat="1" hidden="1" x14ac:dyDescent="0.45">
      <c r="B1552" s="1692"/>
      <c r="C1552" s="1696" t="s">
        <v>332</v>
      </c>
      <c r="D1552" s="122" t="s">
        <v>326</v>
      </c>
      <c r="E1552" s="678"/>
      <c r="F1552" s="678"/>
      <c r="G1552" s="678"/>
      <c r="H1552" s="678"/>
      <c r="I1552" s="678"/>
      <c r="J1552" s="678"/>
      <c r="K1552" s="678"/>
      <c r="L1552" s="678"/>
      <c r="M1552" s="678"/>
      <c r="N1552" s="678"/>
      <c r="O1552" s="678"/>
      <c r="P1552" s="678"/>
      <c r="Q1552" s="678"/>
      <c r="R1552" s="678"/>
      <c r="S1552" s="678"/>
      <c r="T1552" s="678"/>
      <c r="U1552" s="678"/>
      <c r="V1552" s="678"/>
      <c r="W1552" s="679"/>
      <c r="X1552" s="679"/>
      <c r="Y1552" s="679"/>
      <c r="Z1552" s="679"/>
      <c r="AA1552" s="679"/>
      <c r="AB1552" s="680"/>
    </row>
    <row r="1553" spans="2:28" s="780" customFormat="1" hidden="1" x14ac:dyDescent="0.45">
      <c r="B1553" s="1692"/>
      <c r="C1553" s="1697"/>
      <c r="D1553" s="122" t="s">
        <v>327</v>
      </c>
      <c r="E1553" s="678"/>
      <c r="F1553" s="678"/>
      <c r="G1553" s="678"/>
      <c r="H1553" s="678"/>
      <c r="I1553" s="678"/>
      <c r="J1553" s="678"/>
      <c r="K1553" s="678"/>
      <c r="L1553" s="678"/>
      <c r="M1553" s="678"/>
      <c r="N1553" s="678"/>
      <c r="O1553" s="678"/>
      <c r="P1553" s="678"/>
      <c r="Q1553" s="678"/>
      <c r="R1553" s="678"/>
      <c r="S1553" s="678"/>
      <c r="T1553" s="678"/>
      <c r="U1553" s="678"/>
      <c r="V1553" s="678"/>
      <c r="W1553" s="678"/>
      <c r="X1553" s="678"/>
      <c r="Y1553" s="679"/>
      <c r="Z1553" s="679"/>
      <c r="AA1553" s="679"/>
      <c r="AB1553" s="680"/>
    </row>
    <row r="1554" spans="2:28" s="780" customFormat="1" hidden="1" x14ac:dyDescent="0.45">
      <c r="B1554" s="1692"/>
      <c r="C1554" s="1698" t="s">
        <v>333</v>
      </c>
      <c r="D1554" s="124" t="s">
        <v>326</v>
      </c>
      <c r="E1554" s="675"/>
      <c r="F1554" s="675"/>
      <c r="G1554" s="675"/>
      <c r="H1554" s="675"/>
      <c r="I1554" s="675"/>
      <c r="J1554" s="675"/>
      <c r="K1554" s="675"/>
      <c r="L1554" s="675"/>
      <c r="M1554" s="675"/>
      <c r="N1554" s="675"/>
      <c r="O1554" s="675"/>
      <c r="P1554" s="675"/>
      <c r="Q1554" s="675"/>
      <c r="R1554" s="675"/>
      <c r="S1554" s="675"/>
      <c r="T1554" s="675"/>
      <c r="U1554" s="675"/>
      <c r="V1554" s="675"/>
      <c r="W1554" s="676"/>
      <c r="X1554" s="676"/>
      <c r="Y1554" s="676"/>
      <c r="Z1554" s="676"/>
      <c r="AA1554" s="676"/>
      <c r="AB1554" s="677"/>
    </row>
    <row r="1555" spans="2:28" s="780" customFormat="1" hidden="1" x14ac:dyDescent="0.45">
      <c r="B1555" s="1693"/>
      <c r="C1555" s="1699"/>
      <c r="D1555" s="126" t="s">
        <v>327</v>
      </c>
      <c r="E1555" s="687"/>
      <c r="F1555" s="687"/>
      <c r="G1555" s="687"/>
      <c r="H1555" s="687"/>
      <c r="I1555" s="687"/>
      <c r="J1555" s="687"/>
      <c r="K1555" s="687"/>
      <c r="L1555" s="687"/>
      <c r="M1555" s="687"/>
      <c r="N1555" s="687"/>
      <c r="O1555" s="687"/>
      <c r="P1555" s="687"/>
      <c r="Q1555" s="687"/>
      <c r="R1555" s="687"/>
      <c r="S1555" s="687"/>
      <c r="T1555" s="687"/>
      <c r="U1555" s="687"/>
      <c r="V1555" s="687"/>
      <c r="W1555" s="687"/>
      <c r="X1555" s="687"/>
      <c r="Y1555" s="687"/>
      <c r="Z1555" s="687"/>
      <c r="AA1555" s="687"/>
      <c r="AB1555" s="688"/>
    </row>
    <row r="1556" spans="2:28" s="780" customFormat="1" hidden="1" x14ac:dyDescent="0.45"/>
    <row r="1557" spans="2:28" s="780" customFormat="1" hidden="1" x14ac:dyDescent="0.45">
      <c r="B1557" s="1688" t="s">
        <v>54</v>
      </c>
      <c r="C1557" s="1689"/>
      <c r="D1557" s="1690"/>
      <c r="E1557" s="779"/>
      <c r="F1557" s="779"/>
      <c r="G1557" s="779"/>
      <c r="H1557" s="779"/>
      <c r="I1557" s="779"/>
      <c r="J1557" s="779"/>
      <c r="K1557" s="779"/>
      <c r="L1557" s="779"/>
      <c r="M1557" s="779"/>
      <c r="N1557" s="779"/>
      <c r="O1557" s="779"/>
      <c r="P1557" s="779"/>
      <c r="Q1557" s="779"/>
      <c r="R1557" s="779"/>
      <c r="S1557" s="779"/>
      <c r="T1557" s="779"/>
      <c r="U1557" s="779"/>
      <c r="V1557" s="779"/>
      <c r="W1557" s="779"/>
      <c r="X1557" s="779"/>
      <c r="Y1557" s="779"/>
      <c r="Z1557" s="779"/>
      <c r="AA1557" s="779"/>
      <c r="AB1557" s="708"/>
    </row>
    <row r="1558" spans="2:28" s="780" customFormat="1" ht="15" hidden="1" customHeight="1" x14ac:dyDescent="0.45">
      <c r="B1558" s="1691" t="str">
        <f>CONCATENATE("Plan ", INDEX(plans_index,,(ROW(B1558)-6)/16), ": ", INDEX(plans_name,,(ROW(B1558)-6)/16))</f>
        <v xml:space="preserve">Plan 97: </v>
      </c>
      <c r="C1558" s="1694" t="s">
        <v>325</v>
      </c>
      <c r="D1558" s="123" t="s">
        <v>326</v>
      </c>
      <c r="E1558" s="672"/>
      <c r="F1558" s="672"/>
      <c r="G1558" s="672"/>
      <c r="H1558" s="673"/>
      <c r="I1558" s="672"/>
      <c r="J1558" s="672"/>
      <c r="K1558" s="672"/>
      <c r="L1558" s="672"/>
      <c r="M1558" s="672"/>
      <c r="N1558" s="672"/>
      <c r="O1558" s="672"/>
      <c r="P1558" s="672"/>
      <c r="Q1558" s="672"/>
      <c r="R1558" s="672"/>
      <c r="S1558" s="672"/>
      <c r="T1558" s="672"/>
      <c r="U1558" s="672"/>
      <c r="V1558" s="672"/>
      <c r="W1558" s="672"/>
      <c r="X1558" s="672"/>
      <c r="Y1558" s="672"/>
      <c r="Z1558" s="672"/>
      <c r="AA1558" s="672"/>
      <c r="AB1558" s="674"/>
    </row>
    <row r="1559" spans="2:28" s="780" customFormat="1" hidden="1" x14ac:dyDescent="0.45">
      <c r="B1559" s="1692"/>
      <c r="C1559" s="1695"/>
      <c r="D1559" s="124" t="s">
        <v>327</v>
      </c>
      <c r="E1559" s="675"/>
      <c r="F1559" s="675"/>
      <c r="G1559" s="675"/>
      <c r="H1559" s="675"/>
      <c r="I1559" s="675"/>
      <c r="J1559" s="675"/>
      <c r="K1559" s="675"/>
      <c r="L1559" s="675"/>
      <c r="M1559" s="675"/>
      <c r="N1559" s="675"/>
      <c r="O1559" s="675"/>
      <c r="P1559" s="675"/>
      <c r="Q1559" s="675"/>
      <c r="R1559" s="675"/>
      <c r="S1559" s="675"/>
      <c r="T1559" s="675"/>
      <c r="U1559" s="675"/>
      <c r="V1559" s="675"/>
      <c r="W1559" s="675"/>
      <c r="X1559" s="675"/>
      <c r="Y1559" s="676"/>
      <c r="Z1559" s="676"/>
      <c r="AA1559" s="676"/>
      <c r="AB1559" s="677"/>
    </row>
    <row r="1560" spans="2:28" s="780" customFormat="1" hidden="1" x14ac:dyDescent="0.45">
      <c r="B1560" s="1692"/>
      <c r="C1560" s="1696" t="s">
        <v>328</v>
      </c>
      <c r="D1560" s="122" t="s">
        <v>326</v>
      </c>
      <c r="E1560" s="678"/>
      <c r="F1560" s="678"/>
      <c r="G1560" s="678"/>
      <c r="H1560" s="678"/>
      <c r="I1560" s="678"/>
      <c r="J1560" s="678"/>
      <c r="K1560" s="678"/>
      <c r="L1560" s="678"/>
      <c r="M1560" s="678"/>
      <c r="N1560" s="678"/>
      <c r="O1560" s="678"/>
      <c r="P1560" s="678"/>
      <c r="Q1560" s="678"/>
      <c r="R1560" s="678"/>
      <c r="S1560" s="678"/>
      <c r="T1560" s="678"/>
      <c r="U1560" s="678"/>
      <c r="V1560" s="678"/>
      <c r="W1560" s="678"/>
      <c r="X1560" s="678"/>
      <c r="Y1560" s="679"/>
      <c r="Z1560" s="679"/>
      <c r="AA1560" s="679"/>
      <c r="AB1560" s="680"/>
    </row>
    <row r="1561" spans="2:28" s="780" customFormat="1" hidden="1" x14ac:dyDescent="0.45">
      <c r="B1561" s="1692"/>
      <c r="C1561" s="1697"/>
      <c r="D1561" s="122" t="s">
        <v>327</v>
      </c>
      <c r="E1561" s="678"/>
      <c r="F1561" s="678"/>
      <c r="G1561" s="678"/>
      <c r="H1561" s="678"/>
      <c r="I1561" s="678"/>
      <c r="J1561" s="678"/>
      <c r="K1561" s="678"/>
      <c r="L1561" s="678"/>
      <c r="M1561" s="678"/>
      <c r="N1561" s="678"/>
      <c r="O1561" s="678"/>
      <c r="P1561" s="678"/>
      <c r="Q1561" s="678"/>
      <c r="R1561" s="678"/>
      <c r="S1561" s="678"/>
      <c r="T1561" s="678"/>
      <c r="U1561" s="678"/>
      <c r="V1561" s="678"/>
      <c r="W1561" s="678"/>
      <c r="X1561" s="681"/>
      <c r="Y1561" s="679"/>
      <c r="Z1561" s="679"/>
      <c r="AA1561" s="679"/>
      <c r="AB1561" s="680"/>
    </row>
    <row r="1562" spans="2:28" s="780" customFormat="1" hidden="1" x14ac:dyDescent="0.45">
      <c r="B1562" s="1692"/>
      <c r="C1562" s="1698" t="s">
        <v>329</v>
      </c>
      <c r="D1562" s="125" t="s">
        <v>326</v>
      </c>
      <c r="E1562" s="682"/>
      <c r="F1562" s="682"/>
      <c r="G1562" s="682"/>
      <c r="H1562" s="682"/>
      <c r="I1562" s="682"/>
      <c r="J1562" s="682"/>
      <c r="K1562" s="682"/>
      <c r="L1562" s="682"/>
      <c r="M1562" s="682"/>
      <c r="N1562" s="682"/>
      <c r="O1562" s="682"/>
      <c r="P1562" s="682"/>
      <c r="Q1562" s="682"/>
      <c r="R1562" s="682"/>
      <c r="S1562" s="682"/>
      <c r="T1562" s="682"/>
      <c r="U1562" s="682"/>
      <c r="V1562" s="682"/>
      <c r="W1562" s="682"/>
      <c r="X1562" s="682"/>
      <c r="Y1562" s="683"/>
      <c r="Z1562" s="683"/>
      <c r="AA1562" s="683"/>
      <c r="AB1562" s="684"/>
    </row>
    <row r="1563" spans="2:28" s="780" customFormat="1" hidden="1" x14ac:dyDescent="0.45">
      <c r="B1563" s="1692"/>
      <c r="C1563" s="1695"/>
      <c r="D1563" s="124" t="s">
        <v>327</v>
      </c>
      <c r="E1563" s="675"/>
      <c r="F1563" s="675"/>
      <c r="G1563" s="675"/>
      <c r="H1563" s="675"/>
      <c r="I1563" s="675"/>
      <c r="J1563" s="675"/>
      <c r="K1563" s="675"/>
      <c r="L1563" s="675"/>
      <c r="M1563" s="675"/>
      <c r="N1563" s="675"/>
      <c r="O1563" s="675"/>
      <c r="P1563" s="675"/>
      <c r="Q1563" s="675"/>
      <c r="R1563" s="675"/>
      <c r="S1563" s="675"/>
      <c r="T1563" s="675"/>
      <c r="U1563" s="675"/>
      <c r="V1563" s="675"/>
      <c r="W1563" s="675"/>
      <c r="X1563" s="675"/>
      <c r="Y1563" s="676"/>
      <c r="Z1563" s="676"/>
      <c r="AA1563" s="676"/>
      <c r="AB1563" s="677"/>
    </row>
    <row r="1564" spans="2:28" s="780" customFormat="1" hidden="1" x14ac:dyDescent="0.45">
      <c r="B1564" s="1692"/>
      <c r="C1564" s="1696" t="s">
        <v>330</v>
      </c>
      <c r="D1564" s="122" t="s">
        <v>326</v>
      </c>
      <c r="E1564" s="678"/>
      <c r="F1564" s="678"/>
      <c r="G1564" s="678"/>
      <c r="H1564" s="678"/>
      <c r="I1564" s="678"/>
      <c r="J1564" s="678"/>
      <c r="K1564" s="678"/>
      <c r="L1564" s="678"/>
      <c r="M1564" s="678"/>
      <c r="N1564" s="678"/>
      <c r="O1564" s="678"/>
      <c r="P1564" s="678"/>
      <c r="Q1564" s="678"/>
      <c r="R1564" s="678"/>
      <c r="S1564" s="678"/>
      <c r="T1564" s="678"/>
      <c r="U1564" s="678"/>
      <c r="V1564" s="678"/>
      <c r="W1564" s="678"/>
      <c r="X1564" s="678"/>
      <c r="Y1564" s="679"/>
      <c r="Z1564" s="679"/>
      <c r="AA1564" s="679"/>
      <c r="AB1564" s="680"/>
    </row>
    <row r="1565" spans="2:28" s="780" customFormat="1" hidden="1" x14ac:dyDescent="0.45">
      <c r="B1565" s="1692"/>
      <c r="C1565" s="1697"/>
      <c r="D1565" s="122" t="s">
        <v>327</v>
      </c>
      <c r="E1565" s="678"/>
      <c r="F1565" s="678"/>
      <c r="G1565" s="678"/>
      <c r="H1565" s="678"/>
      <c r="I1565" s="678"/>
      <c r="J1565" s="678"/>
      <c r="K1565" s="678"/>
      <c r="L1565" s="678"/>
      <c r="M1565" s="678"/>
      <c r="N1565" s="678"/>
      <c r="O1565" s="678"/>
      <c r="P1565" s="678"/>
      <c r="Q1565" s="678"/>
      <c r="R1565" s="678"/>
      <c r="S1565" s="678"/>
      <c r="T1565" s="678"/>
      <c r="U1565" s="678"/>
      <c r="V1565" s="678"/>
      <c r="W1565" s="678"/>
      <c r="X1565" s="681"/>
      <c r="Y1565" s="679"/>
      <c r="Z1565" s="679"/>
      <c r="AA1565" s="679"/>
      <c r="AB1565" s="680"/>
    </row>
    <row r="1566" spans="2:28" s="780" customFormat="1" hidden="1" x14ac:dyDescent="0.45">
      <c r="B1566" s="1692"/>
      <c r="C1566" s="1698" t="s">
        <v>331</v>
      </c>
      <c r="D1566" s="125" t="s">
        <v>326</v>
      </c>
      <c r="E1566" s="682"/>
      <c r="F1566" s="682"/>
      <c r="G1566" s="685"/>
      <c r="H1566" s="682"/>
      <c r="I1566" s="682"/>
      <c r="J1566" s="682"/>
      <c r="K1566" s="682"/>
      <c r="L1566" s="682"/>
      <c r="M1566" s="682"/>
      <c r="N1566" s="682"/>
      <c r="O1566" s="682"/>
      <c r="P1566" s="682"/>
      <c r="Q1566" s="682"/>
      <c r="R1566" s="682"/>
      <c r="S1566" s="682"/>
      <c r="T1566" s="682"/>
      <c r="U1566" s="682"/>
      <c r="V1566" s="682"/>
      <c r="W1566" s="682"/>
      <c r="X1566" s="682"/>
      <c r="Y1566" s="683"/>
      <c r="Z1566" s="683"/>
      <c r="AA1566" s="683"/>
      <c r="AB1566" s="684"/>
    </row>
    <row r="1567" spans="2:28" s="780" customFormat="1" hidden="1" x14ac:dyDescent="0.45">
      <c r="B1567" s="1692"/>
      <c r="C1567" s="1695"/>
      <c r="D1567" s="124" t="s">
        <v>327</v>
      </c>
      <c r="E1567" s="675"/>
      <c r="F1567" s="675"/>
      <c r="G1567" s="686"/>
      <c r="H1567" s="675"/>
      <c r="I1567" s="675"/>
      <c r="J1567" s="675"/>
      <c r="K1567" s="675"/>
      <c r="L1567" s="675"/>
      <c r="M1567" s="675"/>
      <c r="N1567" s="675"/>
      <c r="O1567" s="675"/>
      <c r="P1567" s="675"/>
      <c r="Q1567" s="675"/>
      <c r="R1567" s="675"/>
      <c r="S1567" s="675"/>
      <c r="T1567" s="675"/>
      <c r="U1567" s="675"/>
      <c r="V1567" s="675"/>
      <c r="W1567" s="675"/>
      <c r="X1567" s="675"/>
      <c r="Y1567" s="676"/>
      <c r="Z1567" s="676"/>
      <c r="AA1567" s="676"/>
      <c r="AB1567" s="677"/>
    </row>
    <row r="1568" spans="2:28" s="780" customFormat="1" hidden="1" x14ac:dyDescent="0.45">
      <c r="B1568" s="1692"/>
      <c r="C1568" s="1696" t="s">
        <v>332</v>
      </c>
      <c r="D1568" s="122" t="s">
        <v>326</v>
      </c>
      <c r="E1568" s="678"/>
      <c r="F1568" s="678"/>
      <c r="G1568" s="678"/>
      <c r="H1568" s="678"/>
      <c r="I1568" s="678"/>
      <c r="J1568" s="678"/>
      <c r="K1568" s="678"/>
      <c r="L1568" s="678"/>
      <c r="M1568" s="678"/>
      <c r="N1568" s="678"/>
      <c r="O1568" s="678"/>
      <c r="P1568" s="678"/>
      <c r="Q1568" s="678"/>
      <c r="R1568" s="678"/>
      <c r="S1568" s="678"/>
      <c r="T1568" s="678"/>
      <c r="U1568" s="678"/>
      <c r="V1568" s="678"/>
      <c r="W1568" s="679"/>
      <c r="X1568" s="679"/>
      <c r="Y1568" s="679"/>
      <c r="Z1568" s="679"/>
      <c r="AA1568" s="679"/>
      <c r="AB1568" s="680"/>
    </row>
    <row r="1569" spans="2:28" s="780" customFormat="1" hidden="1" x14ac:dyDescent="0.45">
      <c r="B1569" s="1692"/>
      <c r="C1569" s="1697"/>
      <c r="D1569" s="122" t="s">
        <v>327</v>
      </c>
      <c r="E1569" s="678"/>
      <c r="F1569" s="678"/>
      <c r="G1569" s="678"/>
      <c r="H1569" s="678"/>
      <c r="I1569" s="678"/>
      <c r="J1569" s="678"/>
      <c r="K1569" s="678"/>
      <c r="L1569" s="678"/>
      <c r="M1569" s="678"/>
      <c r="N1569" s="678"/>
      <c r="O1569" s="678"/>
      <c r="P1569" s="678"/>
      <c r="Q1569" s="678"/>
      <c r="R1569" s="678"/>
      <c r="S1569" s="678"/>
      <c r="T1569" s="678"/>
      <c r="U1569" s="678"/>
      <c r="V1569" s="678"/>
      <c r="W1569" s="678"/>
      <c r="X1569" s="678"/>
      <c r="Y1569" s="679"/>
      <c r="Z1569" s="679"/>
      <c r="AA1569" s="679"/>
      <c r="AB1569" s="680"/>
    </row>
    <row r="1570" spans="2:28" s="780" customFormat="1" hidden="1" x14ac:dyDescent="0.45">
      <c r="B1570" s="1692"/>
      <c r="C1570" s="1698" t="s">
        <v>333</v>
      </c>
      <c r="D1570" s="124" t="s">
        <v>326</v>
      </c>
      <c r="E1570" s="675"/>
      <c r="F1570" s="675"/>
      <c r="G1570" s="675"/>
      <c r="H1570" s="675"/>
      <c r="I1570" s="675"/>
      <c r="J1570" s="675"/>
      <c r="K1570" s="675"/>
      <c r="L1570" s="675"/>
      <c r="M1570" s="675"/>
      <c r="N1570" s="675"/>
      <c r="O1570" s="675"/>
      <c r="P1570" s="675"/>
      <c r="Q1570" s="675"/>
      <c r="R1570" s="675"/>
      <c r="S1570" s="675"/>
      <c r="T1570" s="675"/>
      <c r="U1570" s="675"/>
      <c r="V1570" s="675"/>
      <c r="W1570" s="676"/>
      <c r="X1570" s="676"/>
      <c r="Y1570" s="676"/>
      <c r="Z1570" s="676"/>
      <c r="AA1570" s="676"/>
      <c r="AB1570" s="677"/>
    </row>
    <row r="1571" spans="2:28" s="780" customFormat="1" hidden="1" x14ac:dyDescent="0.45">
      <c r="B1571" s="1693"/>
      <c r="C1571" s="1699"/>
      <c r="D1571" s="126" t="s">
        <v>327</v>
      </c>
      <c r="E1571" s="687"/>
      <c r="F1571" s="687"/>
      <c r="G1571" s="687"/>
      <c r="H1571" s="687"/>
      <c r="I1571" s="687"/>
      <c r="J1571" s="687"/>
      <c r="K1571" s="687"/>
      <c r="L1571" s="687"/>
      <c r="M1571" s="687"/>
      <c r="N1571" s="687"/>
      <c r="O1571" s="687"/>
      <c r="P1571" s="687"/>
      <c r="Q1571" s="687"/>
      <c r="R1571" s="687"/>
      <c r="S1571" s="687"/>
      <c r="T1571" s="687"/>
      <c r="U1571" s="687"/>
      <c r="V1571" s="687"/>
      <c r="W1571" s="687"/>
      <c r="X1571" s="687"/>
      <c r="Y1571" s="687"/>
      <c r="Z1571" s="687"/>
      <c r="AA1571" s="687"/>
      <c r="AB1571" s="688"/>
    </row>
    <row r="1572" spans="2:28" s="780" customFormat="1" hidden="1" x14ac:dyDescent="0.45"/>
    <row r="1573" spans="2:28" s="780" customFormat="1" hidden="1" x14ac:dyDescent="0.45">
      <c r="B1573" s="1688" t="s">
        <v>54</v>
      </c>
      <c r="C1573" s="1689"/>
      <c r="D1573" s="1690"/>
      <c r="E1573" s="779"/>
      <c r="F1573" s="779"/>
      <c r="G1573" s="779"/>
      <c r="H1573" s="779"/>
      <c r="I1573" s="779"/>
      <c r="J1573" s="779"/>
      <c r="K1573" s="779"/>
      <c r="L1573" s="779"/>
      <c r="M1573" s="779"/>
      <c r="N1573" s="779"/>
      <c r="O1573" s="779"/>
      <c r="P1573" s="779"/>
      <c r="Q1573" s="779"/>
      <c r="R1573" s="779"/>
      <c r="S1573" s="779"/>
      <c r="T1573" s="779"/>
      <c r="U1573" s="779"/>
      <c r="V1573" s="779"/>
      <c r="W1573" s="779"/>
      <c r="X1573" s="779"/>
      <c r="Y1573" s="779"/>
      <c r="Z1573" s="779"/>
      <c r="AA1573" s="779"/>
      <c r="AB1573" s="708"/>
    </row>
    <row r="1574" spans="2:28" s="780" customFormat="1" ht="15" hidden="1" customHeight="1" x14ac:dyDescent="0.45">
      <c r="B1574" s="1691" t="str">
        <f>CONCATENATE("Plan ", INDEX(plans_index,,(ROW(B1574)-6)/16), ": ", INDEX(plans_name,,(ROW(B1574)-6)/16))</f>
        <v xml:space="preserve">Plan 98: </v>
      </c>
      <c r="C1574" s="1694" t="s">
        <v>325</v>
      </c>
      <c r="D1574" s="123" t="s">
        <v>326</v>
      </c>
      <c r="E1574" s="672"/>
      <c r="F1574" s="672"/>
      <c r="G1574" s="672"/>
      <c r="H1574" s="673"/>
      <c r="I1574" s="672"/>
      <c r="J1574" s="672"/>
      <c r="K1574" s="672"/>
      <c r="L1574" s="672"/>
      <c r="M1574" s="672"/>
      <c r="N1574" s="672"/>
      <c r="O1574" s="672"/>
      <c r="P1574" s="672"/>
      <c r="Q1574" s="672"/>
      <c r="R1574" s="672"/>
      <c r="S1574" s="672"/>
      <c r="T1574" s="672"/>
      <c r="U1574" s="672"/>
      <c r="V1574" s="672"/>
      <c r="W1574" s="672"/>
      <c r="X1574" s="672"/>
      <c r="Y1574" s="672"/>
      <c r="Z1574" s="672"/>
      <c r="AA1574" s="672"/>
      <c r="AB1574" s="674"/>
    </row>
    <row r="1575" spans="2:28" s="780" customFormat="1" hidden="1" x14ac:dyDescent="0.45">
      <c r="B1575" s="1692"/>
      <c r="C1575" s="1695"/>
      <c r="D1575" s="124" t="s">
        <v>327</v>
      </c>
      <c r="E1575" s="675"/>
      <c r="F1575" s="675"/>
      <c r="G1575" s="675"/>
      <c r="H1575" s="675"/>
      <c r="I1575" s="675"/>
      <c r="J1575" s="675"/>
      <c r="K1575" s="675"/>
      <c r="L1575" s="675"/>
      <c r="M1575" s="675"/>
      <c r="N1575" s="675"/>
      <c r="O1575" s="675"/>
      <c r="P1575" s="675"/>
      <c r="Q1575" s="675"/>
      <c r="R1575" s="675"/>
      <c r="S1575" s="675"/>
      <c r="T1575" s="675"/>
      <c r="U1575" s="675"/>
      <c r="V1575" s="675"/>
      <c r="W1575" s="675"/>
      <c r="X1575" s="675"/>
      <c r="Y1575" s="676"/>
      <c r="Z1575" s="676"/>
      <c r="AA1575" s="676"/>
      <c r="AB1575" s="677"/>
    </row>
    <row r="1576" spans="2:28" s="780" customFormat="1" hidden="1" x14ac:dyDescent="0.45">
      <c r="B1576" s="1692"/>
      <c r="C1576" s="1696" t="s">
        <v>328</v>
      </c>
      <c r="D1576" s="122" t="s">
        <v>326</v>
      </c>
      <c r="E1576" s="678"/>
      <c r="F1576" s="678"/>
      <c r="G1576" s="678"/>
      <c r="H1576" s="678"/>
      <c r="I1576" s="678"/>
      <c r="J1576" s="678"/>
      <c r="K1576" s="678"/>
      <c r="L1576" s="678"/>
      <c r="M1576" s="678"/>
      <c r="N1576" s="678"/>
      <c r="O1576" s="678"/>
      <c r="P1576" s="678"/>
      <c r="Q1576" s="678"/>
      <c r="R1576" s="678"/>
      <c r="S1576" s="678"/>
      <c r="T1576" s="678"/>
      <c r="U1576" s="678"/>
      <c r="V1576" s="678"/>
      <c r="W1576" s="678"/>
      <c r="X1576" s="678"/>
      <c r="Y1576" s="679"/>
      <c r="Z1576" s="679"/>
      <c r="AA1576" s="679"/>
      <c r="AB1576" s="680"/>
    </row>
    <row r="1577" spans="2:28" s="780" customFormat="1" hidden="1" x14ac:dyDescent="0.45">
      <c r="B1577" s="1692"/>
      <c r="C1577" s="1697"/>
      <c r="D1577" s="122" t="s">
        <v>327</v>
      </c>
      <c r="E1577" s="678"/>
      <c r="F1577" s="678"/>
      <c r="G1577" s="678"/>
      <c r="H1577" s="678"/>
      <c r="I1577" s="678"/>
      <c r="J1577" s="678"/>
      <c r="K1577" s="678"/>
      <c r="L1577" s="678"/>
      <c r="M1577" s="678"/>
      <c r="N1577" s="678"/>
      <c r="O1577" s="678"/>
      <c r="P1577" s="678"/>
      <c r="Q1577" s="678"/>
      <c r="R1577" s="678"/>
      <c r="S1577" s="678"/>
      <c r="T1577" s="678"/>
      <c r="U1577" s="678"/>
      <c r="V1577" s="678"/>
      <c r="W1577" s="678"/>
      <c r="X1577" s="681"/>
      <c r="Y1577" s="679"/>
      <c r="Z1577" s="679"/>
      <c r="AA1577" s="679"/>
      <c r="AB1577" s="680"/>
    </row>
    <row r="1578" spans="2:28" s="780" customFormat="1" hidden="1" x14ac:dyDescent="0.45">
      <c r="B1578" s="1692"/>
      <c r="C1578" s="1698" t="s">
        <v>329</v>
      </c>
      <c r="D1578" s="125" t="s">
        <v>326</v>
      </c>
      <c r="E1578" s="682"/>
      <c r="F1578" s="682"/>
      <c r="G1578" s="682"/>
      <c r="H1578" s="682"/>
      <c r="I1578" s="682"/>
      <c r="J1578" s="682"/>
      <c r="K1578" s="682"/>
      <c r="L1578" s="682"/>
      <c r="M1578" s="682"/>
      <c r="N1578" s="682"/>
      <c r="O1578" s="682"/>
      <c r="P1578" s="682"/>
      <c r="Q1578" s="682"/>
      <c r="R1578" s="682"/>
      <c r="S1578" s="682"/>
      <c r="T1578" s="682"/>
      <c r="U1578" s="682"/>
      <c r="V1578" s="682"/>
      <c r="W1578" s="682"/>
      <c r="X1578" s="682"/>
      <c r="Y1578" s="683"/>
      <c r="Z1578" s="683"/>
      <c r="AA1578" s="683"/>
      <c r="AB1578" s="684"/>
    </row>
    <row r="1579" spans="2:28" s="780" customFormat="1" hidden="1" x14ac:dyDescent="0.45">
      <c r="B1579" s="1692"/>
      <c r="C1579" s="1695"/>
      <c r="D1579" s="124" t="s">
        <v>327</v>
      </c>
      <c r="E1579" s="675"/>
      <c r="F1579" s="675"/>
      <c r="G1579" s="675"/>
      <c r="H1579" s="675"/>
      <c r="I1579" s="675"/>
      <c r="J1579" s="675"/>
      <c r="K1579" s="675"/>
      <c r="L1579" s="675"/>
      <c r="M1579" s="675"/>
      <c r="N1579" s="675"/>
      <c r="O1579" s="675"/>
      <c r="P1579" s="675"/>
      <c r="Q1579" s="675"/>
      <c r="R1579" s="675"/>
      <c r="S1579" s="675"/>
      <c r="T1579" s="675"/>
      <c r="U1579" s="675"/>
      <c r="V1579" s="675"/>
      <c r="W1579" s="675"/>
      <c r="X1579" s="675"/>
      <c r="Y1579" s="676"/>
      <c r="Z1579" s="676"/>
      <c r="AA1579" s="676"/>
      <c r="AB1579" s="677"/>
    </row>
    <row r="1580" spans="2:28" s="780" customFormat="1" hidden="1" x14ac:dyDescent="0.45">
      <c r="B1580" s="1692"/>
      <c r="C1580" s="1696" t="s">
        <v>330</v>
      </c>
      <c r="D1580" s="122" t="s">
        <v>326</v>
      </c>
      <c r="E1580" s="678"/>
      <c r="F1580" s="678"/>
      <c r="G1580" s="678"/>
      <c r="H1580" s="678"/>
      <c r="I1580" s="678"/>
      <c r="J1580" s="678"/>
      <c r="K1580" s="678"/>
      <c r="L1580" s="678"/>
      <c r="M1580" s="678"/>
      <c r="N1580" s="678"/>
      <c r="O1580" s="678"/>
      <c r="P1580" s="678"/>
      <c r="Q1580" s="678"/>
      <c r="R1580" s="678"/>
      <c r="S1580" s="678"/>
      <c r="T1580" s="678"/>
      <c r="U1580" s="678"/>
      <c r="V1580" s="678"/>
      <c r="W1580" s="678"/>
      <c r="X1580" s="678"/>
      <c r="Y1580" s="679"/>
      <c r="Z1580" s="679"/>
      <c r="AA1580" s="679"/>
      <c r="AB1580" s="680"/>
    </row>
    <row r="1581" spans="2:28" s="780" customFormat="1" hidden="1" x14ac:dyDescent="0.45">
      <c r="B1581" s="1692"/>
      <c r="C1581" s="1697"/>
      <c r="D1581" s="122" t="s">
        <v>327</v>
      </c>
      <c r="E1581" s="678"/>
      <c r="F1581" s="678"/>
      <c r="G1581" s="678"/>
      <c r="H1581" s="678"/>
      <c r="I1581" s="678"/>
      <c r="J1581" s="678"/>
      <c r="K1581" s="678"/>
      <c r="L1581" s="678"/>
      <c r="M1581" s="678"/>
      <c r="N1581" s="678"/>
      <c r="O1581" s="678"/>
      <c r="P1581" s="678"/>
      <c r="Q1581" s="678"/>
      <c r="R1581" s="678"/>
      <c r="S1581" s="678"/>
      <c r="T1581" s="678"/>
      <c r="U1581" s="678"/>
      <c r="V1581" s="678"/>
      <c r="W1581" s="678"/>
      <c r="X1581" s="681"/>
      <c r="Y1581" s="679"/>
      <c r="Z1581" s="679"/>
      <c r="AA1581" s="679"/>
      <c r="AB1581" s="680"/>
    </row>
    <row r="1582" spans="2:28" s="780" customFormat="1" hidden="1" x14ac:dyDescent="0.45">
      <c r="B1582" s="1692"/>
      <c r="C1582" s="1698" t="s">
        <v>331</v>
      </c>
      <c r="D1582" s="125" t="s">
        <v>326</v>
      </c>
      <c r="E1582" s="682"/>
      <c r="F1582" s="682"/>
      <c r="G1582" s="685"/>
      <c r="H1582" s="682"/>
      <c r="I1582" s="682"/>
      <c r="J1582" s="682"/>
      <c r="K1582" s="682"/>
      <c r="L1582" s="682"/>
      <c r="M1582" s="682"/>
      <c r="N1582" s="682"/>
      <c r="O1582" s="682"/>
      <c r="P1582" s="682"/>
      <c r="Q1582" s="682"/>
      <c r="R1582" s="682"/>
      <c r="S1582" s="682"/>
      <c r="T1582" s="682"/>
      <c r="U1582" s="682"/>
      <c r="V1582" s="682"/>
      <c r="W1582" s="682"/>
      <c r="X1582" s="682"/>
      <c r="Y1582" s="683"/>
      <c r="Z1582" s="683"/>
      <c r="AA1582" s="683"/>
      <c r="AB1582" s="684"/>
    </row>
    <row r="1583" spans="2:28" s="780" customFormat="1" hidden="1" x14ac:dyDescent="0.45">
      <c r="B1583" s="1692"/>
      <c r="C1583" s="1695"/>
      <c r="D1583" s="124" t="s">
        <v>327</v>
      </c>
      <c r="E1583" s="675"/>
      <c r="F1583" s="675"/>
      <c r="G1583" s="686"/>
      <c r="H1583" s="675"/>
      <c r="I1583" s="675"/>
      <c r="J1583" s="675"/>
      <c r="K1583" s="675"/>
      <c r="L1583" s="675"/>
      <c r="M1583" s="675"/>
      <c r="N1583" s="675"/>
      <c r="O1583" s="675"/>
      <c r="P1583" s="675"/>
      <c r="Q1583" s="675"/>
      <c r="R1583" s="675"/>
      <c r="S1583" s="675"/>
      <c r="T1583" s="675"/>
      <c r="U1583" s="675"/>
      <c r="V1583" s="675"/>
      <c r="W1583" s="675"/>
      <c r="X1583" s="675"/>
      <c r="Y1583" s="676"/>
      <c r="Z1583" s="676"/>
      <c r="AA1583" s="676"/>
      <c r="AB1583" s="677"/>
    </row>
    <row r="1584" spans="2:28" s="780" customFormat="1" hidden="1" x14ac:dyDescent="0.45">
      <c r="B1584" s="1692"/>
      <c r="C1584" s="1696" t="s">
        <v>332</v>
      </c>
      <c r="D1584" s="122" t="s">
        <v>326</v>
      </c>
      <c r="E1584" s="678"/>
      <c r="F1584" s="678"/>
      <c r="G1584" s="678"/>
      <c r="H1584" s="678"/>
      <c r="I1584" s="678"/>
      <c r="J1584" s="678"/>
      <c r="K1584" s="678"/>
      <c r="L1584" s="678"/>
      <c r="M1584" s="678"/>
      <c r="N1584" s="678"/>
      <c r="O1584" s="678"/>
      <c r="P1584" s="678"/>
      <c r="Q1584" s="678"/>
      <c r="R1584" s="678"/>
      <c r="S1584" s="678"/>
      <c r="T1584" s="678"/>
      <c r="U1584" s="678"/>
      <c r="V1584" s="678"/>
      <c r="W1584" s="679"/>
      <c r="X1584" s="679"/>
      <c r="Y1584" s="679"/>
      <c r="Z1584" s="679"/>
      <c r="AA1584" s="679"/>
      <c r="AB1584" s="680"/>
    </row>
    <row r="1585" spans="2:28" s="780" customFormat="1" hidden="1" x14ac:dyDescent="0.45">
      <c r="B1585" s="1692"/>
      <c r="C1585" s="1697"/>
      <c r="D1585" s="122" t="s">
        <v>327</v>
      </c>
      <c r="E1585" s="678"/>
      <c r="F1585" s="678"/>
      <c r="G1585" s="678"/>
      <c r="H1585" s="678"/>
      <c r="I1585" s="678"/>
      <c r="J1585" s="678"/>
      <c r="K1585" s="678"/>
      <c r="L1585" s="678"/>
      <c r="M1585" s="678"/>
      <c r="N1585" s="678"/>
      <c r="O1585" s="678"/>
      <c r="P1585" s="678"/>
      <c r="Q1585" s="678"/>
      <c r="R1585" s="678"/>
      <c r="S1585" s="678"/>
      <c r="T1585" s="678"/>
      <c r="U1585" s="678"/>
      <c r="V1585" s="678"/>
      <c r="W1585" s="678"/>
      <c r="X1585" s="678"/>
      <c r="Y1585" s="679"/>
      <c r="Z1585" s="679"/>
      <c r="AA1585" s="679"/>
      <c r="AB1585" s="680"/>
    </row>
    <row r="1586" spans="2:28" s="780" customFormat="1" hidden="1" x14ac:dyDescent="0.45">
      <c r="B1586" s="1692"/>
      <c r="C1586" s="1698" t="s">
        <v>333</v>
      </c>
      <c r="D1586" s="124" t="s">
        <v>326</v>
      </c>
      <c r="E1586" s="675"/>
      <c r="F1586" s="675"/>
      <c r="G1586" s="675"/>
      <c r="H1586" s="675"/>
      <c r="I1586" s="675"/>
      <c r="J1586" s="675"/>
      <c r="K1586" s="675"/>
      <c r="L1586" s="675"/>
      <c r="M1586" s="675"/>
      <c r="N1586" s="675"/>
      <c r="O1586" s="675"/>
      <c r="P1586" s="675"/>
      <c r="Q1586" s="675"/>
      <c r="R1586" s="675"/>
      <c r="S1586" s="675"/>
      <c r="T1586" s="675"/>
      <c r="U1586" s="675"/>
      <c r="V1586" s="675"/>
      <c r="W1586" s="676"/>
      <c r="X1586" s="676"/>
      <c r="Y1586" s="676"/>
      <c r="Z1586" s="676"/>
      <c r="AA1586" s="676"/>
      <c r="AB1586" s="677"/>
    </row>
    <row r="1587" spans="2:28" s="780" customFormat="1" hidden="1" x14ac:dyDescent="0.45">
      <c r="B1587" s="1693"/>
      <c r="C1587" s="1699"/>
      <c r="D1587" s="126" t="s">
        <v>327</v>
      </c>
      <c r="E1587" s="687"/>
      <c r="F1587" s="687"/>
      <c r="G1587" s="687"/>
      <c r="H1587" s="687"/>
      <c r="I1587" s="687"/>
      <c r="J1587" s="687"/>
      <c r="K1587" s="687"/>
      <c r="L1587" s="687"/>
      <c r="M1587" s="687"/>
      <c r="N1587" s="687"/>
      <c r="O1587" s="687"/>
      <c r="P1587" s="687"/>
      <c r="Q1587" s="687"/>
      <c r="R1587" s="687"/>
      <c r="S1587" s="687"/>
      <c r="T1587" s="687"/>
      <c r="U1587" s="687"/>
      <c r="V1587" s="687"/>
      <c r="W1587" s="687"/>
      <c r="X1587" s="687"/>
      <c r="Y1587" s="687"/>
      <c r="Z1587" s="687"/>
      <c r="AA1587" s="687"/>
      <c r="AB1587" s="688"/>
    </row>
    <row r="1588" spans="2:28" s="780" customFormat="1" hidden="1" x14ac:dyDescent="0.45"/>
    <row r="1589" spans="2:28" s="780" customFormat="1" hidden="1" x14ac:dyDescent="0.45">
      <c r="B1589" s="1688" t="s">
        <v>54</v>
      </c>
      <c r="C1589" s="1689"/>
      <c r="D1589" s="1690"/>
      <c r="E1589" s="779"/>
      <c r="F1589" s="779"/>
      <c r="G1589" s="779"/>
      <c r="H1589" s="779"/>
      <c r="I1589" s="779"/>
      <c r="J1589" s="779"/>
      <c r="K1589" s="779"/>
      <c r="L1589" s="779"/>
      <c r="M1589" s="779"/>
      <c r="N1589" s="779"/>
      <c r="O1589" s="779"/>
      <c r="P1589" s="779"/>
      <c r="Q1589" s="779"/>
      <c r="R1589" s="779"/>
      <c r="S1589" s="779"/>
      <c r="T1589" s="779"/>
      <c r="U1589" s="779"/>
      <c r="V1589" s="779"/>
      <c r="W1589" s="779"/>
      <c r="X1589" s="779"/>
      <c r="Y1589" s="779"/>
      <c r="Z1589" s="779"/>
      <c r="AA1589" s="779"/>
      <c r="AB1589" s="708"/>
    </row>
    <row r="1590" spans="2:28" s="780" customFormat="1" ht="15" hidden="1" customHeight="1" x14ac:dyDescent="0.45">
      <c r="B1590" s="1691" t="str">
        <f>CONCATENATE("Plan ", INDEX(plans_index,,(ROW(B1590)-6)/16), ": ", INDEX(plans_name,,(ROW(B1590)-6)/16))</f>
        <v xml:space="preserve">Plan 99: </v>
      </c>
      <c r="C1590" s="1694" t="s">
        <v>325</v>
      </c>
      <c r="D1590" s="123" t="s">
        <v>326</v>
      </c>
      <c r="E1590" s="672"/>
      <c r="F1590" s="672"/>
      <c r="G1590" s="672"/>
      <c r="H1590" s="673"/>
      <c r="I1590" s="672"/>
      <c r="J1590" s="672"/>
      <c r="K1590" s="672"/>
      <c r="L1590" s="672"/>
      <c r="M1590" s="672"/>
      <c r="N1590" s="672"/>
      <c r="O1590" s="672"/>
      <c r="P1590" s="672"/>
      <c r="Q1590" s="672"/>
      <c r="R1590" s="672"/>
      <c r="S1590" s="672"/>
      <c r="T1590" s="672"/>
      <c r="U1590" s="672"/>
      <c r="V1590" s="672"/>
      <c r="W1590" s="672"/>
      <c r="X1590" s="672"/>
      <c r="Y1590" s="672"/>
      <c r="Z1590" s="672"/>
      <c r="AA1590" s="672"/>
      <c r="AB1590" s="674"/>
    </row>
    <row r="1591" spans="2:28" s="780" customFormat="1" hidden="1" x14ac:dyDescent="0.45">
      <c r="B1591" s="1692"/>
      <c r="C1591" s="1695"/>
      <c r="D1591" s="124" t="s">
        <v>327</v>
      </c>
      <c r="E1591" s="675"/>
      <c r="F1591" s="675"/>
      <c r="G1591" s="675"/>
      <c r="H1591" s="675"/>
      <c r="I1591" s="675"/>
      <c r="J1591" s="675"/>
      <c r="K1591" s="675"/>
      <c r="L1591" s="675"/>
      <c r="M1591" s="675"/>
      <c r="N1591" s="675"/>
      <c r="O1591" s="675"/>
      <c r="P1591" s="675"/>
      <c r="Q1591" s="675"/>
      <c r="R1591" s="675"/>
      <c r="S1591" s="675"/>
      <c r="T1591" s="675"/>
      <c r="U1591" s="675"/>
      <c r="V1591" s="675"/>
      <c r="W1591" s="675"/>
      <c r="X1591" s="675"/>
      <c r="Y1591" s="676"/>
      <c r="Z1591" s="676"/>
      <c r="AA1591" s="676"/>
      <c r="AB1591" s="677"/>
    </row>
    <row r="1592" spans="2:28" s="780" customFormat="1" hidden="1" x14ac:dyDescent="0.45">
      <c r="B1592" s="1692"/>
      <c r="C1592" s="1696" t="s">
        <v>328</v>
      </c>
      <c r="D1592" s="122" t="s">
        <v>326</v>
      </c>
      <c r="E1592" s="678"/>
      <c r="F1592" s="678"/>
      <c r="G1592" s="678"/>
      <c r="H1592" s="678"/>
      <c r="I1592" s="678"/>
      <c r="J1592" s="678"/>
      <c r="K1592" s="678"/>
      <c r="L1592" s="678"/>
      <c r="M1592" s="678"/>
      <c r="N1592" s="678"/>
      <c r="O1592" s="678"/>
      <c r="P1592" s="678"/>
      <c r="Q1592" s="678"/>
      <c r="R1592" s="678"/>
      <c r="S1592" s="678"/>
      <c r="T1592" s="678"/>
      <c r="U1592" s="678"/>
      <c r="V1592" s="678"/>
      <c r="W1592" s="678"/>
      <c r="X1592" s="678"/>
      <c r="Y1592" s="679"/>
      <c r="Z1592" s="679"/>
      <c r="AA1592" s="679"/>
      <c r="AB1592" s="680"/>
    </row>
    <row r="1593" spans="2:28" s="780" customFormat="1" hidden="1" x14ac:dyDescent="0.45">
      <c r="B1593" s="1692"/>
      <c r="C1593" s="1697"/>
      <c r="D1593" s="122" t="s">
        <v>327</v>
      </c>
      <c r="E1593" s="678"/>
      <c r="F1593" s="678"/>
      <c r="G1593" s="678"/>
      <c r="H1593" s="678"/>
      <c r="I1593" s="678"/>
      <c r="J1593" s="678"/>
      <c r="K1593" s="678"/>
      <c r="L1593" s="678"/>
      <c r="M1593" s="678"/>
      <c r="N1593" s="678"/>
      <c r="O1593" s="678"/>
      <c r="P1593" s="678"/>
      <c r="Q1593" s="678"/>
      <c r="R1593" s="678"/>
      <c r="S1593" s="678"/>
      <c r="T1593" s="678"/>
      <c r="U1593" s="678"/>
      <c r="V1593" s="678"/>
      <c r="W1593" s="678"/>
      <c r="X1593" s="681"/>
      <c r="Y1593" s="679"/>
      <c r="Z1593" s="679"/>
      <c r="AA1593" s="679"/>
      <c r="AB1593" s="680"/>
    </row>
    <row r="1594" spans="2:28" s="780" customFormat="1" hidden="1" x14ac:dyDescent="0.45">
      <c r="B1594" s="1692"/>
      <c r="C1594" s="1698" t="s">
        <v>329</v>
      </c>
      <c r="D1594" s="125" t="s">
        <v>326</v>
      </c>
      <c r="E1594" s="682"/>
      <c r="F1594" s="682"/>
      <c r="G1594" s="682"/>
      <c r="H1594" s="682"/>
      <c r="I1594" s="682"/>
      <c r="J1594" s="682"/>
      <c r="K1594" s="682"/>
      <c r="L1594" s="682"/>
      <c r="M1594" s="682"/>
      <c r="N1594" s="682"/>
      <c r="O1594" s="682"/>
      <c r="P1594" s="682"/>
      <c r="Q1594" s="682"/>
      <c r="R1594" s="682"/>
      <c r="S1594" s="682"/>
      <c r="T1594" s="682"/>
      <c r="U1594" s="682"/>
      <c r="V1594" s="682"/>
      <c r="W1594" s="682"/>
      <c r="X1594" s="682"/>
      <c r="Y1594" s="683"/>
      <c r="Z1594" s="683"/>
      <c r="AA1594" s="683"/>
      <c r="AB1594" s="684"/>
    </row>
    <row r="1595" spans="2:28" s="780" customFormat="1" hidden="1" x14ac:dyDescent="0.45">
      <c r="B1595" s="1692"/>
      <c r="C1595" s="1695"/>
      <c r="D1595" s="124" t="s">
        <v>327</v>
      </c>
      <c r="E1595" s="675"/>
      <c r="F1595" s="675"/>
      <c r="G1595" s="675"/>
      <c r="H1595" s="675"/>
      <c r="I1595" s="675"/>
      <c r="J1595" s="675"/>
      <c r="K1595" s="675"/>
      <c r="L1595" s="675"/>
      <c r="M1595" s="675"/>
      <c r="N1595" s="675"/>
      <c r="O1595" s="675"/>
      <c r="P1595" s="675"/>
      <c r="Q1595" s="675"/>
      <c r="R1595" s="675"/>
      <c r="S1595" s="675"/>
      <c r="T1595" s="675"/>
      <c r="U1595" s="675"/>
      <c r="V1595" s="675"/>
      <c r="W1595" s="675"/>
      <c r="X1595" s="675"/>
      <c r="Y1595" s="676"/>
      <c r="Z1595" s="676"/>
      <c r="AA1595" s="676"/>
      <c r="AB1595" s="677"/>
    </row>
    <row r="1596" spans="2:28" s="780" customFormat="1" hidden="1" x14ac:dyDescent="0.45">
      <c r="B1596" s="1692"/>
      <c r="C1596" s="1696" t="s">
        <v>330</v>
      </c>
      <c r="D1596" s="122" t="s">
        <v>326</v>
      </c>
      <c r="E1596" s="678"/>
      <c r="F1596" s="678"/>
      <c r="G1596" s="678"/>
      <c r="H1596" s="678"/>
      <c r="I1596" s="678"/>
      <c r="J1596" s="678"/>
      <c r="K1596" s="678"/>
      <c r="L1596" s="678"/>
      <c r="M1596" s="678"/>
      <c r="N1596" s="678"/>
      <c r="O1596" s="678"/>
      <c r="P1596" s="678"/>
      <c r="Q1596" s="678"/>
      <c r="R1596" s="678"/>
      <c r="S1596" s="678"/>
      <c r="T1596" s="678"/>
      <c r="U1596" s="678"/>
      <c r="V1596" s="678"/>
      <c r="W1596" s="678"/>
      <c r="X1596" s="678"/>
      <c r="Y1596" s="679"/>
      <c r="Z1596" s="679"/>
      <c r="AA1596" s="679"/>
      <c r="AB1596" s="680"/>
    </row>
    <row r="1597" spans="2:28" s="780" customFormat="1" hidden="1" x14ac:dyDescent="0.45">
      <c r="B1597" s="1692"/>
      <c r="C1597" s="1697"/>
      <c r="D1597" s="122" t="s">
        <v>327</v>
      </c>
      <c r="E1597" s="678"/>
      <c r="F1597" s="678"/>
      <c r="G1597" s="678"/>
      <c r="H1597" s="678"/>
      <c r="I1597" s="678"/>
      <c r="J1597" s="678"/>
      <c r="K1597" s="678"/>
      <c r="L1597" s="678"/>
      <c r="M1597" s="678"/>
      <c r="N1597" s="678"/>
      <c r="O1597" s="678"/>
      <c r="P1597" s="678"/>
      <c r="Q1597" s="678"/>
      <c r="R1597" s="678"/>
      <c r="S1597" s="678"/>
      <c r="T1597" s="678"/>
      <c r="U1597" s="678"/>
      <c r="V1597" s="678"/>
      <c r="W1597" s="678"/>
      <c r="X1597" s="681"/>
      <c r="Y1597" s="679"/>
      <c r="Z1597" s="679"/>
      <c r="AA1597" s="679"/>
      <c r="AB1597" s="680"/>
    </row>
    <row r="1598" spans="2:28" s="780" customFormat="1" hidden="1" x14ac:dyDescent="0.45">
      <c r="B1598" s="1692"/>
      <c r="C1598" s="1698" t="s">
        <v>331</v>
      </c>
      <c r="D1598" s="125" t="s">
        <v>326</v>
      </c>
      <c r="E1598" s="682"/>
      <c r="F1598" s="682"/>
      <c r="G1598" s="685"/>
      <c r="H1598" s="682"/>
      <c r="I1598" s="682"/>
      <c r="J1598" s="682"/>
      <c r="K1598" s="682"/>
      <c r="L1598" s="682"/>
      <c r="M1598" s="682"/>
      <c r="N1598" s="682"/>
      <c r="O1598" s="682"/>
      <c r="P1598" s="682"/>
      <c r="Q1598" s="682"/>
      <c r="R1598" s="682"/>
      <c r="S1598" s="682"/>
      <c r="T1598" s="682"/>
      <c r="U1598" s="682"/>
      <c r="V1598" s="682"/>
      <c r="W1598" s="682"/>
      <c r="X1598" s="682"/>
      <c r="Y1598" s="683"/>
      <c r="Z1598" s="683"/>
      <c r="AA1598" s="683"/>
      <c r="AB1598" s="684"/>
    </row>
    <row r="1599" spans="2:28" s="780" customFormat="1" hidden="1" x14ac:dyDescent="0.45">
      <c r="B1599" s="1692"/>
      <c r="C1599" s="1695"/>
      <c r="D1599" s="124" t="s">
        <v>327</v>
      </c>
      <c r="E1599" s="675"/>
      <c r="F1599" s="675"/>
      <c r="G1599" s="686"/>
      <c r="H1599" s="675"/>
      <c r="I1599" s="675"/>
      <c r="J1599" s="675"/>
      <c r="K1599" s="675"/>
      <c r="L1599" s="675"/>
      <c r="M1599" s="675"/>
      <c r="N1599" s="675"/>
      <c r="O1599" s="675"/>
      <c r="P1599" s="675"/>
      <c r="Q1599" s="675"/>
      <c r="R1599" s="675"/>
      <c r="S1599" s="675"/>
      <c r="T1599" s="675"/>
      <c r="U1599" s="675"/>
      <c r="V1599" s="675"/>
      <c r="W1599" s="675"/>
      <c r="X1599" s="675"/>
      <c r="Y1599" s="676"/>
      <c r="Z1599" s="676"/>
      <c r="AA1599" s="676"/>
      <c r="AB1599" s="677"/>
    </row>
    <row r="1600" spans="2:28" s="780" customFormat="1" hidden="1" x14ac:dyDescent="0.45">
      <c r="B1600" s="1692"/>
      <c r="C1600" s="1696" t="s">
        <v>332</v>
      </c>
      <c r="D1600" s="122" t="s">
        <v>326</v>
      </c>
      <c r="E1600" s="678"/>
      <c r="F1600" s="678"/>
      <c r="G1600" s="678"/>
      <c r="H1600" s="678"/>
      <c r="I1600" s="678"/>
      <c r="J1600" s="678"/>
      <c r="K1600" s="678"/>
      <c r="L1600" s="678"/>
      <c r="M1600" s="678"/>
      <c r="N1600" s="678"/>
      <c r="O1600" s="678"/>
      <c r="P1600" s="678"/>
      <c r="Q1600" s="678"/>
      <c r="R1600" s="678"/>
      <c r="S1600" s="678"/>
      <c r="T1600" s="678"/>
      <c r="U1600" s="678"/>
      <c r="V1600" s="678"/>
      <c r="W1600" s="679"/>
      <c r="X1600" s="679"/>
      <c r="Y1600" s="679"/>
      <c r="Z1600" s="679"/>
      <c r="AA1600" s="679"/>
      <c r="AB1600" s="680"/>
    </row>
    <row r="1601" spans="2:28" s="780" customFormat="1" hidden="1" x14ac:dyDescent="0.45">
      <c r="B1601" s="1692"/>
      <c r="C1601" s="1697"/>
      <c r="D1601" s="122" t="s">
        <v>327</v>
      </c>
      <c r="E1601" s="678"/>
      <c r="F1601" s="678"/>
      <c r="G1601" s="678"/>
      <c r="H1601" s="678"/>
      <c r="I1601" s="678"/>
      <c r="J1601" s="678"/>
      <c r="K1601" s="678"/>
      <c r="L1601" s="678"/>
      <c r="M1601" s="678"/>
      <c r="N1601" s="678"/>
      <c r="O1601" s="678"/>
      <c r="P1601" s="678"/>
      <c r="Q1601" s="678"/>
      <c r="R1601" s="678"/>
      <c r="S1601" s="678"/>
      <c r="T1601" s="678"/>
      <c r="U1601" s="678"/>
      <c r="V1601" s="678"/>
      <c r="W1601" s="678"/>
      <c r="X1601" s="678"/>
      <c r="Y1601" s="679"/>
      <c r="Z1601" s="679"/>
      <c r="AA1601" s="679"/>
      <c r="AB1601" s="680"/>
    </row>
    <row r="1602" spans="2:28" s="780" customFormat="1" hidden="1" x14ac:dyDescent="0.45">
      <c r="B1602" s="1692"/>
      <c r="C1602" s="1698" t="s">
        <v>333</v>
      </c>
      <c r="D1602" s="124" t="s">
        <v>326</v>
      </c>
      <c r="E1602" s="675"/>
      <c r="F1602" s="675"/>
      <c r="G1602" s="675"/>
      <c r="H1602" s="675"/>
      <c r="I1602" s="675"/>
      <c r="J1602" s="675"/>
      <c r="K1602" s="675"/>
      <c r="L1602" s="675"/>
      <c r="M1602" s="675"/>
      <c r="N1602" s="675"/>
      <c r="O1602" s="675"/>
      <c r="P1602" s="675"/>
      <c r="Q1602" s="675"/>
      <c r="R1602" s="675"/>
      <c r="S1602" s="675"/>
      <c r="T1602" s="675"/>
      <c r="U1602" s="675"/>
      <c r="V1602" s="675"/>
      <c r="W1602" s="676"/>
      <c r="X1602" s="676"/>
      <c r="Y1602" s="676"/>
      <c r="Z1602" s="676"/>
      <c r="AA1602" s="676"/>
      <c r="AB1602" s="677"/>
    </row>
    <row r="1603" spans="2:28" s="780" customFormat="1" hidden="1" x14ac:dyDescent="0.45">
      <c r="B1603" s="1693"/>
      <c r="C1603" s="1699"/>
      <c r="D1603" s="126" t="s">
        <v>327</v>
      </c>
      <c r="E1603" s="687"/>
      <c r="F1603" s="687"/>
      <c r="G1603" s="687"/>
      <c r="H1603" s="687"/>
      <c r="I1603" s="687"/>
      <c r="J1603" s="687"/>
      <c r="K1603" s="687"/>
      <c r="L1603" s="687"/>
      <c r="M1603" s="687"/>
      <c r="N1603" s="687"/>
      <c r="O1603" s="687"/>
      <c r="P1603" s="687"/>
      <c r="Q1603" s="687"/>
      <c r="R1603" s="687"/>
      <c r="S1603" s="687"/>
      <c r="T1603" s="687"/>
      <c r="U1603" s="687"/>
      <c r="V1603" s="687"/>
      <c r="W1603" s="687"/>
      <c r="X1603" s="687"/>
      <c r="Y1603" s="687"/>
      <c r="Z1603" s="687"/>
      <c r="AA1603" s="687"/>
      <c r="AB1603" s="688"/>
    </row>
    <row r="1604" spans="2:28" s="780" customFormat="1" hidden="1" x14ac:dyDescent="0.45"/>
    <row r="1605" spans="2:28" s="780" customFormat="1" hidden="1" x14ac:dyDescent="0.45">
      <c r="B1605" s="1688" t="s">
        <v>54</v>
      </c>
      <c r="C1605" s="1689"/>
      <c r="D1605" s="1690"/>
      <c r="E1605" s="779">
        <v>3</v>
      </c>
      <c r="F1605" s="779">
        <v>3</v>
      </c>
      <c r="G1605" s="779">
        <v>3</v>
      </c>
      <c r="H1605" s="779">
        <v>3</v>
      </c>
      <c r="I1605" s="779">
        <v>3</v>
      </c>
      <c r="J1605" s="779">
        <v>3</v>
      </c>
      <c r="K1605" s="779">
        <v>3</v>
      </c>
      <c r="L1605" s="779">
        <v>3</v>
      </c>
      <c r="M1605" s="779">
        <v>3</v>
      </c>
      <c r="N1605" s="779">
        <v>3</v>
      </c>
      <c r="O1605" s="779">
        <v>3</v>
      </c>
      <c r="P1605" s="779">
        <v>3</v>
      </c>
      <c r="Q1605" s="779">
        <v>3</v>
      </c>
      <c r="R1605" s="779">
        <v>3</v>
      </c>
      <c r="S1605" s="779">
        <v>3</v>
      </c>
      <c r="T1605" s="779">
        <v>3</v>
      </c>
      <c r="U1605" s="779">
        <v>3</v>
      </c>
      <c r="V1605" s="779">
        <v>3</v>
      </c>
      <c r="W1605" s="779">
        <v>3</v>
      </c>
      <c r="X1605" s="779">
        <v>3</v>
      </c>
      <c r="Y1605" s="779">
        <v>3</v>
      </c>
      <c r="Z1605" s="779">
        <v>3</v>
      </c>
      <c r="AA1605" s="779">
        <v>3</v>
      </c>
      <c r="AB1605" s="708">
        <v>3</v>
      </c>
    </row>
    <row r="1606" spans="2:28" s="780" customFormat="1" ht="15" hidden="1" customHeight="1" x14ac:dyDescent="0.45">
      <c r="B1606" s="1691" t="str">
        <f>CONCATENATE("Plan ", INDEX(plans_index,,(ROW(B1606)-6)/16), ": ", INDEX(plans_name,,(ROW(B1606)-6)/16))</f>
        <v>Plan 100: Tracker Tester</v>
      </c>
      <c r="C1606" s="1694" t="s">
        <v>325</v>
      </c>
      <c r="D1606" s="123" t="s">
        <v>326</v>
      </c>
      <c r="E1606" s="672"/>
      <c r="F1606" s="672"/>
      <c r="G1606" s="672"/>
      <c r="H1606" s="673"/>
      <c r="I1606" s="672"/>
      <c r="J1606" s="672"/>
      <c r="K1606" s="672"/>
      <c r="L1606" s="672"/>
      <c r="M1606" s="672"/>
      <c r="N1606" s="672"/>
      <c r="O1606" s="672"/>
      <c r="P1606" s="672"/>
      <c r="Q1606" s="672"/>
      <c r="R1606" s="672"/>
      <c r="S1606" s="672"/>
      <c r="T1606" s="672"/>
      <c r="U1606" s="672"/>
      <c r="V1606" s="672"/>
      <c r="W1606" s="672"/>
      <c r="X1606" s="672"/>
      <c r="Y1606" s="672"/>
      <c r="Z1606" s="672"/>
      <c r="AA1606" s="672"/>
      <c r="AB1606" s="674"/>
    </row>
    <row r="1607" spans="2:28" s="780" customFormat="1" hidden="1" x14ac:dyDescent="0.45">
      <c r="B1607" s="1692"/>
      <c r="C1607" s="1695"/>
      <c r="D1607" s="124" t="s">
        <v>327</v>
      </c>
      <c r="E1607" s="675">
        <v>11</v>
      </c>
      <c r="F1607" s="675">
        <v>11</v>
      </c>
      <c r="G1607" s="675">
        <v>11</v>
      </c>
      <c r="H1607" s="675">
        <v>11</v>
      </c>
      <c r="I1607" s="675">
        <v>11</v>
      </c>
      <c r="J1607" s="675">
        <v>11</v>
      </c>
      <c r="K1607" s="675">
        <v>11</v>
      </c>
      <c r="L1607" s="675">
        <v>11</v>
      </c>
      <c r="M1607" s="675">
        <v>11</v>
      </c>
      <c r="N1607" s="675">
        <v>11</v>
      </c>
      <c r="O1607" s="675">
        <v>11</v>
      </c>
      <c r="P1607" s="675">
        <v>11</v>
      </c>
      <c r="Q1607" s="675">
        <v>12</v>
      </c>
      <c r="R1607" s="675">
        <v>12</v>
      </c>
      <c r="S1607" s="675">
        <v>12</v>
      </c>
      <c r="T1607" s="675">
        <v>12</v>
      </c>
      <c r="U1607" s="675">
        <v>12</v>
      </c>
      <c r="V1607" s="675">
        <v>12</v>
      </c>
      <c r="W1607" s="675"/>
      <c r="X1607" s="675"/>
      <c r="Y1607" s="676"/>
      <c r="Z1607" s="676"/>
      <c r="AA1607" s="676"/>
      <c r="AB1607" s="677"/>
    </row>
    <row r="1608" spans="2:28" s="780" customFormat="1" hidden="1" x14ac:dyDescent="0.45">
      <c r="B1608" s="1692"/>
      <c r="C1608" s="1696" t="s">
        <v>328</v>
      </c>
      <c r="D1608" s="122" t="s">
        <v>326</v>
      </c>
      <c r="E1608" s="678"/>
      <c r="F1608" s="678"/>
      <c r="G1608" s="678"/>
      <c r="H1608" s="678"/>
      <c r="I1608" s="678"/>
      <c r="J1608" s="678"/>
      <c r="K1608" s="678"/>
      <c r="L1608" s="678"/>
      <c r="M1608" s="678"/>
      <c r="N1608" s="678"/>
      <c r="O1608" s="678"/>
      <c r="P1608" s="678"/>
      <c r="Q1608" s="678"/>
      <c r="R1608" s="678"/>
      <c r="S1608" s="678"/>
      <c r="T1608" s="678"/>
      <c r="U1608" s="678"/>
      <c r="V1608" s="678"/>
      <c r="W1608" s="678"/>
      <c r="X1608" s="678"/>
      <c r="Y1608" s="679"/>
      <c r="Z1608" s="679"/>
      <c r="AA1608" s="679"/>
      <c r="AB1608" s="680"/>
    </row>
    <row r="1609" spans="2:28" s="780" customFormat="1" hidden="1" x14ac:dyDescent="0.45">
      <c r="B1609" s="1692"/>
      <c r="C1609" s="1697"/>
      <c r="D1609" s="122" t="s">
        <v>327</v>
      </c>
      <c r="E1609" s="678">
        <v>11</v>
      </c>
      <c r="F1609" s="678">
        <v>11</v>
      </c>
      <c r="G1609" s="678">
        <v>11</v>
      </c>
      <c r="H1609" s="678">
        <v>11</v>
      </c>
      <c r="I1609" s="678">
        <v>11</v>
      </c>
      <c r="J1609" s="678">
        <v>11</v>
      </c>
      <c r="K1609" s="678">
        <v>11</v>
      </c>
      <c r="L1609" s="678">
        <v>11</v>
      </c>
      <c r="M1609" s="678">
        <v>11</v>
      </c>
      <c r="N1609" s="678">
        <v>11</v>
      </c>
      <c r="O1609" s="678">
        <v>11</v>
      </c>
      <c r="P1609" s="678">
        <v>11</v>
      </c>
      <c r="Q1609" s="678">
        <v>12</v>
      </c>
      <c r="R1609" s="678">
        <v>12</v>
      </c>
      <c r="S1609" s="678">
        <v>12</v>
      </c>
      <c r="T1609" s="678">
        <v>12</v>
      </c>
      <c r="U1609" s="678">
        <v>12</v>
      </c>
      <c r="V1609" s="678">
        <v>12</v>
      </c>
      <c r="W1609" s="678"/>
      <c r="X1609" s="681"/>
      <c r="Y1609" s="679"/>
      <c r="Z1609" s="679"/>
      <c r="AA1609" s="679"/>
      <c r="AB1609" s="680"/>
    </row>
    <row r="1610" spans="2:28" s="780" customFormat="1" hidden="1" x14ac:dyDescent="0.45">
      <c r="B1610" s="1692"/>
      <c r="C1610" s="1698" t="s">
        <v>329</v>
      </c>
      <c r="D1610" s="125" t="s">
        <v>326</v>
      </c>
      <c r="E1610" s="682"/>
      <c r="F1610" s="682"/>
      <c r="G1610" s="682"/>
      <c r="H1610" s="682"/>
      <c r="I1610" s="682"/>
      <c r="J1610" s="682"/>
      <c r="K1610" s="682"/>
      <c r="L1610" s="682"/>
      <c r="M1610" s="682"/>
      <c r="N1610" s="682"/>
      <c r="O1610" s="682"/>
      <c r="P1610" s="682"/>
      <c r="Q1610" s="682"/>
      <c r="R1610" s="682"/>
      <c r="S1610" s="682"/>
      <c r="T1610" s="682"/>
      <c r="U1610" s="682"/>
      <c r="V1610" s="682"/>
      <c r="W1610" s="682"/>
      <c r="X1610" s="682"/>
      <c r="Y1610" s="683"/>
      <c r="Z1610" s="683"/>
      <c r="AA1610" s="683"/>
      <c r="AB1610" s="684"/>
    </row>
    <row r="1611" spans="2:28" s="780" customFormat="1" hidden="1" x14ac:dyDescent="0.45">
      <c r="B1611" s="1692"/>
      <c r="C1611" s="1695"/>
      <c r="D1611" s="124" t="s">
        <v>327</v>
      </c>
      <c r="E1611" s="675">
        <v>11</v>
      </c>
      <c r="F1611" s="675">
        <v>11</v>
      </c>
      <c r="G1611" s="675">
        <v>11</v>
      </c>
      <c r="H1611" s="675">
        <v>11</v>
      </c>
      <c r="I1611" s="675">
        <v>11</v>
      </c>
      <c r="J1611" s="675">
        <v>11</v>
      </c>
      <c r="K1611" s="675">
        <v>11</v>
      </c>
      <c r="L1611" s="675">
        <v>11</v>
      </c>
      <c r="M1611" s="675">
        <v>11</v>
      </c>
      <c r="N1611" s="675">
        <v>11</v>
      </c>
      <c r="O1611" s="675">
        <v>11</v>
      </c>
      <c r="P1611" s="675">
        <v>11</v>
      </c>
      <c r="Q1611" s="675">
        <v>12</v>
      </c>
      <c r="R1611" s="675">
        <v>12</v>
      </c>
      <c r="S1611" s="675">
        <v>12</v>
      </c>
      <c r="T1611" s="675">
        <v>12</v>
      </c>
      <c r="U1611" s="675">
        <v>12</v>
      </c>
      <c r="V1611" s="675">
        <v>12</v>
      </c>
      <c r="W1611" s="675"/>
      <c r="X1611" s="675"/>
      <c r="Y1611" s="676"/>
      <c r="Z1611" s="676"/>
      <c r="AA1611" s="676"/>
      <c r="AB1611" s="677"/>
    </row>
    <row r="1612" spans="2:28" s="780" customFormat="1" hidden="1" x14ac:dyDescent="0.45">
      <c r="B1612" s="1692"/>
      <c r="C1612" s="1696" t="s">
        <v>330</v>
      </c>
      <c r="D1612" s="122" t="s">
        <v>326</v>
      </c>
      <c r="E1612" s="678"/>
      <c r="F1612" s="678"/>
      <c r="G1612" s="678"/>
      <c r="H1612" s="678"/>
      <c r="I1612" s="678"/>
      <c r="J1612" s="678"/>
      <c r="K1612" s="678"/>
      <c r="L1612" s="678"/>
      <c r="M1612" s="678"/>
      <c r="N1612" s="678"/>
      <c r="O1612" s="678"/>
      <c r="P1612" s="678"/>
      <c r="Q1612" s="678"/>
      <c r="R1612" s="678"/>
      <c r="S1612" s="678"/>
      <c r="T1612" s="678"/>
      <c r="U1612" s="678"/>
      <c r="V1612" s="678"/>
      <c r="W1612" s="678"/>
      <c r="X1612" s="678"/>
      <c r="Y1612" s="679"/>
      <c r="Z1612" s="679"/>
      <c r="AA1612" s="679"/>
      <c r="AB1612" s="680"/>
    </row>
    <row r="1613" spans="2:28" s="780" customFormat="1" hidden="1" x14ac:dyDescent="0.45">
      <c r="B1613" s="1692"/>
      <c r="C1613" s="1697"/>
      <c r="D1613" s="122" t="s">
        <v>327</v>
      </c>
      <c r="E1613" s="678">
        <v>11</v>
      </c>
      <c r="F1613" s="678">
        <v>11</v>
      </c>
      <c r="G1613" s="678">
        <v>11</v>
      </c>
      <c r="H1613" s="678">
        <v>11</v>
      </c>
      <c r="I1613" s="678">
        <v>11</v>
      </c>
      <c r="J1613" s="678">
        <v>11</v>
      </c>
      <c r="K1613" s="678">
        <v>11</v>
      </c>
      <c r="L1613" s="678">
        <v>11</v>
      </c>
      <c r="M1613" s="678">
        <v>11</v>
      </c>
      <c r="N1613" s="678">
        <v>11</v>
      </c>
      <c r="O1613" s="678">
        <v>11</v>
      </c>
      <c r="P1613" s="678">
        <v>11</v>
      </c>
      <c r="Q1613" s="678">
        <v>12</v>
      </c>
      <c r="R1613" s="678">
        <v>12</v>
      </c>
      <c r="S1613" s="678">
        <v>12</v>
      </c>
      <c r="T1613" s="678">
        <v>12</v>
      </c>
      <c r="U1613" s="678">
        <v>12</v>
      </c>
      <c r="V1613" s="678">
        <v>12</v>
      </c>
      <c r="W1613" s="678"/>
      <c r="X1613" s="681"/>
      <c r="Y1613" s="679"/>
      <c r="Z1613" s="679"/>
      <c r="AA1613" s="679"/>
      <c r="AB1613" s="680"/>
    </row>
    <row r="1614" spans="2:28" s="780" customFormat="1" hidden="1" x14ac:dyDescent="0.45">
      <c r="B1614" s="1692"/>
      <c r="C1614" s="1698" t="s">
        <v>331</v>
      </c>
      <c r="D1614" s="125" t="s">
        <v>326</v>
      </c>
      <c r="E1614" s="682"/>
      <c r="F1614" s="682"/>
      <c r="G1614" s="685"/>
      <c r="H1614" s="682"/>
      <c r="I1614" s="682"/>
      <c r="J1614" s="682"/>
      <c r="K1614" s="682"/>
      <c r="L1614" s="682"/>
      <c r="M1614" s="682"/>
      <c r="N1614" s="682"/>
      <c r="O1614" s="682"/>
      <c r="P1614" s="682"/>
      <c r="Q1614" s="682"/>
      <c r="R1614" s="682"/>
      <c r="S1614" s="682"/>
      <c r="T1614" s="682"/>
      <c r="U1614" s="682"/>
      <c r="V1614" s="682"/>
      <c r="W1614" s="682"/>
      <c r="X1614" s="682"/>
      <c r="Y1614" s="683"/>
      <c r="Z1614" s="683"/>
      <c r="AA1614" s="683"/>
      <c r="AB1614" s="684"/>
    </row>
    <row r="1615" spans="2:28" s="780" customFormat="1" hidden="1" x14ac:dyDescent="0.45">
      <c r="B1615" s="1692"/>
      <c r="C1615" s="1695"/>
      <c r="D1615" s="124" t="s">
        <v>327</v>
      </c>
      <c r="E1615" s="675">
        <v>11</v>
      </c>
      <c r="F1615" s="675">
        <v>11</v>
      </c>
      <c r="G1615" s="686">
        <v>11</v>
      </c>
      <c r="H1615" s="675">
        <v>11</v>
      </c>
      <c r="I1615" s="675">
        <v>11</v>
      </c>
      <c r="J1615" s="675">
        <v>11</v>
      </c>
      <c r="K1615" s="675">
        <v>11</v>
      </c>
      <c r="L1615" s="675">
        <v>11</v>
      </c>
      <c r="M1615" s="675">
        <v>11</v>
      </c>
      <c r="N1615" s="675">
        <v>11</v>
      </c>
      <c r="O1615" s="675">
        <v>11</v>
      </c>
      <c r="P1615" s="675">
        <v>11</v>
      </c>
      <c r="Q1615" s="675">
        <v>12</v>
      </c>
      <c r="R1615" s="675">
        <v>12</v>
      </c>
      <c r="S1615" s="675">
        <v>12</v>
      </c>
      <c r="T1615" s="675">
        <v>12</v>
      </c>
      <c r="U1615" s="675">
        <v>12</v>
      </c>
      <c r="V1615" s="675">
        <v>12</v>
      </c>
      <c r="W1615" s="675"/>
      <c r="X1615" s="675"/>
      <c r="Y1615" s="676"/>
      <c r="Z1615" s="676"/>
      <c r="AA1615" s="676"/>
      <c r="AB1615" s="677"/>
    </row>
    <row r="1616" spans="2:28" s="780" customFormat="1" hidden="1" x14ac:dyDescent="0.45">
      <c r="B1616" s="1692"/>
      <c r="C1616" s="1696" t="s">
        <v>332</v>
      </c>
      <c r="D1616" s="122" t="s">
        <v>326</v>
      </c>
      <c r="E1616" s="678"/>
      <c r="F1616" s="678"/>
      <c r="G1616" s="678"/>
      <c r="H1616" s="678"/>
      <c r="I1616" s="678"/>
      <c r="J1616" s="678"/>
      <c r="K1616" s="678"/>
      <c r="L1616" s="678"/>
      <c r="M1616" s="678"/>
      <c r="N1616" s="678"/>
      <c r="O1616" s="678"/>
      <c r="P1616" s="678"/>
      <c r="Q1616" s="678"/>
      <c r="R1616" s="678"/>
      <c r="S1616" s="678"/>
      <c r="T1616" s="678"/>
      <c r="U1616" s="678"/>
      <c r="V1616" s="678"/>
      <c r="W1616" s="679"/>
      <c r="X1616" s="679"/>
      <c r="Y1616" s="679"/>
      <c r="Z1616" s="679"/>
      <c r="AA1616" s="679"/>
      <c r="AB1616" s="680"/>
    </row>
    <row r="1617" spans="2:28" s="780" customFormat="1" hidden="1" x14ac:dyDescent="0.45">
      <c r="B1617" s="1692"/>
      <c r="C1617" s="1697"/>
      <c r="D1617" s="122" t="s">
        <v>327</v>
      </c>
      <c r="E1617" s="678">
        <v>11</v>
      </c>
      <c r="F1617" s="678">
        <v>11</v>
      </c>
      <c r="G1617" s="678">
        <v>11</v>
      </c>
      <c r="H1617" s="678">
        <v>11</v>
      </c>
      <c r="I1617" s="678">
        <v>11</v>
      </c>
      <c r="J1617" s="678">
        <v>11</v>
      </c>
      <c r="K1617" s="678"/>
      <c r="L1617" s="678"/>
      <c r="M1617" s="678"/>
      <c r="N1617" s="678"/>
      <c r="O1617" s="678"/>
      <c r="P1617" s="678"/>
      <c r="Q1617" s="678">
        <v>12</v>
      </c>
      <c r="R1617" s="678">
        <v>12</v>
      </c>
      <c r="S1617" s="678">
        <v>12</v>
      </c>
      <c r="T1617" s="678">
        <v>12</v>
      </c>
      <c r="U1617" s="678">
        <v>12</v>
      </c>
      <c r="V1617" s="678">
        <v>12</v>
      </c>
      <c r="W1617" s="678"/>
      <c r="X1617" s="678"/>
      <c r="Y1617" s="679"/>
      <c r="Z1617" s="679"/>
      <c r="AA1617" s="679"/>
      <c r="AB1617" s="680"/>
    </row>
    <row r="1618" spans="2:28" s="780" customFormat="1" hidden="1" x14ac:dyDescent="0.45">
      <c r="B1618" s="1692"/>
      <c r="C1618" s="1698" t="s">
        <v>333</v>
      </c>
      <c r="D1618" s="124" t="s">
        <v>326</v>
      </c>
      <c r="E1618" s="675"/>
      <c r="F1618" s="675"/>
      <c r="G1618" s="675"/>
      <c r="H1618" s="675"/>
      <c r="I1618" s="675"/>
      <c r="J1618" s="675"/>
      <c r="K1618" s="675"/>
      <c r="L1618" s="675"/>
      <c r="M1618" s="675"/>
      <c r="N1618" s="675"/>
      <c r="O1618" s="675"/>
      <c r="P1618" s="675"/>
      <c r="Q1618" s="675"/>
      <c r="R1618" s="675"/>
      <c r="S1618" s="675"/>
      <c r="T1618" s="675"/>
      <c r="U1618" s="675"/>
      <c r="V1618" s="675"/>
      <c r="W1618" s="676"/>
      <c r="X1618" s="676"/>
      <c r="Y1618" s="676"/>
      <c r="Z1618" s="676"/>
      <c r="AA1618" s="676"/>
      <c r="AB1618" s="677"/>
    </row>
    <row r="1619" spans="2:28" s="780" customFormat="1" hidden="1" x14ac:dyDescent="0.45">
      <c r="B1619" s="1693"/>
      <c r="C1619" s="1699"/>
      <c r="D1619" s="126" t="s">
        <v>327</v>
      </c>
      <c r="E1619" s="687">
        <v>11</v>
      </c>
      <c r="F1619" s="687">
        <v>11</v>
      </c>
      <c r="G1619" s="687">
        <v>11</v>
      </c>
      <c r="H1619" s="687">
        <v>11</v>
      </c>
      <c r="I1619" s="687">
        <v>11</v>
      </c>
      <c r="J1619" s="687">
        <v>11</v>
      </c>
      <c r="K1619" s="687">
        <v>12</v>
      </c>
      <c r="L1619" s="687">
        <v>12</v>
      </c>
      <c r="M1619" s="687">
        <v>12</v>
      </c>
      <c r="N1619" s="687">
        <v>12</v>
      </c>
      <c r="O1619" s="687">
        <v>12</v>
      </c>
      <c r="P1619" s="687">
        <v>12</v>
      </c>
      <c r="Q1619" s="687">
        <v>12</v>
      </c>
      <c r="R1619" s="687">
        <v>12</v>
      </c>
      <c r="S1619" s="687">
        <v>12</v>
      </c>
      <c r="T1619" s="687">
        <v>12</v>
      </c>
      <c r="U1619" s="687">
        <v>12</v>
      </c>
      <c r="V1619" s="687">
        <v>12</v>
      </c>
      <c r="W1619" s="687"/>
      <c r="X1619" s="687"/>
      <c r="Y1619" s="687"/>
      <c r="Z1619" s="687"/>
      <c r="AA1619" s="687"/>
      <c r="AB1619" s="688"/>
    </row>
    <row r="1620" spans="2:28" hidden="1" x14ac:dyDescent="0.45"/>
    <row r="1621" spans="2:28" hidden="1" x14ac:dyDescent="0.45"/>
    <row r="1622" spans="2:28" hidden="1" x14ac:dyDescent="0.45"/>
    <row r="1623" spans="2:28" hidden="1" x14ac:dyDescent="0.45"/>
    <row r="1624" spans="2:28" hidden="1" x14ac:dyDescent="0.45"/>
    <row r="1625" spans="2:28" hidden="1" x14ac:dyDescent="0.45"/>
    <row r="1626" spans="2:28" hidden="1" x14ac:dyDescent="0.45"/>
    <row r="1627" spans="2:28" hidden="1" x14ac:dyDescent="0.45"/>
    <row r="1628" spans="2:28" hidden="1" x14ac:dyDescent="0.45"/>
    <row r="1629" spans="2:28" hidden="1" x14ac:dyDescent="0.45"/>
    <row r="1630" spans="2:28" hidden="1" x14ac:dyDescent="0.45"/>
    <row r="1631" spans="2:28" hidden="1" x14ac:dyDescent="0.45"/>
    <row r="1632" spans="2:28"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pyi6IcclKemLoSXoviBST57ohDmwT2tSRZobWQR61Kd2zIdJRf2Pk6yVQVVBb6B6JNkyOP4984bG1oLU724qNQ==" saltValue="LlUlQOXznoVrfJaqoq+9nw==" spinCount="100000" sheet="1" objects="1" scenarios="1" selectLockedCells="1" selectUnlockedCells="1"/>
  <mergeCells count="914">
    <mergeCell ref="C14:D14"/>
    <mergeCell ref="C15:D15"/>
    <mergeCell ref="C4:D4"/>
    <mergeCell ref="C6:D6"/>
    <mergeCell ref="C7:D7"/>
    <mergeCell ref="B22:B35"/>
    <mergeCell ref="C22:C23"/>
    <mergeCell ref="C24:C25"/>
    <mergeCell ref="C26:C27"/>
    <mergeCell ref="C28:C29"/>
    <mergeCell ref="C30:C31"/>
    <mergeCell ref="C32:C33"/>
    <mergeCell ref="C34:C35"/>
    <mergeCell ref="B21:D21"/>
    <mergeCell ref="C12:D12"/>
    <mergeCell ref="B19:D19"/>
    <mergeCell ref="C8:D8"/>
    <mergeCell ref="C16:D16"/>
    <mergeCell ref="B149:D149"/>
    <mergeCell ref="B150:B163"/>
    <mergeCell ref="C150:C151"/>
    <mergeCell ref="C152:C153"/>
    <mergeCell ref="C154:C155"/>
    <mergeCell ref="C156:C157"/>
    <mergeCell ref="B165:D165"/>
    <mergeCell ref="C128:C129"/>
    <mergeCell ref="C130:C131"/>
    <mergeCell ref="C134:C135"/>
    <mergeCell ref="C136:C137"/>
    <mergeCell ref="C138:C139"/>
    <mergeCell ref="C140:C141"/>
    <mergeCell ref="B133:D133"/>
    <mergeCell ref="B134:B147"/>
    <mergeCell ref="C142:C143"/>
    <mergeCell ref="C144:C145"/>
    <mergeCell ref="C146:C147"/>
    <mergeCell ref="B166:B179"/>
    <mergeCell ref="C172:C173"/>
    <mergeCell ref="C174:C175"/>
    <mergeCell ref="C176:C177"/>
    <mergeCell ref="C178:C179"/>
    <mergeCell ref="B181:D181"/>
    <mergeCell ref="B182:B195"/>
    <mergeCell ref="C158:C159"/>
    <mergeCell ref="C160:C161"/>
    <mergeCell ref="C162:C163"/>
    <mergeCell ref="C166:C167"/>
    <mergeCell ref="C168:C169"/>
    <mergeCell ref="C170:C171"/>
    <mergeCell ref="C182:C183"/>
    <mergeCell ref="C184:C185"/>
    <mergeCell ref="C186:C187"/>
    <mergeCell ref="C248:C249"/>
    <mergeCell ref="C250:C251"/>
    <mergeCell ref="C252:C253"/>
    <mergeCell ref="C254:C255"/>
    <mergeCell ref="C256:C257"/>
    <mergeCell ref="C258:C259"/>
    <mergeCell ref="B261:D261"/>
    <mergeCell ref="C218:C219"/>
    <mergeCell ref="C220:C221"/>
    <mergeCell ref="C222:C223"/>
    <mergeCell ref="C224:C225"/>
    <mergeCell ref="C226:C227"/>
    <mergeCell ref="C230:C231"/>
    <mergeCell ref="B293:D293"/>
    <mergeCell ref="B294:B307"/>
    <mergeCell ref="C294:C295"/>
    <mergeCell ref="C296:C297"/>
    <mergeCell ref="C298:C299"/>
    <mergeCell ref="C300:C301"/>
    <mergeCell ref="C302:C303"/>
    <mergeCell ref="C304:C305"/>
    <mergeCell ref="B278:B291"/>
    <mergeCell ref="C278:C279"/>
    <mergeCell ref="C280:C281"/>
    <mergeCell ref="C282:C283"/>
    <mergeCell ref="C284:C285"/>
    <mergeCell ref="C286:C287"/>
    <mergeCell ref="C288:C289"/>
    <mergeCell ref="C290:C291"/>
    <mergeCell ref="C306:C307"/>
    <mergeCell ref="C342:C343"/>
    <mergeCell ref="C344:C345"/>
    <mergeCell ref="C346:C347"/>
    <mergeCell ref="C348:C349"/>
    <mergeCell ref="C350:C351"/>
    <mergeCell ref="B341:D341"/>
    <mergeCell ref="C310:C311"/>
    <mergeCell ref="C312:C313"/>
    <mergeCell ref="C314:C315"/>
    <mergeCell ref="C316:C317"/>
    <mergeCell ref="C318:C319"/>
    <mergeCell ref="C320:C321"/>
    <mergeCell ref="B342:B355"/>
    <mergeCell ref="C352:C353"/>
    <mergeCell ref="C354:C355"/>
    <mergeCell ref="B389:D389"/>
    <mergeCell ref="B390:B403"/>
    <mergeCell ref="C390:C391"/>
    <mergeCell ref="C392:C393"/>
    <mergeCell ref="C394:C395"/>
    <mergeCell ref="C396:C397"/>
    <mergeCell ref="B405:D405"/>
    <mergeCell ref="C368:C369"/>
    <mergeCell ref="C370:C371"/>
    <mergeCell ref="C374:C375"/>
    <mergeCell ref="C376:C377"/>
    <mergeCell ref="C378:C379"/>
    <mergeCell ref="C380:C381"/>
    <mergeCell ref="B406:B419"/>
    <mergeCell ref="C412:C413"/>
    <mergeCell ref="C414:C415"/>
    <mergeCell ref="C416:C417"/>
    <mergeCell ref="C418:C419"/>
    <mergeCell ref="B421:D421"/>
    <mergeCell ref="B422:B435"/>
    <mergeCell ref="C422:C423"/>
    <mergeCell ref="C398:C399"/>
    <mergeCell ref="C400:C401"/>
    <mergeCell ref="C402:C403"/>
    <mergeCell ref="C406:C407"/>
    <mergeCell ref="C408:C409"/>
    <mergeCell ref="C410:C411"/>
    <mergeCell ref="C424:C425"/>
    <mergeCell ref="C426:C427"/>
    <mergeCell ref="B453:D453"/>
    <mergeCell ref="B454:B467"/>
    <mergeCell ref="C454:C455"/>
    <mergeCell ref="C456:C457"/>
    <mergeCell ref="B469:D469"/>
    <mergeCell ref="C428:C429"/>
    <mergeCell ref="C430:C431"/>
    <mergeCell ref="C432:C433"/>
    <mergeCell ref="C434:C435"/>
    <mergeCell ref="C438:C439"/>
    <mergeCell ref="C440:C441"/>
    <mergeCell ref="B437:D437"/>
    <mergeCell ref="B438:B451"/>
    <mergeCell ref="C442:C443"/>
    <mergeCell ref="C444:C445"/>
    <mergeCell ref="C446:C447"/>
    <mergeCell ref="C448:C449"/>
    <mergeCell ref="C450:C451"/>
    <mergeCell ref="B470:B483"/>
    <mergeCell ref="C472:C473"/>
    <mergeCell ref="C474:C475"/>
    <mergeCell ref="C476:C477"/>
    <mergeCell ref="C478:C479"/>
    <mergeCell ref="C480:C481"/>
    <mergeCell ref="C482:C483"/>
    <mergeCell ref="C458:C459"/>
    <mergeCell ref="C460:C461"/>
    <mergeCell ref="C462:C463"/>
    <mergeCell ref="C464:C465"/>
    <mergeCell ref="C466:C467"/>
    <mergeCell ref="C470:C471"/>
    <mergeCell ref="C550:C551"/>
    <mergeCell ref="C552:C553"/>
    <mergeCell ref="C554:C555"/>
    <mergeCell ref="C556:C557"/>
    <mergeCell ref="C558:C559"/>
    <mergeCell ref="C560:C561"/>
    <mergeCell ref="C568:C569"/>
    <mergeCell ref="C570:C571"/>
    <mergeCell ref="C572:C573"/>
    <mergeCell ref="B565:D565"/>
    <mergeCell ref="B582:B595"/>
    <mergeCell ref="C592:C593"/>
    <mergeCell ref="C594:C595"/>
    <mergeCell ref="B597:D597"/>
    <mergeCell ref="B598:B611"/>
    <mergeCell ref="C598:C599"/>
    <mergeCell ref="C600:C601"/>
    <mergeCell ref="C602:C603"/>
    <mergeCell ref="C578:C579"/>
    <mergeCell ref="C582:C583"/>
    <mergeCell ref="C584:C585"/>
    <mergeCell ref="C586:C587"/>
    <mergeCell ref="C588:C589"/>
    <mergeCell ref="C590:C591"/>
    <mergeCell ref="C604:C605"/>
    <mergeCell ref="C606:C607"/>
    <mergeCell ref="B566:B579"/>
    <mergeCell ref="C566:C567"/>
    <mergeCell ref="C574:C575"/>
    <mergeCell ref="C576:C577"/>
    <mergeCell ref="B581:D581"/>
    <mergeCell ref="B693:D693"/>
    <mergeCell ref="B694:B707"/>
    <mergeCell ref="C694:C695"/>
    <mergeCell ref="C696:C697"/>
    <mergeCell ref="B709:D709"/>
    <mergeCell ref="C668:C669"/>
    <mergeCell ref="C670:C671"/>
    <mergeCell ref="C672:C673"/>
    <mergeCell ref="C674:C675"/>
    <mergeCell ref="C678:C679"/>
    <mergeCell ref="C680:C681"/>
    <mergeCell ref="B678:B691"/>
    <mergeCell ref="C682:C683"/>
    <mergeCell ref="C684:C685"/>
    <mergeCell ref="C686:C687"/>
    <mergeCell ref="C688:C689"/>
    <mergeCell ref="C690:C691"/>
    <mergeCell ref="B710:B723"/>
    <mergeCell ref="C712:C713"/>
    <mergeCell ref="C714:C715"/>
    <mergeCell ref="C716:C717"/>
    <mergeCell ref="C718:C719"/>
    <mergeCell ref="C720:C721"/>
    <mergeCell ref="C722:C723"/>
    <mergeCell ref="B725:D725"/>
    <mergeCell ref="C698:C699"/>
    <mergeCell ref="C700:C701"/>
    <mergeCell ref="C702:C703"/>
    <mergeCell ref="C704:C705"/>
    <mergeCell ref="C706:C707"/>
    <mergeCell ref="C710:C711"/>
    <mergeCell ref="B773:D773"/>
    <mergeCell ref="B774:B787"/>
    <mergeCell ref="C774:C775"/>
    <mergeCell ref="C776:C777"/>
    <mergeCell ref="C778:C779"/>
    <mergeCell ref="C780:C781"/>
    <mergeCell ref="C782:C783"/>
    <mergeCell ref="B758:B771"/>
    <mergeCell ref="C758:C759"/>
    <mergeCell ref="C760:C761"/>
    <mergeCell ref="C762:C763"/>
    <mergeCell ref="C764:C765"/>
    <mergeCell ref="C766:C767"/>
    <mergeCell ref="C768:C769"/>
    <mergeCell ref="C770:C771"/>
    <mergeCell ref="C784:C785"/>
    <mergeCell ref="C786:C787"/>
    <mergeCell ref="B869:D869"/>
    <mergeCell ref="B870:B883"/>
    <mergeCell ref="C870:C871"/>
    <mergeCell ref="C872:C873"/>
    <mergeCell ref="C874:C875"/>
    <mergeCell ref="C876:C877"/>
    <mergeCell ref="B885:D885"/>
    <mergeCell ref="C848:C849"/>
    <mergeCell ref="C850:C851"/>
    <mergeCell ref="C854:C855"/>
    <mergeCell ref="C856:C857"/>
    <mergeCell ref="C858:C859"/>
    <mergeCell ref="C860:C861"/>
    <mergeCell ref="B853:D853"/>
    <mergeCell ref="B854:B867"/>
    <mergeCell ref="C862:C863"/>
    <mergeCell ref="C864:C865"/>
    <mergeCell ref="C866:C867"/>
    <mergeCell ref="B886:B899"/>
    <mergeCell ref="C892:C893"/>
    <mergeCell ref="C894:C895"/>
    <mergeCell ref="C896:C897"/>
    <mergeCell ref="C898:C899"/>
    <mergeCell ref="B901:D901"/>
    <mergeCell ref="B902:B915"/>
    <mergeCell ref="C902:C903"/>
    <mergeCell ref="C878:C879"/>
    <mergeCell ref="C880:C881"/>
    <mergeCell ref="C882:C883"/>
    <mergeCell ref="C886:C887"/>
    <mergeCell ref="C888:C889"/>
    <mergeCell ref="C890:C891"/>
    <mergeCell ref="C904:C905"/>
    <mergeCell ref="C906:C907"/>
    <mergeCell ref="C938:C939"/>
    <mergeCell ref="C940:C941"/>
    <mergeCell ref="C942:C943"/>
    <mergeCell ref="C944:C945"/>
    <mergeCell ref="C946:C947"/>
    <mergeCell ref="C950:C951"/>
    <mergeCell ref="B933:D933"/>
    <mergeCell ref="B934:B947"/>
    <mergeCell ref="C934:C935"/>
    <mergeCell ref="C936:C937"/>
    <mergeCell ref="B949:D949"/>
    <mergeCell ref="C988:C989"/>
    <mergeCell ref="C990:C991"/>
    <mergeCell ref="C992:C993"/>
    <mergeCell ref="C994:C995"/>
    <mergeCell ref="C968:C969"/>
    <mergeCell ref="C970:C971"/>
    <mergeCell ref="C972:C973"/>
    <mergeCell ref="C974:C975"/>
    <mergeCell ref="C976:C977"/>
    <mergeCell ref="C978:C979"/>
    <mergeCell ref="B1013:D1013"/>
    <mergeCell ref="B1014:B1027"/>
    <mergeCell ref="C1014:C1015"/>
    <mergeCell ref="C1016:C1017"/>
    <mergeCell ref="C1018:C1019"/>
    <mergeCell ref="C1020:C1021"/>
    <mergeCell ref="C1022:C1023"/>
    <mergeCell ref="C1024:C1025"/>
    <mergeCell ref="B998:B1011"/>
    <mergeCell ref="C998:C999"/>
    <mergeCell ref="C1000:C1001"/>
    <mergeCell ref="C1002:C1003"/>
    <mergeCell ref="C1004:C1005"/>
    <mergeCell ref="C1006:C1007"/>
    <mergeCell ref="C1008:C1009"/>
    <mergeCell ref="C1010:C1011"/>
    <mergeCell ref="C1026:C1027"/>
    <mergeCell ref="B1062:B1075"/>
    <mergeCell ref="C1072:C1073"/>
    <mergeCell ref="C1074:C1075"/>
    <mergeCell ref="B1077:D1077"/>
    <mergeCell ref="B1078:B1091"/>
    <mergeCell ref="C1078:C1079"/>
    <mergeCell ref="C1080:C1081"/>
    <mergeCell ref="C1058:C1059"/>
    <mergeCell ref="C1062:C1063"/>
    <mergeCell ref="C1064:C1065"/>
    <mergeCell ref="C1066:C1067"/>
    <mergeCell ref="C1068:C1069"/>
    <mergeCell ref="C1070:C1071"/>
    <mergeCell ref="B1061:D1061"/>
    <mergeCell ref="C1082:C1083"/>
    <mergeCell ref="C1084:C1085"/>
    <mergeCell ref="C1086:C1087"/>
    <mergeCell ref="B1046:B1059"/>
    <mergeCell ref="C1046:C1047"/>
    <mergeCell ref="C1048:C1049"/>
    <mergeCell ref="C1050:C1051"/>
    <mergeCell ref="C1052:C1053"/>
    <mergeCell ref="C1054:C1055"/>
    <mergeCell ref="C1056:C1057"/>
    <mergeCell ref="B1158:B1171"/>
    <mergeCell ref="C1162:C1163"/>
    <mergeCell ref="C1164:C1165"/>
    <mergeCell ref="C1166:C1167"/>
    <mergeCell ref="C1168:C1169"/>
    <mergeCell ref="C1170:C1171"/>
    <mergeCell ref="B1173:D1173"/>
    <mergeCell ref="B1174:B1187"/>
    <mergeCell ref="C1148:C1149"/>
    <mergeCell ref="C1150:C1151"/>
    <mergeCell ref="C1152:C1153"/>
    <mergeCell ref="C1154:C1155"/>
    <mergeCell ref="C1158:C1159"/>
    <mergeCell ref="C1160:C1161"/>
    <mergeCell ref="B1157:D1157"/>
    <mergeCell ref="C1174:C1175"/>
    <mergeCell ref="C1176:C1177"/>
    <mergeCell ref="B1205:D1205"/>
    <mergeCell ref="B1206:B1219"/>
    <mergeCell ref="C1206:C1207"/>
    <mergeCell ref="B1221:D1221"/>
    <mergeCell ref="C1178:C1179"/>
    <mergeCell ref="C1180:C1181"/>
    <mergeCell ref="C1182:C1183"/>
    <mergeCell ref="C1184:C1185"/>
    <mergeCell ref="C1186:C1187"/>
    <mergeCell ref="C1190:C1191"/>
    <mergeCell ref="B1189:D1189"/>
    <mergeCell ref="B1190:B1203"/>
    <mergeCell ref="C1192:C1193"/>
    <mergeCell ref="C1194:C1195"/>
    <mergeCell ref="C1196:C1197"/>
    <mergeCell ref="C1198:C1199"/>
    <mergeCell ref="C1200:C1201"/>
    <mergeCell ref="C1202:C1203"/>
    <mergeCell ref="B1237:D1237"/>
    <mergeCell ref="B1222:B1235"/>
    <mergeCell ref="C1222:C1223"/>
    <mergeCell ref="C1224:C1225"/>
    <mergeCell ref="C1226:C1227"/>
    <mergeCell ref="C1228:C1229"/>
    <mergeCell ref="C1230:C1231"/>
    <mergeCell ref="C1232:C1233"/>
    <mergeCell ref="C1208:C1209"/>
    <mergeCell ref="C1210:C1211"/>
    <mergeCell ref="C1212:C1213"/>
    <mergeCell ref="C1214:C1215"/>
    <mergeCell ref="C1216:C1217"/>
    <mergeCell ref="C1218:C1219"/>
    <mergeCell ref="C1234:C1235"/>
    <mergeCell ref="C1240:C1241"/>
    <mergeCell ref="C1242:C1243"/>
    <mergeCell ref="C1244:C1245"/>
    <mergeCell ref="C1246:C1247"/>
    <mergeCell ref="C1248:C1249"/>
    <mergeCell ref="C1250:C1251"/>
    <mergeCell ref="B1253:D1253"/>
    <mergeCell ref="B1254:B1267"/>
    <mergeCell ref="C1254:C1255"/>
    <mergeCell ref="C1256:C1257"/>
    <mergeCell ref="C1258:C1259"/>
    <mergeCell ref="C1260:C1261"/>
    <mergeCell ref="C1262:C1263"/>
    <mergeCell ref="C1264:C1265"/>
    <mergeCell ref="C1266:C1267"/>
    <mergeCell ref="C1354:C1355"/>
    <mergeCell ref="C1356:C1357"/>
    <mergeCell ref="B1285:D1285"/>
    <mergeCell ref="B1286:B1299"/>
    <mergeCell ref="C1286:C1287"/>
    <mergeCell ref="C1288:C1289"/>
    <mergeCell ref="C1290:C1291"/>
    <mergeCell ref="C1292:C1293"/>
    <mergeCell ref="C1270:C1271"/>
    <mergeCell ref="C1272:C1273"/>
    <mergeCell ref="C1274:C1275"/>
    <mergeCell ref="C1276:C1277"/>
    <mergeCell ref="C1278:C1279"/>
    <mergeCell ref="C1280:C1281"/>
    <mergeCell ref="C1298:C1299"/>
    <mergeCell ref="C1294:C1295"/>
    <mergeCell ref="C1296:C1297"/>
    <mergeCell ref="B1334:B1347"/>
    <mergeCell ref="C1342:C1343"/>
    <mergeCell ref="C1344:C1345"/>
    <mergeCell ref="B1317:D1317"/>
    <mergeCell ref="C1402:C1403"/>
    <mergeCell ref="C1404:C1405"/>
    <mergeCell ref="C1410:C1411"/>
    <mergeCell ref="C1346:C1347"/>
    <mergeCell ref="B1349:D1349"/>
    <mergeCell ref="B1350:B1363"/>
    <mergeCell ref="C1350:C1351"/>
    <mergeCell ref="C1352:C1353"/>
    <mergeCell ref="C1328:C1329"/>
    <mergeCell ref="C1330:C1331"/>
    <mergeCell ref="C1334:C1335"/>
    <mergeCell ref="C1336:C1337"/>
    <mergeCell ref="C1338:C1339"/>
    <mergeCell ref="C1340:C1341"/>
    <mergeCell ref="B1333:D1333"/>
    <mergeCell ref="C1358:C1359"/>
    <mergeCell ref="C1360:C1361"/>
    <mergeCell ref="C1362:C1363"/>
    <mergeCell ref="B1318:B1331"/>
    <mergeCell ref="C1318:C1319"/>
    <mergeCell ref="C1320:C1321"/>
    <mergeCell ref="C1322:C1323"/>
    <mergeCell ref="C1324:C1325"/>
    <mergeCell ref="C1326:C1327"/>
    <mergeCell ref="C262:C263"/>
    <mergeCell ref="C264:C265"/>
    <mergeCell ref="C266:C267"/>
    <mergeCell ref="C268:C269"/>
    <mergeCell ref="C270:C271"/>
    <mergeCell ref="C272:C273"/>
    <mergeCell ref="C274:C275"/>
    <mergeCell ref="B549:D549"/>
    <mergeCell ref="B550:B563"/>
    <mergeCell ref="C562:C563"/>
    <mergeCell ref="B262:B275"/>
    <mergeCell ref="B357:D357"/>
    <mergeCell ref="B358:B371"/>
    <mergeCell ref="C358:C359"/>
    <mergeCell ref="C360:C361"/>
    <mergeCell ref="C362:C363"/>
    <mergeCell ref="C364:C365"/>
    <mergeCell ref="C366:C367"/>
    <mergeCell ref="B373:D373"/>
    <mergeCell ref="B374:B387"/>
    <mergeCell ref="C382:C383"/>
    <mergeCell ref="C384:C385"/>
    <mergeCell ref="C386:C387"/>
    <mergeCell ref="B517:D517"/>
    <mergeCell ref="B1269:D1269"/>
    <mergeCell ref="B1238:B1251"/>
    <mergeCell ref="C1238:C1239"/>
    <mergeCell ref="B37:D37"/>
    <mergeCell ref="B38:B51"/>
    <mergeCell ref="C38:C39"/>
    <mergeCell ref="C40:C41"/>
    <mergeCell ref="C42:C43"/>
    <mergeCell ref="C44:C45"/>
    <mergeCell ref="C46:C47"/>
    <mergeCell ref="C48:C49"/>
    <mergeCell ref="C50:C51"/>
    <mergeCell ref="C102:C103"/>
    <mergeCell ref="C104:C105"/>
    <mergeCell ref="C106:C107"/>
    <mergeCell ref="C108:C109"/>
    <mergeCell ref="C110:C111"/>
    <mergeCell ref="C70:C71"/>
    <mergeCell ref="C72:C73"/>
    <mergeCell ref="C74:C75"/>
    <mergeCell ref="C76:C77"/>
    <mergeCell ref="B101:D101"/>
    <mergeCell ref="B102:B115"/>
    <mergeCell ref="C112:C113"/>
    <mergeCell ref="C114:C115"/>
    <mergeCell ref="B117:D117"/>
    <mergeCell ref="B118:B131"/>
    <mergeCell ref="C118:C119"/>
    <mergeCell ref="C120:C121"/>
    <mergeCell ref="C122:C123"/>
    <mergeCell ref="C124:C125"/>
    <mergeCell ref="C126:C127"/>
    <mergeCell ref="B277:D277"/>
    <mergeCell ref="B213:D213"/>
    <mergeCell ref="B214:B227"/>
    <mergeCell ref="C214:C215"/>
    <mergeCell ref="C216:C217"/>
    <mergeCell ref="B229:D229"/>
    <mergeCell ref="B230:B243"/>
    <mergeCell ref="C232:C233"/>
    <mergeCell ref="C234:C235"/>
    <mergeCell ref="C236:C237"/>
    <mergeCell ref="C238:C239"/>
    <mergeCell ref="C240:C241"/>
    <mergeCell ref="C242:C243"/>
    <mergeCell ref="B245:D245"/>
    <mergeCell ref="B246:B259"/>
    <mergeCell ref="C246:C247"/>
    <mergeCell ref="B533:D533"/>
    <mergeCell ref="B534:B547"/>
    <mergeCell ref="C534:C535"/>
    <mergeCell ref="C536:C537"/>
    <mergeCell ref="C538:C539"/>
    <mergeCell ref="C540:C541"/>
    <mergeCell ref="C542:C543"/>
    <mergeCell ref="C544:C545"/>
    <mergeCell ref="C546:C547"/>
    <mergeCell ref="C646:C647"/>
    <mergeCell ref="C648:C649"/>
    <mergeCell ref="C650:C651"/>
    <mergeCell ref="B645:D645"/>
    <mergeCell ref="C608:C609"/>
    <mergeCell ref="C610:C611"/>
    <mergeCell ref="C614:C615"/>
    <mergeCell ref="C616:C617"/>
    <mergeCell ref="C618:C619"/>
    <mergeCell ref="C620:C621"/>
    <mergeCell ref="B613:D613"/>
    <mergeCell ref="B614:B627"/>
    <mergeCell ref="C622:C623"/>
    <mergeCell ref="C624:C625"/>
    <mergeCell ref="C626:C627"/>
    <mergeCell ref="B629:D629"/>
    <mergeCell ref="B630:B643"/>
    <mergeCell ref="C630:C631"/>
    <mergeCell ref="C632:C633"/>
    <mergeCell ref="C634:C635"/>
    <mergeCell ref="C636:C637"/>
    <mergeCell ref="C638:C639"/>
    <mergeCell ref="C640:C641"/>
    <mergeCell ref="C642:C643"/>
    <mergeCell ref="C802:C803"/>
    <mergeCell ref="B805:D805"/>
    <mergeCell ref="B806:B819"/>
    <mergeCell ref="C806:C807"/>
    <mergeCell ref="B518:B531"/>
    <mergeCell ref="C518:C519"/>
    <mergeCell ref="C520:C521"/>
    <mergeCell ref="C522:C523"/>
    <mergeCell ref="C524:C525"/>
    <mergeCell ref="C526:C527"/>
    <mergeCell ref="C528:C529"/>
    <mergeCell ref="C530:C531"/>
    <mergeCell ref="B757:D757"/>
    <mergeCell ref="B646:B659"/>
    <mergeCell ref="C652:C653"/>
    <mergeCell ref="C654:C655"/>
    <mergeCell ref="C656:C657"/>
    <mergeCell ref="C658:C659"/>
    <mergeCell ref="B661:D661"/>
    <mergeCell ref="B662:B675"/>
    <mergeCell ref="C662:C663"/>
    <mergeCell ref="C664:C665"/>
    <mergeCell ref="C666:C667"/>
    <mergeCell ref="B677:D677"/>
    <mergeCell ref="C846:C847"/>
    <mergeCell ref="C826:C827"/>
    <mergeCell ref="C828:C829"/>
    <mergeCell ref="C830:C831"/>
    <mergeCell ref="B726:B739"/>
    <mergeCell ref="C726:C727"/>
    <mergeCell ref="B741:D741"/>
    <mergeCell ref="B742:B755"/>
    <mergeCell ref="C742:C743"/>
    <mergeCell ref="C744:C745"/>
    <mergeCell ref="C746:C747"/>
    <mergeCell ref="C748:C749"/>
    <mergeCell ref="C822:C823"/>
    <mergeCell ref="C750:C751"/>
    <mergeCell ref="C752:C753"/>
    <mergeCell ref="C754:C755"/>
    <mergeCell ref="C728:C729"/>
    <mergeCell ref="C730:C731"/>
    <mergeCell ref="C732:C733"/>
    <mergeCell ref="C734:C735"/>
    <mergeCell ref="C736:C737"/>
    <mergeCell ref="C738:C739"/>
    <mergeCell ref="B789:D789"/>
    <mergeCell ref="B790:B803"/>
    <mergeCell ref="B1141:D1141"/>
    <mergeCell ref="B1142:B1155"/>
    <mergeCell ref="C1142:C1143"/>
    <mergeCell ref="C1144:C1145"/>
    <mergeCell ref="B997:D997"/>
    <mergeCell ref="B950:B963"/>
    <mergeCell ref="C952:C953"/>
    <mergeCell ref="C954:C955"/>
    <mergeCell ref="C956:C957"/>
    <mergeCell ref="C958:C959"/>
    <mergeCell ref="C960:C961"/>
    <mergeCell ref="C962:C963"/>
    <mergeCell ref="B965:D965"/>
    <mergeCell ref="B966:B979"/>
    <mergeCell ref="C966:C967"/>
    <mergeCell ref="B981:D981"/>
    <mergeCell ref="B982:B995"/>
    <mergeCell ref="C982:C983"/>
    <mergeCell ref="C984:C985"/>
    <mergeCell ref="C986:C987"/>
    <mergeCell ref="C1146:C1147"/>
    <mergeCell ref="C1118:C1119"/>
    <mergeCell ref="C1120:C1121"/>
    <mergeCell ref="C1122:C1123"/>
    <mergeCell ref="C1116:C1117"/>
    <mergeCell ref="B1125:D1125"/>
    <mergeCell ref="B1126:B1139"/>
    <mergeCell ref="C1132:C1133"/>
    <mergeCell ref="C1134:C1135"/>
    <mergeCell ref="C1136:C1137"/>
    <mergeCell ref="C1138:C1139"/>
    <mergeCell ref="C1126:C1127"/>
    <mergeCell ref="C1128:C1129"/>
    <mergeCell ref="C1130:C1131"/>
    <mergeCell ref="B69:D69"/>
    <mergeCell ref="B70:B83"/>
    <mergeCell ref="C82:C83"/>
    <mergeCell ref="B85:D85"/>
    <mergeCell ref="B86:B99"/>
    <mergeCell ref="C86:C87"/>
    <mergeCell ref="C88:C89"/>
    <mergeCell ref="C90:C91"/>
    <mergeCell ref="C92:C93"/>
    <mergeCell ref="C94:C95"/>
    <mergeCell ref="C96:C97"/>
    <mergeCell ref="C78:C79"/>
    <mergeCell ref="C80:C81"/>
    <mergeCell ref="C98:C99"/>
    <mergeCell ref="B53:D53"/>
    <mergeCell ref="B54:B67"/>
    <mergeCell ref="C54:C55"/>
    <mergeCell ref="C56:C57"/>
    <mergeCell ref="C58:C59"/>
    <mergeCell ref="C60:C61"/>
    <mergeCell ref="C62:C63"/>
    <mergeCell ref="C64:C65"/>
    <mergeCell ref="C66:C67"/>
    <mergeCell ref="B197:D197"/>
    <mergeCell ref="B198:B211"/>
    <mergeCell ref="C202:C203"/>
    <mergeCell ref="C204:C205"/>
    <mergeCell ref="C206:C207"/>
    <mergeCell ref="C208:C209"/>
    <mergeCell ref="C210:C211"/>
    <mergeCell ref="C188:C189"/>
    <mergeCell ref="C190:C191"/>
    <mergeCell ref="C192:C193"/>
    <mergeCell ref="C194:C195"/>
    <mergeCell ref="C198:C199"/>
    <mergeCell ref="C200:C201"/>
    <mergeCell ref="B309:D309"/>
    <mergeCell ref="B310:B323"/>
    <mergeCell ref="C322:C323"/>
    <mergeCell ref="B325:D325"/>
    <mergeCell ref="B326:B339"/>
    <mergeCell ref="C326:C327"/>
    <mergeCell ref="C328:C329"/>
    <mergeCell ref="C330:C331"/>
    <mergeCell ref="C332:C333"/>
    <mergeCell ref="C334:C335"/>
    <mergeCell ref="C336:C337"/>
    <mergeCell ref="C338:C339"/>
    <mergeCell ref="C790:C791"/>
    <mergeCell ref="C792:C793"/>
    <mergeCell ref="C794:C795"/>
    <mergeCell ref="C796:C797"/>
    <mergeCell ref="C798:C799"/>
    <mergeCell ref="C800:C801"/>
    <mergeCell ref="B485:D485"/>
    <mergeCell ref="B486:B499"/>
    <mergeCell ref="C486:C487"/>
    <mergeCell ref="B501:D501"/>
    <mergeCell ref="B502:B515"/>
    <mergeCell ref="C502:C503"/>
    <mergeCell ref="C504:C505"/>
    <mergeCell ref="C506:C507"/>
    <mergeCell ref="C508:C509"/>
    <mergeCell ref="C510:C511"/>
    <mergeCell ref="C512:C513"/>
    <mergeCell ref="C514:C515"/>
    <mergeCell ref="C488:C489"/>
    <mergeCell ref="C490:C491"/>
    <mergeCell ref="C492:C493"/>
    <mergeCell ref="C494:C495"/>
    <mergeCell ref="C496:C497"/>
    <mergeCell ref="C498:C499"/>
    <mergeCell ref="C928:C929"/>
    <mergeCell ref="C930:C931"/>
    <mergeCell ref="C908:C909"/>
    <mergeCell ref="C910:C911"/>
    <mergeCell ref="C912:C913"/>
    <mergeCell ref="C914:C915"/>
    <mergeCell ref="C918:C919"/>
    <mergeCell ref="C920:C921"/>
    <mergeCell ref="C808:C809"/>
    <mergeCell ref="C810:C811"/>
    <mergeCell ref="C812:C813"/>
    <mergeCell ref="C814:C815"/>
    <mergeCell ref="C816:C817"/>
    <mergeCell ref="C824:C825"/>
    <mergeCell ref="B821:D821"/>
    <mergeCell ref="B822:B835"/>
    <mergeCell ref="C832:C833"/>
    <mergeCell ref="C834:C835"/>
    <mergeCell ref="B837:D837"/>
    <mergeCell ref="B838:B851"/>
    <mergeCell ref="C838:C839"/>
    <mergeCell ref="C840:C841"/>
    <mergeCell ref="C842:C843"/>
    <mergeCell ref="C844:C845"/>
    <mergeCell ref="C2:D3"/>
    <mergeCell ref="C1310:C1311"/>
    <mergeCell ref="B1270:B1283"/>
    <mergeCell ref="C1282:C1283"/>
    <mergeCell ref="B18:D18"/>
    <mergeCell ref="C5:D5"/>
    <mergeCell ref="C13:D13"/>
    <mergeCell ref="C10:D11"/>
    <mergeCell ref="B1093:D1093"/>
    <mergeCell ref="B1094:B1107"/>
    <mergeCell ref="C1102:C1103"/>
    <mergeCell ref="C1104:C1105"/>
    <mergeCell ref="C1106:C1107"/>
    <mergeCell ref="B1109:D1109"/>
    <mergeCell ref="C1088:C1089"/>
    <mergeCell ref="C1090:C1091"/>
    <mergeCell ref="C1094:C1095"/>
    <mergeCell ref="C1096:C1097"/>
    <mergeCell ref="C818:C819"/>
    <mergeCell ref="B917:D917"/>
    <mergeCell ref="B918:B931"/>
    <mergeCell ref="C922:C923"/>
    <mergeCell ref="C924:C925"/>
    <mergeCell ref="C926:C927"/>
    <mergeCell ref="C1098:C1099"/>
    <mergeCell ref="C1100:C1101"/>
    <mergeCell ref="B1029:D1029"/>
    <mergeCell ref="B1030:B1043"/>
    <mergeCell ref="C1042:C1043"/>
    <mergeCell ref="B1045:D1045"/>
    <mergeCell ref="B1301:D1301"/>
    <mergeCell ref="B1302:B1315"/>
    <mergeCell ref="C1302:C1303"/>
    <mergeCell ref="C1304:C1305"/>
    <mergeCell ref="C1306:C1307"/>
    <mergeCell ref="C1308:C1309"/>
    <mergeCell ref="C1312:C1313"/>
    <mergeCell ref="C1314:C1315"/>
    <mergeCell ref="C1030:C1031"/>
    <mergeCell ref="C1032:C1033"/>
    <mergeCell ref="C1034:C1035"/>
    <mergeCell ref="C1036:C1037"/>
    <mergeCell ref="C1038:C1039"/>
    <mergeCell ref="C1040:C1041"/>
    <mergeCell ref="B1110:B1123"/>
    <mergeCell ref="C1110:C1111"/>
    <mergeCell ref="C1112:C1113"/>
    <mergeCell ref="C1114:C1115"/>
    <mergeCell ref="B1365:D1365"/>
    <mergeCell ref="B1366:B1379"/>
    <mergeCell ref="C1372:C1373"/>
    <mergeCell ref="C1374:C1375"/>
    <mergeCell ref="C1376:C1377"/>
    <mergeCell ref="C1378:C1379"/>
    <mergeCell ref="B1381:D1381"/>
    <mergeCell ref="C1406:C1407"/>
    <mergeCell ref="C1408:C1409"/>
    <mergeCell ref="C1366:C1367"/>
    <mergeCell ref="C1368:C1369"/>
    <mergeCell ref="C1370:C1371"/>
    <mergeCell ref="C1388:C1389"/>
    <mergeCell ref="C1390:C1391"/>
    <mergeCell ref="C1392:C1393"/>
    <mergeCell ref="C1394:C1395"/>
    <mergeCell ref="C1398:C1399"/>
    <mergeCell ref="C1400:C1401"/>
    <mergeCell ref="B1382:B1395"/>
    <mergeCell ref="C1382:C1383"/>
    <mergeCell ref="C1384:C1385"/>
    <mergeCell ref="C1386:C1387"/>
    <mergeCell ref="B1397:D1397"/>
    <mergeCell ref="B1398:B1411"/>
    <mergeCell ref="B1413:D1413"/>
    <mergeCell ref="B1414:B1427"/>
    <mergeCell ref="C1414:C1415"/>
    <mergeCell ref="C1416:C1417"/>
    <mergeCell ref="C1418:C1419"/>
    <mergeCell ref="C1420:C1421"/>
    <mergeCell ref="C1422:C1423"/>
    <mergeCell ref="C1424:C1425"/>
    <mergeCell ref="C1426:C1427"/>
    <mergeCell ref="B1429:D1429"/>
    <mergeCell ref="B1430:B1443"/>
    <mergeCell ref="C1430:C1431"/>
    <mergeCell ref="C1432:C1433"/>
    <mergeCell ref="C1434:C1435"/>
    <mergeCell ref="C1436:C1437"/>
    <mergeCell ref="C1438:C1439"/>
    <mergeCell ref="C1440:C1441"/>
    <mergeCell ref="C1442:C1443"/>
    <mergeCell ref="B1445:D1445"/>
    <mergeCell ref="B1446:B1459"/>
    <mergeCell ref="C1446:C1447"/>
    <mergeCell ref="C1448:C1449"/>
    <mergeCell ref="C1450:C1451"/>
    <mergeCell ref="C1452:C1453"/>
    <mergeCell ref="C1454:C1455"/>
    <mergeCell ref="C1456:C1457"/>
    <mergeCell ref="C1458:C1459"/>
    <mergeCell ref="B1461:D1461"/>
    <mergeCell ref="B1462:B1475"/>
    <mergeCell ref="C1462:C1463"/>
    <mergeCell ref="C1464:C1465"/>
    <mergeCell ref="C1466:C1467"/>
    <mergeCell ref="C1468:C1469"/>
    <mergeCell ref="C1470:C1471"/>
    <mergeCell ref="C1472:C1473"/>
    <mergeCell ref="C1474:C1475"/>
    <mergeCell ref="B1477:D1477"/>
    <mergeCell ref="B1478:B1491"/>
    <mergeCell ref="C1478:C1479"/>
    <mergeCell ref="C1480:C1481"/>
    <mergeCell ref="C1482:C1483"/>
    <mergeCell ref="C1484:C1485"/>
    <mergeCell ref="C1486:C1487"/>
    <mergeCell ref="C1488:C1489"/>
    <mergeCell ref="C1490:C1491"/>
    <mergeCell ref="B1493:D1493"/>
    <mergeCell ref="B1494:B1507"/>
    <mergeCell ref="C1494:C1495"/>
    <mergeCell ref="C1496:C1497"/>
    <mergeCell ref="C1498:C1499"/>
    <mergeCell ref="C1500:C1501"/>
    <mergeCell ref="C1502:C1503"/>
    <mergeCell ref="C1504:C1505"/>
    <mergeCell ref="C1506:C1507"/>
    <mergeCell ref="B1509:D1509"/>
    <mergeCell ref="B1510:B1523"/>
    <mergeCell ref="C1510:C1511"/>
    <mergeCell ref="C1512:C1513"/>
    <mergeCell ref="C1514:C1515"/>
    <mergeCell ref="C1516:C1517"/>
    <mergeCell ref="C1518:C1519"/>
    <mergeCell ref="C1520:C1521"/>
    <mergeCell ref="C1522:C1523"/>
    <mergeCell ref="B1525:D1525"/>
    <mergeCell ref="B1526:B1539"/>
    <mergeCell ref="C1526:C1527"/>
    <mergeCell ref="C1528:C1529"/>
    <mergeCell ref="C1530:C1531"/>
    <mergeCell ref="C1532:C1533"/>
    <mergeCell ref="C1534:C1535"/>
    <mergeCell ref="C1536:C1537"/>
    <mergeCell ref="C1538:C1539"/>
    <mergeCell ref="B1541:D1541"/>
    <mergeCell ref="B1542:B1555"/>
    <mergeCell ref="C1542:C1543"/>
    <mergeCell ref="C1544:C1545"/>
    <mergeCell ref="C1546:C1547"/>
    <mergeCell ref="C1548:C1549"/>
    <mergeCell ref="C1550:C1551"/>
    <mergeCell ref="C1552:C1553"/>
    <mergeCell ref="C1554:C1555"/>
    <mergeCell ref="B1557:D1557"/>
    <mergeCell ref="B1558:B1571"/>
    <mergeCell ref="C1558:C1559"/>
    <mergeCell ref="C1560:C1561"/>
    <mergeCell ref="C1562:C1563"/>
    <mergeCell ref="C1564:C1565"/>
    <mergeCell ref="C1566:C1567"/>
    <mergeCell ref="C1568:C1569"/>
    <mergeCell ref="C1570:C1571"/>
    <mergeCell ref="B1573:D1573"/>
    <mergeCell ref="B1574:B1587"/>
    <mergeCell ref="C1574:C1575"/>
    <mergeCell ref="C1576:C1577"/>
    <mergeCell ref="C1578:C1579"/>
    <mergeCell ref="C1580:C1581"/>
    <mergeCell ref="C1582:C1583"/>
    <mergeCell ref="C1584:C1585"/>
    <mergeCell ref="C1586:C1587"/>
    <mergeCell ref="B1589:D1589"/>
    <mergeCell ref="B1590:B1603"/>
    <mergeCell ref="C1590:C1591"/>
    <mergeCell ref="C1592:C1593"/>
    <mergeCell ref="C1594:C1595"/>
    <mergeCell ref="C1596:C1597"/>
    <mergeCell ref="C1598:C1599"/>
    <mergeCell ref="C1600:C1601"/>
    <mergeCell ref="C1602:C1603"/>
    <mergeCell ref="B1605:D1605"/>
    <mergeCell ref="B1606:B1619"/>
    <mergeCell ref="C1606:C1607"/>
    <mergeCell ref="C1608:C1609"/>
    <mergeCell ref="C1610:C1611"/>
    <mergeCell ref="C1612:C1613"/>
    <mergeCell ref="C1614:C1615"/>
    <mergeCell ref="C1616:C1617"/>
    <mergeCell ref="C1618:C1619"/>
  </mergeCells>
  <conditionalFormatting sqref="E19:AB19">
    <cfRule type="expression" dxfId="135" priority="1">
      <formula>(E19 &gt;TODAY())</formula>
    </cfRule>
    <cfRule type="expression" dxfId="134" priority="2">
      <formula xml:space="preserve"> (E19 &gt; (TODAY()-7))</formula>
    </cfRule>
  </conditionalFormatting>
  <pageMargins left="0.7" right="0.7" top="0.75" bottom="0.75" header="0.3" footer="0.3"/>
  <pageSetup paperSize="9" orientation="portrait" horizontalDpi="4294967293" verticalDpi="4294967293"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5">
    <tabColor theme="5" tint="0.59999389629810485"/>
  </sheetPr>
  <dimension ref="B1:CY2000"/>
  <sheetViews>
    <sheetView showGridLines="0" showRowColHeaders="0" topLeftCell="A2001" zoomScale="85" zoomScaleNormal="85" workbookViewId="0">
      <selection activeCell="C33" sqref="C33"/>
    </sheetView>
  </sheetViews>
  <sheetFormatPr defaultRowHeight="14.25" x14ac:dyDescent="0.45"/>
  <cols>
    <col min="1" max="1" width="1.265625" customWidth="1"/>
    <col min="2" max="2" width="28.73046875" bestFit="1" customWidth="1"/>
    <col min="3" max="3" width="20.796875" customWidth="1"/>
    <col min="4" max="102" width="25.73046875" customWidth="1"/>
    <col min="103" max="103" width="9.1328125" customWidth="1"/>
  </cols>
  <sheetData>
    <row r="1" spans="2:103" ht="7.5" hidden="1" customHeight="1" thickBot="1" x14ac:dyDescent="0.5"/>
    <row r="2" spans="2:103" ht="15" hidden="1" customHeight="1" x14ac:dyDescent="0.45">
      <c r="B2" s="1704" t="s">
        <v>456</v>
      </c>
      <c r="C2" s="646" t="s">
        <v>558</v>
      </c>
      <c r="D2" s="646" t="s">
        <v>418</v>
      </c>
      <c r="E2" s="646" t="s">
        <v>419</v>
      </c>
      <c r="F2" s="646" t="s">
        <v>420</v>
      </c>
      <c r="G2" s="646" t="s">
        <v>442</v>
      </c>
      <c r="H2" s="646" t="s">
        <v>786</v>
      </c>
      <c r="I2" s="646" t="s">
        <v>567</v>
      </c>
      <c r="J2" s="646" t="s">
        <v>568</v>
      </c>
      <c r="K2" s="646" t="s">
        <v>569</v>
      </c>
      <c r="L2" s="646" t="s">
        <v>570</v>
      </c>
      <c r="M2" s="646" t="s">
        <v>571</v>
      </c>
      <c r="N2" s="646" t="s">
        <v>572</v>
      </c>
      <c r="O2" s="646" t="s">
        <v>622</v>
      </c>
      <c r="P2" s="646" t="s">
        <v>768</v>
      </c>
      <c r="Q2" s="646" t="s">
        <v>798</v>
      </c>
      <c r="R2" s="646"/>
      <c r="S2" s="646"/>
      <c r="T2" s="646"/>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c r="AT2" s="646"/>
      <c r="AU2" s="646"/>
      <c r="AV2" s="646"/>
      <c r="AW2" s="646"/>
      <c r="AX2" s="646"/>
      <c r="AY2" s="646"/>
      <c r="AZ2" s="646"/>
      <c r="BA2" s="646"/>
      <c r="BB2" s="646"/>
      <c r="BC2" s="646"/>
      <c r="BD2" s="646"/>
      <c r="BE2" s="646"/>
      <c r="BF2" s="646"/>
      <c r="BG2" s="646"/>
      <c r="BH2" s="646"/>
      <c r="BI2" s="646"/>
      <c r="BJ2" s="646"/>
      <c r="BK2" s="646"/>
      <c r="BL2" s="646"/>
      <c r="BM2" s="646"/>
      <c r="BN2" s="646"/>
      <c r="BO2" s="646"/>
      <c r="BP2" s="646"/>
      <c r="BQ2" s="646"/>
      <c r="BR2" s="646"/>
      <c r="BS2" s="646"/>
      <c r="BT2" s="646"/>
      <c r="BU2" s="646"/>
      <c r="BV2" s="646"/>
      <c r="BW2" s="646"/>
      <c r="BX2" s="646"/>
      <c r="BY2" s="646"/>
      <c r="BZ2" s="646"/>
      <c r="CA2" s="646"/>
      <c r="CB2" s="646"/>
      <c r="CC2" s="646"/>
      <c r="CD2" s="646"/>
      <c r="CE2" s="646"/>
      <c r="CF2" s="646"/>
      <c r="CG2" s="646"/>
      <c r="CH2" s="646"/>
      <c r="CI2" s="646"/>
      <c r="CJ2" s="646"/>
      <c r="CK2" s="646"/>
      <c r="CL2" s="646"/>
      <c r="CM2" s="646"/>
      <c r="CN2" s="646"/>
      <c r="CO2" s="646"/>
      <c r="CP2" s="646"/>
      <c r="CQ2" s="646"/>
      <c r="CR2" s="646"/>
      <c r="CS2" s="646"/>
      <c r="CT2" s="646"/>
      <c r="CU2" s="646"/>
      <c r="CV2" s="646"/>
      <c r="CW2" s="646"/>
      <c r="CX2" s="647" t="s">
        <v>689</v>
      </c>
      <c r="CY2" s="698" t="s">
        <v>388</v>
      </c>
    </row>
    <row r="3" spans="2:103" ht="15" hidden="1" customHeight="1" x14ac:dyDescent="0.45">
      <c r="B3" s="1705"/>
      <c r="C3" s="637">
        <v>0</v>
      </c>
      <c r="D3" s="637">
        <f t="shared" ref="D3:BO3" si="0">C3+1</f>
        <v>1</v>
      </c>
      <c r="E3" s="637">
        <f t="shared" si="0"/>
        <v>2</v>
      </c>
      <c r="F3" s="637">
        <f t="shared" si="0"/>
        <v>3</v>
      </c>
      <c r="G3" s="637">
        <f t="shared" si="0"/>
        <v>4</v>
      </c>
      <c r="H3" s="637">
        <f t="shared" si="0"/>
        <v>5</v>
      </c>
      <c r="I3" s="637">
        <f t="shared" si="0"/>
        <v>6</v>
      </c>
      <c r="J3" s="637">
        <f t="shared" si="0"/>
        <v>7</v>
      </c>
      <c r="K3" s="637">
        <f t="shared" si="0"/>
        <v>8</v>
      </c>
      <c r="L3" s="637">
        <f t="shared" si="0"/>
        <v>9</v>
      </c>
      <c r="M3" s="637">
        <f t="shared" si="0"/>
        <v>10</v>
      </c>
      <c r="N3" s="637">
        <f t="shared" si="0"/>
        <v>11</v>
      </c>
      <c r="O3" s="637">
        <f t="shared" si="0"/>
        <v>12</v>
      </c>
      <c r="P3" s="637">
        <f t="shared" si="0"/>
        <v>13</v>
      </c>
      <c r="Q3" s="637">
        <f t="shared" si="0"/>
        <v>14</v>
      </c>
      <c r="R3" s="637">
        <f t="shared" si="0"/>
        <v>15</v>
      </c>
      <c r="S3" s="637">
        <f t="shared" si="0"/>
        <v>16</v>
      </c>
      <c r="T3" s="637">
        <f t="shared" si="0"/>
        <v>17</v>
      </c>
      <c r="U3" s="637">
        <f t="shared" si="0"/>
        <v>18</v>
      </c>
      <c r="V3" s="637">
        <f t="shared" si="0"/>
        <v>19</v>
      </c>
      <c r="W3" s="637">
        <f t="shared" si="0"/>
        <v>20</v>
      </c>
      <c r="X3" s="637">
        <f t="shared" si="0"/>
        <v>21</v>
      </c>
      <c r="Y3" s="637">
        <f t="shared" si="0"/>
        <v>22</v>
      </c>
      <c r="Z3" s="637">
        <f t="shared" si="0"/>
        <v>23</v>
      </c>
      <c r="AA3" s="637">
        <f t="shared" si="0"/>
        <v>24</v>
      </c>
      <c r="AB3" s="637">
        <f t="shared" si="0"/>
        <v>25</v>
      </c>
      <c r="AC3" s="637">
        <f t="shared" si="0"/>
        <v>26</v>
      </c>
      <c r="AD3" s="637">
        <f t="shared" si="0"/>
        <v>27</v>
      </c>
      <c r="AE3" s="637">
        <f t="shared" si="0"/>
        <v>28</v>
      </c>
      <c r="AF3" s="637">
        <f t="shared" si="0"/>
        <v>29</v>
      </c>
      <c r="AG3" s="637">
        <f t="shared" si="0"/>
        <v>30</v>
      </c>
      <c r="AH3" s="637">
        <f t="shared" si="0"/>
        <v>31</v>
      </c>
      <c r="AI3" s="637">
        <f t="shared" si="0"/>
        <v>32</v>
      </c>
      <c r="AJ3" s="637">
        <f t="shared" si="0"/>
        <v>33</v>
      </c>
      <c r="AK3" s="637">
        <f t="shared" si="0"/>
        <v>34</v>
      </c>
      <c r="AL3" s="637">
        <f t="shared" si="0"/>
        <v>35</v>
      </c>
      <c r="AM3" s="637">
        <f t="shared" si="0"/>
        <v>36</v>
      </c>
      <c r="AN3" s="637">
        <f t="shared" si="0"/>
        <v>37</v>
      </c>
      <c r="AO3" s="637">
        <f t="shared" si="0"/>
        <v>38</v>
      </c>
      <c r="AP3" s="637">
        <f t="shared" si="0"/>
        <v>39</v>
      </c>
      <c r="AQ3" s="637">
        <f t="shared" si="0"/>
        <v>40</v>
      </c>
      <c r="AR3" s="637">
        <f t="shared" si="0"/>
        <v>41</v>
      </c>
      <c r="AS3" s="637">
        <f t="shared" si="0"/>
        <v>42</v>
      </c>
      <c r="AT3" s="637">
        <f t="shared" si="0"/>
        <v>43</v>
      </c>
      <c r="AU3" s="637">
        <f t="shared" si="0"/>
        <v>44</v>
      </c>
      <c r="AV3" s="637">
        <f t="shared" si="0"/>
        <v>45</v>
      </c>
      <c r="AW3" s="637">
        <f t="shared" si="0"/>
        <v>46</v>
      </c>
      <c r="AX3" s="637">
        <f t="shared" si="0"/>
        <v>47</v>
      </c>
      <c r="AY3" s="637">
        <f t="shared" si="0"/>
        <v>48</v>
      </c>
      <c r="AZ3" s="637">
        <f t="shared" si="0"/>
        <v>49</v>
      </c>
      <c r="BA3" s="637">
        <f t="shared" si="0"/>
        <v>50</v>
      </c>
      <c r="BB3" s="637">
        <f t="shared" si="0"/>
        <v>51</v>
      </c>
      <c r="BC3" s="637">
        <f t="shared" si="0"/>
        <v>52</v>
      </c>
      <c r="BD3" s="637">
        <f t="shared" si="0"/>
        <v>53</v>
      </c>
      <c r="BE3" s="637">
        <f t="shared" si="0"/>
        <v>54</v>
      </c>
      <c r="BF3" s="637">
        <f t="shared" si="0"/>
        <v>55</v>
      </c>
      <c r="BG3" s="637">
        <f t="shared" si="0"/>
        <v>56</v>
      </c>
      <c r="BH3" s="637">
        <f t="shared" si="0"/>
        <v>57</v>
      </c>
      <c r="BI3" s="637">
        <f t="shared" si="0"/>
        <v>58</v>
      </c>
      <c r="BJ3" s="637">
        <f t="shared" si="0"/>
        <v>59</v>
      </c>
      <c r="BK3" s="637">
        <f t="shared" si="0"/>
        <v>60</v>
      </c>
      <c r="BL3" s="637">
        <f t="shared" si="0"/>
        <v>61</v>
      </c>
      <c r="BM3" s="637">
        <f t="shared" si="0"/>
        <v>62</v>
      </c>
      <c r="BN3" s="637">
        <f t="shared" si="0"/>
        <v>63</v>
      </c>
      <c r="BO3" s="637">
        <f t="shared" si="0"/>
        <v>64</v>
      </c>
      <c r="BP3" s="637">
        <f t="shared" ref="BP3:CX3" si="1">BO3+1</f>
        <v>65</v>
      </c>
      <c r="BQ3" s="637">
        <f t="shared" si="1"/>
        <v>66</v>
      </c>
      <c r="BR3" s="637">
        <f t="shared" si="1"/>
        <v>67</v>
      </c>
      <c r="BS3" s="637">
        <f t="shared" si="1"/>
        <v>68</v>
      </c>
      <c r="BT3" s="637">
        <f t="shared" si="1"/>
        <v>69</v>
      </c>
      <c r="BU3" s="637">
        <f t="shared" si="1"/>
        <v>70</v>
      </c>
      <c r="BV3" s="637">
        <f t="shared" si="1"/>
        <v>71</v>
      </c>
      <c r="BW3" s="637">
        <f t="shared" si="1"/>
        <v>72</v>
      </c>
      <c r="BX3" s="637">
        <f t="shared" si="1"/>
        <v>73</v>
      </c>
      <c r="BY3" s="637">
        <f t="shared" si="1"/>
        <v>74</v>
      </c>
      <c r="BZ3" s="637">
        <f t="shared" si="1"/>
        <v>75</v>
      </c>
      <c r="CA3" s="637">
        <f t="shared" si="1"/>
        <v>76</v>
      </c>
      <c r="CB3" s="637">
        <f t="shared" si="1"/>
        <v>77</v>
      </c>
      <c r="CC3" s="637">
        <f t="shared" si="1"/>
        <v>78</v>
      </c>
      <c r="CD3" s="637">
        <f t="shared" si="1"/>
        <v>79</v>
      </c>
      <c r="CE3" s="637">
        <f t="shared" si="1"/>
        <v>80</v>
      </c>
      <c r="CF3" s="637">
        <f t="shared" si="1"/>
        <v>81</v>
      </c>
      <c r="CG3" s="637">
        <f t="shared" si="1"/>
        <v>82</v>
      </c>
      <c r="CH3" s="637">
        <f t="shared" si="1"/>
        <v>83</v>
      </c>
      <c r="CI3" s="637">
        <f t="shared" si="1"/>
        <v>84</v>
      </c>
      <c r="CJ3" s="637">
        <f t="shared" si="1"/>
        <v>85</v>
      </c>
      <c r="CK3" s="637">
        <f t="shared" si="1"/>
        <v>86</v>
      </c>
      <c r="CL3" s="637">
        <f t="shared" si="1"/>
        <v>87</v>
      </c>
      <c r="CM3" s="637">
        <f t="shared" si="1"/>
        <v>88</v>
      </c>
      <c r="CN3" s="637">
        <f t="shared" si="1"/>
        <v>89</v>
      </c>
      <c r="CO3" s="637">
        <f t="shared" si="1"/>
        <v>90</v>
      </c>
      <c r="CP3" s="637">
        <f t="shared" si="1"/>
        <v>91</v>
      </c>
      <c r="CQ3" s="637">
        <f t="shared" si="1"/>
        <v>92</v>
      </c>
      <c r="CR3" s="637">
        <f t="shared" si="1"/>
        <v>93</v>
      </c>
      <c r="CS3" s="637">
        <f t="shared" si="1"/>
        <v>94</v>
      </c>
      <c r="CT3" s="637">
        <f t="shared" si="1"/>
        <v>95</v>
      </c>
      <c r="CU3" s="637">
        <f t="shared" si="1"/>
        <v>96</v>
      </c>
      <c r="CV3" s="637">
        <f t="shared" si="1"/>
        <v>97</v>
      </c>
      <c r="CW3" s="637">
        <f t="shared" si="1"/>
        <v>98</v>
      </c>
      <c r="CX3" s="1200">
        <f t="shared" si="1"/>
        <v>99</v>
      </c>
      <c r="CY3" s="698" t="s">
        <v>388</v>
      </c>
    </row>
    <row r="4" spans="2:103" hidden="1" x14ac:dyDescent="0.45">
      <c r="B4" s="648" t="s">
        <v>304</v>
      </c>
      <c r="C4" s="629" t="s">
        <v>2</v>
      </c>
      <c r="D4" s="629" t="s">
        <v>428</v>
      </c>
      <c r="E4" s="629" t="s">
        <v>2</v>
      </c>
      <c r="F4" s="629" t="s">
        <v>1</v>
      </c>
      <c r="G4" s="629" t="s">
        <v>428</v>
      </c>
      <c r="H4" s="629" t="s">
        <v>2</v>
      </c>
      <c r="I4" s="629" t="s">
        <v>3</v>
      </c>
      <c r="J4" s="629" t="s">
        <v>3</v>
      </c>
      <c r="K4" s="629" t="s">
        <v>3</v>
      </c>
      <c r="L4" s="629" t="s">
        <v>3</v>
      </c>
      <c r="M4" s="629" t="s">
        <v>3</v>
      </c>
      <c r="N4" s="629" t="s">
        <v>3</v>
      </c>
      <c r="O4" s="629" t="s">
        <v>5</v>
      </c>
      <c r="P4" s="629" t="s">
        <v>428</v>
      </c>
      <c r="Q4" s="629" t="s">
        <v>3</v>
      </c>
      <c r="R4" s="629"/>
      <c r="S4" s="629"/>
      <c r="T4" s="629"/>
      <c r="U4" s="629"/>
      <c r="V4" s="629"/>
      <c r="W4" s="629"/>
      <c r="X4" s="629"/>
      <c r="Y4" s="629"/>
      <c r="Z4" s="629"/>
      <c r="AA4" s="629"/>
      <c r="AB4" s="629"/>
      <c r="AC4" s="629"/>
      <c r="AD4" s="629"/>
      <c r="AE4" s="629"/>
      <c r="AF4" s="629"/>
      <c r="AG4" s="629"/>
      <c r="AH4" s="629"/>
      <c r="AI4" s="629"/>
      <c r="AJ4" s="629"/>
      <c r="AK4" s="629"/>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629"/>
      <c r="BP4" s="629"/>
      <c r="BQ4" s="629"/>
      <c r="BR4" s="629"/>
      <c r="BS4" s="629"/>
      <c r="BT4" s="629"/>
      <c r="BU4" s="629"/>
      <c r="BV4" s="629"/>
      <c r="BW4" s="629"/>
      <c r="BX4" s="629"/>
      <c r="BY4" s="629"/>
      <c r="BZ4" s="629"/>
      <c r="CA4" s="629"/>
      <c r="CB4" s="629"/>
      <c r="CC4" s="629"/>
      <c r="CD4" s="629"/>
      <c r="CE4" s="629"/>
      <c r="CF4" s="629"/>
      <c r="CG4" s="629"/>
      <c r="CH4" s="629"/>
      <c r="CI4" s="629"/>
      <c r="CJ4" s="629"/>
      <c r="CK4" s="629"/>
      <c r="CL4" s="629"/>
      <c r="CM4" s="629"/>
      <c r="CN4" s="629"/>
      <c r="CO4" s="629"/>
      <c r="CP4" s="629"/>
      <c r="CQ4" s="629"/>
      <c r="CR4" s="629"/>
      <c r="CS4" s="629"/>
      <c r="CT4" s="629"/>
      <c r="CU4" s="629"/>
      <c r="CV4" s="629"/>
      <c r="CW4" s="629"/>
      <c r="CX4" s="638"/>
      <c r="CY4" s="698" t="s">
        <v>388</v>
      </c>
    </row>
    <row r="5" spans="2:103" hidden="1" x14ac:dyDescent="0.45">
      <c r="B5" s="649" t="s">
        <v>421</v>
      </c>
      <c r="C5" s="630" t="s">
        <v>14</v>
      </c>
      <c r="D5" s="630" t="s">
        <v>14</v>
      </c>
      <c r="E5" s="630" t="s">
        <v>14</v>
      </c>
      <c r="F5" s="630" t="s">
        <v>424</v>
      </c>
      <c r="G5" s="630" t="s">
        <v>14</v>
      </c>
      <c r="H5" s="630" t="s">
        <v>14</v>
      </c>
      <c r="I5" s="630" t="s">
        <v>424</v>
      </c>
      <c r="J5" s="630" t="s">
        <v>424</v>
      </c>
      <c r="K5" s="630" t="s">
        <v>424</v>
      </c>
      <c r="L5" s="630" t="s">
        <v>424</v>
      </c>
      <c r="M5" s="630" t="s">
        <v>424</v>
      </c>
      <c r="N5" s="630" t="s">
        <v>424</v>
      </c>
      <c r="O5" s="630" t="s">
        <v>424</v>
      </c>
      <c r="P5" s="630" t="s">
        <v>14</v>
      </c>
      <c r="Q5" s="630" t="s">
        <v>424</v>
      </c>
      <c r="R5" s="630" t="s">
        <v>12</v>
      </c>
      <c r="S5" s="630" t="s">
        <v>12</v>
      </c>
      <c r="T5" s="630" t="s">
        <v>12</v>
      </c>
      <c r="U5" s="630" t="s">
        <v>12</v>
      </c>
      <c r="V5" s="630" t="s">
        <v>12</v>
      </c>
      <c r="W5" s="630" t="s">
        <v>12</v>
      </c>
      <c r="X5" s="630" t="s">
        <v>12</v>
      </c>
      <c r="Y5" s="630" t="s">
        <v>12</v>
      </c>
      <c r="Z5" s="630" t="s">
        <v>12</v>
      </c>
      <c r="AA5" s="630" t="s">
        <v>12</v>
      </c>
      <c r="AB5" s="630" t="s">
        <v>12</v>
      </c>
      <c r="AC5" s="630" t="s">
        <v>12</v>
      </c>
      <c r="AD5" s="630" t="s">
        <v>12</v>
      </c>
      <c r="AE5" s="630" t="s">
        <v>12</v>
      </c>
      <c r="AF5" s="630" t="s">
        <v>12</v>
      </c>
      <c r="AG5" s="630" t="s">
        <v>12</v>
      </c>
      <c r="AH5" s="630" t="s">
        <v>12</v>
      </c>
      <c r="AI5" s="630" t="s">
        <v>12</v>
      </c>
      <c r="AJ5" s="630" t="s">
        <v>12</v>
      </c>
      <c r="AK5" s="630" t="s">
        <v>12</v>
      </c>
      <c r="AL5" s="630" t="s">
        <v>12</v>
      </c>
      <c r="AM5" s="630" t="s">
        <v>12</v>
      </c>
      <c r="AN5" s="630" t="s">
        <v>12</v>
      </c>
      <c r="AO5" s="630" t="s">
        <v>12</v>
      </c>
      <c r="AP5" s="630" t="s">
        <v>12</v>
      </c>
      <c r="AQ5" s="630" t="s">
        <v>12</v>
      </c>
      <c r="AR5" s="630" t="s">
        <v>12</v>
      </c>
      <c r="AS5" s="630" t="s">
        <v>12</v>
      </c>
      <c r="AT5" s="630" t="s">
        <v>12</v>
      </c>
      <c r="AU5" s="630" t="s">
        <v>12</v>
      </c>
      <c r="AV5" s="630" t="s">
        <v>12</v>
      </c>
      <c r="AW5" s="630" t="s">
        <v>12</v>
      </c>
      <c r="AX5" s="630" t="s">
        <v>12</v>
      </c>
      <c r="AY5" s="630" t="s">
        <v>12</v>
      </c>
      <c r="AZ5" s="630" t="s">
        <v>12</v>
      </c>
      <c r="BA5" s="630" t="s">
        <v>12</v>
      </c>
      <c r="BB5" s="630" t="s">
        <v>12</v>
      </c>
      <c r="BC5" s="630" t="s">
        <v>12</v>
      </c>
      <c r="BD5" s="630" t="s">
        <v>12</v>
      </c>
      <c r="BE5" s="630" t="s">
        <v>12</v>
      </c>
      <c r="BF5" s="630" t="s">
        <v>12</v>
      </c>
      <c r="BG5" s="630" t="s">
        <v>12</v>
      </c>
      <c r="BH5" s="630" t="s">
        <v>12</v>
      </c>
      <c r="BI5" s="630" t="s">
        <v>12</v>
      </c>
      <c r="BJ5" s="630" t="s">
        <v>12</v>
      </c>
      <c r="BK5" s="630" t="s">
        <v>12</v>
      </c>
      <c r="BL5" s="630" t="s">
        <v>12</v>
      </c>
      <c r="BM5" s="630" t="s">
        <v>12</v>
      </c>
      <c r="BN5" s="630" t="s">
        <v>12</v>
      </c>
      <c r="BO5" s="630" t="s">
        <v>12</v>
      </c>
      <c r="BP5" s="630" t="s">
        <v>12</v>
      </c>
      <c r="BQ5" s="630" t="s">
        <v>12</v>
      </c>
      <c r="BR5" s="630" t="s">
        <v>12</v>
      </c>
      <c r="BS5" s="630" t="s">
        <v>12</v>
      </c>
      <c r="BT5" s="630" t="s">
        <v>12</v>
      </c>
      <c r="BU5" s="630" t="s">
        <v>12</v>
      </c>
      <c r="BV5" s="630" t="s">
        <v>12</v>
      </c>
      <c r="BW5" s="630" t="s">
        <v>12</v>
      </c>
      <c r="BX5" s="630" t="s">
        <v>12</v>
      </c>
      <c r="BY5" s="630" t="s">
        <v>12</v>
      </c>
      <c r="BZ5" s="630" t="s">
        <v>12</v>
      </c>
      <c r="CA5" s="630" t="s">
        <v>12</v>
      </c>
      <c r="CB5" s="630" t="s">
        <v>12</v>
      </c>
      <c r="CC5" s="630" t="s">
        <v>12</v>
      </c>
      <c r="CD5" s="630" t="s">
        <v>12</v>
      </c>
      <c r="CE5" s="630" t="s">
        <v>12</v>
      </c>
      <c r="CF5" s="630" t="s">
        <v>12</v>
      </c>
      <c r="CG5" s="630" t="s">
        <v>12</v>
      </c>
      <c r="CH5" s="630" t="s">
        <v>12</v>
      </c>
      <c r="CI5" s="630" t="s">
        <v>12</v>
      </c>
      <c r="CJ5" s="630" t="s">
        <v>12</v>
      </c>
      <c r="CK5" s="630" t="s">
        <v>12</v>
      </c>
      <c r="CL5" s="630" t="s">
        <v>12</v>
      </c>
      <c r="CM5" s="630" t="s">
        <v>12</v>
      </c>
      <c r="CN5" s="630" t="s">
        <v>12</v>
      </c>
      <c r="CO5" s="630" t="s">
        <v>12</v>
      </c>
      <c r="CP5" s="630" t="s">
        <v>12</v>
      </c>
      <c r="CQ5" s="630" t="s">
        <v>12</v>
      </c>
      <c r="CR5" s="630" t="s">
        <v>12</v>
      </c>
      <c r="CS5" s="630" t="s">
        <v>12</v>
      </c>
      <c r="CT5" s="630" t="s">
        <v>12</v>
      </c>
      <c r="CU5" s="630" t="s">
        <v>12</v>
      </c>
      <c r="CV5" s="630" t="s">
        <v>12</v>
      </c>
      <c r="CW5" s="630" t="s">
        <v>12</v>
      </c>
      <c r="CX5" s="639" t="s">
        <v>12</v>
      </c>
      <c r="CY5" s="698" t="s">
        <v>388</v>
      </c>
    </row>
    <row r="6" spans="2:103" hidden="1" x14ac:dyDescent="0.45">
      <c r="B6" s="227" t="s">
        <v>578</v>
      </c>
      <c r="C6" s="631">
        <v>192</v>
      </c>
      <c r="D6" s="631">
        <v>192</v>
      </c>
      <c r="E6" s="631">
        <v>194</v>
      </c>
      <c r="F6" s="631">
        <v>195</v>
      </c>
      <c r="G6" s="631">
        <v>213</v>
      </c>
      <c r="H6" s="631"/>
      <c r="I6" s="631"/>
      <c r="J6" s="631"/>
      <c r="K6" s="631">
        <v>195</v>
      </c>
      <c r="L6" s="631"/>
      <c r="M6" s="631"/>
      <c r="N6" s="631"/>
      <c r="O6" s="631">
        <v>208</v>
      </c>
      <c r="P6" s="631"/>
      <c r="Q6" s="631">
        <v>200</v>
      </c>
      <c r="R6" s="631"/>
      <c r="S6" s="631"/>
      <c r="T6" s="631"/>
      <c r="U6" s="631"/>
      <c r="V6" s="631"/>
      <c r="W6" s="631"/>
      <c r="X6" s="631"/>
      <c r="Y6" s="631"/>
      <c r="Z6" s="631"/>
      <c r="AA6" s="631"/>
      <c r="AB6" s="631"/>
      <c r="AC6" s="631"/>
      <c r="AD6" s="631"/>
      <c r="AE6" s="631"/>
      <c r="AF6" s="631"/>
      <c r="AG6" s="631"/>
      <c r="AH6" s="631"/>
      <c r="AI6" s="631"/>
      <c r="AJ6" s="631"/>
      <c r="AK6" s="631"/>
      <c r="AL6" s="631"/>
      <c r="AM6" s="631"/>
      <c r="AN6" s="631"/>
      <c r="AO6" s="631"/>
      <c r="AP6" s="631"/>
      <c r="AQ6" s="631"/>
      <c r="AR6" s="631"/>
      <c r="AS6" s="631"/>
      <c r="AT6" s="631"/>
      <c r="AU6" s="631"/>
      <c r="AV6" s="631"/>
      <c r="AW6" s="631"/>
      <c r="AX6" s="631"/>
      <c r="AY6" s="631"/>
      <c r="AZ6" s="631"/>
      <c r="BA6" s="631"/>
      <c r="BB6" s="631"/>
      <c r="BC6" s="631"/>
      <c r="BD6" s="631"/>
      <c r="BE6" s="631"/>
      <c r="BF6" s="631"/>
      <c r="BG6" s="631"/>
      <c r="BH6" s="631"/>
      <c r="BI6" s="631"/>
      <c r="BJ6" s="631"/>
      <c r="BK6" s="631"/>
      <c r="BL6" s="631"/>
      <c r="BM6" s="631"/>
      <c r="BN6" s="631"/>
      <c r="BO6" s="631"/>
      <c r="BP6" s="631"/>
      <c r="BQ6" s="631"/>
      <c r="BR6" s="631"/>
      <c r="BS6" s="631"/>
      <c r="BT6" s="631"/>
      <c r="BU6" s="631"/>
      <c r="BV6" s="631"/>
      <c r="BW6" s="631"/>
      <c r="BX6" s="631"/>
      <c r="BY6" s="631"/>
      <c r="BZ6" s="631"/>
      <c r="CA6" s="631"/>
      <c r="CB6" s="631"/>
      <c r="CC6" s="631"/>
      <c r="CD6" s="631"/>
      <c r="CE6" s="631"/>
      <c r="CF6" s="631"/>
      <c r="CG6" s="631"/>
      <c r="CH6" s="631"/>
      <c r="CI6" s="631"/>
      <c r="CJ6" s="631"/>
      <c r="CK6" s="631"/>
      <c r="CL6" s="631"/>
      <c r="CM6" s="631"/>
      <c r="CN6" s="631"/>
      <c r="CO6" s="631"/>
      <c r="CP6" s="631"/>
      <c r="CQ6" s="631"/>
      <c r="CR6" s="631"/>
      <c r="CS6" s="631"/>
      <c r="CT6" s="631"/>
      <c r="CU6" s="631"/>
      <c r="CV6" s="631"/>
      <c r="CW6" s="631"/>
      <c r="CX6" s="640"/>
      <c r="CY6" s="698" t="s">
        <v>388</v>
      </c>
    </row>
    <row r="7" spans="2:103" hidden="1" x14ac:dyDescent="0.45">
      <c r="B7" s="227" t="s">
        <v>577</v>
      </c>
      <c r="C7" s="631"/>
      <c r="D7" s="631">
        <v>187</v>
      </c>
      <c r="E7" s="631"/>
      <c r="F7" s="631"/>
      <c r="G7" s="631"/>
      <c r="H7" s="631"/>
      <c r="I7" s="631"/>
      <c r="J7" s="631"/>
      <c r="K7" s="631"/>
      <c r="L7" s="631"/>
      <c r="M7" s="631"/>
      <c r="N7" s="631"/>
      <c r="O7" s="631">
        <v>208</v>
      </c>
      <c r="P7" s="631"/>
      <c r="Q7" s="631"/>
      <c r="R7" s="631"/>
      <c r="S7" s="631"/>
      <c r="T7" s="631"/>
      <c r="U7" s="631"/>
      <c r="V7" s="631"/>
      <c r="W7" s="631"/>
      <c r="X7" s="631"/>
      <c r="Y7" s="631"/>
      <c r="Z7" s="631"/>
      <c r="AA7" s="631"/>
      <c r="AB7" s="631"/>
      <c r="AC7" s="631"/>
      <c r="AD7" s="631"/>
      <c r="AE7" s="631"/>
      <c r="AF7" s="631"/>
      <c r="AG7" s="631"/>
      <c r="AH7" s="631"/>
      <c r="AI7" s="631"/>
      <c r="AJ7" s="631"/>
      <c r="AK7" s="631"/>
      <c r="AL7" s="631"/>
      <c r="AM7" s="631"/>
      <c r="AN7" s="631"/>
      <c r="AO7" s="631"/>
      <c r="AP7" s="631"/>
      <c r="AQ7" s="631"/>
      <c r="AR7" s="631"/>
      <c r="AS7" s="631"/>
      <c r="AT7" s="631"/>
      <c r="AU7" s="631"/>
      <c r="AV7" s="631"/>
      <c r="AW7" s="631"/>
      <c r="AX7" s="631"/>
      <c r="AY7" s="631"/>
      <c r="AZ7" s="631"/>
      <c r="BA7" s="631"/>
      <c r="BB7" s="631"/>
      <c r="BC7" s="631"/>
      <c r="BD7" s="631"/>
      <c r="BE7" s="631"/>
      <c r="BF7" s="631"/>
      <c r="BG7" s="631"/>
      <c r="BH7" s="631"/>
      <c r="BI7" s="631"/>
      <c r="BJ7" s="631"/>
      <c r="BK7" s="631"/>
      <c r="BL7" s="631"/>
      <c r="BM7" s="631"/>
      <c r="BN7" s="631"/>
      <c r="BO7" s="631"/>
      <c r="BP7" s="631"/>
      <c r="BQ7" s="631"/>
      <c r="BR7" s="631"/>
      <c r="BS7" s="631"/>
      <c r="BT7" s="631"/>
      <c r="BU7" s="631"/>
      <c r="BV7" s="631"/>
      <c r="BW7" s="631"/>
      <c r="BX7" s="631"/>
      <c r="BY7" s="631"/>
      <c r="BZ7" s="631"/>
      <c r="CA7" s="631"/>
      <c r="CB7" s="631"/>
      <c r="CC7" s="631"/>
      <c r="CD7" s="631"/>
      <c r="CE7" s="631"/>
      <c r="CF7" s="631"/>
      <c r="CG7" s="631"/>
      <c r="CH7" s="631"/>
      <c r="CI7" s="631"/>
      <c r="CJ7" s="631"/>
      <c r="CK7" s="631"/>
      <c r="CL7" s="631"/>
      <c r="CM7" s="631"/>
      <c r="CN7" s="631"/>
      <c r="CO7" s="631"/>
      <c r="CP7" s="631"/>
      <c r="CQ7" s="631"/>
      <c r="CR7" s="631"/>
      <c r="CS7" s="631"/>
      <c r="CT7" s="631"/>
      <c r="CU7" s="631"/>
      <c r="CV7" s="631"/>
      <c r="CW7" s="631"/>
      <c r="CX7" s="640"/>
      <c r="CY7" s="698" t="s">
        <v>388</v>
      </c>
    </row>
    <row r="8" spans="2:103" hidden="1" x14ac:dyDescent="0.45">
      <c r="B8" s="649" t="s">
        <v>422</v>
      </c>
      <c r="C8" s="632">
        <v>55</v>
      </c>
      <c r="D8" s="632">
        <v>50</v>
      </c>
      <c r="E8" s="632">
        <v>55</v>
      </c>
      <c r="F8" s="632">
        <v>50</v>
      </c>
      <c r="G8" s="632">
        <v>63</v>
      </c>
      <c r="H8" s="632"/>
      <c r="I8" s="632"/>
      <c r="J8" s="632">
        <v>52</v>
      </c>
      <c r="K8" s="632">
        <v>67</v>
      </c>
      <c r="L8" s="632">
        <v>55</v>
      </c>
      <c r="M8" s="632"/>
      <c r="N8" s="632"/>
      <c r="O8" s="632">
        <v>44</v>
      </c>
      <c r="P8" s="632"/>
      <c r="Q8" s="632"/>
      <c r="R8" s="632"/>
      <c r="S8" s="632"/>
      <c r="T8" s="632"/>
      <c r="U8" s="632"/>
      <c r="V8" s="632"/>
      <c r="W8" s="632"/>
      <c r="X8" s="632"/>
      <c r="Y8" s="632"/>
      <c r="Z8" s="632"/>
      <c r="AA8" s="632"/>
      <c r="AB8" s="632"/>
      <c r="AC8" s="632"/>
      <c r="AD8" s="632"/>
      <c r="AE8" s="632"/>
      <c r="AF8" s="632"/>
      <c r="AG8" s="632"/>
      <c r="AH8" s="632"/>
      <c r="AI8" s="632"/>
      <c r="AJ8" s="632"/>
      <c r="AK8" s="632"/>
      <c r="AL8" s="632"/>
      <c r="AM8" s="632"/>
      <c r="AN8" s="632"/>
      <c r="AO8" s="632"/>
      <c r="AP8" s="632"/>
      <c r="AQ8" s="632"/>
      <c r="AR8" s="632"/>
      <c r="AS8" s="632"/>
      <c r="AT8" s="632"/>
      <c r="AU8" s="632"/>
      <c r="AV8" s="632"/>
      <c r="AW8" s="632"/>
      <c r="AX8" s="632"/>
      <c r="AY8" s="632"/>
      <c r="AZ8" s="632"/>
      <c r="BA8" s="632"/>
      <c r="BB8" s="632"/>
      <c r="BC8" s="632"/>
      <c r="BD8" s="632"/>
      <c r="BE8" s="632"/>
      <c r="BF8" s="632"/>
      <c r="BG8" s="632"/>
      <c r="BH8" s="632"/>
      <c r="BI8" s="632"/>
      <c r="BJ8" s="632"/>
      <c r="BK8" s="632"/>
      <c r="BL8" s="632"/>
      <c r="BM8" s="632"/>
      <c r="BN8" s="632"/>
      <c r="BO8" s="632"/>
      <c r="BP8" s="632"/>
      <c r="BQ8" s="632"/>
      <c r="BR8" s="632"/>
      <c r="BS8" s="632"/>
      <c r="BT8" s="632"/>
      <c r="BU8" s="632"/>
      <c r="BV8" s="632"/>
      <c r="BW8" s="632"/>
      <c r="BX8" s="632"/>
      <c r="BY8" s="632"/>
      <c r="BZ8" s="632"/>
      <c r="CA8" s="632"/>
      <c r="CB8" s="632"/>
      <c r="CC8" s="632"/>
      <c r="CD8" s="632"/>
      <c r="CE8" s="632"/>
      <c r="CF8" s="632"/>
      <c r="CG8" s="632"/>
      <c r="CH8" s="632"/>
      <c r="CI8" s="632"/>
      <c r="CJ8" s="632"/>
      <c r="CK8" s="632"/>
      <c r="CL8" s="632"/>
      <c r="CM8" s="632"/>
      <c r="CN8" s="632"/>
      <c r="CO8" s="632"/>
      <c r="CP8" s="632"/>
      <c r="CQ8" s="632"/>
      <c r="CR8" s="632"/>
      <c r="CS8" s="632"/>
      <c r="CT8" s="632"/>
      <c r="CU8" s="632"/>
      <c r="CV8" s="632"/>
      <c r="CW8" s="632"/>
      <c r="CX8" s="641"/>
      <c r="CY8" s="698" t="s">
        <v>388</v>
      </c>
    </row>
    <row r="9" spans="2:103" hidden="1" x14ac:dyDescent="0.45">
      <c r="B9" s="227" t="s">
        <v>18</v>
      </c>
      <c r="C9" s="651"/>
      <c r="D9" s="651">
        <v>5</v>
      </c>
      <c r="E9" s="651">
        <v>5</v>
      </c>
      <c r="F9" s="651">
        <v>5</v>
      </c>
      <c r="G9" s="651">
        <v>5</v>
      </c>
      <c r="H9" s="651">
        <v>5</v>
      </c>
      <c r="I9" s="651">
        <v>5</v>
      </c>
      <c r="J9" s="651">
        <v>4</v>
      </c>
      <c r="K9" s="651">
        <v>5</v>
      </c>
      <c r="L9" s="651">
        <v>4</v>
      </c>
      <c r="M9" s="651">
        <v>5</v>
      </c>
      <c r="N9" s="651">
        <v>5</v>
      </c>
      <c r="O9" s="651">
        <v>5</v>
      </c>
      <c r="P9" s="651">
        <v>5</v>
      </c>
      <c r="Q9" s="651">
        <v>5</v>
      </c>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2"/>
      <c r="CY9" s="698" t="s">
        <v>388</v>
      </c>
    </row>
    <row r="10" spans="2:103" hidden="1" x14ac:dyDescent="0.45">
      <c r="B10" s="649" t="s">
        <v>20</v>
      </c>
      <c r="C10" s="633"/>
      <c r="D10" s="633">
        <v>1.0763888888888891E-2</v>
      </c>
      <c r="E10" s="633">
        <v>1.5277777777777777E-2</v>
      </c>
      <c r="F10" s="633">
        <v>1.3020833333333334E-2</v>
      </c>
      <c r="G10" s="633">
        <v>1.4756944444444446E-2</v>
      </c>
      <c r="H10" s="633">
        <v>1.3541666666666667E-2</v>
      </c>
      <c r="I10" s="633">
        <v>1.5277777777777777E-2</v>
      </c>
      <c r="J10" s="633">
        <v>1.1342592592592592E-2</v>
      </c>
      <c r="K10" s="633">
        <v>1.4583333333333332E-2</v>
      </c>
      <c r="L10" s="633">
        <v>1.0706018518518517E-2</v>
      </c>
      <c r="M10" s="633">
        <v>1.5972222222222224E-2</v>
      </c>
      <c r="N10" s="633">
        <v>1.5972222222222224E-2</v>
      </c>
      <c r="O10" s="633">
        <v>1.7361111111111112E-2</v>
      </c>
      <c r="P10" s="633">
        <v>0.875</v>
      </c>
      <c r="Q10" s="633">
        <v>1.5277777777777777E-2</v>
      </c>
      <c r="R10" s="633"/>
      <c r="S10" s="633"/>
      <c r="T10" s="633"/>
      <c r="U10" s="633"/>
      <c r="V10" s="633"/>
      <c r="W10" s="633"/>
      <c r="X10" s="633"/>
      <c r="Y10" s="633"/>
      <c r="Z10" s="633"/>
      <c r="AA10" s="633"/>
      <c r="AB10" s="633"/>
      <c r="AC10" s="633"/>
      <c r="AD10" s="633"/>
      <c r="AE10" s="633"/>
      <c r="AF10" s="633"/>
      <c r="AG10" s="633"/>
      <c r="AH10" s="633"/>
      <c r="AI10" s="633"/>
      <c r="AJ10" s="633"/>
      <c r="AK10" s="633"/>
      <c r="AL10" s="633"/>
      <c r="AM10" s="633"/>
      <c r="AN10" s="633"/>
      <c r="AO10" s="633"/>
      <c r="AP10" s="633"/>
      <c r="AQ10" s="633"/>
      <c r="AR10" s="633"/>
      <c r="AS10" s="633"/>
      <c r="AT10" s="633"/>
      <c r="AU10" s="633"/>
      <c r="AV10" s="633"/>
      <c r="AW10" s="633"/>
      <c r="AX10" s="633"/>
      <c r="AY10" s="633"/>
      <c r="AZ10" s="633"/>
      <c r="BA10" s="633"/>
      <c r="BB10" s="633"/>
      <c r="BC10" s="633"/>
      <c r="BD10" s="633"/>
      <c r="BE10" s="633"/>
      <c r="BF10" s="633"/>
      <c r="BG10" s="633"/>
      <c r="BH10" s="633"/>
      <c r="BI10" s="633"/>
      <c r="BJ10" s="633"/>
      <c r="BK10" s="633"/>
      <c r="BL10" s="633"/>
      <c r="BM10" s="633"/>
      <c r="BN10" s="633"/>
      <c r="BO10" s="633"/>
      <c r="BP10" s="633"/>
      <c r="BQ10" s="633"/>
      <c r="BR10" s="633"/>
      <c r="BS10" s="633"/>
      <c r="BT10" s="633"/>
      <c r="BU10" s="633"/>
      <c r="BV10" s="633"/>
      <c r="BW10" s="633"/>
      <c r="BX10" s="633"/>
      <c r="BY10" s="633"/>
      <c r="BZ10" s="633"/>
      <c r="CA10" s="633"/>
      <c r="CB10" s="633"/>
      <c r="CC10" s="633"/>
      <c r="CD10" s="633"/>
      <c r="CE10" s="633"/>
      <c r="CF10" s="633"/>
      <c r="CG10" s="633"/>
      <c r="CH10" s="633"/>
      <c r="CI10" s="633"/>
      <c r="CJ10" s="633"/>
      <c r="CK10" s="633"/>
      <c r="CL10" s="633"/>
      <c r="CM10" s="633"/>
      <c r="CN10" s="633"/>
      <c r="CO10" s="633"/>
      <c r="CP10" s="633"/>
      <c r="CQ10" s="633"/>
      <c r="CR10" s="633"/>
      <c r="CS10" s="633"/>
      <c r="CT10" s="633"/>
      <c r="CU10" s="633"/>
      <c r="CV10" s="633"/>
      <c r="CW10" s="633"/>
      <c r="CX10" s="642"/>
      <c r="CY10" s="698" t="s">
        <v>388</v>
      </c>
    </row>
    <row r="11" spans="2:103" hidden="1" x14ac:dyDescent="0.45">
      <c r="B11" s="227" t="s">
        <v>22</v>
      </c>
      <c r="C11" s="631">
        <v>240</v>
      </c>
      <c r="D11" s="631">
        <f>9*60</f>
        <v>540</v>
      </c>
      <c r="E11" s="631">
        <f>4.5*60</f>
        <v>270</v>
      </c>
      <c r="F11" s="631">
        <f>6*60</f>
        <v>360</v>
      </c>
      <c r="G11" s="631">
        <v>300</v>
      </c>
      <c r="H11" s="631">
        <f>60*4.25</f>
        <v>255</v>
      </c>
      <c r="I11" s="631">
        <f>340</f>
        <v>340</v>
      </c>
      <c r="J11" s="631">
        <f>280+90-60</f>
        <v>310</v>
      </c>
      <c r="K11" s="631">
        <f>200+30</f>
        <v>230</v>
      </c>
      <c r="L11" s="631">
        <f>200+30</f>
        <v>230</v>
      </c>
      <c r="M11" s="631">
        <v>180</v>
      </c>
      <c r="N11" s="631">
        <v>180</v>
      </c>
      <c r="O11" s="631">
        <v>360</v>
      </c>
      <c r="P11" s="631">
        <v>300</v>
      </c>
      <c r="Q11" s="631">
        <v>240</v>
      </c>
      <c r="R11" s="631"/>
      <c r="S11" s="631"/>
      <c r="T11" s="631"/>
      <c r="U11" s="631"/>
      <c r="V11" s="631"/>
      <c r="W11" s="631"/>
      <c r="X11" s="631"/>
      <c r="Y11" s="631"/>
      <c r="Z11" s="631"/>
      <c r="AA11" s="631"/>
      <c r="AB11" s="631"/>
      <c r="AC11" s="631"/>
      <c r="AD11" s="631"/>
      <c r="AE11" s="631"/>
      <c r="AF11" s="631"/>
      <c r="AG11" s="631"/>
      <c r="AH11" s="631"/>
      <c r="AI11" s="631"/>
      <c r="AJ11" s="631"/>
      <c r="AK11" s="631"/>
      <c r="AL11" s="631"/>
      <c r="AM11" s="631"/>
      <c r="AN11" s="631"/>
      <c r="AO11" s="631"/>
      <c r="AP11" s="631"/>
      <c r="AQ11" s="631"/>
      <c r="AR11" s="631"/>
      <c r="AS11" s="631"/>
      <c r="AT11" s="631"/>
      <c r="AU11" s="631"/>
      <c r="AV11" s="631"/>
      <c r="AW11" s="631"/>
      <c r="AX11" s="631"/>
      <c r="AY11" s="631"/>
      <c r="AZ11" s="631"/>
      <c r="BA11" s="631"/>
      <c r="BB11" s="631"/>
      <c r="BC11" s="631"/>
      <c r="BD11" s="631"/>
      <c r="BE11" s="631"/>
      <c r="BF11" s="631"/>
      <c r="BG11" s="631"/>
      <c r="BH11" s="631"/>
      <c r="BI11" s="631"/>
      <c r="BJ11" s="631"/>
      <c r="BK11" s="631"/>
      <c r="BL11" s="631"/>
      <c r="BM11" s="631"/>
      <c r="BN11" s="631"/>
      <c r="BO11" s="631"/>
      <c r="BP11" s="631"/>
      <c r="BQ11" s="631"/>
      <c r="BR11" s="631"/>
      <c r="BS11" s="631"/>
      <c r="BT11" s="631"/>
      <c r="BU11" s="631"/>
      <c r="BV11" s="631"/>
      <c r="BW11" s="631"/>
      <c r="BX11" s="631"/>
      <c r="BY11" s="631"/>
      <c r="BZ11" s="631"/>
      <c r="CA11" s="631"/>
      <c r="CB11" s="631"/>
      <c r="CC11" s="631"/>
      <c r="CD11" s="631"/>
      <c r="CE11" s="631"/>
      <c r="CF11" s="631"/>
      <c r="CG11" s="631"/>
      <c r="CH11" s="631"/>
      <c r="CI11" s="631"/>
      <c r="CJ11" s="631"/>
      <c r="CK11" s="631"/>
      <c r="CL11" s="631"/>
      <c r="CM11" s="631"/>
      <c r="CN11" s="631"/>
      <c r="CO11" s="631"/>
      <c r="CP11" s="631"/>
      <c r="CQ11" s="631"/>
      <c r="CR11" s="631"/>
      <c r="CS11" s="631"/>
      <c r="CT11" s="631"/>
      <c r="CU11" s="631"/>
      <c r="CV11" s="631"/>
      <c r="CW11" s="631"/>
      <c r="CX11" s="640">
        <f>60*6+60</f>
        <v>420</v>
      </c>
      <c r="CY11" s="698" t="s">
        <v>388</v>
      </c>
    </row>
    <row r="12" spans="2:103" hidden="1" x14ac:dyDescent="0.45">
      <c r="B12" s="649" t="s">
        <v>24</v>
      </c>
      <c r="C12" s="634">
        <f t="array" ref="C12:CX12">IF(athletes_starting_duration="","",athletes_starting_duration/60/24)</f>
        <v>0.16666666666666666</v>
      </c>
      <c r="D12" s="634">
        <v>0.375</v>
      </c>
      <c r="E12" s="634">
        <v>0.1875</v>
      </c>
      <c r="F12" s="634">
        <v>0.25</v>
      </c>
      <c r="G12" s="634">
        <v>0.20833333333333334</v>
      </c>
      <c r="H12" s="634">
        <v>0.17708333333333334</v>
      </c>
      <c r="I12" s="634">
        <v>0.23611111111111113</v>
      </c>
      <c r="J12" s="634">
        <v>0.21527777777777779</v>
      </c>
      <c r="K12" s="634">
        <v>0.15972222222222224</v>
      </c>
      <c r="L12" s="634">
        <v>0.15972222222222224</v>
      </c>
      <c r="M12" s="634">
        <v>0.125</v>
      </c>
      <c r="N12" s="634">
        <v>0.125</v>
      </c>
      <c r="O12" s="634">
        <v>0.25</v>
      </c>
      <c r="P12" s="634">
        <v>0.20833333333333334</v>
      </c>
      <c r="Q12" s="634">
        <v>0.16666666666666666</v>
      </c>
      <c r="R12" s="634" t="str">
        <v/>
      </c>
      <c r="S12" s="634" t="str">
        <v/>
      </c>
      <c r="T12" s="634" t="str">
        <v/>
      </c>
      <c r="U12" s="634" t="str">
        <v/>
      </c>
      <c r="V12" s="634" t="str">
        <v/>
      </c>
      <c r="W12" s="634" t="str">
        <v/>
      </c>
      <c r="X12" s="634" t="str">
        <v/>
      </c>
      <c r="Y12" s="634" t="str">
        <v/>
      </c>
      <c r="Z12" s="634" t="str">
        <v/>
      </c>
      <c r="AA12" s="634" t="str">
        <v/>
      </c>
      <c r="AB12" s="634" t="str">
        <v/>
      </c>
      <c r="AC12" s="634" t="str">
        <v/>
      </c>
      <c r="AD12" s="634" t="str">
        <v/>
      </c>
      <c r="AE12" s="634" t="str">
        <v/>
      </c>
      <c r="AF12" s="634" t="str">
        <v/>
      </c>
      <c r="AG12" s="634" t="str">
        <v/>
      </c>
      <c r="AH12" s="634" t="str">
        <v/>
      </c>
      <c r="AI12" s="634" t="str">
        <v/>
      </c>
      <c r="AJ12" s="634" t="str">
        <v/>
      </c>
      <c r="AK12" s="634" t="str">
        <v/>
      </c>
      <c r="AL12" s="634" t="str">
        <v/>
      </c>
      <c r="AM12" s="634" t="str">
        <v/>
      </c>
      <c r="AN12" s="634" t="str">
        <v/>
      </c>
      <c r="AO12" s="634" t="str">
        <v/>
      </c>
      <c r="AP12" s="634" t="str">
        <v/>
      </c>
      <c r="AQ12" s="634" t="str">
        <v/>
      </c>
      <c r="AR12" s="634" t="str">
        <v/>
      </c>
      <c r="AS12" s="634" t="str">
        <v/>
      </c>
      <c r="AT12" s="634" t="str">
        <v/>
      </c>
      <c r="AU12" s="634" t="str">
        <v/>
      </c>
      <c r="AV12" s="634" t="str">
        <v/>
      </c>
      <c r="AW12" s="634" t="str">
        <v/>
      </c>
      <c r="AX12" s="634" t="str">
        <v/>
      </c>
      <c r="AY12" s="634" t="str">
        <v/>
      </c>
      <c r="AZ12" s="634" t="str">
        <v/>
      </c>
      <c r="BA12" s="634" t="str">
        <v/>
      </c>
      <c r="BB12" s="634" t="str">
        <v/>
      </c>
      <c r="BC12" s="634" t="str">
        <v/>
      </c>
      <c r="BD12" s="634" t="str">
        <v/>
      </c>
      <c r="BE12" s="634" t="str">
        <v/>
      </c>
      <c r="BF12" s="634" t="str">
        <v/>
      </c>
      <c r="BG12" s="634" t="str">
        <v/>
      </c>
      <c r="BH12" s="634" t="str">
        <v/>
      </c>
      <c r="BI12" s="634" t="str">
        <v/>
      </c>
      <c r="BJ12" s="634" t="str">
        <v/>
      </c>
      <c r="BK12" s="634" t="str">
        <v/>
      </c>
      <c r="BL12" s="634" t="str">
        <v/>
      </c>
      <c r="BM12" s="634" t="str">
        <v/>
      </c>
      <c r="BN12" s="634" t="str">
        <v/>
      </c>
      <c r="BO12" s="634" t="str">
        <v/>
      </c>
      <c r="BP12" s="634" t="str">
        <v/>
      </c>
      <c r="BQ12" s="634" t="str">
        <v/>
      </c>
      <c r="BR12" s="634" t="str">
        <v/>
      </c>
      <c r="BS12" s="634" t="str">
        <v/>
      </c>
      <c r="BT12" s="634" t="str">
        <v/>
      </c>
      <c r="BU12" s="634" t="str">
        <v/>
      </c>
      <c r="BV12" s="634" t="str">
        <v/>
      </c>
      <c r="BW12" s="634" t="str">
        <v/>
      </c>
      <c r="BX12" s="634" t="str">
        <v/>
      </c>
      <c r="BY12" s="634" t="str">
        <v/>
      </c>
      <c r="BZ12" s="634" t="str">
        <v/>
      </c>
      <c r="CA12" s="634" t="str">
        <v/>
      </c>
      <c r="CB12" s="634" t="str">
        <v/>
      </c>
      <c r="CC12" s="634" t="str">
        <v/>
      </c>
      <c r="CD12" s="634" t="str">
        <v/>
      </c>
      <c r="CE12" s="634" t="str">
        <v/>
      </c>
      <c r="CF12" s="634" t="str">
        <v/>
      </c>
      <c r="CG12" s="634" t="str">
        <v/>
      </c>
      <c r="CH12" s="634" t="str">
        <v/>
      </c>
      <c r="CI12" s="634" t="str">
        <v/>
      </c>
      <c r="CJ12" s="634" t="str">
        <v/>
      </c>
      <c r="CK12" s="634" t="str">
        <v/>
      </c>
      <c r="CL12" s="634" t="str">
        <v/>
      </c>
      <c r="CM12" s="634" t="str">
        <v/>
      </c>
      <c r="CN12" s="634" t="str">
        <v/>
      </c>
      <c r="CO12" s="634" t="str">
        <v/>
      </c>
      <c r="CP12" s="634" t="str">
        <v/>
      </c>
      <c r="CQ12" s="634" t="str">
        <v/>
      </c>
      <c r="CR12" s="634" t="str">
        <v/>
      </c>
      <c r="CS12" s="634" t="str">
        <v/>
      </c>
      <c r="CT12" s="634" t="str">
        <v/>
      </c>
      <c r="CU12" s="634" t="str">
        <v/>
      </c>
      <c r="CV12" s="634" t="str">
        <v/>
      </c>
      <c r="CW12" s="634" t="str">
        <v/>
      </c>
      <c r="CX12" s="643">
        <v>0.29166666666666669</v>
      </c>
      <c r="CY12" s="698" t="s">
        <v>388</v>
      </c>
    </row>
    <row r="13" spans="2:103" hidden="1" x14ac:dyDescent="0.45">
      <c r="B13" s="227" t="s">
        <v>358</v>
      </c>
      <c r="C13" s="631">
        <f xml:space="preserve"> C11*load_steady</f>
        <v>398.84092944086905</v>
      </c>
      <c r="D13" s="631">
        <f xml:space="preserve"> D11*load_steady</f>
        <v>897.39209124195543</v>
      </c>
      <c r="E13" s="631">
        <f xml:space="preserve"> E11*load_steady</f>
        <v>448.69604562097771</v>
      </c>
      <c r="F13" s="631">
        <f xml:space="preserve"> F11*load_steady</f>
        <v>598.26139416130354</v>
      </c>
      <c r="G13" s="631">
        <f>G11*load_steady</f>
        <v>498.55116180108632</v>
      </c>
      <c r="H13" s="631">
        <f>H11*load_steady</f>
        <v>423.76848753092338</v>
      </c>
      <c r="I13" s="631">
        <f t="shared" ref="I13:P13" si="2">I11*load_steady</f>
        <v>565.02465004123121</v>
      </c>
      <c r="J13" s="631">
        <f t="shared" si="2"/>
        <v>515.16953386112255</v>
      </c>
      <c r="K13" s="631">
        <f t="shared" si="2"/>
        <v>382.22255738083282</v>
      </c>
      <c r="L13" s="631">
        <f t="shared" si="2"/>
        <v>382.22255738083282</v>
      </c>
      <c r="M13" s="631">
        <f t="shared" si="2"/>
        <v>299.13069708065177</v>
      </c>
      <c r="N13" s="631">
        <f t="shared" si="2"/>
        <v>299.13069708065177</v>
      </c>
      <c r="O13" s="631">
        <f t="shared" si="2"/>
        <v>598.26139416130354</v>
      </c>
      <c r="P13" s="631">
        <f t="shared" si="2"/>
        <v>498.55116180108632</v>
      </c>
      <c r="Q13" s="631">
        <f>Q11*load_steady</f>
        <v>398.84092944086905</v>
      </c>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c r="BB13" s="631"/>
      <c r="BC13" s="631"/>
      <c r="BD13" s="631"/>
      <c r="BE13" s="631"/>
      <c r="BF13" s="631"/>
      <c r="BG13" s="631"/>
      <c r="BH13" s="631"/>
      <c r="BI13" s="631"/>
      <c r="BJ13" s="631"/>
      <c r="BK13" s="631"/>
      <c r="BL13" s="631"/>
      <c r="BM13" s="631"/>
      <c r="BN13" s="631"/>
      <c r="BO13" s="631"/>
      <c r="BP13" s="631"/>
      <c r="BQ13" s="631"/>
      <c r="BR13" s="631"/>
      <c r="BS13" s="631"/>
      <c r="BT13" s="631"/>
      <c r="BU13" s="631"/>
      <c r="BV13" s="631"/>
      <c r="BW13" s="631"/>
      <c r="BX13" s="631"/>
      <c r="BY13" s="631"/>
      <c r="BZ13" s="631"/>
      <c r="CA13" s="631"/>
      <c r="CB13" s="631"/>
      <c r="CC13" s="631"/>
      <c r="CD13" s="631"/>
      <c r="CE13" s="631"/>
      <c r="CF13" s="631"/>
      <c r="CG13" s="631"/>
      <c r="CH13" s="631"/>
      <c r="CI13" s="631"/>
      <c r="CJ13" s="631"/>
      <c r="CK13" s="631"/>
      <c r="CL13" s="631"/>
      <c r="CM13" s="631"/>
      <c r="CN13" s="631"/>
      <c r="CO13" s="631"/>
      <c r="CP13" s="631"/>
      <c r="CQ13" s="631"/>
      <c r="CR13" s="631"/>
      <c r="CS13" s="631"/>
      <c r="CT13" s="631"/>
      <c r="CU13" s="631"/>
      <c r="CV13" s="631"/>
      <c r="CW13" s="631"/>
      <c r="CX13" s="640">
        <f>CX11*load_easy</f>
        <v>547.48579735797966</v>
      </c>
      <c r="CY13" s="698"/>
    </row>
    <row r="14" spans="2:103" hidden="1" x14ac:dyDescent="0.45">
      <c r="B14" s="650" t="s">
        <v>426</v>
      </c>
      <c r="C14" s="635"/>
      <c r="D14" s="635">
        <v>68</v>
      </c>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c r="BU14" s="635"/>
      <c r="BV14" s="635"/>
      <c r="BW14" s="635"/>
      <c r="BX14" s="635"/>
      <c r="BY14" s="635"/>
      <c r="BZ14" s="635"/>
      <c r="CA14" s="635"/>
      <c r="CB14" s="635"/>
      <c r="CC14" s="635"/>
      <c r="CD14" s="635"/>
      <c r="CE14" s="635"/>
      <c r="CF14" s="635"/>
      <c r="CG14" s="635"/>
      <c r="CH14" s="635"/>
      <c r="CI14" s="635"/>
      <c r="CJ14" s="635"/>
      <c r="CK14" s="635"/>
      <c r="CL14" s="635"/>
      <c r="CM14" s="635"/>
      <c r="CN14" s="635"/>
      <c r="CO14" s="635"/>
      <c r="CP14" s="635"/>
      <c r="CQ14" s="635"/>
      <c r="CR14" s="635"/>
      <c r="CS14" s="635"/>
      <c r="CT14" s="635"/>
      <c r="CU14" s="635"/>
      <c r="CV14" s="635"/>
      <c r="CW14" s="635"/>
      <c r="CX14" s="644"/>
      <c r="CY14" s="698" t="s">
        <v>388</v>
      </c>
    </row>
    <row r="15" spans="2:103" hidden="1" x14ac:dyDescent="0.45">
      <c r="B15" s="227" t="s">
        <v>356</v>
      </c>
      <c r="C15" s="631" t="str">
        <f t="array" ref="C15:CX15">IFERROR(ROUND((-4.6 + 0.182258 * (1000*athletes_test_distance/athletes_test_time_hhmm/1440) + 0.000104 *(1000*athletes_test_distance/athletes_test_time_hhmm/1440)^2) / (0.8 + 0.1894393*EXP(-0.012778*athletes_test_time_hhmm*1440)+0.2989558* EXP(-0.1932605*athletes_test_time_hhmm*1440) ),1),"")</f>
        <v/>
      </c>
      <c r="D15" s="631">
        <v>67</v>
      </c>
      <c r="E15" s="631">
        <v>44.5</v>
      </c>
      <c r="F15" s="631">
        <v>53.7</v>
      </c>
      <c r="G15" s="631">
        <v>46.4</v>
      </c>
      <c r="H15" s="631">
        <v>51.3</v>
      </c>
      <c r="I15" s="631">
        <v>44.5</v>
      </c>
      <c r="J15" s="631">
        <v>47.9</v>
      </c>
      <c r="K15" s="631">
        <v>47</v>
      </c>
      <c r="L15" s="631">
        <v>51.2</v>
      </c>
      <c r="M15" s="631">
        <v>42.3</v>
      </c>
      <c r="N15" s="631">
        <v>42.3</v>
      </c>
      <c r="O15" s="631">
        <v>38.299999999999997</v>
      </c>
      <c r="P15" s="631">
        <v>-4.8</v>
      </c>
      <c r="Q15" s="631">
        <v>44.5</v>
      </c>
      <c r="R15" s="631" t="str">
        <v/>
      </c>
      <c r="S15" s="631" t="str">
        <v/>
      </c>
      <c r="T15" s="631" t="str">
        <v/>
      </c>
      <c r="U15" s="631" t="str">
        <v/>
      </c>
      <c r="V15" s="631" t="str">
        <v/>
      </c>
      <c r="W15" s="631" t="str">
        <v/>
      </c>
      <c r="X15" s="631" t="str">
        <v/>
      </c>
      <c r="Y15" s="631" t="str">
        <v/>
      </c>
      <c r="Z15" s="631" t="str">
        <v/>
      </c>
      <c r="AA15" s="631" t="str">
        <v/>
      </c>
      <c r="AB15" s="631" t="str">
        <v/>
      </c>
      <c r="AC15" s="631" t="str">
        <v/>
      </c>
      <c r="AD15" s="631" t="str">
        <v/>
      </c>
      <c r="AE15" s="631" t="str">
        <v/>
      </c>
      <c r="AF15" s="631" t="str">
        <v/>
      </c>
      <c r="AG15" s="631" t="str">
        <v/>
      </c>
      <c r="AH15" s="631" t="str">
        <v/>
      </c>
      <c r="AI15" s="631" t="str">
        <v/>
      </c>
      <c r="AJ15" s="631" t="str">
        <v/>
      </c>
      <c r="AK15" s="631" t="str">
        <v/>
      </c>
      <c r="AL15" s="631" t="str">
        <v/>
      </c>
      <c r="AM15" s="631" t="str">
        <v/>
      </c>
      <c r="AN15" s="631" t="str">
        <v/>
      </c>
      <c r="AO15" s="631" t="str">
        <v/>
      </c>
      <c r="AP15" s="631" t="str">
        <v/>
      </c>
      <c r="AQ15" s="631" t="str">
        <v/>
      </c>
      <c r="AR15" s="631" t="str">
        <v/>
      </c>
      <c r="AS15" s="631" t="str">
        <v/>
      </c>
      <c r="AT15" s="631" t="str">
        <v/>
      </c>
      <c r="AU15" s="631" t="str">
        <v/>
      </c>
      <c r="AV15" s="631" t="str">
        <v/>
      </c>
      <c r="AW15" s="631" t="str">
        <v/>
      </c>
      <c r="AX15" s="631" t="str">
        <v/>
      </c>
      <c r="AY15" s="631" t="str">
        <v/>
      </c>
      <c r="AZ15" s="631" t="str">
        <v/>
      </c>
      <c r="BA15" s="631" t="str">
        <v/>
      </c>
      <c r="BB15" s="631" t="str">
        <v/>
      </c>
      <c r="BC15" s="631" t="str">
        <v/>
      </c>
      <c r="BD15" s="631" t="str">
        <v/>
      </c>
      <c r="BE15" s="631" t="str">
        <v/>
      </c>
      <c r="BF15" s="631" t="str">
        <v/>
      </c>
      <c r="BG15" s="631" t="str">
        <v/>
      </c>
      <c r="BH15" s="631" t="str">
        <v/>
      </c>
      <c r="BI15" s="631" t="str">
        <v/>
      </c>
      <c r="BJ15" s="631" t="str">
        <v/>
      </c>
      <c r="BK15" s="631" t="str">
        <v/>
      </c>
      <c r="BL15" s="631" t="str">
        <v/>
      </c>
      <c r="BM15" s="631" t="str">
        <v/>
      </c>
      <c r="BN15" s="631" t="str">
        <v/>
      </c>
      <c r="BO15" s="631" t="str">
        <v/>
      </c>
      <c r="BP15" s="631" t="str">
        <v/>
      </c>
      <c r="BQ15" s="631" t="str">
        <v/>
      </c>
      <c r="BR15" s="631" t="str">
        <v/>
      </c>
      <c r="BS15" s="631" t="str">
        <v/>
      </c>
      <c r="BT15" s="631" t="str">
        <v/>
      </c>
      <c r="BU15" s="631" t="str">
        <v/>
      </c>
      <c r="BV15" s="631" t="str">
        <v/>
      </c>
      <c r="BW15" s="631" t="str">
        <v/>
      </c>
      <c r="BX15" s="631" t="str">
        <v/>
      </c>
      <c r="BY15" s="631" t="str">
        <v/>
      </c>
      <c r="BZ15" s="631" t="str">
        <v/>
      </c>
      <c r="CA15" s="631" t="str">
        <v/>
      </c>
      <c r="CB15" s="631" t="str">
        <v/>
      </c>
      <c r="CC15" s="631" t="str">
        <v/>
      </c>
      <c r="CD15" s="631" t="str">
        <v/>
      </c>
      <c r="CE15" s="631" t="str">
        <v/>
      </c>
      <c r="CF15" s="631" t="str">
        <v/>
      </c>
      <c r="CG15" s="631" t="str">
        <v/>
      </c>
      <c r="CH15" s="631" t="str">
        <v/>
      </c>
      <c r="CI15" s="631" t="str">
        <v/>
      </c>
      <c r="CJ15" s="631" t="str">
        <v/>
      </c>
      <c r="CK15" s="631" t="str">
        <v/>
      </c>
      <c r="CL15" s="631" t="str">
        <v/>
      </c>
      <c r="CM15" s="631" t="str">
        <v/>
      </c>
      <c r="CN15" s="631" t="str">
        <v/>
      </c>
      <c r="CO15" s="631" t="str">
        <v/>
      </c>
      <c r="CP15" s="631" t="str">
        <v/>
      </c>
      <c r="CQ15" s="631" t="str">
        <v/>
      </c>
      <c r="CR15" s="631" t="str">
        <v/>
      </c>
      <c r="CS15" s="631" t="str">
        <v/>
      </c>
      <c r="CT15" s="631" t="str">
        <v/>
      </c>
      <c r="CU15" s="631" t="str">
        <v/>
      </c>
      <c r="CV15" s="631" t="str">
        <v/>
      </c>
      <c r="CW15" s="631" t="str">
        <v/>
      </c>
      <c r="CX15" s="640" t="str">
        <v/>
      </c>
      <c r="CY15" s="698" t="s">
        <v>388</v>
      </c>
    </row>
    <row r="16" spans="2:103" hidden="1" x14ac:dyDescent="0.45">
      <c r="B16" s="649" t="s">
        <v>425</v>
      </c>
      <c r="C16" s="636">
        <f t="array" ref="C16:CX16">IF(athletes_progression_maximum="","",((((athletes_duration_maximum)*(1+athletes_progression_maximum))/(athletes_progression_maximum))/(athletes_starting_duration+(athletes_duration_maximum/(athletes_progression_maximum)))) - 1)</f>
        <v>6.8702290076336103E-2</v>
      </c>
      <c r="D16" s="636">
        <v>4.4776119402985204E-2</v>
      </c>
      <c r="E16" s="636">
        <v>6.2618595825427059E-2</v>
      </c>
      <c r="F16" s="636">
        <v>5.660377358490587E-2</v>
      </c>
      <c r="G16" s="636">
        <v>0.1092896174863387</v>
      </c>
      <c r="H16" s="636" t="str">
        <v/>
      </c>
      <c r="I16" s="636" t="str">
        <v/>
      </c>
      <c r="J16" s="636" t="str">
        <v/>
      </c>
      <c r="K16" s="636" t="str">
        <v/>
      </c>
      <c r="L16" s="636" t="str">
        <v/>
      </c>
      <c r="M16" s="636" t="str">
        <v/>
      </c>
      <c r="N16" s="636" t="str">
        <v/>
      </c>
      <c r="O16" s="636" t="str">
        <v/>
      </c>
      <c r="P16" s="636" t="str">
        <v/>
      </c>
      <c r="Q16" s="636" t="str">
        <v/>
      </c>
      <c r="R16" s="636" t="str">
        <v/>
      </c>
      <c r="S16" s="636" t="str">
        <v/>
      </c>
      <c r="T16" s="636" t="str">
        <v/>
      </c>
      <c r="U16" s="636" t="str">
        <v/>
      </c>
      <c r="V16" s="636" t="str">
        <v/>
      </c>
      <c r="W16" s="636" t="str">
        <v/>
      </c>
      <c r="X16" s="636" t="str">
        <v/>
      </c>
      <c r="Y16" s="636" t="str">
        <v/>
      </c>
      <c r="Z16" s="636" t="str">
        <v/>
      </c>
      <c r="AA16" s="636" t="str">
        <v/>
      </c>
      <c r="AB16" s="636" t="str">
        <v/>
      </c>
      <c r="AC16" s="636" t="str">
        <v/>
      </c>
      <c r="AD16" s="636" t="str">
        <v/>
      </c>
      <c r="AE16" s="636" t="str">
        <v/>
      </c>
      <c r="AF16" s="636" t="str">
        <v/>
      </c>
      <c r="AG16" s="636" t="str">
        <v/>
      </c>
      <c r="AH16" s="636" t="str">
        <v/>
      </c>
      <c r="AI16" s="636" t="str">
        <v/>
      </c>
      <c r="AJ16" s="636" t="str">
        <v/>
      </c>
      <c r="AK16" s="636" t="str">
        <v/>
      </c>
      <c r="AL16" s="636" t="str">
        <v/>
      </c>
      <c r="AM16" s="636" t="str">
        <v/>
      </c>
      <c r="AN16" s="636" t="str">
        <v/>
      </c>
      <c r="AO16" s="636" t="str">
        <v/>
      </c>
      <c r="AP16" s="636" t="str">
        <v/>
      </c>
      <c r="AQ16" s="636" t="str">
        <v/>
      </c>
      <c r="AR16" s="636" t="str">
        <v/>
      </c>
      <c r="AS16" s="636" t="str">
        <v/>
      </c>
      <c r="AT16" s="636" t="str">
        <v/>
      </c>
      <c r="AU16" s="636" t="str">
        <v/>
      </c>
      <c r="AV16" s="636" t="str">
        <v/>
      </c>
      <c r="AW16" s="636" t="str">
        <v/>
      </c>
      <c r="AX16" s="636" t="str">
        <v/>
      </c>
      <c r="AY16" s="636" t="str">
        <v/>
      </c>
      <c r="AZ16" s="636" t="str">
        <v/>
      </c>
      <c r="BA16" s="636" t="str">
        <v/>
      </c>
      <c r="BB16" s="636" t="str">
        <v/>
      </c>
      <c r="BC16" s="636" t="str">
        <v/>
      </c>
      <c r="BD16" s="636" t="str">
        <v/>
      </c>
      <c r="BE16" s="636" t="str">
        <v/>
      </c>
      <c r="BF16" s="636" t="str">
        <v/>
      </c>
      <c r="BG16" s="636" t="str">
        <v/>
      </c>
      <c r="BH16" s="636" t="str">
        <v/>
      </c>
      <c r="BI16" s="636" t="str">
        <v/>
      </c>
      <c r="BJ16" s="636" t="str">
        <v/>
      </c>
      <c r="BK16" s="636" t="str">
        <v/>
      </c>
      <c r="BL16" s="636" t="str">
        <v/>
      </c>
      <c r="BM16" s="636" t="str">
        <v/>
      </c>
      <c r="BN16" s="636" t="str">
        <v/>
      </c>
      <c r="BO16" s="636" t="str">
        <v/>
      </c>
      <c r="BP16" s="636" t="str">
        <v/>
      </c>
      <c r="BQ16" s="636" t="str">
        <v/>
      </c>
      <c r="BR16" s="636" t="str">
        <v/>
      </c>
      <c r="BS16" s="636" t="str">
        <v/>
      </c>
      <c r="BT16" s="636" t="str">
        <v/>
      </c>
      <c r="BU16" s="636" t="str">
        <v/>
      </c>
      <c r="BV16" s="636" t="str">
        <v/>
      </c>
      <c r="BW16" s="636" t="str">
        <v/>
      </c>
      <c r="BX16" s="636" t="str">
        <v/>
      </c>
      <c r="BY16" s="636" t="str">
        <v/>
      </c>
      <c r="BZ16" s="636" t="str">
        <v/>
      </c>
      <c r="CA16" s="636" t="str">
        <v/>
      </c>
      <c r="CB16" s="636" t="str">
        <v/>
      </c>
      <c r="CC16" s="636" t="str">
        <v/>
      </c>
      <c r="CD16" s="636" t="str">
        <v/>
      </c>
      <c r="CE16" s="636" t="str">
        <v/>
      </c>
      <c r="CF16" s="636" t="str">
        <v/>
      </c>
      <c r="CG16" s="636" t="str">
        <v/>
      </c>
      <c r="CH16" s="636" t="str">
        <v/>
      </c>
      <c r="CI16" s="636" t="str">
        <v/>
      </c>
      <c r="CJ16" s="636" t="str">
        <v/>
      </c>
      <c r="CK16" s="636" t="str">
        <v/>
      </c>
      <c r="CL16" s="636" t="str">
        <v/>
      </c>
      <c r="CM16" s="636" t="str">
        <v/>
      </c>
      <c r="CN16" s="636" t="str">
        <v/>
      </c>
      <c r="CO16" s="636" t="str">
        <v/>
      </c>
      <c r="CP16" s="636" t="str">
        <v/>
      </c>
      <c r="CQ16" s="636" t="str">
        <v/>
      </c>
      <c r="CR16" s="636" t="str">
        <v/>
      </c>
      <c r="CS16" s="636" t="str">
        <v/>
      </c>
      <c r="CT16" s="636" t="str">
        <v/>
      </c>
      <c r="CU16" s="636" t="str">
        <v/>
      </c>
      <c r="CV16" s="636" t="str">
        <v/>
      </c>
      <c r="CW16" s="636" t="str">
        <v/>
      </c>
      <c r="CX16" s="645" t="str">
        <v/>
      </c>
      <c r="CY16" s="698" t="s">
        <v>388</v>
      </c>
    </row>
    <row r="17" spans="2:103" hidden="1" x14ac:dyDescent="0.45">
      <c r="B17" s="227" t="s">
        <v>427</v>
      </c>
      <c r="C17" s="657">
        <v>0.12</v>
      </c>
      <c r="D17" s="657">
        <v>0.12</v>
      </c>
      <c r="E17" s="657">
        <v>0.12</v>
      </c>
      <c r="F17" s="657">
        <v>0.12</v>
      </c>
      <c r="G17" s="657">
        <v>0.16</v>
      </c>
      <c r="H17" s="657"/>
      <c r="I17" s="657"/>
      <c r="J17" s="657"/>
      <c r="K17" s="657"/>
      <c r="L17" s="657"/>
      <c r="M17" s="657"/>
      <c r="N17" s="657"/>
      <c r="O17" s="657"/>
      <c r="P17" s="657"/>
      <c r="Q17" s="657"/>
      <c r="R17" s="657"/>
      <c r="S17" s="65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57"/>
      <c r="AS17" s="657"/>
      <c r="AT17" s="657"/>
      <c r="AU17" s="657"/>
      <c r="AV17" s="657"/>
      <c r="AW17" s="657"/>
      <c r="AX17" s="657"/>
      <c r="AY17" s="657"/>
      <c r="AZ17" s="657"/>
      <c r="BA17" s="657"/>
      <c r="BB17" s="657"/>
      <c r="BC17" s="657"/>
      <c r="BD17" s="657"/>
      <c r="BE17" s="657"/>
      <c r="BF17" s="657"/>
      <c r="BG17" s="657"/>
      <c r="BH17" s="657"/>
      <c r="BI17" s="657"/>
      <c r="BJ17" s="657"/>
      <c r="BK17" s="657"/>
      <c r="BL17" s="657"/>
      <c r="BM17" s="657"/>
      <c r="BN17" s="657"/>
      <c r="BO17" s="657"/>
      <c r="BP17" s="657"/>
      <c r="BQ17" s="657"/>
      <c r="BR17" s="657"/>
      <c r="BS17" s="657"/>
      <c r="BT17" s="657"/>
      <c r="BU17" s="657"/>
      <c r="BV17" s="657"/>
      <c r="BW17" s="657"/>
      <c r="BX17" s="657"/>
      <c r="BY17" s="657"/>
      <c r="BZ17" s="657"/>
      <c r="CA17" s="657"/>
      <c r="CB17" s="657"/>
      <c r="CC17" s="657"/>
      <c r="CD17" s="657"/>
      <c r="CE17" s="657"/>
      <c r="CF17" s="657"/>
      <c r="CG17" s="657"/>
      <c r="CH17" s="657"/>
      <c r="CI17" s="657"/>
      <c r="CJ17" s="657"/>
      <c r="CK17" s="657"/>
      <c r="CL17" s="657"/>
      <c r="CM17" s="657"/>
      <c r="CN17" s="657"/>
      <c r="CO17" s="657"/>
      <c r="CP17" s="657"/>
      <c r="CQ17" s="657"/>
      <c r="CR17" s="657"/>
      <c r="CS17" s="657"/>
      <c r="CT17" s="657"/>
      <c r="CU17" s="657"/>
      <c r="CV17" s="657"/>
      <c r="CW17" s="657"/>
      <c r="CX17" s="664"/>
      <c r="CY17" s="698" t="s">
        <v>388</v>
      </c>
    </row>
    <row r="18" spans="2:103" hidden="1" x14ac:dyDescent="0.45">
      <c r="B18" s="649" t="s">
        <v>39</v>
      </c>
      <c r="C18" s="656">
        <v>0.41666666666666669</v>
      </c>
      <c r="D18" s="656">
        <v>0.625</v>
      </c>
      <c r="E18" s="656">
        <v>0.41666666666666669</v>
      </c>
      <c r="F18" s="1031">
        <v>0.5</v>
      </c>
      <c r="G18" s="1031">
        <v>0.72916666666666663</v>
      </c>
      <c r="H18" s="1032">
        <v>0.41666666666666669</v>
      </c>
      <c r="I18" s="1032">
        <f t="shared" ref="I18:N18" si="3">I12*2</f>
        <v>0.47222222222222227</v>
      </c>
      <c r="J18" s="1032">
        <f t="shared" si="3"/>
        <v>0.43055555555555558</v>
      </c>
      <c r="K18" s="1032">
        <f t="shared" si="3"/>
        <v>0.31944444444444448</v>
      </c>
      <c r="L18" s="1032">
        <f t="shared" si="3"/>
        <v>0.31944444444444448</v>
      </c>
      <c r="M18" s="1032">
        <f t="shared" si="3"/>
        <v>0.25</v>
      </c>
      <c r="N18" s="1032">
        <f t="shared" si="3"/>
        <v>0.25</v>
      </c>
      <c r="O18" s="1032">
        <v>0.625</v>
      </c>
      <c r="P18" s="1032">
        <v>0.5</v>
      </c>
      <c r="Q18" s="1032">
        <v>0.41666666666666669</v>
      </c>
      <c r="R18" s="1032"/>
      <c r="S18" s="1032"/>
      <c r="T18" s="1032"/>
      <c r="U18" s="1032"/>
      <c r="V18" s="1032"/>
      <c r="W18" s="1032"/>
      <c r="X18" s="1032"/>
      <c r="Y18" s="1032"/>
      <c r="Z18" s="1032"/>
      <c r="AA18" s="1032"/>
      <c r="AB18" s="1032"/>
      <c r="AC18" s="1032"/>
      <c r="AD18" s="1032"/>
      <c r="AE18" s="1032"/>
      <c r="AF18" s="1032"/>
      <c r="AG18" s="1032"/>
      <c r="AH18" s="1032"/>
      <c r="AI18" s="1032"/>
      <c r="AJ18" s="1032"/>
      <c r="AK18" s="1032"/>
      <c r="AL18" s="1032"/>
      <c r="AM18" s="1032"/>
      <c r="AN18" s="1032"/>
      <c r="AO18" s="1032"/>
      <c r="AP18" s="1032"/>
      <c r="AQ18" s="1032"/>
      <c r="AR18" s="1032"/>
      <c r="AS18" s="1032"/>
      <c r="AT18" s="1032"/>
      <c r="AU18" s="1032"/>
      <c r="AV18" s="1032"/>
      <c r="AW18" s="1032"/>
      <c r="AX18" s="1032"/>
      <c r="AY18" s="1032"/>
      <c r="AZ18" s="1032"/>
      <c r="BA18" s="1032"/>
      <c r="BB18" s="1032"/>
      <c r="BC18" s="1032"/>
      <c r="BD18" s="1032"/>
      <c r="BE18" s="1032"/>
      <c r="BF18" s="1032"/>
      <c r="BG18" s="1032"/>
      <c r="BH18" s="1032"/>
      <c r="BI18" s="1032"/>
      <c r="BJ18" s="1032"/>
      <c r="BK18" s="1032"/>
      <c r="BL18" s="1032"/>
      <c r="BM18" s="1032"/>
      <c r="BN18" s="1032"/>
      <c r="BO18" s="1032"/>
      <c r="BP18" s="1032"/>
      <c r="BQ18" s="1032"/>
      <c r="BR18" s="1032"/>
      <c r="BS18" s="1032"/>
      <c r="BT18" s="1032"/>
      <c r="BU18" s="1032"/>
      <c r="BV18" s="1032"/>
      <c r="BW18" s="1032"/>
      <c r="BX18" s="1032"/>
      <c r="BY18" s="1032"/>
      <c r="BZ18" s="1032"/>
      <c r="CA18" s="1032"/>
      <c r="CB18" s="1032"/>
      <c r="CC18" s="1032"/>
      <c r="CD18" s="1032"/>
      <c r="CE18" s="1032"/>
      <c r="CF18" s="1032"/>
      <c r="CG18" s="1032"/>
      <c r="CH18" s="1032"/>
      <c r="CI18" s="1032"/>
      <c r="CJ18" s="1032"/>
      <c r="CK18" s="1032"/>
      <c r="CL18" s="1032"/>
      <c r="CM18" s="1032"/>
      <c r="CN18" s="1032"/>
      <c r="CO18" s="1032"/>
      <c r="CP18" s="1032"/>
      <c r="CQ18" s="1032"/>
      <c r="CR18" s="1032"/>
      <c r="CS18" s="1032"/>
      <c r="CT18" s="1032"/>
      <c r="CU18" s="1032"/>
      <c r="CV18" s="1032"/>
      <c r="CW18" s="1032"/>
      <c r="CX18" s="1033"/>
      <c r="CY18" s="698" t="s">
        <v>388</v>
      </c>
    </row>
    <row r="19" spans="2:103" hidden="1" x14ac:dyDescent="0.45">
      <c r="B19" s="628" t="s">
        <v>42</v>
      </c>
      <c r="C19" s="658">
        <f t="array" ref="C19:CX19">IF(athletes_duration_maximum_hhmm="", "", athletes_duration_maximum_hhmm*24*60)</f>
        <v>600</v>
      </c>
      <c r="D19" s="658">
        <v>900</v>
      </c>
      <c r="E19" s="658">
        <v>600</v>
      </c>
      <c r="F19" s="658">
        <v>720</v>
      </c>
      <c r="G19" s="658">
        <v>1050</v>
      </c>
      <c r="H19" s="658">
        <v>600</v>
      </c>
      <c r="I19" s="658">
        <v>680</v>
      </c>
      <c r="J19" s="658">
        <v>620</v>
      </c>
      <c r="K19" s="658">
        <v>460.00000000000006</v>
      </c>
      <c r="L19" s="658">
        <v>460.00000000000006</v>
      </c>
      <c r="M19" s="658">
        <v>360</v>
      </c>
      <c r="N19" s="658">
        <v>360</v>
      </c>
      <c r="O19" s="658">
        <v>900</v>
      </c>
      <c r="P19" s="658">
        <v>720</v>
      </c>
      <c r="Q19" s="658">
        <v>600</v>
      </c>
      <c r="R19" s="658" t="str">
        <v/>
      </c>
      <c r="S19" s="658" t="str">
        <v/>
      </c>
      <c r="T19" s="658" t="str">
        <v/>
      </c>
      <c r="U19" s="658" t="str">
        <v/>
      </c>
      <c r="V19" s="658" t="str">
        <v/>
      </c>
      <c r="W19" s="658" t="str">
        <v/>
      </c>
      <c r="X19" s="658" t="str">
        <v/>
      </c>
      <c r="Y19" s="658" t="str">
        <v/>
      </c>
      <c r="Z19" s="658" t="str">
        <v/>
      </c>
      <c r="AA19" s="658" t="str">
        <v/>
      </c>
      <c r="AB19" s="658" t="str">
        <v/>
      </c>
      <c r="AC19" s="658" t="str">
        <v/>
      </c>
      <c r="AD19" s="658" t="str">
        <v/>
      </c>
      <c r="AE19" s="658" t="str">
        <v/>
      </c>
      <c r="AF19" s="658" t="str">
        <v/>
      </c>
      <c r="AG19" s="658" t="str">
        <v/>
      </c>
      <c r="AH19" s="658" t="str">
        <v/>
      </c>
      <c r="AI19" s="658" t="str">
        <v/>
      </c>
      <c r="AJ19" s="658" t="str">
        <v/>
      </c>
      <c r="AK19" s="658" t="str">
        <v/>
      </c>
      <c r="AL19" s="658" t="str">
        <v/>
      </c>
      <c r="AM19" s="658" t="str">
        <v/>
      </c>
      <c r="AN19" s="658" t="str">
        <v/>
      </c>
      <c r="AO19" s="658" t="str">
        <v/>
      </c>
      <c r="AP19" s="658" t="str">
        <v/>
      </c>
      <c r="AQ19" s="658" t="str">
        <v/>
      </c>
      <c r="AR19" s="658" t="str">
        <v/>
      </c>
      <c r="AS19" s="658" t="str">
        <v/>
      </c>
      <c r="AT19" s="658" t="str">
        <v/>
      </c>
      <c r="AU19" s="658" t="str">
        <v/>
      </c>
      <c r="AV19" s="658" t="str">
        <v/>
      </c>
      <c r="AW19" s="658" t="str">
        <v/>
      </c>
      <c r="AX19" s="658" t="str">
        <v/>
      </c>
      <c r="AY19" s="658" t="str">
        <v/>
      </c>
      <c r="AZ19" s="658" t="str">
        <v/>
      </c>
      <c r="BA19" s="658" t="str">
        <v/>
      </c>
      <c r="BB19" s="658" t="str">
        <v/>
      </c>
      <c r="BC19" s="658" t="str">
        <v/>
      </c>
      <c r="BD19" s="658" t="str">
        <v/>
      </c>
      <c r="BE19" s="658" t="str">
        <v/>
      </c>
      <c r="BF19" s="658" t="str">
        <v/>
      </c>
      <c r="BG19" s="658" t="str">
        <v/>
      </c>
      <c r="BH19" s="658" t="str">
        <v/>
      </c>
      <c r="BI19" s="658" t="str">
        <v/>
      </c>
      <c r="BJ19" s="658" t="str">
        <v/>
      </c>
      <c r="BK19" s="658" t="str">
        <v/>
      </c>
      <c r="BL19" s="658" t="str">
        <v/>
      </c>
      <c r="BM19" s="658" t="str">
        <v/>
      </c>
      <c r="BN19" s="658" t="str">
        <v/>
      </c>
      <c r="BO19" s="658" t="str">
        <v/>
      </c>
      <c r="BP19" s="658" t="str">
        <v/>
      </c>
      <c r="BQ19" s="658" t="str">
        <v/>
      </c>
      <c r="BR19" s="658" t="str">
        <v/>
      </c>
      <c r="BS19" s="658" t="str">
        <v/>
      </c>
      <c r="BT19" s="658" t="str">
        <v/>
      </c>
      <c r="BU19" s="658" t="str">
        <v/>
      </c>
      <c r="BV19" s="658" t="str">
        <v/>
      </c>
      <c r="BW19" s="658" t="str">
        <v/>
      </c>
      <c r="BX19" s="658" t="str">
        <v/>
      </c>
      <c r="BY19" s="658" t="str">
        <v/>
      </c>
      <c r="BZ19" s="658" t="str">
        <v/>
      </c>
      <c r="CA19" s="658" t="str">
        <v/>
      </c>
      <c r="CB19" s="658" t="str">
        <v/>
      </c>
      <c r="CC19" s="658" t="str">
        <v/>
      </c>
      <c r="CD19" s="658" t="str">
        <v/>
      </c>
      <c r="CE19" s="658" t="str">
        <v/>
      </c>
      <c r="CF19" s="658" t="str">
        <v/>
      </c>
      <c r="CG19" s="658" t="str">
        <v/>
      </c>
      <c r="CH19" s="658" t="str">
        <v/>
      </c>
      <c r="CI19" s="658" t="str">
        <v/>
      </c>
      <c r="CJ19" s="658" t="str">
        <v/>
      </c>
      <c r="CK19" s="658" t="str">
        <v/>
      </c>
      <c r="CL19" s="658" t="str">
        <v/>
      </c>
      <c r="CM19" s="658" t="str">
        <v/>
      </c>
      <c r="CN19" s="658" t="str">
        <v/>
      </c>
      <c r="CO19" s="658" t="str">
        <v/>
      </c>
      <c r="CP19" s="658" t="str">
        <v/>
      </c>
      <c r="CQ19" s="658" t="str">
        <v/>
      </c>
      <c r="CR19" s="658" t="str">
        <v/>
      </c>
      <c r="CS19" s="658" t="str">
        <v/>
      </c>
      <c r="CT19" s="658" t="str">
        <v/>
      </c>
      <c r="CU19" s="658" t="str">
        <v/>
      </c>
      <c r="CV19" s="658" t="str">
        <v/>
      </c>
      <c r="CW19" s="658" t="str">
        <v/>
      </c>
      <c r="CX19" s="659" t="str">
        <v/>
      </c>
      <c r="CY19" s="698" t="s">
        <v>388</v>
      </c>
    </row>
    <row r="20" spans="2:103" hidden="1" x14ac:dyDescent="0.45">
      <c r="B20" s="649" t="s">
        <v>435</v>
      </c>
      <c r="C20" s="632">
        <f>ROUND(0.65*athlete_HR_max_run, 0)</f>
        <v>125</v>
      </c>
      <c r="D20" s="632">
        <v>138</v>
      </c>
      <c r="E20" s="632"/>
      <c r="F20" s="632">
        <v>142</v>
      </c>
      <c r="G20" s="632"/>
      <c r="H20" s="632"/>
      <c r="I20" s="632"/>
      <c r="J20" s="632"/>
      <c r="K20" s="632"/>
      <c r="L20" s="632"/>
      <c r="M20" s="632"/>
      <c r="N20" s="632"/>
      <c r="O20" s="632"/>
      <c r="P20" s="632"/>
      <c r="Q20" s="632"/>
      <c r="R20" s="632"/>
      <c r="S20" s="632"/>
      <c r="T20" s="632"/>
      <c r="U20" s="632"/>
      <c r="V20" s="632"/>
      <c r="W20" s="632"/>
      <c r="X20" s="632"/>
      <c r="Y20" s="632"/>
      <c r="Z20" s="632"/>
      <c r="AA20" s="632"/>
      <c r="AB20" s="632"/>
      <c r="AC20" s="632"/>
      <c r="AD20" s="632"/>
      <c r="AE20" s="632"/>
      <c r="AF20" s="632"/>
      <c r="AG20" s="632"/>
      <c r="AH20" s="632"/>
      <c r="AI20" s="632"/>
      <c r="AJ20" s="632"/>
      <c r="AK20" s="632"/>
      <c r="AL20" s="632"/>
      <c r="AM20" s="632"/>
      <c r="AN20" s="632"/>
      <c r="AO20" s="632"/>
      <c r="AP20" s="632"/>
      <c r="AQ20" s="632"/>
      <c r="AR20" s="632"/>
      <c r="AS20" s="632"/>
      <c r="AT20" s="632"/>
      <c r="AU20" s="632"/>
      <c r="AV20" s="632"/>
      <c r="AW20" s="632"/>
      <c r="AX20" s="632"/>
      <c r="AY20" s="632"/>
      <c r="AZ20" s="632"/>
      <c r="BA20" s="632"/>
      <c r="BB20" s="632"/>
      <c r="BC20" s="632"/>
      <c r="BD20" s="632"/>
      <c r="BE20" s="632"/>
      <c r="BF20" s="632"/>
      <c r="BG20" s="632"/>
      <c r="BH20" s="632"/>
      <c r="BI20" s="632"/>
      <c r="BJ20" s="632"/>
      <c r="BK20" s="632"/>
      <c r="BL20" s="632"/>
      <c r="BM20" s="632"/>
      <c r="BN20" s="632"/>
      <c r="BO20" s="632"/>
      <c r="BP20" s="632"/>
      <c r="BQ20" s="632"/>
      <c r="BR20" s="632"/>
      <c r="BS20" s="632"/>
      <c r="BT20" s="632"/>
      <c r="BU20" s="632"/>
      <c r="BV20" s="632"/>
      <c r="BW20" s="632"/>
      <c r="BX20" s="632"/>
      <c r="BY20" s="632"/>
      <c r="BZ20" s="632"/>
      <c r="CA20" s="632"/>
      <c r="CB20" s="632"/>
      <c r="CC20" s="632"/>
      <c r="CD20" s="632"/>
      <c r="CE20" s="632"/>
      <c r="CF20" s="632"/>
      <c r="CG20" s="632"/>
      <c r="CH20" s="632"/>
      <c r="CI20" s="632"/>
      <c r="CJ20" s="632"/>
      <c r="CK20" s="632"/>
      <c r="CL20" s="632"/>
      <c r="CM20" s="632"/>
      <c r="CN20" s="632"/>
      <c r="CO20" s="632"/>
      <c r="CP20" s="632"/>
      <c r="CQ20" s="632"/>
      <c r="CR20" s="632"/>
      <c r="CS20" s="632"/>
      <c r="CT20" s="632"/>
      <c r="CU20" s="632"/>
      <c r="CV20" s="632"/>
      <c r="CW20" s="632"/>
      <c r="CX20" s="641"/>
      <c r="CY20" s="698" t="s">
        <v>388</v>
      </c>
    </row>
    <row r="21" spans="2:103" hidden="1" x14ac:dyDescent="0.45">
      <c r="B21" s="227" t="s">
        <v>440</v>
      </c>
      <c r="C21" s="660"/>
      <c r="D21" s="660">
        <v>3.2407407407407406E-3</v>
      </c>
      <c r="E21" s="660"/>
      <c r="F21" s="660">
        <v>3.8194444444444443E-3</v>
      </c>
      <c r="G21" s="660"/>
      <c r="H21" s="660"/>
      <c r="I21" s="660"/>
      <c r="J21" s="660"/>
      <c r="K21" s="660"/>
      <c r="L21" s="660"/>
      <c r="M21" s="660"/>
      <c r="N21" s="660"/>
      <c r="O21" s="660"/>
      <c r="P21" s="660"/>
      <c r="Q21" s="660"/>
      <c r="R21" s="660"/>
      <c r="S21" s="660"/>
      <c r="T21" s="660"/>
      <c r="U21" s="660"/>
      <c r="V21" s="660"/>
      <c r="W21" s="660"/>
      <c r="X21" s="660"/>
      <c r="Y21" s="660"/>
      <c r="Z21" s="660"/>
      <c r="AA21" s="660"/>
      <c r="AB21" s="660"/>
      <c r="AC21" s="660"/>
      <c r="AD21" s="660"/>
      <c r="AE21" s="660"/>
      <c r="AF21" s="660"/>
      <c r="AG21" s="660"/>
      <c r="AH21" s="660"/>
      <c r="AI21" s="660"/>
      <c r="AJ21" s="660"/>
      <c r="AK21" s="660"/>
      <c r="AL21" s="660"/>
      <c r="AM21" s="660"/>
      <c r="AN21" s="660"/>
      <c r="AO21" s="660"/>
      <c r="AP21" s="660"/>
      <c r="AQ21" s="660"/>
      <c r="AR21" s="660"/>
      <c r="AS21" s="660"/>
      <c r="AT21" s="660"/>
      <c r="AU21" s="660"/>
      <c r="AV21" s="660"/>
      <c r="AW21" s="660"/>
      <c r="AX21" s="660"/>
      <c r="AY21" s="660"/>
      <c r="AZ21" s="660"/>
      <c r="BA21" s="660"/>
      <c r="BB21" s="660"/>
      <c r="BC21" s="660"/>
      <c r="BD21" s="660"/>
      <c r="BE21" s="660"/>
      <c r="BF21" s="660"/>
      <c r="BG21" s="660"/>
      <c r="BH21" s="660"/>
      <c r="BI21" s="660"/>
      <c r="BJ21" s="660"/>
      <c r="BK21" s="660"/>
      <c r="BL21" s="660"/>
      <c r="BM21" s="660"/>
      <c r="BN21" s="660"/>
      <c r="BO21" s="660"/>
      <c r="BP21" s="660"/>
      <c r="BQ21" s="660"/>
      <c r="BR21" s="660"/>
      <c r="BS21" s="660"/>
      <c r="BT21" s="660"/>
      <c r="BU21" s="660"/>
      <c r="BV21" s="660"/>
      <c r="BW21" s="660"/>
      <c r="BX21" s="660"/>
      <c r="BY21" s="660"/>
      <c r="BZ21" s="660"/>
      <c r="CA21" s="660"/>
      <c r="CB21" s="660"/>
      <c r="CC21" s="660"/>
      <c r="CD21" s="660"/>
      <c r="CE21" s="660"/>
      <c r="CF21" s="660"/>
      <c r="CG21" s="660"/>
      <c r="CH21" s="660"/>
      <c r="CI21" s="660"/>
      <c r="CJ21" s="660"/>
      <c r="CK21" s="660"/>
      <c r="CL21" s="660"/>
      <c r="CM21" s="660"/>
      <c r="CN21" s="660"/>
      <c r="CO21" s="660"/>
      <c r="CP21" s="660"/>
      <c r="CQ21" s="660"/>
      <c r="CR21" s="660"/>
      <c r="CS21" s="660"/>
      <c r="CT21" s="660"/>
      <c r="CU21" s="660"/>
      <c r="CV21" s="660"/>
      <c r="CW21" s="660"/>
      <c r="CX21" s="661"/>
      <c r="CY21" s="698" t="s">
        <v>388</v>
      </c>
    </row>
    <row r="22" spans="2:103" hidden="1" x14ac:dyDescent="0.45">
      <c r="B22" s="650" t="s">
        <v>437</v>
      </c>
      <c r="C22" s="1022">
        <f t="array" ref="C22:CX22">IF(athletes_name="Default",0.59,IFERROR((-(5.000663*athletes_VDOT)+SQRT((5.000663*athletes_VDOT)^2-4*(-0.007546*athletes_VDOT^2)*(29.54-(0.621371192*1609.344/1440/(athletes_calibration_pace)))))/(2*(-0.007546*athletes_VDOT^2)),""))</f>
        <v>0.59</v>
      </c>
      <c r="D22" s="662">
        <v>0.58614179468135108</v>
      </c>
      <c r="E22" s="662" t="str">
        <v/>
      </c>
      <c r="F22" s="662">
        <v>0.59583750185153339</v>
      </c>
      <c r="G22" s="662" t="str">
        <v/>
      </c>
      <c r="H22" s="662" t="str">
        <v/>
      </c>
      <c r="I22" s="662" t="str">
        <v/>
      </c>
      <c r="J22" s="662" t="str">
        <v/>
      </c>
      <c r="K22" s="662" t="str">
        <v/>
      </c>
      <c r="L22" s="662" t="str">
        <v/>
      </c>
      <c r="M22" s="662" t="str">
        <v/>
      </c>
      <c r="N22" s="662" t="str">
        <v/>
      </c>
      <c r="O22" s="662" t="str">
        <v/>
      </c>
      <c r="P22" s="662" t="str">
        <v/>
      </c>
      <c r="Q22" s="662" t="str">
        <v/>
      </c>
      <c r="R22" s="662" t="str">
        <v/>
      </c>
      <c r="S22" s="662" t="str">
        <v/>
      </c>
      <c r="T22" s="662" t="str">
        <v/>
      </c>
      <c r="U22" s="662" t="str">
        <v/>
      </c>
      <c r="V22" s="662" t="str">
        <v/>
      </c>
      <c r="W22" s="662" t="str">
        <v/>
      </c>
      <c r="X22" s="662" t="str">
        <v/>
      </c>
      <c r="Y22" s="662" t="str">
        <v/>
      </c>
      <c r="Z22" s="662" t="str">
        <v/>
      </c>
      <c r="AA22" s="662" t="str">
        <v/>
      </c>
      <c r="AB22" s="662" t="str">
        <v/>
      </c>
      <c r="AC22" s="662" t="str">
        <v/>
      </c>
      <c r="AD22" s="662" t="str">
        <v/>
      </c>
      <c r="AE22" s="662" t="str">
        <v/>
      </c>
      <c r="AF22" s="662" t="str">
        <v/>
      </c>
      <c r="AG22" s="662" t="str">
        <v/>
      </c>
      <c r="AH22" s="662" t="str">
        <v/>
      </c>
      <c r="AI22" s="662" t="str">
        <v/>
      </c>
      <c r="AJ22" s="662" t="str">
        <v/>
      </c>
      <c r="AK22" s="662" t="str">
        <v/>
      </c>
      <c r="AL22" s="662" t="str">
        <v/>
      </c>
      <c r="AM22" s="662" t="str">
        <v/>
      </c>
      <c r="AN22" s="662" t="str">
        <v/>
      </c>
      <c r="AO22" s="662" t="str">
        <v/>
      </c>
      <c r="AP22" s="662" t="str">
        <v/>
      </c>
      <c r="AQ22" s="662" t="str">
        <v/>
      </c>
      <c r="AR22" s="662" t="str">
        <v/>
      </c>
      <c r="AS22" s="662" t="str">
        <v/>
      </c>
      <c r="AT22" s="662" t="str">
        <v/>
      </c>
      <c r="AU22" s="662" t="str">
        <v/>
      </c>
      <c r="AV22" s="662" t="str">
        <v/>
      </c>
      <c r="AW22" s="662" t="str">
        <v/>
      </c>
      <c r="AX22" s="662" t="str">
        <v/>
      </c>
      <c r="AY22" s="662" t="str">
        <v/>
      </c>
      <c r="AZ22" s="662" t="str">
        <v/>
      </c>
      <c r="BA22" s="662" t="str">
        <v/>
      </c>
      <c r="BB22" s="662" t="str">
        <v/>
      </c>
      <c r="BC22" s="662" t="str">
        <v/>
      </c>
      <c r="BD22" s="662" t="str">
        <v/>
      </c>
      <c r="BE22" s="662" t="str">
        <v/>
      </c>
      <c r="BF22" s="662" t="str">
        <v/>
      </c>
      <c r="BG22" s="662" t="str">
        <v/>
      </c>
      <c r="BH22" s="662" t="str">
        <v/>
      </c>
      <c r="BI22" s="662" t="str">
        <v/>
      </c>
      <c r="BJ22" s="662" t="str">
        <v/>
      </c>
      <c r="BK22" s="662" t="str">
        <v/>
      </c>
      <c r="BL22" s="662" t="str">
        <v/>
      </c>
      <c r="BM22" s="662" t="str">
        <v/>
      </c>
      <c r="BN22" s="662" t="str">
        <v/>
      </c>
      <c r="BO22" s="662" t="str">
        <v/>
      </c>
      <c r="BP22" s="662" t="str">
        <v/>
      </c>
      <c r="BQ22" s="662" t="str">
        <v/>
      </c>
      <c r="BR22" s="662" t="str">
        <v/>
      </c>
      <c r="BS22" s="662" t="str">
        <v/>
      </c>
      <c r="BT22" s="662" t="str">
        <v/>
      </c>
      <c r="BU22" s="662" t="str">
        <v/>
      </c>
      <c r="BV22" s="662" t="str">
        <v/>
      </c>
      <c r="BW22" s="662" t="str">
        <v/>
      </c>
      <c r="BX22" s="662" t="str">
        <v/>
      </c>
      <c r="BY22" s="662" t="str">
        <v/>
      </c>
      <c r="BZ22" s="662" t="str">
        <v/>
      </c>
      <c r="CA22" s="662" t="str">
        <v/>
      </c>
      <c r="CB22" s="662" t="str">
        <v/>
      </c>
      <c r="CC22" s="662" t="str">
        <v/>
      </c>
      <c r="CD22" s="662" t="str">
        <v/>
      </c>
      <c r="CE22" s="662" t="str">
        <v/>
      </c>
      <c r="CF22" s="662" t="str">
        <v/>
      </c>
      <c r="CG22" s="662" t="str">
        <v/>
      </c>
      <c r="CH22" s="662" t="str">
        <v/>
      </c>
      <c r="CI22" s="662" t="str">
        <v/>
      </c>
      <c r="CJ22" s="662" t="str">
        <v/>
      </c>
      <c r="CK22" s="662" t="str">
        <v/>
      </c>
      <c r="CL22" s="662" t="str">
        <v/>
      </c>
      <c r="CM22" s="662" t="str">
        <v/>
      </c>
      <c r="CN22" s="662" t="str">
        <v/>
      </c>
      <c r="CO22" s="662" t="str">
        <v/>
      </c>
      <c r="CP22" s="662" t="str">
        <v/>
      </c>
      <c r="CQ22" s="662" t="str">
        <v/>
      </c>
      <c r="CR22" s="662" t="str">
        <v/>
      </c>
      <c r="CS22" s="662" t="str">
        <v/>
      </c>
      <c r="CT22" s="662" t="str">
        <v/>
      </c>
      <c r="CU22" s="662" t="str">
        <v/>
      </c>
      <c r="CV22" s="662" t="str">
        <v/>
      </c>
      <c r="CW22" s="662" t="str">
        <v/>
      </c>
      <c r="CX22" s="663" t="str">
        <v/>
      </c>
      <c r="CY22" s="698" t="s">
        <v>388</v>
      </c>
    </row>
    <row r="23" spans="2:103" hidden="1" x14ac:dyDescent="0.45">
      <c r="B23" s="722" t="s">
        <v>443</v>
      </c>
      <c r="C23" s="723" t="s">
        <v>444</v>
      </c>
      <c r="D23" s="723" t="s">
        <v>737</v>
      </c>
      <c r="E23" s="723" t="s">
        <v>419</v>
      </c>
      <c r="F23" s="723" t="s">
        <v>420</v>
      </c>
      <c r="G23" s="723" t="s">
        <v>442</v>
      </c>
      <c r="H23" s="723" t="s">
        <v>786</v>
      </c>
      <c r="I23" s="723" t="str">
        <f t="shared" ref="I23:N23" si="4">I2</f>
        <v>Georgia Skelton</v>
      </c>
      <c r="J23" s="723" t="str">
        <f t="shared" si="4"/>
        <v>Jessica Sewell</v>
      </c>
      <c r="K23" s="723" t="str">
        <f t="shared" si="4"/>
        <v>Oliva Collins</v>
      </c>
      <c r="L23" s="723" t="str">
        <f t="shared" si="4"/>
        <v>Cara Bradding</v>
      </c>
      <c r="M23" s="723" t="str">
        <f t="shared" si="4"/>
        <v>Katie Ryan</v>
      </c>
      <c r="N23" s="723" t="str">
        <f t="shared" si="4"/>
        <v>Lauren Dunne</v>
      </c>
      <c r="O23" s="723" t="s">
        <v>622</v>
      </c>
      <c r="P23" s="723" t="s">
        <v>769</v>
      </c>
      <c r="Q23" s="723" t="s">
        <v>798</v>
      </c>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3"/>
      <c r="BG23" s="723"/>
      <c r="BH23" s="723"/>
      <c r="BI23" s="723"/>
      <c r="BJ23" s="723"/>
      <c r="BK23" s="723"/>
      <c r="BL23" s="723"/>
      <c r="BM23" s="723"/>
      <c r="BN23" s="723"/>
      <c r="BO23" s="723"/>
      <c r="BP23" s="723"/>
      <c r="BQ23" s="723"/>
      <c r="BR23" s="723"/>
      <c r="BS23" s="723"/>
      <c r="BT23" s="723"/>
      <c r="BU23" s="723"/>
      <c r="BV23" s="723"/>
      <c r="BW23" s="723"/>
      <c r="BX23" s="723"/>
      <c r="BY23" s="723"/>
      <c r="BZ23" s="723"/>
      <c r="CA23" s="723"/>
      <c r="CB23" s="723"/>
      <c r="CC23" s="723"/>
      <c r="CD23" s="723"/>
      <c r="CE23" s="723"/>
      <c r="CF23" s="723"/>
      <c r="CG23" s="723"/>
      <c r="CH23" s="723"/>
      <c r="CI23" s="723"/>
      <c r="CJ23" s="723"/>
      <c r="CK23" s="723"/>
      <c r="CL23" s="723"/>
      <c r="CM23" s="723"/>
      <c r="CN23" s="723"/>
      <c r="CO23" s="723"/>
      <c r="CP23" s="723"/>
      <c r="CQ23" s="723"/>
      <c r="CR23" s="723"/>
      <c r="CS23" s="723"/>
      <c r="CT23" s="723"/>
      <c r="CU23" s="723"/>
      <c r="CV23" s="723"/>
      <c r="CW23" s="723"/>
      <c r="CX23" s="724" t="s">
        <v>689</v>
      </c>
      <c r="CY23" s="698" t="s">
        <v>388</v>
      </c>
    </row>
    <row r="24" spans="2:103" hidden="1" x14ac:dyDescent="0.45">
      <c r="B24" s="728" t="s">
        <v>470</v>
      </c>
      <c r="C24" s="731">
        <v>-0.25</v>
      </c>
      <c r="D24" s="731">
        <v>-0.15</v>
      </c>
      <c r="E24" s="731"/>
      <c r="F24" s="731"/>
      <c r="G24" s="731"/>
      <c r="H24" s="731"/>
      <c r="I24" s="731"/>
      <c r="J24" s="731"/>
      <c r="K24" s="731"/>
      <c r="L24" s="731"/>
      <c r="M24" s="731"/>
      <c r="N24" s="731"/>
      <c r="O24" s="731"/>
      <c r="P24" s="731"/>
      <c r="Q24" s="731"/>
      <c r="R24" s="731"/>
      <c r="S24" s="731"/>
      <c r="T24" s="731"/>
      <c r="U24" s="731"/>
      <c r="V24" s="731"/>
      <c r="W24" s="731"/>
      <c r="X24" s="731"/>
      <c r="Y24" s="731"/>
      <c r="Z24" s="731"/>
      <c r="AA24" s="731"/>
      <c r="AB24" s="731"/>
      <c r="AC24" s="731"/>
      <c r="AD24" s="731"/>
      <c r="AE24" s="731"/>
      <c r="AF24" s="731"/>
      <c r="AG24" s="731"/>
      <c r="AH24" s="731"/>
      <c r="AI24" s="731"/>
      <c r="AJ24" s="731"/>
      <c r="AK24" s="731"/>
      <c r="AL24" s="731"/>
      <c r="AM24" s="731"/>
      <c r="AN24" s="731"/>
      <c r="AO24" s="731"/>
      <c r="AP24" s="731"/>
      <c r="AQ24" s="731"/>
      <c r="AR24" s="731"/>
      <c r="AS24" s="731"/>
      <c r="AT24" s="731"/>
      <c r="AU24" s="731"/>
      <c r="AV24" s="731"/>
      <c r="AW24" s="731"/>
      <c r="AX24" s="731"/>
      <c r="AY24" s="731"/>
      <c r="AZ24" s="731"/>
      <c r="BA24" s="731"/>
      <c r="BB24" s="731"/>
      <c r="BC24" s="731"/>
      <c r="BD24" s="731"/>
      <c r="BE24" s="731"/>
      <c r="BF24" s="731"/>
      <c r="BG24" s="731"/>
      <c r="BH24" s="731"/>
      <c r="BI24" s="731"/>
      <c r="BJ24" s="731"/>
      <c r="BK24" s="731"/>
      <c r="BL24" s="731"/>
      <c r="BM24" s="731"/>
      <c r="BN24" s="731"/>
      <c r="BO24" s="731"/>
      <c r="BP24" s="731"/>
      <c r="BQ24" s="731"/>
      <c r="BR24" s="731"/>
      <c r="BS24" s="731"/>
      <c r="BT24" s="731"/>
      <c r="BU24" s="731"/>
      <c r="BV24" s="731"/>
      <c r="BW24" s="731"/>
      <c r="BX24" s="731"/>
      <c r="BY24" s="731"/>
      <c r="BZ24" s="731"/>
      <c r="CA24" s="731"/>
      <c r="CB24" s="731"/>
      <c r="CC24" s="731"/>
      <c r="CD24" s="731"/>
      <c r="CE24" s="731"/>
      <c r="CF24" s="731"/>
      <c r="CG24" s="731"/>
      <c r="CH24" s="731"/>
      <c r="CI24" s="731"/>
      <c r="CJ24" s="731"/>
      <c r="CK24" s="731"/>
      <c r="CL24" s="731"/>
      <c r="CM24" s="731"/>
      <c r="CN24" s="731"/>
      <c r="CO24" s="731"/>
      <c r="CP24" s="731"/>
      <c r="CQ24" s="731"/>
      <c r="CR24" s="731"/>
      <c r="CS24" s="731"/>
      <c r="CT24" s="731"/>
      <c r="CU24" s="731"/>
      <c r="CV24" s="731"/>
      <c r="CW24" s="731"/>
      <c r="CX24" s="732"/>
      <c r="CY24" s="698" t="s">
        <v>388</v>
      </c>
    </row>
    <row r="25" spans="2:103" hidden="1" x14ac:dyDescent="0.45">
      <c r="B25" s="722" t="s">
        <v>476</v>
      </c>
      <c r="C25" s="723">
        <v>10</v>
      </c>
      <c r="D25" s="723">
        <v>15</v>
      </c>
      <c r="E25" s="723"/>
      <c r="F25" s="723"/>
      <c r="G25" s="723"/>
      <c r="H25" s="723"/>
      <c r="I25" s="723"/>
      <c r="J25" s="723"/>
      <c r="K25" s="723"/>
      <c r="L25" s="723"/>
      <c r="M25" s="723"/>
      <c r="N25" s="723"/>
      <c r="O25" s="723"/>
      <c r="P25" s="723"/>
      <c r="Q25" s="723"/>
      <c r="R25" s="723"/>
      <c r="S25" s="723"/>
      <c r="T25" s="723"/>
      <c r="U25" s="723"/>
      <c r="V25" s="723"/>
      <c r="W25" s="723"/>
      <c r="X25" s="723"/>
      <c r="Y25" s="723"/>
      <c r="Z25" s="723"/>
      <c r="AA25" s="723"/>
      <c r="AB25" s="723"/>
      <c r="AC25" s="723"/>
      <c r="AD25" s="723"/>
      <c r="AE25" s="723"/>
      <c r="AF25" s="723"/>
      <c r="AG25" s="723"/>
      <c r="AH25" s="723"/>
      <c r="AI25" s="723"/>
      <c r="AJ25" s="723"/>
      <c r="AK25" s="723"/>
      <c r="AL25" s="723"/>
      <c r="AM25" s="723"/>
      <c r="AN25" s="723"/>
      <c r="AO25" s="723"/>
      <c r="AP25" s="723"/>
      <c r="AQ25" s="723"/>
      <c r="AR25" s="723"/>
      <c r="AS25" s="723"/>
      <c r="AT25" s="723"/>
      <c r="AU25" s="723"/>
      <c r="AV25" s="723"/>
      <c r="AW25" s="723"/>
      <c r="AX25" s="723"/>
      <c r="AY25" s="723"/>
      <c r="AZ25" s="723"/>
      <c r="BA25" s="723"/>
      <c r="BB25" s="723"/>
      <c r="BC25" s="723"/>
      <c r="BD25" s="723"/>
      <c r="BE25" s="723"/>
      <c r="BF25" s="723"/>
      <c r="BG25" s="723"/>
      <c r="BH25" s="723"/>
      <c r="BI25" s="723"/>
      <c r="BJ25" s="723"/>
      <c r="BK25" s="723"/>
      <c r="BL25" s="723"/>
      <c r="BM25" s="723"/>
      <c r="BN25" s="723"/>
      <c r="BO25" s="723"/>
      <c r="BP25" s="723"/>
      <c r="BQ25" s="723"/>
      <c r="BR25" s="723"/>
      <c r="BS25" s="723"/>
      <c r="BT25" s="723"/>
      <c r="BU25" s="723"/>
      <c r="BV25" s="723"/>
      <c r="BW25" s="723"/>
      <c r="BX25" s="723"/>
      <c r="BY25" s="723"/>
      <c r="BZ25" s="723"/>
      <c r="CA25" s="723"/>
      <c r="CB25" s="723"/>
      <c r="CC25" s="723"/>
      <c r="CD25" s="723"/>
      <c r="CE25" s="723"/>
      <c r="CF25" s="723"/>
      <c r="CG25" s="723"/>
      <c r="CH25" s="723"/>
      <c r="CI25" s="723"/>
      <c r="CJ25" s="723"/>
      <c r="CK25" s="723"/>
      <c r="CL25" s="723"/>
      <c r="CM25" s="723"/>
      <c r="CN25" s="723"/>
      <c r="CO25" s="723"/>
      <c r="CP25" s="723"/>
      <c r="CQ25" s="723"/>
      <c r="CR25" s="723"/>
      <c r="CS25" s="723"/>
      <c r="CT25" s="723"/>
      <c r="CU25" s="723"/>
      <c r="CV25" s="723"/>
      <c r="CW25" s="723"/>
      <c r="CX25" s="724"/>
      <c r="CY25" s="698" t="s">
        <v>388</v>
      </c>
    </row>
    <row r="26" spans="2:103" hidden="1" x14ac:dyDescent="0.45">
      <c r="B26" s="728" t="s">
        <v>709</v>
      </c>
      <c r="C26" s="729">
        <v>40</v>
      </c>
      <c r="D26" s="729">
        <v>60</v>
      </c>
      <c r="E26" s="729"/>
      <c r="F26" s="729"/>
      <c r="G26" s="729"/>
      <c r="H26" s="729"/>
      <c r="I26" s="729"/>
      <c r="J26" s="729"/>
      <c r="K26" s="729"/>
      <c r="L26" s="729"/>
      <c r="M26" s="729"/>
      <c r="N26" s="729"/>
      <c r="O26" s="729"/>
      <c r="P26" s="729"/>
      <c r="Q26" s="729"/>
      <c r="R26" s="729"/>
      <c r="S26" s="729"/>
      <c r="T26" s="729"/>
      <c r="U26" s="729"/>
      <c r="V26" s="729"/>
      <c r="W26" s="729"/>
      <c r="X26" s="729"/>
      <c r="Y26" s="729"/>
      <c r="Z26" s="729"/>
      <c r="AA26" s="729"/>
      <c r="AB26" s="729"/>
      <c r="AC26" s="729"/>
      <c r="AD26" s="729"/>
      <c r="AE26" s="729"/>
      <c r="AF26" s="729"/>
      <c r="AG26" s="729"/>
      <c r="AH26" s="729"/>
      <c r="AI26" s="729"/>
      <c r="AJ26" s="729"/>
      <c r="AK26" s="729"/>
      <c r="AL26" s="729"/>
      <c r="AM26" s="729"/>
      <c r="AN26" s="729"/>
      <c r="AO26" s="729"/>
      <c r="AP26" s="729"/>
      <c r="AQ26" s="729"/>
      <c r="AR26" s="729"/>
      <c r="AS26" s="729"/>
      <c r="AT26" s="729"/>
      <c r="AU26" s="729"/>
      <c r="AV26" s="729"/>
      <c r="AW26" s="729"/>
      <c r="AX26" s="729"/>
      <c r="AY26" s="729"/>
      <c r="AZ26" s="729"/>
      <c r="BA26" s="729"/>
      <c r="BB26" s="729"/>
      <c r="BC26" s="729"/>
      <c r="BD26" s="729"/>
      <c r="BE26" s="729"/>
      <c r="BF26" s="729"/>
      <c r="BG26" s="729"/>
      <c r="BH26" s="729"/>
      <c r="BI26" s="729"/>
      <c r="BJ26" s="729"/>
      <c r="BK26" s="729"/>
      <c r="BL26" s="729"/>
      <c r="BM26" s="729"/>
      <c r="BN26" s="729"/>
      <c r="BO26" s="729"/>
      <c r="BP26" s="729"/>
      <c r="BQ26" s="729"/>
      <c r="BR26" s="729"/>
      <c r="BS26" s="729"/>
      <c r="BT26" s="729"/>
      <c r="BU26" s="729"/>
      <c r="BV26" s="729"/>
      <c r="BW26" s="729"/>
      <c r="BX26" s="729"/>
      <c r="BY26" s="729"/>
      <c r="BZ26" s="729"/>
      <c r="CA26" s="729"/>
      <c r="CB26" s="729"/>
      <c r="CC26" s="729"/>
      <c r="CD26" s="729"/>
      <c r="CE26" s="729"/>
      <c r="CF26" s="729"/>
      <c r="CG26" s="729"/>
      <c r="CH26" s="729"/>
      <c r="CI26" s="729"/>
      <c r="CJ26" s="729"/>
      <c r="CK26" s="729"/>
      <c r="CL26" s="729"/>
      <c r="CM26" s="729"/>
      <c r="CN26" s="729"/>
      <c r="CO26" s="729"/>
      <c r="CP26" s="729"/>
      <c r="CQ26" s="729"/>
      <c r="CR26" s="729"/>
      <c r="CS26" s="729"/>
      <c r="CT26" s="729"/>
      <c r="CU26" s="729"/>
      <c r="CV26" s="729"/>
      <c r="CW26" s="729"/>
      <c r="CX26" s="730"/>
      <c r="CY26" s="698" t="s">
        <v>388</v>
      </c>
    </row>
    <row r="27" spans="2:103" hidden="1" x14ac:dyDescent="0.45">
      <c r="B27" s="1449" t="s">
        <v>724</v>
      </c>
      <c r="C27" s="1450" t="s">
        <v>766</v>
      </c>
      <c r="D27" s="1450" t="s">
        <v>766</v>
      </c>
      <c r="E27" s="1450" t="s">
        <v>766</v>
      </c>
      <c r="F27" s="1450" t="s">
        <v>766</v>
      </c>
      <c r="G27" s="1450" t="s">
        <v>766</v>
      </c>
      <c r="H27" s="1450" t="s">
        <v>766</v>
      </c>
      <c r="I27" s="1450" t="s">
        <v>766</v>
      </c>
      <c r="J27" s="1450" t="s">
        <v>766</v>
      </c>
      <c r="K27" s="1450" t="s">
        <v>766</v>
      </c>
      <c r="L27" s="1450" t="s">
        <v>766</v>
      </c>
      <c r="M27" s="1450" t="s">
        <v>766</v>
      </c>
      <c r="N27" s="1450" t="s">
        <v>766</v>
      </c>
      <c r="O27" s="1450" t="s">
        <v>766</v>
      </c>
      <c r="P27" s="1450" t="s">
        <v>767</v>
      </c>
      <c r="Q27" s="1450"/>
      <c r="R27" s="1450"/>
      <c r="S27" s="1450"/>
      <c r="T27" s="1450"/>
      <c r="U27" s="1450"/>
      <c r="V27" s="1450"/>
      <c r="W27" s="1450"/>
      <c r="X27" s="1450"/>
      <c r="Y27" s="1450"/>
      <c r="Z27" s="1450"/>
      <c r="AA27" s="1450"/>
      <c r="AB27" s="1450"/>
      <c r="AC27" s="1450"/>
      <c r="AD27" s="1450"/>
      <c r="AE27" s="1450"/>
      <c r="AF27" s="1450"/>
      <c r="AG27" s="1450"/>
      <c r="AH27" s="1450"/>
      <c r="AI27" s="1450"/>
      <c r="AJ27" s="1450"/>
      <c r="AK27" s="1450"/>
      <c r="AL27" s="1450"/>
      <c r="AM27" s="1450"/>
      <c r="AN27" s="1450"/>
      <c r="AO27" s="1450"/>
      <c r="AP27" s="1450"/>
      <c r="AQ27" s="1450"/>
      <c r="AR27" s="1450"/>
      <c r="AS27" s="1450"/>
      <c r="AT27" s="1450"/>
      <c r="AU27" s="1450"/>
      <c r="AV27" s="1450"/>
      <c r="AW27" s="1450"/>
      <c r="AX27" s="1450"/>
      <c r="AY27" s="1450"/>
      <c r="AZ27" s="1450"/>
      <c r="BA27" s="1450"/>
      <c r="BB27" s="1450"/>
      <c r="BC27" s="1450"/>
      <c r="BD27" s="1450"/>
      <c r="BE27" s="1450"/>
      <c r="BF27" s="1450"/>
      <c r="BG27" s="1450"/>
      <c r="BH27" s="1450"/>
      <c r="BI27" s="1450"/>
      <c r="BJ27" s="1450"/>
      <c r="BK27" s="1450"/>
      <c r="BL27" s="1450"/>
      <c r="BM27" s="1450"/>
      <c r="BN27" s="1450"/>
      <c r="BO27" s="1450"/>
      <c r="BP27" s="1450"/>
      <c r="BQ27" s="1450"/>
      <c r="BR27" s="1450"/>
      <c r="BS27" s="1450"/>
      <c r="BT27" s="1450"/>
      <c r="BU27" s="1450"/>
      <c r="BV27" s="1450"/>
      <c r="BW27" s="1450"/>
      <c r="BX27" s="1450"/>
      <c r="BY27" s="1450"/>
      <c r="BZ27" s="1450"/>
      <c r="CA27" s="1450"/>
      <c r="CB27" s="1450"/>
      <c r="CC27" s="1450"/>
      <c r="CD27" s="1450"/>
      <c r="CE27" s="1450"/>
      <c r="CF27" s="1450"/>
      <c r="CG27" s="1450"/>
      <c r="CH27" s="1450"/>
      <c r="CI27" s="1450"/>
      <c r="CJ27" s="1450"/>
      <c r="CK27" s="1450"/>
      <c r="CL27" s="1450"/>
      <c r="CM27" s="1450"/>
      <c r="CN27" s="1450"/>
      <c r="CO27" s="1450"/>
      <c r="CP27" s="1450"/>
      <c r="CQ27" s="1450"/>
      <c r="CR27" s="1450"/>
      <c r="CS27" s="1450"/>
      <c r="CT27" s="1450"/>
      <c r="CU27" s="1450"/>
      <c r="CV27" s="1450"/>
      <c r="CW27" s="1450"/>
      <c r="CX27" s="1451"/>
      <c r="CY27" s="698" t="s">
        <v>388</v>
      </c>
    </row>
    <row r="28" spans="2:103" hidden="1" x14ac:dyDescent="0.45">
      <c r="B28" s="1446" t="s">
        <v>784</v>
      </c>
      <c r="C28" s="731">
        <v>-0.35</v>
      </c>
      <c r="D28" s="1447"/>
      <c r="E28" s="1447"/>
      <c r="F28" s="1447"/>
      <c r="G28" s="1447"/>
      <c r="H28" s="1447"/>
      <c r="I28" s="1447"/>
      <c r="J28" s="1447"/>
      <c r="K28" s="1447"/>
      <c r="L28" s="1447"/>
      <c r="M28" s="1447"/>
      <c r="N28" s="1447"/>
      <c r="O28" s="1447"/>
      <c r="P28" s="1447"/>
      <c r="Q28" s="1447"/>
      <c r="R28" s="1447"/>
      <c r="S28" s="1447"/>
      <c r="T28" s="1447"/>
      <c r="U28" s="1447"/>
      <c r="V28" s="1447"/>
      <c r="W28" s="1447"/>
      <c r="X28" s="1447"/>
      <c r="Y28" s="1447"/>
      <c r="Z28" s="1447"/>
      <c r="AA28" s="1447"/>
      <c r="AB28" s="1447"/>
      <c r="AC28" s="1447"/>
      <c r="AD28" s="1447"/>
      <c r="AE28" s="1447"/>
      <c r="AF28" s="1447"/>
      <c r="AG28" s="1447"/>
      <c r="AH28" s="1447"/>
      <c r="AI28" s="1447"/>
      <c r="AJ28" s="1447"/>
      <c r="AK28" s="1447"/>
      <c r="AL28" s="1447"/>
      <c r="AM28" s="1447"/>
      <c r="AN28" s="1447"/>
      <c r="AO28" s="1447"/>
      <c r="AP28" s="1447"/>
      <c r="AQ28" s="1447"/>
      <c r="AR28" s="1447"/>
      <c r="AS28" s="1447"/>
      <c r="AT28" s="1447"/>
      <c r="AU28" s="1447"/>
      <c r="AV28" s="1447"/>
      <c r="AW28" s="1447"/>
      <c r="AX28" s="1447"/>
      <c r="AY28" s="1447"/>
      <c r="AZ28" s="1447"/>
      <c r="BA28" s="1447"/>
      <c r="BB28" s="1447"/>
      <c r="BC28" s="1447"/>
      <c r="BD28" s="1447"/>
      <c r="BE28" s="1447"/>
      <c r="BF28" s="1447"/>
      <c r="BG28" s="1447"/>
      <c r="BH28" s="1447"/>
      <c r="BI28" s="1447"/>
      <c r="BJ28" s="1447"/>
      <c r="BK28" s="1447"/>
      <c r="BL28" s="1447"/>
      <c r="BM28" s="1447"/>
      <c r="BN28" s="1447"/>
      <c r="BO28" s="1447"/>
      <c r="BP28" s="1447"/>
      <c r="BQ28" s="1447"/>
      <c r="BR28" s="1447"/>
      <c r="BS28" s="1447"/>
      <c r="BT28" s="1447"/>
      <c r="BU28" s="1447"/>
      <c r="BV28" s="1447"/>
      <c r="BW28" s="1447"/>
      <c r="BX28" s="1447"/>
      <c r="BY28" s="1447"/>
      <c r="BZ28" s="1447"/>
      <c r="CA28" s="1447"/>
      <c r="CB28" s="1447"/>
      <c r="CC28" s="1447"/>
      <c r="CD28" s="1447"/>
      <c r="CE28" s="1447"/>
      <c r="CF28" s="1447"/>
      <c r="CG28" s="1447"/>
      <c r="CH28" s="1447"/>
      <c r="CI28" s="1447"/>
      <c r="CJ28" s="1447"/>
      <c r="CK28" s="1447"/>
      <c r="CL28" s="1447"/>
      <c r="CM28" s="1447"/>
      <c r="CN28" s="1447"/>
      <c r="CO28" s="1447"/>
      <c r="CP28" s="1447"/>
      <c r="CQ28" s="1447"/>
      <c r="CR28" s="1447"/>
      <c r="CS28" s="1447"/>
      <c r="CT28" s="1447"/>
      <c r="CU28" s="1447"/>
      <c r="CV28" s="1447"/>
      <c r="CW28" s="1447"/>
      <c r="CX28" s="1448"/>
      <c r="CY28" s="698"/>
    </row>
    <row r="29" spans="2:103" hidden="1" x14ac:dyDescent="0.45">
      <c r="B29" s="1449"/>
      <c r="C29" s="1450"/>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50"/>
      <c r="AM29" s="1450"/>
      <c r="AN29" s="1450"/>
      <c r="AO29" s="1450"/>
      <c r="AP29" s="1450"/>
      <c r="AQ29" s="1450"/>
      <c r="AR29" s="1450"/>
      <c r="AS29" s="1450"/>
      <c r="AT29" s="1450"/>
      <c r="AU29" s="1450"/>
      <c r="AV29" s="1450"/>
      <c r="AW29" s="1450"/>
      <c r="AX29" s="1450"/>
      <c r="AY29" s="1450"/>
      <c r="AZ29" s="1450"/>
      <c r="BA29" s="1450"/>
      <c r="BB29" s="1450"/>
      <c r="BC29" s="1450"/>
      <c r="BD29" s="1450"/>
      <c r="BE29" s="1450"/>
      <c r="BF29" s="1450"/>
      <c r="BG29" s="1450"/>
      <c r="BH29" s="1450"/>
      <c r="BI29" s="1450"/>
      <c r="BJ29" s="1450"/>
      <c r="BK29" s="1450"/>
      <c r="BL29" s="1450"/>
      <c r="BM29" s="1450"/>
      <c r="BN29" s="1450"/>
      <c r="BO29" s="1450"/>
      <c r="BP29" s="1450"/>
      <c r="BQ29" s="1450"/>
      <c r="BR29" s="1450"/>
      <c r="BS29" s="1450"/>
      <c r="BT29" s="1450"/>
      <c r="BU29" s="1450"/>
      <c r="BV29" s="1450"/>
      <c r="BW29" s="1450"/>
      <c r="BX29" s="1450"/>
      <c r="BY29" s="1450"/>
      <c r="BZ29" s="1450"/>
      <c r="CA29" s="1450"/>
      <c r="CB29" s="1450"/>
      <c r="CC29" s="1450"/>
      <c r="CD29" s="1450"/>
      <c r="CE29" s="1450"/>
      <c r="CF29" s="1450"/>
      <c r="CG29" s="1450"/>
      <c r="CH29" s="1450"/>
      <c r="CI29" s="1450"/>
      <c r="CJ29" s="1450"/>
      <c r="CK29" s="1450"/>
      <c r="CL29" s="1450"/>
      <c r="CM29" s="1450"/>
      <c r="CN29" s="1450"/>
      <c r="CO29" s="1450"/>
      <c r="CP29" s="1450"/>
      <c r="CQ29" s="1450"/>
      <c r="CR29" s="1450"/>
      <c r="CS29" s="1450"/>
      <c r="CT29" s="1450"/>
      <c r="CU29" s="1450"/>
      <c r="CV29" s="1450"/>
      <c r="CW29" s="1450"/>
      <c r="CX29" s="1451"/>
      <c r="CY29" s="698"/>
    </row>
    <row r="30" spans="2:103" hidden="1" x14ac:dyDescent="0.45">
      <c r="B30" s="1446"/>
      <c r="C30" s="1447"/>
      <c r="D30" s="1447"/>
      <c r="E30" s="1447"/>
      <c r="F30" s="1447"/>
      <c r="G30" s="1447"/>
      <c r="H30" s="1447"/>
      <c r="I30" s="1447"/>
      <c r="J30" s="1447"/>
      <c r="K30" s="1447"/>
      <c r="L30" s="1447"/>
      <c r="M30" s="1447"/>
      <c r="N30" s="1447"/>
      <c r="O30" s="1447"/>
      <c r="P30" s="1447"/>
      <c r="Q30" s="1447"/>
      <c r="R30" s="1447"/>
      <c r="S30" s="1447"/>
      <c r="T30" s="1447"/>
      <c r="U30" s="1447"/>
      <c r="V30" s="1447"/>
      <c r="W30" s="1447"/>
      <c r="X30" s="1447"/>
      <c r="Y30" s="1447"/>
      <c r="Z30" s="1447"/>
      <c r="AA30" s="1447"/>
      <c r="AB30" s="1447"/>
      <c r="AC30" s="1447"/>
      <c r="AD30" s="1447"/>
      <c r="AE30" s="1447"/>
      <c r="AF30" s="1447"/>
      <c r="AG30" s="1447"/>
      <c r="AH30" s="1447"/>
      <c r="AI30" s="1447"/>
      <c r="AJ30" s="1447"/>
      <c r="AK30" s="1447"/>
      <c r="AL30" s="1447"/>
      <c r="AM30" s="1447"/>
      <c r="AN30" s="1447"/>
      <c r="AO30" s="1447"/>
      <c r="AP30" s="1447"/>
      <c r="AQ30" s="1447"/>
      <c r="AR30" s="1447"/>
      <c r="AS30" s="1447"/>
      <c r="AT30" s="1447"/>
      <c r="AU30" s="1447"/>
      <c r="AV30" s="1447"/>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7"/>
      <c r="BV30" s="1447"/>
      <c r="BW30" s="1447"/>
      <c r="BX30" s="1447"/>
      <c r="BY30" s="1447"/>
      <c r="BZ30" s="1447"/>
      <c r="CA30" s="1447"/>
      <c r="CB30" s="1447"/>
      <c r="CC30" s="1447"/>
      <c r="CD30" s="1447"/>
      <c r="CE30" s="1447"/>
      <c r="CF30" s="1447"/>
      <c r="CG30" s="1447"/>
      <c r="CH30" s="1447"/>
      <c r="CI30" s="1447"/>
      <c r="CJ30" s="1447"/>
      <c r="CK30" s="1447"/>
      <c r="CL30" s="1447"/>
      <c r="CM30" s="1447"/>
      <c r="CN30" s="1447"/>
      <c r="CO30" s="1447"/>
      <c r="CP30" s="1447"/>
      <c r="CQ30" s="1447"/>
      <c r="CR30" s="1447"/>
      <c r="CS30" s="1447"/>
      <c r="CT30" s="1447"/>
      <c r="CU30" s="1447"/>
      <c r="CV30" s="1447"/>
      <c r="CW30" s="1447"/>
      <c r="CX30" s="1448"/>
      <c r="CY30" s="698"/>
    </row>
    <row r="31" spans="2:103" ht="14.65" hidden="1" thickBot="1" x14ac:dyDescent="0.5">
      <c r="B31" s="725"/>
      <c r="C31" s="726"/>
      <c r="D31" s="726"/>
      <c r="E31" s="726"/>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c r="BP31" s="726"/>
      <c r="BQ31" s="726"/>
      <c r="BR31" s="726"/>
      <c r="BS31" s="726"/>
      <c r="BT31" s="726"/>
      <c r="BU31" s="726"/>
      <c r="BV31" s="726"/>
      <c r="BW31" s="726"/>
      <c r="BX31" s="726"/>
      <c r="BY31" s="726"/>
      <c r="BZ31" s="726"/>
      <c r="CA31" s="726"/>
      <c r="CB31" s="726"/>
      <c r="CC31" s="726"/>
      <c r="CD31" s="726"/>
      <c r="CE31" s="726"/>
      <c r="CF31" s="726"/>
      <c r="CG31" s="726"/>
      <c r="CH31" s="726"/>
      <c r="CI31" s="726"/>
      <c r="CJ31" s="726"/>
      <c r="CK31" s="726"/>
      <c r="CL31" s="726"/>
      <c r="CM31" s="726"/>
      <c r="CN31" s="726"/>
      <c r="CO31" s="726"/>
      <c r="CP31" s="726"/>
      <c r="CQ31" s="726"/>
      <c r="CR31" s="726"/>
      <c r="CS31" s="726"/>
      <c r="CT31" s="726"/>
      <c r="CU31" s="726"/>
      <c r="CV31" s="726"/>
      <c r="CW31" s="726"/>
      <c r="CX31" s="727"/>
      <c r="CY31" s="698" t="s">
        <v>388</v>
      </c>
    </row>
    <row r="32" spans="2:103" ht="14.65" hidden="1" thickBot="1" x14ac:dyDescent="0.5"/>
    <row r="33" spans="2:3" hidden="1" x14ac:dyDescent="0.45">
      <c r="B33" s="1702" t="s">
        <v>6</v>
      </c>
      <c r="C33" s="655" t="s">
        <v>418</v>
      </c>
    </row>
    <row r="34" spans="2:3" hidden="1" x14ac:dyDescent="0.45">
      <c r="B34" s="1703"/>
      <c r="C34" s="653">
        <f>HLOOKUP(athlete_name, athletes_lookup, 2, FALSE)</f>
        <v>1</v>
      </c>
    </row>
    <row r="35" spans="2:3" hidden="1" x14ac:dyDescent="0.45">
      <c r="B35" s="1452" t="str">
        <f t="array" ref="B35:B62">IF(B4:B31="","",B4:B31)</f>
        <v>Sport</v>
      </c>
      <c r="C35" s="1460" t="str">
        <f t="array" ref="C35:C62">IF(INDEX(athletes_data,,athlete_index+1)="",
IF(athletes_data_default="","",athletes_data_default),
INDEX(athletes_data,,athlete_index+1))</f>
        <v>Trail Ultra (3+ hours)</v>
      </c>
    </row>
    <row r="36" spans="2:3" hidden="1" x14ac:dyDescent="0.45">
      <c r="B36" s="1453" t="str">
        <v>Gender</v>
      </c>
      <c r="C36" s="1461" t="str">
        <v>Male</v>
      </c>
    </row>
    <row r="37" spans="2:3" hidden="1" x14ac:dyDescent="0.45">
      <c r="B37" s="1454" t="str">
        <v>Max Running HR</v>
      </c>
      <c r="C37" s="1462">
        <v>192</v>
      </c>
    </row>
    <row r="38" spans="2:3" hidden="1" x14ac:dyDescent="0.45">
      <c r="B38" s="1454" t="str">
        <v>Max Biking HR</v>
      </c>
      <c r="C38" s="1462">
        <v>187</v>
      </c>
    </row>
    <row r="39" spans="2:3" hidden="1" x14ac:dyDescent="0.45">
      <c r="B39" s="1453" t="str">
        <v>Resting heart rate</v>
      </c>
      <c r="C39" s="1463">
        <v>50</v>
      </c>
    </row>
    <row r="40" spans="2:3" hidden="1" x14ac:dyDescent="0.45">
      <c r="B40" s="1454" t="str">
        <v>Test Distance</v>
      </c>
      <c r="C40" s="1464">
        <v>5</v>
      </c>
    </row>
    <row r="41" spans="2:3" hidden="1" x14ac:dyDescent="0.45">
      <c r="B41" s="1453" t="str">
        <v>Test time [H:MM:SS]</v>
      </c>
      <c r="C41" s="1465">
        <v>1.0763888888888891E-2</v>
      </c>
    </row>
    <row r="42" spans="2:3" hidden="1" x14ac:dyDescent="0.45">
      <c r="B42" s="1454" t="str">
        <v>Starting Duration (minutes)</v>
      </c>
      <c r="C42" s="1466">
        <v>540</v>
      </c>
    </row>
    <row r="43" spans="2:3" hidden="1" x14ac:dyDescent="0.45">
      <c r="B43" s="1453" t="str">
        <v>Starting Duration [HH:MM]</v>
      </c>
      <c r="C43" s="1467">
        <v>0.375</v>
      </c>
    </row>
    <row r="44" spans="2:3" hidden="1" x14ac:dyDescent="0.45">
      <c r="B44" s="1454" t="str">
        <v>Starting Load</v>
      </c>
      <c r="C44" s="1466">
        <v>897.39209124195543</v>
      </c>
    </row>
    <row r="45" spans="2:3" hidden="1" x14ac:dyDescent="0.45">
      <c r="B45" s="1455" t="str">
        <v>VO2 max</v>
      </c>
      <c r="C45" s="1463">
        <v>68</v>
      </c>
    </row>
    <row r="46" spans="2:3" hidden="1" x14ac:dyDescent="0.45">
      <c r="B46" s="1454" t="str">
        <v>VDOT</v>
      </c>
      <c r="C46" s="1462">
        <v>67</v>
      </c>
    </row>
    <row r="47" spans="2:3" hidden="1" x14ac:dyDescent="0.45">
      <c r="B47" s="1453" t="str">
        <v>Starting Progression Rate</v>
      </c>
      <c r="C47" s="1468">
        <v>4.4776119402985204E-2</v>
      </c>
    </row>
    <row r="48" spans="2:3" hidden="1" x14ac:dyDescent="0.45">
      <c r="B48" s="1454" t="str">
        <v>Maximum Progression Rate</v>
      </c>
      <c r="C48" s="1469">
        <v>0.12</v>
      </c>
    </row>
    <row r="49" spans="2:3" hidden="1" x14ac:dyDescent="0.45">
      <c r="B49" s="1453" t="str">
        <v>Maximum Duration [HH:MM]</v>
      </c>
      <c r="C49" s="1470">
        <v>0.625</v>
      </c>
    </row>
    <row r="50" spans="2:3" hidden="1" x14ac:dyDescent="0.45">
      <c r="B50" s="1456" t="str">
        <v>Maximum Duration (minutes)</v>
      </c>
      <c r="C50" s="1466">
        <v>900</v>
      </c>
    </row>
    <row r="51" spans="2:3" hidden="1" x14ac:dyDescent="0.45">
      <c r="B51" s="1453" t="str">
        <v>Calibration Heart Rate</v>
      </c>
      <c r="C51" s="1471">
        <v>138</v>
      </c>
    </row>
    <row r="52" spans="2:3" hidden="1" x14ac:dyDescent="0.45">
      <c r="B52" s="1454" t="str">
        <v>Calibration Pace [M:SS]</v>
      </c>
      <c r="C52" s="1472">
        <v>3.2407407407407406E-3</v>
      </c>
    </row>
    <row r="53" spans="2:3" hidden="1" x14ac:dyDescent="0.45">
      <c r="B53" s="1455" t="str">
        <v>Calibration VDOT (%)</v>
      </c>
      <c r="C53" s="1468">
        <v>0.58614179468135108</v>
      </c>
    </row>
    <row r="54" spans="2:3" hidden="1" x14ac:dyDescent="0.45">
      <c r="B54" s="1457" t="str">
        <v>Plan</v>
      </c>
      <c r="C54" s="1473" t="str">
        <v>Gene Beveridge 2</v>
      </c>
    </row>
    <row r="55" spans="2:3" hidden="1" x14ac:dyDescent="0.45">
      <c r="B55" s="1458" t="str">
        <v>Taper Rate (%)</v>
      </c>
      <c r="C55" s="1474">
        <v>-0.15</v>
      </c>
    </row>
    <row r="56" spans="2:3" hidden="1" x14ac:dyDescent="0.45">
      <c r="B56" s="1457" t="str">
        <v>WU / WD Duration</v>
      </c>
      <c r="C56" s="1473">
        <v>15</v>
      </c>
    </row>
    <row r="57" spans="2:3" hidden="1" x14ac:dyDescent="0.45">
      <c r="B57" s="1458" t="str">
        <v>Fueling (grams of carbs per hour)</v>
      </c>
      <c r="C57" s="1475">
        <v>60</v>
      </c>
    </row>
    <row r="58" spans="2:3" hidden="1" x14ac:dyDescent="0.45">
      <c r="B58" s="1457" t="str">
        <v>Nutrition</v>
      </c>
      <c r="C58" s="1473" t="str">
        <v>Off</v>
      </c>
    </row>
    <row r="59" spans="2:3" hidden="1" x14ac:dyDescent="0.45">
      <c r="B59" s="1458" t="str">
        <v>Recovery Rate (%)</v>
      </c>
      <c r="C59" s="1474">
        <v>-0.35</v>
      </c>
    </row>
    <row r="60" spans="2:3" hidden="1" x14ac:dyDescent="0.45">
      <c r="B60" s="1457" t="str">
        <v/>
      </c>
      <c r="C60" s="1473" t="str">
        <v/>
      </c>
    </row>
    <row r="61" spans="2:3" hidden="1" x14ac:dyDescent="0.45">
      <c r="B61" s="1458" t="str">
        <v/>
      </c>
      <c r="C61" s="1475" t="str">
        <v/>
      </c>
    </row>
    <row r="62" spans="2:3" ht="14.65" hidden="1" thickBot="1" x14ac:dyDescent="0.5">
      <c r="B62" s="1459" t="str">
        <v/>
      </c>
      <c r="C62" s="1476" t="str">
        <v/>
      </c>
    </row>
    <row r="63" spans="2:3" hidden="1" x14ac:dyDescent="0.45"/>
    <row r="64" spans="2:3" hidden="1" x14ac:dyDescent="0.45"/>
    <row r="65" hidden="1" x14ac:dyDescent="0.45"/>
    <row r="66" hidden="1" x14ac:dyDescent="0.45"/>
    <row r="67" hidden="1" x14ac:dyDescent="0.45"/>
    <row r="68" hidden="1" x14ac:dyDescent="0.45"/>
    <row r="69" hidden="1" x14ac:dyDescent="0.45"/>
    <row r="70" hidden="1" x14ac:dyDescent="0.45"/>
    <row r="71" hidden="1" x14ac:dyDescent="0.45"/>
    <row r="72" hidden="1" x14ac:dyDescent="0.45"/>
    <row r="73" hidden="1" x14ac:dyDescent="0.45"/>
    <row r="74" hidden="1" x14ac:dyDescent="0.45"/>
    <row r="75" hidden="1" x14ac:dyDescent="0.45"/>
    <row r="76" hidden="1" x14ac:dyDescent="0.45"/>
    <row r="77" hidden="1" x14ac:dyDescent="0.45"/>
    <row r="78" hidden="1" x14ac:dyDescent="0.45"/>
    <row r="79" hidden="1" x14ac:dyDescent="0.45"/>
    <row r="80" hidden="1" x14ac:dyDescent="0.45"/>
    <row r="81" hidden="1" x14ac:dyDescent="0.45"/>
    <row r="82" hidden="1" x14ac:dyDescent="0.45"/>
    <row r="83" hidden="1" x14ac:dyDescent="0.45"/>
    <row r="84" hidden="1" x14ac:dyDescent="0.45"/>
    <row r="85" hidden="1" x14ac:dyDescent="0.45"/>
    <row r="86" hidden="1" x14ac:dyDescent="0.45"/>
    <row r="87" hidden="1" x14ac:dyDescent="0.45"/>
    <row r="88" hidden="1" x14ac:dyDescent="0.45"/>
    <row r="89" hidden="1" x14ac:dyDescent="0.45"/>
    <row r="90" hidden="1" x14ac:dyDescent="0.45"/>
    <row r="91" hidden="1" x14ac:dyDescent="0.45"/>
    <row r="92" hidden="1" x14ac:dyDescent="0.45"/>
    <row r="93" hidden="1" x14ac:dyDescent="0.45"/>
    <row r="94" hidden="1" x14ac:dyDescent="0.45"/>
    <row r="95" hidden="1" x14ac:dyDescent="0.45"/>
    <row r="96" hidden="1" x14ac:dyDescent="0.45"/>
    <row r="97" hidden="1" x14ac:dyDescent="0.45"/>
    <row r="98" hidden="1" x14ac:dyDescent="0.45"/>
    <row r="99" hidden="1" x14ac:dyDescent="0.45"/>
    <row r="100" hidden="1" x14ac:dyDescent="0.45"/>
    <row r="101" hidden="1" x14ac:dyDescent="0.45"/>
    <row r="102" hidden="1" x14ac:dyDescent="0.45"/>
    <row r="103" hidden="1" x14ac:dyDescent="0.45"/>
    <row r="104" hidden="1" x14ac:dyDescent="0.45"/>
    <row r="105" hidden="1" x14ac:dyDescent="0.45"/>
    <row r="106" hidden="1" x14ac:dyDescent="0.45"/>
    <row r="107" hidden="1" x14ac:dyDescent="0.45"/>
    <row r="108" hidden="1" x14ac:dyDescent="0.45"/>
    <row r="109" hidden="1" x14ac:dyDescent="0.45"/>
    <row r="110" hidden="1" x14ac:dyDescent="0.45"/>
    <row r="111" hidden="1" x14ac:dyDescent="0.45"/>
    <row r="112" hidden="1" x14ac:dyDescent="0.45"/>
    <row r="113" hidden="1" x14ac:dyDescent="0.45"/>
    <row r="114" hidden="1" x14ac:dyDescent="0.45"/>
    <row r="115" hidden="1" x14ac:dyDescent="0.45"/>
    <row r="116" hidden="1" x14ac:dyDescent="0.45"/>
    <row r="117" hidden="1" x14ac:dyDescent="0.45"/>
    <row r="118" hidden="1" x14ac:dyDescent="0.45"/>
    <row r="119" hidden="1" x14ac:dyDescent="0.45"/>
    <row r="120" hidden="1" x14ac:dyDescent="0.45"/>
    <row r="121" hidden="1" x14ac:dyDescent="0.45"/>
    <row r="122" hidden="1" x14ac:dyDescent="0.45"/>
    <row r="123" hidden="1" x14ac:dyDescent="0.45"/>
    <row r="124" hidden="1" x14ac:dyDescent="0.45"/>
    <row r="125" hidden="1" x14ac:dyDescent="0.45"/>
    <row r="126" hidden="1" x14ac:dyDescent="0.45"/>
    <row r="127" hidden="1" x14ac:dyDescent="0.45"/>
    <row r="128" hidden="1" x14ac:dyDescent="0.45"/>
    <row r="129" hidden="1" x14ac:dyDescent="0.45"/>
    <row r="130" hidden="1" x14ac:dyDescent="0.45"/>
    <row r="131" hidden="1" x14ac:dyDescent="0.45"/>
    <row r="132" hidden="1" x14ac:dyDescent="0.45"/>
    <row r="133" hidden="1" x14ac:dyDescent="0.45"/>
    <row r="134" hidden="1" x14ac:dyDescent="0.45"/>
    <row r="135" hidden="1" x14ac:dyDescent="0.45"/>
    <row r="136" hidden="1" x14ac:dyDescent="0.45"/>
    <row r="137" hidden="1" x14ac:dyDescent="0.45"/>
    <row r="138" hidden="1" x14ac:dyDescent="0.45"/>
    <row r="139" hidden="1" x14ac:dyDescent="0.45"/>
    <row r="140" hidden="1" x14ac:dyDescent="0.45"/>
    <row r="141" hidden="1" x14ac:dyDescent="0.45"/>
    <row r="142" hidden="1" x14ac:dyDescent="0.45"/>
    <row r="143" hidden="1" x14ac:dyDescent="0.45"/>
    <row r="144" hidden="1" x14ac:dyDescent="0.45"/>
    <row r="145" hidden="1" x14ac:dyDescent="0.45"/>
    <row r="146" hidden="1" x14ac:dyDescent="0.45"/>
    <row r="147" hidden="1" x14ac:dyDescent="0.45"/>
    <row r="148" hidden="1" x14ac:dyDescent="0.45"/>
    <row r="149" hidden="1" x14ac:dyDescent="0.45"/>
    <row r="150" hidden="1" x14ac:dyDescent="0.45"/>
    <row r="151" hidden="1" x14ac:dyDescent="0.45"/>
    <row r="152" hidden="1" x14ac:dyDescent="0.45"/>
    <row r="153" hidden="1" x14ac:dyDescent="0.45"/>
    <row r="154" hidden="1" x14ac:dyDescent="0.45"/>
    <row r="155" hidden="1" x14ac:dyDescent="0.45"/>
    <row r="156" hidden="1" x14ac:dyDescent="0.45"/>
    <row r="157" hidden="1" x14ac:dyDescent="0.45"/>
    <row r="158" hidden="1" x14ac:dyDescent="0.45"/>
    <row r="159" hidden="1" x14ac:dyDescent="0.45"/>
    <row r="160" hidden="1" x14ac:dyDescent="0.45"/>
    <row r="161" hidden="1" x14ac:dyDescent="0.45"/>
    <row r="162" hidden="1" x14ac:dyDescent="0.45"/>
    <row r="163" hidden="1" x14ac:dyDescent="0.45"/>
    <row r="164" hidden="1" x14ac:dyDescent="0.45"/>
    <row r="165" hidden="1" x14ac:dyDescent="0.45"/>
    <row r="166" hidden="1" x14ac:dyDescent="0.45"/>
    <row r="167" hidden="1" x14ac:dyDescent="0.45"/>
    <row r="168" hidden="1" x14ac:dyDescent="0.45"/>
    <row r="169" hidden="1" x14ac:dyDescent="0.45"/>
    <row r="170" hidden="1" x14ac:dyDescent="0.45"/>
    <row r="171" hidden="1" x14ac:dyDescent="0.45"/>
    <row r="172" hidden="1" x14ac:dyDescent="0.45"/>
    <row r="173" hidden="1" x14ac:dyDescent="0.45"/>
    <row r="174" hidden="1" x14ac:dyDescent="0.45"/>
    <row r="175" hidden="1" x14ac:dyDescent="0.45"/>
    <row r="176" hidden="1" x14ac:dyDescent="0.45"/>
    <row r="177" hidden="1" x14ac:dyDescent="0.45"/>
    <row r="178" hidden="1" x14ac:dyDescent="0.45"/>
    <row r="179" hidden="1" x14ac:dyDescent="0.45"/>
    <row r="180" hidden="1" x14ac:dyDescent="0.45"/>
    <row r="181" hidden="1" x14ac:dyDescent="0.45"/>
    <row r="182" hidden="1" x14ac:dyDescent="0.45"/>
    <row r="183" hidden="1" x14ac:dyDescent="0.45"/>
    <row r="184" hidden="1" x14ac:dyDescent="0.45"/>
    <row r="185" hidden="1" x14ac:dyDescent="0.45"/>
    <row r="186" hidden="1" x14ac:dyDescent="0.45"/>
    <row r="187" hidden="1" x14ac:dyDescent="0.45"/>
    <row r="188" hidden="1" x14ac:dyDescent="0.45"/>
    <row r="189" hidden="1" x14ac:dyDescent="0.45"/>
    <row r="190" hidden="1" x14ac:dyDescent="0.45"/>
    <row r="191" hidden="1" x14ac:dyDescent="0.45"/>
    <row r="192" hidden="1" x14ac:dyDescent="0.45"/>
    <row r="193" hidden="1" x14ac:dyDescent="0.45"/>
    <row r="194" hidden="1" x14ac:dyDescent="0.45"/>
    <row r="195" hidden="1" x14ac:dyDescent="0.45"/>
    <row r="196" hidden="1" x14ac:dyDescent="0.45"/>
    <row r="197" hidden="1" x14ac:dyDescent="0.45"/>
    <row r="198" hidden="1" x14ac:dyDescent="0.45"/>
    <row r="199" hidden="1" x14ac:dyDescent="0.45"/>
    <row r="200" hidden="1" x14ac:dyDescent="0.45"/>
    <row r="201" hidden="1" x14ac:dyDescent="0.45"/>
    <row r="202" hidden="1" x14ac:dyDescent="0.45"/>
    <row r="203" hidden="1" x14ac:dyDescent="0.45"/>
    <row r="204" hidden="1" x14ac:dyDescent="0.45"/>
    <row r="205" hidden="1" x14ac:dyDescent="0.45"/>
    <row r="206" hidden="1" x14ac:dyDescent="0.45"/>
    <row r="207" hidden="1" x14ac:dyDescent="0.45"/>
    <row r="208" hidden="1" x14ac:dyDescent="0.45"/>
    <row r="209" hidden="1" x14ac:dyDescent="0.45"/>
    <row r="210" hidden="1" x14ac:dyDescent="0.45"/>
    <row r="211" hidden="1" x14ac:dyDescent="0.45"/>
    <row r="212" hidden="1" x14ac:dyDescent="0.45"/>
    <row r="213" hidden="1" x14ac:dyDescent="0.45"/>
    <row r="214" hidden="1" x14ac:dyDescent="0.45"/>
    <row r="215" hidden="1" x14ac:dyDescent="0.45"/>
    <row r="216" hidden="1" x14ac:dyDescent="0.45"/>
    <row r="217" hidden="1" x14ac:dyDescent="0.45"/>
    <row r="218" hidden="1" x14ac:dyDescent="0.45"/>
    <row r="219" hidden="1" x14ac:dyDescent="0.45"/>
    <row r="220" hidden="1" x14ac:dyDescent="0.45"/>
    <row r="221" hidden="1" x14ac:dyDescent="0.45"/>
    <row r="222" hidden="1" x14ac:dyDescent="0.45"/>
    <row r="223" hidden="1" x14ac:dyDescent="0.45"/>
    <row r="224" hidden="1" x14ac:dyDescent="0.45"/>
    <row r="225" hidden="1" x14ac:dyDescent="0.45"/>
    <row r="226" hidden="1" x14ac:dyDescent="0.45"/>
    <row r="227" hidden="1" x14ac:dyDescent="0.45"/>
    <row r="228" hidden="1" x14ac:dyDescent="0.45"/>
    <row r="229" hidden="1" x14ac:dyDescent="0.45"/>
    <row r="230" hidden="1" x14ac:dyDescent="0.45"/>
    <row r="231" hidden="1" x14ac:dyDescent="0.45"/>
    <row r="232" hidden="1" x14ac:dyDescent="0.45"/>
    <row r="233" hidden="1" x14ac:dyDescent="0.45"/>
    <row r="234" hidden="1" x14ac:dyDescent="0.45"/>
    <row r="235" hidden="1" x14ac:dyDescent="0.45"/>
    <row r="236" hidden="1" x14ac:dyDescent="0.45"/>
    <row r="237" hidden="1" x14ac:dyDescent="0.45"/>
    <row r="238" hidden="1" x14ac:dyDescent="0.45"/>
    <row r="239" hidden="1" x14ac:dyDescent="0.45"/>
    <row r="240" hidden="1" x14ac:dyDescent="0.45"/>
    <row r="241" hidden="1" x14ac:dyDescent="0.45"/>
    <row r="242" hidden="1" x14ac:dyDescent="0.45"/>
    <row r="243" hidden="1" x14ac:dyDescent="0.45"/>
    <row r="244" hidden="1" x14ac:dyDescent="0.45"/>
    <row r="245" hidden="1" x14ac:dyDescent="0.45"/>
    <row r="246" hidden="1" x14ac:dyDescent="0.45"/>
    <row r="247" hidden="1" x14ac:dyDescent="0.45"/>
    <row r="248" hidden="1" x14ac:dyDescent="0.45"/>
    <row r="249" hidden="1" x14ac:dyDescent="0.45"/>
    <row r="250" hidden="1" x14ac:dyDescent="0.45"/>
    <row r="251" hidden="1" x14ac:dyDescent="0.45"/>
    <row r="252" hidden="1" x14ac:dyDescent="0.45"/>
    <row r="253" hidden="1" x14ac:dyDescent="0.45"/>
    <row r="254" hidden="1" x14ac:dyDescent="0.45"/>
    <row r="255" hidden="1" x14ac:dyDescent="0.45"/>
    <row r="256" hidden="1" x14ac:dyDescent="0.45"/>
    <row r="257" hidden="1" x14ac:dyDescent="0.45"/>
    <row r="258" hidden="1" x14ac:dyDescent="0.45"/>
    <row r="259" hidden="1" x14ac:dyDescent="0.45"/>
    <row r="260" hidden="1" x14ac:dyDescent="0.45"/>
    <row r="261" hidden="1" x14ac:dyDescent="0.45"/>
    <row r="262" hidden="1" x14ac:dyDescent="0.45"/>
    <row r="263" hidden="1" x14ac:dyDescent="0.45"/>
    <row r="264" hidden="1" x14ac:dyDescent="0.45"/>
    <row r="265" hidden="1" x14ac:dyDescent="0.45"/>
    <row r="266" hidden="1" x14ac:dyDescent="0.45"/>
    <row r="267" hidden="1" x14ac:dyDescent="0.45"/>
    <row r="268" hidden="1" x14ac:dyDescent="0.45"/>
    <row r="269" hidden="1" x14ac:dyDescent="0.45"/>
    <row r="270" hidden="1" x14ac:dyDescent="0.45"/>
    <row r="271" hidden="1" x14ac:dyDescent="0.45"/>
    <row r="272" hidden="1" x14ac:dyDescent="0.45"/>
    <row r="273" hidden="1" x14ac:dyDescent="0.45"/>
    <row r="274" hidden="1" x14ac:dyDescent="0.45"/>
    <row r="275" hidden="1" x14ac:dyDescent="0.45"/>
    <row r="276" hidden="1" x14ac:dyDescent="0.45"/>
    <row r="277" hidden="1" x14ac:dyDescent="0.45"/>
    <row r="278" hidden="1" x14ac:dyDescent="0.45"/>
    <row r="279" hidden="1" x14ac:dyDescent="0.45"/>
    <row r="280" hidden="1" x14ac:dyDescent="0.45"/>
    <row r="281" hidden="1" x14ac:dyDescent="0.45"/>
    <row r="282" hidden="1" x14ac:dyDescent="0.45"/>
    <row r="283" hidden="1" x14ac:dyDescent="0.45"/>
    <row r="284" hidden="1" x14ac:dyDescent="0.45"/>
    <row r="285" hidden="1" x14ac:dyDescent="0.45"/>
    <row r="286" hidden="1" x14ac:dyDescent="0.45"/>
    <row r="287" hidden="1" x14ac:dyDescent="0.45"/>
    <row r="288" hidden="1" x14ac:dyDescent="0.45"/>
    <row r="289" hidden="1" x14ac:dyDescent="0.45"/>
    <row r="290" hidden="1" x14ac:dyDescent="0.45"/>
    <row r="291" hidden="1" x14ac:dyDescent="0.45"/>
    <row r="292" hidden="1" x14ac:dyDescent="0.45"/>
    <row r="293" hidden="1" x14ac:dyDescent="0.45"/>
    <row r="294" hidden="1" x14ac:dyDescent="0.45"/>
    <row r="295" hidden="1" x14ac:dyDescent="0.45"/>
    <row r="296" hidden="1" x14ac:dyDescent="0.45"/>
    <row r="297" hidden="1" x14ac:dyDescent="0.45"/>
    <row r="298" hidden="1" x14ac:dyDescent="0.45"/>
    <row r="299" hidden="1" x14ac:dyDescent="0.45"/>
    <row r="300" hidden="1" x14ac:dyDescent="0.45"/>
    <row r="301" hidden="1" x14ac:dyDescent="0.45"/>
    <row r="302" hidden="1" x14ac:dyDescent="0.45"/>
    <row r="303" hidden="1" x14ac:dyDescent="0.45"/>
    <row r="304" hidden="1" x14ac:dyDescent="0.45"/>
    <row r="305" hidden="1" x14ac:dyDescent="0.45"/>
    <row r="306" hidden="1" x14ac:dyDescent="0.45"/>
    <row r="307" hidden="1" x14ac:dyDescent="0.45"/>
    <row r="308" hidden="1" x14ac:dyDescent="0.45"/>
    <row r="309" hidden="1" x14ac:dyDescent="0.45"/>
    <row r="310" hidden="1" x14ac:dyDescent="0.45"/>
    <row r="311" hidden="1" x14ac:dyDescent="0.45"/>
    <row r="312" hidden="1" x14ac:dyDescent="0.45"/>
    <row r="313" hidden="1" x14ac:dyDescent="0.45"/>
    <row r="314" hidden="1" x14ac:dyDescent="0.45"/>
    <row r="315" hidden="1" x14ac:dyDescent="0.45"/>
    <row r="316" hidden="1" x14ac:dyDescent="0.45"/>
    <row r="317" hidden="1" x14ac:dyDescent="0.45"/>
    <row r="318" hidden="1" x14ac:dyDescent="0.45"/>
    <row r="319" hidden="1" x14ac:dyDescent="0.45"/>
    <row r="320" hidden="1" x14ac:dyDescent="0.45"/>
    <row r="321" hidden="1" x14ac:dyDescent="0.45"/>
    <row r="322" hidden="1" x14ac:dyDescent="0.45"/>
    <row r="323" hidden="1" x14ac:dyDescent="0.45"/>
    <row r="324" hidden="1" x14ac:dyDescent="0.45"/>
    <row r="325" hidden="1" x14ac:dyDescent="0.45"/>
    <row r="326" hidden="1" x14ac:dyDescent="0.45"/>
    <row r="327" hidden="1" x14ac:dyDescent="0.45"/>
    <row r="328" hidden="1" x14ac:dyDescent="0.45"/>
    <row r="329" hidden="1" x14ac:dyDescent="0.45"/>
    <row r="330" hidden="1" x14ac:dyDescent="0.45"/>
    <row r="331" hidden="1" x14ac:dyDescent="0.45"/>
    <row r="332" hidden="1" x14ac:dyDescent="0.45"/>
    <row r="333" hidden="1" x14ac:dyDescent="0.45"/>
    <row r="334" hidden="1" x14ac:dyDescent="0.45"/>
    <row r="335" hidden="1" x14ac:dyDescent="0.45"/>
    <row r="336" hidden="1" x14ac:dyDescent="0.45"/>
    <row r="337" hidden="1" x14ac:dyDescent="0.45"/>
    <row r="338" hidden="1" x14ac:dyDescent="0.45"/>
    <row r="339" hidden="1" x14ac:dyDescent="0.45"/>
    <row r="340" hidden="1" x14ac:dyDescent="0.45"/>
    <row r="341" hidden="1" x14ac:dyDescent="0.45"/>
    <row r="342" hidden="1" x14ac:dyDescent="0.45"/>
    <row r="343" hidden="1" x14ac:dyDescent="0.45"/>
    <row r="344" hidden="1" x14ac:dyDescent="0.45"/>
    <row r="345" hidden="1" x14ac:dyDescent="0.45"/>
    <row r="346" hidden="1" x14ac:dyDescent="0.45"/>
    <row r="347" hidden="1" x14ac:dyDescent="0.45"/>
    <row r="348" hidden="1" x14ac:dyDescent="0.45"/>
    <row r="349" hidden="1" x14ac:dyDescent="0.45"/>
    <row r="350" hidden="1" x14ac:dyDescent="0.45"/>
    <row r="351" hidden="1" x14ac:dyDescent="0.45"/>
    <row r="352" hidden="1" x14ac:dyDescent="0.45"/>
    <row r="353" hidden="1" x14ac:dyDescent="0.45"/>
    <row r="354" hidden="1" x14ac:dyDescent="0.45"/>
    <row r="355" hidden="1" x14ac:dyDescent="0.45"/>
    <row r="356" hidden="1" x14ac:dyDescent="0.45"/>
    <row r="357" hidden="1" x14ac:dyDescent="0.45"/>
    <row r="358" hidden="1" x14ac:dyDescent="0.45"/>
    <row r="359" hidden="1" x14ac:dyDescent="0.45"/>
    <row r="360" hidden="1" x14ac:dyDescent="0.45"/>
    <row r="361" hidden="1" x14ac:dyDescent="0.45"/>
    <row r="362" hidden="1" x14ac:dyDescent="0.45"/>
    <row r="363" hidden="1" x14ac:dyDescent="0.45"/>
    <row r="364" hidden="1" x14ac:dyDescent="0.45"/>
    <row r="365" hidden="1" x14ac:dyDescent="0.45"/>
    <row r="366" hidden="1" x14ac:dyDescent="0.45"/>
    <row r="367" hidden="1" x14ac:dyDescent="0.45"/>
    <row r="368" hidden="1" x14ac:dyDescent="0.45"/>
    <row r="369" hidden="1" x14ac:dyDescent="0.45"/>
    <row r="370" hidden="1" x14ac:dyDescent="0.45"/>
    <row r="371" hidden="1" x14ac:dyDescent="0.45"/>
    <row r="372" hidden="1" x14ac:dyDescent="0.45"/>
    <row r="373" hidden="1" x14ac:dyDescent="0.45"/>
    <row r="374" hidden="1" x14ac:dyDescent="0.45"/>
    <row r="375" hidden="1" x14ac:dyDescent="0.45"/>
    <row r="376" hidden="1" x14ac:dyDescent="0.45"/>
    <row r="377" hidden="1" x14ac:dyDescent="0.45"/>
    <row r="378" hidden="1" x14ac:dyDescent="0.45"/>
    <row r="379" hidden="1" x14ac:dyDescent="0.45"/>
    <row r="380" hidden="1" x14ac:dyDescent="0.45"/>
    <row r="381" hidden="1" x14ac:dyDescent="0.45"/>
    <row r="382" hidden="1" x14ac:dyDescent="0.45"/>
    <row r="383" hidden="1" x14ac:dyDescent="0.45"/>
    <row r="384" hidden="1" x14ac:dyDescent="0.45"/>
    <row r="385" hidden="1" x14ac:dyDescent="0.45"/>
    <row r="386" hidden="1" x14ac:dyDescent="0.45"/>
    <row r="387" hidden="1" x14ac:dyDescent="0.45"/>
    <row r="388" hidden="1" x14ac:dyDescent="0.45"/>
    <row r="389" hidden="1" x14ac:dyDescent="0.45"/>
    <row r="390" hidden="1" x14ac:dyDescent="0.45"/>
    <row r="391" hidden="1" x14ac:dyDescent="0.45"/>
    <row r="392" hidden="1" x14ac:dyDescent="0.45"/>
    <row r="393" hidden="1" x14ac:dyDescent="0.45"/>
    <row r="394" hidden="1" x14ac:dyDescent="0.45"/>
    <row r="395" hidden="1" x14ac:dyDescent="0.45"/>
    <row r="396" hidden="1" x14ac:dyDescent="0.45"/>
    <row r="397" hidden="1" x14ac:dyDescent="0.45"/>
    <row r="398" hidden="1" x14ac:dyDescent="0.45"/>
    <row r="399" hidden="1" x14ac:dyDescent="0.45"/>
    <row r="400" hidden="1" x14ac:dyDescent="0.45"/>
    <row r="401" hidden="1" x14ac:dyDescent="0.45"/>
    <row r="402" hidden="1" x14ac:dyDescent="0.45"/>
    <row r="403" hidden="1" x14ac:dyDescent="0.45"/>
    <row r="404" hidden="1" x14ac:dyDescent="0.45"/>
    <row r="405" hidden="1" x14ac:dyDescent="0.45"/>
    <row r="406" hidden="1" x14ac:dyDescent="0.45"/>
    <row r="407" hidden="1" x14ac:dyDescent="0.45"/>
    <row r="408" hidden="1" x14ac:dyDescent="0.45"/>
    <row r="409" hidden="1" x14ac:dyDescent="0.45"/>
    <row r="410" hidden="1" x14ac:dyDescent="0.45"/>
    <row r="411" hidden="1" x14ac:dyDescent="0.45"/>
    <row r="412" hidden="1" x14ac:dyDescent="0.45"/>
    <row r="413" hidden="1" x14ac:dyDescent="0.45"/>
    <row r="414" hidden="1" x14ac:dyDescent="0.45"/>
    <row r="415" hidden="1" x14ac:dyDescent="0.45"/>
    <row r="416" hidden="1" x14ac:dyDescent="0.45"/>
    <row r="417" hidden="1" x14ac:dyDescent="0.45"/>
    <row r="418" hidden="1" x14ac:dyDescent="0.45"/>
    <row r="419" hidden="1" x14ac:dyDescent="0.45"/>
    <row r="420" hidden="1" x14ac:dyDescent="0.45"/>
    <row r="421" hidden="1" x14ac:dyDescent="0.45"/>
    <row r="422" hidden="1" x14ac:dyDescent="0.45"/>
    <row r="423" hidden="1" x14ac:dyDescent="0.45"/>
    <row r="424" hidden="1" x14ac:dyDescent="0.45"/>
    <row r="425" hidden="1" x14ac:dyDescent="0.45"/>
    <row r="426" hidden="1" x14ac:dyDescent="0.45"/>
    <row r="427" hidden="1" x14ac:dyDescent="0.45"/>
    <row r="428" hidden="1" x14ac:dyDescent="0.45"/>
    <row r="429" hidden="1" x14ac:dyDescent="0.45"/>
    <row r="430" hidden="1" x14ac:dyDescent="0.45"/>
    <row r="431" hidden="1" x14ac:dyDescent="0.45"/>
    <row r="432" hidden="1" x14ac:dyDescent="0.45"/>
    <row r="433" hidden="1" x14ac:dyDescent="0.45"/>
    <row r="434" hidden="1" x14ac:dyDescent="0.45"/>
    <row r="435" hidden="1" x14ac:dyDescent="0.45"/>
    <row r="436" hidden="1" x14ac:dyDescent="0.45"/>
    <row r="437" hidden="1" x14ac:dyDescent="0.45"/>
    <row r="438" hidden="1" x14ac:dyDescent="0.45"/>
    <row r="439" hidden="1" x14ac:dyDescent="0.45"/>
    <row r="440" hidden="1" x14ac:dyDescent="0.45"/>
    <row r="441" hidden="1" x14ac:dyDescent="0.45"/>
    <row r="442" hidden="1" x14ac:dyDescent="0.45"/>
    <row r="443" hidden="1" x14ac:dyDescent="0.45"/>
    <row r="444" hidden="1" x14ac:dyDescent="0.45"/>
    <row r="445" hidden="1" x14ac:dyDescent="0.45"/>
    <row r="446" hidden="1" x14ac:dyDescent="0.45"/>
    <row r="447" hidden="1" x14ac:dyDescent="0.45"/>
    <row r="448" hidden="1" x14ac:dyDescent="0.45"/>
    <row r="449" hidden="1" x14ac:dyDescent="0.45"/>
    <row r="450" hidden="1" x14ac:dyDescent="0.45"/>
    <row r="451" hidden="1" x14ac:dyDescent="0.45"/>
    <row r="452" hidden="1" x14ac:dyDescent="0.45"/>
    <row r="453" hidden="1" x14ac:dyDescent="0.45"/>
    <row r="454" hidden="1" x14ac:dyDescent="0.45"/>
    <row r="455" hidden="1" x14ac:dyDescent="0.45"/>
    <row r="456" hidden="1" x14ac:dyDescent="0.45"/>
    <row r="457" hidden="1" x14ac:dyDescent="0.45"/>
    <row r="458" hidden="1" x14ac:dyDescent="0.45"/>
    <row r="459" hidden="1" x14ac:dyDescent="0.45"/>
    <row r="460" hidden="1" x14ac:dyDescent="0.45"/>
    <row r="461" hidden="1" x14ac:dyDescent="0.45"/>
    <row r="462" hidden="1" x14ac:dyDescent="0.45"/>
    <row r="463" hidden="1" x14ac:dyDescent="0.45"/>
    <row r="464" hidden="1" x14ac:dyDescent="0.45"/>
    <row r="465" hidden="1" x14ac:dyDescent="0.45"/>
    <row r="466" hidden="1" x14ac:dyDescent="0.45"/>
    <row r="467" hidden="1" x14ac:dyDescent="0.45"/>
    <row r="468" hidden="1" x14ac:dyDescent="0.45"/>
    <row r="469" hidden="1" x14ac:dyDescent="0.45"/>
    <row r="470" hidden="1" x14ac:dyDescent="0.45"/>
    <row r="471" hidden="1" x14ac:dyDescent="0.45"/>
    <row r="472" hidden="1" x14ac:dyDescent="0.45"/>
    <row r="473" hidden="1" x14ac:dyDescent="0.45"/>
    <row r="474" hidden="1" x14ac:dyDescent="0.45"/>
    <row r="475" hidden="1" x14ac:dyDescent="0.45"/>
    <row r="476" hidden="1" x14ac:dyDescent="0.45"/>
    <row r="477" hidden="1" x14ac:dyDescent="0.45"/>
    <row r="478" hidden="1" x14ac:dyDescent="0.45"/>
    <row r="479" hidden="1" x14ac:dyDescent="0.45"/>
    <row r="480" hidden="1" x14ac:dyDescent="0.45"/>
    <row r="481" hidden="1" x14ac:dyDescent="0.45"/>
    <row r="482" hidden="1" x14ac:dyDescent="0.45"/>
    <row r="483" hidden="1" x14ac:dyDescent="0.45"/>
    <row r="484" hidden="1" x14ac:dyDescent="0.45"/>
    <row r="485" hidden="1" x14ac:dyDescent="0.45"/>
    <row r="486" hidden="1" x14ac:dyDescent="0.45"/>
    <row r="487" hidden="1" x14ac:dyDescent="0.45"/>
    <row r="488" hidden="1" x14ac:dyDescent="0.45"/>
    <row r="489" hidden="1" x14ac:dyDescent="0.45"/>
    <row r="490" hidden="1" x14ac:dyDescent="0.45"/>
    <row r="491" hidden="1" x14ac:dyDescent="0.45"/>
    <row r="492" hidden="1" x14ac:dyDescent="0.45"/>
    <row r="493" hidden="1" x14ac:dyDescent="0.45"/>
    <row r="494" hidden="1" x14ac:dyDescent="0.45"/>
    <row r="495" hidden="1" x14ac:dyDescent="0.45"/>
    <row r="496" hidden="1" x14ac:dyDescent="0.45"/>
    <row r="497" hidden="1" x14ac:dyDescent="0.45"/>
    <row r="498" hidden="1" x14ac:dyDescent="0.45"/>
    <row r="499" hidden="1" x14ac:dyDescent="0.45"/>
    <row r="500" hidden="1" x14ac:dyDescent="0.45"/>
    <row r="501" hidden="1" x14ac:dyDescent="0.45"/>
    <row r="502" hidden="1" x14ac:dyDescent="0.45"/>
    <row r="503" hidden="1" x14ac:dyDescent="0.45"/>
    <row r="504" hidden="1" x14ac:dyDescent="0.45"/>
    <row r="505" hidden="1" x14ac:dyDescent="0.45"/>
    <row r="506" hidden="1" x14ac:dyDescent="0.45"/>
    <row r="507" hidden="1" x14ac:dyDescent="0.45"/>
    <row r="508" hidden="1" x14ac:dyDescent="0.45"/>
    <row r="509" hidden="1" x14ac:dyDescent="0.45"/>
    <row r="510" hidden="1" x14ac:dyDescent="0.45"/>
    <row r="511" hidden="1" x14ac:dyDescent="0.45"/>
    <row r="512" hidden="1" x14ac:dyDescent="0.45"/>
    <row r="513" hidden="1" x14ac:dyDescent="0.45"/>
    <row r="514" hidden="1" x14ac:dyDescent="0.45"/>
    <row r="515" hidden="1" x14ac:dyDescent="0.45"/>
    <row r="516" hidden="1" x14ac:dyDescent="0.45"/>
    <row r="517" hidden="1" x14ac:dyDescent="0.45"/>
    <row r="518" hidden="1" x14ac:dyDescent="0.45"/>
    <row r="519" hidden="1" x14ac:dyDescent="0.45"/>
    <row r="520" hidden="1" x14ac:dyDescent="0.45"/>
    <row r="521" hidden="1" x14ac:dyDescent="0.45"/>
    <row r="522" hidden="1" x14ac:dyDescent="0.45"/>
    <row r="523" hidden="1" x14ac:dyDescent="0.45"/>
    <row r="524" hidden="1" x14ac:dyDescent="0.45"/>
    <row r="525" hidden="1" x14ac:dyDescent="0.45"/>
    <row r="526" hidden="1" x14ac:dyDescent="0.45"/>
    <row r="527" hidden="1" x14ac:dyDescent="0.45"/>
    <row r="528" hidden="1" x14ac:dyDescent="0.45"/>
    <row r="529" hidden="1" x14ac:dyDescent="0.45"/>
    <row r="530" hidden="1" x14ac:dyDescent="0.45"/>
    <row r="531" hidden="1" x14ac:dyDescent="0.45"/>
    <row r="532" hidden="1" x14ac:dyDescent="0.45"/>
    <row r="533" hidden="1" x14ac:dyDescent="0.45"/>
    <row r="534" hidden="1" x14ac:dyDescent="0.45"/>
    <row r="535" hidden="1" x14ac:dyDescent="0.45"/>
    <row r="536" hidden="1" x14ac:dyDescent="0.45"/>
    <row r="537" hidden="1" x14ac:dyDescent="0.45"/>
    <row r="538" hidden="1" x14ac:dyDescent="0.45"/>
    <row r="539" hidden="1" x14ac:dyDescent="0.45"/>
    <row r="540" hidden="1" x14ac:dyDescent="0.45"/>
    <row r="541" hidden="1" x14ac:dyDescent="0.45"/>
    <row r="542" hidden="1" x14ac:dyDescent="0.45"/>
    <row r="543" hidden="1" x14ac:dyDescent="0.45"/>
    <row r="544" hidden="1" x14ac:dyDescent="0.45"/>
    <row r="545" hidden="1" x14ac:dyDescent="0.45"/>
    <row r="546" hidden="1" x14ac:dyDescent="0.45"/>
    <row r="547" hidden="1" x14ac:dyDescent="0.45"/>
    <row r="548" hidden="1" x14ac:dyDescent="0.45"/>
    <row r="549" hidden="1" x14ac:dyDescent="0.45"/>
    <row r="550" hidden="1" x14ac:dyDescent="0.45"/>
    <row r="551" hidden="1" x14ac:dyDescent="0.45"/>
    <row r="552" hidden="1" x14ac:dyDescent="0.45"/>
    <row r="553" hidden="1" x14ac:dyDescent="0.45"/>
    <row r="554" hidden="1" x14ac:dyDescent="0.45"/>
    <row r="555" hidden="1" x14ac:dyDescent="0.45"/>
    <row r="556" hidden="1" x14ac:dyDescent="0.45"/>
    <row r="557" hidden="1" x14ac:dyDescent="0.45"/>
    <row r="558" hidden="1" x14ac:dyDescent="0.45"/>
    <row r="559" hidden="1" x14ac:dyDescent="0.45"/>
    <row r="560" hidden="1" x14ac:dyDescent="0.45"/>
    <row r="561" hidden="1" x14ac:dyDescent="0.45"/>
    <row r="562" hidden="1" x14ac:dyDescent="0.45"/>
    <row r="563" hidden="1" x14ac:dyDescent="0.45"/>
    <row r="564" hidden="1" x14ac:dyDescent="0.45"/>
    <row r="565" hidden="1" x14ac:dyDescent="0.45"/>
    <row r="566" hidden="1" x14ac:dyDescent="0.45"/>
    <row r="567" hidden="1" x14ac:dyDescent="0.45"/>
    <row r="568" hidden="1" x14ac:dyDescent="0.45"/>
    <row r="569" hidden="1" x14ac:dyDescent="0.45"/>
    <row r="570" hidden="1" x14ac:dyDescent="0.45"/>
    <row r="571" hidden="1" x14ac:dyDescent="0.45"/>
    <row r="572" hidden="1" x14ac:dyDescent="0.45"/>
    <row r="573" hidden="1" x14ac:dyDescent="0.45"/>
    <row r="574" hidden="1" x14ac:dyDescent="0.45"/>
    <row r="575" hidden="1" x14ac:dyDescent="0.45"/>
    <row r="576" hidden="1" x14ac:dyDescent="0.45"/>
    <row r="577" hidden="1" x14ac:dyDescent="0.45"/>
    <row r="578" hidden="1" x14ac:dyDescent="0.45"/>
    <row r="579" hidden="1" x14ac:dyDescent="0.45"/>
    <row r="580" hidden="1" x14ac:dyDescent="0.45"/>
    <row r="581" hidden="1" x14ac:dyDescent="0.45"/>
    <row r="582" hidden="1" x14ac:dyDescent="0.45"/>
    <row r="583" hidden="1" x14ac:dyDescent="0.45"/>
    <row r="584" hidden="1" x14ac:dyDescent="0.45"/>
    <row r="585" hidden="1" x14ac:dyDescent="0.45"/>
    <row r="586" hidden="1" x14ac:dyDescent="0.45"/>
    <row r="587" hidden="1" x14ac:dyDescent="0.45"/>
    <row r="588" hidden="1" x14ac:dyDescent="0.45"/>
    <row r="589" hidden="1" x14ac:dyDescent="0.45"/>
    <row r="590" hidden="1" x14ac:dyDescent="0.45"/>
    <row r="591" hidden="1" x14ac:dyDescent="0.45"/>
    <row r="592" hidden="1" x14ac:dyDescent="0.45"/>
    <row r="593" hidden="1" x14ac:dyDescent="0.45"/>
    <row r="594" hidden="1" x14ac:dyDescent="0.45"/>
    <row r="595" hidden="1" x14ac:dyDescent="0.45"/>
    <row r="596" hidden="1" x14ac:dyDescent="0.45"/>
    <row r="597" hidden="1" x14ac:dyDescent="0.45"/>
    <row r="598" hidden="1" x14ac:dyDescent="0.45"/>
    <row r="599" hidden="1" x14ac:dyDescent="0.45"/>
    <row r="600" hidden="1" x14ac:dyDescent="0.45"/>
    <row r="601" hidden="1" x14ac:dyDescent="0.45"/>
    <row r="602" hidden="1" x14ac:dyDescent="0.45"/>
    <row r="603" hidden="1" x14ac:dyDescent="0.45"/>
    <row r="604" hidden="1" x14ac:dyDescent="0.45"/>
    <row r="605" hidden="1" x14ac:dyDescent="0.45"/>
    <row r="606" hidden="1" x14ac:dyDescent="0.45"/>
    <row r="607" hidden="1" x14ac:dyDescent="0.45"/>
    <row r="608" hidden="1" x14ac:dyDescent="0.45"/>
    <row r="609" hidden="1" x14ac:dyDescent="0.45"/>
    <row r="610" hidden="1" x14ac:dyDescent="0.45"/>
    <row r="611" hidden="1" x14ac:dyDescent="0.45"/>
    <row r="612" hidden="1" x14ac:dyDescent="0.45"/>
    <row r="613" hidden="1" x14ac:dyDescent="0.45"/>
    <row r="614" hidden="1" x14ac:dyDescent="0.45"/>
    <row r="615" hidden="1" x14ac:dyDescent="0.45"/>
    <row r="616" hidden="1" x14ac:dyDescent="0.45"/>
    <row r="617" hidden="1" x14ac:dyDescent="0.45"/>
    <row r="618" hidden="1" x14ac:dyDescent="0.45"/>
    <row r="619" hidden="1" x14ac:dyDescent="0.45"/>
    <row r="620" hidden="1" x14ac:dyDescent="0.45"/>
    <row r="621" hidden="1" x14ac:dyDescent="0.45"/>
    <row r="622" hidden="1" x14ac:dyDescent="0.45"/>
    <row r="623" hidden="1" x14ac:dyDescent="0.45"/>
    <row r="624" hidden="1" x14ac:dyDescent="0.45"/>
    <row r="625" hidden="1" x14ac:dyDescent="0.45"/>
    <row r="626" hidden="1" x14ac:dyDescent="0.45"/>
    <row r="627" hidden="1" x14ac:dyDescent="0.45"/>
    <row r="628" hidden="1" x14ac:dyDescent="0.45"/>
    <row r="629" hidden="1" x14ac:dyDescent="0.45"/>
    <row r="630" hidden="1" x14ac:dyDescent="0.45"/>
    <row r="631" hidden="1" x14ac:dyDescent="0.45"/>
    <row r="632" hidden="1" x14ac:dyDescent="0.45"/>
    <row r="633" hidden="1" x14ac:dyDescent="0.45"/>
    <row r="634" hidden="1" x14ac:dyDescent="0.45"/>
    <row r="635" hidden="1" x14ac:dyDescent="0.45"/>
    <row r="636" hidden="1" x14ac:dyDescent="0.45"/>
    <row r="637" hidden="1" x14ac:dyDescent="0.45"/>
    <row r="638" hidden="1" x14ac:dyDescent="0.45"/>
    <row r="639" hidden="1" x14ac:dyDescent="0.45"/>
    <row r="640" hidden="1" x14ac:dyDescent="0.45"/>
    <row r="641" hidden="1" x14ac:dyDescent="0.45"/>
    <row r="642" hidden="1" x14ac:dyDescent="0.45"/>
    <row r="643" hidden="1" x14ac:dyDescent="0.45"/>
    <row r="644" hidden="1" x14ac:dyDescent="0.45"/>
    <row r="645" hidden="1" x14ac:dyDescent="0.45"/>
    <row r="646" hidden="1" x14ac:dyDescent="0.45"/>
    <row r="647" hidden="1" x14ac:dyDescent="0.45"/>
    <row r="648" hidden="1" x14ac:dyDescent="0.45"/>
    <row r="649" hidden="1" x14ac:dyDescent="0.45"/>
    <row r="650" hidden="1" x14ac:dyDescent="0.45"/>
    <row r="651" hidden="1" x14ac:dyDescent="0.45"/>
    <row r="652" hidden="1" x14ac:dyDescent="0.45"/>
    <row r="653" hidden="1" x14ac:dyDescent="0.45"/>
    <row r="654" hidden="1" x14ac:dyDescent="0.45"/>
    <row r="655" hidden="1" x14ac:dyDescent="0.45"/>
    <row r="656" hidden="1" x14ac:dyDescent="0.45"/>
    <row r="657" hidden="1" x14ac:dyDescent="0.45"/>
    <row r="658" hidden="1" x14ac:dyDescent="0.45"/>
    <row r="659" hidden="1" x14ac:dyDescent="0.45"/>
    <row r="660" hidden="1" x14ac:dyDescent="0.45"/>
    <row r="661" hidden="1" x14ac:dyDescent="0.45"/>
    <row r="662" hidden="1" x14ac:dyDescent="0.45"/>
    <row r="663" hidden="1" x14ac:dyDescent="0.45"/>
    <row r="664" hidden="1" x14ac:dyDescent="0.45"/>
    <row r="665" hidden="1" x14ac:dyDescent="0.45"/>
    <row r="666" hidden="1" x14ac:dyDescent="0.45"/>
    <row r="667" hidden="1" x14ac:dyDescent="0.45"/>
    <row r="668" hidden="1" x14ac:dyDescent="0.45"/>
    <row r="669" hidden="1" x14ac:dyDescent="0.45"/>
    <row r="670" hidden="1" x14ac:dyDescent="0.45"/>
    <row r="671" hidden="1" x14ac:dyDescent="0.45"/>
    <row r="672" hidden="1" x14ac:dyDescent="0.45"/>
    <row r="673" hidden="1" x14ac:dyDescent="0.45"/>
    <row r="674" hidden="1" x14ac:dyDescent="0.45"/>
    <row r="675" hidden="1" x14ac:dyDescent="0.45"/>
    <row r="676" hidden="1" x14ac:dyDescent="0.45"/>
    <row r="677" hidden="1" x14ac:dyDescent="0.45"/>
    <row r="678" hidden="1" x14ac:dyDescent="0.45"/>
    <row r="679" hidden="1" x14ac:dyDescent="0.45"/>
    <row r="680" hidden="1" x14ac:dyDescent="0.45"/>
    <row r="681" hidden="1" x14ac:dyDescent="0.45"/>
    <row r="682" hidden="1" x14ac:dyDescent="0.45"/>
    <row r="683" hidden="1" x14ac:dyDescent="0.45"/>
    <row r="684" hidden="1" x14ac:dyDescent="0.45"/>
    <row r="685" hidden="1" x14ac:dyDescent="0.45"/>
    <row r="686" hidden="1" x14ac:dyDescent="0.45"/>
    <row r="687" hidden="1" x14ac:dyDescent="0.45"/>
    <row r="688" hidden="1" x14ac:dyDescent="0.45"/>
    <row r="689" hidden="1" x14ac:dyDescent="0.45"/>
    <row r="690" hidden="1" x14ac:dyDescent="0.45"/>
    <row r="691" hidden="1" x14ac:dyDescent="0.45"/>
    <row r="692" hidden="1" x14ac:dyDescent="0.45"/>
    <row r="693" hidden="1" x14ac:dyDescent="0.45"/>
    <row r="694" hidden="1" x14ac:dyDescent="0.45"/>
    <row r="695" hidden="1" x14ac:dyDescent="0.45"/>
    <row r="696" hidden="1" x14ac:dyDescent="0.45"/>
    <row r="697" hidden="1" x14ac:dyDescent="0.45"/>
    <row r="698" hidden="1" x14ac:dyDescent="0.45"/>
    <row r="699" hidden="1" x14ac:dyDescent="0.45"/>
    <row r="700" hidden="1" x14ac:dyDescent="0.45"/>
    <row r="701" hidden="1" x14ac:dyDescent="0.45"/>
    <row r="702" hidden="1" x14ac:dyDescent="0.45"/>
    <row r="703" hidden="1" x14ac:dyDescent="0.45"/>
    <row r="704" hidden="1" x14ac:dyDescent="0.45"/>
    <row r="705" hidden="1" x14ac:dyDescent="0.45"/>
    <row r="706" hidden="1" x14ac:dyDescent="0.45"/>
    <row r="707" hidden="1" x14ac:dyDescent="0.45"/>
    <row r="708" hidden="1" x14ac:dyDescent="0.45"/>
    <row r="709" hidden="1" x14ac:dyDescent="0.45"/>
    <row r="710" hidden="1" x14ac:dyDescent="0.45"/>
    <row r="711" hidden="1" x14ac:dyDescent="0.45"/>
    <row r="712" hidden="1" x14ac:dyDescent="0.45"/>
    <row r="713" hidden="1" x14ac:dyDescent="0.45"/>
    <row r="714" hidden="1" x14ac:dyDescent="0.45"/>
    <row r="715" hidden="1" x14ac:dyDescent="0.45"/>
    <row r="716" hidden="1" x14ac:dyDescent="0.45"/>
    <row r="717" hidden="1" x14ac:dyDescent="0.45"/>
    <row r="718" hidden="1" x14ac:dyDescent="0.45"/>
    <row r="719" hidden="1" x14ac:dyDescent="0.45"/>
    <row r="720" hidden="1" x14ac:dyDescent="0.45"/>
    <row r="721" hidden="1" x14ac:dyDescent="0.45"/>
    <row r="722" hidden="1" x14ac:dyDescent="0.45"/>
    <row r="723" hidden="1" x14ac:dyDescent="0.45"/>
    <row r="724" hidden="1" x14ac:dyDescent="0.45"/>
    <row r="725" hidden="1" x14ac:dyDescent="0.45"/>
    <row r="726" hidden="1" x14ac:dyDescent="0.45"/>
    <row r="727" hidden="1" x14ac:dyDescent="0.45"/>
    <row r="728" hidden="1" x14ac:dyDescent="0.45"/>
    <row r="729" hidden="1" x14ac:dyDescent="0.45"/>
    <row r="730" hidden="1" x14ac:dyDescent="0.45"/>
    <row r="731" hidden="1" x14ac:dyDescent="0.45"/>
    <row r="732" hidden="1" x14ac:dyDescent="0.45"/>
    <row r="733" hidden="1" x14ac:dyDescent="0.45"/>
    <row r="734" hidden="1" x14ac:dyDescent="0.45"/>
    <row r="735" hidden="1" x14ac:dyDescent="0.45"/>
    <row r="736" hidden="1" x14ac:dyDescent="0.45"/>
    <row r="737" hidden="1" x14ac:dyDescent="0.45"/>
    <row r="738" hidden="1" x14ac:dyDescent="0.45"/>
    <row r="739" hidden="1" x14ac:dyDescent="0.45"/>
    <row r="740" hidden="1" x14ac:dyDescent="0.45"/>
    <row r="741" hidden="1" x14ac:dyDescent="0.45"/>
    <row r="742" hidden="1" x14ac:dyDescent="0.45"/>
    <row r="743" hidden="1" x14ac:dyDescent="0.45"/>
    <row r="744" hidden="1" x14ac:dyDescent="0.45"/>
    <row r="745" hidden="1" x14ac:dyDescent="0.45"/>
    <row r="746" hidden="1" x14ac:dyDescent="0.45"/>
    <row r="747" hidden="1" x14ac:dyDescent="0.45"/>
    <row r="748" hidden="1" x14ac:dyDescent="0.45"/>
    <row r="749" hidden="1" x14ac:dyDescent="0.45"/>
    <row r="750" hidden="1" x14ac:dyDescent="0.45"/>
    <row r="751" hidden="1" x14ac:dyDescent="0.45"/>
    <row r="752" hidden="1" x14ac:dyDescent="0.45"/>
    <row r="753" hidden="1" x14ac:dyDescent="0.45"/>
    <row r="754" hidden="1" x14ac:dyDescent="0.45"/>
    <row r="755" hidden="1" x14ac:dyDescent="0.45"/>
    <row r="756" hidden="1" x14ac:dyDescent="0.45"/>
    <row r="757" hidden="1" x14ac:dyDescent="0.45"/>
    <row r="758" hidden="1" x14ac:dyDescent="0.45"/>
    <row r="759" hidden="1" x14ac:dyDescent="0.45"/>
    <row r="760" hidden="1" x14ac:dyDescent="0.45"/>
    <row r="761" hidden="1" x14ac:dyDescent="0.45"/>
    <row r="762" hidden="1" x14ac:dyDescent="0.45"/>
    <row r="763" hidden="1" x14ac:dyDescent="0.45"/>
    <row r="764" hidden="1" x14ac:dyDescent="0.45"/>
    <row r="765" hidden="1" x14ac:dyDescent="0.45"/>
    <row r="766" hidden="1" x14ac:dyDescent="0.45"/>
    <row r="767" hidden="1" x14ac:dyDescent="0.45"/>
    <row r="768" hidden="1" x14ac:dyDescent="0.45"/>
    <row r="769" hidden="1" x14ac:dyDescent="0.45"/>
    <row r="770" hidden="1" x14ac:dyDescent="0.45"/>
    <row r="771" hidden="1" x14ac:dyDescent="0.45"/>
    <row r="772" hidden="1" x14ac:dyDescent="0.45"/>
    <row r="773" hidden="1" x14ac:dyDescent="0.45"/>
    <row r="774" hidden="1" x14ac:dyDescent="0.45"/>
    <row r="775" hidden="1" x14ac:dyDescent="0.45"/>
    <row r="776" hidden="1" x14ac:dyDescent="0.45"/>
    <row r="777" hidden="1" x14ac:dyDescent="0.45"/>
    <row r="778" hidden="1" x14ac:dyDescent="0.45"/>
    <row r="779" hidden="1" x14ac:dyDescent="0.45"/>
    <row r="780" hidden="1" x14ac:dyDescent="0.45"/>
    <row r="781" hidden="1" x14ac:dyDescent="0.45"/>
    <row r="782" hidden="1" x14ac:dyDescent="0.45"/>
    <row r="783" hidden="1" x14ac:dyDescent="0.45"/>
    <row r="784" hidden="1" x14ac:dyDescent="0.45"/>
    <row r="785" hidden="1" x14ac:dyDescent="0.45"/>
    <row r="786" hidden="1" x14ac:dyDescent="0.45"/>
    <row r="787" hidden="1" x14ac:dyDescent="0.45"/>
    <row r="788" hidden="1" x14ac:dyDescent="0.45"/>
    <row r="789" hidden="1" x14ac:dyDescent="0.45"/>
    <row r="790" hidden="1" x14ac:dyDescent="0.45"/>
    <row r="791" hidden="1" x14ac:dyDescent="0.45"/>
    <row r="792" hidden="1" x14ac:dyDescent="0.45"/>
    <row r="793" hidden="1" x14ac:dyDescent="0.45"/>
    <row r="794" hidden="1" x14ac:dyDescent="0.45"/>
    <row r="795" hidden="1" x14ac:dyDescent="0.45"/>
    <row r="796" hidden="1" x14ac:dyDescent="0.45"/>
    <row r="797" hidden="1" x14ac:dyDescent="0.45"/>
    <row r="798" hidden="1" x14ac:dyDescent="0.45"/>
    <row r="799" hidden="1" x14ac:dyDescent="0.45"/>
    <row r="800" hidden="1" x14ac:dyDescent="0.45"/>
    <row r="801" hidden="1" x14ac:dyDescent="0.45"/>
    <row r="802" hidden="1" x14ac:dyDescent="0.45"/>
    <row r="803" hidden="1" x14ac:dyDescent="0.45"/>
    <row r="804" hidden="1" x14ac:dyDescent="0.45"/>
    <row r="805" hidden="1" x14ac:dyDescent="0.45"/>
    <row r="806" hidden="1" x14ac:dyDescent="0.45"/>
    <row r="807" hidden="1" x14ac:dyDescent="0.45"/>
    <row r="808" hidden="1" x14ac:dyDescent="0.45"/>
    <row r="809" hidden="1" x14ac:dyDescent="0.45"/>
    <row r="810" hidden="1" x14ac:dyDescent="0.45"/>
    <row r="811" hidden="1" x14ac:dyDescent="0.45"/>
    <row r="812" hidden="1" x14ac:dyDescent="0.45"/>
    <row r="813" hidden="1" x14ac:dyDescent="0.45"/>
    <row r="814" hidden="1" x14ac:dyDescent="0.45"/>
    <row r="815" hidden="1" x14ac:dyDescent="0.45"/>
    <row r="816" hidden="1" x14ac:dyDescent="0.45"/>
    <row r="817" hidden="1" x14ac:dyDescent="0.45"/>
    <row r="818" hidden="1" x14ac:dyDescent="0.45"/>
    <row r="819" hidden="1" x14ac:dyDescent="0.45"/>
    <row r="820" hidden="1" x14ac:dyDescent="0.45"/>
    <row r="821" hidden="1" x14ac:dyDescent="0.45"/>
    <row r="822" hidden="1" x14ac:dyDescent="0.45"/>
    <row r="823" hidden="1" x14ac:dyDescent="0.45"/>
    <row r="824" hidden="1" x14ac:dyDescent="0.45"/>
    <row r="825" hidden="1" x14ac:dyDescent="0.45"/>
    <row r="826" hidden="1" x14ac:dyDescent="0.45"/>
    <row r="827" hidden="1" x14ac:dyDescent="0.45"/>
    <row r="828" hidden="1" x14ac:dyDescent="0.45"/>
    <row r="829" hidden="1" x14ac:dyDescent="0.45"/>
    <row r="830" hidden="1" x14ac:dyDescent="0.45"/>
    <row r="831" hidden="1" x14ac:dyDescent="0.45"/>
    <row r="832" hidden="1" x14ac:dyDescent="0.45"/>
    <row r="833" hidden="1" x14ac:dyDescent="0.45"/>
    <row r="834" hidden="1" x14ac:dyDescent="0.45"/>
    <row r="835" hidden="1" x14ac:dyDescent="0.45"/>
    <row r="836" hidden="1" x14ac:dyDescent="0.45"/>
    <row r="837" hidden="1" x14ac:dyDescent="0.45"/>
    <row r="838" hidden="1" x14ac:dyDescent="0.45"/>
    <row r="839" hidden="1" x14ac:dyDescent="0.45"/>
    <row r="840" hidden="1" x14ac:dyDescent="0.45"/>
    <row r="841" hidden="1" x14ac:dyDescent="0.45"/>
    <row r="842" hidden="1" x14ac:dyDescent="0.45"/>
    <row r="843" hidden="1" x14ac:dyDescent="0.45"/>
    <row r="844" hidden="1" x14ac:dyDescent="0.45"/>
    <row r="845" hidden="1" x14ac:dyDescent="0.45"/>
    <row r="846" hidden="1" x14ac:dyDescent="0.45"/>
    <row r="847" hidden="1" x14ac:dyDescent="0.45"/>
    <row r="848" hidden="1" x14ac:dyDescent="0.45"/>
    <row r="849" hidden="1" x14ac:dyDescent="0.45"/>
    <row r="850" hidden="1" x14ac:dyDescent="0.45"/>
    <row r="851" hidden="1" x14ac:dyDescent="0.45"/>
    <row r="852" hidden="1" x14ac:dyDescent="0.45"/>
    <row r="853" hidden="1" x14ac:dyDescent="0.45"/>
    <row r="854" hidden="1" x14ac:dyDescent="0.45"/>
    <row r="855" hidden="1" x14ac:dyDescent="0.45"/>
    <row r="856" hidden="1" x14ac:dyDescent="0.45"/>
    <row r="857" hidden="1" x14ac:dyDescent="0.45"/>
    <row r="858" hidden="1" x14ac:dyDescent="0.45"/>
    <row r="859" hidden="1" x14ac:dyDescent="0.45"/>
    <row r="860" hidden="1" x14ac:dyDescent="0.45"/>
    <row r="861" hidden="1" x14ac:dyDescent="0.45"/>
    <row r="862" hidden="1" x14ac:dyDescent="0.45"/>
    <row r="863" hidden="1" x14ac:dyDescent="0.45"/>
    <row r="864" hidden="1" x14ac:dyDescent="0.45"/>
    <row r="865" hidden="1" x14ac:dyDescent="0.45"/>
    <row r="866" hidden="1" x14ac:dyDescent="0.45"/>
    <row r="867" hidden="1" x14ac:dyDescent="0.45"/>
    <row r="868" hidden="1" x14ac:dyDescent="0.45"/>
    <row r="869" hidden="1" x14ac:dyDescent="0.45"/>
    <row r="870" hidden="1" x14ac:dyDescent="0.45"/>
    <row r="871" hidden="1" x14ac:dyDescent="0.45"/>
    <row r="872" hidden="1" x14ac:dyDescent="0.45"/>
    <row r="873" hidden="1" x14ac:dyDescent="0.45"/>
    <row r="874" hidden="1" x14ac:dyDescent="0.45"/>
    <row r="875" hidden="1" x14ac:dyDescent="0.45"/>
    <row r="876" hidden="1" x14ac:dyDescent="0.45"/>
    <row r="877" hidden="1" x14ac:dyDescent="0.45"/>
    <row r="878" hidden="1" x14ac:dyDescent="0.45"/>
    <row r="879" hidden="1" x14ac:dyDescent="0.45"/>
    <row r="880" hidden="1" x14ac:dyDescent="0.45"/>
    <row r="881" hidden="1" x14ac:dyDescent="0.45"/>
    <row r="882" hidden="1" x14ac:dyDescent="0.45"/>
    <row r="883" hidden="1" x14ac:dyDescent="0.45"/>
    <row r="884" hidden="1" x14ac:dyDescent="0.45"/>
    <row r="885" hidden="1" x14ac:dyDescent="0.45"/>
    <row r="886" hidden="1" x14ac:dyDescent="0.45"/>
    <row r="887" hidden="1" x14ac:dyDescent="0.45"/>
    <row r="888" hidden="1" x14ac:dyDescent="0.45"/>
    <row r="889" hidden="1" x14ac:dyDescent="0.45"/>
    <row r="890" hidden="1" x14ac:dyDescent="0.45"/>
    <row r="891" hidden="1" x14ac:dyDescent="0.45"/>
    <row r="892" hidden="1" x14ac:dyDescent="0.45"/>
    <row r="893" hidden="1" x14ac:dyDescent="0.45"/>
    <row r="894" hidden="1" x14ac:dyDescent="0.45"/>
    <row r="895" hidden="1" x14ac:dyDescent="0.45"/>
    <row r="896" hidden="1" x14ac:dyDescent="0.45"/>
    <row r="897" hidden="1" x14ac:dyDescent="0.45"/>
    <row r="898" hidden="1" x14ac:dyDescent="0.45"/>
    <row r="899" hidden="1" x14ac:dyDescent="0.45"/>
    <row r="900" hidden="1" x14ac:dyDescent="0.45"/>
    <row r="901" hidden="1" x14ac:dyDescent="0.45"/>
    <row r="902" hidden="1" x14ac:dyDescent="0.45"/>
    <row r="903" hidden="1" x14ac:dyDescent="0.45"/>
    <row r="904" hidden="1" x14ac:dyDescent="0.45"/>
    <row r="905" hidden="1" x14ac:dyDescent="0.45"/>
    <row r="906" hidden="1" x14ac:dyDescent="0.45"/>
    <row r="907" hidden="1" x14ac:dyDescent="0.45"/>
    <row r="908" hidden="1" x14ac:dyDescent="0.45"/>
    <row r="909" hidden="1" x14ac:dyDescent="0.45"/>
    <row r="910" hidden="1" x14ac:dyDescent="0.45"/>
    <row r="911" hidden="1" x14ac:dyDescent="0.45"/>
    <row r="912" hidden="1" x14ac:dyDescent="0.45"/>
    <row r="913" hidden="1" x14ac:dyDescent="0.45"/>
    <row r="914" hidden="1" x14ac:dyDescent="0.45"/>
    <row r="915" hidden="1" x14ac:dyDescent="0.45"/>
    <row r="916" hidden="1" x14ac:dyDescent="0.45"/>
    <row r="917" hidden="1" x14ac:dyDescent="0.45"/>
    <row r="918" hidden="1" x14ac:dyDescent="0.45"/>
    <row r="919" hidden="1" x14ac:dyDescent="0.45"/>
    <row r="920" hidden="1" x14ac:dyDescent="0.45"/>
    <row r="921" hidden="1" x14ac:dyDescent="0.45"/>
    <row r="922" hidden="1" x14ac:dyDescent="0.45"/>
    <row r="923" hidden="1" x14ac:dyDescent="0.45"/>
    <row r="924" hidden="1" x14ac:dyDescent="0.45"/>
    <row r="925" hidden="1" x14ac:dyDescent="0.45"/>
    <row r="926" hidden="1" x14ac:dyDescent="0.45"/>
    <row r="927" hidden="1" x14ac:dyDescent="0.45"/>
    <row r="928" hidden="1" x14ac:dyDescent="0.45"/>
    <row r="929" hidden="1" x14ac:dyDescent="0.45"/>
    <row r="930" hidden="1" x14ac:dyDescent="0.45"/>
    <row r="931" hidden="1" x14ac:dyDescent="0.45"/>
    <row r="932" hidden="1" x14ac:dyDescent="0.45"/>
    <row r="933" hidden="1" x14ac:dyDescent="0.45"/>
    <row r="934" hidden="1" x14ac:dyDescent="0.45"/>
    <row r="935" hidden="1" x14ac:dyDescent="0.45"/>
    <row r="936" hidden="1" x14ac:dyDescent="0.45"/>
    <row r="937" hidden="1" x14ac:dyDescent="0.45"/>
    <row r="938" hidden="1" x14ac:dyDescent="0.45"/>
    <row r="939" hidden="1" x14ac:dyDescent="0.45"/>
    <row r="940" hidden="1" x14ac:dyDescent="0.45"/>
    <row r="941" hidden="1" x14ac:dyDescent="0.45"/>
    <row r="942" hidden="1" x14ac:dyDescent="0.45"/>
    <row r="943" hidden="1" x14ac:dyDescent="0.45"/>
    <row r="944" hidden="1" x14ac:dyDescent="0.45"/>
    <row r="945" hidden="1" x14ac:dyDescent="0.45"/>
    <row r="946" hidden="1" x14ac:dyDescent="0.45"/>
    <row r="947" hidden="1" x14ac:dyDescent="0.45"/>
    <row r="948" hidden="1" x14ac:dyDescent="0.45"/>
    <row r="949" hidden="1" x14ac:dyDescent="0.45"/>
    <row r="950" hidden="1" x14ac:dyDescent="0.45"/>
    <row r="951" hidden="1" x14ac:dyDescent="0.45"/>
    <row r="952" hidden="1" x14ac:dyDescent="0.45"/>
    <row r="953" hidden="1" x14ac:dyDescent="0.45"/>
    <row r="954" hidden="1" x14ac:dyDescent="0.45"/>
    <row r="955" hidden="1" x14ac:dyDescent="0.45"/>
    <row r="956" hidden="1" x14ac:dyDescent="0.45"/>
    <row r="957" hidden="1" x14ac:dyDescent="0.45"/>
    <row r="958" hidden="1" x14ac:dyDescent="0.45"/>
    <row r="959" hidden="1" x14ac:dyDescent="0.45"/>
    <row r="960" hidden="1" x14ac:dyDescent="0.45"/>
    <row r="961" hidden="1" x14ac:dyDescent="0.45"/>
    <row r="962" hidden="1" x14ac:dyDescent="0.45"/>
    <row r="963" hidden="1" x14ac:dyDescent="0.45"/>
    <row r="964" hidden="1" x14ac:dyDescent="0.45"/>
    <row r="965" hidden="1" x14ac:dyDescent="0.45"/>
    <row r="966" hidden="1" x14ac:dyDescent="0.45"/>
    <row r="967" hidden="1" x14ac:dyDescent="0.45"/>
    <row r="968" hidden="1" x14ac:dyDescent="0.45"/>
    <row r="969" hidden="1" x14ac:dyDescent="0.45"/>
    <row r="970" hidden="1" x14ac:dyDescent="0.45"/>
    <row r="971" hidden="1" x14ac:dyDescent="0.45"/>
    <row r="972" hidden="1" x14ac:dyDescent="0.45"/>
    <row r="973" hidden="1" x14ac:dyDescent="0.45"/>
    <row r="974" hidden="1" x14ac:dyDescent="0.45"/>
    <row r="975" hidden="1" x14ac:dyDescent="0.45"/>
    <row r="976" hidden="1" x14ac:dyDescent="0.45"/>
    <row r="977" hidden="1" x14ac:dyDescent="0.45"/>
    <row r="978" hidden="1" x14ac:dyDescent="0.45"/>
    <row r="979" hidden="1" x14ac:dyDescent="0.45"/>
    <row r="980" hidden="1" x14ac:dyDescent="0.45"/>
    <row r="981" hidden="1" x14ac:dyDescent="0.45"/>
    <row r="982" hidden="1" x14ac:dyDescent="0.45"/>
    <row r="983" hidden="1" x14ac:dyDescent="0.45"/>
    <row r="984" hidden="1" x14ac:dyDescent="0.45"/>
    <row r="985" hidden="1" x14ac:dyDescent="0.45"/>
    <row r="986" hidden="1" x14ac:dyDescent="0.45"/>
    <row r="987" hidden="1" x14ac:dyDescent="0.45"/>
    <row r="988" hidden="1" x14ac:dyDescent="0.45"/>
    <row r="989" hidden="1" x14ac:dyDescent="0.45"/>
    <row r="990" hidden="1" x14ac:dyDescent="0.45"/>
    <row r="991" hidden="1" x14ac:dyDescent="0.45"/>
    <row r="992" hidden="1" x14ac:dyDescent="0.45"/>
    <row r="993" hidden="1" x14ac:dyDescent="0.45"/>
    <row r="994" hidden="1" x14ac:dyDescent="0.45"/>
    <row r="995" hidden="1" x14ac:dyDescent="0.45"/>
    <row r="996" hidden="1" x14ac:dyDescent="0.45"/>
    <row r="997" hidden="1" x14ac:dyDescent="0.45"/>
    <row r="998" hidden="1" x14ac:dyDescent="0.45"/>
    <row r="999" hidden="1" x14ac:dyDescent="0.45"/>
    <row r="1000" hidden="1" x14ac:dyDescent="0.45"/>
    <row r="1001" hidden="1" x14ac:dyDescent="0.45"/>
    <row r="1002" hidden="1" x14ac:dyDescent="0.45"/>
    <row r="1003" hidden="1" x14ac:dyDescent="0.45"/>
    <row r="1004" hidden="1" x14ac:dyDescent="0.45"/>
    <row r="1005" hidden="1" x14ac:dyDescent="0.45"/>
    <row r="1006" hidden="1" x14ac:dyDescent="0.45"/>
    <row r="1007" hidden="1" x14ac:dyDescent="0.45"/>
    <row r="1008" hidden="1" x14ac:dyDescent="0.45"/>
    <row r="1009" hidden="1" x14ac:dyDescent="0.45"/>
    <row r="1010" hidden="1" x14ac:dyDescent="0.45"/>
    <row r="1011" hidden="1" x14ac:dyDescent="0.45"/>
    <row r="1012" hidden="1" x14ac:dyDescent="0.45"/>
    <row r="1013" hidden="1" x14ac:dyDescent="0.45"/>
    <row r="1014" hidden="1" x14ac:dyDescent="0.45"/>
    <row r="1015" hidden="1" x14ac:dyDescent="0.45"/>
    <row r="1016" hidden="1" x14ac:dyDescent="0.45"/>
    <row r="1017" hidden="1" x14ac:dyDescent="0.45"/>
    <row r="1018" hidden="1" x14ac:dyDescent="0.45"/>
    <row r="1019" hidden="1" x14ac:dyDescent="0.45"/>
    <row r="1020" hidden="1" x14ac:dyDescent="0.45"/>
    <row r="1021" hidden="1" x14ac:dyDescent="0.45"/>
    <row r="1022" hidden="1" x14ac:dyDescent="0.45"/>
    <row r="1023" hidden="1" x14ac:dyDescent="0.45"/>
    <row r="1024" hidden="1" x14ac:dyDescent="0.45"/>
    <row r="1025" hidden="1" x14ac:dyDescent="0.45"/>
    <row r="1026" hidden="1" x14ac:dyDescent="0.45"/>
    <row r="1027" hidden="1" x14ac:dyDescent="0.45"/>
    <row r="1028" hidden="1" x14ac:dyDescent="0.45"/>
    <row r="1029" hidden="1" x14ac:dyDescent="0.45"/>
    <row r="1030" hidden="1" x14ac:dyDescent="0.45"/>
    <row r="1031" hidden="1" x14ac:dyDescent="0.45"/>
    <row r="1032" hidden="1" x14ac:dyDescent="0.45"/>
    <row r="1033" hidden="1" x14ac:dyDescent="0.45"/>
    <row r="1034" hidden="1" x14ac:dyDescent="0.45"/>
    <row r="1035" hidden="1" x14ac:dyDescent="0.45"/>
    <row r="1036" hidden="1" x14ac:dyDescent="0.45"/>
    <row r="1037" hidden="1" x14ac:dyDescent="0.45"/>
    <row r="1038" hidden="1" x14ac:dyDescent="0.45"/>
    <row r="1039" hidden="1" x14ac:dyDescent="0.45"/>
    <row r="1040" hidden="1" x14ac:dyDescent="0.45"/>
    <row r="1041" hidden="1" x14ac:dyDescent="0.45"/>
    <row r="1042" hidden="1" x14ac:dyDescent="0.45"/>
    <row r="1043" hidden="1" x14ac:dyDescent="0.45"/>
    <row r="1044" hidden="1" x14ac:dyDescent="0.45"/>
    <row r="1045" hidden="1" x14ac:dyDescent="0.45"/>
    <row r="1046" hidden="1" x14ac:dyDescent="0.45"/>
    <row r="1047" hidden="1" x14ac:dyDescent="0.45"/>
    <row r="1048" hidden="1" x14ac:dyDescent="0.45"/>
    <row r="1049" hidden="1" x14ac:dyDescent="0.45"/>
    <row r="1050" hidden="1" x14ac:dyDescent="0.45"/>
    <row r="1051" hidden="1" x14ac:dyDescent="0.45"/>
    <row r="1052" hidden="1" x14ac:dyDescent="0.45"/>
    <row r="1053" hidden="1" x14ac:dyDescent="0.45"/>
    <row r="1054" hidden="1" x14ac:dyDescent="0.45"/>
    <row r="1055" hidden="1" x14ac:dyDescent="0.45"/>
    <row r="1056" hidden="1" x14ac:dyDescent="0.45"/>
    <row r="1057" hidden="1" x14ac:dyDescent="0.45"/>
    <row r="1058" hidden="1" x14ac:dyDescent="0.45"/>
    <row r="1059" hidden="1" x14ac:dyDescent="0.45"/>
    <row r="1060" hidden="1" x14ac:dyDescent="0.45"/>
    <row r="1061" hidden="1" x14ac:dyDescent="0.45"/>
    <row r="1062" hidden="1" x14ac:dyDescent="0.45"/>
    <row r="1063" hidden="1" x14ac:dyDescent="0.45"/>
    <row r="1064" hidden="1" x14ac:dyDescent="0.45"/>
    <row r="1065" hidden="1" x14ac:dyDescent="0.45"/>
    <row r="1066" hidden="1" x14ac:dyDescent="0.45"/>
    <row r="1067" hidden="1" x14ac:dyDescent="0.45"/>
    <row r="1068" hidden="1" x14ac:dyDescent="0.45"/>
    <row r="1069" hidden="1" x14ac:dyDescent="0.45"/>
    <row r="1070" hidden="1" x14ac:dyDescent="0.45"/>
    <row r="1071" hidden="1" x14ac:dyDescent="0.45"/>
    <row r="1072" hidden="1" x14ac:dyDescent="0.45"/>
    <row r="1073" hidden="1" x14ac:dyDescent="0.45"/>
    <row r="1074" hidden="1" x14ac:dyDescent="0.45"/>
    <row r="1075" hidden="1" x14ac:dyDescent="0.45"/>
    <row r="1076" hidden="1" x14ac:dyDescent="0.45"/>
    <row r="1077" hidden="1" x14ac:dyDescent="0.45"/>
    <row r="1078" hidden="1" x14ac:dyDescent="0.45"/>
    <row r="1079" hidden="1" x14ac:dyDescent="0.45"/>
    <row r="1080" hidden="1" x14ac:dyDescent="0.45"/>
    <row r="1081" hidden="1" x14ac:dyDescent="0.45"/>
    <row r="1082" hidden="1" x14ac:dyDescent="0.45"/>
    <row r="1083" hidden="1" x14ac:dyDescent="0.45"/>
    <row r="1084" hidden="1" x14ac:dyDescent="0.45"/>
    <row r="1085" hidden="1" x14ac:dyDescent="0.45"/>
    <row r="1086" hidden="1" x14ac:dyDescent="0.45"/>
    <row r="1087" hidden="1" x14ac:dyDescent="0.45"/>
    <row r="1088" hidden="1" x14ac:dyDescent="0.45"/>
    <row r="1089" hidden="1" x14ac:dyDescent="0.45"/>
    <row r="1090" hidden="1" x14ac:dyDescent="0.45"/>
    <row r="1091" hidden="1" x14ac:dyDescent="0.45"/>
    <row r="1092" hidden="1" x14ac:dyDescent="0.45"/>
    <row r="1093" hidden="1" x14ac:dyDescent="0.45"/>
    <row r="1094" hidden="1" x14ac:dyDescent="0.45"/>
    <row r="1095" hidden="1" x14ac:dyDescent="0.45"/>
    <row r="1096" hidden="1" x14ac:dyDescent="0.45"/>
    <row r="1097" hidden="1" x14ac:dyDescent="0.45"/>
    <row r="1098" hidden="1" x14ac:dyDescent="0.45"/>
    <row r="1099" hidden="1" x14ac:dyDescent="0.45"/>
    <row r="1100" hidden="1" x14ac:dyDescent="0.45"/>
    <row r="1101" hidden="1" x14ac:dyDescent="0.45"/>
    <row r="1102" hidden="1" x14ac:dyDescent="0.45"/>
    <row r="1103" hidden="1" x14ac:dyDescent="0.45"/>
    <row r="1104" hidden="1" x14ac:dyDescent="0.45"/>
    <row r="1105" hidden="1" x14ac:dyDescent="0.45"/>
    <row r="1106" hidden="1" x14ac:dyDescent="0.45"/>
    <row r="1107" hidden="1" x14ac:dyDescent="0.45"/>
    <row r="1108" hidden="1" x14ac:dyDescent="0.45"/>
    <row r="1109" hidden="1" x14ac:dyDescent="0.45"/>
    <row r="1110" hidden="1" x14ac:dyDescent="0.45"/>
    <row r="1111" hidden="1" x14ac:dyDescent="0.45"/>
    <row r="1112" hidden="1" x14ac:dyDescent="0.45"/>
    <row r="1113" hidden="1" x14ac:dyDescent="0.45"/>
    <row r="1114" hidden="1" x14ac:dyDescent="0.45"/>
    <row r="1115" hidden="1" x14ac:dyDescent="0.45"/>
    <row r="1116" hidden="1" x14ac:dyDescent="0.45"/>
    <row r="1117" hidden="1" x14ac:dyDescent="0.45"/>
    <row r="1118" hidden="1" x14ac:dyDescent="0.45"/>
    <row r="1119" hidden="1" x14ac:dyDescent="0.45"/>
    <row r="1120" hidden="1" x14ac:dyDescent="0.45"/>
    <row r="1121" hidden="1" x14ac:dyDescent="0.45"/>
    <row r="1122" hidden="1" x14ac:dyDescent="0.45"/>
    <row r="1123" hidden="1" x14ac:dyDescent="0.45"/>
    <row r="1124" hidden="1" x14ac:dyDescent="0.45"/>
    <row r="1125" hidden="1" x14ac:dyDescent="0.45"/>
    <row r="1126" hidden="1" x14ac:dyDescent="0.45"/>
    <row r="1127" hidden="1" x14ac:dyDescent="0.45"/>
    <row r="1128" hidden="1" x14ac:dyDescent="0.45"/>
    <row r="1129" hidden="1" x14ac:dyDescent="0.45"/>
    <row r="1130" hidden="1" x14ac:dyDescent="0.45"/>
    <row r="1131" hidden="1" x14ac:dyDescent="0.45"/>
    <row r="1132" hidden="1" x14ac:dyDescent="0.45"/>
    <row r="1133" hidden="1" x14ac:dyDescent="0.45"/>
    <row r="1134" hidden="1" x14ac:dyDescent="0.45"/>
    <row r="1135" hidden="1" x14ac:dyDescent="0.45"/>
    <row r="1136" hidden="1" x14ac:dyDescent="0.45"/>
    <row r="1137" hidden="1" x14ac:dyDescent="0.45"/>
    <row r="1138" hidden="1" x14ac:dyDescent="0.45"/>
    <row r="1139" hidden="1" x14ac:dyDescent="0.45"/>
    <row r="1140" hidden="1" x14ac:dyDescent="0.45"/>
    <row r="1141" hidden="1" x14ac:dyDescent="0.45"/>
    <row r="1142" hidden="1" x14ac:dyDescent="0.45"/>
    <row r="1143" hidden="1" x14ac:dyDescent="0.45"/>
    <row r="1144" hidden="1" x14ac:dyDescent="0.45"/>
    <row r="1145" hidden="1" x14ac:dyDescent="0.45"/>
    <row r="1146" hidden="1" x14ac:dyDescent="0.45"/>
    <row r="1147" hidden="1" x14ac:dyDescent="0.45"/>
    <row r="1148" hidden="1" x14ac:dyDescent="0.45"/>
    <row r="1149" hidden="1" x14ac:dyDescent="0.45"/>
    <row r="1150" hidden="1" x14ac:dyDescent="0.45"/>
    <row r="1151" hidden="1" x14ac:dyDescent="0.45"/>
    <row r="1152" hidden="1" x14ac:dyDescent="0.45"/>
    <row r="1153" hidden="1" x14ac:dyDescent="0.45"/>
    <row r="1154" hidden="1" x14ac:dyDescent="0.45"/>
    <row r="1155" hidden="1" x14ac:dyDescent="0.45"/>
    <row r="1156" hidden="1" x14ac:dyDescent="0.45"/>
    <row r="1157" hidden="1" x14ac:dyDescent="0.45"/>
    <row r="1158" hidden="1" x14ac:dyDescent="0.45"/>
    <row r="1159" hidden="1" x14ac:dyDescent="0.45"/>
    <row r="1160" hidden="1" x14ac:dyDescent="0.45"/>
    <row r="1161" hidden="1" x14ac:dyDescent="0.45"/>
    <row r="1162" hidden="1" x14ac:dyDescent="0.45"/>
    <row r="1163" hidden="1" x14ac:dyDescent="0.45"/>
    <row r="1164" hidden="1" x14ac:dyDescent="0.45"/>
    <row r="1165" hidden="1" x14ac:dyDescent="0.45"/>
    <row r="1166" hidden="1" x14ac:dyDescent="0.45"/>
    <row r="1167" hidden="1" x14ac:dyDescent="0.45"/>
    <row r="1168" hidden="1" x14ac:dyDescent="0.45"/>
    <row r="1169" hidden="1" x14ac:dyDescent="0.45"/>
    <row r="1170" hidden="1" x14ac:dyDescent="0.45"/>
    <row r="1171" hidden="1" x14ac:dyDescent="0.45"/>
    <row r="1172" hidden="1" x14ac:dyDescent="0.45"/>
    <row r="1173" hidden="1" x14ac:dyDescent="0.45"/>
    <row r="1174" hidden="1" x14ac:dyDescent="0.45"/>
    <row r="1175" hidden="1" x14ac:dyDescent="0.45"/>
    <row r="1176" hidden="1" x14ac:dyDescent="0.45"/>
    <row r="1177" hidden="1" x14ac:dyDescent="0.45"/>
    <row r="1178" hidden="1" x14ac:dyDescent="0.45"/>
    <row r="1179" hidden="1" x14ac:dyDescent="0.45"/>
    <row r="1180" hidden="1" x14ac:dyDescent="0.45"/>
    <row r="1181" hidden="1" x14ac:dyDescent="0.45"/>
    <row r="1182" hidden="1" x14ac:dyDescent="0.45"/>
    <row r="1183" hidden="1" x14ac:dyDescent="0.45"/>
    <row r="1184" hidden="1" x14ac:dyDescent="0.45"/>
    <row r="1185" hidden="1" x14ac:dyDescent="0.45"/>
    <row r="1186" hidden="1" x14ac:dyDescent="0.45"/>
    <row r="1187" hidden="1" x14ac:dyDescent="0.45"/>
    <row r="1188" hidden="1" x14ac:dyDescent="0.45"/>
    <row r="1189" hidden="1" x14ac:dyDescent="0.45"/>
    <row r="1190" hidden="1" x14ac:dyDescent="0.45"/>
    <row r="1191" hidden="1" x14ac:dyDescent="0.45"/>
    <row r="1192" hidden="1" x14ac:dyDescent="0.45"/>
    <row r="1193" hidden="1" x14ac:dyDescent="0.45"/>
    <row r="1194" hidden="1" x14ac:dyDescent="0.45"/>
    <row r="1195" hidden="1" x14ac:dyDescent="0.45"/>
    <row r="1196" hidden="1" x14ac:dyDescent="0.45"/>
    <row r="1197" hidden="1" x14ac:dyDescent="0.45"/>
    <row r="1198" hidden="1" x14ac:dyDescent="0.45"/>
    <row r="1199" hidden="1" x14ac:dyDescent="0.45"/>
    <row r="1200" hidden="1" x14ac:dyDescent="0.45"/>
    <row r="1201" hidden="1" x14ac:dyDescent="0.45"/>
    <row r="1202" hidden="1" x14ac:dyDescent="0.45"/>
    <row r="1203" hidden="1" x14ac:dyDescent="0.45"/>
    <row r="1204" hidden="1" x14ac:dyDescent="0.45"/>
    <row r="1205" hidden="1" x14ac:dyDescent="0.45"/>
    <row r="1206" hidden="1" x14ac:dyDescent="0.45"/>
    <row r="1207" hidden="1" x14ac:dyDescent="0.45"/>
    <row r="1208" hidden="1" x14ac:dyDescent="0.45"/>
    <row r="1209" hidden="1" x14ac:dyDescent="0.45"/>
    <row r="1210" hidden="1" x14ac:dyDescent="0.45"/>
    <row r="1211" hidden="1" x14ac:dyDescent="0.45"/>
    <row r="1212" hidden="1" x14ac:dyDescent="0.45"/>
    <row r="1213" hidden="1" x14ac:dyDescent="0.45"/>
    <row r="1214" hidden="1" x14ac:dyDescent="0.45"/>
    <row r="1215" hidden="1" x14ac:dyDescent="0.45"/>
    <row r="1216" hidden="1" x14ac:dyDescent="0.45"/>
    <row r="1217" hidden="1" x14ac:dyDescent="0.45"/>
    <row r="1218" hidden="1" x14ac:dyDescent="0.45"/>
    <row r="1219" hidden="1" x14ac:dyDescent="0.45"/>
    <row r="1220" hidden="1" x14ac:dyDescent="0.45"/>
    <row r="1221" hidden="1" x14ac:dyDescent="0.45"/>
    <row r="1222" hidden="1" x14ac:dyDescent="0.45"/>
    <row r="1223" hidden="1" x14ac:dyDescent="0.45"/>
    <row r="1224" hidden="1" x14ac:dyDescent="0.45"/>
    <row r="1225" hidden="1" x14ac:dyDescent="0.45"/>
    <row r="1226" hidden="1" x14ac:dyDescent="0.45"/>
    <row r="1227" hidden="1" x14ac:dyDescent="0.45"/>
    <row r="1228" hidden="1" x14ac:dyDescent="0.45"/>
    <row r="1229" hidden="1" x14ac:dyDescent="0.45"/>
    <row r="1230" hidden="1" x14ac:dyDescent="0.45"/>
    <row r="1231" hidden="1" x14ac:dyDescent="0.45"/>
    <row r="1232" hidden="1" x14ac:dyDescent="0.45"/>
    <row r="1233" hidden="1" x14ac:dyDescent="0.45"/>
    <row r="1234" hidden="1" x14ac:dyDescent="0.45"/>
    <row r="1235" hidden="1" x14ac:dyDescent="0.45"/>
    <row r="1236" hidden="1" x14ac:dyDescent="0.45"/>
    <row r="1237" hidden="1" x14ac:dyDescent="0.45"/>
    <row r="1238" hidden="1" x14ac:dyDescent="0.45"/>
    <row r="1239" hidden="1" x14ac:dyDescent="0.45"/>
    <row r="1240" hidden="1" x14ac:dyDescent="0.45"/>
    <row r="1241" hidden="1" x14ac:dyDescent="0.45"/>
    <row r="1242" hidden="1" x14ac:dyDescent="0.45"/>
    <row r="1243" hidden="1" x14ac:dyDescent="0.45"/>
    <row r="1244" hidden="1" x14ac:dyDescent="0.45"/>
    <row r="1245" hidden="1" x14ac:dyDescent="0.45"/>
    <row r="1246" hidden="1" x14ac:dyDescent="0.45"/>
    <row r="1247" hidden="1" x14ac:dyDescent="0.45"/>
    <row r="1248" hidden="1" x14ac:dyDescent="0.45"/>
    <row r="1249" hidden="1" x14ac:dyDescent="0.45"/>
    <row r="1250" hidden="1" x14ac:dyDescent="0.45"/>
    <row r="1251" hidden="1" x14ac:dyDescent="0.45"/>
    <row r="1252" hidden="1" x14ac:dyDescent="0.45"/>
    <row r="1253" hidden="1" x14ac:dyDescent="0.45"/>
    <row r="1254" hidden="1" x14ac:dyDescent="0.45"/>
    <row r="1255" hidden="1" x14ac:dyDescent="0.45"/>
    <row r="1256" hidden="1" x14ac:dyDescent="0.45"/>
    <row r="1257" hidden="1" x14ac:dyDescent="0.45"/>
    <row r="1258" hidden="1" x14ac:dyDescent="0.45"/>
    <row r="1259" hidden="1" x14ac:dyDescent="0.45"/>
    <row r="1260" hidden="1" x14ac:dyDescent="0.45"/>
    <row r="1261" hidden="1" x14ac:dyDescent="0.45"/>
    <row r="1262" hidden="1" x14ac:dyDescent="0.45"/>
    <row r="1263" hidden="1" x14ac:dyDescent="0.45"/>
    <row r="1264" hidden="1" x14ac:dyDescent="0.45"/>
    <row r="1265" hidden="1" x14ac:dyDescent="0.45"/>
    <row r="1266" hidden="1" x14ac:dyDescent="0.45"/>
    <row r="1267" hidden="1" x14ac:dyDescent="0.45"/>
    <row r="1268" hidden="1" x14ac:dyDescent="0.45"/>
    <row r="1269" hidden="1" x14ac:dyDescent="0.45"/>
    <row r="1270" hidden="1" x14ac:dyDescent="0.45"/>
    <row r="1271" hidden="1" x14ac:dyDescent="0.45"/>
    <row r="1272" hidden="1" x14ac:dyDescent="0.45"/>
    <row r="1273" hidden="1" x14ac:dyDescent="0.45"/>
    <row r="1274" hidden="1" x14ac:dyDescent="0.45"/>
    <row r="1275" hidden="1" x14ac:dyDescent="0.45"/>
    <row r="1276" hidden="1" x14ac:dyDescent="0.45"/>
    <row r="1277" hidden="1" x14ac:dyDescent="0.45"/>
    <row r="1278" hidden="1" x14ac:dyDescent="0.45"/>
    <row r="1279" hidden="1" x14ac:dyDescent="0.45"/>
    <row r="1280" hidden="1" x14ac:dyDescent="0.45"/>
    <row r="1281" hidden="1" x14ac:dyDescent="0.45"/>
    <row r="1282" hidden="1" x14ac:dyDescent="0.45"/>
    <row r="1283" hidden="1" x14ac:dyDescent="0.45"/>
    <row r="1284" hidden="1" x14ac:dyDescent="0.45"/>
    <row r="1285" hidden="1" x14ac:dyDescent="0.45"/>
    <row r="1286" hidden="1" x14ac:dyDescent="0.45"/>
    <row r="1287" hidden="1" x14ac:dyDescent="0.45"/>
    <row r="1288" hidden="1" x14ac:dyDescent="0.45"/>
    <row r="1289" hidden="1" x14ac:dyDescent="0.45"/>
    <row r="1290" hidden="1" x14ac:dyDescent="0.45"/>
    <row r="1291" hidden="1" x14ac:dyDescent="0.45"/>
    <row r="1292" hidden="1" x14ac:dyDescent="0.45"/>
    <row r="1293" hidden="1" x14ac:dyDescent="0.45"/>
    <row r="1294" hidden="1" x14ac:dyDescent="0.45"/>
    <row r="1295" hidden="1" x14ac:dyDescent="0.45"/>
    <row r="1296" hidden="1" x14ac:dyDescent="0.45"/>
    <row r="1297" hidden="1" x14ac:dyDescent="0.45"/>
    <row r="1298" hidden="1" x14ac:dyDescent="0.45"/>
    <row r="1299" hidden="1" x14ac:dyDescent="0.45"/>
    <row r="1300" hidden="1" x14ac:dyDescent="0.45"/>
    <row r="1301" hidden="1" x14ac:dyDescent="0.45"/>
    <row r="1302" hidden="1" x14ac:dyDescent="0.45"/>
    <row r="1303" hidden="1" x14ac:dyDescent="0.45"/>
    <row r="1304" hidden="1" x14ac:dyDescent="0.45"/>
    <row r="1305" hidden="1" x14ac:dyDescent="0.45"/>
    <row r="1306" hidden="1" x14ac:dyDescent="0.45"/>
    <row r="1307" hidden="1" x14ac:dyDescent="0.45"/>
    <row r="1308" hidden="1" x14ac:dyDescent="0.45"/>
    <row r="1309" hidden="1" x14ac:dyDescent="0.45"/>
    <row r="1310" hidden="1" x14ac:dyDescent="0.45"/>
    <row r="1311" hidden="1" x14ac:dyDescent="0.45"/>
    <row r="1312" hidden="1" x14ac:dyDescent="0.45"/>
    <row r="1313" hidden="1" x14ac:dyDescent="0.45"/>
    <row r="1314" hidden="1" x14ac:dyDescent="0.45"/>
    <row r="1315" hidden="1" x14ac:dyDescent="0.45"/>
    <row r="1316" hidden="1" x14ac:dyDescent="0.45"/>
    <row r="1317" hidden="1" x14ac:dyDescent="0.45"/>
    <row r="1318" hidden="1" x14ac:dyDescent="0.45"/>
    <row r="1319" hidden="1" x14ac:dyDescent="0.45"/>
    <row r="1320" hidden="1" x14ac:dyDescent="0.45"/>
    <row r="1321" hidden="1" x14ac:dyDescent="0.45"/>
    <row r="1322" hidden="1" x14ac:dyDescent="0.45"/>
    <row r="1323" hidden="1" x14ac:dyDescent="0.45"/>
    <row r="1324" hidden="1" x14ac:dyDescent="0.45"/>
    <row r="1325" hidden="1" x14ac:dyDescent="0.45"/>
    <row r="1326" hidden="1" x14ac:dyDescent="0.45"/>
    <row r="1327" hidden="1" x14ac:dyDescent="0.45"/>
    <row r="1328" hidden="1" x14ac:dyDescent="0.45"/>
    <row r="1329" hidden="1" x14ac:dyDescent="0.45"/>
    <row r="1330" hidden="1" x14ac:dyDescent="0.45"/>
    <row r="1331" hidden="1" x14ac:dyDescent="0.45"/>
    <row r="1332" hidden="1" x14ac:dyDescent="0.45"/>
    <row r="1333" hidden="1" x14ac:dyDescent="0.45"/>
    <row r="1334" hidden="1" x14ac:dyDescent="0.45"/>
    <row r="1335" hidden="1" x14ac:dyDescent="0.45"/>
    <row r="1336" hidden="1" x14ac:dyDescent="0.45"/>
    <row r="1337" hidden="1" x14ac:dyDescent="0.45"/>
    <row r="1338" hidden="1" x14ac:dyDescent="0.45"/>
    <row r="1339" hidden="1" x14ac:dyDescent="0.45"/>
    <row r="1340" hidden="1" x14ac:dyDescent="0.45"/>
    <row r="1341" hidden="1" x14ac:dyDescent="0.45"/>
    <row r="1342" hidden="1" x14ac:dyDescent="0.45"/>
    <row r="1343" hidden="1" x14ac:dyDescent="0.45"/>
    <row r="1344" hidden="1" x14ac:dyDescent="0.45"/>
    <row r="1345" hidden="1" x14ac:dyDescent="0.45"/>
    <row r="1346" hidden="1" x14ac:dyDescent="0.45"/>
    <row r="1347" hidden="1" x14ac:dyDescent="0.45"/>
    <row r="1348" hidden="1" x14ac:dyDescent="0.45"/>
    <row r="1349" hidden="1" x14ac:dyDescent="0.45"/>
    <row r="1350" hidden="1" x14ac:dyDescent="0.45"/>
    <row r="1351" hidden="1" x14ac:dyDescent="0.45"/>
    <row r="1352" hidden="1" x14ac:dyDescent="0.45"/>
    <row r="1353" hidden="1" x14ac:dyDescent="0.45"/>
    <row r="1354" hidden="1" x14ac:dyDescent="0.45"/>
    <row r="1355" hidden="1" x14ac:dyDescent="0.45"/>
    <row r="1356" hidden="1" x14ac:dyDescent="0.45"/>
    <row r="1357" hidden="1" x14ac:dyDescent="0.45"/>
    <row r="1358" hidden="1" x14ac:dyDescent="0.45"/>
    <row r="1359" hidden="1" x14ac:dyDescent="0.45"/>
    <row r="1360" hidden="1" x14ac:dyDescent="0.45"/>
    <row r="1361" hidden="1" x14ac:dyDescent="0.45"/>
    <row r="1362" hidden="1" x14ac:dyDescent="0.45"/>
    <row r="1363" hidden="1" x14ac:dyDescent="0.45"/>
    <row r="1364" hidden="1" x14ac:dyDescent="0.45"/>
    <row r="1365" hidden="1" x14ac:dyDescent="0.45"/>
    <row r="1366" hidden="1" x14ac:dyDescent="0.45"/>
    <row r="1367" hidden="1" x14ac:dyDescent="0.45"/>
    <row r="1368" hidden="1" x14ac:dyDescent="0.45"/>
    <row r="1369" hidden="1" x14ac:dyDescent="0.45"/>
    <row r="1370" hidden="1" x14ac:dyDescent="0.45"/>
    <row r="1371" hidden="1" x14ac:dyDescent="0.45"/>
    <row r="1372" hidden="1" x14ac:dyDescent="0.45"/>
    <row r="1373" hidden="1" x14ac:dyDescent="0.45"/>
    <row r="1374" hidden="1" x14ac:dyDescent="0.45"/>
    <row r="1375" hidden="1" x14ac:dyDescent="0.45"/>
    <row r="1376" hidden="1" x14ac:dyDescent="0.45"/>
    <row r="1377" hidden="1" x14ac:dyDescent="0.45"/>
    <row r="1378" hidden="1" x14ac:dyDescent="0.45"/>
    <row r="1379" hidden="1" x14ac:dyDescent="0.45"/>
    <row r="1380" hidden="1" x14ac:dyDescent="0.45"/>
    <row r="1381" hidden="1" x14ac:dyDescent="0.45"/>
    <row r="1382" hidden="1" x14ac:dyDescent="0.45"/>
    <row r="1383" hidden="1" x14ac:dyDescent="0.45"/>
    <row r="1384" hidden="1" x14ac:dyDescent="0.45"/>
    <row r="1385" hidden="1" x14ac:dyDescent="0.45"/>
    <row r="1386" hidden="1" x14ac:dyDescent="0.45"/>
    <row r="1387" hidden="1" x14ac:dyDescent="0.45"/>
    <row r="1388" hidden="1" x14ac:dyDescent="0.45"/>
    <row r="1389" hidden="1" x14ac:dyDescent="0.45"/>
    <row r="1390" hidden="1" x14ac:dyDescent="0.45"/>
    <row r="1391" hidden="1" x14ac:dyDescent="0.45"/>
    <row r="1392" hidden="1" x14ac:dyDescent="0.45"/>
    <row r="1393" hidden="1" x14ac:dyDescent="0.45"/>
    <row r="1394" hidden="1" x14ac:dyDescent="0.45"/>
    <row r="1395" hidden="1" x14ac:dyDescent="0.45"/>
    <row r="1396" hidden="1" x14ac:dyDescent="0.45"/>
    <row r="1397" hidden="1" x14ac:dyDescent="0.45"/>
    <row r="1398" hidden="1" x14ac:dyDescent="0.45"/>
    <row r="1399" hidden="1" x14ac:dyDescent="0.45"/>
    <row r="1400" hidden="1" x14ac:dyDescent="0.45"/>
    <row r="1401" hidden="1" x14ac:dyDescent="0.45"/>
    <row r="1402" hidden="1" x14ac:dyDescent="0.45"/>
    <row r="1403" hidden="1" x14ac:dyDescent="0.45"/>
    <row r="1404" hidden="1" x14ac:dyDescent="0.45"/>
    <row r="1405" hidden="1" x14ac:dyDescent="0.45"/>
    <row r="1406" hidden="1" x14ac:dyDescent="0.45"/>
    <row r="1407" hidden="1" x14ac:dyDescent="0.45"/>
    <row r="1408" hidden="1" x14ac:dyDescent="0.45"/>
    <row r="1409" hidden="1" x14ac:dyDescent="0.45"/>
    <row r="1410" hidden="1" x14ac:dyDescent="0.45"/>
    <row r="1411" hidden="1" x14ac:dyDescent="0.45"/>
    <row r="1412" hidden="1" x14ac:dyDescent="0.45"/>
    <row r="1413" hidden="1" x14ac:dyDescent="0.45"/>
    <row r="1414" hidden="1" x14ac:dyDescent="0.45"/>
    <row r="1415" hidden="1" x14ac:dyDescent="0.45"/>
    <row r="1416" hidden="1" x14ac:dyDescent="0.45"/>
    <row r="1417" hidden="1" x14ac:dyDescent="0.45"/>
    <row r="1418" hidden="1" x14ac:dyDescent="0.45"/>
    <row r="1419" hidden="1" x14ac:dyDescent="0.45"/>
    <row r="1420" hidden="1" x14ac:dyDescent="0.45"/>
    <row r="1421" hidden="1" x14ac:dyDescent="0.45"/>
    <row r="1422" hidden="1" x14ac:dyDescent="0.45"/>
    <row r="1423" hidden="1" x14ac:dyDescent="0.45"/>
    <row r="1424" hidden="1" x14ac:dyDescent="0.45"/>
    <row r="1425" hidden="1" x14ac:dyDescent="0.45"/>
    <row r="1426" hidden="1" x14ac:dyDescent="0.45"/>
    <row r="1427" hidden="1" x14ac:dyDescent="0.45"/>
    <row r="1428" hidden="1" x14ac:dyDescent="0.45"/>
    <row r="1429" hidden="1" x14ac:dyDescent="0.45"/>
    <row r="1430" hidden="1" x14ac:dyDescent="0.45"/>
    <row r="1431" hidden="1" x14ac:dyDescent="0.45"/>
    <row r="1432" hidden="1" x14ac:dyDescent="0.45"/>
    <row r="1433" hidden="1" x14ac:dyDescent="0.45"/>
    <row r="1434" hidden="1" x14ac:dyDescent="0.45"/>
    <row r="1435" hidden="1" x14ac:dyDescent="0.45"/>
    <row r="1436" hidden="1" x14ac:dyDescent="0.45"/>
    <row r="1437" hidden="1" x14ac:dyDescent="0.45"/>
    <row r="1438" hidden="1" x14ac:dyDescent="0.45"/>
    <row r="1439" hidden="1" x14ac:dyDescent="0.45"/>
    <row r="1440" hidden="1" x14ac:dyDescent="0.45"/>
    <row r="1441" hidden="1" x14ac:dyDescent="0.45"/>
    <row r="1442" hidden="1" x14ac:dyDescent="0.45"/>
    <row r="1443" hidden="1" x14ac:dyDescent="0.45"/>
    <row r="1444" hidden="1" x14ac:dyDescent="0.45"/>
    <row r="1445" hidden="1" x14ac:dyDescent="0.45"/>
    <row r="1446" hidden="1" x14ac:dyDescent="0.45"/>
    <row r="1447" hidden="1" x14ac:dyDescent="0.45"/>
    <row r="1448" hidden="1" x14ac:dyDescent="0.45"/>
    <row r="1449" hidden="1" x14ac:dyDescent="0.45"/>
    <row r="1450" hidden="1" x14ac:dyDescent="0.45"/>
    <row r="1451" hidden="1" x14ac:dyDescent="0.45"/>
    <row r="1452" hidden="1" x14ac:dyDescent="0.45"/>
    <row r="1453" hidden="1" x14ac:dyDescent="0.45"/>
    <row r="1454" hidden="1" x14ac:dyDescent="0.45"/>
    <row r="1455" hidden="1" x14ac:dyDescent="0.45"/>
    <row r="1456" hidden="1" x14ac:dyDescent="0.45"/>
    <row r="1457" hidden="1" x14ac:dyDescent="0.45"/>
    <row r="1458" hidden="1" x14ac:dyDescent="0.45"/>
    <row r="1459" hidden="1" x14ac:dyDescent="0.45"/>
    <row r="1460" hidden="1" x14ac:dyDescent="0.45"/>
    <row r="1461" hidden="1" x14ac:dyDescent="0.45"/>
    <row r="1462" hidden="1" x14ac:dyDescent="0.45"/>
    <row r="1463" hidden="1" x14ac:dyDescent="0.45"/>
    <row r="1464" hidden="1" x14ac:dyDescent="0.45"/>
    <row r="1465" hidden="1" x14ac:dyDescent="0.45"/>
    <row r="1466" hidden="1" x14ac:dyDescent="0.45"/>
    <row r="1467" hidden="1" x14ac:dyDescent="0.45"/>
    <row r="1468" hidden="1" x14ac:dyDescent="0.45"/>
    <row r="1469" hidden="1" x14ac:dyDescent="0.45"/>
    <row r="1470" hidden="1" x14ac:dyDescent="0.45"/>
    <row r="1471" hidden="1" x14ac:dyDescent="0.45"/>
    <row r="1472" hidden="1" x14ac:dyDescent="0.45"/>
    <row r="1473" hidden="1" x14ac:dyDescent="0.45"/>
    <row r="1474" hidden="1" x14ac:dyDescent="0.45"/>
    <row r="1475" hidden="1" x14ac:dyDescent="0.45"/>
    <row r="1476" hidden="1" x14ac:dyDescent="0.45"/>
    <row r="1477" hidden="1" x14ac:dyDescent="0.45"/>
    <row r="1478" hidden="1" x14ac:dyDescent="0.45"/>
    <row r="1479" hidden="1" x14ac:dyDescent="0.45"/>
    <row r="1480" hidden="1" x14ac:dyDescent="0.45"/>
    <row r="1481" hidden="1" x14ac:dyDescent="0.45"/>
    <row r="1482" hidden="1" x14ac:dyDescent="0.45"/>
    <row r="1483" hidden="1" x14ac:dyDescent="0.45"/>
    <row r="1484" hidden="1" x14ac:dyDescent="0.45"/>
    <row r="1485" hidden="1" x14ac:dyDescent="0.45"/>
    <row r="1486" hidden="1" x14ac:dyDescent="0.45"/>
    <row r="1487" hidden="1" x14ac:dyDescent="0.45"/>
    <row r="1488" hidden="1" x14ac:dyDescent="0.45"/>
    <row r="1489" hidden="1" x14ac:dyDescent="0.45"/>
    <row r="1490" hidden="1" x14ac:dyDescent="0.45"/>
    <row r="1491" hidden="1" x14ac:dyDescent="0.45"/>
    <row r="1492" hidden="1" x14ac:dyDescent="0.45"/>
    <row r="1493" hidden="1" x14ac:dyDescent="0.45"/>
    <row r="1494" hidden="1" x14ac:dyDescent="0.45"/>
    <row r="1495" hidden="1" x14ac:dyDescent="0.45"/>
    <row r="1496" hidden="1" x14ac:dyDescent="0.45"/>
    <row r="1497" hidden="1" x14ac:dyDescent="0.45"/>
    <row r="1498" hidden="1" x14ac:dyDescent="0.45"/>
    <row r="1499" hidden="1" x14ac:dyDescent="0.45"/>
    <row r="1500" hidden="1" x14ac:dyDescent="0.45"/>
    <row r="1501" hidden="1" x14ac:dyDescent="0.45"/>
    <row r="1502" hidden="1" x14ac:dyDescent="0.45"/>
    <row r="1503" hidden="1" x14ac:dyDescent="0.45"/>
    <row r="1504" hidden="1" x14ac:dyDescent="0.45"/>
    <row r="1505" hidden="1" x14ac:dyDescent="0.45"/>
    <row r="1506" hidden="1" x14ac:dyDescent="0.45"/>
    <row r="1507" hidden="1" x14ac:dyDescent="0.45"/>
    <row r="1508" hidden="1" x14ac:dyDescent="0.45"/>
    <row r="1509" hidden="1" x14ac:dyDescent="0.45"/>
    <row r="1510" hidden="1" x14ac:dyDescent="0.45"/>
    <row r="1511" hidden="1" x14ac:dyDescent="0.45"/>
    <row r="1512" hidden="1" x14ac:dyDescent="0.45"/>
    <row r="1513" hidden="1" x14ac:dyDescent="0.45"/>
    <row r="1514" hidden="1" x14ac:dyDescent="0.45"/>
    <row r="1515" hidden="1" x14ac:dyDescent="0.45"/>
    <row r="1516" hidden="1" x14ac:dyDescent="0.45"/>
    <row r="1517" hidden="1" x14ac:dyDescent="0.45"/>
    <row r="1518" hidden="1" x14ac:dyDescent="0.45"/>
    <row r="1519" hidden="1" x14ac:dyDescent="0.45"/>
    <row r="1520" hidden="1" x14ac:dyDescent="0.45"/>
    <row r="1521" hidden="1" x14ac:dyDescent="0.45"/>
    <row r="1522" hidden="1" x14ac:dyDescent="0.45"/>
    <row r="1523" hidden="1" x14ac:dyDescent="0.45"/>
    <row r="1524" hidden="1" x14ac:dyDescent="0.45"/>
    <row r="1525" hidden="1" x14ac:dyDescent="0.45"/>
    <row r="1526" hidden="1" x14ac:dyDescent="0.45"/>
    <row r="1527" hidden="1" x14ac:dyDescent="0.45"/>
    <row r="1528" hidden="1" x14ac:dyDescent="0.45"/>
    <row r="1529" hidden="1" x14ac:dyDescent="0.45"/>
    <row r="1530" hidden="1" x14ac:dyDescent="0.45"/>
    <row r="1531" hidden="1" x14ac:dyDescent="0.45"/>
    <row r="1532" hidden="1" x14ac:dyDescent="0.45"/>
    <row r="1533" hidden="1" x14ac:dyDescent="0.45"/>
    <row r="1534" hidden="1" x14ac:dyDescent="0.45"/>
    <row r="1535" hidden="1" x14ac:dyDescent="0.45"/>
    <row r="1536" hidden="1" x14ac:dyDescent="0.45"/>
    <row r="1537" hidden="1" x14ac:dyDescent="0.45"/>
    <row r="1538" hidden="1" x14ac:dyDescent="0.45"/>
    <row r="1539" hidden="1" x14ac:dyDescent="0.45"/>
    <row r="1540" hidden="1" x14ac:dyDescent="0.45"/>
    <row r="1541" hidden="1" x14ac:dyDescent="0.45"/>
    <row r="1542" hidden="1" x14ac:dyDescent="0.45"/>
    <row r="1543" hidden="1" x14ac:dyDescent="0.45"/>
    <row r="1544" hidden="1" x14ac:dyDescent="0.45"/>
    <row r="1545" hidden="1" x14ac:dyDescent="0.45"/>
    <row r="1546" hidden="1" x14ac:dyDescent="0.45"/>
    <row r="1547" hidden="1" x14ac:dyDescent="0.45"/>
    <row r="1548" hidden="1" x14ac:dyDescent="0.45"/>
    <row r="1549" hidden="1" x14ac:dyDescent="0.45"/>
    <row r="1550" hidden="1" x14ac:dyDescent="0.45"/>
    <row r="1551" hidden="1" x14ac:dyDescent="0.45"/>
    <row r="1552" hidden="1" x14ac:dyDescent="0.45"/>
    <row r="1553" hidden="1" x14ac:dyDescent="0.45"/>
    <row r="1554" hidden="1" x14ac:dyDescent="0.45"/>
    <row r="1555" hidden="1" x14ac:dyDescent="0.45"/>
    <row r="1556" hidden="1" x14ac:dyDescent="0.45"/>
    <row r="1557" hidden="1" x14ac:dyDescent="0.45"/>
    <row r="1558" hidden="1" x14ac:dyDescent="0.45"/>
    <row r="1559" hidden="1" x14ac:dyDescent="0.45"/>
    <row r="1560" hidden="1" x14ac:dyDescent="0.45"/>
    <row r="1561" hidden="1" x14ac:dyDescent="0.45"/>
    <row r="1562" hidden="1" x14ac:dyDescent="0.45"/>
    <row r="1563" hidden="1" x14ac:dyDescent="0.45"/>
    <row r="1564" hidden="1" x14ac:dyDescent="0.45"/>
    <row r="1565" hidden="1" x14ac:dyDescent="0.45"/>
    <row r="1566" hidden="1" x14ac:dyDescent="0.45"/>
    <row r="1567" hidden="1" x14ac:dyDescent="0.45"/>
    <row r="1568" hidden="1" x14ac:dyDescent="0.45"/>
    <row r="1569" hidden="1" x14ac:dyDescent="0.45"/>
    <row r="1570" hidden="1" x14ac:dyDescent="0.45"/>
    <row r="1571" hidden="1" x14ac:dyDescent="0.45"/>
    <row r="1572" hidden="1" x14ac:dyDescent="0.45"/>
    <row r="1573" hidden="1" x14ac:dyDescent="0.45"/>
    <row r="1574" hidden="1" x14ac:dyDescent="0.45"/>
    <row r="1575" hidden="1" x14ac:dyDescent="0.45"/>
    <row r="1576" hidden="1" x14ac:dyDescent="0.45"/>
    <row r="1577" hidden="1" x14ac:dyDescent="0.45"/>
    <row r="1578" hidden="1" x14ac:dyDescent="0.45"/>
    <row r="1579" hidden="1" x14ac:dyDescent="0.45"/>
    <row r="1580" hidden="1" x14ac:dyDescent="0.45"/>
    <row r="1581" hidden="1" x14ac:dyDescent="0.45"/>
    <row r="1582" hidden="1" x14ac:dyDescent="0.45"/>
    <row r="1583" hidden="1" x14ac:dyDescent="0.45"/>
    <row r="1584" hidden="1" x14ac:dyDescent="0.45"/>
    <row r="1585" hidden="1" x14ac:dyDescent="0.45"/>
    <row r="1586" hidden="1" x14ac:dyDescent="0.45"/>
    <row r="1587" hidden="1" x14ac:dyDescent="0.45"/>
    <row r="1588" hidden="1" x14ac:dyDescent="0.45"/>
    <row r="1589" hidden="1" x14ac:dyDescent="0.45"/>
    <row r="1590" hidden="1" x14ac:dyDescent="0.45"/>
    <row r="1591" hidden="1" x14ac:dyDescent="0.45"/>
    <row r="1592" hidden="1" x14ac:dyDescent="0.45"/>
    <row r="1593" hidden="1" x14ac:dyDescent="0.45"/>
    <row r="1594" hidden="1" x14ac:dyDescent="0.45"/>
    <row r="1595" hidden="1" x14ac:dyDescent="0.45"/>
    <row r="1596" hidden="1" x14ac:dyDescent="0.45"/>
    <row r="1597" hidden="1" x14ac:dyDescent="0.45"/>
    <row r="1598" hidden="1" x14ac:dyDescent="0.45"/>
    <row r="1599" hidden="1" x14ac:dyDescent="0.45"/>
    <row r="1600" hidden="1" x14ac:dyDescent="0.45"/>
    <row r="1601" hidden="1" x14ac:dyDescent="0.45"/>
    <row r="1602" hidden="1" x14ac:dyDescent="0.45"/>
    <row r="1603" hidden="1" x14ac:dyDescent="0.45"/>
    <row r="1604" hidden="1" x14ac:dyDescent="0.45"/>
    <row r="1605" hidden="1" x14ac:dyDescent="0.45"/>
    <row r="1606" hidden="1" x14ac:dyDescent="0.45"/>
    <row r="1607" hidden="1" x14ac:dyDescent="0.45"/>
    <row r="1608" hidden="1" x14ac:dyDescent="0.45"/>
    <row r="1609" hidden="1" x14ac:dyDescent="0.45"/>
    <row r="1610" hidden="1" x14ac:dyDescent="0.45"/>
    <row r="1611" hidden="1" x14ac:dyDescent="0.45"/>
    <row r="1612" hidden="1" x14ac:dyDescent="0.45"/>
    <row r="1613" hidden="1" x14ac:dyDescent="0.45"/>
    <row r="1614" hidden="1" x14ac:dyDescent="0.45"/>
    <row r="1615" hidden="1" x14ac:dyDescent="0.45"/>
    <row r="1616" hidden="1" x14ac:dyDescent="0.45"/>
    <row r="1617" hidden="1" x14ac:dyDescent="0.45"/>
    <row r="1618" hidden="1" x14ac:dyDescent="0.45"/>
    <row r="1619" hidden="1" x14ac:dyDescent="0.45"/>
    <row r="1620" hidden="1" x14ac:dyDescent="0.45"/>
    <row r="1621" hidden="1" x14ac:dyDescent="0.45"/>
    <row r="1622" hidden="1" x14ac:dyDescent="0.45"/>
    <row r="1623" hidden="1" x14ac:dyDescent="0.45"/>
    <row r="1624" hidden="1" x14ac:dyDescent="0.45"/>
    <row r="1625" hidden="1" x14ac:dyDescent="0.45"/>
    <row r="1626" hidden="1" x14ac:dyDescent="0.45"/>
    <row r="1627" hidden="1" x14ac:dyDescent="0.45"/>
    <row r="1628" hidden="1" x14ac:dyDescent="0.45"/>
    <row r="1629" hidden="1" x14ac:dyDescent="0.45"/>
    <row r="1630" hidden="1" x14ac:dyDescent="0.45"/>
    <row r="1631" hidden="1" x14ac:dyDescent="0.45"/>
    <row r="1632" hidden="1" x14ac:dyDescent="0.45"/>
    <row r="1633" hidden="1" x14ac:dyDescent="0.45"/>
    <row r="1634" hidden="1" x14ac:dyDescent="0.45"/>
    <row r="1635" hidden="1" x14ac:dyDescent="0.45"/>
    <row r="1636" hidden="1" x14ac:dyDescent="0.45"/>
    <row r="1637" hidden="1" x14ac:dyDescent="0.45"/>
    <row r="1638" hidden="1" x14ac:dyDescent="0.45"/>
    <row r="1639" hidden="1" x14ac:dyDescent="0.45"/>
    <row r="1640" hidden="1" x14ac:dyDescent="0.45"/>
    <row r="1641" hidden="1" x14ac:dyDescent="0.45"/>
    <row r="1642" hidden="1" x14ac:dyDescent="0.45"/>
    <row r="1643" hidden="1" x14ac:dyDescent="0.45"/>
    <row r="1644" hidden="1" x14ac:dyDescent="0.45"/>
    <row r="1645" hidden="1" x14ac:dyDescent="0.45"/>
    <row r="1646" hidden="1" x14ac:dyDescent="0.45"/>
    <row r="1647" hidden="1" x14ac:dyDescent="0.45"/>
    <row r="1648" hidden="1" x14ac:dyDescent="0.45"/>
    <row r="1649" hidden="1" x14ac:dyDescent="0.45"/>
    <row r="1650" hidden="1" x14ac:dyDescent="0.45"/>
    <row r="1651" hidden="1" x14ac:dyDescent="0.45"/>
    <row r="1652" hidden="1" x14ac:dyDescent="0.45"/>
    <row r="1653" hidden="1" x14ac:dyDescent="0.45"/>
    <row r="1654" hidden="1" x14ac:dyDescent="0.45"/>
    <row r="1655" hidden="1" x14ac:dyDescent="0.45"/>
    <row r="1656" hidden="1" x14ac:dyDescent="0.45"/>
    <row r="1657" hidden="1" x14ac:dyDescent="0.45"/>
    <row r="1658" hidden="1" x14ac:dyDescent="0.45"/>
    <row r="1659" hidden="1" x14ac:dyDescent="0.45"/>
    <row r="1660" hidden="1" x14ac:dyDescent="0.45"/>
    <row r="1661" hidden="1" x14ac:dyDescent="0.45"/>
    <row r="1662" hidden="1" x14ac:dyDescent="0.45"/>
    <row r="1663" hidden="1" x14ac:dyDescent="0.45"/>
    <row r="1664" hidden="1" x14ac:dyDescent="0.45"/>
    <row r="1665" hidden="1" x14ac:dyDescent="0.45"/>
    <row r="1666" hidden="1" x14ac:dyDescent="0.45"/>
    <row r="1667" hidden="1" x14ac:dyDescent="0.45"/>
    <row r="1668" hidden="1" x14ac:dyDescent="0.45"/>
    <row r="1669" hidden="1" x14ac:dyDescent="0.45"/>
    <row r="1670" hidden="1" x14ac:dyDescent="0.45"/>
    <row r="1671" hidden="1" x14ac:dyDescent="0.45"/>
    <row r="1672" hidden="1" x14ac:dyDescent="0.45"/>
    <row r="1673" hidden="1" x14ac:dyDescent="0.45"/>
    <row r="1674" hidden="1" x14ac:dyDescent="0.45"/>
    <row r="1675" hidden="1" x14ac:dyDescent="0.45"/>
    <row r="1676" hidden="1" x14ac:dyDescent="0.45"/>
    <row r="1677" hidden="1" x14ac:dyDescent="0.45"/>
    <row r="1678" hidden="1" x14ac:dyDescent="0.45"/>
    <row r="1679" hidden="1" x14ac:dyDescent="0.45"/>
    <row r="1680" hidden="1" x14ac:dyDescent="0.45"/>
    <row r="1681" hidden="1" x14ac:dyDescent="0.45"/>
    <row r="1682" hidden="1" x14ac:dyDescent="0.45"/>
    <row r="1683" hidden="1" x14ac:dyDescent="0.45"/>
    <row r="1684" hidden="1" x14ac:dyDescent="0.45"/>
    <row r="1685" hidden="1" x14ac:dyDescent="0.45"/>
    <row r="1686" hidden="1" x14ac:dyDescent="0.45"/>
    <row r="1687" hidden="1" x14ac:dyDescent="0.45"/>
    <row r="1688" hidden="1" x14ac:dyDescent="0.45"/>
    <row r="1689" hidden="1" x14ac:dyDescent="0.45"/>
    <row r="1690" hidden="1" x14ac:dyDescent="0.45"/>
    <row r="1691" hidden="1" x14ac:dyDescent="0.45"/>
    <row r="1692" hidden="1" x14ac:dyDescent="0.45"/>
    <row r="1693" hidden="1" x14ac:dyDescent="0.45"/>
    <row r="1694" hidden="1" x14ac:dyDescent="0.45"/>
    <row r="1695" hidden="1" x14ac:dyDescent="0.45"/>
    <row r="1696" hidden="1" x14ac:dyDescent="0.45"/>
    <row r="1697" hidden="1" x14ac:dyDescent="0.45"/>
    <row r="1698" hidden="1" x14ac:dyDescent="0.45"/>
    <row r="1699" hidden="1" x14ac:dyDescent="0.45"/>
    <row r="1700" hidden="1" x14ac:dyDescent="0.45"/>
    <row r="1701" hidden="1" x14ac:dyDescent="0.45"/>
    <row r="1702" hidden="1" x14ac:dyDescent="0.45"/>
    <row r="1703" hidden="1" x14ac:dyDescent="0.45"/>
    <row r="1704" hidden="1" x14ac:dyDescent="0.45"/>
    <row r="1705" hidden="1" x14ac:dyDescent="0.45"/>
    <row r="1706" hidden="1" x14ac:dyDescent="0.45"/>
    <row r="1707" hidden="1" x14ac:dyDescent="0.45"/>
    <row r="1708" hidden="1" x14ac:dyDescent="0.45"/>
    <row r="1709" hidden="1" x14ac:dyDescent="0.45"/>
    <row r="1710" hidden="1" x14ac:dyDescent="0.45"/>
    <row r="1711" hidden="1" x14ac:dyDescent="0.45"/>
    <row r="1712" hidden="1" x14ac:dyDescent="0.45"/>
    <row r="1713" hidden="1" x14ac:dyDescent="0.45"/>
    <row r="1714" hidden="1" x14ac:dyDescent="0.45"/>
    <row r="1715" hidden="1" x14ac:dyDescent="0.45"/>
    <row r="1716" hidden="1" x14ac:dyDescent="0.45"/>
    <row r="1717" hidden="1" x14ac:dyDescent="0.45"/>
    <row r="1718" hidden="1" x14ac:dyDescent="0.45"/>
    <row r="1719" hidden="1" x14ac:dyDescent="0.45"/>
    <row r="1720" hidden="1" x14ac:dyDescent="0.45"/>
    <row r="1721" hidden="1" x14ac:dyDescent="0.45"/>
    <row r="1722" hidden="1" x14ac:dyDescent="0.45"/>
    <row r="1723" hidden="1" x14ac:dyDescent="0.45"/>
    <row r="1724" hidden="1" x14ac:dyDescent="0.45"/>
    <row r="1725" hidden="1" x14ac:dyDescent="0.45"/>
    <row r="1726" hidden="1" x14ac:dyDescent="0.45"/>
    <row r="1727" hidden="1" x14ac:dyDescent="0.45"/>
    <row r="1728" hidden="1" x14ac:dyDescent="0.45"/>
    <row r="1729" hidden="1" x14ac:dyDescent="0.45"/>
    <row r="1730" hidden="1" x14ac:dyDescent="0.45"/>
    <row r="1731" hidden="1" x14ac:dyDescent="0.45"/>
    <row r="1732" hidden="1" x14ac:dyDescent="0.45"/>
    <row r="1733" hidden="1" x14ac:dyDescent="0.45"/>
    <row r="1734" hidden="1" x14ac:dyDescent="0.45"/>
    <row r="1735" hidden="1" x14ac:dyDescent="0.45"/>
    <row r="1736" hidden="1" x14ac:dyDescent="0.45"/>
    <row r="1737" hidden="1" x14ac:dyDescent="0.45"/>
    <row r="1738" hidden="1" x14ac:dyDescent="0.45"/>
    <row r="1739" hidden="1" x14ac:dyDescent="0.45"/>
    <row r="1740" hidden="1" x14ac:dyDescent="0.45"/>
    <row r="1741" hidden="1" x14ac:dyDescent="0.45"/>
    <row r="1742" hidden="1" x14ac:dyDescent="0.45"/>
    <row r="1743" hidden="1" x14ac:dyDescent="0.45"/>
    <row r="1744" hidden="1" x14ac:dyDescent="0.45"/>
    <row r="1745" hidden="1" x14ac:dyDescent="0.45"/>
    <row r="1746" hidden="1" x14ac:dyDescent="0.45"/>
    <row r="1747" hidden="1" x14ac:dyDescent="0.45"/>
    <row r="1748" hidden="1" x14ac:dyDescent="0.45"/>
    <row r="1749" hidden="1" x14ac:dyDescent="0.45"/>
    <row r="1750" hidden="1" x14ac:dyDescent="0.45"/>
    <row r="1751" hidden="1" x14ac:dyDescent="0.45"/>
    <row r="1752" hidden="1" x14ac:dyDescent="0.45"/>
    <row r="1753" hidden="1" x14ac:dyDescent="0.45"/>
    <row r="1754" hidden="1" x14ac:dyDescent="0.45"/>
    <row r="1755" hidden="1" x14ac:dyDescent="0.45"/>
    <row r="1756" hidden="1" x14ac:dyDescent="0.45"/>
    <row r="1757" hidden="1" x14ac:dyDescent="0.45"/>
    <row r="1758" hidden="1" x14ac:dyDescent="0.45"/>
    <row r="1759" hidden="1" x14ac:dyDescent="0.45"/>
    <row r="1760" hidden="1" x14ac:dyDescent="0.45"/>
    <row r="1761" hidden="1" x14ac:dyDescent="0.45"/>
    <row r="1762" hidden="1" x14ac:dyDescent="0.45"/>
    <row r="1763" hidden="1" x14ac:dyDescent="0.45"/>
    <row r="1764" hidden="1" x14ac:dyDescent="0.45"/>
    <row r="1765" hidden="1" x14ac:dyDescent="0.45"/>
    <row r="1766" hidden="1" x14ac:dyDescent="0.45"/>
    <row r="1767" hidden="1" x14ac:dyDescent="0.45"/>
    <row r="1768" hidden="1" x14ac:dyDescent="0.45"/>
    <row r="1769" hidden="1" x14ac:dyDescent="0.45"/>
    <row r="1770" hidden="1" x14ac:dyDescent="0.45"/>
    <row r="1771" hidden="1" x14ac:dyDescent="0.45"/>
    <row r="1772" hidden="1" x14ac:dyDescent="0.45"/>
    <row r="1773" hidden="1" x14ac:dyDescent="0.45"/>
    <row r="1774" hidden="1" x14ac:dyDescent="0.45"/>
    <row r="1775" hidden="1" x14ac:dyDescent="0.45"/>
    <row r="1776" hidden="1" x14ac:dyDescent="0.45"/>
    <row r="1777" hidden="1" x14ac:dyDescent="0.45"/>
    <row r="1778" hidden="1" x14ac:dyDescent="0.45"/>
    <row r="1779" hidden="1" x14ac:dyDescent="0.45"/>
    <row r="1780" hidden="1" x14ac:dyDescent="0.45"/>
    <row r="1781" hidden="1" x14ac:dyDescent="0.45"/>
    <row r="1782" hidden="1" x14ac:dyDescent="0.45"/>
    <row r="1783" hidden="1" x14ac:dyDescent="0.45"/>
    <row r="1784" hidden="1" x14ac:dyDescent="0.45"/>
    <row r="1785" hidden="1" x14ac:dyDescent="0.45"/>
    <row r="1786" hidden="1" x14ac:dyDescent="0.45"/>
    <row r="1787" hidden="1" x14ac:dyDescent="0.45"/>
    <row r="1788" hidden="1" x14ac:dyDescent="0.45"/>
    <row r="1789" hidden="1" x14ac:dyDescent="0.45"/>
    <row r="1790" hidden="1" x14ac:dyDescent="0.45"/>
    <row r="1791" hidden="1" x14ac:dyDescent="0.45"/>
    <row r="1792" hidden="1" x14ac:dyDescent="0.45"/>
    <row r="1793" hidden="1" x14ac:dyDescent="0.45"/>
    <row r="1794" hidden="1" x14ac:dyDescent="0.45"/>
    <row r="1795" hidden="1" x14ac:dyDescent="0.45"/>
    <row r="1796" hidden="1" x14ac:dyDescent="0.45"/>
    <row r="1797" hidden="1" x14ac:dyDescent="0.45"/>
    <row r="1798" hidden="1" x14ac:dyDescent="0.45"/>
    <row r="1799" hidden="1" x14ac:dyDescent="0.45"/>
    <row r="1800" hidden="1" x14ac:dyDescent="0.45"/>
    <row r="1801" hidden="1" x14ac:dyDescent="0.45"/>
    <row r="1802" hidden="1" x14ac:dyDescent="0.45"/>
    <row r="1803" hidden="1" x14ac:dyDescent="0.45"/>
    <row r="1804" hidden="1" x14ac:dyDescent="0.45"/>
    <row r="1805" hidden="1" x14ac:dyDescent="0.45"/>
    <row r="1806" hidden="1" x14ac:dyDescent="0.45"/>
    <row r="1807" hidden="1" x14ac:dyDescent="0.45"/>
    <row r="1808" hidden="1" x14ac:dyDescent="0.45"/>
    <row r="1809" hidden="1" x14ac:dyDescent="0.45"/>
    <row r="1810" hidden="1" x14ac:dyDescent="0.45"/>
    <row r="1811" hidden="1" x14ac:dyDescent="0.45"/>
    <row r="1812" hidden="1" x14ac:dyDescent="0.45"/>
    <row r="1813" hidden="1" x14ac:dyDescent="0.45"/>
    <row r="1814" hidden="1" x14ac:dyDescent="0.45"/>
    <row r="1815" hidden="1" x14ac:dyDescent="0.45"/>
    <row r="1816" hidden="1" x14ac:dyDescent="0.45"/>
    <row r="1817" hidden="1" x14ac:dyDescent="0.45"/>
    <row r="1818" hidden="1" x14ac:dyDescent="0.45"/>
    <row r="1819" hidden="1" x14ac:dyDescent="0.45"/>
    <row r="1820" hidden="1" x14ac:dyDescent="0.45"/>
    <row r="1821" hidden="1" x14ac:dyDescent="0.45"/>
    <row r="1822" hidden="1" x14ac:dyDescent="0.45"/>
    <row r="1823" hidden="1" x14ac:dyDescent="0.45"/>
    <row r="1824" hidden="1" x14ac:dyDescent="0.45"/>
    <row r="1825" hidden="1" x14ac:dyDescent="0.45"/>
    <row r="1826" hidden="1" x14ac:dyDescent="0.45"/>
    <row r="1827" hidden="1" x14ac:dyDescent="0.45"/>
    <row r="1828" hidden="1" x14ac:dyDescent="0.45"/>
    <row r="1829" hidden="1" x14ac:dyDescent="0.45"/>
    <row r="1830" hidden="1" x14ac:dyDescent="0.45"/>
    <row r="1831" hidden="1" x14ac:dyDescent="0.45"/>
    <row r="1832" hidden="1" x14ac:dyDescent="0.45"/>
    <row r="1833" hidden="1" x14ac:dyDescent="0.45"/>
    <row r="1834" hidden="1" x14ac:dyDescent="0.45"/>
    <row r="1835" hidden="1" x14ac:dyDescent="0.45"/>
    <row r="1836" hidden="1" x14ac:dyDescent="0.45"/>
    <row r="1837" hidden="1" x14ac:dyDescent="0.45"/>
    <row r="1838" hidden="1" x14ac:dyDescent="0.45"/>
    <row r="1839" hidden="1" x14ac:dyDescent="0.45"/>
    <row r="1840" hidden="1" x14ac:dyDescent="0.45"/>
    <row r="1841" hidden="1" x14ac:dyDescent="0.45"/>
    <row r="1842" hidden="1" x14ac:dyDescent="0.45"/>
    <row r="1843" hidden="1" x14ac:dyDescent="0.45"/>
    <row r="1844" hidden="1" x14ac:dyDescent="0.45"/>
    <row r="1845" hidden="1" x14ac:dyDescent="0.45"/>
    <row r="1846" hidden="1" x14ac:dyDescent="0.45"/>
    <row r="1847" hidden="1" x14ac:dyDescent="0.45"/>
    <row r="1848" hidden="1" x14ac:dyDescent="0.45"/>
    <row r="1849" hidden="1" x14ac:dyDescent="0.45"/>
    <row r="1850" hidden="1" x14ac:dyDescent="0.45"/>
    <row r="1851" hidden="1" x14ac:dyDescent="0.45"/>
    <row r="1852" hidden="1" x14ac:dyDescent="0.45"/>
    <row r="1853" hidden="1" x14ac:dyDescent="0.45"/>
    <row r="1854" hidden="1" x14ac:dyDescent="0.45"/>
    <row r="1855" hidden="1" x14ac:dyDescent="0.45"/>
    <row r="1856" hidden="1" x14ac:dyDescent="0.45"/>
    <row r="1857" hidden="1" x14ac:dyDescent="0.45"/>
    <row r="1858" hidden="1" x14ac:dyDescent="0.45"/>
    <row r="1859" hidden="1" x14ac:dyDescent="0.45"/>
    <row r="1860" hidden="1" x14ac:dyDescent="0.45"/>
    <row r="1861" hidden="1" x14ac:dyDescent="0.45"/>
    <row r="1862" hidden="1" x14ac:dyDescent="0.45"/>
    <row r="1863" hidden="1" x14ac:dyDescent="0.45"/>
    <row r="1864" hidden="1" x14ac:dyDescent="0.45"/>
    <row r="1865" hidden="1" x14ac:dyDescent="0.45"/>
    <row r="1866" hidden="1" x14ac:dyDescent="0.45"/>
    <row r="1867" hidden="1" x14ac:dyDescent="0.45"/>
    <row r="1868" hidden="1" x14ac:dyDescent="0.45"/>
    <row r="1869" hidden="1" x14ac:dyDescent="0.45"/>
    <row r="1870" hidden="1" x14ac:dyDescent="0.45"/>
    <row r="1871" hidden="1" x14ac:dyDescent="0.45"/>
    <row r="1872" hidden="1" x14ac:dyDescent="0.45"/>
    <row r="1873" hidden="1" x14ac:dyDescent="0.45"/>
    <row r="1874" hidden="1" x14ac:dyDescent="0.45"/>
    <row r="1875" hidden="1" x14ac:dyDescent="0.45"/>
    <row r="1876" hidden="1" x14ac:dyDescent="0.45"/>
    <row r="1877" hidden="1" x14ac:dyDescent="0.45"/>
    <row r="1878" hidden="1" x14ac:dyDescent="0.45"/>
    <row r="1879" hidden="1" x14ac:dyDescent="0.45"/>
    <row r="1880" hidden="1" x14ac:dyDescent="0.45"/>
    <row r="1881" hidden="1" x14ac:dyDescent="0.45"/>
    <row r="1882" hidden="1" x14ac:dyDescent="0.45"/>
    <row r="1883" hidden="1" x14ac:dyDescent="0.45"/>
    <row r="1884" hidden="1" x14ac:dyDescent="0.45"/>
    <row r="1885" hidden="1" x14ac:dyDescent="0.45"/>
    <row r="1886" hidden="1" x14ac:dyDescent="0.45"/>
    <row r="1887" hidden="1" x14ac:dyDescent="0.45"/>
    <row r="1888" hidden="1" x14ac:dyDescent="0.45"/>
    <row r="1889" hidden="1" x14ac:dyDescent="0.45"/>
    <row r="1890" hidden="1" x14ac:dyDescent="0.45"/>
    <row r="1891" hidden="1" x14ac:dyDescent="0.45"/>
    <row r="1892" hidden="1" x14ac:dyDescent="0.45"/>
    <row r="1893" hidden="1" x14ac:dyDescent="0.45"/>
    <row r="1894" hidden="1" x14ac:dyDescent="0.45"/>
    <row r="1895" hidden="1" x14ac:dyDescent="0.45"/>
    <row r="1896" hidden="1" x14ac:dyDescent="0.45"/>
    <row r="1897" hidden="1" x14ac:dyDescent="0.45"/>
    <row r="1898" hidden="1" x14ac:dyDescent="0.45"/>
    <row r="1899" hidden="1" x14ac:dyDescent="0.45"/>
    <row r="1900" hidden="1" x14ac:dyDescent="0.45"/>
    <row r="1901" hidden="1" x14ac:dyDescent="0.45"/>
    <row r="1902" hidden="1" x14ac:dyDescent="0.45"/>
    <row r="1903" hidden="1" x14ac:dyDescent="0.45"/>
    <row r="1904" hidden="1" x14ac:dyDescent="0.45"/>
    <row r="1905" hidden="1" x14ac:dyDescent="0.45"/>
    <row r="1906" hidden="1" x14ac:dyDescent="0.45"/>
    <row r="1907" hidden="1" x14ac:dyDescent="0.45"/>
    <row r="1908" hidden="1" x14ac:dyDescent="0.45"/>
    <row r="1909" hidden="1" x14ac:dyDescent="0.45"/>
    <row r="1910" hidden="1" x14ac:dyDescent="0.45"/>
    <row r="1911" hidden="1" x14ac:dyDescent="0.45"/>
    <row r="1912" hidden="1" x14ac:dyDescent="0.45"/>
    <row r="1913" hidden="1" x14ac:dyDescent="0.45"/>
    <row r="1914" hidden="1" x14ac:dyDescent="0.45"/>
    <row r="1915" hidden="1" x14ac:dyDescent="0.45"/>
    <row r="1916" hidden="1" x14ac:dyDescent="0.45"/>
    <row r="1917" hidden="1" x14ac:dyDescent="0.45"/>
    <row r="1918" hidden="1" x14ac:dyDescent="0.45"/>
    <row r="1919" hidden="1" x14ac:dyDescent="0.45"/>
    <row r="1920" hidden="1" x14ac:dyDescent="0.45"/>
    <row r="1921" hidden="1" x14ac:dyDescent="0.45"/>
    <row r="1922" hidden="1" x14ac:dyDescent="0.45"/>
    <row r="1923" hidden="1" x14ac:dyDescent="0.45"/>
    <row r="1924" hidden="1" x14ac:dyDescent="0.45"/>
    <row r="1925" hidden="1" x14ac:dyDescent="0.45"/>
    <row r="1926" hidden="1" x14ac:dyDescent="0.45"/>
    <row r="1927" hidden="1" x14ac:dyDescent="0.45"/>
    <row r="1928" hidden="1" x14ac:dyDescent="0.45"/>
    <row r="1929" hidden="1" x14ac:dyDescent="0.45"/>
    <row r="1930" hidden="1" x14ac:dyDescent="0.45"/>
    <row r="1931" hidden="1" x14ac:dyDescent="0.45"/>
    <row r="1932" hidden="1" x14ac:dyDescent="0.45"/>
    <row r="1933" hidden="1" x14ac:dyDescent="0.45"/>
    <row r="1934" hidden="1" x14ac:dyDescent="0.45"/>
    <row r="1935" hidden="1" x14ac:dyDescent="0.45"/>
    <row r="1936" hidden="1" x14ac:dyDescent="0.45"/>
    <row r="1937" hidden="1" x14ac:dyDescent="0.45"/>
    <row r="1938" hidden="1" x14ac:dyDescent="0.45"/>
    <row r="1939" hidden="1" x14ac:dyDescent="0.45"/>
    <row r="1940" hidden="1" x14ac:dyDescent="0.45"/>
    <row r="1941" hidden="1" x14ac:dyDescent="0.45"/>
    <row r="1942" hidden="1" x14ac:dyDescent="0.45"/>
    <row r="1943" hidden="1" x14ac:dyDescent="0.45"/>
    <row r="1944" hidden="1" x14ac:dyDescent="0.45"/>
    <row r="1945" hidden="1" x14ac:dyDescent="0.45"/>
    <row r="1946" hidden="1" x14ac:dyDescent="0.45"/>
    <row r="1947" hidden="1" x14ac:dyDescent="0.45"/>
    <row r="1948" hidden="1" x14ac:dyDescent="0.45"/>
    <row r="1949" hidden="1" x14ac:dyDescent="0.45"/>
    <row r="1950" hidden="1" x14ac:dyDescent="0.45"/>
    <row r="1951" hidden="1" x14ac:dyDescent="0.45"/>
    <row r="1952" hidden="1" x14ac:dyDescent="0.45"/>
    <row r="1953" hidden="1" x14ac:dyDescent="0.45"/>
    <row r="1954" hidden="1" x14ac:dyDescent="0.45"/>
    <row r="1955" hidden="1" x14ac:dyDescent="0.45"/>
    <row r="1956" hidden="1" x14ac:dyDescent="0.45"/>
    <row r="1957" hidden="1" x14ac:dyDescent="0.45"/>
    <row r="1958" hidden="1" x14ac:dyDescent="0.45"/>
    <row r="1959" hidden="1" x14ac:dyDescent="0.45"/>
    <row r="1960" hidden="1" x14ac:dyDescent="0.45"/>
    <row r="1961" hidden="1" x14ac:dyDescent="0.45"/>
    <row r="1962" hidden="1" x14ac:dyDescent="0.45"/>
    <row r="1963" hidden="1" x14ac:dyDescent="0.45"/>
    <row r="1964" hidden="1" x14ac:dyDescent="0.45"/>
    <row r="1965" hidden="1" x14ac:dyDescent="0.45"/>
    <row r="1966" hidden="1" x14ac:dyDescent="0.45"/>
    <row r="1967" hidden="1" x14ac:dyDescent="0.45"/>
    <row r="1968" hidden="1" x14ac:dyDescent="0.45"/>
    <row r="1969" hidden="1" x14ac:dyDescent="0.45"/>
    <row r="1970" hidden="1" x14ac:dyDescent="0.45"/>
    <row r="1971" hidden="1" x14ac:dyDescent="0.45"/>
    <row r="1972" hidden="1" x14ac:dyDescent="0.45"/>
    <row r="1973" hidden="1" x14ac:dyDescent="0.45"/>
    <row r="1974" hidden="1" x14ac:dyDescent="0.45"/>
    <row r="1975" hidden="1" x14ac:dyDescent="0.45"/>
    <row r="1976" hidden="1" x14ac:dyDescent="0.45"/>
    <row r="1977" hidden="1" x14ac:dyDescent="0.45"/>
    <row r="1978" hidden="1" x14ac:dyDescent="0.45"/>
    <row r="1979" hidden="1" x14ac:dyDescent="0.45"/>
    <row r="1980" hidden="1" x14ac:dyDescent="0.45"/>
    <row r="1981" hidden="1" x14ac:dyDescent="0.45"/>
    <row r="1982" hidden="1" x14ac:dyDescent="0.45"/>
    <row r="1983" hidden="1" x14ac:dyDescent="0.45"/>
    <row r="1984" hidden="1" x14ac:dyDescent="0.45"/>
    <row r="1985" hidden="1" x14ac:dyDescent="0.45"/>
    <row r="1986" hidden="1" x14ac:dyDescent="0.45"/>
    <row r="1987" hidden="1" x14ac:dyDescent="0.45"/>
    <row r="1988" hidden="1" x14ac:dyDescent="0.45"/>
    <row r="1989" hidden="1" x14ac:dyDescent="0.45"/>
    <row r="1990" hidden="1" x14ac:dyDescent="0.45"/>
    <row r="1991" hidden="1" x14ac:dyDescent="0.45"/>
    <row r="1992" hidden="1" x14ac:dyDescent="0.45"/>
    <row r="1993" hidden="1" x14ac:dyDescent="0.45"/>
    <row r="1994" hidden="1" x14ac:dyDescent="0.45"/>
    <row r="1995" hidden="1" x14ac:dyDescent="0.45"/>
    <row r="1996" hidden="1" x14ac:dyDescent="0.45"/>
    <row r="1997" hidden="1" x14ac:dyDescent="0.45"/>
    <row r="1998" hidden="1" x14ac:dyDescent="0.45"/>
    <row r="1999" hidden="1" x14ac:dyDescent="0.45"/>
    <row r="2000" hidden="1" x14ac:dyDescent="0.45"/>
  </sheetData>
  <sheetProtection algorithmName="SHA-512" hashValue="Ew/i6cyigjjZvWgjn3TfELa2le9rQLKqbJ1WAJGhDFfVTty0cFVNIhevdNBUGkuhqx7ZnHWRpSv0ElpxvUhP4Q==" saltValue="kwiefeH0rprke4aI/BcCGw==" spinCount="100000" sheet="1" objects="1" scenarios="1" selectLockedCells="1" selectUnlockedCells="1"/>
  <mergeCells count="2">
    <mergeCell ref="B33:B34"/>
    <mergeCell ref="B2:B3"/>
  </mergeCells>
  <dataValidations count="3">
    <dataValidation type="list" allowBlank="1" showInputMessage="1" showErrorMessage="1" sqref="C33" xr:uid="{00000000-0002-0000-0800-000000000000}">
      <formula1>athletes_name</formula1>
    </dataValidation>
    <dataValidation type="list" allowBlank="1" showInputMessage="1" showErrorMessage="1" sqref="C4:CX4" xr:uid="{00000000-0002-0000-0800-000001000000}">
      <formula1>specialisations</formula1>
    </dataValidation>
    <dataValidation type="list" allowBlank="1" showInputMessage="1" showErrorMessage="1" sqref="C23:CX23" xr:uid="{00000000-0002-0000-0800-000002000000}">
      <formula1>plans_name</formula1>
    </dataValidation>
  </dataValidations>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18</vt:i4>
      </vt:variant>
      <vt:variant>
        <vt:lpstr>Charts</vt:lpstr>
      </vt:variant>
      <vt:variant>
        <vt:i4>1</vt:i4>
      </vt:variant>
      <vt:variant>
        <vt:lpstr>Named Ranges</vt:lpstr>
      </vt:variant>
      <vt:variant>
        <vt:i4>530</vt:i4>
      </vt:variant>
    </vt:vector>
  </HeadingPairs>
  <TitlesOfParts>
    <vt:vector size="549" baseType="lpstr">
      <vt:lpstr>Profile</vt:lpstr>
      <vt:lpstr>Controls</vt:lpstr>
      <vt:lpstr>Elements</vt:lpstr>
      <vt:lpstr>Nutrition</vt:lpstr>
      <vt:lpstr>Intervals</vt:lpstr>
      <vt:lpstr>Strategies</vt:lpstr>
      <vt:lpstr>Sports</vt:lpstr>
      <vt:lpstr>Plans</vt:lpstr>
      <vt:lpstr>Athletes</vt:lpstr>
      <vt:lpstr>Sessions</vt:lpstr>
      <vt:lpstr>Session References</vt:lpstr>
      <vt:lpstr>Program Planner</vt:lpstr>
      <vt:lpstr>Program Planner TT</vt:lpstr>
      <vt:lpstr>Form Tracker</vt:lpstr>
      <vt:lpstr>Program Summary</vt:lpstr>
      <vt:lpstr>Program Summary TT</vt:lpstr>
      <vt:lpstr>Program Full</vt:lpstr>
      <vt:lpstr>TT Export</vt:lpstr>
      <vt:lpstr>Form Tracker Chart</vt:lpstr>
      <vt:lpstr>athlete_calibration_HR</vt:lpstr>
      <vt:lpstr>athlete_calibration_pace</vt:lpstr>
      <vt:lpstr>athlete_calibration_VDOT</vt:lpstr>
      <vt:lpstr>athlete_duration_maximum</vt:lpstr>
      <vt:lpstr>athlete_duration_maximum_hhmm</vt:lpstr>
      <vt:lpstr>athlete_fuelling</vt:lpstr>
      <vt:lpstr>athlete_gender</vt:lpstr>
      <vt:lpstr>athlete_HR_max_bike</vt:lpstr>
      <vt:lpstr>athlete_HR_max_run</vt:lpstr>
      <vt:lpstr>athlete_HR_rest</vt:lpstr>
      <vt:lpstr>athlete_index</vt:lpstr>
      <vt:lpstr>athlete_name</vt:lpstr>
      <vt:lpstr>athlete_nutrition</vt:lpstr>
      <vt:lpstr>athlete_nutrition_during</vt:lpstr>
      <vt:lpstr>athlete_plan_name</vt:lpstr>
      <vt:lpstr>athlete_progression_maximum</vt:lpstr>
      <vt:lpstr>athlete_recovery_rate</vt:lpstr>
      <vt:lpstr>athlete_sport</vt:lpstr>
      <vt:lpstr>athlete_starting_duration</vt:lpstr>
      <vt:lpstr>athlete_starting_duration_hhmm</vt:lpstr>
      <vt:lpstr>athlete_starting_load</vt:lpstr>
      <vt:lpstr>athlete_starting_progression_rate</vt:lpstr>
      <vt:lpstr>athlete_taper_rate</vt:lpstr>
      <vt:lpstr>athlete_test_distance</vt:lpstr>
      <vt:lpstr>athlete_test_time_hhmm</vt:lpstr>
      <vt:lpstr>athlete_VDOT</vt:lpstr>
      <vt:lpstr>athlete_VO2max</vt:lpstr>
      <vt:lpstr>athlete_WUWD_duration</vt:lpstr>
      <vt:lpstr>athletes_calibration_HR</vt:lpstr>
      <vt:lpstr>athletes_calibration_pace</vt:lpstr>
      <vt:lpstr>athletes_calibration_VDOT</vt:lpstr>
      <vt:lpstr>athletes_data</vt:lpstr>
      <vt:lpstr>athletes_data_default</vt:lpstr>
      <vt:lpstr>athletes_duration_maximum</vt:lpstr>
      <vt:lpstr>athletes_duration_maximum_hhmm</vt:lpstr>
      <vt:lpstr>athletes_fuelling</vt:lpstr>
      <vt:lpstr>athletes_gender</vt:lpstr>
      <vt:lpstr>athletes_HR_max</vt:lpstr>
      <vt:lpstr>athletes_HR_rest</vt:lpstr>
      <vt:lpstr>athletes_index</vt:lpstr>
      <vt:lpstr>athletes_lookup</vt:lpstr>
      <vt:lpstr>athletes_name</vt:lpstr>
      <vt:lpstr>athletes_plan_name</vt:lpstr>
      <vt:lpstr>athletes_progression_factor</vt:lpstr>
      <vt:lpstr>athletes_progression_maximum</vt:lpstr>
      <vt:lpstr>athletes_sport</vt:lpstr>
      <vt:lpstr>athletes_starting_duration</vt:lpstr>
      <vt:lpstr>athletes_starting_duration_hhmm</vt:lpstr>
      <vt:lpstr>athletes_starting_load</vt:lpstr>
      <vt:lpstr>athletes_starting_progression</vt:lpstr>
      <vt:lpstr>athletes_taper_rate</vt:lpstr>
      <vt:lpstr>athletes_test_distance</vt:lpstr>
      <vt:lpstr>athletes_test_time_hhmm</vt:lpstr>
      <vt:lpstr>athletes_VDOT</vt:lpstr>
      <vt:lpstr>athletes_VO2max</vt:lpstr>
      <vt:lpstr>athletes_WUWU_duration</vt:lpstr>
      <vt:lpstr>controls_sports_cycling_focus</vt:lpstr>
      <vt:lpstr>controls_sports_running_focus</vt:lpstr>
      <vt:lpstr>controls_sports_swimming_focus</vt:lpstr>
      <vt:lpstr>display_athlete_name</vt:lpstr>
      <vt:lpstr>display_difficulty</vt:lpstr>
      <vt:lpstr>display_duration</vt:lpstr>
      <vt:lpstr>display_full_template</vt:lpstr>
      <vt:lpstr>display_full_template_partial</vt:lpstr>
      <vt:lpstr>display_intervals_breakdown</vt:lpstr>
      <vt:lpstr>display_intervals_name</vt:lpstr>
      <vt:lpstr>display_nutrition_description</vt:lpstr>
      <vt:lpstr>display_nutrition_summary</vt:lpstr>
      <vt:lpstr>display_part</vt:lpstr>
      <vt:lpstr>display_plan_event</vt:lpstr>
      <vt:lpstr>display_program_summary</vt:lpstr>
      <vt:lpstr>display_progression_relative</vt:lpstr>
      <vt:lpstr>display_strategy</vt:lpstr>
      <vt:lpstr>display_summary_trainingtilt</vt:lpstr>
      <vt:lpstr>display_test_time</vt:lpstr>
      <vt:lpstr>display_week</vt:lpstr>
      <vt:lpstr>display_week_beginning</vt:lpstr>
      <vt:lpstr>display_weeks_to_goal</vt:lpstr>
      <vt:lpstr>duration_drills</vt:lpstr>
      <vt:lpstr>duration_drills_constant</vt:lpstr>
      <vt:lpstr>duration_drills_max</vt:lpstr>
      <vt:lpstr>duration_drills_portion</vt:lpstr>
      <vt:lpstr>duration_easy</vt:lpstr>
      <vt:lpstr>duration_easy_constant</vt:lpstr>
      <vt:lpstr>duration_easy_max</vt:lpstr>
      <vt:lpstr>duration_easy_portion</vt:lpstr>
      <vt:lpstr>duration_fartlek</vt:lpstr>
      <vt:lpstr>duration_fartlek_constant</vt:lpstr>
      <vt:lpstr>duration_fartlek_max</vt:lpstr>
      <vt:lpstr>duration_fartlek_portion</vt:lpstr>
      <vt:lpstr>duration_filler1</vt:lpstr>
      <vt:lpstr>duration_filler2</vt:lpstr>
      <vt:lpstr>duration_hilltempo</vt:lpstr>
      <vt:lpstr>duration_hilltempo_constant</vt:lpstr>
      <vt:lpstr>duration_hilltempo_max</vt:lpstr>
      <vt:lpstr>duration_hilltempo_portion</vt:lpstr>
      <vt:lpstr>duration_intervals</vt:lpstr>
      <vt:lpstr>duration_intervals_constant</vt:lpstr>
      <vt:lpstr>duration_intervals_max</vt:lpstr>
      <vt:lpstr>duration_intervals_portion</vt:lpstr>
      <vt:lpstr>duration_long</vt:lpstr>
      <vt:lpstr>duration_long_constant</vt:lpstr>
      <vt:lpstr>duration_long_cycle</vt:lpstr>
      <vt:lpstr>duration_long_cycle_constant</vt:lpstr>
      <vt:lpstr>duration_long_cycle_max</vt:lpstr>
      <vt:lpstr>duration_long_cycle_portion</vt:lpstr>
      <vt:lpstr>duration_long_max</vt:lpstr>
      <vt:lpstr>duration_long_portion</vt:lpstr>
      <vt:lpstr>duration_maint</vt:lpstr>
      <vt:lpstr>duration_maint_constant</vt:lpstr>
      <vt:lpstr>duration_maint_max</vt:lpstr>
      <vt:lpstr>duration_maint_portion</vt:lpstr>
      <vt:lpstr>duration_recovery</vt:lpstr>
      <vt:lpstr>duration_recovery_constant</vt:lpstr>
      <vt:lpstr>duration_recovery_max</vt:lpstr>
      <vt:lpstr>duration_recovery_portion</vt:lpstr>
      <vt:lpstr>duration_reps</vt:lpstr>
      <vt:lpstr>duration_reps_constant</vt:lpstr>
      <vt:lpstr>duration_reps_max</vt:lpstr>
      <vt:lpstr>duration_reps_portion</vt:lpstr>
      <vt:lpstr>duration_rest</vt:lpstr>
      <vt:lpstr>duration_steady</vt:lpstr>
      <vt:lpstr>duration_steady_constant</vt:lpstr>
      <vt:lpstr>duration_steady_cycle</vt:lpstr>
      <vt:lpstr>duration_steady_cycle_constant</vt:lpstr>
      <vt:lpstr>duration_steady_cycle_max</vt:lpstr>
      <vt:lpstr>duration_steady_cycle_portion</vt:lpstr>
      <vt:lpstr>duration_steady_max</vt:lpstr>
      <vt:lpstr>duration_steady_portion</vt:lpstr>
      <vt:lpstr>duration_strength</vt:lpstr>
      <vt:lpstr>duration_strength_constant</vt:lpstr>
      <vt:lpstr>duration_strength_max</vt:lpstr>
      <vt:lpstr>duration_strength_portion</vt:lpstr>
      <vt:lpstr>duration_subthreshold</vt:lpstr>
      <vt:lpstr>duration_subthreshold_constant</vt:lpstr>
      <vt:lpstr>duration_subthreshold_max</vt:lpstr>
      <vt:lpstr>duration_subthreshold_portion</vt:lpstr>
      <vt:lpstr>duration_tempo</vt:lpstr>
      <vt:lpstr>duration_tempo_constant</vt:lpstr>
      <vt:lpstr>duration_tempo_max</vt:lpstr>
      <vt:lpstr>duration_tempo_portion</vt:lpstr>
      <vt:lpstr>element_aim_drills</vt:lpstr>
      <vt:lpstr>element_aim_fartlek</vt:lpstr>
      <vt:lpstr>element_aim_hilltempo</vt:lpstr>
      <vt:lpstr>element_aim_intervals</vt:lpstr>
      <vt:lpstr>element_aim_long</vt:lpstr>
      <vt:lpstr>element_aim_maintenance</vt:lpstr>
      <vt:lpstr>element_aim_recovery</vt:lpstr>
      <vt:lpstr>element_aim_reps</vt:lpstr>
      <vt:lpstr>element_aim_rest</vt:lpstr>
      <vt:lpstr>element_aim_steady</vt:lpstr>
      <vt:lpstr>element_aim_strength</vt:lpstr>
      <vt:lpstr>element_aim_subthreshold</vt:lpstr>
      <vt:lpstr>element_aim_tempo</vt:lpstr>
      <vt:lpstr>element_athlete_FTP</vt:lpstr>
      <vt:lpstr>element_description_drills</vt:lpstr>
      <vt:lpstr>element_description_fartlek</vt:lpstr>
      <vt:lpstr>element_description_hilltempo</vt:lpstr>
      <vt:lpstr>element_description_intervals</vt:lpstr>
      <vt:lpstr>element_description_long</vt:lpstr>
      <vt:lpstr>element_description_maintenance</vt:lpstr>
      <vt:lpstr>element_description_recovery</vt:lpstr>
      <vt:lpstr>element_description_reps</vt:lpstr>
      <vt:lpstr>element_description_rest</vt:lpstr>
      <vt:lpstr>element_description_steady</vt:lpstr>
      <vt:lpstr>element_description_strength</vt:lpstr>
      <vt:lpstr>element_description_subthreshold</vt:lpstr>
      <vt:lpstr>element_description_tempo</vt:lpstr>
      <vt:lpstr>element_HR_percent</vt:lpstr>
      <vt:lpstr>element_HR_percent_easy</vt:lpstr>
      <vt:lpstr>element_HR_percent_recovery</vt:lpstr>
      <vt:lpstr>elements_aim</vt:lpstr>
      <vt:lpstr>elements_alldata</vt:lpstr>
      <vt:lpstr>elements_cIF</vt:lpstr>
      <vt:lpstr>elements_cTSS_HR</vt:lpstr>
      <vt:lpstr>elements_description</vt:lpstr>
      <vt:lpstr>elements_duration_code</vt:lpstr>
      <vt:lpstr>elements_HR_absolute</vt:lpstr>
      <vt:lpstr>elements_HR_reserve</vt:lpstr>
      <vt:lpstr>elements_index</vt:lpstr>
      <vt:lpstr>elements_limits</vt:lpstr>
      <vt:lpstr>elements_load</vt:lpstr>
      <vt:lpstr>elements_name</vt:lpstr>
      <vt:lpstr>elements_pace</vt:lpstr>
      <vt:lpstr>elements_pace_easy</vt:lpstr>
      <vt:lpstr>elements_pace_intervals</vt:lpstr>
      <vt:lpstr>elements_pace_recovery</vt:lpstr>
      <vt:lpstr>elements_pace_reps</vt:lpstr>
      <vt:lpstr>elements_pace_steady</vt:lpstr>
      <vt:lpstr>elements_pace_subthreshold</vt:lpstr>
      <vt:lpstr>elements_pace_tempo</vt:lpstr>
      <vt:lpstr>elements_physiology</vt:lpstr>
      <vt:lpstr>elements_recoveries</vt:lpstr>
      <vt:lpstr>elements_rIF</vt:lpstr>
      <vt:lpstr>elements_rTSS</vt:lpstr>
      <vt:lpstr>elements_summary_description</vt:lpstr>
      <vt:lpstr>elements_TRIMP</vt:lpstr>
      <vt:lpstr>elements_VDOT_G_points</vt:lpstr>
      <vt:lpstr>elements_VDOT_percent</vt:lpstr>
      <vt:lpstr>elements_VDOTpoints</vt:lpstr>
      <vt:lpstr>elements_VO2_percent</vt:lpstr>
      <vt:lpstr>elements_WUWD</vt:lpstr>
      <vt:lpstr>evaluation_duration_error</vt:lpstr>
      <vt:lpstr>evaluation_duration_filler</vt:lpstr>
      <vt:lpstr>evaluation_duration_progression_rate</vt:lpstr>
      <vt:lpstr>evaluation_duration_total</vt:lpstr>
      <vt:lpstr>evaluation_filler_count</vt:lpstr>
      <vt:lpstr>evaluation_filler1_count</vt:lpstr>
      <vt:lpstr>evaluation_filler2_count</vt:lpstr>
      <vt:lpstr>evaluation_load</vt:lpstr>
      <vt:lpstr>evaluation_load_error</vt:lpstr>
      <vt:lpstr>evaluation_load_progression_rate</vt:lpstr>
      <vt:lpstr>evaluation_load_progression_relative</vt:lpstr>
      <vt:lpstr>evaluation_load_total</vt:lpstr>
      <vt:lpstr>fatigue_coefficient_sum</vt:lpstr>
      <vt:lpstr>fatigue_coefficients</vt:lpstr>
      <vt:lpstr>fatigue_coefficients_constant</vt:lpstr>
      <vt:lpstr>fatigue_coefficients_constant_factor</vt:lpstr>
      <vt:lpstr>fatigue_coefficients_constant_sum</vt:lpstr>
      <vt:lpstr>fatigue_coefficients_exponential</vt:lpstr>
      <vt:lpstr>fatigue_coefficients_exponential_factor</vt:lpstr>
      <vt:lpstr>fatigue_coefficients_exponential_sum</vt:lpstr>
      <vt:lpstr>fatigue_coefficients_linear</vt:lpstr>
      <vt:lpstr>fatigue_coefficients_linear_factor</vt:lpstr>
      <vt:lpstr>fatigue_coefficients_linear_sum</vt:lpstr>
      <vt:lpstr>fatigue_coefficients_sum</vt:lpstr>
      <vt:lpstr>fatigue_days</vt:lpstr>
      <vt:lpstr>fatigue_days_max</vt:lpstr>
      <vt:lpstr>fatigue_halflife</vt:lpstr>
      <vt:lpstr>fatigue_method</vt:lpstr>
      <vt:lpstr>fatigue_method_options</vt:lpstr>
      <vt:lpstr>final_adjusted_session_durations</vt:lpstr>
      <vt:lpstr>final_duration_effort</vt:lpstr>
      <vt:lpstr>final_duration_element_trainingtilt</vt:lpstr>
      <vt:lpstr>final_duration_error</vt:lpstr>
      <vt:lpstr>final_duration_filler</vt:lpstr>
      <vt:lpstr>final_duration_primary</vt:lpstr>
      <vt:lpstr>final_duration_secondary</vt:lpstr>
      <vt:lpstr>final_duration_session</vt:lpstr>
      <vt:lpstr>final_duration_tertiary</vt:lpstr>
      <vt:lpstr>final_duration_total</vt:lpstr>
      <vt:lpstr>final_duration_TT_WD</vt:lpstr>
      <vt:lpstr>final_duration_TT_WU</vt:lpstr>
      <vt:lpstr>final_duration_WD</vt:lpstr>
      <vt:lpstr>final_duration_WU</vt:lpstr>
      <vt:lpstr>final_load</vt:lpstr>
      <vt:lpstr>final_load_error</vt:lpstr>
      <vt:lpstr>final_load_progression_relative</vt:lpstr>
      <vt:lpstr>final_load_total</vt:lpstr>
      <vt:lpstr>final_program_summary</vt:lpstr>
      <vt:lpstr>fitness_coefficient_sum</vt:lpstr>
      <vt:lpstr>fitness_coefficients</vt:lpstr>
      <vt:lpstr>fitness_coefficients_constant</vt:lpstr>
      <vt:lpstr>fitness_coefficients_constant_factor</vt:lpstr>
      <vt:lpstr>fitness_coefficients_constant_sum</vt:lpstr>
      <vt:lpstr>fitness_coefficients_exponential</vt:lpstr>
      <vt:lpstr>fitness_coefficients_exponential_factor</vt:lpstr>
      <vt:lpstr>fitness_coefficients_exponential_sum</vt:lpstr>
      <vt:lpstr>fitness_coefficients_linear</vt:lpstr>
      <vt:lpstr>fitness_coefficients_linear_factor</vt:lpstr>
      <vt:lpstr>fitness_coefficients_linear_sum</vt:lpstr>
      <vt:lpstr>fitness_halflife</vt:lpstr>
      <vt:lpstr>fitness_method</vt:lpstr>
      <vt:lpstr>fitness_method_options</vt:lpstr>
      <vt:lpstr>fitness_weeks</vt:lpstr>
      <vt:lpstr>fitness_weeks_max</vt:lpstr>
      <vt:lpstr>fuelling_options_during</vt:lpstr>
      <vt:lpstr>fuelling_options_post</vt:lpstr>
      <vt:lpstr>fuelling_options_pre</vt:lpstr>
      <vt:lpstr>fuellings_index</vt:lpstr>
      <vt:lpstr>fuellings_name</vt:lpstr>
      <vt:lpstr>hilltempo_split_12min</vt:lpstr>
      <vt:lpstr>hilltempo_split_6min</vt:lpstr>
      <vt:lpstr>interval_trackO2_max</vt:lpstr>
      <vt:lpstr>intervals_121_r2min</vt:lpstr>
      <vt:lpstr>intervals_1500m_r3min</vt:lpstr>
      <vt:lpstr>intervals_1500m_r90sec</vt:lpstr>
      <vt:lpstr>intervals_1km_r1min</vt:lpstr>
      <vt:lpstr>intervals_1km_r2min</vt:lpstr>
      <vt:lpstr>intervals_2km_r3min</vt:lpstr>
      <vt:lpstr>intervals_2km_r90sec</vt:lpstr>
      <vt:lpstr>intervals_500m_r1min</vt:lpstr>
      <vt:lpstr>intervals_500m_r30sec</vt:lpstr>
      <vt:lpstr>intervals_array</vt:lpstr>
      <vt:lpstr>intervals_fartleks</vt:lpstr>
      <vt:lpstr>intervals_index</vt:lpstr>
      <vt:lpstr>intervals_intensity_description</vt:lpstr>
      <vt:lpstr>intervals_intensity_distance</vt:lpstr>
      <vt:lpstr>intervals_intervals</vt:lpstr>
      <vt:lpstr>intervals_moneghetti</vt:lpstr>
      <vt:lpstr>intervals_name</vt:lpstr>
      <vt:lpstr>intervals_pyramid</vt:lpstr>
      <vt:lpstr>intervals_recoveries_duration</vt:lpstr>
      <vt:lpstr>intervals_reps</vt:lpstr>
      <vt:lpstr>intervals_tempos</vt:lpstr>
      <vt:lpstr>intervals_type</vt:lpstr>
      <vt:lpstr>intervals_variants</vt:lpstr>
      <vt:lpstr>intervlas_recoveries_description</vt:lpstr>
      <vt:lpstr>load_calculator</vt:lpstr>
      <vt:lpstr>load_drills</vt:lpstr>
      <vt:lpstr>load_easy</vt:lpstr>
      <vt:lpstr>load_fartlek</vt:lpstr>
      <vt:lpstr>load_filler</vt:lpstr>
      <vt:lpstr>load_hilltempo</vt:lpstr>
      <vt:lpstr>load_intervals</vt:lpstr>
      <vt:lpstr>load_long</vt:lpstr>
      <vt:lpstr>load_maintenance</vt:lpstr>
      <vt:lpstr>load_recovery</vt:lpstr>
      <vt:lpstr>load_reps</vt:lpstr>
      <vt:lpstr>load_steady</vt:lpstr>
      <vt:lpstr>load_strength</vt:lpstr>
      <vt:lpstr>load_subthreshold</vt:lpstr>
      <vt:lpstr>load_tempo</vt:lpstr>
      <vt:lpstr>load_WUWD</vt:lpstr>
      <vt:lpstr>nutrition_aim</vt:lpstr>
      <vt:lpstr>nutrition_description</vt:lpstr>
      <vt:lpstr>nutrition_physiology</vt:lpstr>
      <vt:lpstr>nutrition_quantity_code</vt:lpstr>
      <vt:lpstr>nutrition_summary_description</vt:lpstr>
      <vt:lpstr>plan_array</vt:lpstr>
      <vt:lpstr>plan_duration</vt:lpstr>
      <vt:lpstr>plan_duration_all</vt:lpstr>
      <vt:lpstr>plan_duration_hhmm</vt:lpstr>
      <vt:lpstr>plan_duration_maximum</vt:lpstr>
      <vt:lpstr>plan_duration_primary</vt:lpstr>
      <vt:lpstr>plan_duration_recoveries</vt:lpstr>
      <vt:lpstr>plan_duration_secondary</vt:lpstr>
      <vt:lpstr>plan_duration_start</vt:lpstr>
      <vt:lpstr>plan_duration_tertiary</vt:lpstr>
      <vt:lpstr>plan_duration_WD</vt:lpstr>
      <vt:lpstr>plan_duration_WU</vt:lpstr>
      <vt:lpstr>plan_event</vt:lpstr>
      <vt:lpstr>plan_finish_date</vt:lpstr>
      <vt:lpstr>plan_index</vt:lpstr>
      <vt:lpstr>plan_intervals_counter</vt:lpstr>
      <vt:lpstr>plan_load</vt:lpstr>
      <vt:lpstr>plan_name</vt:lpstr>
      <vt:lpstr>plan_nutrition_counter</vt:lpstr>
      <vt:lpstr>plan_progression_rate</vt:lpstr>
      <vt:lpstr>plan_progression_rate_aggressive</vt:lpstr>
      <vt:lpstr>plan_progression_rate_conservative</vt:lpstr>
      <vt:lpstr>plan_progression_rate_maintain</vt:lpstr>
      <vt:lpstr>plan_progression_rate_overload</vt:lpstr>
      <vt:lpstr>plan_progression_rate_recover</vt:lpstr>
      <vt:lpstr>plan_progression_rate_taper</vt:lpstr>
      <vt:lpstr>plan_session_allocation</vt:lpstr>
      <vt:lpstr>plan_start_date</vt:lpstr>
      <vt:lpstr>plan_strategy</vt:lpstr>
      <vt:lpstr>plans</vt:lpstr>
      <vt:lpstr>plans_array</vt:lpstr>
      <vt:lpstr>plans_event</vt:lpstr>
      <vt:lpstr>plans_finish_date</vt:lpstr>
      <vt:lpstr>plans_index</vt:lpstr>
      <vt:lpstr>plans_name</vt:lpstr>
      <vt:lpstr>plans_start_date</vt:lpstr>
      <vt:lpstr>plans_week</vt:lpstr>
      <vt:lpstr>plans_week_beginning</vt:lpstr>
      <vt:lpstr>'Program Full'!Print_Area</vt:lpstr>
      <vt:lpstr>'Program Summary'!Print_Area</vt:lpstr>
      <vt:lpstr>'Program Summary TT'!Print_Area</vt:lpstr>
      <vt:lpstr>'Program Full'!Print_Titles</vt:lpstr>
      <vt:lpstr>'Program Summary'!Print_Titles</vt:lpstr>
      <vt:lpstr>'Program Summary TT'!Print_Titles</vt:lpstr>
      <vt:lpstr>progression_rate_blind</vt:lpstr>
      <vt:lpstr>quantity_carbs</vt:lpstr>
      <vt:lpstr>quantity_during</vt:lpstr>
      <vt:lpstr>quantity_fat</vt:lpstr>
      <vt:lpstr>quantity_post</vt:lpstr>
      <vt:lpstr>quantity_pre</vt:lpstr>
      <vt:lpstr>quantity_protein</vt:lpstr>
      <vt:lpstr>reference_index</vt:lpstr>
      <vt:lpstr>reps_complete_progression_hills</vt:lpstr>
      <vt:lpstr>reps_complete_progression_sprints</vt:lpstr>
      <vt:lpstr>reps_extensive_hills</vt:lpstr>
      <vt:lpstr>reps_intensive_hills</vt:lpstr>
      <vt:lpstr>reps_intensive_sprints</vt:lpstr>
      <vt:lpstr>reps_lactic_hills</vt:lpstr>
      <vt:lpstr>reps_lactic_sprints</vt:lpstr>
      <vt:lpstr>reps_ladder_800</vt:lpstr>
      <vt:lpstr>reps_tabata</vt:lpstr>
      <vt:lpstr>sessions_aim</vt:lpstr>
      <vt:lpstr>sessions_aim_nutrition</vt:lpstr>
      <vt:lpstr>sessions_aim_primary</vt:lpstr>
      <vt:lpstr>sessions_aim_secondary</vt:lpstr>
      <vt:lpstr>sessions_aim_tertiary</vt:lpstr>
      <vt:lpstr>sessions_aims</vt:lpstr>
      <vt:lpstr>sessions_category</vt:lpstr>
      <vt:lpstr>sessions_description</vt:lpstr>
      <vt:lpstr>sessions_description_nutrition</vt:lpstr>
      <vt:lpstr>sessions_description_primary</vt:lpstr>
      <vt:lpstr>sessions_description_secondary</vt:lpstr>
      <vt:lpstr>sessions_description_tertiary</vt:lpstr>
      <vt:lpstr>sessions_descriptions</vt:lpstr>
      <vt:lpstr>sessions_duration_custom</vt:lpstr>
      <vt:lpstr>sessions_duration_custom_primary</vt:lpstr>
      <vt:lpstr>sessions_duration_custom_secondary</vt:lpstr>
      <vt:lpstr>sessions_duration_custom_tertiary</vt:lpstr>
      <vt:lpstr>sessions_duration_primary</vt:lpstr>
      <vt:lpstr>sessions_duration_secondary</vt:lpstr>
      <vt:lpstr>sessions_duration_tertiary</vt:lpstr>
      <vt:lpstr>sessions_element_index_primary</vt:lpstr>
      <vt:lpstr>sessions_element_index_secondary</vt:lpstr>
      <vt:lpstr>sessions_element_index_tertiary</vt:lpstr>
      <vt:lpstr>sessions_element_primary</vt:lpstr>
      <vt:lpstr>sessions_element_secondary</vt:lpstr>
      <vt:lpstr>sessions_element_tertiary</vt:lpstr>
      <vt:lpstr>sessions_elements</vt:lpstr>
      <vt:lpstr>sessions_elements_code</vt:lpstr>
      <vt:lpstr>sessions_elements_index</vt:lpstr>
      <vt:lpstr>sessions_HR</vt:lpstr>
      <vt:lpstr>sessions_HR_primary</vt:lpstr>
      <vt:lpstr>sessions_HR_range</vt:lpstr>
      <vt:lpstr>sessions_HR_range_primary</vt:lpstr>
      <vt:lpstr>sessions_HR_range_secondary</vt:lpstr>
      <vt:lpstr>sessions_HR_range_tertiary</vt:lpstr>
      <vt:lpstr>sessions_HR_secondary</vt:lpstr>
      <vt:lpstr>sessions_HR_tertiary</vt:lpstr>
      <vt:lpstr>sessions_index</vt:lpstr>
      <vt:lpstr>sessions_intervals_code</vt:lpstr>
      <vt:lpstr>sessions_intervals_code_primary</vt:lpstr>
      <vt:lpstr>sessions_intervals_code_secondary</vt:lpstr>
      <vt:lpstr>sessions_intervals_code_tertiary</vt:lpstr>
      <vt:lpstr>sessions_intervals_counter</vt:lpstr>
      <vt:lpstr>sessions_intervals_index</vt:lpstr>
      <vt:lpstr>sessions_intervals_selection</vt:lpstr>
      <vt:lpstr>sessions_load</vt:lpstr>
      <vt:lpstr>sessions_load_primary</vt:lpstr>
      <vt:lpstr>sessions_load_secondary</vt:lpstr>
      <vt:lpstr>sessions_load_tertiary</vt:lpstr>
      <vt:lpstr>sessions_name</vt:lpstr>
      <vt:lpstr>sessions_nutrition</vt:lpstr>
      <vt:lpstr>sessions_nutrition_counter</vt:lpstr>
      <vt:lpstr>sessions_nutrition_index</vt:lpstr>
      <vt:lpstr>sessions_pace</vt:lpstr>
      <vt:lpstr>sessions_pace_primary</vt:lpstr>
      <vt:lpstr>sessions_pace_secondary</vt:lpstr>
      <vt:lpstr>sessions_pace_tertiary</vt:lpstr>
      <vt:lpstr>sessions_recoveries</vt:lpstr>
      <vt:lpstr>sessions_sport</vt:lpstr>
      <vt:lpstr>sessions_sport_group</vt:lpstr>
      <vt:lpstr>sessions_sport_primary</vt:lpstr>
      <vt:lpstr>sessions_sport_secondary</vt:lpstr>
      <vt:lpstr>sessions_sport_selection</vt:lpstr>
      <vt:lpstr>sessions_sport_tertiary</vt:lpstr>
      <vt:lpstr>sessions_sport_TT_type</vt:lpstr>
      <vt:lpstr>sessions_summaries</vt:lpstr>
      <vt:lpstr>sessions_summary</vt:lpstr>
      <vt:lpstr>sessions_summary_nutrition</vt:lpstr>
      <vt:lpstr>sessions_summary_primary</vt:lpstr>
      <vt:lpstr>sessions_summary_secondary</vt:lpstr>
      <vt:lpstr>sessions_summary_tertiary</vt:lpstr>
      <vt:lpstr>sessions_symbol</vt:lpstr>
      <vt:lpstr>sessions_symbol_nutrition</vt:lpstr>
      <vt:lpstr>sessions_symbol_primary</vt:lpstr>
      <vt:lpstr>sessions_symbol_secondary</vt:lpstr>
      <vt:lpstr>sessions_symbol_tertiary</vt:lpstr>
      <vt:lpstr>sessions_TT_description_nutrition</vt:lpstr>
      <vt:lpstr>sessions_TT_description_primary</vt:lpstr>
      <vt:lpstr>sessions_TT_description_secondary</vt:lpstr>
      <vt:lpstr>sessions_TT_description_tertiary</vt:lpstr>
      <vt:lpstr>sessions_TT_descriptions</vt:lpstr>
      <vt:lpstr>sessions_TT_summary</vt:lpstr>
      <vt:lpstr>sessions_TT_summary_nutrition</vt:lpstr>
      <vt:lpstr>sessions_TT_summary_primary</vt:lpstr>
      <vt:lpstr>sessions_TT_summary_secondary</vt:lpstr>
      <vt:lpstr>sessions_TT_summary_tertiary</vt:lpstr>
      <vt:lpstr>sessions_WUWD</vt:lpstr>
      <vt:lpstr>sessions_WUWD_primary</vt:lpstr>
      <vt:lpstr>sessions_WUWD_secondary</vt:lpstr>
      <vt:lpstr>sessions_WUWD_tertiary</vt:lpstr>
      <vt:lpstr>specialisation</vt:lpstr>
      <vt:lpstr>specialisation_option_1</vt:lpstr>
      <vt:lpstr>specialisation_option_1_array</vt:lpstr>
      <vt:lpstr>specialisation_option_2</vt:lpstr>
      <vt:lpstr>specialisation_option_2_array</vt:lpstr>
      <vt:lpstr>specialisation_option_3</vt:lpstr>
      <vt:lpstr>specialisation_option_3_array</vt:lpstr>
      <vt:lpstr>specialisation_option_4</vt:lpstr>
      <vt:lpstr>specialisation_option_4_array</vt:lpstr>
      <vt:lpstr>specialisation_option_5</vt:lpstr>
      <vt:lpstr>specialisation_option_5_array</vt:lpstr>
      <vt:lpstr>specialisation_option_6</vt:lpstr>
      <vt:lpstr>specialisation_option_6_array</vt:lpstr>
      <vt:lpstr>specialisation_option_7</vt:lpstr>
      <vt:lpstr>specialisation_option_7_array</vt:lpstr>
      <vt:lpstr>specialisation_option_8</vt:lpstr>
      <vt:lpstr>specialisation_option_8_array</vt:lpstr>
      <vt:lpstr>specialisation_option_selection_array</vt:lpstr>
      <vt:lpstr>specialisations</vt:lpstr>
      <vt:lpstr>sports</vt:lpstr>
      <vt:lpstr>sports_crosstraining_name</vt:lpstr>
      <vt:lpstr>sports_cycling_name</vt:lpstr>
      <vt:lpstr>sports_group</vt:lpstr>
      <vt:lpstr>sports_name</vt:lpstr>
      <vt:lpstr>sports_other_name</vt:lpstr>
      <vt:lpstr>sports_running_name</vt:lpstr>
      <vt:lpstr>sports_swimming_name</vt:lpstr>
      <vt:lpstr>sports_symbol</vt:lpstr>
      <vt:lpstr>sports_TT_type</vt:lpstr>
      <vt:lpstr>starting_progression_rate</vt:lpstr>
      <vt:lpstr>strategies</vt:lpstr>
      <vt:lpstr>strategies_aim</vt:lpstr>
      <vt:lpstr>strategies_array</vt:lpstr>
      <vt:lpstr>strategies_description</vt:lpstr>
      <vt:lpstr>strategies_name</vt:lpstr>
      <vt:lpstr>strategies_progression</vt:lpstr>
      <vt:lpstr>strategy_array</vt:lpstr>
      <vt:lpstr>tempo_split_12min</vt:lpstr>
      <vt:lpstr>tempo_split_6min</vt:lpstr>
      <vt:lpstr>tracker_days</vt:lpstr>
      <vt:lpstr>tracker_fatigue_accumulative</vt:lpstr>
      <vt:lpstr>tracker_fatigue_normalised</vt:lpstr>
      <vt:lpstr>tracker_finish_date</vt:lpstr>
      <vt:lpstr>tracker_fitness_accumulative</vt:lpstr>
      <vt:lpstr>tracker_fitness_normalised</vt:lpstr>
      <vt:lpstr>tracker_form</vt:lpstr>
      <vt:lpstr>tracker_load_afternoon</vt:lpstr>
      <vt:lpstr>tracker_load_morning</vt:lpstr>
      <vt:lpstr>tracker_start_date</vt:lpstr>
      <vt:lpstr>tracker_week</vt:lpstr>
      <vt:lpstr>tracker_weekday</vt:lpstr>
      <vt:lpstr>TT_export_aim</vt:lpstr>
      <vt:lpstr>TT_export_description</vt:lpstr>
      <vt:lpstr>TT_export_name</vt:lpstr>
      <vt:lpstr>TT_export_part</vt:lpstr>
      <vt:lpstr>TT_export_slot_normal</vt:lpstr>
      <vt:lpstr>TT_export_slot_TT</vt:lpstr>
      <vt:lpstr>TT_export_TT_description</vt:lpstr>
      <vt:lpstr>TT_export_week</vt:lpstr>
      <vt:lpstr>TT_intervals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Progression Master</dc:title>
  <dc:creator>Gene</dc:creator>
  <cp:lastModifiedBy>Gene Beveridge</cp:lastModifiedBy>
  <cp:revision/>
  <cp:lastPrinted>2019-02-11T08:09:17Z</cp:lastPrinted>
  <dcterms:created xsi:type="dcterms:W3CDTF">2013-12-22T20:53:48Z</dcterms:created>
  <dcterms:modified xsi:type="dcterms:W3CDTF">2019-02-11T08:11:46Z</dcterms:modified>
</cp:coreProperties>
</file>